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in/Desktop/"/>
    </mc:Choice>
  </mc:AlternateContent>
  <xr:revisionPtr revIDLastSave="0" documentId="8_{4B31016E-C543-1A44-9334-CBA70081CF54}" xr6:coauthVersionLast="47" xr6:coauthVersionMax="47" xr10:uidLastSave="{00000000-0000-0000-0000-000000000000}"/>
  <bookViews>
    <workbookView xWindow="0" yWindow="660" windowWidth="34560" windowHeight="20120" xr2:uid="{00000000-000D-0000-FFFF-FFFF00000000}"/>
  </bookViews>
  <sheets>
    <sheet name="Coverpage" sheetId="1" r:id="rId1"/>
    <sheet name="Export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9435" i="2" l="1"/>
  <c r="O9434" i="2"/>
  <c r="M9434" i="2"/>
  <c r="L9434" i="2"/>
  <c r="E9434" i="2"/>
  <c r="D9434" i="2"/>
  <c r="B9434" i="2"/>
  <c r="A9434" i="2"/>
  <c r="O9433" i="2"/>
  <c r="O9432" i="2"/>
  <c r="M9432" i="2"/>
  <c r="L9432" i="2"/>
  <c r="E9432" i="2"/>
  <c r="D9432" i="2"/>
  <c r="B9432" i="2"/>
  <c r="A9432" i="2"/>
  <c r="O9431" i="2"/>
  <c r="M9431" i="2"/>
  <c r="L9431" i="2"/>
  <c r="E9431" i="2"/>
  <c r="D9431" i="2"/>
  <c r="B9431" i="2"/>
  <c r="A9431" i="2"/>
  <c r="O9430" i="2"/>
  <c r="M9430" i="2"/>
  <c r="L9430" i="2"/>
  <c r="E9430" i="2"/>
  <c r="D9430" i="2"/>
  <c r="B9430" i="2"/>
  <c r="A9430" i="2"/>
  <c r="O9429" i="2"/>
  <c r="O9428" i="2"/>
  <c r="O9427" i="2"/>
  <c r="O9426" i="2"/>
  <c r="O9425" i="2"/>
  <c r="O9424" i="2"/>
  <c r="O9423" i="2"/>
  <c r="M9423" i="2"/>
  <c r="L9423" i="2"/>
  <c r="E9423" i="2"/>
  <c r="D9423" i="2"/>
  <c r="B9423" i="2"/>
  <c r="A9423" i="2"/>
  <c r="O9422" i="2"/>
  <c r="M9422" i="2"/>
  <c r="L9422" i="2"/>
  <c r="E9422" i="2"/>
  <c r="D9422" i="2"/>
  <c r="B9422" i="2"/>
  <c r="A9422" i="2"/>
  <c r="O9421" i="2"/>
  <c r="O9420" i="2"/>
  <c r="O9419" i="2"/>
  <c r="O9418" i="2"/>
  <c r="M9418" i="2"/>
  <c r="L9418" i="2"/>
  <c r="E9418" i="2"/>
  <c r="D9418" i="2"/>
  <c r="B9418" i="2"/>
  <c r="A9418" i="2"/>
  <c r="O9417" i="2"/>
  <c r="O9416" i="2"/>
  <c r="O9415" i="2"/>
  <c r="O9414" i="2"/>
  <c r="M9414" i="2"/>
  <c r="L9414" i="2"/>
  <c r="E9414" i="2"/>
  <c r="D9414" i="2"/>
  <c r="B9414" i="2"/>
  <c r="A9414" i="2"/>
  <c r="O9413" i="2"/>
  <c r="O9412" i="2"/>
  <c r="M9412" i="2"/>
  <c r="L9412" i="2"/>
  <c r="E9412" i="2"/>
  <c r="D9412" i="2"/>
  <c r="B9412" i="2"/>
  <c r="A9412" i="2"/>
  <c r="O9411" i="2"/>
  <c r="M9411" i="2"/>
  <c r="L9411" i="2"/>
  <c r="E9411" i="2"/>
  <c r="D9411" i="2"/>
  <c r="B9411" i="2"/>
  <c r="A9411" i="2"/>
  <c r="O9410" i="2"/>
  <c r="O9409" i="2"/>
  <c r="M9409" i="2"/>
  <c r="L9409" i="2"/>
  <c r="E9409" i="2"/>
  <c r="D9409" i="2"/>
  <c r="B9409" i="2"/>
  <c r="A9409" i="2"/>
  <c r="O9408" i="2"/>
  <c r="O9407" i="2"/>
  <c r="M9407" i="2"/>
  <c r="L9407" i="2"/>
  <c r="E9407" i="2"/>
  <c r="D9407" i="2"/>
  <c r="B9407" i="2"/>
  <c r="A9407" i="2"/>
  <c r="O9406" i="2"/>
  <c r="O9405" i="2"/>
  <c r="M9405" i="2"/>
  <c r="L9405" i="2"/>
  <c r="E9405" i="2"/>
  <c r="D9405" i="2"/>
  <c r="B9405" i="2"/>
  <c r="A9405" i="2"/>
  <c r="O9404" i="2"/>
  <c r="O9403" i="2"/>
  <c r="O9402" i="2"/>
  <c r="O9401" i="2"/>
  <c r="O9400" i="2"/>
  <c r="O9399" i="2"/>
  <c r="O9398" i="2"/>
  <c r="M9398" i="2"/>
  <c r="L9398" i="2"/>
  <c r="E9398" i="2"/>
  <c r="D9398" i="2"/>
  <c r="B9398" i="2"/>
  <c r="A9398" i="2"/>
  <c r="O9397" i="2"/>
  <c r="O9396" i="2"/>
  <c r="O9395" i="2"/>
  <c r="M9395" i="2"/>
  <c r="L9395" i="2"/>
  <c r="E9395" i="2"/>
  <c r="D9395" i="2"/>
  <c r="B9395" i="2"/>
  <c r="A9395" i="2"/>
  <c r="O9394" i="2"/>
  <c r="M9394" i="2"/>
  <c r="L9394" i="2"/>
  <c r="E9394" i="2"/>
  <c r="D9394" i="2"/>
  <c r="B9394" i="2"/>
  <c r="A9394" i="2"/>
  <c r="O9393" i="2"/>
  <c r="O9392" i="2"/>
  <c r="M9392" i="2"/>
  <c r="L9392" i="2"/>
  <c r="E9392" i="2"/>
  <c r="D9392" i="2"/>
  <c r="B9392" i="2"/>
  <c r="A9392" i="2"/>
  <c r="O9391" i="2"/>
  <c r="O9390" i="2"/>
  <c r="M9390" i="2"/>
  <c r="L9390" i="2"/>
  <c r="E9390" i="2"/>
  <c r="D9390" i="2"/>
  <c r="B9390" i="2"/>
  <c r="A9390" i="2"/>
  <c r="O9389" i="2"/>
  <c r="M9389" i="2"/>
  <c r="L9389" i="2"/>
  <c r="E9389" i="2"/>
  <c r="D9389" i="2"/>
  <c r="B9389" i="2"/>
  <c r="A9389" i="2"/>
  <c r="O9388" i="2"/>
  <c r="O9387" i="2"/>
  <c r="M9387" i="2"/>
  <c r="L9387" i="2"/>
  <c r="E9387" i="2"/>
  <c r="D9387" i="2"/>
  <c r="B9387" i="2"/>
  <c r="A9387" i="2"/>
  <c r="O9386" i="2"/>
  <c r="M9386" i="2"/>
  <c r="L9386" i="2"/>
  <c r="E9386" i="2"/>
  <c r="D9386" i="2"/>
  <c r="B9386" i="2"/>
  <c r="A9386" i="2"/>
  <c r="O9385" i="2"/>
  <c r="O9384" i="2"/>
  <c r="M9384" i="2"/>
  <c r="L9384" i="2"/>
  <c r="E9384" i="2"/>
  <c r="D9384" i="2"/>
  <c r="B9384" i="2"/>
  <c r="A9384" i="2"/>
  <c r="O9383" i="2"/>
  <c r="O9382" i="2"/>
  <c r="M9382" i="2"/>
  <c r="L9382" i="2"/>
  <c r="E9382" i="2"/>
  <c r="D9382" i="2"/>
  <c r="B9382" i="2"/>
  <c r="A9382" i="2"/>
  <c r="O9381" i="2"/>
  <c r="O9380" i="2"/>
  <c r="M9380" i="2"/>
  <c r="L9380" i="2"/>
  <c r="E9380" i="2"/>
  <c r="D9380" i="2"/>
  <c r="B9380" i="2"/>
  <c r="A9380" i="2"/>
  <c r="O9379" i="2"/>
  <c r="O9378" i="2"/>
  <c r="M9378" i="2"/>
  <c r="L9378" i="2"/>
  <c r="E9378" i="2"/>
  <c r="D9378" i="2"/>
  <c r="B9378" i="2"/>
  <c r="A9378" i="2"/>
  <c r="O9377" i="2"/>
  <c r="M9377" i="2"/>
  <c r="L9377" i="2"/>
  <c r="E9377" i="2"/>
  <c r="D9377" i="2"/>
  <c r="B9377" i="2"/>
  <c r="A9377" i="2"/>
  <c r="O9376" i="2"/>
  <c r="M9376" i="2"/>
  <c r="L9376" i="2"/>
  <c r="E9376" i="2"/>
  <c r="D9376" i="2"/>
  <c r="B9376" i="2"/>
  <c r="A9376" i="2"/>
  <c r="O9375" i="2"/>
  <c r="O9374" i="2"/>
  <c r="M9374" i="2"/>
  <c r="L9374" i="2"/>
  <c r="E9374" i="2"/>
  <c r="D9374" i="2"/>
  <c r="B9374" i="2"/>
  <c r="A9374" i="2"/>
  <c r="O9373" i="2"/>
  <c r="O9372" i="2"/>
  <c r="O9371" i="2"/>
  <c r="M9371" i="2"/>
  <c r="L9371" i="2"/>
  <c r="E9371" i="2"/>
  <c r="D9371" i="2"/>
  <c r="B9371" i="2"/>
  <c r="A9371" i="2"/>
  <c r="O9370" i="2"/>
  <c r="O9369" i="2"/>
  <c r="O9368" i="2"/>
  <c r="O9367" i="2"/>
  <c r="M9367" i="2"/>
  <c r="L9367" i="2"/>
  <c r="E9367" i="2"/>
  <c r="D9367" i="2"/>
  <c r="B9367" i="2"/>
  <c r="A9367" i="2"/>
  <c r="O9366" i="2"/>
  <c r="M9366" i="2"/>
  <c r="L9366" i="2"/>
  <c r="E9366" i="2"/>
  <c r="D9366" i="2"/>
  <c r="B9366" i="2"/>
  <c r="A9366" i="2"/>
  <c r="O9365" i="2"/>
  <c r="M9365" i="2"/>
  <c r="L9365" i="2"/>
  <c r="E9365" i="2"/>
  <c r="D9365" i="2"/>
  <c r="B9365" i="2"/>
  <c r="A9365" i="2"/>
  <c r="O9364" i="2"/>
  <c r="M9364" i="2"/>
  <c r="L9364" i="2"/>
  <c r="E9364" i="2"/>
  <c r="D9364" i="2"/>
  <c r="B9364" i="2"/>
  <c r="A9364" i="2"/>
  <c r="O9363" i="2"/>
  <c r="O9362" i="2"/>
  <c r="M9362" i="2"/>
  <c r="L9362" i="2"/>
  <c r="E9362" i="2"/>
  <c r="D9362" i="2"/>
  <c r="B9362" i="2"/>
  <c r="A9362" i="2"/>
  <c r="O9361" i="2"/>
  <c r="M9361" i="2"/>
  <c r="L9361" i="2"/>
  <c r="E9361" i="2"/>
  <c r="D9361" i="2"/>
  <c r="B9361" i="2"/>
  <c r="A9361" i="2"/>
  <c r="O9360" i="2"/>
  <c r="O9359" i="2"/>
  <c r="M9359" i="2"/>
  <c r="L9359" i="2"/>
  <c r="E9359" i="2"/>
  <c r="D9359" i="2"/>
  <c r="B9359" i="2"/>
  <c r="A9359" i="2"/>
  <c r="O9358" i="2"/>
  <c r="M9358" i="2"/>
  <c r="L9358" i="2"/>
  <c r="E9358" i="2"/>
  <c r="D9358" i="2"/>
  <c r="B9358" i="2"/>
  <c r="A9358" i="2"/>
  <c r="O9357" i="2"/>
  <c r="M9357" i="2"/>
  <c r="L9357" i="2"/>
  <c r="E9357" i="2"/>
  <c r="D9357" i="2"/>
  <c r="B9357" i="2"/>
  <c r="A9357" i="2"/>
  <c r="O9356" i="2"/>
  <c r="O9355" i="2"/>
  <c r="M9355" i="2"/>
  <c r="L9355" i="2"/>
  <c r="E9355" i="2"/>
  <c r="D9355" i="2"/>
  <c r="B9355" i="2"/>
  <c r="A9355" i="2"/>
  <c r="O9354" i="2"/>
  <c r="M9354" i="2"/>
  <c r="L9354" i="2"/>
  <c r="E9354" i="2"/>
  <c r="D9354" i="2"/>
  <c r="B9354" i="2"/>
  <c r="A9354" i="2"/>
  <c r="O9353" i="2"/>
  <c r="M9353" i="2"/>
  <c r="L9353" i="2"/>
  <c r="E9353" i="2"/>
  <c r="D9353" i="2"/>
  <c r="B9353" i="2"/>
  <c r="A9353" i="2"/>
  <c r="O9352" i="2"/>
  <c r="O9351" i="2"/>
  <c r="M9351" i="2"/>
  <c r="L9351" i="2"/>
  <c r="E9351" i="2"/>
  <c r="D9351" i="2"/>
  <c r="B9351" i="2"/>
  <c r="A9351" i="2"/>
  <c r="O9350" i="2"/>
  <c r="O9349" i="2"/>
  <c r="O9348" i="2"/>
  <c r="M9348" i="2"/>
  <c r="L9348" i="2"/>
  <c r="E9348" i="2"/>
  <c r="D9348" i="2"/>
  <c r="B9348" i="2"/>
  <c r="A9348" i="2"/>
  <c r="O9347" i="2"/>
  <c r="O9346" i="2"/>
  <c r="M9346" i="2"/>
  <c r="L9346" i="2"/>
  <c r="E9346" i="2"/>
  <c r="D9346" i="2"/>
  <c r="B9346" i="2"/>
  <c r="A9346" i="2"/>
  <c r="O9345" i="2"/>
  <c r="O9344" i="2"/>
  <c r="O9343" i="2"/>
  <c r="O9342" i="2"/>
  <c r="M9342" i="2"/>
  <c r="L9342" i="2"/>
  <c r="E9342" i="2"/>
  <c r="D9342" i="2"/>
  <c r="B9342" i="2"/>
  <c r="A9342" i="2"/>
  <c r="O9341" i="2"/>
  <c r="O9340" i="2"/>
  <c r="O9339" i="2"/>
  <c r="O9338" i="2"/>
  <c r="O9337" i="2"/>
  <c r="O9336" i="2"/>
  <c r="O9335" i="2"/>
  <c r="O9334" i="2"/>
  <c r="O9333" i="2"/>
  <c r="O9332" i="2"/>
  <c r="M9332" i="2"/>
  <c r="L9332" i="2"/>
  <c r="E9332" i="2"/>
  <c r="D9332" i="2"/>
  <c r="B9332" i="2"/>
  <c r="A9332" i="2"/>
  <c r="O9331" i="2"/>
  <c r="O9330" i="2"/>
  <c r="O9329" i="2"/>
  <c r="M9329" i="2"/>
  <c r="L9329" i="2"/>
  <c r="E9329" i="2"/>
  <c r="D9329" i="2"/>
  <c r="B9329" i="2"/>
  <c r="A9329" i="2"/>
  <c r="O9328" i="2"/>
  <c r="O9327" i="2"/>
  <c r="O9326" i="2"/>
  <c r="M9326" i="2"/>
  <c r="L9326" i="2"/>
  <c r="E9326" i="2"/>
  <c r="D9326" i="2"/>
  <c r="B9326" i="2"/>
  <c r="A9326" i="2"/>
  <c r="O9325" i="2"/>
  <c r="O9324" i="2"/>
  <c r="O9323" i="2"/>
  <c r="O9322" i="2"/>
  <c r="M9322" i="2"/>
  <c r="L9322" i="2"/>
  <c r="E9322" i="2"/>
  <c r="D9322" i="2"/>
  <c r="B9322" i="2"/>
  <c r="A9322" i="2"/>
  <c r="O9321" i="2"/>
  <c r="M9321" i="2"/>
  <c r="L9321" i="2"/>
  <c r="E9321" i="2"/>
  <c r="D9321" i="2"/>
  <c r="B9321" i="2"/>
  <c r="A9321" i="2"/>
  <c r="O9320" i="2"/>
  <c r="M9320" i="2"/>
  <c r="L9320" i="2"/>
  <c r="E9320" i="2"/>
  <c r="D9320" i="2"/>
  <c r="B9320" i="2"/>
  <c r="A9320" i="2"/>
  <c r="O9319" i="2"/>
  <c r="M9319" i="2"/>
  <c r="L9319" i="2"/>
  <c r="E9319" i="2"/>
  <c r="D9319" i="2"/>
  <c r="B9319" i="2"/>
  <c r="A9319" i="2"/>
  <c r="O9318" i="2"/>
  <c r="M9318" i="2"/>
  <c r="L9318" i="2"/>
  <c r="E9318" i="2"/>
  <c r="D9318" i="2"/>
  <c r="B9318" i="2"/>
  <c r="A9318" i="2"/>
  <c r="O9317" i="2"/>
  <c r="M9317" i="2"/>
  <c r="L9317" i="2"/>
  <c r="E9317" i="2"/>
  <c r="D9317" i="2"/>
  <c r="B9317" i="2"/>
  <c r="A9317" i="2"/>
  <c r="O9316" i="2"/>
  <c r="M9316" i="2"/>
  <c r="L9316" i="2"/>
  <c r="E9316" i="2"/>
  <c r="D9316" i="2"/>
  <c r="B9316" i="2"/>
  <c r="A9316" i="2"/>
  <c r="O9315" i="2"/>
  <c r="M9315" i="2"/>
  <c r="L9315" i="2"/>
  <c r="E9315" i="2"/>
  <c r="D9315" i="2"/>
  <c r="B9315" i="2"/>
  <c r="A9315" i="2"/>
  <c r="O9314" i="2"/>
  <c r="O9313" i="2"/>
  <c r="M9313" i="2"/>
  <c r="L9313" i="2"/>
  <c r="E9313" i="2"/>
  <c r="D9313" i="2"/>
  <c r="B9313" i="2"/>
  <c r="A9313" i="2"/>
  <c r="O9312" i="2"/>
  <c r="O9311" i="2"/>
  <c r="O9310" i="2"/>
  <c r="M9310" i="2"/>
  <c r="L9310" i="2"/>
  <c r="E9310" i="2"/>
  <c r="D9310" i="2"/>
  <c r="B9310" i="2"/>
  <c r="A9310" i="2"/>
  <c r="O9309" i="2"/>
  <c r="M9309" i="2"/>
  <c r="L9309" i="2"/>
  <c r="E9309" i="2"/>
  <c r="D9309" i="2"/>
  <c r="B9309" i="2"/>
  <c r="A9309" i="2"/>
  <c r="O9308" i="2"/>
  <c r="O9307" i="2"/>
  <c r="M9307" i="2"/>
  <c r="L9307" i="2"/>
  <c r="E9307" i="2"/>
  <c r="D9307" i="2"/>
  <c r="B9307" i="2"/>
  <c r="A9307" i="2"/>
  <c r="O9306" i="2"/>
  <c r="M9306" i="2"/>
  <c r="L9306" i="2"/>
  <c r="E9306" i="2"/>
  <c r="D9306" i="2"/>
  <c r="B9306" i="2"/>
  <c r="A9306" i="2"/>
  <c r="O9305" i="2"/>
  <c r="M9305" i="2"/>
  <c r="L9305" i="2"/>
  <c r="E9305" i="2"/>
  <c r="D9305" i="2"/>
  <c r="B9305" i="2"/>
  <c r="A9305" i="2"/>
  <c r="O9304" i="2"/>
  <c r="O9303" i="2"/>
  <c r="M9303" i="2"/>
  <c r="L9303" i="2"/>
  <c r="E9303" i="2"/>
  <c r="D9303" i="2"/>
  <c r="B9303" i="2"/>
  <c r="A9303" i="2"/>
  <c r="O9302" i="2"/>
  <c r="M9302" i="2"/>
  <c r="L9302" i="2"/>
  <c r="E9302" i="2"/>
  <c r="D9302" i="2"/>
  <c r="B9302" i="2"/>
  <c r="A9302" i="2"/>
  <c r="O9301" i="2"/>
  <c r="M9301" i="2"/>
  <c r="L9301" i="2"/>
  <c r="E9301" i="2"/>
  <c r="D9301" i="2"/>
  <c r="B9301" i="2"/>
  <c r="A9301" i="2"/>
  <c r="O9300" i="2"/>
  <c r="O9299" i="2"/>
  <c r="M9299" i="2"/>
  <c r="L9299" i="2"/>
  <c r="E9299" i="2"/>
  <c r="D9299" i="2"/>
  <c r="B9299" i="2"/>
  <c r="A9299" i="2"/>
  <c r="O9298" i="2"/>
  <c r="O9297" i="2"/>
  <c r="O9296" i="2"/>
  <c r="M9296" i="2"/>
  <c r="L9296" i="2"/>
  <c r="E9296" i="2"/>
  <c r="D9296" i="2"/>
  <c r="B9296" i="2"/>
  <c r="A9296" i="2"/>
  <c r="O9295" i="2"/>
  <c r="M9295" i="2"/>
  <c r="L9295" i="2"/>
  <c r="E9295" i="2"/>
  <c r="D9295" i="2"/>
  <c r="B9295" i="2"/>
  <c r="A9295" i="2"/>
  <c r="O9294" i="2"/>
  <c r="O9293" i="2"/>
  <c r="M9293" i="2"/>
  <c r="L9293" i="2"/>
  <c r="E9293" i="2"/>
  <c r="D9293" i="2"/>
  <c r="B9293" i="2"/>
  <c r="A9293" i="2"/>
  <c r="O9292" i="2"/>
  <c r="O9291" i="2"/>
  <c r="M9291" i="2"/>
  <c r="L9291" i="2"/>
  <c r="E9291" i="2"/>
  <c r="D9291" i="2"/>
  <c r="B9291" i="2"/>
  <c r="A9291" i="2"/>
  <c r="O9290" i="2"/>
  <c r="M9290" i="2"/>
  <c r="L9290" i="2"/>
  <c r="E9290" i="2"/>
  <c r="D9290" i="2"/>
  <c r="B9290" i="2"/>
  <c r="A9290" i="2"/>
  <c r="O9289" i="2"/>
  <c r="O9288" i="2"/>
  <c r="M9288" i="2"/>
  <c r="L9288" i="2"/>
  <c r="E9288" i="2"/>
  <c r="D9288" i="2"/>
  <c r="B9288" i="2"/>
  <c r="A9288" i="2"/>
  <c r="O9287" i="2"/>
  <c r="M9287" i="2"/>
  <c r="L9287" i="2"/>
  <c r="E9287" i="2"/>
  <c r="D9287" i="2"/>
  <c r="B9287" i="2"/>
  <c r="A9287" i="2"/>
  <c r="O9286" i="2"/>
  <c r="M9286" i="2"/>
  <c r="L9286" i="2"/>
  <c r="E9286" i="2"/>
  <c r="D9286" i="2"/>
  <c r="B9286" i="2"/>
  <c r="A9286" i="2"/>
  <c r="O9285" i="2"/>
  <c r="O9284" i="2"/>
  <c r="M9284" i="2"/>
  <c r="L9284" i="2"/>
  <c r="E9284" i="2"/>
  <c r="D9284" i="2"/>
  <c r="B9284" i="2"/>
  <c r="A9284" i="2"/>
  <c r="O9283" i="2"/>
  <c r="O9282" i="2"/>
  <c r="M9282" i="2"/>
  <c r="L9282" i="2"/>
  <c r="E9282" i="2"/>
  <c r="D9282" i="2"/>
  <c r="B9282" i="2"/>
  <c r="A9282" i="2"/>
  <c r="O9281" i="2"/>
  <c r="M9281" i="2"/>
  <c r="L9281" i="2"/>
  <c r="E9281" i="2"/>
  <c r="D9281" i="2"/>
  <c r="B9281" i="2"/>
  <c r="A9281" i="2"/>
  <c r="O9280" i="2"/>
  <c r="M9280" i="2"/>
  <c r="L9280" i="2"/>
  <c r="E9280" i="2"/>
  <c r="D9280" i="2"/>
  <c r="B9280" i="2"/>
  <c r="A9280" i="2"/>
  <c r="O9279" i="2"/>
  <c r="O9278" i="2"/>
  <c r="O9277" i="2"/>
  <c r="M9277" i="2"/>
  <c r="L9277" i="2"/>
  <c r="E9277" i="2"/>
  <c r="D9277" i="2"/>
  <c r="B9277" i="2"/>
  <c r="A9277" i="2"/>
  <c r="O9276" i="2"/>
  <c r="O9275" i="2"/>
  <c r="O9274" i="2"/>
  <c r="M9274" i="2"/>
  <c r="L9274" i="2"/>
  <c r="E9274" i="2"/>
  <c r="D9274" i="2"/>
  <c r="B9274" i="2"/>
  <c r="A9274" i="2"/>
  <c r="O9273" i="2"/>
  <c r="O9272" i="2"/>
  <c r="O9271" i="2"/>
  <c r="O9270" i="2"/>
  <c r="O9269" i="2"/>
  <c r="O9268" i="2"/>
  <c r="O9267" i="2"/>
  <c r="O9266" i="2"/>
  <c r="O9265" i="2"/>
  <c r="M9265" i="2"/>
  <c r="L9265" i="2"/>
  <c r="E9265" i="2"/>
  <c r="D9265" i="2"/>
  <c r="B9265" i="2"/>
  <c r="A9265" i="2"/>
  <c r="O9264" i="2"/>
  <c r="M9264" i="2"/>
  <c r="L9264" i="2"/>
  <c r="E9264" i="2"/>
  <c r="D9264" i="2"/>
  <c r="B9264" i="2"/>
  <c r="A9264" i="2"/>
  <c r="O9263" i="2"/>
  <c r="M9263" i="2"/>
  <c r="L9263" i="2"/>
  <c r="E9263" i="2"/>
  <c r="D9263" i="2"/>
  <c r="B9263" i="2"/>
  <c r="A9263" i="2"/>
  <c r="O9262" i="2"/>
  <c r="O9261" i="2"/>
  <c r="O9260" i="2"/>
  <c r="M9260" i="2"/>
  <c r="L9260" i="2"/>
  <c r="E9260" i="2"/>
  <c r="D9260" i="2"/>
  <c r="B9260" i="2"/>
  <c r="A9260" i="2"/>
  <c r="O9259" i="2"/>
  <c r="M9259" i="2"/>
  <c r="L9259" i="2"/>
  <c r="E9259" i="2"/>
  <c r="D9259" i="2"/>
  <c r="B9259" i="2"/>
  <c r="A9259" i="2"/>
  <c r="O9258" i="2"/>
  <c r="O9257" i="2"/>
  <c r="M9257" i="2"/>
  <c r="L9257" i="2"/>
  <c r="E9257" i="2"/>
  <c r="D9257" i="2"/>
  <c r="B9257" i="2"/>
  <c r="A9257" i="2"/>
  <c r="O9256" i="2"/>
  <c r="O9255" i="2"/>
  <c r="O9254" i="2"/>
  <c r="M9254" i="2"/>
  <c r="L9254" i="2"/>
  <c r="E9254" i="2"/>
  <c r="D9254" i="2"/>
  <c r="B9254" i="2"/>
  <c r="A9254" i="2"/>
  <c r="O9253" i="2"/>
  <c r="O9252" i="2"/>
  <c r="M9252" i="2"/>
  <c r="L9252" i="2"/>
  <c r="E9252" i="2"/>
  <c r="D9252" i="2"/>
  <c r="B9252" i="2"/>
  <c r="A9252" i="2"/>
  <c r="O9251" i="2"/>
  <c r="M9251" i="2"/>
  <c r="L9251" i="2"/>
  <c r="E9251" i="2"/>
  <c r="D9251" i="2"/>
  <c r="B9251" i="2"/>
  <c r="A9251" i="2"/>
  <c r="O9250" i="2"/>
  <c r="O9249" i="2"/>
  <c r="O9248" i="2"/>
  <c r="O9247" i="2"/>
  <c r="O9246" i="2"/>
  <c r="O9245" i="2"/>
  <c r="M9245" i="2"/>
  <c r="L9245" i="2"/>
  <c r="E9245" i="2"/>
  <c r="D9245" i="2"/>
  <c r="B9245" i="2"/>
  <c r="A9245" i="2"/>
  <c r="O9244" i="2"/>
  <c r="O9243" i="2"/>
  <c r="O9242" i="2"/>
  <c r="M9242" i="2"/>
  <c r="L9242" i="2"/>
  <c r="E9242" i="2"/>
  <c r="D9242" i="2"/>
  <c r="B9242" i="2"/>
  <c r="A9242" i="2"/>
  <c r="O9241" i="2"/>
  <c r="M9241" i="2"/>
  <c r="L9241" i="2"/>
  <c r="E9241" i="2"/>
  <c r="D9241" i="2"/>
  <c r="B9241" i="2"/>
  <c r="A9241" i="2"/>
  <c r="O9240" i="2"/>
  <c r="O9239" i="2"/>
  <c r="M9239" i="2"/>
  <c r="L9239" i="2"/>
  <c r="E9239" i="2"/>
  <c r="D9239" i="2"/>
  <c r="B9239" i="2"/>
  <c r="A9239" i="2"/>
  <c r="O9238" i="2"/>
  <c r="O9237" i="2"/>
  <c r="O9236" i="2"/>
  <c r="M9236" i="2"/>
  <c r="L9236" i="2"/>
  <c r="E9236" i="2"/>
  <c r="D9236" i="2"/>
  <c r="B9236" i="2"/>
  <c r="A9236" i="2"/>
  <c r="O9235" i="2"/>
  <c r="M9235" i="2"/>
  <c r="L9235" i="2"/>
  <c r="E9235" i="2"/>
  <c r="D9235" i="2"/>
  <c r="B9235" i="2"/>
  <c r="A9235" i="2"/>
  <c r="O9234" i="2"/>
  <c r="O9233" i="2"/>
  <c r="M9233" i="2"/>
  <c r="L9233" i="2"/>
  <c r="E9233" i="2"/>
  <c r="D9233" i="2"/>
  <c r="B9233" i="2"/>
  <c r="A9233" i="2"/>
  <c r="O9232" i="2"/>
  <c r="M9232" i="2"/>
  <c r="L9232" i="2"/>
  <c r="E9232" i="2"/>
  <c r="D9232" i="2"/>
  <c r="B9232" i="2"/>
  <c r="A9232" i="2"/>
  <c r="O9231" i="2"/>
  <c r="O9230" i="2"/>
  <c r="O9229" i="2"/>
  <c r="O9228" i="2"/>
  <c r="M9228" i="2"/>
  <c r="L9228" i="2"/>
  <c r="E9228" i="2"/>
  <c r="D9228" i="2"/>
  <c r="B9228" i="2"/>
  <c r="A9228" i="2"/>
  <c r="O9227" i="2"/>
  <c r="O9226" i="2"/>
  <c r="O9225" i="2"/>
  <c r="O9224" i="2"/>
  <c r="M9224" i="2"/>
  <c r="L9224" i="2"/>
  <c r="E9224" i="2"/>
  <c r="D9224" i="2"/>
  <c r="B9224" i="2"/>
  <c r="A9224" i="2"/>
  <c r="O9223" i="2"/>
  <c r="O9222" i="2"/>
  <c r="M9222" i="2"/>
  <c r="L9222" i="2"/>
  <c r="E9222" i="2"/>
  <c r="D9222" i="2"/>
  <c r="B9222" i="2"/>
  <c r="A9222" i="2"/>
  <c r="O9221" i="2"/>
  <c r="M9221" i="2"/>
  <c r="L9221" i="2"/>
  <c r="E9221" i="2"/>
  <c r="D9221" i="2"/>
  <c r="B9221" i="2"/>
  <c r="A9221" i="2"/>
  <c r="O9220" i="2"/>
  <c r="M9220" i="2"/>
  <c r="L9220" i="2"/>
  <c r="E9220" i="2"/>
  <c r="D9220" i="2"/>
  <c r="B9220" i="2"/>
  <c r="A9220" i="2"/>
  <c r="O9219" i="2"/>
  <c r="M9219" i="2"/>
  <c r="L9219" i="2"/>
  <c r="E9219" i="2"/>
  <c r="D9219" i="2"/>
  <c r="B9219" i="2"/>
  <c r="A9219" i="2"/>
  <c r="O9218" i="2"/>
  <c r="O9217" i="2"/>
  <c r="O9216" i="2"/>
  <c r="O9215" i="2"/>
  <c r="O9214" i="2"/>
  <c r="M9214" i="2"/>
  <c r="L9214" i="2"/>
  <c r="E9214" i="2"/>
  <c r="D9214" i="2"/>
  <c r="B9214" i="2"/>
  <c r="A9214" i="2"/>
  <c r="O9213" i="2"/>
  <c r="O9212" i="2"/>
  <c r="O9211" i="2"/>
  <c r="O9210" i="2"/>
  <c r="M9210" i="2"/>
  <c r="L9210" i="2"/>
  <c r="E9210" i="2"/>
  <c r="D9210" i="2"/>
  <c r="B9210" i="2"/>
  <c r="A9210" i="2"/>
  <c r="O9209" i="2"/>
  <c r="O9208" i="2"/>
  <c r="O9207" i="2"/>
  <c r="M9207" i="2"/>
  <c r="L9207" i="2"/>
  <c r="E9207" i="2"/>
  <c r="D9207" i="2"/>
  <c r="B9207" i="2"/>
  <c r="A9207" i="2"/>
  <c r="O9206" i="2"/>
  <c r="O9205" i="2"/>
  <c r="M9205" i="2"/>
  <c r="L9205" i="2"/>
  <c r="E9205" i="2"/>
  <c r="D9205" i="2"/>
  <c r="B9205" i="2"/>
  <c r="A9205" i="2"/>
  <c r="O9204" i="2"/>
  <c r="O9203" i="2"/>
  <c r="M9203" i="2"/>
  <c r="L9203" i="2"/>
  <c r="E9203" i="2"/>
  <c r="D9203" i="2"/>
  <c r="B9203" i="2"/>
  <c r="A9203" i="2"/>
  <c r="O9202" i="2"/>
  <c r="M9202" i="2"/>
  <c r="L9202" i="2"/>
  <c r="E9202" i="2"/>
  <c r="D9202" i="2"/>
  <c r="B9202" i="2"/>
  <c r="A9202" i="2"/>
  <c r="O9201" i="2"/>
  <c r="O9200" i="2"/>
  <c r="O9199" i="2"/>
  <c r="M9199" i="2"/>
  <c r="L9199" i="2"/>
  <c r="E9199" i="2"/>
  <c r="D9199" i="2"/>
  <c r="B9199" i="2"/>
  <c r="A9199" i="2"/>
  <c r="O9198" i="2"/>
  <c r="M9198" i="2"/>
  <c r="L9198" i="2"/>
  <c r="E9198" i="2"/>
  <c r="D9198" i="2"/>
  <c r="B9198" i="2"/>
  <c r="A9198" i="2"/>
  <c r="O9197" i="2"/>
  <c r="M9197" i="2"/>
  <c r="L9197" i="2"/>
  <c r="E9197" i="2"/>
  <c r="D9197" i="2"/>
  <c r="B9197" i="2"/>
  <c r="A9197" i="2"/>
  <c r="O9196" i="2"/>
  <c r="O9195" i="2"/>
  <c r="O9194" i="2"/>
  <c r="M9194" i="2"/>
  <c r="L9194" i="2"/>
  <c r="E9194" i="2"/>
  <c r="D9194" i="2"/>
  <c r="B9194" i="2"/>
  <c r="A9194" i="2"/>
  <c r="O9193" i="2"/>
  <c r="M9193" i="2"/>
  <c r="L9193" i="2"/>
  <c r="E9193" i="2"/>
  <c r="D9193" i="2"/>
  <c r="B9193" i="2"/>
  <c r="A9193" i="2"/>
  <c r="O9192" i="2"/>
  <c r="O9191" i="2"/>
  <c r="M9191" i="2"/>
  <c r="L9191" i="2"/>
  <c r="E9191" i="2"/>
  <c r="D9191" i="2"/>
  <c r="B9191" i="2"/>
  <c r="A9191" i="2"/>
  <c r="O9190" i="2"/>
  <c r="M9190" i="2"/>
  <c r="L9190" i="2"/>
  <c r="E9190" i="2"/>
  <c r="D9190" i="2"/>
  <c r="B9190" i="2"/>
  <c r="A9190" i="2"/>
  <c r="O9189" i="2"/>
  <c r="M9189" i="2"/>
  <c r="L9189" i="2"/>
  <c r="E9189" i="2"/>
  <c r="D9189" i="2"/>
  <c r="B9189" i="2"/>
  <c r="A9189" i="2"/>
  <c r="O9188" i="2"/>
  <c r="O9187" i="2"/>
  <c r="O9186" i="2"/>
  <c r="M9186" i="2"/>
  <c r="L9186" i="2"/>
  <c r="E9186" i="2"/>
  <c r="D9186" i="2"/>
  <c r="B9186" i="2"/>
  <c r="A9186" i="2"/>
  <c r="O9185" i="2"/>
  <c r="M9185" i="2"/>
  <c r="L9185" i="2"/>
  <c r="E9185" i="2"/>
  <c r="D9185" i="2"/>
  <c r="B9185" i="2"/>
  <c r="A9185" i="2"/>
  <c r="O9184" i="2"/>
  <c r="O9183" i="2"/>
  <c r="M9183" i="2"/>
  <c r="L9183" i="2"/>
  <c r="E9183" i="2"/>
  <c r="D9183" i="2"/>
  <c r="B9183" i="2"/>
  <c r="A9183" i="2"/>
  <c r="O9182" i="2"/>
  <c r="O9181" i="2"/>
  <c r="M9181" i="2"/>
  <c r="L9181" i="2"/>
  <c r="E9181" i="2"/>
  <c r="D9181" i="2"/>
  <c r="B9181" i="2"/>
  <c r="A9181" i="2"/>
  <c r="O9180" i="2"/>
  <c r="M9180" i="2"/>
  <c r="L9180" i="2"/>
  <c r="E9180" i="2"/>
  <c r="D9180" i="2"/>
  <c r="B9180" i="2"/>
  <c r="A9180" i="2"/>
  <c r="O9179" i="2"/>
  <c r="O9178" i="2"/>
  <c r="O9177" i="2"/>
  <c r="M9177" i="2"/>
  <c r="L9177" i="2"/>
  <c r="E9177" i="2"/>
  <c r="D9177" i="2"/>
  <c r="B9177" i="2"/>
  <c r="A9177" i="2"/>
  <c r="O9176" i="2"/>
  <c r="O9175" i="2"/>
  <c r="M9175" i="2"/>
  <c r="L9175" i="2"/>
  <c r="E9175" i="2"/>
  <c r="D9175" i="2"/>
  <c r="B9175" i="2"/>
  <c r="A9175" i="2"/>
  <c r="O9174" i="2"/>
  <c r="M9174" i="2"/>
  <c r="L9174" i="2"/>
  <c r="E9174" i="2"/>
  <c r="D9174" i="2"/>
  <c r="B9174" i="2"/>
  <c r="A9174" i="2"/>
  <c r="O9173" i="2"/>
  <c r="O9172" i="2"/>
  <c r="O9171" i="2"/>
  <c r="M9171" i="2"/>
  <c r="L9171" i="2"/>
  <c r="E9171" i="2"/>
  <c r="D9171" i="2"/>
  <c r="B9171" i="2"/>
  <c r="A9171" i="2"/>
  <c r="O9170" i="2"/>
  <c r="O9169" i="2"/>
  <c r="O9168" i="2"/>
  <c r="O9167" i="2"/>
  <c r="O9166" i="2"/>
  <c r="M9166" i="2"/>
  <c r="L9166" i="2"/>
  <c r="E9166" i="2"/>
  <c r="D9166" i="2"/>
  <c r="B9166" i="2"/>
  <c r="A9166" i="2"/>
  <c r="O9165" i="2"/>
  <c r="O9164" i="2"/>
  <c r="O9163" i="2"/>
  <c r="M9163" i="2"/>
  <c r="L9163" i="2"/>
  <c r="E9163" i="2"/>
  <c r="D9163" i="2"/>
  <c r="B9163" i="2"/>
  <c r="A9163" i="2"/>
  <c r="O9162" i="2"/>
  <c r="M9162" i="2"/>
  <c r="L9162" i="2"/>
  <c r="E9162" i="2"/>
  <c r="D9162" i="2"/>
  <c r="B9162" i="2"/>
  <c r="A9162" i="2"/>
  <c r="O9161" i="2"/>
  <c r="M9161" i="2"/>
  <c r="L9161" i="2"/>
  <c r="E9161" i="2"/>
  <c r="D9161" i="2"/>
  <c r="B9161" i="2"/>
  <c r="A9161" i="2"/>
  <c r="O9160" i="2"/>
  <c r="M9160" i="2"/>
  <c r="L9160" i="2"/>
  <c r="E9160" i="2"/>
  <c r="D9160" i="2"/>
  <c r="B9160" i="2"/>
  <c r="A9160" i="2"/>
  <c r="O9159" i="2"/>
  <c r="M9159" i="2"/>
  <c r="L9159" i="2"/>
  <c r="E9159" i="2"/>
  <c r="D9159" i="2"/>
  <c r="B9159" i="2"/>
  <c r="A9159" i="2"/>
  <c r="O9158" i="2"/>
  <c r="O9157" i="2"/>
  <c r="O9156" i="2"/>
  <c r="M9156" i="2"/>
  <c r="L9156" i="2"/>
  <c r="E9156" i="2"/>
  <c r="D9156" i="2"/>
  <c r="B9156" i="2"/>
  <c r="A9156" i="2"/>
  <c r="O9155" i="2"/>
  <c r="M9155" i="2"/>
  <c r="L9155" i="2"/>
  <c r="E9155" i="2"/>
  <c r="D9155" i="2"/>
  <c r="B9155" i="2"/>
  <c r="A9155" i="2"/>
  <c r="O9154" i="2"/>
  <c r="O9153" i="2"/>
  <c r="M9153" i="2"/>
  <c r="L9153" i="2"/>
  <c r="E9153" i="2"/>
  <c r="D9153" i="2"/>
  <c r="B9153" i="2"/>
  <c r="A9153" i="2"/>
  <c r="O9152" i="2"/>
  <c r="M9152" i="2"/>
  <c r="L9152" i="2"/>
  <c r="E9152" i="2"/>
  <c r="D9152" i="2"/>
  <c r="B9152" i="2"/>
  <c r="A9152" i="2"/>
  <c r="O9151" i="2"/>
  <c r="M9151" i="2"/>
  <c r="L9151" i="2"/>
  <c r="E9151" i="2"/>
  <c r="D9151" i="2"/>
  <c r="B9151" i="2"/>
  <c r="A9151" i="2"/>
  <c r="O9150" i="2"/>
  <c r="M9150" i="2"/>
  <c r="L9150" i="2"/>
  <c r="E9150" i="2"/>
  <c r="D9150" i="2"/>
  <c r="B9150" i="2"/>
  <c r="A9150" i="2"/>
  <c r="O9149" i="2"/>
  <c r="O9148" i="2"/>
  <c r="M9148" i="2"/>
  <c r="L9148" i="2"/>
  <c r="E9148" i="2"/>
  <c r="D9148" i="2"/>
  <c r="B9148" i="2"/>
  <c r="A9148" i="2"/>
  <c r="O9147" i="2"/>
  <c r="M9147" i="2"/>
  <c r="L9147" i="2"/>
  <c r="E9147" i="2"/>
  <c r="D9147" i="2"/>
  <c r="B9147" i="2"/>
  <c r="A9147" i="2"/>
  <c r="O9146" i="2"/>
  <c r="M9146" i="2"/>
  <c r="L9146" i="2"/>
  <c r="E9146" i="2"/>
  <c r="D9146" i="2"/>
  <c r="B9146" i="2"/>
  <c r="A9146" i="2"/>
  <c r="O9145" i="2"/>
  <c r="O9144" i="2"/>
  <c r="M9144" i="2"/>
  <c r="L9144" i="2"/>
  <c r="E9144" i="2"/>
  <c r="D9144" i="2"/>
  <c r="B9144" i="2"/>
  <c r="A9144" i="2"/>
  <c r="O9143" i="2"/>
  <c r="M9143" i="2"/>
  <c r="L9143" i="2"/>
  <c r="E9143" i="2"/>
  <c r="D9143" i="2"/>
  <c r="B9143" i="2"/>
  <c r="A9143" i="2"/>
  <c r="O9142" i="2"/>
  <c r="M9142" i="2"/>
  <c r="L9142" i="2"/>
  <c r="E9142" i="2"/>
  <c r="D9142" i="2"/>
  <c r="B9142" i="2"/>
  <c r="A9142" i="2"/>
  <c r="O9141" i="2"/>
  <c r="M9141" i="2"/>
  <c r="L9141" i="2"/>
  <c r="E9141" i="2"/>
  <c r="D9141" i="2"/>
  <c r="B9141" i="2"/>
  <c r="A9141" i="2"/>
  <c r="O9140" i="2"/>
  <c r="M9140" i="2"/>
  <c r="L9140" i="2"/>
  <c r="E9140" i="2"/>
  <c r="D9140" i="2"/>
  <c r="B9140" i="2"/>
  <c r="A9140" i="2"/>
  <c r="O9139" i="2"/>
  <c r="M9139" i="2"/>
  <c r="L9139" i="2"/>
  <c r="E9139" i="2"/>
  <c r="D9139" i="2"/>
  <c r="B9139" i="2"/>
  <c r="A9139" i="2"/>
  <c r="O9138" i="2"/>
  <c r="M9138" i="2"/>
  <c r="L9138" i="2"/>
  <c r="E9138" i="2"/>
  <c r="D9138" i="2"/>
  <c r="B9138" i="2"/>
  <c r="A9138" i="2"/>
  <c r="O9137" i="2"/>
  <c r="O9136" i="2"/>
  <c r="O9135" i="2"/>
  <c r="M9135" i="2"/>
  <c r="L9135" i="2"/>
  <c r="E9135" i="2"/>
  <c r="D9135" i="2"/>
  <c r="B9135" i="2"/>
  <c r="A9135" i="2"/>
  <c r="O9134" i="2"/>
  <c r="M9134" i="2"/>
  <c r="L9134" i="2"/>
  <c r="E9134" i="2"/>
  <c r="D9134" i="2"/>
  <c r="B9134" i="2"/>
  <c r="A9134" i="2"/>
  <c r="O9133" i="2"/>
  <c r="O9132" i="2"/>
  <c r="M9132" i="2"/>
  <c r="L9132" i="2"/>
  <c r="E9132" i="2"/>
  <c r="D9132" i="2"/>
  <c r="B9132" i="2"/>
  <c r="A9132" i="2"/>
  <c r="O9131" i="2"/>
  <c r="M9131" i="2"/>
  <c r="L9131" i="2"/>
  <c r="E9131" i="2"/>
  <c r="D9131" i="2"/>
  <c r="B9131" i="2"/>
  <c r="A9131" i="2"/>
  <c r="O9130" i="2"/>
  <c r="O9129" i="2"/>
  <c r="O9128" i="2"/>
  <c r="M9128" i="2"/>
  <c r="L9128" i="2"/>
  <c r="E9128" i="2"/>
  <c r="D9128" i="2"/>
  <c r="B9128" i="2"/>
  <c r="A9128" i="2"/>
  <c r="O9127" i="2"/>
  <c r="O9126" i="2"/>
  <c r="M9126" i="2"/>
  <c r="L9126" i="2"/>
  <c r="E9126" i="2"/>
  <c r="D9126" i="2"/>
  <c r="B9126" i="2"/>
  <c r="A9126" i="2"/>
  <c r="O9125" i="2"/>
  <c r="O9124" i="2"/>
  <c r="M9124" i="2"/>
  <c r="L9124" i="2"/>
  <c r="E9124" i="2"/>
  <c r="D9124" i="2"/>
  <c r="B9124" i="2"/>
  <c r="A9124" i="2"/>
  <c r="O9123" i="2"/>
  <c r="M9123" i="2"/>
  <c r="L9123" i="2"/>
  <c r="E9123" i="2"/>
  <c r="D9123" i="2"/>
  <c r="B9123" i="2"/>
  <c r="A9123" i="2"/>
  <c r="O9122" i="2"/>
  <c r="O9121" i="2"/>
  <c r="O9120" i="2"/>
  <c r="M9120" i="2"/>
  <c r="L9120" i="2"/>
  <c r="E9120" i="2"/>
  <c r="D9120" i="2"/>
  <c r="B9120" i="2"/>
  <c r="A9120" i="2"/>
  <c r="O9119" i="2"/>
  <c r="M9119" i="2"/>
  <c r="L9119" i="2"/>
  <c r="E9119" i="2"/>
  <c r="D9119" i="2"/>
  <c r="B9119" i="2"/>
  <c r="A9119" i="2"/>
  <c r="O9118" i="2"/>
  <c r="M9118" i="2"/>
  <c r="L9118" i="2"/>
  <c r="E9118" i="2"/>
  <c r="D9118" i="2"/>
  <c r="B9118" i="2"/>
  <c r="A9118" i="2"/>
  <c r="O9117" i="2"/>
  <c r="O9116" i="2"/>
  <c r="M9116" i="2"/>
  <c r="L9116" i="2"/>
  <c r="E9116" i="2"/>
  <c r="D9116" i="2"/>
  <c r="B9116" i="2"/>
  <c r="A9116" i="2"/>
  <c r="O9115" i="2"/>
  <c r="O9114" i="2"/>
  <c r="M9114" i="2"/>
  <c r="L9114" i="2"/>
  <c r="E9114" i="2"/>
  <c r="D9114" i="2"/>
  <c r="B9114" i="2"/>
  <c r="A9114" i="2"/>
  <c r="O9113" i="2"/>
  <c r="M9113" i="2"/>
  <c r="L9113" i="2"/>
  <c r="E9113" i="2"/>
  <c r="D9113" i="2"/>
  <c r="B9113" i="2"/>
  <c r="A9113" i="2"/>
  <c r="O9112" i="2"/>
  <c r="M9112" i="2"/>
  <c r="L9112" i="2"/>
  <c r="E9112" i="2"/>
  <c r="D9112" i="2"/>
  <c r="B9112" i="2"/>
  <c r="A9112" i="2"/>
  <c r="O9111" i="2"/>
  <c r="M9111" i="2"/>
  <c r="L9111" i="2"/>
  <c r="E9111" i="2"/>
  <c r="D9111" i="2"/>
  <c r="B9111" i="2"/>
  <c r="A9111" i="2"/>
  <c r="O9110" i="2"/>
  <c r="O9109" i="2"/>
  <c r="O9108" i="2"/>
  <c r="M9108" i="2"/>
  <c r="L9108" i="2"/>
  <c r="E9108" i="2"/>
  <c r="D9108" i="2"/>
  <c r="B9108" i="2"/>
  <c r="A9108" i="2"/>
  <c r="O9107" i="2"/>
  <c r="M9107" i="2"/>
  <c r="L9107" i="2"/>
  <c r="E9107" i="2"/>
  <c r="D9107" i="2"/>
  <c r="B9107" i="2"/>
  <c r="A9107" i="2"/>
  <c r="O9106" i="2"/>
  <c r="M9106" i="2"/>
  <c r="L9106" i="2"/>
  <c r="E9106" i="2"/>
  <c r="D9106" i="2"/>
  <c r="B9106" i="2"/>
  <c r="A9106" i="2"/>
  <c r="O9105" i="2"/>
  <c r="O9104" i="2"/>
  <c r="M9104" i="2"/>
  <c r="L9104" i="2"/>
  <c r="E9104" i="2"/>
  <c r="D9104" i="2"/>
  <c r="B9104" i="2"/>
  <c r="A9104" i="2"/>
  <c r="O9103" i="2"/>
  <c r="M9103" i="2"/>
  <c r="L9103" i="2"/>
  <c r="E9103" i="2"/>
  <c r="D9103" i="2"/>
  <c r="B9103" i="2"/>
  <c r="A9103" i="2"/>
  <c r="O9102" i="2"/>
  <c r="O9101" i="2"/>
  <c r="O9100" i="2"/>
  <c r="M9100" i="2"/>
  <c r="L9100" i="2"/>
  <c r="E9100" i="2"/>
  <c r="D9100" i="2"/>
  <c r="B9100" i="2"/>
  <c r="A9100" i="2"/>
  <c r="O9099" i="2"/>
  <c r="M9099" i="2"/>
  <c r="L9099" i="2"/>
  <c r="E9099" i="2"/>
  <c r="D9099" i="2"/>
  <c r="B9099" i="2"/>
  <c r="A9099" i="2"/>
  <c r="O9098" i="2"/>
  <c r="M9098" i="2"/>
  <c r="L9098" i="2"/>
  <c r="E9098" i="2"/>
  <c r="D9098" i="2"/>
  <c r="B9098" i="2"/>
  <c r="A9098" i="2"/>
  <c r="O9097" i="2"/>
  <c r="M9097" i="2"/>
  <c r="L9097" i="2"/>
  <c r="E9097" i="2"/>
  <c r="D9097" i="2"/>
  <c r="B9097" i="2"/>
  <c r="A9097" i="2"/>
  <c r="O9096" i="2"/>
  <c r="M9096" i="2"/>
  <c r="L9096" i="2"/>
  <c r="E9096" i="2"/>
  <c r="D9096" i="2"/>
  <c r="B9096" i="2"/>
  <c r="A9096" i="2"/>
  <c r="O9095" i="2"/>
  <c r="O9094" i="2"/>
  <c r="M9094" i="2"/>
  <c r="L9094" i="2"/>
  <c r="E9094" i="2"/>
  <c r="D9094" i="2"/>
  <c r="B9094" i="2"/>
  <c r="A9094" i="2"/>
  <c r="O9093" i="2"/>
  <c r="O9092" i="2"/>
  <c r="O9091" i="2"/>
  <c r="O9090" i="2"/>
  <c r="O9089" i="2"/>
  <c r="M9089" i="2"/>
  <c r="L9089" i="2"/>
  <c r="E9089" i="2"/>
  <c r="D9089" i="2"/>
  <c r="B9089" i="2"/>
  <c r="A9089" i="2"/>
  <c r="O9088" i="2"/>
  <c r="M9088" i="2"/>
  <c r="L9088" i="2"/>
  <c r="E9088" i="2"/>
  <c r="D9088" i="2"/>
  <c r="B9088" i="2"/>
  <c r="A9088" i="2"/>
  <c r="O9087" i="2"/>
  <c r="O9086" i="2"/>
  <c r="M9086" i="2"/>
  <c r="L9086" i="2"/>
  <c r="E9086" i="2"/>
  <c r="D9086" i="2"/>
  <c r="B9086" i="2"/>
  <c r="A9086" i="2"/>
  <c r="O9085" i="2"/>
  <c r="O9084" i="2"/>
  <c r="M9084" i="2"/>
  <c r="L9084" i="2"/>
  <c r="E9084" i="2"/>
  <c r="D9084" i="2"/>
  <c r="B9084" i="2"/>
  <c r="A9084" i="2"/>
  <c r="O9083" i="2"/>
  <c r="M9083" i="2"/>
  <c r="L9083" i="2"/>
  <c r="E9083" i="2"/>
  <c r="D9083" i="2"/>
  <c r="B9083" i="2"/>
  <c r="A9083" i="2"/>
  <c r="O9082" i="2"/>
  <c r="M9082" i="2"/>
  <c r="L9082" i="2"/>
  <c r="E9082" i="2"/>
  <c r="D9082" i="2"/>
  <c r="B9082" i="2"/>
  <c r="A9082" i="2"/>
  <c r="O9081" i="2"/>
  <c r="M9081" i="2"/>
  <c r="L9081" i="2"/>
  <c r="E9081" i="2"/>
  <c r="D9081" i="2"/>
  <c r="B9081" i="2"/>
  <c r="A9081" i="2"/>
  <c r="O9080" i="2"/>
  <c r="O9079" i="2"/>
  <c r="O9078" i="2"/>
  <c r="O9077" i="2"/>
  <c r="O9076" i="2"/>
  <c r="O9075" i="2"/>
  <c r="O9074" i="2"/>
  <c r="O9073" i="2"/>
  <c r="M9073" i="2"/>
  <c r="L9073" i="2"/>
  <c r="E9073" i="2"/>
  <c r="D9073" i="2"/>
  <c r="B9073" i="2"/>
  <c r="A9073" i="2"/>
  <c r="O9072" i="2"/>
  <c r="O9071" i="2"/>
  <c r="M9071" i="2"/>
  <c r="L9071" i="2"/>
  <c r="E9071" i="2"/>
  <c r="D9071" i="2"/>
  <c r="B9071" i="2"/>
  <c r="A9071" i="2"/>
  <c r="O9070" i="2"/>
  <c r="O9069" i="2"/>
  <c r="M9069" i="2"/>
  <c r="L9069" i="2"/>
  <c r="E9069" i="2"/>
  <c r="D9069" i="2"/>
  <c r="B9069" i="2"/>
  <c r="A9069" i="2"/>
  <c r="O9068" i="2"/>
  <c r="M9068" i="2"/>
  <c r="L9068" i="2"/>
  <c r="E9068" i="2"/>
  <c r="D9068" i="2"/>
  <c r="B9068" i="2"/>
  <c r="A9068" i="2"/>
  <c r="O9067" i="2"/>
  <c r="O9066" i="2"/>
  <c r="M9066" i="2"/>
  <c r="L9066" i="2"/>
  <c r="E9066" i="2"/>
  <c r="D9066" i="2"/>
  <c r="B9066" i="2"/>
  <c r="A9066" i="2"/>
  <c r="O9065" i="2"/>
  <c r="O9064" i="2"/>
  <c r="M9064" i="2"/>
  <c r="L9064" i="2"/>
  <c r="E9064" i="2"/>
  <c r="D9064" i="2"/>
  <c r="B9064" i="2"/>
  <c r="A9064" i="2"/>
  <c r="O9063" i="2"/>
  <c r="M9063" i="2"/>
  <c r="L9063" i="2"/>
  <c r="E9063" i="2"/>
  <c r="D9063" i="2"/>
  <c r="B9063" i="2"/>
  <c r="A9063" i="2"/>
  <c r="O9062" i="2"/>
  <c r="M9062" i="2"/>
  <c r="L9062" i="2"/>
  <c r="E9062" i="2"/>
  <c r="D9062" i="2"/>
  <c r="B9062" i="2"/>
  <c r="A9062" i="2"/>
  <c r="O9061" i="2"/>
  <c r="M9061" i="2"/>
  <c r="L9061" i="2"/>
  <c r="E9061" i="2"/>
  <c r="D9061" i="2"/>
  <c r="B9061" i="2"/>
  <c r="A9061" i="2"/>
  <c r="O9060" i="2"/>
  <c r="O9059" i="2"/>
  <c r="O9058" i="2"/>
  <c r="M9058" i="2"/>
  <c r="L9058" i="2"/>
  <c r="E9058" i="2"/>
  <c r="D9058" i="2"/>
  <c r="B9058" i="2"/>
  <c r="A9058" i="2"/>
  <c r="O9057" i="2"/>
  <c r="O9056" i="2"/>
  <c r="O9055" i="2"/>
  <c r="O9054" i="2"/>
  <c r="M9054" i="2"/>
  <c r="L9054" i="2"/>
  <c r="E9054" i="2"/>
  <c r="D9054" i="2"/>
  <c r="B9054" i="2"/>
  <c r="A9054" i="2"/>
  <c r="O9053" i="2"/>
  <c r="M9053" i="2"/>
  <c r="L9053" i="2"/>
  <c r="E9053" i="2"/>
  <c r="D9053" i="2"/>
  <c r="B9053" i="2"/>
  <c r="A9053" i="2"/>
  <c r="O9052" i="2"/>
  <c r="M9052" i="2"/>
  <c r="L9052" i="2"/>
  <c r="E9052" i="2"/>
  <c r="D9052" i="2"/>
  <c r="B9052" i="2"/>
  <c r="A9052" i="2"/>
  <c r="O9051" i="2"/>
  <c r="M9051" i="2"/>
  <c r="L9051" i="2"/>
  <c r="E9051" i="2"/>
  <c r="D9051" i="2"/>
  <c r="B9051" i="2"/>
  <c r="A9051" i="2"/>
  <c r="O9050" i="2"/>
  <c r="M9050" i="2"/>
  <c r="L9050" i="2"/>
  <c r="E9050" i="2"/>
  <c r="D9050" i="2"/>
  <c r="B9050" i="2"/>
  <c r="A9050" i="2"/>
  <c r="O9049" i="2"/>
  <c r="M9049" i="2"/>
  <c r="L9049" i="2"/>
  <c r="E9049" i="2"/>
  <c r="D9049" i="2"/>
  <c r="B9049" i="2"/>
  <c r="A9049" i="2"/>
  <c r="O9048" i="2"/>
  <c r="M9048" i="2"/>
  <c r="L9048" i="2"/>
  <c r="E9048" i="2"/>
  <c r="D9048" i="2"/>
  <c r="B9048" i="2"/>
  <c r="A9048" i="2"/>
  <c r="O9047" i="2"/>
  <c r="O9046" i="2"/>
  <c r="M9046" i="2"/>
  <c r="L9046" i="2"/>
  <c r="E9046" i="2"/>
  <c r="D9046" i="2"/>
  <c r="B9046" i="2"/>
  <c r="A9046" i="2"/>
  <c r="O9045" i="2"/>
  <c r="M9045" i="2"/>
  <c r="L9045" i="2"/>
  <c r="E9045" i="2"/>
  <c r="D9045" i="2"/>
  <c r="B9045" i="2"/>
  <c r="A9045" i="2"/>
  <c r="O9044" i="2"/>
  <c r="M9044" i="2"/>
  <c r="L9044" i="2"/>
  <c r="E9044" i="2"/>
  <c r="D9044" i="2"/>
  <c r="B9044" i="2"/>
  <c r="A9044" i="2"/>
  <c r="O9043" i="2"/>
  <c r="O9042" i="2"/>
  <c r="M9042" i="2"/>
  <c r="L9042" i="2"/>
  <c r="E9042" i="2"/>
  <c r="D9042" i="2"/>
  <c r="B9042" i="2"/>
  <c r="A9042" i="2"/>
  <c r="O9041" i="2"/>
  <c r="M9041" i="2"/>
  <c r="L9041" i="2"/>
  <c r="E9041" i="2"/>
  <c r="D9041" i="2"/>
  <c r="B9041" i="2"/>
  <c r="A9041" i="2"/>
  <c r="O9040" i="2"/>
  <c r="M9040" i="2"/>
  <c r="L9040" i="2"/>
  <c r="E9040" i="2"/>
  <c r="D9040" i="2"/>
  <c r="B9040" i="2"/>
  <c r="A9040" i="2"/>
  <c r="O9039" i="2"/>
  <c r="O9038" i="2"/>
  <c r="O9037" i="2"/>
  <c r="O9036" i="2"/>
  <c r="M9036" i="2"/>
  <c r="L9036" i="2"/>
  <c r="E9036" i="2"/>
  <c r="D9036" i="2"/>
  <c r="B9036" i="2"/>
  <c r="A9036" i="2"/>
  <c r="O9035" i="2"/>
  <c r="M9035" i="2"/>
  <c r="L9035" i="2"/>
  <c r="E9035" i="2"/>
  <c r="D9035" i="2"/>
  <c r="B9035" i="2"/>
  <c r="A9035" i="2"/>
  <c r="O9034" i="2"/>
  <c r="M9034" i="2"/>
  <c r="L9034" i="2"/>
  <c r="E9034" i="2"/>
  <c r="D9034" i="2"/>
  <c r="B9034" i="2"/>
  <c r="A9034" i="2"/>
  <c r="O9033" i="2"/>
  <c r="M9033" i="2"/>
  <c r="L9033" i="2"/>
  <c r="E9033" i="2"/>
  <c r="D9033" i="2"/>
  <c r="B9033" i="2"/>
  <c r="A9033" i="2"/>
  <c r="O9032" i="2"/>
  <c r="M9032" i="2"/>
  <c r="L9032" i="2"/>
  <c r="E9032" i="2"/>
  <c r="D9032" i="2"/>
  <c r="B9032" i="2"/>
  <c r="A9032" i="2"/>
  <c r="O9031" i="2"/>
  <c r="O9030" i="2"/>
  <c r="M9030" i="2"/>
  <c r="L9030" i="2"/>
  <c r="E9030" i="2"/>
  <c r="D9030" i="2"/>
  <c r="B9030" i="2"/>
  <c r="A9030" i="2"/>
  <c r="O9029" i="2"/>
  <c r="M9029" i="2"/>
  <c r="L9029" i="2"/>
  <c r="E9029" i="2"/>
  <c r="D9029" i="2"/>
  <c r="B9029" i="2"/>
  <c r="A9029" i="2"/>
  <c r="O9028" i="2"/>
  <c r="O9027" i="2"/>
  <c r="M9027" i="2"/>
  <c r="L9027" i="2"/>
  <c r="E9027" i="2"/>
  <c r="D9027" i="2"/>
  <c r="B9027" i="2"/>
  <c r="A9027" i="2"/>
  <c r="O9026" i="2"/>
  <c r="M9026" i="2"/>
  <c r="L9026" i="2"/>
  <c r="E9026" i="2"/>
  <c r="D9026" i="2"/>
  <c r="B9026" i="2"/>
  <c r="A9026" i="2"/>
  <c r="O9025" i="2"/>
  <c r="O9024" i="2"/>
  <c r="M9024" i="2"/>
  <c r="L9024" i="2"/>
  <c r="E9024" i="2"/>
  <c r="D9024" i="2"/>
  <c r="B9024" i="2"/>
  <c r="A9024" i="2"/>
  <c r="O9023" i="2"/>
  <c r="M9023" i="2"/>
  <c r="L9023" i="2"/>
  <c r="E9023" i="2"/>
  <c r="D9023" i="2"/>
  <c r="B9023" i="2"/>
  <c r="A9023" i="2"/>
  <c r="O9022" i="2"/>
  <c r="M9022" i="2"/>
  <c r="L9022" i="2"/>
  <c r="E9022" i="2"/>
  <c r="D9022" i="2"/>
  <c r="B9022" i="2"/>
  <c r="A9022" i="2"/>
  <c r="O9021" i="2"/>
  <c r="O9020" i="2"/>
  <c r="O9019" i="2"/>
  <c r="O9018" i="2"/>
  <c r="O9017" i="2"/>
  <c r="O9016" i="2"/>
  <c r="M9016" i="2"/>
  <c r="L9016" i="2"/>
  <c r="E9016" i="2"/>
  <c r="D9016" i="2"/>
  <c r="B9016" i="2"/>
  <c r="A9016" i="2"/>
  <c r="O9015" i="2"/>
  <c r="O9014" i="2"/>
  <c r="M9014" i="2"/>
  <c r="L9014" i="2"/>
  <c r="E9014" i="2"/>
  <c r="D9014" i="2"/>
  <c r="B9014" i="2"/>
  <c r="A9014" i="2"/>
  <c r="O9013" i="2"/>
  <c r="M9013" i="2"/>
  <c r="L9013" i="2"/>
  <c r="E9013" i="2"/>
  <c r="D9013" i="2"/>
  <c r="B9013" i="2"/>
  <c r="A9013" i="2"/>
  <c r="O9012" i="2"/>
  <c r="O9011" i="2"/>
  <c r="O9010" i="2"/>
  <c r="O9009" i="2"/>
  <c r="M9009" i="2"/>
  <c r="L9009" i="2"/>
  <c r="E9009" i="2"/>
  <c r="D9009" i="2"/>
  <c r="B9009" i="2"/>
  <c r="A9009" i="2"/>
  <c r="O9008" i="2"/>
  <c r="O9007" i="2"/>
  <c r="M9007" i="2"/>
  <c r="L9007" i="2"/>
  <c r="E9007" i="2"/>
  <c r="D9007" i="2"/>
  <c r="B9007" i="2"/>
  <c r="A9007" i="2"/>
  <c r="O9006" i="2"/>
  <c r="M9006" i="2"/>
  <c r="L9006" i="2"/>
  <c r="E9006" i="2"/>
  <c r="D9006" i="2"/>
  <c r="B9006" i="2"/>
  <c r="A9006" i="2"/>
  <c r="O9005" i="2"/>
  <c r="M9005" i="2"/>
  <c r="L9005" i="2"/>
  <c r="E9005" i="2"/>
  <c r="D9005" i="2"/>
  <c r="B9005" i="2"/>
  <c r="A9005" i="2"/>
  <c r="O9004" i="2"/>
  <c r="M9004" i="2"/>
  <c r="L9004" i="2"/>
  <c r="E9004" i="2"/>
  <c r="D9004" i="2"/>
  <c r="B9004" i="2"/>
  <c r="A9004" i="2"/>
  <c r="O9003" i="2"/>
  <c r="O9002" i="2"/>
  <c r="M9002" i="2"/>
  <c r="L9002" i="2"/>
  <c r="E9002" i="2"/>
  <c r="D9002" i="2"/>
  <c r="B9002" i="2"/>
  <c r="A9002" i="2"/>
  <c r="O9001" i="2"/>
  <c r="O9000" i="2"/>
  <c r="O8999" i="2"/>
  <c r="M8999" i="2"/>
  <c r="L8999" i="2"/>
  <c r="E8999" i="2"/>
  <c r="D8999" i="2"/>
  <c r="B8999" i="2"/>
  <c r="A8999" i="2"/>
  <c r="O8998" i="2"/>
  <c r="M8998" i="2"/>
  <c r="L8998" i="2"/>
  <c r="E8998" i="2"/>
  <c r="D8998" i="2"/>
  <c r="B8998" i="2"/>
  <c r="A8998" i="2"/>
  <c r="O8997" i="2"/>
  <c r="M8997" i="2"/>
  <c r="L8997" i="2"/>
  <c r="E8997" i="2"/>
  <c r="D8997" i="2"/>
  <c r="B8997" i="2"/>
  <c r="A8997" i="2"/>
  <c r="O8996" i="2"/>
  <c r="M8996" i="2"/>
  <c r="L8996" i="2"/>
  <c r="E8996" i="2"/>
  <c r="D8996" i="2"/>
  <c r="B8996" i="2"/>
  <c r="A8996" i="2"/>
  <c r="O8995" i="2"/>
  <c r="O8994" i="2"/>
  <c r="O8993" i="2"/>
  <c r="M8993" i="2"/>
  <c r="L8993" i="2"/>
  <c r="E8993" i="2"/>
  <c r="D8993" i="2"/>
  <c r="B8993" i="2"/>
  <c r="A8993" i="2"/>
  <c r="O8992" i="2"/>
  <c r="M8992" i="2"/>
  <c r="L8992" i="2"/>
  <c r="E8992" i="2"/>
  <c r="D8992" i="2"/>
  <c r="B8992" i="2"/>
  <c r="A8992" i="2"/>
  <c r="O8991" i="2"/>
  <c r="O8990" i="2"/>
  <c r="M8990" i="2"/>
  <c r="L8990" i="2"/>
  <c r="E8990" i="2"/>
  <c r="D8990" i="2"/>
  <c r="B8990" i="2"/>
  <c r="A8990" i="2"/>
  <c r="O8989" i="2"/>
  <c r="M8989" i="2"/>
  <c r="L8989" i="2"/>
  <c r="E8989" i="2"/>
  <c r="D8989" i="2"/>
  <c r="B8989" i="2"/>
  <c r="A8989" i="2"/>
  <c r="O8988" i="2"/>
  <c r="M8988" i="2"/>
  <c r="L8988" i="2"/>
  <c r="E8988" i="2"/>
  <c r="D8988" i="2"/>
  <c r="B8988" i="2"/>
  <c r="A8988" i="2"/>
  <c r="O8987" i="2"/>
  <c r="O8986" i="2"/>
  <c r="M8986" i="2"/>
  <c r="L8986" i="2"/>
  <c r="E8986" i="2"/>
  <c r="D8986" i="2"/>
  <c r="B8986" i="2"/>
  <c r="A8986" i="2"/>
  <c r="O8985" i="2"/>
  <c r="M8985" i="2"/>
  <c r="L8985" i="2"/>
  <c r="E8985" i="2"/>
  <c r="D8985" i="2"/>
  <c r="B8985" i="2"/>
  <c r="A8985" i="2"/>
  <c r="O8984" i="2"/>
  <c r="M8984" i="2"/>
  <c r="L8984" i="2"/>
  <c r="E8984" i="2"/>
  <c r="D8984" i="2"/>
  <c r="B8984" i="2"/>
  <c r="A8984" i="2"/>
  <c r="O8983" i="2"/>
  <c r="M8983" i="2"/>
  <c r="L8983" i="2"/>
  <c r="E8983" i="2"/>
  <c r="D8983" i="2"/>
  <c r="B8983" i="2"/>
  <c r="A8983" i="2"/>
  <c r="O8982" i="2"/>
  <c r="O8981" i="2"/>
  <c r="M8981" i="2"/>
  <c r="L8981" i="2"/>
  <c r="E8981" i="2"/>
  <c r="D8981" i="2"/>
  <c r="B8981" i="2"/>
  <c r="A8981" i="2"/>
  <c r="O8980" i="2"/>
  <c r="M8980" i="2"/>
  <c r="L8980" i="2"/>
  <c r="E8980" i="2"/>
  <c r="D8980" i="2"/>
  <c r="B8980" i="2"/>
  <c r="A8980" i="2"/>
  <c r="O8979" i="2"/>
  <c r="O8978" i="2"/>
  <c r="M8978" i="2"/>
  <c r="L8978" i="2"/>
  <c r="E8978" i="2"/>
  <c r="D8978" i="2"/>
  <c r="B8978" i="2"/>
  <c r="A8978" i="2"/>
  <c r="O8977" i="2"/>
  <c r="O8976" i="2"/>
  <c r="M8976" i="2"/>
  <c r="L8976" i="2"/>
  <c r="E8976" i="2"/>
  <c r="D8976" i="2"/>
  <c r="B8976" i="2"/>
  <c r="A8976" i="2"/>
  <c r="O8975" i="2"/>
  <c r="O8974" i="2"/>
  <c r="M8974" i="2"/>
  <c r="L8974" i="2"/>
  <c r="E8974" i="2"/>
  <c r="D8974" i="2"/>
  <c r="B8974" i="2"/>
  <c r="A8974" i="2"/>
  <c r="O8973" i="2"/>
  <c r="M8973" i="2"/>
  <c r="L8973" i="2"/>
  <c r="E8973" i="2"/>
  <c r="D8973" i="2"/>
  <c r="B8973" i="2"/>
  <c r="A8973" i="2"/>
  <c r="O8972" i="2"/>
  <c r="O8971" i="2"/>
  <c r="M8971" i="2"/>
  <c r="L8971" i="2"/>
  <c r="E8971" i="2"/>
  <c r="D8971" i="2"/>
  <c r="B8971" i="2"/>
  <c r="A8971" i="2"/>
  <c r="O8970" i="2"/>
  <c r="M8970" i="2"/>
  <c r="L8970" i="2"/>
  <c r="E8970" i="2"/>
  <c r="D8970" i="2"/>
  <c r="B8970" i="2"/>
  <c r="A8970" i="2"/>
  <c r="O8969" i="2"/>
  <c r="O8968" i="2"/>
  <c r="O8967" i="2"/>
  <c r="M8967" i="2"/>
  <c r="L8967" i="2"/>
  <c r="E8967" i="2"/>
  <c r="D8967" i="2"/>
  <c r="B8967" i="2"/>
  <c r="A8967" i="2"/>
  <c r="O8966" i="2"/>
  <c r="M8966" i="2"/>
  <c r="L8966" i="2"/>
  <c r="E8966" i="2"/>
  <c r="D8966" i="2"/>
  <c r="B8966" i="2"/>
  <c r="A8966" i="2"/>
  <c r="O8965" i="2"/>
  <c r="M8965" i="2"/>
  <c r="L8965" i="2"/>
  <c r="E8965" i="2"/>
  <c r="D8965" i="2"/>
  <c r="B8965" i="2"/>
  <c r="A8965" i="2"/>
  <c r="O8964" i="2"/>
  <c r="O8963" i="2"/>
  <c r="O8962" i="2"/>
  <c r="M8962" i="2"/>
  <c r="L8962" i="2"/>
  <c r="E8962" i="2"/>
  <c r="D8962" i="2"/>
  <c r="B8962" i="2"/>
  <c r="A8962" i="2"/>
  <c r="O8961" i="2"/>
  <c r="M8961" i="2"/>
  <c r="L8961" i="2"/>
  <c r="E8961" i="2"/>
  <c r="D8961" i="2"/>
  <c r="B8961" i="2"/>
  <c r="A8961" i="2"/>
  <c r="O8960" i="2"/>
  <c r="M8960" i="2"/>
  <c r="L8960" i="2"/>
  <c r="E8960" i="2"/>
  <c r="D8960" i="2"/>
  <c r="B8960" i="2"/>
  <c r="A8960" i="2"/>
  <c r="O8959" i="2"/>
  <c r="O8958" i="2"/>
  <c r="M8958" i="2"/>
  <c r="L8958" i="2"/>
  <c r="E8958" i="2"/>
  <c r="D8958" i="2"/>
  <c r="B8958" i="2"/>
  <c r="A8958" i="2"/>
  <c r="O8957" i="2"/>
  <c r="M8957" i="2"/>
  <c r="L8957" i="2"/>
  <c r="E8957" i="2"/>
  <c r="D8957" i="2"/>
  <c r="B8957" i="2"/>
  <c r="A8957" i="2"/>
  <c r="O8956" i="2"/>
  <c r="O8955" i="2"/>
  <c r="M8955" i="2"/>
  <c r="L8955" i="2"/>
  <c r="E8955" i="2"/>
  <c r="D8955" i="2"/>
  <c r="B8955" i="2"/>
  <c r="A8955" i="2"/>
  <c r="O8954" i="2"/>
  <c r="M8954" i="2"/>
  <c r="L8954" i="2"/>
  <c r="E8954" i="2"/>
  <c r="D8954" i="2"/>
  <c r="B8954" i="2"/>
  <c r="A8954" i="2"/>
  <c r="O8953" i="2"/>
  <c r="M8953" i="2"/>
  <c r="L8953" i="2"/>
  <c r="E8953" i="2"/>
  <c r="D8953" i="2"/>
  <c r="B8953" i="2"/>
  <c r="A8953" i="2"/>
  <c r="O8952" i="2"/>
  <c r="M8952" i="2"/>
  <c r="L8952" i="2"/>
  <c r="E8952" i="2"/>
  <c r="D8952" i="2"/>
  <c r="B8952" i="2"/>
  <c r="A8952" i="2"/>
  <c r="O8951" i="2"/>
  <c r="O8950" i="2"/>
  <c r="M8950" i="2"/>
  <c r="L8950" i="2"/>
  <c r="E8950" i="2"/>
  <c r="D8950" i="2"/>
  <c r="B8950" i="2"/>
  <c r="A8950" i="2"/>
  <c r="O8949" i="2"/>
  <c r="M8949" i="2"/>
  <c r="L8949" i="2"/>
  <c r="E8949" i="2"/>
  <c r="D8949" i="2"/>
  <c r="B8949" i="2"/>
  <c r="A8949" i="2"/>
  <c r="O8948" i="2"/>
  <c r="O8947" i="2"/>
  <c r="M8947" i="2"/>
  <c r="L8947" i="2"/>
  <c r="E8947" i="2"/>
  <c r="D8947" i="2"/>
  <c r="B8947" i="2"/>
  <c r="A8947" i="2"/>
  <c r="O8946" i="2"/>
  <c r="O8945" i="2"/>
  <c r="M8945" i="2"/>
  <c r="L8945" i="2"/>
  <c r="E8945" i="2"/>
  <c r="D8945" i="2"/>
  <c r="B8945" i="2"/>
  <c r="A8945" i="2"/>
  <c r="O8944" i="2"/>
  <c r="O8943" i="2"/>
  <c r="M8943" i="2"/>
  <c r="L8943" i="2"/>
  <c r="E8943" i="2"/>
  <c r="D8943" i="2"/>
  <c r="B8943" i="2"/>
  <c r="A8943" i="2"/>
  <c r="O8942" i="2"/>
  <c r="O8941" i="2"/>
  <c r="O8940" i="2"/>
  <c r="M8940" i="2"/>
  <c r="L8940" i="2"/>
  <c r="E8940" i="2"/>
  <c r="D8940" i="2"/>
  <c r="B8940" i="2"/>
  <c r="A8940" i="2"/>
  <c r="O8939" i="2"/>
  <c r="M8939" i="2"/>
  <c r="L8939" i="2"/>
  <c r="E8939" i="2"/>
  <c r="D8939" i="2"/>
  <c r="B8939" i="2"/>
  <c r="A8939" i="2"/>
  <c r="O8938" i="2"/>
  <c r="M8938" i="2"/>
  <c r="L8938" i="2"/>
  <c r="E8938" i="2"/>
  <c r="D8938" i="2"/>
  <c r="B8938" i="2"/>
  <c r="A8938" i="2"/>
  <c r="O8937" i="2"/>
  <c r="M8937" i="2"/>
  <c r="L8937" i="2"/>
  <c r="E8937" i="2"/>
  <c r="D8937" i="2"/>
  <c r="B8937" i="2"/>
  <c r="A8937" i="2"/>
  <c r="O8936" i="2"/>
  <c r="O8935" i="2"/>
  <c r="M8935" i="2"/>
  <c r="L8935" i="2"/>
  <c r="E8935" i="2"/>
  <c r="D8935" i="2"/>
  <c r="B8935" i="2"/>
  <c r="A8935" i="2"/>
  <c r="O8934" i="2"/>
  <c r="M8934" i="2"/>
  <c r="L8934" i="2"/>
  <c r="E8934" i="2"/>
  <c r="D8934" i="2"/>
  <c r="B8934" i="2"/>
  <c r="A8934" i="2"/>
  <c r="O8933" i="2"/>
  <c r="O8932" i="2"/>
  <c r="M8932" i="2"/>
  <c r="L8932" i="2"/>
  <c r="E8932" i="2"/>
  <c r="D8932" i="2"/>
  <c r="B8932" i="2"/>
  <c r="A8932" i="2"/>
  <c r="O8931" i="2"/>
  <c r="O8930" i="2"/>
  <c r="M8930" i="2"/>
  <c r="L8930" i="2"/>
  <c r="E8930" i="2"/>
  <c r="D8930" i="2"/>
  <c r="B8930" i="2"/>
  <c r="A8930" i="2"/>
  <c r="O8929" i="2"/>
  <c r="M8929" i="2"/>
  <c r="L8929" i="2"/>
  <c r="E8929" i="2"/>
  <c r="D8929" i="2"/>
  <c r="B8929" i="2"/>
  <c r="A8929" i="2"/>
  <c r="O8928" i="2"/>
  <c r="O8927" i="2"/>
  <c r="M8927" i="2"/>
  <c r="L8927" i="2"/>
  <c r="E8927" i="2"/>
  <c r="D8927" i="2"/>
  <c r="B8927" i="2"/>
  <c r="A8927" i="2"/>
  <c r="O8926" i="2"/>
  <c r="M8926" i="2"/>
  <c r="L8926" i="2"/>
  <c r="E8926" i="2"/>
  <c r="D8926" i="2"/>
  <c r="B8926" i="2"/>
  <c r="A8926" i="2"/>
  <c r="O8925" i="2"/>
  <c r="M8925" i="2"/>
  <c r="L8925" i="2"/>
  <c r="E8925" i="2"/>
  <c r="D8925" i="2"/>
  <c r="B8925" i="2"/>
  <c r="A8925" i="2"/>
  <c r="O8924" i="2"/>
  <c r="M8924" i="2"/>
  <c r="L8924" i="2"/>
  <c r="E8924" i="2"/>
  <c r="D8924" i="2"/>
  <c r="B8924" i="2"/>
  <c r="A8924" i="2"/>
  <c r="O8923" i="2"/>
  <c r="M8923" i="2"/>
  <c r="L8923" i="2"/>
  <c r="E8923" i="2"/>
  <c r="D8923" i="2"/>
  <c r="B8923" i="2"/>
  <c r="A8923" i="2"/>
  <c r="O8922" i="2"/>
  <c r="M8922" i="2"/>
  <c r="L8922" i="2"/>
  <c r="E8922" i="2"/>
  <c r="D8922" i="2"/>
  <c r="B8922" i="2"/>
  <c r="A8922" i="2"/>
  <c r="O8921" i="2"/>
  <c r="M8921" i="2"/>
  <c r="L8921" i="2"/>
  <c r="E8921" i="2"/>
  <c r="D8921" i="2"/>
  <c r="B8921" i="2"/>
  <c r="A8921" i="2"/>
  <c r="O8920" i="2"/>
  <c r="M8920" i="2"/>
  <c r="L8920" i="2"/>
  <c r="E8920" i="2"/>
  <c r="D8920" i="2"/>
  <c r="B8920" i="2"/>
  <c r="A8920" i="2"/>
  <c r="O8919" i="2"/>
  <c r="M8919" i="2"/>
  <c r="L8919" i="2"/>
  <c r="E8919" i="2"/>
  <c r="D8919" i="2"/>
  <c r="B8919" i="2"/>
  <c r="A8919" i="2"/>
  <c r="O8918" i="2"/>
  <c r="M8918" i="2"/>
  <c r="L8918" i="2"/>
  <c r="E8918" i="2"/>
  <c r="D8918" i="2"/>
  <c r="B8918" i="2"/>
  <c r="A8918" i="2"/>
  <c r="O8917" i="2"/>
  <c r="M8917" i="2"/>
  <c r="L8917" i="2"/>
  <c r="E8917" i="2"/>
  <c r="D8917" i="2"/>
  <c r="B8917" i="2"/>
  <c r="A8917" i="2"/>
  <c r="O8916" i="2"/>
  <c r="O8915" i="2"/>
  <c r="O8914" i="2"/>
  <c r="M8914" i="2"/>
  <c r="L8914" i="2"/>
  <c r="E8914" i="2"/>
  <c r="D8914" i="2"/>
  <c r="B8914" i="2"/>
  <c r="A8914" i="2"/>
  <c r="O8913" i="2"/>
  <c r="M8913" i="2"/>
  <c r="L8913" i="2"/>
  <c r="E8913" i="2"/>
  <c r="D8913" i="2"/>
  <c r="B8913" i="2"/>
  <c r="A8913" i="2"/>
  <c r="O8912" i="2"/>
  <c r="M8912" i="2"/>
  <c r="L8912" i="2"/>
  <c r="E8912" i="2"/>
  <c r="D8912" i="2"/>
  <c r="B8912" i="2"/>
  <c r="A8912" i="2"/>
  <c r="O8911" i="2"/>
  <c r="M8911" i="2"/>
  <c r="L8911" i="2"/>
  <c r="E8911" i="2"/>
  <c r="D8911" i="2"/>
  <c r="B8911" i="2"/>
  <c r="A8911" i="2"/>
  <c r="O8910" i="2"/>
  <c r="M8910" i="2"/>
  <c r="L8910" i="2"/>
  <c r="E8910" i="2"/>
  <c r="D8910" i="2"/>
  <c r="B8910" i="2"/>
  <c r="A8910" i="2"/>
  <c r="O8909" i="2"/>
  <c r="M8909" i="2"/>
  <c r="L8909" i="2"/>
  <c r="E8909" i="2"/>
  <c r="D8909" i="2"/>
  <c r="B8909" i="2"/>
  <c r="A8909" i="2"/>
  <c r="O8908" i="2"/>
  <c r="O8907" i="2"/>
  <c r="O8906" i="2"/>
  <c r="M8906" i="2"/>
  <c r="L8906" i="2"/>
  <c r="E8906" i="2"/>
  <c r="D8906" i="2"/>
  <c r="B8906" i="2"/>
  <c r="A8906" i="2"/>
  <c r="O8905" i="2"/>
  <c r="M8905" i="2"/>
  <c r="L8905" i="2"/>
  <c r="E8905" i="2"/>
  <c r="D8905" i="2"/>
  <c r="B8905" i="2"/>
  <c r="A8905" i="2"/>
  <c r="O8904" i="2"/>
  <c r="M8904" i="2"/>
  <c r="L8904" i="2"/>
  <c r="E8904" i="2"/>
  <c r="D8904" i="2"/>
  <c r="B8904" i="2"/>
  <c r="A8904" i="2"/>
  <c r="O8903" i="2"/>
  <c r="M8903" i="2"/>
  <c r="L8903" i="2"/>
  <c r="E8903" i="2"/>
  <c r="D8903" i="2"/>
  <c r="B8903" i="2"/>
  <c r="A8903" i="2"/>
  <c r="O8902" i="2"/>
  <c r="M8902" i="2"/>
  <c r="L8902" i="2"/>
  <c r="E8902" i="2"/>
  <c r="D8902" i="2"/>
  <c r="B8902" i="2"/>
  <c r="A8902" i="2"/>
  <c r="O8901" i="2"/>
  <c r="M8901" i="2"/>
  <c r="L8901" i="2"/>
  <c r="E8901" i="2"/>
  <c r="D8901" i="2"/>
  <c r="B8901" i="2"/>
  <c r="A8901" i="2"/>
  <c r="O8900" i="2"/>
  <c r="M8900" i="2"/>
  <c r="L8900" i="2"/>
  <c r="E8900" i="2"/>
  <c r="D8900" i="2"/>
  <c r="B8900" i="2"/>
  <c r="A8900" i="2"/>
  <c r="O8899" i="2"/>
  <c r="M8899" i="2"/>
  <c r="L8899" i="2"/>
  <c r="E8899" i="2"/>
  <c r="D8899" i="2"/>
  <c r="B8899" i="2"/>
  <c r="A8899" i="2"/>
  <c r="O8898" i="2"/>
  <c r="M8898" i="2"/>
  <c r="L8898" i="2"/>
  <c r="E8898" i="2"/>
  <c r="D8898" i="2"/>
  <c r="B8898" i="2"/>
  <c r="A8898" i="2"/>
  <c r="O8897" i="2"/>
  <c r="M8897" i="2"/>
  <c r="L8897" i="2"/>
  <c r="E8897" i="2"/>
  <c r="D8897" i="2"/>
  <c r="B8897" i="2"/>
  <c r="A8897" i="2"/>
  <c r="O8896" i="2"/>
  <c r="M8896" i="2"/>
  <c r="L8896" i="2"/>
  <c r="E8896" i="2"/>
  <c r="D8896" i="2"/>
  <c r="B8896" i="2"/>
  <c r="A8896" i="2"/>
  <c r="O8895" i="2"/>
  <c r="M8895" i="2"/>
  <c r="L8895" i="2"/>
  <c r="E8895" i="2"/>
  <c r="D8895" i="2"/>
  <c r="B8895" i="2"/>
  <c r="A8895" i="2"/>
  <c r="O8894" i="2"/>
  <c r="O8893" i="2"/>
  <c r="M8893" i="2"/>
  <c r="L8893" i="2"/>
  <c r="E8893" i="2"/>
  <c r="D8893" i="2"/>
  <c r="B8893" i="2"/>
  <c r="A8893" i="2"/>
  <c r="O8892" i="2"/>
  <c r="M8892" i="2"/>
  <c r="L8892" i="2"/>
  <c r="E8892" i="2"/>
  <c r="D8892" i="2"/>
  <c r="B8892" i="2"/>
  <c r="A8892" i="2"/>
  <c r="O8891" i="2"/>
  <c r="M8891" i="2"/>
  <c r="L8891" i="2"/>
  <c r="E8891" i="2"/>
  <c r="D8891" i="2"/>
  <c r="B8891" i="2"/>
  <c r="A8891" i="2"/>
  <c r="O8890" i="2"/>
  <c r="M8890" i="2"/>
  <c r="L8890" i="2"/>
  <c r="E8890" i="2"/>
  <c r="D8890" i="2"/>
  <c r="B8890" i="2"/>
  <c r="A8890" i="2"/>
  <c r="O8889" i="2"/>
  <c r="M8889" i="2"/>
  <c r="L8889" i="2"/>
  <c r="E8889" i="2"/>
  <c r="D8889" i="2"/>
  <c r="B8889" i="2"/>
  <c r="A8889" i="2"/>
  <c r="O8888" i="2"/>
  <c r="M8888" i="2"/>
  <c r="L8888" i="2"/>
  <c r="E8888" i="2"/>
  <c r="D8888" i="2"/>
  <c r="B8888" i="2"/>
  <c r="A8888" i="2"/>
  <c r="O8887" i="2"/>
  <c r="M8887" i="2"/>
  <c r="L8887" i="2"/>
  <c r="E8887" i="2"/>
  <c r="D8887" i="2"/>
  <c r="B8887" i="2"/>
  <c r="A8887" i="2"/>
  <c r="O8886" i="2"/>
  <c r="O8885" i="2"/>
  <c r="M8885" i="2"/>
  <c r="L8885" i="2"/>
  <c r="E8885" i="2"/>
  <c r="D8885" i="2"/>
  <c r="B8885" i="2"/>
  <c r="A8885" i="2"/>
  <c r="O8884" i="2"/>
  <c r="O8883" i="2"/>
  <c r="M8883" i="2"/>
  <c r="L8883" i="2"/>
  <c r="E8883" i="2"/>
  <c r="D8883" i="2"/>
  <c r="B8883" i="2"/>
  <c r="A8883" i="2"/>
  <c r="O8882" i="2"/>
  <c r="O8881" i="2"/>
  <c r="O8880" i="2"/>
  <c r="M8880" i="2"/>
  <c r="L8880" i="2"/>
  <c r="E8880" i="2"/>
  <c r="D8880" i="2"/>
  <c r="B8880" i="2"/>
  <c r="A8880" i="2"/>
  <c r="O8879" i="2"/>
  <c r="O8878" i="2"/>
  <c r="M8878" i="2"/>
  <c r="L8878" i="2"/>
  <c r="E8878" i="2"/>
  <c r="D8878" i="2"/>
  <c r="B8878" i="2"/>
  <c r="A8878" i="2"/>
  <c r="O8877" i="2"/>
  <c r="O8876" i="2"/>
  <c r="M8876" i="2"/>
  <c r="L8876" i="2"/>
  <c r="E8876" i="2"/>
  <c r="D8876" i="2"/>
  <c r="B8876" i="2"/>
  <c r="A8876" i="2"/>
  <c r="O8875" i="2"/>
  <c r="O8874" i="2"/>
  <c r="M8874" i="2"/>
  <c r="L8874" i="2"/>
  <c r="E8874" i="2"/>
  <c r="D8874" i="2"/>
  <c r="B8874" i="2"/>
  <c r="A8874" i="2"/>
  <c r="O8873" i="2"/>
  <c r="O8872" i="2"/>
  <c r="O8871" i="2"/>
  <c r="O8870" i="2"/>
  <c r="M8870" i="2"/>
  <c r="L8870" i="2"/>
  <c r="E8870" i="2"/>
  <c r="D8870" i="2"/>
  <c r="B8870" i="2"/>
  <c r="A8870" i="2"/>
  <c r="O8869" i="2"/>
  <c r="M8869" i="2"/>
  <c r="L8869" i="2"/>
  <c r="E8869" i="2"/>
  <c r="D8869" i="2"/>
  <c r="B8869" i="2"/>
  <c r="A8869" i="2"/>
  <c r="O8868" i="2"/>
  <c r="O8867" i="2"/>
  <c r="O8866" i="2"/>
  <c r="M8866" i="2"/>
  <c r="L8866" i="2"/>
  <c r="E8866" i="2"/>
  <c r="D8866" i="2"/>
  <c r="B8866" i="2"/>
  <c r="A8866" i="2"/>
  <c r="O8865" i="2"/>
  <c r="M8865" i="2"/>
  <c r="L8865" i="2"/>
  <c r="E8865" i="2"/>
  <c r="D8865" i="2"/>
  <c r="B8865" i="2"/>
  <c r="A8865" i="2"/>
  <c r="O8864" i="2"/>
  <c r="O8863" i="2"/>
  <c r="M8863" i="2"/>
  <c r="L8863" i="2"/>
  <c r="E8863" i="2"/>
  <c r="D8863" i="2"/>
  <c r="B8863" i="2"/>
  <c r="A8863" i="2"/>
  <c r="O8862" i="2"/>
  <c r="M8862" i="2"/>
  <c r="L8862" i="2"/>
  <c r="E8862" i="2"/>
  <c r="D8862" i="2"/>
  <c r="B8862" i="2"/>
  <c r="A8862" i="2"/>
  <c r="O8861" i="2"/>
  <c r="M8861" i="2"/>
  <c r="L8861" i="2"/>
  <c r="E8861" i="2"/>
  <c r="D8861" i="2"/>
  <c r="B8861" i="2"/>
  <c r="A8861" i="2"/>
  <c r="O8860" i="2"/>
  <c r="M8860" i="2"/>
  <c r="L8860" i="2"/>
  <c r="E8860" i="2"/>
  <c r="D8860" i="2"/>
  <c r="B8860" i="2"/>
  <c r="A8860" i="2"/>
  <c r="O8859" i="2"/>
  <c r="O8858" i="2"/>
  <c r="M8858" i="2"/>
  <c r="L8858" i="2"/>
  <c r="E8858" i="2"/>
  <c r="D8858" i="2"/>
  <c r="B8858" i="2"/>
  <c r="A8858" i="2"/>
  <c r="O8857" i="2"/>
  <c r="M8857" i="2"/>
  <c r="L8857" i="2"/>
  <c r="E8857" i="2"/>
  <c r="D8857" i="2"/>
  <c r="B8857" i="2"/>
  <c r="A8857" i="2"/>
  <c r="O8856" i="2"/>
  <c r="M8856" i="2"/>
  <c r="L8856" i="2"/>
  <c r="E8856" i="2"/>
  <c r="D8856" i="2"/>
  <c r="B8856" i="2"/>
  <c r="A8856" i="2"/>
  <c r="O8855" i="2"/>
  <c r="O8854" i="2"/>
  <c r="O8853" i="2"/>
  <c r="M8853" i="2"/>
  <c r="L8853" i="2"/>
  <c r="E8853" i="2"/>
  <c r="D8853" i="2"/>
  <c r="B8853" i="2"/>
  <c r="A8853" i="2"/>
  <c r="O8852" i="2"/>
  <c r="M8852" i="2"/>
  <c r="L8852" i="2"/>
  <c r="E8852" i="2"/>
  <c r="D8852" i="2"/>
  <c r="B8852" i="2"/>
  <c r="A8852" i="2"/>
  <c r="O8851" i="2"/>
  <c r="M8851" i="2"/>
  <c r="L8851" i="2"/>
  <c r="E8851" i="2"/>
  <c r="D8851" i="2"/>
  <c r="B8851" i="2"/>
  <c r="A8851" i="2"/>
  <c r="O8850" i="2"/>
  <c r="M8850" i="2"/>
  <c r="L8850" i="2"/>
  <c r="E8850" i="2"/>
  <c r="D8850" i="2"/>
  <c r="B8850" i="2"/>
  <c r="A8850" i="2"/>
  <c r="O8849" i="2"/>
  <c r="M8849" i="2"/>
  <c r="L8849" i="2"/>
  <c r="E8849" i="2"/>
  <c r="D8849" i="2"/>
  <c r="B8849" i="2"/>
  <c r="A8849" i="2"/>
  <c r="O8848" i="2"/>
  <c r="O8847" i="2"/>
  <c r="O8846" i="2"/>
  <c r="M8846" i="2"/>
  <c r="L8846" i="2"/>
  <c r="E8846" i="2"/>
  <c r="D8846" i="2"/>
  <c r="B8846" i="2"/>
  <c r="A8846" i="2"/>
  <c r="O8845" i="2"/>
  <c r="O8844" i="2"/>
  <c r="O8843" i="2"/>
  <c r="M8843" i="2"/>
  <c r="L8843" i="2"/>
  <c r="E8843" i="2"/>
  <c r="D8843" i="2"/>
  <c r="B8843" i="2"/>
  <c r="A8843" i="2"/>
  <c r="O8842" i="2"/>
  <c r="M8842" i="2"/>
  <c r="L8842" i="2"/>
  <c r="E8842" i="2"/>
  <c r="D8842" i="2"/>
  <c r="B8842" i="2"/>
  <c r="A8842" i="2"/>
  <c r="O8841" i="2"/>
  <c r="M8841" i="2"/>
  <c r="L8841" i="2"/>
  <c r="E8841" i="2"/>
  <c r="D8841" i="2"/>
  <c r="B8841" i="2"/>
  <c r="A8841" i="2"/>
  <c r="O8840" i="2"/>
  <c r="M8840" i="2"/>
  <c r="L8840" i="2"/>
  <c r="E8840" i="2"/>
  <c r="D8840" i="2"/>
  <c r="B8840" i="2"/>
  <c r="A8840" i="2"/>
  <c r="O8839" i="2"/>
  <c r="M8839" i="2"/>
  <c r="L8839" i="2"/>
  <c r="E8839" i="2"/>
  <c r="D8839" i="2"/>
  <c r="B8839" i="2"/>
  <c r="A8839" i="2"/>
  <c r="O8838" i="2"/>
  <c r="O8837" i="2"/>
  <c r="O8836" i="2"/>
  <c r="O8835" i="2"/>
  <c r="O8834" i="2"/>
  <c r="O8833" i="2"/>
  <c r="M8833" i="2"/>
  <c r="L8833" i="2"/>
  <c r="E8833" i="2"/>
  <c r="D8833" i="2"/>
  <c r="B8833" i="2"/>
  <c r="A8833" i="2"/>
  <c r="O8832" i="2"/>
  <c r="O8831" i="2"/>
  <c r="M8831" i="2"/>
  <c r="L8831" i="2"/>
  <c r="E8831" i="2"/>
  <c r="D8831" i="2"/>
  <c r="B8831" i="2"/>
  <c r="A8831" i="2"/>
  <c r="O8830" i="2"/>
  <c r="O8829" i="2"/>
  <c r="M8829" i="2"/>
  <c r="L8829" i="2"/>
  <c r="E8829" i="2"/>
  <c r="D8829" i="2"/>
  <c r="B8829" i="2"/>
  <c r="A8829" i="2"/>
  <c r="O8828" i="2"/>
  <c r="O8827" i="2"/>
  <c r="O8826" i="2"/>
  <c r="M8826" i="2"/>
  <c r="L8826" i="2"/>
  <c r="E8826" i="2"/>
  <c r="D8826" i="2"/>
  <c r="B8826" i="2"/>
  <c r="A8826" i="2"/>
  <c r="O8825" i="2"/>
  <c r="M8825" i="2"/>
  <c r="L8825" i="2"/>
  <c r="E8825" i="2"/>
  <c r="D8825" i="2"/>
  <c r="B8825" i="2"/>
  <c r="A8825" i="2"/>
  <c r="O8824" i="2"/>
  <c r="M8824" i="2"/>
  <c r="L8824" i="2"/>
  <c r="E8824" i="2"/>
  <c r="D8824" i="2"/>
  <c r="B8824" i="2"/>
  <c r="A8824" i="2"/>
  <c r="O8823" i="2"/>
  <c r="M8823" i="2"/>
  <c r="L8823" i="2"/>
  <c r="E8823" i="2"/>
  <c r="D8823" i="2"/>
  <c r="B8823" i="2"/>
  <c r="A8823" i="2"/>
  <c r="O8822" i="2"/>
  <c r="M8822" i="2"/>
  <c r="L8822" i="2"/>
  <c r="E8822" i="2"/>
  <c r="D8822" i="2"/>
  <c r="B8822" i="2"/>
  <c r="A8822" i="2"/>
  <c r="O8821" i="2"/>
  <c r="O8820" i="2"/>
  <c r="O8819" i="2"/>
  <c r="O8818" i="2"/>
  <c r="O8817" i="2"/>
  <c r="M8817" i="2"/>
  <c r="L8817" i="2"/>
  <c r="E8817" i="2"/>
  <c r="D8817" i="2"/>
  <c r="B8817" i="2"/>
  <c r="A8817" i="2"/>
  <c r="O8816" i="2"/>
  <c r="M8816" i="2"/>
  <c r="L8816" i="2"/>
  <c r="E8816" i="2"/>
  <c r="D8816" i="2"/>
  <c r="B8816" i="2"/>
  <c r="A8816" i="2"/>
  <c r="O8815" i="2"/>
  <c r="M8815" i="2"/>
  <c r="L8815" i="2"/>
  <c r="E8815" i="2"/>
  <c r="D8815" i="2"/>
  <c r="B8815" i="2"/>
  <c r="A8815" i="2"/>
  <c r="O8814" i="2"/>
  <c r="M8814" i="2"/>
  <c r="L8814" i="2"/>
  <c r="E8814" i="2"/>
  <c r="D8814" i="2"/>
  <c r="B8814" i="2"/>
  <c r="A8814" i="2"/>
  <c r="O8813" i="2"/>
  <c r="M8813" i="2"/>
  <c r="L8813" i="2"/>
  <c r="E8813" i="2"/>
  <c r="D8813" i="2"/>
  <c r="B8813" i="2"/>
  <c r="A8813" i="2"/>
  <c r="O8812" i="2"/>
  <c r="M8812" i="2"/>
  <c r="L8812" i="2"/>
  <c r="E8812" i="2"/>
  <c r="D8812" i="2"/>
  <c r="B8812" i="2"/>
  <c r="A8812" i="2"/>
  <c r="O8811" i="2"/>
  <c r="M8811" i="2"/>
  <c r="L8811" i="2"/>
  <c r="E8811" i="2"/>
  <c r="D8811" i="2"/>
  <c r="B8811" i="2"/>
  <c r="A8811" i="2"/>
  <c r="O8810" i="2"/>
  <c r="O8809" i="2"/>
  <c r="M8809" i="2"/>
  <c r="L8809" i="2"/>
  <c r="E8809" i="2"/>
  <c r="D8809" i="2"/>
  <c r="B8809" i="2"/>
  <c r="A8809" i="2"/>
  <c r="O8808" i="2"/>
  <c r="M8808" i="2"/>
  <c r="L8808" i="2"/>
  <c r="E8808" i="2"/>
  <c r="D8808" i="2"/>
  <c r="B8808" i="2"/>
  <c r="A8808" i="2"/>
  <c r="O8807" i="2"/>
  <c r="M8807" i="2"/>
  <c r="L8807" i="2"/>
  <c r="E8807" i="2"/>
  <c r="D8807" i="2"/>
  <c r="B8807" i="2"/>
  <c r="A8807" i="2"/>
  <c r="O8806" i="2"/>
  <c r="M8806" i="2"/>
  <c r="L8806" i="2"/>
  <c r="E8806" i="2"/>
  <c r="D8806" i="2"/>
  <c r="B8806" i="2"/>
  <c r="A8806" i="2"/>
  <c r="O8805" i="2"/>
  <c r="M8805" i="2"/>
  <c r="L8805" i="2"/>
  <c r="E8805" i="2"/>
  <c r="D8805" i="2"/>
  <c r="B8805" i="2"/>
  <c r="A8805" i="2"/>
  <c r="O8804" i="2"/>
  <c r="M8804" i="2"/>
  <c r="L8804" i="2"/>
  <c r="E8804" i="2"/>
  <c r="D8804" i="2"/>
  <c r="B8804" i="2"/>
  <c r="A8804" i="2"/>
  <c r="O8803" i="2"/>
  <c r="M8803" i="2"/>
  <c r="L8803" i="2"/>
  <c r="E8803" i="2"/>
  <c r="D8803" i="2"/>
  <c r="B8803" i="2"/>
  <c r="A8803" i="2"/>
  <c r="O8802" i="2"/>
  <c r="M8802" i="2"/>
  <c r="L8802" i="2"/>
  <c r="E8802" i="2"/>
  <c r="D8802" i="2"/>
  <c r="B8802" i="2"/>
  <c r="A8802" i="2"/>
  <c r="O8801" i="2"/>
  <c r="O8800" i="2"/>
  <c r="M8800" i="2"/>
  <c r="L8800" i="2"/>
  <c r="E8800" i="2"/>
  <c r="D8800" i="2"/>
  <c r="B8800" i="2"/>
  <c r="A8800" i="2"/>
  <c r="O8799" i="2"/>
  <c r="M8799" i="2"/>
  <c r="L8799" i="2"/>
  <c r="E8799" i="2"/>
  <c r="D8799" i="2"/>
  <c r="B8799" i="2"/>
  <c r="A8799" i="2"/>
  <c r="O8798" i="2"/>
  <c r="O8797" i="2"/>
  <c r="O8796" i="2"/>
  <c r="M8796" i="2"/>
  <c r="L8796" i="2"/>
  <c r="E8796" i="2"/>
  <c r="D8796" i="2"/>
  <c r="B8796" i="2"/>
  <c r="A8796" i="2"/>
  <c r="O8795" i="2"/>
  <c r="M8795" i="2"/>
  <c r="L8795" i="2"/>
  <c r="E8795" i="2"/>
  <c r="D8795" i="2"/>
  <c r="B8795" i="2"/>
  <c r="A8795" i="2"/>
  <c r="O8794" i="2"/>
  <c r="M8794" i="2"/>
  <c r="L8794" i="2"/>
  <c r="E8794" i="2"/>
  <c r="D8794" i="2"/>
  <c r="B8794" i="2"/>
  <c r="A8794" i="2"/>
  <c r="O8793" i="2"/>
  <c r="M8793" i="2"/>
  <c r="L8793" i="2"/>
  <c r="E8793" i="2"/>
  <c r="D8793" i="2"/>
  <c r="B8793" i="2"/>
  <c r="A8793" i="2"/>
  <c r="O8792" i="2"/>
  <c r="M8792" i="2"/>
  <c r="L8792" i="2"/>
  <c r="E8792" i="2"/>
  <c r="D8792" i="2"/>
  <c r="B8792" i="2"/>
  <c r="A8792" i="2"/>
  <c r="O8791" i="2"/>
  <c r="M8791" i="2"/>
  <c r="L8791" i="2"/>
  <c r="E8791" i="2"/>
  <c r="D8791" i="2"/>
  <c r="B8791" i="2"/>
  <c r="A8791" i="2"/>
  <c r="O8790" i="2"/>
  <c r="M8790" i="2"/>
  <c r="L8790" i="2"/>
  <c r="E8790" i="2"/>
  <c r="D8790" i="2"/>
  <c r="B8790" i="2"/>
  <c r="A8790" i="2"/>
  <c r="O8789" i="2"/>
  <c r="M8789" i="2"/>
  <c r="L8789" i="2"/>
  <c r="E8789" i="2"/>
  <c r="D8789" i="2"/>
  <c r="B8789" i="2"/>
  <c r="A8789" i="2"/>
  <c r="O8788" i="2"/>
  <c r="O8787" i="2"/>
  <c r="O8786" i="2"/>
  <c r="O8785" i="2"/>
  <c r="M8785" i="2"/>
  <c r="L8785" i="2"/>
  <c r="E8785" i="2"/>
  <c r="D8785" i="2"/>
  <c r="B8785" i="2"/>
  <c r="A8785" i="2"/>
  <c r="O8784" i="2"/>
  <c r="M8784" i="2"/>
  <c r="L8784" i="2"/>
  <c r="E8784" i="2"/>
  <c r="D8784" i="2"/>
  <c r="B8784" i="2"/>
  <c r="A8784" i="2"/>
  <c r="O8783" i="2"/>
  <c r="O8782" i="2"/>
  <c r="M8782" i="2"/>
  <c r="L8782" i="2"/>
  <c r="E8782" i="2"/>
  <c r="D8782" i="2"/>
  <c r="B8782" i="2"/>
  <c r="A8782" i="2"/>
  <c r="O8781" i="2"/>
  <c r="O8780" i="2"/>
  <c r="O8779" i="2"/>
  <c r="O8778" i="2"/>
  <c r="O8777" i="2"/>
  <c r="O8776" i="2"/>
  <c r="M8776" i="2"/>
  <c r="L8776" i="2"/>
  <c r="E8776" i="2"/>
  <c r="D8776" i="2"/>
  <c r="B8776" i="2"/>
  <c r="A8776" i="2"/>
  <c r="O8775" i="2"/>
  <c r="O8774" i="2"/>
  <c r="M8774" i="2"/>
  <c r="L8774" i="2"/>
  <c r="E8774" i="2"/>
  <c r="D8774" i="2"/>
  <c r="B8774" i="2"/>
  <c r="A8774" i="2"/>
  <c r="O8773" i="2"/>
  <c r="M8773" i="2"/>
  <c r="L8773" i="2"/>
  <c r="E8773" i="2"/>
  <c r="D8773" i="2"/>
  <c r="B8773" i="2"/>
  <c r="A8773" i="2"/>
  <c r="O8772" i="2"/>
  <c r="M8772" i="2"/>
  <c r="L8772" i="2"/>
  <c r="E8772" i="2"/>
  <c r="D8772" i="2"/>
  <c r="B8772" i="2"/>
  <c r="A8772" i="2"/>
  <c r="O8771" i="2"/>
  <c r="M8771" i="2"/>
  <c r="L8771" i="2"/>
  <c r="E8771" i="2"/>
  <c r="D8771" i="2"/>
  <c r="B8771" i="2"/>
  <c r="A8771" i="2"/>
  <c r="O8770" i="2"/>
  <c r="M8770" i="2"/>
  <c r="L8770" i="2"/>
  <c r="E8770" i="2"/>
  <c r="D8770" i="2"/>
  <c r="B8770" i="2"/>
  <c r="A8770" i="2"/>
  <c r="O8769" i="2"/>
  <c r="O8768" i="2"/>
  <c r="M8768" i="2"/>
  <c r="L8768" i="2"/>
  <c r="E8768" i="2"/>
  <c r="D8768" i="2"/>
  <c r="B8768" i="2"/>
  <c r="A8768" i="2"/>
  <c r="O8767" i="2"/>
  <c r="M8767" i="2"/>
  <c r="L8767" i="2"/>
  <c r="E8767" i="2"/>
  <c r="D8767" i="2"/>
  <c r="B8767" i="2"/>
  <c r="A8767" i="2"/>
  <c r="O8766" i="2"/>
  <c r="M8766" i="2"/>
  <c r="L8766" i="2"/>
  <c r="E8766" i="2"/>
  <c r="D8766" i="2"/>
  <c r="B8766" i="2"/>
  <c r="A8766" i="2"/>
  <c r="O8765" i="2"/>
  <c r="M8765" i="2"/>
  <c r="L8765" i="2"/>
  <c r="E8765" i="2"/>
  <c r="D8765" i="2"/>
  <c r="B8765" i="2"/>
  <c r="A8765" i="2"/>
  <c r="O8764" i="2"/>
  <c r="M8764" i="2"/>
  <c r="L8764" i="2"/>
  <c r="E8764" i="2"/>
  <c r="D8764" i="2"/>
  <c r="B8764" i="2"/>
  <c r="A8764" i="2"/>
  <c r="O8763" i="2"/>
  <c r="O8762" i="2"/>
  <c r="M8762" i="2"/>
  <c r="L8762" i="2"/>
  <c r="E8762" i="2"/>
  <c r="D8762" i="2"/>
  <c r="B8762" i="2"/>
  <c r="A8762" i="2"/>
  <c r="O8761" i="2"/>
  <c r="M8761" i="2"/>
  <c r="L8761" i="2"/>
  <c r="E8761" i="2"/>
  <c r="D8761" i="2"/>
  <c r="B8761" i="2"/>
  <c r="A8761" i="2"/>
  <c r="O8760" i="2"/>
  <c r="M8760" i="2"/>
  <c r="L8760" i="2"/>
  <c r="E8760" i="2"/>
  <c r="D8760" i="2"/>
  <c r="B8760" i="2"/>
  <c r="A8760" i="2"/>
  <c r="O8759" i="2"/>
  <c r="O8758" i="2"/>
  <c r="M8758" i="2"/>
  <c r="L8758" i="2"/>
  <c r="E8758" i="2"/>
  <c r="D8758" i="2"/>
  <c r="B8758" i="2"/>
  <c r="A8758" i="2"/>
  <c r="O8757" i="2"/>
  <c r="M8757" i="2"/>
  <c r="L8757" i="2"/>
  <c r="E8757" i="2"/>
  <c r="D8757" i="2"/>
  <c r="B8757" i="2"/>
  <c r="A8757" i="2"/>
  <c r="O8756" i="2"/>
  <c r="M8756" i="2"/>
  <c r="L8756" i="2"/>
  <c r="E8756" i="2"/>
  <c r="D8756" i="2"/>
  <c r="B8756" i="2"/>
  <c r="A8756" i="2"/>
  <c r="O8755" i="2"/>
  <c r="O8754" i="2"/>
  <c r="M8754" i="2"/>
  <c r="L8754" i="2"/>
  <c r="E8754" i="2"/>
  <c r="D8754" i="2"/>
  <c r="B8754" i="2"/>
  <c r="A8754" i="2"/>
  <c r="O8753" i="2"/>
  <c r="O8752" i="2"/>
  <c r="O8751" i="2"/>
  <c r="M8751" i="2"/>
  <c r="L8751" i="2"/>
  <c r="E8751" i="2"/>
  <c r="D8751" i="2"/>
  <c r="B8751" i="2"/>
  <c r="A8751" i="2"/>
  <c r="O8750" i="2"/>
  <c r="M8750" i="2"/>
  <c r="L8750" i="2"/>
  <c r="E8750" i="2"/>
  <c r="D8750" i="2"/>
  <c r="B8750" i="2"/>
  <c r="A8750" i="2"/>
  <c r="O8749" i="2"/>
  <c r="M8749" i="2"/>
  <c r="L8749" i="2"/>
  <c r="E8749" i="2"/>
  <c r="D8749" i="2"/>
  <c r="B8749" i="2"/>
  <c r="A8749" i="2"/>
  <c r="O8748" i="2"/>
  <c r="M8748" i="2"/>
  <c r="L8748" i="2"/>
  <c r="E8748" i="2"/>
  <c r="D8748" i="2"/>
  <c r="B8748" i="2"/>
  <c r="A8748" i="2"/>
  <c r="O8747" i="2"/>
  <c r="M8747" i="2"/>
  <c r="L8747" i="2"/>
  <c r="E8747" i="2"/>
  <c r="D8747" i="2"/>
  <c r="B8747" i="2"/>
  <c r="A8747" i="2"/>
  <c r="O8746" i="2"/>
  <c r="O8745" i="2"/>
  <c r="O8744" i="2"/>
  <c r="O8743" i="2"/>
  <c r="O8742" i="2"/>
  <c r="O8741" i="2"/>
  <c r="M8741" i="2"/>
  <c r="L8741" i="2"/>
  <c r="E8741" i="2"/>
  <c r="D8741" i="2"/>
  <c r="B8741" i="2"/>
  <c r="A8741" i="2"/>
  <c r="O8740" i="2"/>
  <c r="M8740" i="2"/>
  <c r="L8740" i="2"/>
  <c r="E8740" i="2"/>
  <c r="D8740" i="2"/>
  <c r="B8740" i="2"/>
  <c r="A8740" i="2"/>
  <c r="O8739" i="2"/>
  <c r="M8739" i="2"/>
  <c r="L8739" i="2"/>
  <c r="E8739" i="2"/>
  <c r="D8739" i="2"/>
  <c r="B8739" i="2"/>
  <c r="A8739" i="2"/>
  <c r="O8738" i="2"/>
  <c r="O8737" i="2"/>
  <c r="M8737" i="2"/>
  <c r="L8737" i="2"/>
  <c r="E8737" i="2"/>
  <c r="D8737" i="2"/>
  <c r="B8737" i="2"/>
  <c r="A8737" i="2"/>
  <c r="O8736" i="2"/>
  <c r="O8735" i="2"/>
  <c r="M8735" i="2"/>
  <c r="L8735" i="2"/>
  <c r="E8735" i="2"/>
  <c r="D8735" i="2"/>
  <c r="B8735" i="2"/>
  <c r="A8735" i="2"/>
  <c r="O8734" i="2"/>
  <c r="M8734" i="2"/>
  <c r="L8734" i="2"/>
  <c r="E8734" i="2"/>
  <c r="D8734" i="2"/>
  <c r="B8734" i="2"/>
  <c r="A8734" i="2"/>
  <c r="O8733" i="2"/>
  <c r="O8732" i="2"/>
  <c r="M8732" i="2"/>
  <c r="L8732" i="2"/>
  <c r="E8732" i="2"/>
  <c r="D8732" i="2"/>
  <c r="B8732" i="2"/>
  <c r="A8732" i="2"/>
  <c r="O8731" i="2"/>
  <c r="O8730" i="2"/>
  <c r="O8729" i="2"/>
  <c r="M8729" i="2"/>
  <c r="L8729" i="2"/>
  <c r="E8729" i="2"/>
  <c r="D8729" i="2"/>
  <c r="B8729" i="2"/>
  <c r="A8729" i="2"/>
  <c r="O8728" i="2"/>
  <c r="M8728" i="2"/>
  <c r="L8728" i="2"/>
  <c r="E8728" i="2"/>
  <c r="D8728" i="2"/>
  <c r="B8728" i="2"/>
  <c r="A8728" i="2"/>
  <c r="O8727" i="2"/>
  <c r="M8727" i="2"/>
  <c r="L8727" i="2"/>
  <c r="E8727" i="2"/>
  <c r="D8727" i="2"/>
  <c r="B8727" i="2"/>
  <c r="A8727" i="2"/>
  <c r="O8726" i="2"/>
  <c r="M8726" i="2"/>
  <c r="L8726" i="2"/>
  <c r="E8726" i="2"/>
  <c r="D8726" i="2"/>
  <c r="B8726" i="2"/>
  <c r="A8726" i="2"/>
  <c r="O8725" i="2"/>
  <c r="M8725" i="2"/>
  <c r="L8725" i="2"/>
  <c r="E8725" i="2"/>
  <c r="D8725" i="2"/>
  <c r="B8725" i="2"/>
  <c r="A8725" i="2"/>
  <c r="O8724" i="2"/>
  <c r="M8724" i="2"/>
  <c r="L8724" i="2"/>
  <c r="E8724" i="2"/>
  <c r="D8724" i="2"/>
  <c r="B8724" i="2"/>
  <c r="A8724" i="2"/>
  <c r="O8723" i="2"/>
  <c r="M8723" i="2"/>
  <c r="L8723" i="2"/>
  <c r="E8723" i="2"/>
  <c r="D8723" i="2"/>
  <c r="B8723" i="2"/>
  <c r="A8723" i="2"/>
  <c r="O8722" i="2"/>
  <c r="M8722" i="2"/>
  <c r="L8722" i="2"/>
  <c r="E8722" i="2"/>
  <c r="D8722" i="2"/>
  <c r="B8722" i="2"/>
  <c r="A8722" i="2"/>
  <c r="O8721" i="2"/>
  <c r="O8720" i="2"/>
  <c r="O8719" i="2"/>
  <c r="O8718" i="2"/>
  <c r="M8718" i="2"/>
  <c r="L8718" i="2"/>
  <c r="E8718" i="2"/>
  <c r="D8718" i="2"/>
  <c r="B8718" i="2"/>
  <c r="A8718" i="2"/>
  <c r="O8717" i="2"/>
  <c r="O8716" i="2"/>
  <c r="O8715" i="2"/>
  <c r="M8715" i="2"/>
  <c r="L8715" i="2"/>
  <c r="E8715" i="2"/>
  <c r="D8715" i="2"/>
  <c r="B8715" i="2"/>
  <c r="A8715" i="2"/>
  <c r="O8714" i="2"/>
  <c r="M8714" i="2"/>
  <c r="L8714" i="2"/>
  <c r="E8714" i="2"/>
  <c r="D8714" i="2"/>
  <c r="B8714" i="2"/>
  <c r="A8714" i="2"/>
  <c r="O8713" i="2"/>
  <c r="O8712" i="2"/>
  <c r="M8712" i="2"/>
  <c r="L8712" i="2"/>
  <c r="E8712" i="2"/>
  <c r="D8712" i="2"/>
  <c r="B8712" i="2"/>
  <c r="A8712" i="2"/>
  <c r="O8711" i="2"/>
  <c r="M8711" i="2"/>
  <c r="L8711" i="2"/>
  <c r="E8711" i="2"/>
  <c r="D8711" i="2"/>
  <c r="B8711" i="2"/>
  <c r="A8711" i="2"/>
  <c r="O8710" i="2"/>
  <c r="M8710" i="2"/>
  <c r="L8710" i="2"/>
  <c r="E8710" i="2"/>
  <c r="D8710" i="2"/>
  <c r="B8710" i="2"/>
  <c r="A8710" i="2"/>
  <c r="O8709" i="2"/>
  <c r="M8709" i="2"/>
  <c r="L8709" i="2"/>
  <c r="E8709" i="2"/>
  <c r="D8709" i="2"/>
  <c r="B8709" i="2"/>
  <c r="A8709" i="2"/>
  <c r="O8708" i="2"/>
  <c r="O8707" i="2"/>
  <c r="O8706" i="2"/>
  <c r="M8706" i="2"/>
  <c r="L8706" i="2"/>
  <c r="E8706" i="2"/>
  <c r="D8706" i="2"/>
  <c r="B8706" i="2"/>
  <c r="A8706" i="2"/>
  <c r="O8705" i="2"/>
  <c r="M8705" i="2"/>
  <c r="L8705" i="2"/>
  <c r="E8705" i="2"/>
  <c r="D8705" i="2"/>
  <c r="B8705" i="2"/>
  <c r="A8705" i="2"/>
  <c r="O8704" i="2"/>
  <c r="M8704" i="2"/>
  <c r="L8704" i="2"/>
  <c r="E8704" i="2"/>
  <c r="D8704" i="2"/>
  <c r="B8704" i="2"/>
  <c r="A8704" i="2"/>
  <c r="O8703" i="2"/>
  <c r="M8703" i="2"/>
  <c r="L8703" i="2"/>
  <c r="E8703" i="2"/>
  <c r="D8703" i="2"/>
  <c r="B8703" i="2"/>
  <c r="A8703" i="2"/>
  <c r="O8702" i="2"/>
  <c r="M8702" i="2"/>
  <c r="L8702" i="2"/>
  <c r="E8702" i="2"/>
  <c r="D8702" i="2"/>
  <c r="B8702" i="2"/>
  <c r="A8702" i="2"/>
  <c r="O8701" i="2"/>
  <c r="M8701" i="2"/>
  <c r="L8701" i="2"/>
  <c r="E8701" i="2"/>
  <c r="D8701" i="2"/>
  <c r="B8701" i="2"/>
  <c r="A8701" i="2"/>
  <c r="O8700" i="2"/>
  <c r="M8700" i="2"/>
  <c r="L8700" i="2"/>
  <c r="E8700" i="2"/>
  <c r="D8700" i="2"/>
  <c r="B8700" i="2"/>
  <c r="A8700" i="2"/>
  <c r="O8699" i="2"/>
  <c r="M8699" i="2"/>
  <c r="L8699" i="2"/>
  <c r="E8699" i="2"/>
  <c r="D8699" i="2"/>
  <c r="B8699" i="2"/>
  <c r="A8699" i="2"/>
  <c r="O8698" i="2"/>
  <c r="M8698" i="2"/>
  <c r="L8698" i="2"/>
  <c r="E8698" i="2"/>
  <c r="D8698" i="2"/>
  <c r="B8698" i="2"/>
  <c r="A8698" i="2"/>
  <c r="O8697" i="2"/>
  <c r="M8697" i="2"/>
  <c r="L8697" i="2"/>
  <c r="E8697" i="2"/>
  <c r="D8697" i="2"/>
  <c r="B8697" i="2"/>
  <c r="A8697" i="2"/>
  <c r="O8696" i="2"/>
  <c r="M8696" i="2"/>
  <c r="L8696" i="2"/>
  <c r="E8696" i="2"/>
  <c r="D8696" i="2"/>
  <c r="B8696" i="2"/>
  <c r="A8696" i="2"/>
  <c r="O8695" i="2"/>
  <c r="M8695" i="2"/>
  <c r="L8695" i="2"/>
  <c r="E8695" i="2"/>
  <c r="D8695" i="2"/>
  <c r="B8695" i="2"/>
  <c r="A8695" i="2"/>
  <c r="O8694" i="2"/>
  <c r="M8694" i="2"/>
  <c r="L8694" i="2"/>
  <c r="E8694" i="2"/>
  <c r="D8694" i="2"/>
  <c r="B8694" i="2"/>
  <c r="A8694" i="2"/>
  <c r="O8693" i="2"/>
  <c r="M8693" i="2"/>
  <c r="L8693" i="2"/>
  <c r="E8693" i="2"/>
  <c r="D8693" i="2"/>
  <c r="B8693" i="2"/>
  <c r="A8693" i="2"/>
  <c r="O8692" i="2"/>
  <c r="O8691" i="2"/>
  <c r="M8691" i="2"/>
  <c r="L8691" i="2"/>
  <c r="E8691" i="2"/>
  <c r="D8691" i="2"/>
  <c r="B8691" i="2"/>
  <c r="A8691" i="2"/>
  <c r="O8690" i="2"/>
  <c r="O8689" i="2"/>
  <c r="O8688" i="2"/>
  <c r="M8688" i="2"/>
  <c r="L8688" i="2"/>
  <c r="E8688" i="2"/>
  <c r="D8688" i="2"/>
  <c r="B8688" i="2"/>
  <c r="A8688" i="2"/>
  <c r="O8687" i="2"/>
  <c r="M8687" i="2"/>
  <c r="L8687" i="2"/>
  <c r="E8687" i="2"/>
  <c r="D8687" i="2"/>
  <c r="B8687" i="2"/>
  <c r="A8687" i="2"/>
  <c r="O8686" i="2"/>
  <c r="O8685" i="2"/>
  <c r="O8684" i="2"/>
  <c r="O8683" i="2"/>
  <c r="M8683" i="2"/>
  <c r="L8683" i="2"/>
  <c r="E8683" i="2"/>
  <c r="D8683" i="2"/>
  <c r="B8683" i="2"/>
  <c r="A8683" i="2"/>
  <c r="O8682" i="2"/>
  <c r="O8681" i="2"/>
  <c r="O8680" i="2"/>
  <c r="M8680" i="2"/>
  <c r="L8680" i="2"/>
  <c r="E8680" i="2"/>
  <c r="D8680" i="2"/>
  <c r="B8680" i="2"/>
  <c r="A8680" i="2"/>
  <c r="O8679" i="2"/>
  <c r="M8679" i="2"/>
  <c r="L8679" i="2"/>
  <c r="E8679" i="2"/>
  <c r="D8679" i="2"/>
  <c r="B8679" i="2"/>
  <c r="A8679" i="2"/>
  <c r="O8678" i="2"/>
  <c r="M8678" i="2"/>
  <c r="L8678" i="2"/>
  <c r="E8678" i="2"/>
  <c r="D8678" i="2"/>
  <c r="B8678" i="2"/>
  <c r="A8678" i="2"/>
  <c r="O8677" i="2"/>
  <c r="O8676" i="2"/>
  <c r="M8676" i="2"/>
  <c r="L8676" i="2"/>
  <c r="E8676" i="2"/>
  <c r="D8676" i="2"/>
  <c r="B8676" i="2"/>
  <c r="A8676" i="2"/>
  <c r="O8675" i="2"/>
  <c r="M8675" i="2"/>
  <c r="L8675" i="2"/>
  <c r="E8675" i="2"/>
  <c r="D8675" i="2"/>
  <c r="B8675" i="2"/>
  <c r="A8675" i="2"/>
  <c r="O8674" i="2"/>
  <c r="O8673" i="2"/>
  <c r="O8672" i="2"/>
  <c r="M8672" i="2"/>
  <c r="L8672" i="2"/>
  <c r="E8672" i="2"/>
  <c r="D8672" i="2"/>
  <c r="B8672" i="2"/>
  <c r="A8672" i="2"/>
  <c r="O8671" i="2"/>
  <c r="O8670" i="2"/>
  <c r="O8669" i="2"/>
  <c r="M8669" i="2"/>
  <c r="L8669" i="2"/>
  <c r="E8669" i="2"/>
  <c r="D8669" i="2"/>
  <c r="B8669" i="2"/>
  <c r="A8669" i="2"/>
  <c r="O8668" i="2"/>
  <c r="O8667" i="2"/>
  <c r="O8666" i="2"/>
  <c r="M8666" i="2"/>
  <c r="L8666" i="2"/>
  <c r="E8666" i="2"/>
  <c r="D8666" i="2"/>
  <c r="B8666" i="2"/>
  <c r="A8666" i="2"/>
  <c r="O8665" i="2"/>
  <c r="M8665" i="2"/>
  <c r="L8665" i="2"/>
  <c r="E8665" i="2"/>
  <c r="D8665" i="2"/>
  <c r="B8665" i="2"/>
  <c r="A8665" i="2"/>
  <c r="O8664" i="2"/>
  <c r="O8663" i="2"/>
  <c r="M8663" i="2"/>
  <c r="L8663" i="2"/>
  <c r="E8663" i="2"/>
  <c r="D8663" i="2"/>
  <c r="B8663" i="2"/>
  <c r="A8663" i="2"/>
  <c r="O8662" i="2"/>
  <c r="M8662" i="2"/>
  <c r="L8662" i="2"/>
  <c r="E8662" i="2"/>
  <c r="D8662" i="2"/>
  <c r="B8662" i="2"/>
  <c r="A8662" i="2"/>
  <c r="O8661" i="2"/>
  <c r="O8660" i="2"/>
  <c r="M8660" i="2"/>
  <c r="L8660" i="2"/>
  <c r="E8660" i="2"/>
  <c r="D8660" i="2"/>
  <c r="B8660" i="2"/>
  <c r="A8660" i="2"/>
  <c r="O8659" i="2"/>
  <c r="O8658" i="2"/>
  <c r="O8657" i="2"/>
  <c r="M8657" i="2"/>
  <c r="L8657" i="2"/>
  <c r="E8657" i="2"/>
  <c r="D8657" i="2"/>
  <c r="B8657" i="2"/>
  <c r="A8657" i="2"/>
  <c r="O8656" i="2"/>
  <c r="M8656" i="2"/>
  <c r="L8656" i="2"/>
  <c r="E8656" i="2"/>
  <c r="D8656" i="2"/>
  <c r="B8656" i="2"/>
  <c r="A8656" i="2"/>
  <c r="O8655" i="2"/>
  <c r="M8655" i="2"/>
  <c r="L8655" i="2"/>
  <c r="E8655" i="2"/>
  <c r="D8655" i="2"/>
  <c r="B8655" i="2"/>
  <c r="A8655" i="2"/>
  <c r="O8654" i="2"/>
  <c r="O8653" i="2"/>
  <c r="M8653" i="2"/>
  <c r="L8653" i="2"/>
  <c r="E8653" i="2"/>
  <c r="D8653" i="2"/>
  <c r="B8653" i="2"/>
  <c r="A8653" i="2"/>
  <c r="O8652" i="2"/>
  <c r="O8651" i="2"/>
  <c r="M8651" i="2"/>
  <c r="L8651" i="2"/>
  <c r="E8651" i="2"/>
  <c r="D8651" i="2"/>
  <c r="B8651" i="2"/>
  <c r="A8651" i="2"/>
  <c r="O8650" i="2"/>
  <c r="M8650" i="2"/>
  <c r="L8650" i="2"/>
  <c r="E8650" i="2"/>
  <c r="D8650" i="2"/>
  <c r="B8650" i="2"/>
  <c r="A8650" i="2"/>
  <c r="O8649" i="2"/>
  <c r="O8648" i="2"/>
  <c r="O8647" i="2"/>
  <c r="O8646" i="2"/>
  <c r="O8645" i="2"/>
  <c r="O8644" i="2"/>
  <c r="O8643" i="2"/>
  <c r="O8642" i="2"/>
  <c r="O8641" i="2"/>
  <c r="O8640" i="2"/>
  <c r="O8639" i="2"/>
  <c r="O8638" i="2"/>
  <c r="O8637" i="2"/>
  <c r="O8636" i="2"/>
  <c r="O8635" i="2"/>
  <c r="O8634" i="2"/>
  <c r="O8633" i="2"/>
  <c r="O8632" i="2"/>
  <c r="M8632" i="2"/>
  <c r="L8632" i="2"/>
  <c r="E8632" i="2"/>
  <c r="D8632" i="2"/>
  <c r="B8632" i="2"/>
  <c r="A8632" i="2"/>
  <c r="O8631" i="2"/>
  <c r="M8631" i="2"/>
  <c r="L8631" i="2"/>
  <c r="E8631" i="2"/>
  <c r="D8631" i="2"/>
  <c r="B8631" i="2"/>
  <c r="A8631" i="2"/>
  <c r="O8630" i="2"/>
  <c r="M8630" i="2"/>
  <c r="L8630" i="2"/>
  <c r="E8630" i="2"/>
  <c r="D8630" i="2"/>
  <c r="B8630" i="2"/>
  <c r="A8630" i="2"/>
  <c r="O8629" i="2"/>
  <c r="O8628" i="2"/>
  <c r="O8627" i="2"/>
  <c r="M8627" i="2"/>
  <c r="L8627" i="2"/>
  <c r="E8627" i="2"/>
  <c r="D8627" i="2"/>
  <c r="B8627" i="2"/>
  <c r="A8627" i="2"/>
  <c r="O8626" i="2"/>
  <c r="O8625" i="2"/>
  <c r="O8624" i="2"/>
  <c r="M8624" i="2"/>
  <c r="L8624" i="2"/>
  <c r="E8624" i="2"/>
  <c r="D8624" i="2"/>
  <c r="B8624" i="2"/>
  <c r="A8624" i="2"/>
  <c r="O8623" i="2"/>
  <c r="O8622" i="2"/>
  <c r="M8622" i="2"/>
  <c r="L8622" i="2"/>
  <c r="E8622" i="2"/>
  <c r="D8622" i="2"/>
  <c r="B8622" i="2"/>
  <c r="A8622" i="2"/>
  <c r="O8621" i="2"/>
  <c r="O8620" i="2"/>
  <c r="O8619" i="2"/>
  <c r="O8618" i="2"/>
  <c r="O8617" i="2"/>
  <c r="M8617" i="2"/>
  <c r="L8617" i="2"/>
  <c r="E8617" i="2"/>
  <c r="D8617" i="2"/>
  <c r="B8617" i="2"/>
  <c r="A8617" i="2"/>
  <c r="O8616" i="2"/>
  <c r="M8616" i="2"/>
  <c r="L8616" i="2"/>
  <c r="E8616" i="2"/>
  <c r="D8616" i="2"/>
  <c r="B8616" i="2"/>
  <c r="A8616" i="2"/>
  <c r="O8615" i="2"/>
  <c r="M8615" i="2"/>
  <c r="L8615" i="2"/>
  <c r="E8615" i="2"/>
  <c r="D8615" i="2"/>
  <c r="B8615" i="2"/>
  <c r="A8615" i="2"/>
  <c r="O8614" i="2"/>
  <c r="O8613" i="2"/>
  <c r="M8613" i="2"/>
  <c r="L8613" i="2"/>
  <c r="E8613" i="2"/>
  <c r="D8613" i="2"/>
  <c r="B8613" i="2"/>
  <c r="A8613" i="2"/>
  <c r="O8612" i="2"/>
  <c r="O8611" i="2"/>
  <c r="M8611" i="2"/>
  <c r="L8611" i="2"/>
  <c r="E8611" i="2"/>
  <c r="D8611" i="2"/>
  <c r="B8611" i="2"/>
  <c r="A8611" i="2"/>
  <c r="O8610" i="2"/>
  <c r="O8609" i="2"/>
  <c r="O8608" i="2"/>
  <c r="O8607" i="2"/>
  <c r="O8606" i="2"/>
  <c r="O8605" i="2"/>
  <c r="O8604" i="2"/>
  <c r="O8603" i="2"/>
  <c r="O8602" i="2"/>
  <c r="O8601" i="2"/>
  <c r="O8600" i="2"/>
  <c r="O8599" i="2"/>
  <c r="O8598" i="2"/>
  <c r="O8597" i="2"/>
  <c r="O8596" i="2"/>
  <c r="O8595" i="2"/>
  <c r="O8594" i="2"/>
  <c r="O8593" i="2"/>
  <c r="O8592" i="2"/>
  <c r="O8591" i="2"/>
  <c r="O8590" i="2"/>
  <c r="O8589" i="2"/>
  <c r="O8588" i="2"/>
  <c r="O8587" i="2"/>
  <c r="M8587" i="2"/>
  <c r="L8587" i="2"/>
  <c r="E8587" i="2"/>
  <c r="D8587" i="2"/>
  <c r="B8587" i="2"/>
  <c r="A8587" i="2"/>
  <c r="O8586" i="2"/>
  <c r="M8586" i="2"/>
  <c r="L8586" i="2"/>
  <c r="E8586" i="2"/>
  <c r="D8586" i="2"/>
  <c r="B8586" i="2"/>
  <c r="A8586" i="2"/>
  <c r="O8585" i="2"/>
  <c r="O8584" i="2"/>
  <c r="O8583" i="2"/>
  <c r="O8582" i="2"/>
  <c r="O8581" i="2"/>
  <c r="O8580" i="2"/>
  <c r="O8579" i="2"/>
  <c r="O8578" i="2"/>
  <c r="M8578" i="2"/>
  <c r="L8578" i="2"/>
  <c r="E8578" i="2"/>
  <c r="D8578" i="2"/>
  <c r="B8578" i="2"/>
  <c r="A8578" i="2"/>
  <c r="O8577" i="2"/>
  <c r="M8577" i="2"/>
  <c r="L8577" i="2"/>
  <c r="E8577" i="2"/>
  <c r="D8577" i="2"/>
  <c r="B8577" i="2"/>
  <c r="A8577" i="2"/>
  <c r="O8576" i="2"/>
  <c r="O8575" i="2"/>
  <c r="M8575" i="2"/>
  <c r="L8575" i="2"/>
  <c r="E8575" i="2"/>
  <c r="D8575" i="2"/>
  <c r="B8575" i="2"/>
  <c r="A8575" i="2"/>
  <c r="O8574" i="2"/>
  <c r="M8574" i="2"/>
  <c r="L8574" i="2"/>
  <c r="E8574" i="2"/>
  <c r="D8574" i="2"/>
  <c r="B8574" i="2"/>
  <c r="A8574" i="2"/>
  <c r="O8573" i="2"/>
  <c r="O8572" i="2"/>
  <c r="O8571" i="2"/>
  <c r="M8571" i="2"/>
  <c r="L8571" i="2"/>
  <c r="E8571" i="2"/>
  <c r="D8571" i="2"/>
  <c r="B8571" i="2"/>
  <c r="A8571" i="2"/>
  <c r="O8570" i="2"/>
  <c r="O8569" i="2"/>
  <c r="M8569" i="2"/>
  <c r="L8569" i="2"/>
  <c r="E8569" i="2"/>
  <c r="D8569" i="2"/>
  <c r="B8569" i="2"/>
  <c r="A8569" i="2"/>
  <c r="O8568" i="2"/>
  <c r="M8568" i="2"/>
  <c r="L8568" i="2"/>
  <c r="E8568" i="2"/>
  <c r="D8568" i="2"/>
  <c r="B8568" i="2"/>
  <c r="A8568" i="2"/>
  <c r="O8567" i="2"/>
  <c r="O8566" i="2"/>
  <c r="O8565" i="2"/>
  <c r="O8564" i="2"/>
  <c r="O8563" i="2"/>
  <c r="O8562" i="2"/>
  <c r="O8561" i="2"/>
  <c r="O8560" i="2"/>
  <c r="O8559" i="2"/>
  <c r="O8558" i="2"/>
  <c r="M8558" i="2"/>
  <c r="L8558" i="2"/>
  <c r="E8558" i="2"/>
  <c r="D8558" i="2"/>
  <c r="B8558" i="2"/>
  <c r="A8558" i="2"/>
  <c r="O8557" i="2"/>
  <c r="M8557" i="2"/>
  <c r="L8557" i="2"/>
  <c r="E8557" i="2"/>
  <c r="D8557" i="2"/>
  <c r="B8557" i="2"/>
  <c r="A8557" i="2"/>
  <c r="O8556" i="2"/>
  <c r="M8556" i="2"/>
  <c r="L8556" i="2"/>
  <c r="E8556" i="2"/>
  <c r="D8556" i="2"/>
  <c r="B8556" i="2"/>
  <c r="A8556" i="2"/>
  <c r="O8555" i="2"/>
  <c r="O8554" i="2"/>
  <c r="M8554" i="2"/>
  <c r="L8554" i="2"/>
  <c r="E8554" i="2"/>
  <c r="D8554" i="2"/>
  <c r="B8554" i="2"/>
  <c r="A8554" i="2"/>
  <c r="O8553" i="2"/>
  <c r="M8553" i="2"/>
  <c r="L8553" i="2"/>
  <c r="E8553" i="2"/>
  <c r="D8553" i="2"/>
  <c r="B8553" i="2"/>
  <c r="A8553" i="2"/>
  <c r="O8552" i="2"/>
  <c r="M8552" i="2"/>
  <c r="L8552" i="2"/>
  <c r="E8552" i="2"/>
  <c r="D8552" i="2"/>
  <c r="B8552" i="2"/>
  <c r="A8552" i="2"/>
  <c r="O8551" i="2"/>
  <c r="M8551" i="2"/>
  <c r="L8551" i="2"/>
  <c r="E8551" i="2"/>
  <c r="D8551" i="2"/>
  <c r="B8551" i="2"/>
  <c r="A8551" i="2"/>
  <c r="O8550" i="2"/>
  <c r="O8549" i="2"/>
  <c r="M8549" i="2"/>
  <c r="L8549" i="2"/>
  <c r="E8549" i="2"/>
  <c r="D8549" i="2"/>
  <c r="B8549" i="2"/>
  <c r="A8549" i="2"/>
  <c r="O8548" i="2"/>
  <c r="O8547" i="2"/>
  <c r="O8546" i="2"/>
  <c r="O8545" i="2"/>
  <c r="M8545" i="2"/>
  <c r="L8545" i="2"/>
  <c r="E8545" i="2"/>
  <c r="D8545" i="2"/>
  <c r="B8545" i="2"/>
  <c r="A8545" i="2"/>
  <c r="O8544" i="2"/>
  <c r="M8544" i="2"/>
  <c r="L8544" i="2"/>
  <c r="E8544" i="2"/>
  <c r="D8544" i="2"/>
  <c r="B8544" i="2"/>
  <c r="A8544" i="2"/>
  <c r="O8543" i="2"/>
  <c r="O8542" i="2"/>
  <c r="M8542" i="2"/>
  <c r="L8542" i="2"/>
  <c r="E8542" i="2"/>
  <c r="D8542" i="2"/>
  <c r="B8542" i="2"/>
  <c r="A8542" i="2"/>
  <c r="O8541" i="2"/>
  <c r="M8541" i="2"/>
  <c r="L8541" i="2"/>
  <c r="E8541" i="2"/>
  <c r="D8541" i="2"/>
  <c r="B8541" i="2"/>
  <c r="A8541" i="2"/>
  <c r="O8540" i="2"/>
  <c r="O8539" i="2"/>
  <c r="M8539" i="2"/>
  <c r="L8539" i="2"/>
  <c r="E8539" i="2"/>
  <c r="D8539" i="2"/>
  <c r="B8539" i="2"/>
  <c r="A8539" i="2"/>
  <c r="O8538" i="2"/>
  <c r="O8537" i="2"/>
  <c r="O8536" i="2"/>
  <c r="M8536" i="2"/>
  <c r="L8536" i="2"/>
  <c r="E8536" i="2"/>
  <c r="D8536" i="2"/>
  <c r="B8536" i="2"/>
  <c r="A8536" i="2"/>
  <c r="O8535" i="2"/>
  <c r="O8534" i="2"/>
  <c r="O8533" i="2"/>
  <c r="O8532" i="2"/>
  <c r="O8531" i="2"/>
  <c r="O8530" i="2"/>
  <c r="O8529" i="2"/>
  <c r="O8528" i="2"/>
  <c r="M8528" i="2"/>
  <c r="L8528" i="2"/>
  <c r="E8528" i="2"/>
  <c r="D8528" i="2"/>
  <c r="B8528" i="2"/>
  <c r="A8528" i="2"/>
  <c r="O8527" i="2"/>
  <c r="M8527" i="2"/>
  <c r="L8527" i="2"/>
  <c r="E8527" i="2"/>
  <c r="D8527" i="2"/>
  <c r="B8527" i="2"/>
  <c r="A8527" i="2"/>
  <c r="O8526" i="2"/>
  <c r="O8525" i="2"/>
  <c r="M8525" i="2"/>
  <c r="L8525" i="2"/>
  <c r="E8525" i="2"/>
  <c r="D8525" i="2"/>
  <c r="B8525" i="2"/>
  <c r="A8525" i="2"/>
  <c r="O8524" i="2"/>
  <c r="M8524" i="2"/>
  <c r="L8524" i="2"/>
  <c r="E8524" i="2"/>
  <c r="D8524" i="2"/>
  <c r="B8524" i="2"/>
  <c r="A8524" i="2"/>
  <c r="O8523" i="2"/>
  <c r="M8523" i="2"/>
  <c r="L8523" i="2"/>
  <c r="E8523" i="2"/>
  <c r="D8523" i="2"/>
  <c r="B8523" i="2"/>
  <c r="A8523" i="2"/>
  <c r="O8522" i="2"/>
  <c r="O8521" i="2"/>
  <c r="O8520" i="2"/>
  <c r="M8520" i="2"/>
  <c r="L8520" i="2"/>
  <c r="E8520" i="2"/>
  <c r="D8520" i="2"/>
  <c r="B8520" i="2"/>
  <c r="A8520" i="2"/>
  <c r="O8519" i="2"/>
  <c r="O8518" i="2"/>
  <c r="M8518" i="2"/>
  <c r="L8518" i="2"/>
  <c r="E8518" i="2"/>
  <c r="D8518" i="2"/>
  <c r="B8518" i="2"/>
  <c r="A8518" i="2"/>
  <c r="O8517" i="2"/>
  <c r="M8517" i="2"/>
  <c r="L8517" i="2"/>
  <c r="E8517" i="2"/>
  <c r="D8517" i="2"/>
  <c r="B8517" i="2"/>
  <c r="A8517" i="2"/>
  <c r="O8516" i="2"/>
  <c r="O8515" i="2"/>
  <c r="O8514" i="2"/>
  <c r="M8514" i="2"/>
  <c r="L8514" i="2"/>
  <c r="E8514" i="2"/>
  <c r="D8514" i="2"/>
  <c r="B8514" i="2"/>
  <c r="A8514" i="2"/>
  <c r="O8513" i="2"/>
  <c r="M8513" i="2"/>
  <c r="L8513" i="2"/>
  <c r="E8513" i="2"/>
  <c r="D8513" i="2"/>
  <c r="B8513" i="2"/>
  <c r="A8513" i="2"/>
  <c r="O8512" i="2"/>
  <c r="O8511" i="2"/>
  <c r="O8510" i="2"/>
  <c r="M8510" i="2"/>
  <c r="L8510" i="2"/>
  <c r="E8510" i="2"/>
  <c r="D8510" i="2"/>
  <c r="B8510" i="2"/>
  <c r="A8510" i="2"/>
  <c r="O8509" i="2"/>
  <c r="M8509" i="2"/>
  <c r="L8509" i="2"/>
  <c r="E8509" i="2"/>
  <c r="D8509" i="2"/>
  <c r="B8509" i="2"/>
  <c r="A8509" i="2"/>
  <c r="O8508" i="2"/>
  <c r="O8507" i="2"/>
  <c r="O8506" i="2"/>
  <c r="O8505" i="2"/>
  <c r="O8504" i="2"/>
  <c r="O8503" i="2"/>
  <c r="O8502" i="2"/>
  <c r="O8501" i="2"/>
  <c r="O8500" i="2"/>
  <c r="O8499" i="2"/>
  <c r="O8498" i="2"/>
  <c r="O8497" i="2"/>
  <c r="M8497" i="2"/>
  <c r="L8497" i="2"/>
  <c r="E8497" i="2"/>
  <c r="D8497" i="2"/>
  <c r="B8497" i="2"/>
  <c r="A8497" i="2"/>
  <c r="O8496" i="2"/>
  <c r="M8496" i="2"/>
  <c r="L8496" i="2"/>
  <c r="E8496" i="2"/>
  <c r="D8496" i="2"/>
  <c r="B8496" i="2"/>
  <c r="A8496" i="2"/>
  <c r="O8495" i="2"/>
  <c r="M8495" i="2"/>
  <c r="L8495" i="2"/>
  <c r="E8495" i="2"/>
  <c r="D8495" i="2"/>
  <c r="B8495" i="2"/>
  <c r="A8495" i="2"/>
  <c r="O8494" i="2"/>
  <c r="M8494" i="2"/>
  <c r="L8494" i="2"/>
  <c r="E8494" i="2"/>
  <c r="D8494" i="2"/>
  <c r="B8494" i="2"/>
  <c r="A8494" i="2"/>
  <c r="O8493" i="2"/>
  <c r="M8493" i="2"/>
  <c r="L8493" i="2"/>
  <c r="E8493" i="2"/>
  <c r="D8493" i="2"/>
  <c r="B8493" i="2"/>
  <c r="A8493" i="2"/>
  <c r="O8492" i="2"/>
  <c r="M8492" i="2"/>
  <c r="L8492" i="2"/>
  <c r="E8492" i="2"/>
  <c r="D8492" i="2"/>
  <c r="B8492" i="2"/>
  <c r="A8492" i="2"/>
  <c r="O8491" i="2"/>
  <c r="M8491" i="2"/>
  <c r="L8491" i="2"/>
  <c r="E8491" i="2"/>
  <c r="D8491" i="2"/>
  <c r="B8491" i="2"/>
  <c r="A8491" i="2"/>
  <c r="O8490" i="2"/>
  <c r="M8490" i="2"/>
  <c r="L8490" i="2"/>
  <c r="E8490" i="2"/>
  <c r="D8490" i="2"/>
  <c r="B8490" i="2"/>
  <c r="A8490" i="2"/>
  <c r="O8489" i="2"/>
  <c r="M8489" i="2"/>
  <c r="L8489" i="2"/>
  <c r="E8489" i="2"/>
  <c r="D8489" i="2"/>
  <c r="B8489" i="2"/>
  <c r="A8489" i="2"/>
  <c r="O8488" i="2"/>
  <c r="O8487" i="2"/>
  <c r="O8486" i="2"/>
  <c r="O8485" i="2"/>
  <c r="O8484" i="2"/>
  <c r="O8483" i="2"/>
  <c r="O8482" i="2"/>
  <c r="O8481" i="2"/>
  <c r="O8480" i="2"/>
  <c r="O8479" i="2"/>
  <c r="O8478" i="2"/>
  <c r="O8477" i="2"/>
  <c r="O8476" i="2"/>
  <c r="O8475" i="2"/>
  <c r="O8474" i="2"/>
  <c r="M8474" i="2"/>
  <c r="L8474" i="2"/>
  <c r="E8474" i="2"/>
  <c r="D8474" i="2"/>
  <c r="B8474" i="2"/>
  <c r="A8474" i="2"/>
  <c r="O8473" i="2"/>
  <c r="M8473" i="2"/>
  <c r="L8473" i="2"/>
  <c r="E8473" i="2"/>
  <c r="D8473" i="2"/>
  <c r="B8473" i="2"/>
  <c r="A8473" i="2"/>
  <c r="O8472" i="2"/>
  <c r="M8472" i="2"/>
  <c r="L8472" i="2"/>
  <c r="E8472" i="2"/>
  <c r="D8472" i="2"/>
  <c r="B8472" i="2"/>
  <c r="A8472" i="2"/>
  <c r="O8471" i="2"/>
  <c r="O8470" i="2"/>
  <c r="M8470" i="2"/>
  <c r="L8470" i="2"/>
  <c r="E8470" i="2"/>
  <c r="D8470" i="2"/>
  <c r="B8470" i="2"/>
  <c r="A8470" i="2"/>
  <c r="O8469" i="2"/>
  <c r="O8468" i="2"/>
  <c r="O8467" i="2"/>
  <c r="O8466" i="2"/>
  <c r="M8466" i="2"/>
  <c r="L8466" i="2"/>
  <c r="E8466" i="2"/>
  <c r="D8466" i="2"/>
  <c r="B8466" i="2"/>
  <c r="A8466" i="2"/>
  <c r="O8465" i="2"/>
  <c r="M8465" i="2"/>
  <c r="L8465" i="2"/>
  <c r="E8465" i="2"/>
  <c r="D8465" i="2"/>
  <c r="B8465" i="2"/>
  <c r="A8465" i="2"/>
  <c r="O8464" i="2"/>
  <c r="M8464" i="2"/>
  <c r="L8464" i="2"/>
  <c r="E8464" i="2"/>
  <c r="D8464" i="2"/>
  <c r="B8464" i="2"/>
  <c r="A8464" i="2"/>
  <c r="O8463" i="2"/>
  <c r="O8462" i="2"/>
  <c r="M8462" i="2"/>
  <c r="L8462" i="2"/>
  <c r="E8462" i="2"/>
  <c r="D8462" i="2"/>
  <c r="B8462" i="2"/>
  <c r="A8462" i="2"/>
  <c r="O8461" i="2"/>
  <c r="O8460" i="2"/>
  <c r="M8460" i="2"/>
  <c r="L8460" i="2"/>
  <c r="E8460" i="2"/>
  <c r="D8460" i="2"/>
  <c r="B8460" i="2"/>
  <c r="A8460" i="2"/>
  <c r="O8459" i="2"/>
  <c r="O8458" i="2"/>
  <c r="M8458" i="2"/>
  <c r="L8458" i="2"/>
  <c r="E8458" i="2"/>
  <c r="D8458" i="2"/>
  <c r="B8458" i="2"/>
  <c r="A8458" i="2"/>
  <c r="O8457" i="2"/>
  <c r="O8456" i="2"/>
  <c r="M8456" i="2"/>
  <c r="L8456" i="2"/>
  <c r="E8456" i="2"/>
  <c r="D8456" i="2"/>
  <c r="B8456" i="2"/>
  <c r="A8456" i="2"/>
  <c r="O8455" i="2"/>
  <c r="O8454" i="2"/>
  <c r="O8453" i="2"/>
  <c r="O8452" i="2"/>
  <c r="M8452" i="2"/>
  <c r="L8452" i="2"/>
  <c r="E8452" i="2"/>
  <c r="D8452" i="2"/>
  <c r="B8452" i="2"/>
  <c r="A8452" i="2"/>
  <c r="O8451" i="2"/>
  <c r="M8451" i="2"/>
  <c r="L8451" i="2"/>
  <c r="E8451" i="2"/>
  <c r="D8451" i="2"/>
  <c r="B8451" i="2"/>
  <c r="A8451" i="2"/>
  <c r="O8450" i="2"/>
  <c r="M8450" i="2"/>
  <c r="L8450" i="2"/>
  <c r="E8450" i="2"/>
  <c r="D8450" i="2"/>
  <c r="B8450" i="2"/>
  <c r="A8450" i="2"/>
  <c r="O8449" i="2"/>
  <c r="O8448" i="2"/>
  <c r="O8447" i="2"/>
  <c r="O8446" i="2"/>
  <c r="M8446" i="2"/>
  <c r="L8446" i="2"/>
  <c r="E8446" i="2"/>
  <c r="D8446" i="2"/>
  <c r="B8446" i="2"/>
  <c r="A8446" i="2"/>
  <c r="O8445" i="2"/>
  <c r="M8445" i="2"/>
  <c r="L8445" i="2"/>
  <c r="E8445" i="2"/>
  <c r="D8445" i="2"/>
  <c r="B8445" i="2"/>
  <c r="A8445" i="2"/>
  <c r="O8444" i="2"/>
  <c r="M8444" i="2"/>
  <c r="L8444" i="2"/>
  <c r="E8444" i="2"/>
  <c r="D8444" i="2"/>
  <c r="B8444" i="2"/>
  <c r="A8444" i="2"/>
  <c r="O8443" i="2"/>
  <c r="M8443" i="2"/>
  <c r="L8443" i="2"/>
  <c r="E8443" i="2"/>
  <c r="D8443" i="2"/>
  <c r="B8443" i="2"/>
  <c r="A8443" i="2"/>
  <c r="O8442" i="2"/>
  <c r="O8441" i="2"/>
  <c r="M8441" i="2"/>
  <c r="L8441" i="2"/>
  <c r="E8441" i="2"/>
  <c r="D8441" i="2"/>
  <c r="B8441" i="2"/>
  <c r="A8441" i="2"/>
  <c r="O8440" i="2"/>
  <c r="M8440" i="2"/>
  <c r="L8440" i="2"/>
  <c r="E8440" i="2"/>
  <c r="D8440" i="2"/>
  <c r="B8440" i="2"/>
  <c r="A8440" i="2"/>
  <c r="O8439" i="2"/>
  <c r="O8438" i="2"/>
  <c r="M8438" i="2"/>
  <c r="L8438" i="2"/>
  <c r="E8438" i="2"/>
  <c r="D8438" i="2"/>
  <c r="B8438" i="2"/>
  <c r="A8438" i="2"/>
  <c r="O8437" i="2"/>
  <c r="M8437" i="2"/>
  <c r="L8437" i="2"/>
  <c r="E8437" i="2"/>
  <c r="D8437" i="2"/>
  <c r="B8437" i="2"/>
  <c r="A8437" i="2"/>
  <c r="O8436" i="2"/>
  <c r="O8435" i="2"/>
  <c r="M8435" i="2"/>
  <c r="L8435" i="2"/>
  <c r="E8435" i="2"/>
  <c r="D8435" i="2"/>
  <c r="B8435" i="2"/>
  <c r="A8435" i="2"/>
  <c r="O8434" i="2"/>
  <c r="O8433" i="2"/>
  <c r="O8432" i="2"/>
  <c r="O8431" i="2"/>
  <c r="O8430" i="2"/>
  <c r="O8429" i="2"/>
  <c r="O8428" i="2"/>
  <c r="O8427" i="2"/>
  <c r="O8426" i="2"/>
  <c r="O8425" i="2"/>
  <c r="M8425" i="2"/>
  <c r="L8425" i="2"/>
  <c r="E8425" i="2"/>
  <c r="D8425" i="2"/>
  <c r="B8425" i="2"/>
  <c r="A8425" i="2"/>
  <c r="O8424" i="2"/>
  <c r="O8423" i="2"/>
  <c r="O8422" i="2"/>
  <c r="O8421" i="2"/>
  <c r="O8420" i="2"/>
  <c r="O8419" i="2"/>
  <c r="M8419" i="2"/>
  <c r="L8419" i="2"/>
  <c r="E8419" i="2"/>
  <c r="D8419" i="2"/>
  <c r="B8419" i="2"/>
  <c r="A8419" i="2"/>
  <c r="O8418" i="2"/>
  <c r="O8417" i="2"/>
  <c r="M8417" i="2"/>
  <c r="L8417" i="2"/>
  <c r="E8417" i="2"/>
  <c r="D8417" i="2"/>
  <c r="B8417" i="2"/>
  <c r="A8417" i="2"/>
  <c r="O8416" i="2"/>
  <c r="O8415" i="2"/>
  <c r="M8415" i="2"/>
  <c r="L8415" i="2"/>
  <c r="E8415" i="2"/>
  <c r="D8415" i="2"/>
  <c r="B8415" i="2"/>
  <c r="A8415" i="2"/>
  <c r="O8414" i="2"/>
  <c r="O8413" i="2"/>
  <c r="O8412" i="2"/>
  <c r="O8411" i="2"/>
  <c r="O8410" i="2"/>
  <c r="O8409" i="2"/>
  <c r="O8408" i="2"/>
  <c r="O8407" i="2"/>
  <c r="M8407" i="2"/>
  <c r="L8407" i="2"/>
  <c r="E8407" i="2"/>
  <c r="D8407" i="2"/>
  <c r="B8407" i="2"/>
  <c r="A8407" i="2"/>
  <c r="O8406" i="2"/>
  <c r="M8406" i="2"/>
  <c r="L8406" i="2"/>
  <c r="E8406" i="2"/>
  <c r="D8406" i="2"/>
  <c r="B8406" i="2"/>
  <c r="A8406" i="2"/>
  <c r="O8405" i="2"/>
  <c r="O8404" i="2"/>
  <c r="O8403" i="2"/>
  <c r="O8402" i="2"/>
  <c r="O8401" i="2"/>
  <c r="M8401" i="2"/>
  <c r="L8401" i="2"/>
  <c r="E8401" i="2"/>
  <c r="D8401" i="2"/>
  <c r="B8401" i="2"/>
  <c r="A8401" i="2"/>
  <c r="O8400" i="2"/>
  <c r="M8400" i="2"/>
  <c r="L8400" i="2"/>
  <c r="E8400" i="2"/>
  <c r="D8400" i="2"/>
  <c r="B8400" i="2"/>
  <c r="A8400" i="2"/>
  <c r="O8399" i="2"/>
  <c r="M8399" i="2"/>
  <c r="L8399" i="2"/>
  <c r="E8399" i="2"/>
  <c r="D8399" i="2"/>
  <c r="B8399" i="2"/>
  <c r="A8399" i="2"/>
  <c r="O8398" i="2"/>
  <c r="M8398" i="2"/>
  <c r="L8398" i="2"/>
  <c r="E8398" i="2"/>
  <c r="D8398" i="2"/>
  <c r="B8398" i="2"/>
  <c r="A8398" i="2"/>
  <c r="O8397" i="2"/>
  <c r="M8397" i="2"/>
  <c r="L8397" i="2"/>
  <c r="E8397" i="2"/>
  <c r="D8397" i="2"/>
  <c r="B8397" i="2"/>
  <c r="A8397" i="2"/>
  <c r="O8396" i="2"/>
  <c r="O8395" i="2"/>
  <c r="M8395" i="2"/>
  <c r="L8395" i="2"/>
  <c r="E8395" i="2"/>
  <c r="D8395" i="2"/>
  <c r="B8395" i="2"/>
  <c r="A8395" i="2"/>
  <c r="O8394" i="2"/>
  <c r="O8393" i="2"/>
  <c r="O8392" i="2"/>
  <c r="O8391" i="2"/>
  <c r="O8390" i="2"/>
  <c r="M8390" i="2"/>
  <c r="L8390" i="2"/>
  <c r="E8390" i="2"/>
  <c r="D8390" i="2"/>
  <c r="B8390" i="2"/>
  <c r="A8390" i="2"/>
  <c r="O8389" i="2"/>
  <c r="M8389" i="2"/>
  <c r="L8389" i="2"/>
  <c r="E8389" i="2"/>
  <c r="D8389" i="2"/>
  <c r="B8389" i="2"/>
  <c r="A8389" i="2"/>
  <c r="O8388" i="2"/>
  <c r="O8387" i="2"/>
  <c r="O8386" i="2"/>
  <c r="O8385" i="2"/>
  <c r="O8384" i="2"/>
  <c r="O8383" i="2"/>
  <c r="O8382" i="2"/>
  <c r="M8382" i="2"/>
  <c r="L8382" i="2"/>
  <c r="E8382" i="2"/>
  <c r="D8382" i="2"/>
  <c r="B8382" i="2"/>
  <c r="A8382" i="2"/>
  <c r="O8381" i="2"/>
  <c r="O8380" i="2"/>
  <c r="M8380" i="2"/>
  <c r="L8380" i="2"/>
  <c r="E8380" i="2"/>
  <c r="D8380" i="2"/>
  <c r="B8380" i="2"/>
  <c r="A8380" i="2"/>
  <c r="O8379" i="2"/>
  <c r="M8379" i="2"/>
  <c r="L8379" i="2"/>
  <c r="E8379" i="2"/>
  <c r="D8379" i="2"/>
  <c r="B8379" i="2"/>
  <c r="A8379" i="2"/>
  <c r="O8378" i="2"/>
  <c r="O8377" i="2"/>
  <c r="M8377" i="2"/>
  <c r="L8377" i="2"/>
  <c r="E8377" i="2"/>
  <c r="D8377" i="2"/>
  <c r="B8377" i="2"/>
  <c r="A8377" i="2"/>
  <c r="O8376" i="2"/>
  <c r="M8376" i="2"/>
  <c r="L8376" i="2"/>
  <c r="E8376" i="2"/>
  <c r="D8376" i="2"/>
  <c r="B8376" i="2"/>
  <c r="A8376" i="2"/>
  <c r="O8375" i="2"/>
  <c r="M8375" i="2"/>
  <c r="L8375" i="2"/>
  <c r="E8375" i="2"/>
  <c r="D8375" i="2"/>
  <c r="B8375" i="2"/>
  <c r="A8375" i="2"/>
  <c r="O8374" i="2"/>
  <c r="O8373" i="2"/>
  <c r="M8373" i="2"/>
  <c r="L8373" i="2"/>
  <c r="E8373" i="2"/>
  <c r="D8373" i="2"/>
  <c r="B8373" i="2"/>
  <c r="A8373" i="2"/>
  <c r="O8372" i="2"/>
  <c r="M8372" i="2"/>
  <c r="L8372" i="2"/>
  <c r="E8372" i="2"/>
  <c r="D8372" i="2"/>
  <c r="B8372" i="2"/>
  <c r="A8372" i="2"/>
  <c r="O8371" i="2"/>
  <c r="M8371" i="2"/>
  <c r="L8371" i="2"/>
  <c r="E8371" i="2"/>
  <c r="D8371" i="2"/>
  <c r="B8371" i="2"/>
  <c r="A8371" i="2"/>
  <c r="O8370" i="2"/>
  <c r="M8370" i="2"/>
  <c r="L8370" i="2"/>
  <c r="E8370" i="2"/>
  <c r="D8370" i="2"/>
  <c r="B8370" i="2"/>
  <c r="A8370" i="2"/>
  <c r="O8369" i="2"/>
  <c r="O8368" i="2"/>
  <c r="O8367" i="2"/>
  <c r="M8367" i="2"/>
  <c r="L8367" i="2"/>
  <c r="E8367" i="2"/>
  <c r="D8367" i="2"/>
  <c r="B8367" i="2"/>
  <c r="A8367" i="2"/>
  <c r="O8366" i="2"/>
  <c r="O8365" i="2"/>
  <c r="O8364" i="2"/>
  <c r="O8363" i="2"/>
  <c r="O8362" i="2"/>
  <c r="O8361" i="2"/>
  <c r="M8361" i="2"/>
  <c r="L8361" i="2"/>
  <c r="E8361" i="2"/>
  <c r="D8361" i="2"/>
  <c r="B8361" i="2"/>
  <c r="A8361" i="2"/>
  <c r="O8360" i="2"/>
  <c r="M8360" i="2"/>
  <c r="L8360" i="2"/>
  <c r="E8360" i="2"/>
  <c r="D8360" i="2"/>
  <c r="B8360" i="2"/>
  <c r="A8360" i="2"/>
  <c r="O8359" i="2"/>
  <c r="O8358" i="2"/>
  <c r="O8357" i="2"/>
  <c r="O8356" i="2"/>
  <c r="O8355" i="2"/>
  <c r="O8354" i="2"/>
  <c r="O8353" i="2"/>
  <c r="O8352" i="2"/>
  <c r="M8352" i="2"/>
  <c r="L8352" i="2"/>
  <c r="E8352" i="2"/>
  <c r="D8352" i="2"/>
  <c r="B8352" i="2"/>
  <c r="A8352" i="2"/>
  <c r="O8351" i="2"/>
  <c r="O8350" i="2"/>
  <c r="O8349" i="2"/>
  <c r="O8348" i="2"/>
  <c r="M8348" i="2"/>
  <c r="L8348" i="2"/>
  <c r="E8348" i="2"/>
  <c r="D8348" i="2"/>
  <c r="B8348" i="2"/>
  <c r="A8348" i="2"/>
  <c r="O8347" i="2"/>
  <c r="O8346" i="2"/>
  <c r="M8346" i="2"/>
  <c r="L8346" i="2"/>
  <c r="E8346" i="2"/>
  <c r="D8346" i="2"/>
  <c r="B8346" i="2"/>
  <c r="A8346" i="2"/>
  <c r="O8345" i="2"/>
  <c r="M8345" i="2"/>
  <c r="L8345" i="2"/>
  <c r="E8345" i="2"/>
  <c r="D8345" i="2"/>
  <c r="B8345" i="2"/>
  <c r="A8345" i="2"/>
  <c r="O8344" i="2"/>
  <c r="M8344" i="2"/>
  <c r="L8344" i="2"/>
  <c r="E8344" i="2"/>
  <c r="D8344" i="2"/>
  <c r="B8344" i="2"/>
  <c r="A8344" i="2"/>
  <c r="O8343" i="2"/>
  <c r="M8343" i="2"/>
  <c r="L8343" i="2"/>
  <c r="E8343" i="2"/>
  <c r="D8343" i="2"/>
  <c r="B8343" i="2"/>
  <c r="A8343" i="2"/>
  <c r="O8342" i="2"/>
  <c r="O8341" i="2"/>
  <c r="M8341" i="2"/>
  <c r="L8341" i="2"/>
  <c r="E8341" i="2"/>
  <c r="D8341" i="2"/>
  <c r="B8341" i="2"/>
  <c r="A8341" i="2"/>
  <c r="O8340" i="2"/>
  <c r="M8340" i="2"/>
  <c r="L8340" i="2"/>
  <c r="E8340" i="2"/>
  <c r="D8340" i="2"/>
  <c r="B8340" i="2"/>
  <c r="A8340" i="2"/>
  <c r="O8339" i="2"/>
  <c r="O8338" i="2"/>
  <c r="O8337" i="2"/>
  <c r="O8336" i="2"/>
  <c r="M8336" i="2"/>
  <c r="L8336" i="2"/>
  <c r="E8336" i="2"/>
  <c r="D8336" i="2"/>
  <c r="B8336" i="2"/>
  <c r="A8336" i="2"/>
  <c r="O8335" i="2"/>
  <c r="O8334" i="2"/>
  <c r="M8334" i="2"/>
  <c r="L8334" i="2"/>
  <c r="E8334" i="2"/>
  <c r="D8334" i="2"/>
  <c r="B8334" i="2"/>
  <c r="A8334" i="2"/>
  <c r="O8333" i="2"/>
  <c r="M8333" i="2"/>
  <c r="L8333" i="2"/>
  <c r="E8333" i="2"/>
  <c r="D8333" i="2"/>
  <c r="B8333" i="2"/>
  <c r="A8333" i="2"/>
  <c r="O8332" i="2"/>
  <c r="M8332" i="2"/>
  <c r="L8332" i="2"/>
  <c r="E8332" i="2"/>
  <c r="D8332" i="2"/>
  <c r="B8332" i="2"/>
  <c r="A8332" i="2"/>
  <c r="O8331" i="2"/>
  <c r="M8331" i="2"/>
  <c r="L8331" i="2"/>
  <c r="E8331" i="2"/>
  <c r="D8331" i="2"/>
  <c r="B8331" i="2"/>
  <c r="A8331" i="2"/>
  <c r="O8330" i="2"/>
  <c r="O8329" i="2"/>
  <c r="M8329" i="2"/>
  <c r="L8329" i="2"/>
  <c r="E8329" i="2"/>
  <c r="D8329" i="2"/>
  <c r="B8329" i="2"/>
  <c r="A8329" i="2"/>
  <c r="O8328" i="2"/>
  <c r="O8327" i="2"/>
  <c r="O8326" i="2"/>
  <c r="M8326" i="2"/>
  <c r="L8326" i="2"/>
  <c r="E8326" i="2"/>
  <c r="D8326" i="2"/>
  <c r="B8326" i="2"/>
  <c r="A8326" i="2"/>
  <c r="O8325" i="2"/>
  <c r="O8324" i="2"/>
  <c r="O8323" i="2"/>
  <c r="M8323" i="2"/>
  <c r="L8323" i="2"/>
  <c r="E8323" i="2"/>
  <c r="D8323" i="2"/>
  <c r="B8323" i="2"/>
  <c r="A8323" i="2"/>
  <c r="O8322" i="2"/>
  <c r="M8322" i="2"/>
  <c r="L8322" i="2"/>
  <c r="E8322" i="2"/>
  <c r="D8322" i="2"/>
  <c r="B8322" i="2"/>
  <c r="A8322" i="2"/>
  <c r="O8321" i="2"/>
  <c r="M8321" i="2"/>
  <c r="L8321" i="2"/>
  <c r="E8321" i="2"/>
  <c r="D8321" i="2"/>
  <c r="B8321" i="2"/>
  <c r="A8321" i="2"/>
  <c r="O8320" i="2"/>
  <c r="O8319" i="2"/>
  <c r="M8319" i="2"/>
  <c r="L8319" i="2"/>
  <c r="E8319" i="2"/>
  <c r="D8319" i="2"/>
  <c r="B8319" i="2"/>
  <c r="A8319" i="2"/>
  <c r="O8318" i="2"/>
  <c r="M8318" i="2"/>
  <c r="L8318" i="2"/>
  <c r="E8318" i="2"/>
  <c r="D8318" i="2"/>
  <c r="B8318" i="2"/>
  <c r="A8318" i="2"/>
  <c r="O8317" i="2"/>
  <c r="M8317" i="2"/>
  <c r="L8317" i="2"/>
  <c r="E8317" i="2"/>
  <c r="D8317" i="2"/>
  <c r="B8317" i="2"/>
  <c r="A8317" i="2"/>
  <c r="O8316" i="2"/>
  <c r="M8316" i="2"/>
  <c r="L8316" i="2"/>
  <c r="E8316" i="2"/>
  <c r="D8316" i="2"/>
  <c r="B8316" i="2"/>
  <c r="A8316" i="2"/>
  <c r="O8315" i="2"/>
  <c r="O8314" i="2"/>
  <c r="M8314" i="2"/>
  <c r="L8314" i="2"/>
  <c r="E8314" i="2"/>
  <c r="D8314" i="2"/>
  <c r="B8314" i="2"/>
  <c r="A8314" i="2"/>
  <c r="O8313" i="2"/>
  <c r="M8313" i="2"/>
  <c r="L8313" i="2"/>
  <c r="E8313" i="2"/>
  <c r="D8313" i="2"/>
  <c r="B8313" i="2"/>
  <c r="A8313" i="2"/>
  <c r="O8312" i="2"/>
  <c r="M8312" i="2"/>
  <c r="L8312" i="2"/>
  <c r="E8312" i="2"/>
  <c r="D8312" i="2"/>
  <c r="B8312" i="2"/>
  <c r="A8312" i="2"/>
  <c r="O8311" i="2"/>
  <c r="O8310" i="2"/>
  <c r="M8310" i="2"/>
  <c r="L8310" i="2"/>
  <c r="E8310" i="2"/>
  <c r="D8310" i="2"/>
  <c r="B8310" i="2"/>
  <c r="A8310" i="2"/>
  <c r="O8309" i="2"/>
  <c r="M8309" i="2"/>
  <c r="L8309" i="2"/>
  <c r="E8309" i="2"/>
  <c r="D8309" i="2"/>
  <c r="B8309" i="2"/>
  <c r="A8309" i="2"/>
  <c r="O8308" i="2"/>
  <c r="M8308" i="2"/>
  <c r="L8308" i="2"/>
  <c r="E8308" i="2"/>
  <c r="D8308" i="2"/>
  <c r="B8308" i="2"/>
  <c r="A8308" i="2"/>
  <c r="O8307" i="2"/>
  <c r="O8306" i="2"/>
  <c r="O8305" i="2"/>
  <c r="O8304" i="2"/>
  <c r="O8303" i="2"/>
  <c r="O8302" i="2"/>
  <c r="O8301" i="2"/>
  <c r="M8301" i="2"/>
  <c r="L8301" i="2"/>
  <c r="E8301" i="2"/>
  <c r="D8301" i="2"/>
  <c r="B8301" i="2"/>
  <c r="A8301" i="2"/>
  <c r="O8300" i="2"/>
  <c r="M8300" i="2"/>
  <c r="L8300" i="2"/>
  <c r="E8300" i="2"/>
  <c r="D8300" i="2"/>
  <c r="B8300" i="2"/>
  <c r="A8300" i="2"/>
  <c r="O8299" i="2"/>
  <c r="O8298" i="2"/>
  <c r="O8297" i="2"/>
  <c r="O8296" i="2"/>
  <c r="O8295" i="2"/>
  <c r="O8294" i="2"/>
  <c r="O8293" i="2"/>
  <c r="O8292" i="2"/>
  <c r="O8291" i="2"/>
  <c r="M8291" i="2"/>
  <c r="L8291" i="2"/>
  <c r="E8291" i="2"/>
  <c r="D8291" i="2"/>
  <c r="B8291" i="2"/>
  <c r="A8291" i="2"/>
  <c r="O8290" i="2"/>
  <c r="O8289" i="2"/>
  <c r="M8289" i="2"/>
  <c r="L8289" i="2"/>
  <c r="E8289" i="2"/>
  <c r="D8289" i="2"/>
  <c r="B8289" i="2"/>
  <c r="A8289" i="2"/>
  <c r="O8288" i="2"/>
  <c r="O8287" i="2"/>
  <c r="O8286" i="2"/>
  <c r="M8286" i="2"/>
  <c r="L8286" i="2"/>
  <c r="E8286" i="2"/>
  <c r="D8286" i="2"/>
  <c r="B8286" i="2"/>
  <c r="A8286" i="2"/>
  <c r="O8285" i="2"/>
  <c r="O8284" i="2"/>
  <c r="M8284" i="2"/>
  <c r="L8284" i="2"/>
  <c r="E8284" i="2"/>
  <c r="D8284" i="2"/>
  <c r="B8284" i="2"/>
  <c r="A8284" i="2"/>
  <c r="O8283" i="2"/>
  <c r="O8282" i="2"/>
  <c r="O8281" i="2"/>
  <c r="M8281" i="2"/>
  <c r="L8281" i="2"/>
  <c r="E8281" i="2"/>
  <c r="D8281" i="2"/>
  <c r="B8281" i="2"/>
  <c r="A8281" i="2"/>
  <c r="O8280" i="2"/>
  <c r="O8279" i="2"/>
  <c r="O8278" i="2"/>
  <c r="O8277" i="2"/>
  <c r="O8276" i="2"/>
  <c r="O8275" i="2"/>
  <c r="O8274" i="2"/>
  <c r="M8274" i="2"/>
  <c r="L8274" i="2"/>
  <c r="E8274" i="2"/>
  <c r="D8274" i="2"/>
  <c r="B8274" i="2"/>
  <c r="A8274" i="2"/>
  <c r="O8273" i="2"/>
  <c r="M8273" i="2"/>
  <c r="L8273" i="2"/>
  <c r="E8273" i="2"/>
  <c r="D8273" i="2"/>
  <c r="B8273" i="2"/>
  <c r="A8273" i="2"/>
  <c r="O8272" i="2"/>
  <c r="M8272" i="2"/>
  <c r="L8272" i="2"/>
  <c r="E8272" i="2"/>
  <c r="D8272" i="2"/>
  <c r="B8272" i="2"/>
  <c r="A8272" i="2"/>
  <c r="O8271" i="2"/>
  <c r="M8271" i="2"/>
  <c r="L8271" i="2"/>
  <c r="E8271" i="2"/>
  <c r="D8271" i="2"/>
  <c r="B8271" i="2"/>
  <c r="A8271" i="2"/>
  <c r="O8270" i="2"/>
  <c r="O8269" i="2"/>
  <c r="M8269" i="2"/>
  <c r="L8269" i="2"/>
  <c r="E8269" i="2"/>
  <c r="D8269" i="2"/>
  <c r="B8269" i="2"/>
  <c r="A8269" i="2"/>
  <c r="O8268" i="2"/>
  <c r="O8267" i="2"/>
  <c r="M8267" i="2"/>
  <c r="L8267" i="2"/>
  <c r="E8267" i="2"/>
  <c r="D8267" i="2"/>
  <c r="B8267" i="2"/>
  <c r="A8267" i="2"/>
  <c r="O8266" i="2"/>
  <c r="M8266" i="2"/>
  <c r="L8266" i="2"/>
  <c r="E8266" i="2"/>
  <c r="D8266" i="2"/>
  <c r="B8266" i="2"/>
  <c r="A8266" i="2"/>
  <c r="O8265" i="2"/>
  <c r="M8265" i="2"/>
  <c r="L8265" i="2"/>
  <c r="E8265" i="2"/>
  <c r="D8265" i="2"/>
  <c r="B8265" i="2"/>
  <c r="A8265" i="2"/>
  <c r="O8264" i="2"/>
  <c r="O8263" i="2"/>
  <c r="O8262" i="2"/>
  <c r="M8262" i="2"/>
  <c r="L8262" i="2"/>
  <c r="E8262" i="2"/>
  <c r="D8262" i="2"/>
  <c r="B8262" i="2"/>
  <c r="A8262" i="2"/>
  <c r="O8261" i="2"/>
  <c r="M8261" i="2"/>
  <c r="L8261" i="2"/>
  <c r="E8261" i="2"/>
  <c r="D8261" i="2"/>
  <c r="B8261" i="2"/>
  <c r="A8261" i="2"/>
  <c r="O8260" i="2"/>
  <c r="M8260" i="2"/>
  <c r="L8260" i="2"/>
  <c r="E8260" i="2"/>
  <c r="D8260" i="2"/>
  <c r="B8260" i="2"/>
  <c r="A8260" i="2"/>
  <c r="O8259" i="2"/>
  <c r="O8258" i="2"/>
  <c r="O8257" i="2"/>
  <c r="M8257" i="2"/>
  <c r="L8257" i="2"/>
  <c r="E8257" i="2"/>
  <c r="D8257" i="2"/>
  <c r="B8257" i="2"/>
  <c r="A8257" i="2"/>
  <c r="O8256" i="2"/>
  <c r="M8256" i="2"/>
  <c r="L8256" i="2"/>
  <c r="E8256" i="2"/>
  <c r="D8256" i="2"/>
  <c r="B8256" i="2"/>
  <c r="A8256" i="2"/>
  <c r="O8255" i="2"/>
  <c r="M8255" i="2"/>
  <c r="L8255" i="2"/>
  <c r="E8255" i="2"/>
  <c r="D8255" i="2"/>
  <c r="B8255" i="2"/>
  <c r="A8255" i="2"/>
  <c r="O8254" i="2"/>
  <c r="M8254" i="2"/>
  <c r="L8254" i="2"/>
  <c r="E8254" i="2"/>
  <c r="D8254" i="2"/>
  <c r="B8254" i="2"/>
  <c r="A8254" i="2"/>
  <c r="O8253" i="2"/>
  <c r="M8253" i="2"/>
  <c r="L8253" i="2"/>
  <c r="E8253" i="2"/>
  <c r="D8253" i="2"/>
  <c r="B8253" i="2"/>
  <c r="A8253" i="2"/>
  <c r="O8252" i="2"/>
  <c r="O8251" i="2"/>
  <c r="M8251" i="2"/>
  <c r="L8251" i="2"/>
  <c r="E8251" i="2"/>
  <c r="D8251" i="2"/>
  <c r="B8251" i="2"/>
  <c r="A8251" i="2"/>
  <c r="O8250" i="2"/>
  <c r="O8249" i="2"/>
  <c r="M8249" i="2"/>
  <c r="L8249" i="2"/>
  <c r="E8249" i="2"/>
  <c r="D8249" i="2"/>
  <c r="B8249" i="2"/>
  <c r="A8249" i="2"/>
  <c r="O8248" i="2"/>
  <c r="M8248" i="2"/>
  <c r="L8248" i="2"/>
  <c r="E8248" i="2"/>
  <c r="D8248" i="2"/>
  <c r="B8248" i="2"/>
  <c r="A8248" i="2"/>
  <c r="O8247" i="2"/>
  <c r="M8247" i="2"/>
  <c r="L8247" i="2"/>
  <c r="E8247" i="2"/>
  <c r="D8247" i="2"/>
  <c r="B8247" i="2"/>
  <c r="A8247" i="2"/>
  <c r="O8246" i="2"/>
  <c r="O8245" i="2"/>
  <c r="M8245" i="2"/>
  <c r="L8245" i="2"/>
  <c r="E8245" i="2"/>
  <c r="D8245" i="2"/>
  <c r="B8245" i="2"/>
  <c r="A8245" i="2"/>
  <c r="O8244" i="2"/>
  <c r="O8243" i="2"/>
  <c r="O8242" i="2"/>
  <c r="M8242" i="2"/>
  <c r="L8242" i="2"/>
  <c r="E8242" i="2"/>
  <c r="D8242" i="2"/>
  <c r="B8242" i="2"/>
  <c r="A8242" i="2"/>
  <c r="O8241" i="2"/>
  <c r="O8240" i="2"/>
  <c r="M8240" i="2"/>
  <c r="L8240" i="2"/>
  <c r="E8240" i="2"/>
  <c r="D8240" i="2"/>
  <c r="B8240" i="2"/>
  <c r="A8240" i="2"/>
  <c r="O8239" i="2"/>
  <c r="O8238" i="2"/>
  <c r="O8237" i="2"/>
  <c r="O8236" i="2"/>
  <c r="O8235" i="2"/>
  <c r="M8235" i="2"/>
  <c r="L8235" i="2"/>
  <c r="E8235" i="2"/>
  <c r="D8235" i="2"/>
  <c r="B8235" i="2"/>
  <c r="A8235" i="2"/>
  <c r="O8234" i="2"/>
  <c r="O8233" i="2"/>
  <c r="M8233" i="2"/>
  <c r="L8233" i="2"/>
  <c r="E8233" i="2"/>
  <c r="D8233" i="2"/>
  <c r="B8233" i="2"/>
  <c r="A8233" i="2"/>
  <c r="O8232" i="2"/>
  <c r="O8231" i="2"/>
  <c r="O8230" i="2"/>
  <c r="M8230" i="2"/>
  <c r="L8230" i="2"/>
  <c r="E8230" i="2"/>
  <c r="D8230" i="2"/>
  <c r="B8230" i="2"/>
  <c r="A8230" i="2"/>
  <c r="O8229" i="2"/>
  <c r="O8228" i="2"/>
  <c r="O8227" i="2"/>
  <c r="M8227" i="2"/>
  <c r="L8227" i="2"/>
  <c r="E8227" i="2"/>
  <c r="D8227" i="2"/>
  <c r="B8227" i="2"/>
  <c r="A8227" i="2"/>
  <c r="O8226" i="2"/>
  <c r="M8226" i="2"/>
  <c r="L8226" i="2"/>
  <c r="E8226" i="2"/>
  <c r="D8226" i="2"/>
  <c r="B8226" i="2"/>
  <c r="A8226" i="2"/>
  <c r="O8225" i="2"/>
  <c r="O8224" i="2"/>
  <c r="M8224" i="2"/>
  <c r="L8224" i="2"/>
  <c r="E8224" i="2"/>
  <c r="D8224" i="2"/>
  <c r="B8224" i="2"/>
  <c r="A8224" i="2"/>
  <c r="O8223" i="2"/>
  <c r="M8223" i="2"/>
  <c r="L8223" i="2"/>
  <c r="E8223" i="2"/>
  <c r="D8223" i="2"/>
  <c r="B8223" i="2"/>
  <c r="A8223" i="2"/>
  <c r="O8222" i="2"/>
  <c r="M8222" i="2"/>
  <c r="L8222" i="2"/>
  <c r="E8222" i="2"/>
  <c r="D8222" i="2"/>
  <c r="B8222" i="2"/>
  <c r="A8222" i="2"/>
  <c r="O8221" i="2"/>
  <c r="M8221" i="2"/>
  <c r="L8221" i="2"/>
  <c r="E8221" i="2"/>
  <c r="D8221" i="2"/>
  <c r="B8221" i="2"/>
  <c r="A8221" i="2"/>
  <c r="O8220" i="2"/>
  <c r="M8220" i="2"/>
  <c r="L8220" i="2"/>
  <c r="E8220" i="2"/>
  <c r="D8220" i="2"/>
  <c r="B8220" i="2"/>
  <c r="A8220" i="2"/>
  <c r="O8219" i="2"/>
  <c r="O8218" i="2"/>
  <c r="O8217" i="2"/>
  <c r="M8217" i="2"/>
  <c r="L8217" i="2"/>
  <c r="E8217" i="2"/>
  <c r="D8217" i="2"/>
  <c r="B8217" i="2"/>
  <c r="A8217" i="2"/>
  <c r="O8216" i="2"/>
  <c r="O8215" i="2"/>
  <c r="O8214" i="2"/>
  <c r="O8213" i="2"/>
  <c r="M8213" i="2"/>
  <c r="L8213" i="2"/>
  <c r="E8213" i="2"/>
  <c r="D8213" i="2"/>
  <c r="B8213" i="2"/>
  <c r="A8213" i="2"/>
  <c r="O8212" i="2"/>
  <c r="O8211" i="2"/>
  <c r="M8211" i="2"/>
  <c r="L8211" i="2"/>
  <c r="E8211" i="2"/>
  <c r="D8211" i="2"/>
  <c r="B8211" i="2"/>
  <c r="A8211" i="2"/>
  <c r="O8210" i="2"/>
  <c r="M8210" i="2"/>
  <c r="L8210" i="2"/>
  <c r="E8210" i="2"/>
  <c r="D8210" i="2"/>
  <c r="B8210" i="2"/>
  <c r="A8210" i="2"/>
  <c r="O8209" i="2"/>
  <c r="M8209" i="2"/>
  <c r="L8209" i="2"/>
  <c r="E8209" i="2"/>
  <c r="D8209" i="2"/>
  <c r="B8209" i="2"/>
  <c r="A8209" i="2"/>
  <c r="O8208" i="2"/>
  <c r="M8208" i="2"/>
  <c r="L8208" i="2"/>
  <c r="E8208" i="2"/>
  <c r="D8208" i="2"/>
  <c r="B8208" i="2"/>
  <c r="A8208" i="2"/>
  <c r="O8207" i="2"/>
  <c r="O8206" i="2"/>
  <c r="O8205" i="2"/>
  <c r="O8204" i="2"/>
  <c r="M8204" i="2"/>
  <c r="L8204" i="2"/>
  <c r="E8204" i="2"/>
  <c r="D8204" i="2"/>
  <c r="B8204" i="2"/>
  <c r="A8204" i="2"/>
  <c r="O8203" i="2"/>
  <c r="M8203" i="2"/>
  <c r="L8203" i="2"/>
  <c r="E8203" i="2"/>
  <c r="D8203" i="2"/>
  <c r="B8203" i="2"/>
  <c r="A8203" i="2"/>
  <c r="O8202" i="2"/>
  <c r="M8202" i="2"/>
  <c r="L8202" i="2"/>
  <c r="E8202" i="2"/>
  <c r="D8202" i="2"/>
  <c r="B8202" i="2"/>
  <c r="A8202" i="2"/>
  <c r="O8201" i="2"/>
  <c r="O8200" i="2"/>
  <c r="O8199" i="2"/>
  <c r="O8198" i="2"/>
  <c r="O8197" i="2"/>
  <c r="O8196" i="2"/>
  <c r="O8195" i="2"/>
  <c r="M8195" i="2"/>
  <c r="L8195" i="2"/>
  <c r="E8195" i="2"/>
  <c r="D8195" i="2"/>
  <c r="B8195" i="2"/>
  <c r="A8195" i="2"/>
  <c r="O8194" i="2"/>
  <c r="M8194" i="2"/>
  <c r="L8194" i="2"/>
  <c r="E8194" i="2"/>
  <c r="D8194" i="2"/>
  <c r="B8194" i="2"/>
  <c r="A8194" i="2"/>
  <c r="O8193" i="2"/>
  <c r="O8192" i="2"/>
  <c r="M8192" i="2"/>
  <c r="L8192" i="2"/>
  <c r="E8192" i="2"/>
  <c r="D8192" i="2"/>
  <c r="B8192" i="2"/>
  <c r="A8192" i="2"/>
  <c r="O8191" i="2"/>
  <c r="M8191" i="2"/>
  <c r="L8191" i="2"/>
  <c r="E8191" i="2"/>
  <c r="D8191" i="2"/>
  <c r="B8191" i="2"/>
  <c r="A8191" i="2"/>
  <c r="O8190" i="2"/>
  <c r="M8190" i="2"/>
  <c r="L8190" i="2"/>
  <c r="E8190" i="2"/>
  <c r="D8190" i="2"/>
  <c r="B8190" i="2"/>
  <c r="A8190" i="2"/>
  <c r="O8189" i="2"/>
  <c r="M8189" i="2"/>
  <c r="L8189" i="2"/>
  <c r="E8189" i="2"/>
  <c r="D8189" i="2"/>
  <c r="B8189" i="2"/>
  <c r="A8189" i="2"/>
  <c r="O8188" i="2"/>
  <c r="M8188" i="2"/>
  <c r="L8188" i="2"/>
  <c r="E8188" i="2"/>
  <c r="D8188" i="2"/>
  <c r="B8188" i="2"/>
  <c r="A8188" i="2"/>
  <c r="O8187" i="2"/>
  <c r="O8186" i="2"/>
  <c r="M8186" i="2"/>
  <c r="L8186" i="2"/>
  <c r="E8186" i="2"/>
  <c r="D8186" i="2"/>
  <c r="B8186" i="2"/>
  <c r="A8186" i="2"/>
  <c r="O8185" i="2"/>
  <c r="O8184" i="2"/>
  <c r="O8183" i="2"/>
  <c r="O8182" i="2"/>
  <c r="O8181" i="2"/>
  <c r="M8181" i="2"/>
  <c r="L8181" i="2"/>
  <c r="E8181" i="2"/>
  <c r="D8181" i="2"/>
  <c r="B8181" i="2"/>
  <c r="A8181" i="2"/>
  <c r="O8180" i="2"/>
  <c r="M8180" i="2"/>
  <c r="L8180" i="2"/>
  <c r="E8180" i="2"/>
  <c r="D8180" i="2"/>
  <c r="B8180" i="2"/>
  <c r="A8180" i="2"/>
  <c r="O8179" i="2"/>
  <c r="M8179" i="2"/>
  <c r="L8179" i="2"/>
  <c r="E8179" i="2"/>
  <c r="D8179" i="2"/>
  <c r="B8179" i="2"/>
  <c r="A8179" i="2"/>
  <c r="O8178" i="2"/>
  <c r="O8177" i="2"/>
  <c r="M8177" i="2"/>
  <c r="L8177" i="2"/>
  <c r="E8177" i="2"/>
  <c r="D8177" i="2"/>
  <c r="B8177" i="2"/>
  <c r="A8177" i="2"/>
  <c r="O8176" i="2"/>
  <c r="O8175" i="2"/>
  <c r="M8175" i="2"/>
  <c r="L8175" i="2"/>
  <c r="E8175" i="2"/>
  <c r="D8175" i="2"/>
  <c r="B8175" i="2"/>
  <c r="A8175" i="2"/>
  <c r="O8174" i="2"/>
  <c r="O8173" i="2"/>
  <c r="M8173" i="2"/>
  <c r="L8173" i="2"/>
  <c r="E8173" i="2"/>
  <c r="D8173" i="2"/>
  <c r="B8173" i="2"/>
  <c r="A8173" i="2"/>
  <c r="O8172" i="2"/>
  <c r="M8172" i="2"/>
  <c r="L8172" i="2"/>
  <c r="E8172" i="2"/>
  <c r="D8172" i="2"/>
  <c r="B8172" i="2"/>
  <c r="A8172" i="2"/>
  <c r="O8171" i="2"/>
  <c r="M8171" i="2"/>
  <c r="L8171" i="2"/>
  <c r="E8171" i="2"/>
  <c r="D8171" i="2"/>
  <c r="B8171" i="2"/>
  <c r="A8171" i="2"/>
  <c r="O8170" i="2"/>
  <c r="M8170" i="2"/>
  <c r="L8170" i="2"/>
  <c r="E8170" i="2"/>
  <c r="D8170" i="2"/>
  <c r="B8170" i="2"/>
  <c r="A8170" i="2"/>
  <c r="O8169" i="2"/>
  <c r="O8168" i="2"/>
  <c r="M8168" i="2"/>
  <c r="L8168" i="2"/>
  <c r="E8168" i="2"/>
  <c r="D8168" i="2"/>
  <c r="B8168" i="2"/>
  <c r="A8168" i="2"/>
  <c r="O8167" i="2"/>
  <c r="M8167" i="2"/>
  <c r="L8167" i="2"/>
  <c r="E8167" i="2"/>
  <c r="D8167" i="2"/>
  <c r="B8167" i="2"/>
  <c r="A8167" i="2"/>
  <c r="O8166" i="2"/>
  <c r="M8166" i="2"/>
  <c r="L8166" i="2"/>
  <c r="E8166" i="2"/>
  <c r="D8166" i="2"/>
  <c r="B8166" i="2"/>
  <c r="A8166" i="2"/>
  <c r="O8165" i="2"/>
  <c r="M8165" i="2"/>
  <c r="L8165" i="2"/>
  <c r="E8165" i="2"/>
  <c r="D8165" i="2"/>
  <c r="B8165" i="2"/>
  <c r="A8165" i="2"/>
  <c r="O8164" i="2"/>
  <c r="M8164" i="2"/>
  <c r="L8164" i="2"/>
  <c r="E8164" i="2"/>
  <c r="D8164" i="2"/>
  <c r="B8164" i="2"/>
  <c r="A8164" i="2"/>
  <c r="O8163" i="2"/>
  <c r="M8163" i="2"/>
  <c r="L8163" i="2"/>
  <c r="E8163" i="2"/>
  <c r="D8163" i="2"/>
  <c r="B8163" i="2"/>
  <c r="A8163" i="2"/>
  <c r="O8162" i="2"/>
  <c r="M8162" i="2"/>
  <c r="L8162" i="2"/>
  <c r="E8162" i="2"/>
  <c r="D8162" i="2"/>
  <c r="B8162" i="2"/>
  <c r="A8162" i="2"/>
  <c r="O8161" i="2"/>
  <c r="M8161" i="2"/>
  <c r="L8161" i="2"/>
  <c r="E8161" i="2"/>
  <c r="D8161" i="2"/>
  <c r="B8161" i="2"/>
  <c r="A8161" i="2"/>
  <c r="O8160" i="2"/>
  <c r="M8160" i="2"/>
  <c r="L8160" i="2"/>
  <c r="E8160" i="2"/>
  <c r="D8160" i="2"/>
  <c r="B8160" i="2"/>
  <c r="A8160" i="2"/>
  <c r="O8159" i="2"/>
  <c r="M8159" i="2"/>
  <c r="L8159" i="2"/>
  <c r="E8159" i="2"/>
  <c r="D8159" i="2"/>
  <c r="B8159" i="2"/>
  <c r="A8159" i="2"/>
  <c r="O8158" i="2"/>
  <c r="M8158" i="2"/>
  <c r="L8158" i="2"/>
  <c r="E8158" i="2"/>
  <c r="D8158" i="2"/>
  <c r="B8158" i="2"/>
  <c r="A8158" i="2"/>
  <c r="O8157" i="2"/>
  <c r="O8156" i="2"/>
  <c r="M8156" i="2"/>
  <c r="L8156" i="2"/>
  <c r="E8156" i="2"/>
  <c r="D8156" i="2"/>
  <c r="B8156" i="2"/>
  <c r="A8156" i="2"/>
  <c r="O8155" i="2"/>
  <c r="M8155" i="2"/>
  <c r="L8155" i="2"/>
  <c r="E8155" i="2"/>
  <c r="D8155" i="2"/>
  <c r="B8155" i="2"/>
  <c r="A8155" i="2"/>
  <c r="O8154" i="2"/>
  <c r="M8154" i="2"/>
  <c r="L8154" i="2"/>
  <c r="E8154" i="2"/>
  <c r="D8154" i="2"/>
  <c r="B8154" i="2"/>
  <c r="A8154" i="2"/>
  <c r="O8153" i="2"/>
  <c r="O8152" i="2"/>
  <c r="O8151" i="2"/>
  <c r="M8151" i="2"/>
  <c r="L8151" i="2"/>
  <c r="E8151" i="2"/>
  <c r="D8151" i="2"/>
  <c r="B8151" i="2"/>
  <c r="A8151" i="2"/>
  <c r="O8150" i="2"/>
  <c r="M8150" i="2"/>
  <c r="L8150" i="2"/>
  <c r="E8150" i="2"/>
  <c r="D8150" i="2"/>
  <c r="B8150" i="2"/>
  <c r="A8150" i="2"/>
  <c r="O8149" i="2"/>
  <c r="M8149" i="2"/>
  <c r="L8149" i="2"/>
  <c r="E8149" i="2"/>
  <c r="D8149" i="2"/>
  <c r="B8149" i="2"/>
  <c r="A8149" i="2"/>
  <c r="O8148" i="2"/>
  <c r="O8147" i="2"/>
  <c r="O8146" i="2"/>
  <c r="M8146" i="2"/>
  <c r="L8146" i="2"/>
  <c r="E8146" i="2"/>
  <c r="D8146" i="2"/>
  <c r="B8146" i="2"/>
  <c r="A8146" i="2"/>
  <c r="O8145" i="2"/>
  <c r="O8144" i="2"/>
  <c r="O8143" i="2"/>
  <c r="M8143" i="2"/>
  <c r="L8143" i="2"/>
  <c r="E8143" i="2"/>
  <c r="D8143" i="2"/>
  <c r="B8143" i="2"/>
  <c r="A8143" i="2"/>
  <c r="O8142" i="2"/>
  <c r="O8141" i="2"/>
  <c r="O8140" i="2"/>
  <c r="O8139" i="2"/>
  <c r="M8139" i="2"/>
  <c r="L8139" i="2"/>
  <c r="E8139" i="2"/>
  <c r="D8139" i="2"/>
  <c r="B8139" i="2"/>
  <c r="A8139" i="2"/>
  <c r="O8138" i="2"/>
  <c r="O8137" i="2"/>
  <c r="O8136" i="2"/>
  <c r="O8135" i="2"/>
  <c r="O8134" i="2"/>
  <c r="O8133" i="2"/>
  <c r="O8132" i="2"/>
  <c r="O8131" i="2"/>
  <c r="O8130" i="2"/>
  <c r="O8129" i="2"/>
  <c r="M8129" i="2"/>
  <c r="L8129" i="2"/>
  <c r="E8129" i="2"/>
  <c r="D8129" i="2"/>
  <c r="B8129" i="2"/>
  <c r="A8129" i="2"/>
  <c r="O8128" i="2"/>
  <c r="M8128" i="2"/>
  <c r="L8128" i="2"/>
  <c r="E8128" i="2"/>
  <c r="D8128" i="2"/>
  <c r="B8128" i="2"/>
  <c r="A8128" i="2"/>
  <c r="O8127" i="2"/>
  <c r="M8127" i="2"/>
  <c r="L8127" i="2"/>
  <c r="E8127" i="2"/>
  <c r="D8127" i="2"/>
  <c r="B8127" i="2"/>
  <c r="A8127" i="2"/>
  <c r="O8126" i="2"/>
  <c r="O8125" i="2"/>
  <c r="O8124" i="2"/>
  <c r="M8124" i="2"/>
  <c r="L8124" i="2"/>
  <c r="E8124" i="2"/>
  <c r="D8124" i="2"/>
  <c r="B8124" i="2"/>
  <c r="A8124" i="2"/>
  <c r="O8123" i="2"/>
  <c r="O8122" i="2"/>
  <c r="O8121" i="2"/>
  <c r="O8120" i="2"/>
  <c r="O8119" i="2"/>
  <c r="M8119" i="2"/>
  <c r="L8119" i="2"/>
  <c r="E8119" i="2"/>
  <c r="D8119" i="2"/>
  <c r="B8119" i="2"/>
  <c r="A8119" i="2"/>
  <c r="O8118" i="2"/>
  <c r="M8118" i="2"/>
  <c r="L8118" i="2"/>
  <c r="E8118" i="2"/>
  <c r="D8118" i="2"/>
  <c r="B8118" i="2"/>
  <c r="A8118" i="2"/>
  <c r="O8117" i="2"/>
  <c r="M8117" i="2"/>
  <c r="L8117" i="2"/>
  <c r="E8117" i="2"/>
  <c r="D8117" i="2"/>
  <c r="B8117" i="2"/>
  <c r="A8117" i="2"/>
  <c r="O8116" i="2"/>
  <c r="M8116" i="2"/>
  <c r="L8116" i="2"/>
  <c r="E8116" i="2"/>
  <c r="D8116" i="2"/>
  <c r="B8116" i="2"/>
  <c r="A8116" i="2"/>
  <c r="O8115" i="2"/>
  <c r="O8114" i="2"/>
  <c r="O8113" i="2"/>
  <c r="O8112" i="2"/>
  <c r="M8112" i="2"/>
  <c r="L8112" i="2"/>
  <c r="E8112" i="2"/>
  <c r="D8112" i="2"/>
  <c r="B8112" i="2"/>
  <c r="A8112" i="2"/>
  <c r="O8111" i="2"/>
  <c r="O8110" i="2"/>
  <c r="O8109" i="2"/>
  <c r="O8108" i="2"/>
  <c r="O8107" i="2"/>
  <c r="M8107" i="2"/>
  <c r="L8107" i="2"/>
  <c r="E8107" i="2"/>
  <c r="D8107" i="2"/>
  <c r="B8107" i="2"/>
  <c r="A8107" i="2"/>
  <c r="O8106" i="2"/>
  <c r="O8105" i="2"/>
  <c r="O8104" i="2"/>
  <c r="M8104" i="2"/>
  <c r="L8104" i="2"/>
  <c r="E8104" i="2"/>
  <c r="D8104" i="2"/>
  <c r="B8104" i="2"/>
  <c r="A8104" i="2"/>
  <c r="O8103" i="2"/>
  <c r="O8102" i="2"/>
  <c r="O8101" i="2"/>
  <c r="O8100" i="2"/>
  <c r="O8099" i="2"/>
  <c r="M8099" i="2"/>
  <c r="L8099" i="2"/>
  <c r="E8099" i="2"/>
  <c r="D8099" i="2"/>
  <c r="B8099" i="2"/>
  <c r="A8099" i="2"/>
  <c r="O8098" i="2"/>
  <c r="M8098" i="2"/>
  <c r="L8098" i="2"/>
  <c r="E8098" i="2"/>
  <c r="D8098" i="2"/>
  <c r="B8098" i="2"/>
  <c r="A8098" i="2"/>
  <c r="O8097" i="2"/>
  <c r="M8097" i="2"/>
  <c r="L8097" i="2"/>
  <c r="E8097" i="2"/>
  <c r="D8097" i="2"/>
  <c r="B8097" i="2"/>
  <c r="A8097" i="2"/>
  <c r="O8096" i="2"/>
  <c r="O8095" i="2"/>
  <c r="M8095" i="2"/>
  <c r="L8095" i="2"/>
  <c r="E8095" i="2"/>
  <c r="D8095" i="2"/>
  <c r="B8095" i="2"/>
  <c r="A8095" i="2"/>
  <c r="O8094" i="2"/>
  <c r="O8093" i="2"/>
  <c r="O8092" i="2"/>
  <c r="M8092" i="2"/>
  <c r="L8092" i="2"/>
  <c r="E8092" i="2"/>
  <c r="D8092" i="2"/>
  <c r="B8092" i="2"/>
  <c r="A8092" i="2"/>
  <c r="O8091" i="2"/>
  <c r="O8090" i="2"/>
  <c r="O8089" i="2"/>
  <c r="M8089" i="2"/>
  <c r="L8089" i="2"/>
  <c r="E8089" i="2"/>
  <c r="D8089" i="2"/>
  <c r="B8089" i="2"/>
  <c r="A8089" i="2"/>
  <c r="O8088" i="2"/>
  <c r="O8087" i="2"/>
  <c r="M8087" i="2"/>
  <c r="L8087" i="2"/>
  <c r="E8087" i="2"/>
  <c r="D8087" i="2"/>
  <c r="B8087" i="2"/>
  <c r="A8087" i="2"/>
  <c r="O8086" i="2"/>
  <c r="M8086" i="2"/>
  <c r="L8086" i="2"/>
  <c r="E8086" i="2"/>
  <c r="D8086" i="2"/>
  <c r="B8086" i="2"/>
  <c r="A8086" i="2"/>
  <c r="O8085" i="2"/>
  <c r="M8085" i="2"/>
  <c r="L8085" i="2"/>
  <c r="E8085" i="2"/>
  <c r="D8085" i="2"/>
  <c r="B8085" i="2"/>
  <c r="A8085" i="2"/>
  <c r="O8084" i="2"/>
  <c r="O8083" i="2"/>
  <c r="M8083" i="2"/>
  <c r="L8083" i="2"/>
  <c r="E8083" i="2"/>
  <c r="D8083" i="2"/>
  <c r="B8083" i="2"/>
  <c r="A8083" i="2"/>
  <c r="O8082" i="2"/>
  <c r="M8082" i="2"/>
  <c r="L8082" i="2"/>
  <c r="E8082" i="2"/>
  <c r="D8082" i="2"/>
  <c r="B8082" i="2"/>
  <c r="A8082" i="2"/>
  <c r="O8081" i="2"/>
  <c r="M8081" i="2"/>
  <c r="L8081" i="2"/>
  <c r="E8081" i="2"/>
  <c r="D8081" i="2"/>
  <c r="B8081" i="2"/>
  <c r="A8081" i="2"/>
  <c r="O8080" i="2"/>
  <c r="O8079" i="2"/>
  <c r="M8079" i="2"/>
  <c r="L8079" i="2"/>
  <c r="E8079" i="2"/>
  <c r="D8079" i="2"/>
  <c r="B8079" i="2"/>
  <c r="A8079" i="2"/>
  <c r="O8078" i="2"/>
  <c r="M8078" i="2"/>
  <c r="L8078" i="2"/>
  <c r="E8078" i="2"/>
  <c r="D8078" i="2"/>
  <c r="B8078" i="2"/>
  <c r="A8078" i="2"/>
  <c r="O8077" i="2"/>
  <c r="M8077" i="2"/>
  <c r="L8077" i="2"/>
  <c r="E8077" i="2"/>
  <c r="D8077" i="2"/>
  <c r="B8077" i="2"/>
  <c r="A8077" i="2"/>
  <c r="O8076" i="2"/>
  <c r="O8075" i="2"/>
  <c r="M8075" i="2"/>
  <c r="L8075" i="2"/>
  <c r="E8075" i="2"/>
  <c r="D8075" i="2"/>
  <c r="B8075" i="2"/>
  <c r="A8075" i="2"/>
  <c r="O8074" i="2"/>
  <c r="M8074" i="2"/>
  <c r="L8074" i="2"/>
  <c r="E8074" i="2"/>
  <c r="D8074" i="2"/>
  <c r="B8074" i="2"/>
  <c r="A8074" i="2"/>
  <c r="O8073" i="2"/>
  <c r="M8073" i="2"/>
  <c r="L8073" i="2"/>
  <c r="E8073" i="2"/>
  <c r="D8073" i="2"/>
  <c r="B8073" i="2"/>
  <c r="A8073" i="2"/>
  <c r="O8072" i="2"/>
  <c r="M8072" i="2"/>
  <c r="L8072" i="2"/>
  <c r="E8072" i="2"/>
  <c r="D8072" i="2"/>
  <c r="B8072" i="2"/>
  <c r="A8072" i="2"/>
  <c r="O8071" i="2"/>
  <c r="M8071" i="2"/>
  <c r="L8071" i="2"/>
  <c r="E8071" i="2"/>
  <c r="D8071" i="2"/>
  <c r="B8071" i="2"/>
  <c r="A8071" i="2"/>
  <c r="O8070" i="2"/>
  <c r="O8069" i="2"/>
  <c r="O8068" i="2"/>
  <c r="M8068" i="2"/>
  <c r="L8068" i="2"/>
  <c r="E8068" i="2"/>
  <c r="D8068" i="2"/>
  <c r="B8068" i="2"/>
  <c r="A8068" i="2"/>
  <c r="O8067" i="2"/>
  <c r="M8067" i="2"/>
  <c r="L8067" i="2"/>
  <c r="E8067" i="2"/>
  <c r="D8067" i="2"/>
  <c r="B8067" i="2"/>
  <c r="A8067" i="2"/>
  <c r="O8066" i="2"/>
  <c r="M8066" i="2"/>
  <c r="L8066" i="2"/>
  <c r="E8066" i="2"/>
  <c r="D8066" i="2"/>
  <c r="B8066" i="2"/>
  <c r="A8066" i="2"/>
  <c r="O8065" i="2"/>
  <c r="M8065" i="2"/>
  <c r="L8065" i="2"/>
  <c r="E8065" i="2"/>
  <c r="D8065" i="2"/>
  <c r="B8065" i="2"/>
  <c r="A8065" i="2"/>
  <c r="O8064" i="2"/>
  <c r="O8063" i="2"/>
  <c r="O8062" i="2"/>
  <c r="M8062" i="2"/>
  <c r="L8062" i="2"/>
  <c r="E8062" i="2"/>
  <c r="D8062" i="2"/>
  <c r="B8062" i="2"/>
  <c r="A8062" i="2"/>
  <c r="O8061" i="2"/>
  <c r="M8061" i="2"/>
  <c r="L8061" i="2"/>
  <c r="E8061" i="2"/>
  <c r="D8061" i="2"/>
  <c r="B8061" i="2"/>
  <c r="A8061" i="2"/>
  <c r="O8060" i="2"/>
  <c r="O8059" i="2"/>
  <c r="O8058" i="2"/>
  <c r="O8057" i="2"/>
  <c r="M8057" i="2"/>
  <c r="L8057" i="2"/>
  <c r="E8057" i="2"/>
  <c r="D8057" i="2"/>
  <c r="B8057" i="2"/>
  <c r="A8057" i="2"/>
  <c r="O8056" i="2"/>
  <c r="O8055" i="2"/>
  <c r="M8055" i="2"/>
  <c r="L8055" i="2"/>
  <c r="E8055" i="2"/>
  <c r="D8055" i="2"/>
  <c r="B8055" i="2"/>
  <c r="A8055" i="2"/>
  <c r="O8054" i="2"/>
  <c r="M8054" i="2"/>
  <c r="L8054" i="2"/>
  <c r="E8054" i="2"/>
  <c r="D8054" i="2"/>
  <c r="B8054" i="2"/>
  <c r="A8054" i="2"/>
  <c r="O8053" i="2"/>
  <c r="M8053" i="2"/>
  <c r="L8053" i="2"/>
  <c r="E8053" i="2"/>
  <c r="D8053" i="2"/>
  <c r="B8053" i="2"/>
  <c r="A8053" i="2"/>
  <c r="O8052" i="2"/>
  <c r="M8052" i="2"/>
  <c r="L8052" i="2"/>
  <c r="E8052" i="2"/>
  <c r="D8052" i="2"/>
  <c r="B8052" i="2"/>
  <c r="A8052" i="2"/>
  <c r="O8051" i="2"/>
  <c r="O8050" i="2"/>
  <c r="O8049" i="2"/>
  <c r="O8048" i="2"/>
  <c r="O8047" i="2"/>
  <c r="M8047" i="2"/>
  <c r="L8047" i="2"/>
  <c r="E8047" i="2"/>
  <c r="D8047" i="2"/>
  <c r="B8047" i="2"/>
  <c r="A8047" i="2"/>
  <c r="O8046" i="2"/>
  <c r="M8046" i="2"/>
  <c r="L8046" i="2"/>
  <c r="E8046" i="2"/>
  <c r="D8046" i="2"/>
  <c r="B8046" i="2"/>
  <c r="A8046" i="2"/>
  <c r="O8045" i="2"/>
  <c r="M8045" i="2"/>
  <c r="L8045" i="2"/>
  <c r="E8045" i="2"/>
  <c r="D8045" i="2"/>
  <c r="B8045" i="2"/>
  <c r="A8045" i="2"/>
  <c r="O8044" i="2"/>
  <c r="M8044" i="2"/>
  <c r="L8044" i="2"/>
  <c r="E8044" i="2"/>
  <c r="D8044" i="2"/>
  <c r="B8044" i="2"/>
  <c r="A8044" i="2"/>
  <c r="O8043" i="2"/>
  <c r="M8043" i="2"/>
  <c r="L8043" i="2"/>
  <c r="E8043" i="2"/>
  <c r="D8043" i="2"/>
  <c r="B8043" i="2"/>
  <c r="A8043" i="2"/>
  <c r="O8042" i="2"/>
  <c r="M8042" i="2"/>
  <c r="L8042" i="2"/>
  <c r="E8042" i="2"/>
  <c r="D8042" i="2"/>
  <c r="B8042" i="2"/>
  <c r="A8042" i="2"/>
  <c r="O8041" i="2"/>
  <c r="O8040" i="2"/>
  <c r="O8039" i="2"/>
  <c r="M8039" i="2"/>
  <c r="L8039" i="2"/>
  <c r="E8039" i="2"/>
  <c r="D8039" i="2"/>
  <c r="B8039" i="2"/>
  <c r="A8039" i="2"/>
  <c r="O8038" i="2"/>
  <c r="M8038" i="2"/>
  <c r="L8038" i="2"/>
  <c r="E8038" i="2"/>
  <c r="D8038" i="2"/>
  <c r="B8038" i="2"/>
  <c r="A8038" i="2"/>
  <c r="O8037" i="2"/>
  <c r="M8037" i="2"/>
  <c r="L8037" i="2"/>
  <c r="E8037" i="2"/>
  <c r="D8037" i="2"/>
  <c r="A8037" i="2"/>
  <c r="O8036" i="2"/>
  <c r="O8035" i="2"/>
  <c r="M8035" i="2"/>
  <c r="L8035" i="2"/>
  <c r="E8035" i="2"/>
  <c r="D8035" i="2"/>
  <c r="B8035" i="2"/>
  <c r="A8035" i="2"/>
  <c r="O8034" i="2"/>
  <c r="M8034" i="2"/>
  <c r="L8034" i="2"/>
  <c r="E8034" i="2"/>
  <c r="D8034" i="2"/>
  <c r="B8034" i="2"/>
  <c r="A8034" i="2"/>
  <c r="O8033" i="2"/>
  <c r="M8033" i="2"/>
  <c r="L8033" i="2"/>
  <c r="E8033" i="2"/>
  <c r="D8033" i="2"/>
  <c r="B8033" i="2"/>
  <c r="A8033" i="2"/>
  <c r="O8032" i="2"/>
  <c r="O8031" i="2"/>
  <c r="O8030" i="2"/>
  <c r="O8029" i="2"/>
  <c r="O8028" i="2"/>
  <c r="M8028" i="2"/>
  <c r="L8028" i="2"/>
  <c r="E8028" i="2"/>
  <c r="D8028" i="2"/>
  <c r="B8028" i="2"/>
  <c r="A8028" i="2"/>
  <c r="O8027" i="2"/>
  <c r="M8027" i="2"/>
  <c r="L8027" i="2"/>
  <c r="E8027" i="2"/>
  <c r="D8027" i="2"/>
  <c r="B8027" i="2"/>
  <c r="A8027" i="2"/>
  <c r="O8026" i="2"/>
  <c r="M8026" i="2"/>
  <c r="L8026" i="2"/>
  <c r="E8026" i="2"/>
  <c r="D8026" i="2"/>
  <c r="B8026" i="2"/>
  <c r="A8026" i="2"/>
  <c r="O8025" i="2"/>
  <c r="M8025" i="2"/>
  <c r="L8025" i="2"/>
  <c r="E8025" i="2"/>
  <c r="D8025" i="2"/>
  <c r="B8025" i="2"/>
  <c r="A8025" i="2"/>
  <c r="O8024" i="2"/>
  <c r="M8024" i="2"/>
  <c r="L8024" i="2"/>
  <c r="E8024" i="2"/>
  <c r="D8024" i="2"/>
  <c r="B8024" i="2"/>
  <c r="A8024" i="2"/>
  <c r="O8023" i="2"/>
  <c r="M8023" i="2"/>
  <c r="L8023" i="2"/>
  <c r="E8023" i="2"/>
  <c r="D8023" i="2"/>
  <c r="B8023" i="2"/>
  <c r="A8023" i="2"/>
  <c r="O8022" i="2"/>
  <c r="O8021" i="2"/>
  <c r="M8021" i="2"/>
  <c r="L8021" i="2"/>
  <c r="E8021" i="2"/>
  <c r="D8021" i="2"/>
  <c r="B8021" i="2"/>
  <c r="A8021" i="2"/>
  <c r="O8020" i="2"/>
  <c r="M8020" i="2"/>
  <c r="L8020" i="2"/>
  <c r="E8020" i="2"/>
  <c r="D8020" i="2"/>
  <c r="B8020" i="2"/>
  <c r="A8020" i="2"/>
  <c r="O8019" i="2"/>
  <c r="M8019" i="2"/>
  <c r="L8019" i="2"/>
  <c r="E8019" i="2"/>
  <c r="D8019" i="2"/>
  <c r="B8019" i="2"/>
  <c r="A8019" i="2"/>
  <c r="O8018" i="2"/>
  <c r="O8017" i="2"/>
  <c r="O8016" i="2"/>
  <c r="O8015" i="2"/>
  <c r="M8015" i="2"/>
  <c r="L8015" i="2"/>
  <c r="E8015" i="2"/>
  <c r="D8015" i="2"/>
  <c r="B8015" i="2"/>
  <c r="A8015" i="2"/>
  <c r="O8014" i="2"/>
  <c r="O8013" i="2"/>
  <c r="O8012" i="2"/>
  <c r="O8011" i="2"/>
  <c r="M8011" i="2"/>
  <c r="L8011" i="2"/>
  <c r="E8011" i="2"/>
  <c r="D8011" i="2"/>
  <c r="B8011" i="2"/>
  <c r="A8011" i="2"/>
  <c r="O8010" i="2"/>
  <c r="O8009" i="2"/>
  <c r="O8008" i="2"/>
  <c r="M8008" i="2"/>
  <c r="L8008" i="2"/>
  <c r="E8008" i="2"/>
  <c r="D8008" i="2"/>
  <c r="B8008" i="2"/>
  <c r="A8008" i="2"/>
  <c r="O8007" i="2"/>
  <c r="O8006" i="2"/>
  <c r="O8005" i="2"/>
  <c r="O8004" i="2"/>
  <c r="O8003" i="2"/>
  <c r="M8003" i="2"/>
  <c r="L8003" i="2"/>
  <c r="E8003" i="2"/>
  <c r="D8003" i="2"/>
  <c r="B8003" i="2"/>
  <c r="A8003" i="2"/>
  <c r="O8002" i="2"/>
  <c r="M8002" i="2"/>
  <c r="L8002" i="2"/>
  <c r="E8002" i="2"/>
  <c r="D8002" i="2"/>
  <c r="B8002" i="2"/>
  <c r="A8002" i="2"/>
  <c r="O8001" i="2"/>
  <c r="M8001" i="2"/>
  <c r="L8001" i="2"/>
  <c r="E8001" i="2"/>
  <c r="D8001" i="2"/>
  <c r="B8001" i="2"/>
  <c r="A8001" i="2"/>
  <c r="O8000" i="2"/>
  <c r="M8000" i="2"/>
  <c r="L8000" i="2"/>
  <c r="E8000" i="2"/>
  <c r="D8000" i="2"/>
  <c r="B8000" i="2"/>
  <c r="A8000" i="2"/>
  <c r="O7999" i="2"/>
  <c r="O7998" i="2"/>
  <c r="O7997" i="2"/>
  <c r="O7996" i="2"/>
  <c r="O7995" i="2"/>
  <c r="O7994" i="2"/>
  <c r="O7993" i="2"/>
  <c r="M7993" i="2"/>
  <c r="L7993" i="2"/>
  <c r="E7993" i="2"/>
  <c r="D7993" i="2"/>
  <c r="B7993" i="2"/>
  <c r="A7993" i="2"/>
  <c r="O7992" i="2"/>
  <c r="O7991" i="2"/>
  <c r="O7990" i="2"/>
  <c r="O7989" i="2"/>
  <c r="O7988" i="2"/>
  <c r="O7987" i="2"/>
  <c r="O7986" i="2"/>
  <c r="M7986" i="2"/>
  <c r="L7986" i="2"/>
  <c r="E7986" i="2"/>
  <c r="D7986" i="2"/>
  <c r="B7986" i="2"/>
  <c r="A7986" i="2"/>
  <c r="O7985" i="2"/>
  <c r="O7984" i="2"/>
  <c r="O7983" i="2"/>
  <c r="O7982" i="2"/>
  <c r="M7982" i="2"/>
  <c r="L7982" i="2"/>
  <c r="E7982" i="2"/>
  <c r="D7982" i="2"/>
  <c r="B7982" i="2"/>
  <c r="A7982" i="2"/>
  <c r="O7981" i="2"/>
  <c r="O7980" i="2"/>
  <c r="O7979" i="2"/>
  <c r="O7978" i="2"/>
  <c r="O7977" i="2"/>
  <c r="O7976" i="2"/>
  <c r="O7975" i="2"/>
  <c r="M7975" i="2"/>
  <c r="L7975" i="2"/>
  <c r="E7975" i="2"/>
  <c r="D7975" i="2"/>
  <c r="B7975" i="2"/>
  <c r="A7975" i="2"/>
  <c r="O7974" i="2"/>
  <c r="O7973" i="2"/>
  <c r="O7972" i="2"/>
  <c r="O7971" i="2"/>
  <c r="O7970" i="2"/>
  <c r="O7969" i="2"/>
  <c r="O7968" i="2"/>
  <c r="M7968" i="2"/>
  <c r="L7968" i="2"/>
  <c r="E7968" i="2"/>
  <c r="D7968" i="2"/>
  <c r="B7968" i="2"/>
  <c r="A7968" i="2"/>
  <c r="O7967" i="2"/>
  <c r="O7966" i="2"/>
  <c r="O7965" i="2"/>
  <c r="O7964" i="2"/>
  <c r="O7963" i="2"/>
  <c r="O7962" i="2"/>
  <c r="O7961" i="2"/>
  <c r="M7961" i="2"/>
  <c r="L7961" i="2"/>
  <c r="E7961" i="2"/>
  <c r="D7961" i="2"/>
  <c r="B7961" i="2"/>
  <c r="A7961" i="2"/>
  <c r="O7960" i="2"/>
  <c r="O7959" i="2"/>
  <c r="O7958" i="2"/>
  <c r="O7957" i="2"/>
  <c r="O7956" i="2"/>
  <c r="O7955" i="2"/>
  <c r="M7955" i="2"/>
  <c r="L7955" i="2"/>
  <c r="E7955" i="2"/>
  <c r="D7955" i="2"/>
  <c r="B7955" i="2"/>
  <c r="A7955" i="2"/>
  <c r="O7954" i="2"/>
  <c r="M7954" i="2"/>
  <c r="L7954" i="2"/>
  <c r="E7954" i="2"/>
  <c r="D7954" i="2"/>
  <c r="B7954" i="2"/>
  <c r="A7954" i="2"/>
  <c r="O7953" i="2"/>
  <c r="O7952" i="2"/>
  <c r="O7951" i="2"/>
  <c r="O7950" i="2"/>
  <c r="O7949" i="2"/>
  <c r="O7948" i="2"/>
  <c r="M7948" i="2"/>
  <c r="L7948" i="2"/>
  <c r="E7948" i="2"/>
  <c r="D7948" i="2"/>
  <c r="B7948" i="2"/>
  <c r="A7948" i="2"/>
  <c r="O7947" i="2"/>
  <c r="O7946" i="2"/>
  <c r="O7945" i="2"/>
  <c r="O7944" i="2"/>
  <c r="M7944" i="2"/>
  <c r="L7944" i="2"/>
  <c r="E7944" i="2"/>
  <c r="D7944" i="2"/>
  <c r="B7944" i="2"/>
  <c r="A7944" i="2"/>
  <c r="O7943" i="2"/>
  <c r="O7942" i="2"/>
  <c r="O7941" i="2"/>
  <c r="M7941" i="2"/>
  <c r="L7941" i="2"/>
  <c r="E7941" i="2"/>
  <c r="D7941" i="2"/>
  <c r="B7941" i="2"/>
  <c r="A7941" i="2"/>
  <c r="O7940" i="2"/>
  <c r="M7940" i="2"/>
  <c r="L7940" i="2"/>
  <c r="E7940" i="2"/>
  <c r="D7940" i="2"/>
  <c r="B7940" i="2"/>
  <c r="A7940" i="2"/>
  <c r="O7939" i="2"/>
  <c r="M7939" i="2"/>
  <c r="L7939" i="2"/>
  <c r="E7939" i="2"/>
  <c r="D7939" i="2"/>
  <c r="B7939" i="2"/>
  <c r="A7939" i="2"/>
  <c r="O7938" i="2"/>
  <c r="M7938" i="2"/>
  <c r="L7938" i="2"/>
  <c r="E7938" i="2"/>
  <c r="D7938" i="2"/>
  <c r="B7938" i="2"/>
  <c r="A7938" i="2"/>
  <c r="O7937" i="2"/>
  <c r="O7936" i="2"/>
  <c r="O7935" i="2"/>
  <c r="M7935" i="2"/>
  <c r="L7935" i="2"/>
  <c r="E7935" i="2"/>
  <c r="D7935" i="2"/>
  <c r="B7935" i="2"/>
  <c r="A7935" i="2"/>
  <c r="O7934" i="2"/>
  <c r="O7933" i="2"/>
  <c r="O7932" i="2"/>
  <c r="M7932" i="2"/>
  <c r="L7932" i="2"/>
  <c r="E7932" i="2"/>
  <c r="D7932" i="2"/>
  <c r="B7932" i="2"/>
  <c r="A7932" i="2"/>
  <c r="O7931" i="2"/>
  <c r="M7931" i="2"/>
  <c r="L7931" i="2"/>
  <c r="E7931" i="2"/>
  <c r="D7931" i="2"/>
  <c r="B7931" i="2"/>
  <c r="A7931" i="2"/>
  <c r="O7930" i="2"/>
  <c r="O7929" i="2"/>
  <c r="M7929" i="2"/>
  <c r="L7929" i="2"/>
  <c r="E7929" i="2"/>
  <c r="D7929" i="2"/>
  <c r="B7929" i="2"/>
  <c r="A7929" i="2"/>
  <c r="O7928" i="2"/>
  <c r="O7927" i="2"/>
  <c r="O7926" i="2"/>
  <c r="O7925" i="2"/>
  <c r="M7925" i="2"/>
  <c r="L7925" i="2"/>
  <c r="E7925" i="2"/>
  <c r="D7925" i="2"/>
  <c r="B7925" i="2"/>
  <c r="A7925" i="2"/>
  <c r="O7924" i="2"/>
  <c r="M7924" i="2"/>
  <c r="L7924" i="2"/>
  <c r="E7924" i="2"/>
  <c r="D7924" i="2"/>
  <c r="B7924" i="2"/>
  <c r="A7924" i="2"/>
  <c r="O7923" i="2"/>
  <c r="M7923" i="2"/>
  <c r="L7923" i="2"/>
  <c r="E7923" i="2"/>
  <c r="D7923" i="2"/>
  <c r="B7923" i="2"/>
  <c r="A7923" i="2"/>
  <c r="O7922" i="2"/>
  <c r="M7922" i="2"/>
  <c r="L7922" i="2"/>
  <c r="E7922" i="2"/>
  <c r="D7922" i="2"/>
  <c r="B7922" i="2"/>
  <c r="A7922" i="2"/>
  <c r="O7921" i="2"/>
  <c r="O7920" i="2"/>
  <c r="O7919" i="2"/>
  <c r="O7918" i="2"/>
  <c r="M7918" i="2"/>
  <c r="L7918" i="2"/>
  <c r="E7918" i="2"/>
  <c r="D7918" i="2"/>
  <c r="B7918" i="2"/>
  <c r="A7918" i="2"/>
  <c r="O7917" i="2"/>
  <c r="M7917" i="2"/>
  <c r="L7917" i="2"/>
  <c r="E7917" i="2"/>
  <c r="D7917" i="2"/>
  <c r="B7917" i="2"/>
  <c r="A7917" i="2"/>
  <c r="O7916" i="2"/>
  <c r="M7916" i="2"/>
  <c r="L7916" i="2"/>
  <c r="E7916" i="2"/>
  <c r="D7916" i="2"/>
  <c r="B7916" i="2"/>
  <c r="A7916" i="2"/>
  <c r="O7915" i="2"/>
  <c r="M7915" i="2"/>
  <c r="L7915" i="2"/>
  <c r="E7915" i="2"/>
  <c r="D7915" i="2"/>
  <c r="B7915" i="2"/>
  <c r="A7915" i="2"/>
  <c r="O7914" i="2"/>
  <c r="O7913" i="2"/>
  <c r="O7912" i="2"/>
  <c r="O7911" i="2"/>
  <c r="M7911" i="2"/>
  <c r="L7911" i="2"/>
  <c r="E7911" i="2"/>
  <c r="D7911" i="2"/>
  <c r="B7911" i="2"/>
  <c r="A7911" i="2"/>
  <c r="O7910" i="2"/>
  <c r="M7910" i="2"/>
  <c r="L7910" i="2"/>
  <c r="E7910" i="2"/>
  <c r="D7910" i="2"/>
  <c r="B7910" i="2"/>
  <c r="A7910" i="2"/>
  <c r="O7909" i="2"/>
  <c r="O7908" i="2"/>
  <c r="O7907" i="2"/>
  <c r="M7907" i="2"/>
  <c r="L7907" i="2"/>
  <c r="E7907" i="2"/>
  <c r="D7907" i="2"/>
  <c r="B7907" i="2"/>
  <c r="A7907" i="2"/>
  <c r="O7906" i="2"/>
  <c r="O7905" i="2"/>
  <c r="O7904" i="2"/>
  <c r="M7904" i="2"/>
  <c r="L7904" i="2"/>
  <c r="E7904" i="2"/>
  <c r="D7904" i="2"/>
  <c r="B7904" i="2"/>
  <c r="A7904" i="2"/>
  <c r="O7903" i="2"/>
  <c r="O7902" i="2"/>
  <c r="O7901" i="2"/>
  <c r="O7900" i="2"/>
  <c r="O7899" i="2"/>
  <c r="M7899" i="2"/>
  <c r="L7899" i="2"/>
  <c r="E7899" i="2"/>
  <c r="D7899" i="2"/>
  <c r="B7899" i="2"/>
  <c r="A7899" i="2"/>
  <c r="O7898" i="2"/>
  <c r="M7898" i="2"/>
  <c r="L7898" i="2"/>
  <c r="E7898" i="2"/>
  <c r="D7898" i="2"/>
  <c r="B7898" i="2"/>
  <c r="A7898" i="2"/>
  <c r="O7897" i="2"/>
  <c r="M7897" i="2"/>
  <c r="L7897" i="2"/>
  <c r="E7897" i="2"/>
  <c r="D7897" i="2"/>
  <c r="B7897" i="2"/>
  <c r="A7897" i="2"/>
  <c r="O7896" i="2"/>
  <c r="M7896" i="2"/>
  <c r="L7896" i="2"/>
  <c r="E7896" i="2"/>
  <c r="D7896" i="2"/>
  <c r="B7896" i="2"/>
  <c r="A7896" i="2"/>
  <c r="O7895" i="2"/>
  <c r="O7894" i="2"/>
  <c r="O7893" i="2"/>
  <c r="O7892" i="2"/>
  <c r="O7891" i="2"/>
  <c r="O7890" i="2"/>
  <c r="M7890" i="2"/>
  <c r="L7890" i="2"/>
  <c r="E7890" i="2"/>
  <c r="D7890" i="2"/>
  <c r="B7890" i="2"/>
  <c r="A7890" i="2"/>
  <c r="O7889" i="2"/>
  <c r="O7888" i="2"/>
  <c r="O7887" i="2"/>
  <c r="O7886" i="2"/>
  <c r="M7886" i="2"/>
  <c r="L7886" i="2"/>
  <c r="E7886" i="2"/>
  <c r="D7886" i="2"/>
  <c r="B7886" i="2"/>
  <c r="A7886" i="2"/>
  <c r="O7885" i="2"/>
  <c r="O7884" i="2"/>
  <c r="O7883" i="2"/>
  <c r="O7882" i="2"/>
  <c r="M7882" i="2"/>
  <c r="L7882" i="2"/>
  <c r="E7882" i="2"/>
  <c r="D7882" i="2"/>
  <c r="B7882" i="2"/>
  <c r="A7882" i="2"/>
  <c r="O7881" i="2"/>
  <c r="M7881" i="2"/>
  <c r="L7881" i="2"/>
  <c r="E7881" i="2"/>
  <c r="D7881" i="2"/>
  <c r="B7881" i="2"/>
  <c r="A7881" i="2"/>
  <c r="O7880" i="2"/>
  <c r="M7880" i="2"/>
  <c r="L7880" i="2"/>
  <c r="E7880" i="2"/>
  <c r="D7880" i="2"/>
  <c r="B7880" i="2"/>
  <c r="A7880" i="2"/>
  <c r="O7879" i="2"/>
  <c r="M7879" i="2"/>
  <c r="L7879" i="2"/>
  <c r="E7879" i="2"/>
  <c r="D7879" i="2"/>
  <c r="B7879" i="2"/>
  <c r="A7879" i="2"/>
  <c r="O7878" i="2"/>
  <c r="M7878" i="2"/>
  <c r="L7878" i="2"/>
  <c r="E7878" i="2"/>
  <c r="D7878" i="2"/>
  <c r="B7878" i="2"/>
  <c r="A7878" i="2"/>
  <c r="O7877" i="2"/>
  <c r="M7877" i="2"/>
  <c r="L7877" i="2"/>
  <c r="E7877" i="2"/>
  <c r="D7877" i="2"/>
  <c r="B7877" i="2"/>
  <c r="A7877" i="2"/>
  <c r="O7876" i="2"/>
  <c r="O7875" i="2"/>
  <c r="O7874" i="2"/>
  <c r="M7874" i="2"/>
  <c r="L7874" i="2"/>
  <c r="E7874" i="2"/>
  <c r="D7874" i="2"/>
  <c r="B7874" i="2"/>
  <c r="A7874" i="2"/>
  <c r="O7873" i="2"/>
  <c r="M7873" i="2"/>
  <c r="L7873" i="2"/>
  <c r="E7873" i="2"/>
  <c r="D7873" i="2"/>
  <c r="B7873" i="2"/>
  <c r="A7873" i="2"/>
  <c r="O7872" i="2"/>
  <c r="M7872" i="2"/>
  <c r="L7872" i="2"/>
  <c r="E7872" i="2"/>
  <c r="D7872" i="2"/>
  <c r="B7872" i="2"/>
  <c r="A7872" i="2"/>
  <c r="O7871" i="2"/>
  <c r="O7870" i="2"/>
  <c r="O7869" i="2"/>
  <c r="M7869" i="2"/>
  <c r="L7869" i="2"/>
  <c r="E7869" i="2"/>
  <c r="D7869" i="2"/>
  <c r="B7869" i="2"/>
  <c r="A7869" i="2"/>
  <c r="O7868" i="2"/>
  <c r="O7867" i="2"/>
  <c r="O7866" i="2"/>
  <c r="O7865" i="2"/>
  <c r="O7864" i="2"/>
  <c r="O7863" i="2"/>
  <c r="O7862" i="2"/>
  <c r="O7861" i="2"/>
  <c r="O7860" i="2"/>
  <c r="O7859" i="2"/>
  <c r="O7858" i="2"/>
  <c r="O7857" i="2"/>
  <c r="O7856" i="2"/>
  <c r="O7855" i="2"/>
  <c r="O7854" i="2"/>
  <c r="O7853" i="2"/>
  <c r="O7852" i="2"/>
  <c r="O7851" i="2"/>
  <c r="M7851" i="2"/>
  <c r="L7851" i="2"/>
  <c r="E7851" i="2"/>
  <c r="D7851" i="2"/>
  <c r="B7851" i="2"/>
  <c r="A7851" i="2"/>
  <c r="O7850" i="2"/>
  <c r="M7850" i="2"/>
  <c r="L7850" i="2"/>
  <c r="E7850" i="2"/>
  <c r="D7850" i="2"/>
  <c r="B7850" i="2"/>
  <c r="A7850" i="2"/>
  <c r="O7849" i="2"/>
  <c r="M7849" i="2"/>
  <c r="L7849" i="2"/>
  <c r="E7849" i="2"/>
  <c r="D7849" i="2"/>
  <c r="B7849" i="2"/>
  <c r="A7849" i="2"/>
  <c r="O7848" i="2"/>
  <c r="M7848" i="2"/>
  <c r="L7848" i="2"/>
  <c r="E7848" i="2"/>
  <c r="D7848" i="2"/>
  <c r="B7848" i="2"/>
  <c r="A7848" i="2"/>
  <c r="O7847" i="2"/>
  <c r="M7847" i="2"/>
  <c r="L7847" i="2"/>
  <c r="E7847" i="2"/>
  <c r="D7847" i="2"/>
  <c r="B7847" i="2"/>
  <c r="A7847" i="2"/>
  <c r="O7846" i="2"/>
  <c r="O7845" i="2"/>
  <c r="O7844" i="2"/>
  <c r="M7844" i="2"/>
  <c r="L7844" i="2"/>
  <c r="E7844" i="2"/>
  <c r="D7844" i="2"/>
  <c r="B7844" i="2"/>
  <c r="A7844" i="2"/>
  <c r="O7843" i="2"/>
  <c r="M7843" i="2"/>
  <c r="L7843" i="2"/>
  <c r="E7843" i="2"/>
  <c r="D7843" i="2"/>
  <c r="B7843" i="2"/>
  <c r="A7843" i="2"/>
  <c r="O7842" i="2"/>
  <c r="M7842" i="2"/>
  <c r="L7842" i="2"/>
  <c r="E7842" i="2"/>
  <c r="D7842" i="2"/>
  <c r="B7842" i="2"/>
  <c r="A7842" i="2"/>
  <c r="O7841" i="2"/>
  <c r="O7840" i="2"/>
  <c r="M7840" i="2"/>
  <c r="L7840" i="2"/>
  <c r="E7840" i="2"/>
  <c r="D7840" i="2"/>
  <c r="B7840" i="2"/>
  <c r="A7840" i="2"/>
  <c r="O7839" i="2"/>
  <c r="O7838" i="2"/>
  <c r="M7838" i="2"/>
  <c r="L7838" i="2"/>
  <c r="E7838" i="2"/>
  <c r="D7838" i="2"/>
  <c r="B7838" i="2"/>
  <c r="A7838" i="2"/>
  <c r="O7837" i="2"/>
  <c r="O7836" i="2"/>
  <c r="O7835" i="2"/>
  <c r="O7834" i="2"/>
  <c r="M7834" i="2"/>
  <c r="L7834" i="2"/>
  <c r="E7834" i="2"/>
  <c r="D7834" i="2"/>
  <c r="B7834" i="2"/>
  <c r="A7834" i="2"/>
  <c r="O7833" i="2"/>
  <c r="O7832" i="2"/>
  <c r="M7832" i="2"/>
  <c r="L7832" i="2"/>
  <c r="E7832" i="2"/>
  <c r="D7832" i="2"/>
  <c r="B7832" i="2"/>
  <c r="A7832" i="2"/>
  <c r="O7831" i="2"/>
  <c r="M7831" i="2"/>
  <c r="L7831" i="2"/>
  <c r="E7831" i="2"/>
  <c r="D7831" i="2"/>
  <c r="B7831" i="2"/>
  <c r="A7831" i="2"/>
  <c r="O7830" i="2"/>
  <c r="M7830" i="2"/>
  <c r="L7830" i="2"/>
  <c r="E7830" i="2"/>
  <c r="D7830" i="2"/>
  <c r="B7830" i="2"/>
  <c r="A7830" i="2"/>
  <c r="O7829" i="2"/>
  <c r="M7829" i="2"/>
  <c r="L7829" i="2"/>
  <c r="E7829" i="2"/>
  <c r="D7829" i="2"/>
  <c r="B7829" i="2"/>
  <c r="A7829" i="2"/>
  <c r="O7828" i="2"/>
  <c r="O7827" i="2"/>
  <c r="O7826" i="2"/>
  <c r="O7825" i="2"/>
  <c r="M7825" i="2"/>
  <c r="L7825" i="2"/>
  <c r="E7825" i="2"/>
  <c r="D7825" i="2"/>
  <c r="B7825" i="2"/>
  <c r="A7825" i="2"/>
  <c r="O7824" i="2"/>
  <c r="O7823" i="2"/>
  <c r="M7823" i="2"/>
  <c r="L7823" i="2"/>
  <c r="E7823" i="2"/>
  <c r="D7823" i="2"/>
  <c r="B7823" i="2"/>
  <c r="A7823" i="2"/>
  <c r="O7822" i="2"/>
  <c r="M7822" i="2"/>
  <c r="L7822" i="2"/>
  <c r="E7822" i="2"/>
  <c r="D7822" i="2"/>
  <c r="B7822" i="2"/>
  <c r="A7822" i="2"/>
  <c r="O7821" i="2"/>
  <c r="M7821" i="2"/>
  <c r="L7821" i="2"/>
  <c r="E7821" i="2"/>
  <c r="D7821" i="2"/>
  <c r="B7821" i="2"/>
  <c r="A7821" i="2"/>
  <c r="O7820" i="2"/>
  <c r="M7820" i="2"/>
  <c r="L7820" i="2"/>
  <c r="E7820" i="2"/>
  <c r="D7820" i="2"/>
  <c r="B7820" i="2"/>
  <c r="A7820" i="2"/>
  <c r="O7819" i="2"/>
  <c r="M7819" i="2"/>
  <c r="L7819" i="2"/>
  <c r="E7819" i="2"/>
  <c r="D7819" i="2"/>
  <c r="B7819" i="2"/>
  <c r="A7819" i="2"/>
  <c r="O7818" i="2"/>
  <c r="M7818" i="2"/>
  <c r="L7818" i="2"/>
  <c r="E7818" i="2"/>
  <c r="D7818" i="2"/>
  <c r="B7818" i="2"/>
  <c r="A7818" i="2"/>
  <c r="O7817" i="2"/>
  <c r="O7816" i="2"/>
  <c r="O7815" i="2"/>
  <c r="M7815" i="2"/>
  <c r="L7815" i="2"/>
  <c r="E7815" i="2"/>
  <c r="D7815" i="2"/>
  <c r="B7815" i="2"/>
  <c r="A7815" i="2"/>
  <c r="O7814" i="2"/>
  <c r="O7813" i="2"/>
  <c r="O7812" i="2"/>
  <c r="M7812" i="2"/>
  <c r="L7812" i="2"/>
  <c r="E7812" i="2"/>
  <c r="D7812" i="2"/>
  <c r="B7812" i="2"/>
  <c r="A7812" i="2"/>
  <c r="O7811" i="2"/>
  <c r="O7810" i="2"/>
  <c r="O7809" i="2"/>
  <c r="M7809" i="2"/>
  <c r="L7809" i="2"/>
  <c r="E7809" i="2"/>
  <c r="D7809" i="2"/>
  <c r="B7809" i="2"/>
  <c r="A7809" i="2"/>
  <c r="O7808" i="2"/>
  <c r="M7808" i="2"/>
  <c r="L7808" i="2"/>
  <c r="E7808" i="2"/>
  <c r="D7808" i="2"/>
  <c r="B7808" i="2"/>
  <c r="A7808" i="2"/>
  <c r="O7807" i="2"/>
  <c r="M7807" i="2"/>
  <c r="L7807" i="2"/>
  <c r="E7807" i="2"/>
  <c r="D7807" i="2"/>
  <c r="B7807" i="2"/>
  <c r="A7807" i="2"/>
  <c r="O7806" i="2"/>
  <c r="M7806" i="2"/>
  <c r="L7806" i="2"/>
  <c r="E7806" i="2"/>
  <c r="D7806" i="2"/>
  <c r="B7806" i="2"/>
  <c r="A7806" i="2"/>
  <c r="O7805" i="2"/>
  <c r="M7805" i="2"/>
  <c r="L7805" i="2"/>
  <c r="E7805" i="2"/>
  <c r="D7805" i="2"/>
  <c r="B7805" i="2"/>
  <c r="A7805" i="2"/>
  <c r="O7804" i="2"/>
  <c r="M7804" i="2"/>
  <c r="L7804" i="2"/>
  <c r="E7804" i="2"/>
  <c r="D7804" i="2"/>
  <c r="B7804" i="2"/>
  <c r="A7804" i="2"/>
  <c r="O7803" i="2"/>
  <c r="O7802" i="2"/>
  <c r="M7802" i="2"/>
  <c r="L7802" i="2"/>
  <c r="E7802" i="2"/>
  <c r="D7802" i="2"/>
  <c r="B7802" i="2"/>
  <c r="A7802" i="2"/>
  <c r="O7801" i="2"/>
  <c r="M7801" i="2"/>
  <c r="L7801" i="2"/>
  <c r="E7801" i="2"/>
  <c r="D7801" i="2"/>
  <c r="B7801" i="2"/>
  <c r="A7801" i="2"/>
  <c r="O7800" i="2"/>
  <c r="O7799" i="2"/>
  <c r="M7799" i="2"/>
  <c r="L7799" i="2"/>
  <c r="E7799" i="2"/>
  <c r="D7799" i="2"/>
  <c r="B7799" i="2"/>
  <c r="A7799" i="2"/>
  <c r="O7798" i="2"/>
  <c r="M7798" i="2"/>
  <c r="L7798" i="2"/>
  <c r="E7798" i="2"/>
  <c r="D7798" i="2"/>
  <c r="B7798" i="2"/>
  <c r="A7798" i="2"/>
  <c r="O7797" i="2"/>
  <c r="M7797" i="2"/>
  <c r="L7797" i="2"/>
  <c r="E7797" i="2"/>
  <c r="D7797" i="2"/>
  <c r="B7797" i="2"/>
  <c r="A7797" i="2"/>
  <c r="O7796" i="2"/>
  <c r="O7795" i="2"/>
  <c r="O7794" i="2"/>
  <c r="M7794" i="2"/>
  <c r="L7794" i="2"/>
  <c r="E7794" i="2"/>
  <c r="D7794" i="2"/>
  <c r="B7794" i="2"/>
  <c r="A7794" i="2"/>
  <c r="O7793" i="2"/>
  <c r="M7793" i="2"/>
  <c r="L7793" i="2"/>
  <c r="E7793" i="2"/>
  <c r="D7793" i="2"/>
  <c r="B7793" i="2"/>
  <c r="A7793" i="2"/>
  <c r="O7792" i="2"/>
  <c r="M7792" i="2"/>
  <c r="L7792" i="2"/>
  <c r="E7792" i="2"/>
  <c r="D7792" i="2"/>
  <c r="B7792" i="2"/>
  <c r="A7792" i="2"/>
  <c r="O7791" i="2"/>
  <c r="O7790" i="2"/>
  <c r="M7790" i="2"/>
  <c r="L7790" i="2"/>
  <c r="E7790" i="2"/>
  <c r="D7790" i="2"/>
  <c r="B7790" i="2"/>
  <c r="A7790" i="2"/>
  <c r="O7789" i="2"/>
  <c r="M7789" i="2"/>
  <c r="L7789" i="2"/>
  <c r="E7789" i="2"/>
  <c r="D7789" i="2"/>
  <c r="B7789" i="2"/>
  <c r="A7789" i="2"/>
  <c r="O7788" i="2"/>
  <c r="M7788" i="2"/>
  <c r="L7788" i="2"/>
  <c r="E7788" i="2"/>
  <c r="D7788" i="2"/>
  <c r="B7788" i="2"/>
  <c r="A7788" i="2"/>
  <c r="O7787" i="2"/>
  <c r="O7786" i="2"/>
  <c r="O7785" i="2"/>
  <c r="M7785" i="2"/>
  <c r="L7785" i="2"/>
  <c r="E7785" i="2"/>
  <c r="D7785" i="2"/>
  <c r="B7785" i="2"/>
  <c r="A7785" i="2"/>
  <c r="O7784" i="2"/>
  <c r="M7784" i="2"/>
  <c r="L7784" i="2"/>
  <c r="E7784" i="2"/>
  <c r="D7784" i="2"/>
  <c r="B7784" i="2"/>
  <c r="A7784" i="2"/>
  <c r="O7783" i="2"/>
  <c r="O7782" i="2"/>
  <c r="M7782" i="2"/>
  <c r="L7782" i="2"/>
  <c r="E7782" i="2"/>
  <c r="D7782" i="2"/>
  <c r="B7782" i="2"/>
  <c r="A7782" i="2"/>
  <c r="O7781" i="2"/>
  <c r="M7781" i="2"/>
  <c r="L7781" i="2"/>
  <c r="E7781" i="2"/>
  <c r="D7781" i="2"/>
  <c r="B7781" i="2"/>
  <c r="A7781" i="2"/>
  <c r="O7780" i="2"/>
  <c r="O7779" i="2"/>
  <c r="M7779" i="2"/>
  <c r="L7779" i="2"/>
  <c r="E7779" i="2"/>
  <c r="D7779" i="2"/>
  <c r="B7779" i="2"/>
  <c r="A7779" i="2"/>
  <c r="O7778" i="2"/>
  <c r="O7777" i="2"/>
  <c r="M7777" i="2"/>
  <c r="L7777" i="2"/>
  <c r="E7777" i="2"/>
  <c r="D7777" i="2"/>
  <c r="B7777" i="2"/>
  <c r="A7777" i="2"/>
  <c r="O7776" i="2"/>
  <c r="M7776" i="2"/>
  <c r="L7776" i="2"/>
  <c r="E7776" i="2"/>
  <c r="D7776" i="2"/>
  <c r="B7776" i="2"/>
  <c r="A7776" i="2"/>
  <c r="O7775" i="2"/>
  <c r="O7774" i="2"/>
  <c r="M7774" i="2"/>
  <c r="L7774" i="2"/>
  <c r="E7774" i="2"/>
  <c r="D7774" i="2"/>
  <c r="B7774" i="2"/>
  <c r="A7774" i="2"/>
  <c r="O7773" i="2"/>
  <c r="O7772" i="2"/>
  <c r="M7772" i="2"/>
  <c r="L7772" i="2"/>
  <c r="E7772" i="2"/>
  <c r="D7772" i="2"/>
  <c r="B7772" i="2"/>
  <c r="A7772" i="2"/>
  <c r="O7771" i="2"/>
  <c r="O7770" i="2"/>
  <c r="M7770" i="2"/>
  <c r="L7770" i="2"/>
  <c r="E7770" i="2"/>
  <c r="D7770" i="2"/>
  <c r="B7770" i="2"/>
  <c r="A7770" i="2"/>
  <c r="O7769" i="2"/>
  <c r="M7769" i="2"/>
  <c r="L7769" i="2"/>
  <c r="E7769" i="2"/>
  <c r="D7769" i="2"/>
  <c r="B7769" i="2"/>
  <c r="A7769" i="2"/>
  <c r="O7768" i="2"/>
  <c r="O7767" i="2"/>
  <c r="O7766" i="2"/>
  <c r="M7766" i="2"/>
  <c r="L7766" i="2"/>
  <c r="E7766" i="2"/>
  <c r="D7766" i="2"/>
  <c r="B7766" i="2"/>
  <c r="A7766" i="2"/>
  <c r="O7765" i="2"/>
  <c r="O7764" i="2"/>
  <c r="M7764" i="2"/>
  <c r="L7764" i="2"/>
  <c r="E7764" i="2"/>
  <c r="D7764" i="2"/>
  <c r="B7764" i="2"/>
  <c r="A7764" i="2"/>
  <c r="O7763" i="2"/>
  <c r="M7763" i="2"/>
  <c r="L7763" i="2"/>
  <c r="E7763" i="2"/>
  <c r="D7763" i="2"/>
  <c r="B7763" i="2"/>
  <c r="A7763" i="2"/>
  <c r="O7762" i="2"/>
  <c r="M7762" i="2"/>
  <c r="L7762" i="2"/>
  <c r="E7762" i="2"/>
  <c r="D7762" i="2"/>
  <c r="B7762" i="2"/>
  <c r="A7762" i="2"/>
  <c r="O7761" i="2"/>
  <c r="O7760" i="2"/>
  <c r="M7760" i="2"/>
  <c r="L7760" i="2"/>
  <c r="E7760" i="2"/>
  <c r="D7760" i="2"/>
  <c r="B7760" i="2"/>
  <c r="A7760" i="2"/>
  <c r="O7759" i="2"/>
  <c r="O7758" i="2"/>
  <c r="O7757" i="2"/>
  <c r="O7756" i="2"/>
  <c r="M7756" i="2"/>
  <c r="L7756" i="2"/>
  <c r="E7756" i="2"/>
  <c r="D7756" i="2"/>
  <c r="B7756" i="2"/>
  <c r="A7756" i="2"/>
  <c r="O7755" i="2"/>
  <c r="M7755" i="2"/>
  <c r="L7755" i="2"/>
  <c r="E7755" i="2"/>
  <c r="D7755" i="2"/>
  <c r="B7755" i="2"/>
  <c r="A7755" i="2"/>
  <c r="O7754" i="2"/>
  <c r="M7754" i="2"/>
  <c r="L7754" i="2"/>
  <c r="E7754" i="2"/>
  <c r="D7754" i="2"/>
  <c r="B7754" i="2"/>
  <c r="A7754" i="2"/>
  <c r="O7753" i="2"/>
  <c r="O7752" i="2"/>
  <c r="M7752" i="2"/>
  <c r="L7752" i="2"/>
  <c r="E7752" i="2"/>
  <c r="D7752" i="2"/>
  <c r="B7752" i="2"/>
  <c r="A7752" i="2"/>
  <c r="O7751" i="2"/>
  <c r="M7751" i="2"/>
  <c r="L7751" i="2"/>
  <c r="E7751" i="2"/>
  <c r="D7751" i="2"/>
  <c r="B7751" i="2"/>
  <c r="A7751" i="2"/>
  <c r="O7750" i="2"/>
  <c r="O7749" i="2"/>
  <c r="O7748" i="2"/>
  <c r="O7747" i="2"/>
  <c r="M7747" i="2"/>
  <c r="L7747" i="2"/>
  <c r="E7747" i="2"/>
  <c r="D7747" i="2"/>
  <c r="B7747" i="2"/>
  <c r="A7747" i="2"/>
  <c r="O7746" i="2"/>
  <c r="O7745" i="2"/>
  <c r="M7745" i="2"/>
  <c r="L7745" i="2"/>
  <c r="E7745" i="2"/>
  <c r="D7745" i="2"/>
  <c r="B7745" i="2"/>
  <c r="A7745" i="2"/>
  <c r="O7744" i="2"/>
  <c r="O7743" i="2"/>
  <c r="M7743" i="2"/>
  <c r="L7743" i="2"/>
  <c r="E7743" i="2"/>
  <c r="D7743" i="2"/>
  <c r="B7743" i="2"/>
  <c r="A7743" i="2"/>
  <c r="O7742" i="2"/>
  <c r="M7742" i="2"/>
  <c r="L7742" i="2"/>
  <c r="E7742" i="2"/>
  <c r="D7742" i="2"/>
  <c r="B7742" i="2"/>
  <c r="A7742" i="2"/>
  <c r="O7741" i="2"/>
  <c r="M7741" i="2"/>
  <c r="L7741" i="2"/>
  <c r="E7741" i="2"/>
  <c r="D7741" i="2"/>
  <c r="B7741" i="2"/>
  <c r="A7741" i="2"/>
  <c r="O7740" i="2"/>
  <c r="M7740" i="2"/>
  <c r="L7740" i="2"/>
  <c r="E7740" i="2"/>
  <c r="D7740" i="2"/>
  <c r="B7740" i="2"/>
  <c r="A7740" i="2"/>
  <c r="O7739" i="2"/>
  <c r="M7739" i="2"/>
  <c r="L7739" i="2"/>
  <c r="E7739" i="2"/>
  <c r="D7739" i="2"/>
  <c r="B7739" i="2"/>
  <c r="A7739" i="2"/>
  <c r="O7738" i="2"/>
  <c r="M7738" i="2"/>
  <c r="L7738" i="2"/>
  <c r="E7738" i="2"/>
  <c r="D7738" i="2"/>
  <c r="B7738" i="2"/>
  <c r="A7738" i="2"/>
  <c r="O7737" i="2"/>
  <c r="M7737" i="2"/>
  <c r="L7737" i="2"/>
  <c r="E7737" i="2"/>
  <c r="D7737" i="2"/>
  <c r="B7737" i="2"/>
  <c r="A7737" i="2"/>
  <c r="O7736" i="2"/>
  <c r="O7735" i="2"/>
  <c r="O7734" i="2"/>
  <c r="M7734" i="2"/>
  <c r="L7734" i="2"/>
  <c r="E7734" i="2"/>
  <c r="D7734" i="2"/>
  <c r="B7734" i="2"/>
  <c r="A7734" i="2"/>
  <c r="O7733" i="2"/>
  <c r="O7732" i="2"/>
  <c r="M7732" i="2"/>
  <c r="L7732" i="2"/>
  <c r="E7732" i="2"/>
  <c r="D7732" i="2"/>
  <c r="B7732" i="2"/>
  <c r="A7732" i="2"/>
  <c r="O7731" i="2"/>
  <c r="O7730" i="2"/>
  <c r="M7730" i="2"/>
  <c r="L7730" i="2"/>
  <c r="E7730" i="2"/>
  <c r="D7730" i="2"/>
  <c r="B7730" i="2"/>
  <c r="A7730" i="2"/>
  <c r="O7729" i="2"/>
  <c r="O7728" i="2"/>
  <c r="M7728" i="2"/>
  <c r="L7728" i="2"/>
  <c r="E7728" i="2"/>
  <c r="D7728" i="2"/>
  <c r="B7728" i="2"/>
  <c r="A7728" i="2"/>
  <c r="O7727" i="2"/>
  <c r="M7727" i="2"/>
  <c r="L7727" i="2"/>
  <c r="E7727" i="2"/>
  <c r="D7727" i="2"/>
  <c r="B7727" i="2"/>
  <c r="A7727" i="2"/>
  <c r="O7726" i="2"/>
  <c r="O7725" i="2"/>
  <c r="M7725" i="2"/>
  <c r="L7725" i="2"/>
  <c r="E7725" i="2"/>
  <c r="D7725" i="2"/>
  <c r="B7725" i="2"/>
  <c r="A7725" i="2"/>
  <c r="O7724" i="2"/>
  <c r="M7724" i="2"/>
  <c r="L7724" i="2"/>
  <c r="E7724" i="2"/>
  <c r="D7724" i="2"/>
  <c r="B7724" i="2"/>
  <c r="A7724" i="2"/>
  <c r="O7723" i="2"/>
  <c r="O7722" i="2"/>
  <c r="M7722" i="2"/>
  <c r="L7722" i="2"/>
  <c r="E7722" i="2"/>
  <c r="D7722" i="2"/>
  <c r="B7722" i="2"/>
  <c r="A7722" i="2"/>
  <c r="O7721" i="2"/>
  <c r="O7720" i="2"/>
  <c r="O7719" i="2"/>
  <c r="M7719" i="2"/>
  <c r="L7719" i="2"/>
  <c r="E7719" i="2"/>
  <c r="D7719" i="2"/>
  <c r="B7719" i="2"/>
  <c r="A7719" i="2"/>
  <c r="O7718" i="2"/>
  <c r="O7717" i="2"/>
  <c r="O7716" i="2"/>
  <c r="M7716" i="2"/>
  <c r="L7716" i="2"/>
  <c r="E7716" i="2"/>
  <c r="D7716" i="2"/>
  <c r="B7716" i="2"/>
  <c r="A7716" i="2"/>
  <c r="O7715" i="2"/>
  <c r="M7715" i="2"/>
  <c r="L7715" i="2"/>
  <c r="E7715" i="2"/>
  <c r="D7715" i="2"/>
  <c r="B7715" i="2"/>
  <c r="A7715" i="2"/>
  <c r="O7714" i="2"/>
  <c r="O7713" i="2"/>
  <c r="O7712" i="2"/>
  <c r="O7711" i="2"/>
  <c r="M7711" i="2"/>
  <c r="L7711" i="2"/>
  <c r="E7711" i="2"/>
  <c r="D7711" i="2"/>
  <c r="B7711" i="2"/>
  <c r="A7711" i="2"/>
  <c r="O7710" i="2"/>
  <c r="M7710" i="2"/>
  <c r="L7710" i="2"/>
  <c r="E7710" i="2"/>
  <c r="D7710" i="2"/>
  <c r="B7710" i="2"/>
  <c r="A7710" i="2"/>
  <c r="O7709" i="2"/>
  <c r="M7709" i="2"/>
  <c r="L7709" i="2"/>
  <c r="E7709" i="2"/>
  <c r="D7709" i="2"/>
  <c r="B7709" i="2"/>
  <c r="A7709" i="2"/>
  <c r="O7708" i="2"/>
  <c r="O7707" i="2"/>
  <c r="M7707" i="2"/>
  <c r="L7707" i="2"/>
  <c r="E7707" i="2"/>
  <c r="D7707" i="2"/>
  <c r="B7707" i="2"/>
  <c r="A7707" i="2"/>
  <c r="O7706" i="2"/>
  <c r="M7706" i="2"/>
  <c r="L7706" i="2"/>
  <c r="E7706" i="2"/>
  <c r="D7706" i="2"/>
  <c r="B7706" i="2"/>
  <c r="A7706" i="2"/>
  <c r="O7705" i="2"/>
  <c r="M7705" i="2"/>
  <c r="L7705" i="2"/>
  <c r="E7705" i="2"/>
  <c r="D7705" i="2"/>
  <c r="B7705" i="2"/>
  <c r="A7705" i="2"/>
  <c r="O7704" i="2"/>
  <c r="M7704" i="2"/>
  <c r="L7704" i="2"/>
  <c r="E7704" i="2"/>
  <c r="D7704" i="2"/>
  <c r="B7704" i="2"/>
  <c r="A7704" i="2"/>
  <c r="O7703" i="2"/>
  <c r="M7703" i="2"/>
  <c r="L7703" i="2"/>
  <c r="E7703" i="2"/>
  <c r="D7703" i="2"/>
  <c r="B7703" i="2"/>
  <c r="A7703" i="2"/>
  <c r="O7702" i="2"/>
  <c r="O7701" i="2"/>
  <c r="O7700" i="2"/>
  <c r="M7700" i="2"/>
  <c r="L7700" i="2"/>
  <c r="E7700" i="2"/>
  <c r="D7700" i="2"/>
  <c r="B7700" i="2"/>
  <c r="A7700" i="2"/>
  <c r="O7699" i="2"/>
  <c r="M7699" i="2"/>
  <c r="L7699" i="2"/>
  <c r="E7699" i="2"/>
  <c r="D7699" i="2"/>
  <c r="B7699" i="2"/>
  <c r="A7699" i="2"/>
  <c r="O7698" i="2"/>
  <c r="M7698" i="2"/>
  <c r="L7698" i="2"/>
  <c r="E7698" i="2"/>
  <c r="D7698" i="2"/>
  <c r="B7698" i="2"/>
  <c r="A7698" i="2"/>
  <c r="O7697" i="2"/>
  <c r="O7696" i="2"/>
  <c r="M7696" i="2"/>
  <c r="L7696" i="2"/>
  <c r="E7696" i="2"/>
  <c r="D7696" i="2"/>
  <c r="B7696" i="2"/>
  <c r="A7696" i="2"/>
  <c r="O7695" i="2"/>
  <c r="M7695" i="2"/>
  <c r="L7695" i="2"/>
  <c r="E7695" i="2"/>
  <c r="D7695" i="2"/>
  <c r="B7695" i="2"/>
  <c r="A7695" i="2"/>
  <c r="O7694" i="2"/>
  <c r="O7693" i="2"/>
  <c r="M7693" i="2"/>
  <c r="L7693" i="2"/>
  <c r="E7693" i="2"/>
  <c r="D7693" i="2"/>
  <c r="B7693" i="2"/>
  <c r="A7693" i="2"/>
  <c r="O7692" i="2"/>
  <c r="O7691" i="2"/>
  <c r="M7691" i="2"/>
  <c r="L7691" i="2"/>
  <c r="E7691" i="2"/>
  <c r="D7691" i="2"/>
  <c r="B7691" i="2"/>
  <c r="A7691" i="2"/>
  <c r="O7690" i="2"/>
  <c r="M7690" i="2"/>
  <c r="L7690" i="2"/>
  <c r="E7690" i="2"/>
  <c r="D7690" i="2"/>
  <c r="B7690" i="2"/>
  <c r="A7690" i="2"/>
  <c r="O7689" i="2"/>
  <c r="O7688" i="2"/>
  <c r="M7688" i="2"/>
  <c r="L7688" i="2"/>
  <c r="E7688" i="2"/>
  <c r="D7688" i="2"/>
  <c r="B7688" i="2"/>
  <c r="A7688" i="2"/>
  <c r="O7687" i="2"/>
  <c r="O7686" i="2"/>
  <c r="O7685" i="2"/>
  <c r="O7684" i="2"/>
  <c r="O7683" i="2"/>
  <c r="M7683" i="2"/>
  <c r="L7683" i="2"/>
  <c r="E7683" i="2"/>
  <c r="D7683" i="2"/>
  <c r="B7683" i="2"/>
  <c r="A7683" i="2"/>
  <c r="O7682" i="2"/>
  <c r="O7681" i="2"/>
  <c r="O7680" i="2"/>
  <c r="O7679" i="2"/>
  <c r="O7678" i="2"/>
  <c r="O7677" i="2"/>
  <c r="O7676" i="2"/>
  <c r="M7676" i="2"/>
  <c r="L7676" i="2"/>
  <c r="E7676" i="2"/>
  <c r="D7676" i="2"/>
  <c r="B7676" i="2"/>
  <c r="A7676" i="2"/>
  <c r="O7675" i="2"/>
  <c r="M7675" i="2"/>
  <c r="L7675" i="2"/>
  <c r="E7675" i="2"/>
  <c r="D7675" i="2"/>
  <c r="B7675" i="2"/>
  <c r="A7675" i="2"/>
  <c r="O7674" i="2"/>
  <c r="M7674" i="2"/>
  <c r="L7674" i="2"/>
  <c r="E7674" i="2"/>
  <c r="D7674" i="2"/>
  <c r="B7674" i="2"/>
  <c r="A7674" i="2"/>
  <c r="O7673" i="2"/>
  <c r="O7672" i="2"/>
  <c r="M7672" i="2"/>
  <c r="L7672" i="2"/>
  <c r="E7672" i="2"/>
  <c r="D7672" i="2"/>
  <c r="B7672" i="2"/>
  <c r="A7672" i="2"/>
  <c r="O7671" i="2"/>
  <c r="O7670" i="2"/>
  <c r="M7670" i="2"/>
  <c r="L7670" i="2"/>
  <c r="E7670" i="2"/>
  <c r="D7670" i="2"/>
  <c r="B7670" i="2"/>
  <c r="A7670" i="2"/>
  <c r="O7669" i="2"/>
  <c r="M7669" i="2"/>
  <c r="L7669" i="2"/>
  <c r="E7669" i="2"/>
  <c r="D7669" i="2"/>
  <c r="B7669" i="2"/>
  <c r="A7669" i="2"/>
  <c r="O7668" i="2"/>
  <c r="M7668" i="2"/>
  <c r="L7668" i="2"/>
  <c r="E7668" i="2"/>
  <c r="D7668" i="2"/>
  <c r="B7668" i="2"/>
  <c r="A7668" i="2"/>
  <c r="O7667" i="2"/>
  <c r="O7666" i="2"/>
  <c r="M7666" i="2"/>
  <c r="L7666" i="2"/>
  <c r="E7666" i="2"/>
  <c r="D7666" i="2"/>
  <c r="B7666" i="2"/>
  <c r="A7666" i="2"/>
  <c r="O7665" i="2"/>
  <c r="M7665" i="2"/>
  <c r="L7665" i="2"/>
  <c r="E7665" i="2"/>
  <c r="D7665" i="2"/>
  <c r="B7665" i="2"/>
  <c r="A7665" i="2"/>
  <c r="O7664" i="2"/>
  <c r="M7664" i="2"/>
  <c r="L7664" i="2"/>
  <c r="E7664" i="2"/>
  <c r="D7664" i="2"/>
  <c r="B7664" i="2"/>
  <c r="A7664" i="2"/>
  <c r="O7663" i="2"/>
  <c r="M7663" i="2"/>
  <c r="L7663" i="2"/>
  <c r="E7663" i="2"/>
  <c r="D7663" i="2"/>
  <c r="B7663" i="2"/>
  <c r="A7663" i="2"/>
  <c r="O7662" i="2"/>
  <c r="O7661" i="2"/>
  <c r="M7661" i="2"/>
  <c r="L7661" i="2"/>
  <c r="E7661" i="2"/>
  <c r="D7661" i="2"/>
  <c r="B7661" i="2"/>
  <c r="A7661" i="2"/>
  <c r="O7660" i="2"/>
  <c r="O7659" i="2"/>
  <c r="O7658" i="2"/>
  <c r="M7658" i="2"/>
  <c r="L7658" i="2"/>
  <c r="E7658" i="2"/>
  <c r="D7658" i="2"/>
  <c r="B7658" i="2"/>
  <c r="A7658" i="2"/>
  <c r="O7657" i="2"/>
  <c r="O7656" i="2"/>
  <c r="O7655" i="2"/>
  <c r="M7655" i="2"/>
  <c r="L7655" i="2"/>
  <c r="E7655" i="2"/>
  <c r="D7655" i="2"/>
  <c r="B7655" i="2"/>
  <c r="A7655" i="2"/>
  <c r="O7654" i="2"/>
  <c r="O7653" i="2"/>
  <c r="O7652" i="2"/>
  <c r="M7652" i="2"/>
  <c r="L7652" i="2"/>
  <c r="E7652" i="2"/>
  <c r="D7652" i="2"/>
  <c r="B7652" i="2"/>
  <c r="A7652" i="2"/>
  <c r="O7651" i="2"/>
  <c r="M7651" i="2"/>
  <c r="L7651" i="2"/>
  <c r="E7651" i="2"/>
  <c r="D7651" i="2"/>
  <c r="B7651" i="2"/>
  <c r="A7651" i="2"/>
  <c r="O7650" i="2"/>
  <c r="O7649" i="2"/>
  <c r="M7649" i="2"/>
  <c r="L7649" i="2"/>
  <c r="E7649" i="2"/>
  <c r="D7649" i="2"/>
  <c r="B7649" i="2"/>
  <c r="A7649" i="2"/>
  <c r="O7648" i="2"/>
  <c r="O7647" i="2"/>
  <c r="O7646" i="2"/>
  <c r="M7646" i="2"/>
  <c r="L7646" i="2"/>
  <c r="E7646" i="2"/>
  <c r="D7646" i="2"/>
  <c r="B7646" i="2"/>
  <c r="A7646" i="2"/>
  <c r="O7645" i="2"/>
  <c r="M7645" i="2"/>
  <c r="L7645" i="2"/>
  <c r="E7645" i="2"/>
  <c r="D7645" i="2"/>
  <c r="B7645" i="2"/>
  <c r="A7645" i="2"/>
  <c r="O7644" i="2"/>
  <c r="M7644" i="2"/>
  <c r="L7644" i="2"/>
  <c r="E7644" i="2"/>
  <c r="D7644" i="2"/>
  <c r="B7644" i="2"/>
  <c r="A7644" i="2"/>
  <c r="O7643" i="2"/>
  <c r="O7642" i="2"/>
  <c r="O7641" i="2"/>
  <c r="M7641" i="2"/>
  <c r="L7641" i="2"/>
  <c r="E7641" i="2"/>
  <c r="D7641" i="2"/>
  <c r="B7641" i="2"/>
  <c r="A7641" i="2"/>
  <c r="O7640" i="2"/>
  <c r="O7639" i="2"/>
  <c r="O7638" i="2"/>
  <c r="M7638" i="2"/>
  <c r="L7638" i="2"/>
  <c r="E7638" i="2"/>
  <c r="D7638" i="2"/>
  <c r="B7638" i="2"/>
  <c r="A7638" i="2"/>
  <c r="O7637" i="2"/>
  <c r="O7636" i="2"/>
  <c r="O7635" i="2"/>
  <c r="M7635" i="2"/>
  <c r="L7635" i="2"/>
  <c r="E7635" i="2"/>
  <c r="D7635" i="2"/>
  <c r="B7635" i="2"/>
  <c r="A7635" i="2"/>
  <c r="O7634" i="2"/>
  <c r="M7634" i="2"/>
  <c r="L7634" i="2"/>
  <c r="E7634" i="2"/>
  <c r="D7634" i="2"/>
  <c r="B7634" i="2"/>
  <c r="A7634" i="2"/>
  <c r="O7633" i="2"/>
  <c r="M7633" i="2"/>
  <c r="L7633" i="2"/>
  <c r="E7633" i="2"/>
  <c r="D7633" i="2"/>
  <c r="B7633" i="2"/>
  <c r="A7633" i="2"/>
  <c r="O7632" i="2"/>
  <c r="M7632" i="2"/>
  <c r="L7632" i="2"/>
  <c r="E7632" i="2"/>
  <c r="D7632" i="2"/>
  <c r="B7632" i="2"/>
  <c r="A7632" i="2"/>
  <c r="O7631" i="2"/>
  <c r="O7630" i="2"/>
  <c r="M7630" i="2"/>
  <c r="L7630" i="2"/>
  <c r="E7630" i="2"/>
  <c r="D7630" i="2"/>
  <c r="B7630" i="2"/>
  <c r="A7630" i="2"/>
  <c r="O7629" i="2"/>
  <c r="M7629" i="2"/>
  <c r="L7629" i="2"/>
  <c r="E7629" i="2"/>
  <c r="D7629" i="2"/>
  <c r="B7629" i="2"/>
  <c r="A7629" i="2"/>
  <c r="O7628" i="2"/>
  <c r="M7628" i="2"/>
  <c r="L7628" i="2"/>
  <c r="E7628" i="2"/>
  <c r="D7628" i="2"/>
  <c r="B7628" i="2"/>
  <c r="A7628" i="2"/>
  <c r="O7627" i="2"/>
  <c r="M7627" i="2"/>
  <c r="L7627" i="2"/>
  <c r="E7627" i="2"/>
  <c r="D7627" i="2"/>
  <c r="B7627" i="2"/>
  <c r="A7627" i="2"/>
  <c r="O7626" i="2"/>
  <c r="M7626" i="2"/>
  <c r="L7626" i="2"/>
  <c r="E7626" i="2"/>
  <c r="D7626" i="2"/>
  <c r="B7626" i="2"/>
  <c r="A7626" i="2"/>
  <c r="O7625" i="2"/>
  <c r="M7625" i="2"/>
  <c r="L7625" i="2"/>
  <c r="E7625" i="2"/>
  <c r="D7625" i="2"/>
  <c r="B7625" i="2"/>
  <c r="A7625" i="2"/>
  <c r="O7624" i="2"/>
  <c r="M7624" i="2"/>
  <c r="L7624" i="2"/>
  <c r="E7624" i="2"/>
  <c r="D7624" i="2"/>
  <c r="B7624" i="2"/>
  <c r="A7624" i="2"/>
  <c r="O7623" i="2"/>
  <c r="O7622" i="2"/>
  <c r="O7621" i="2"/>
  <c r="M7621" i="2"/>
  <c r="L7621" i="2"/>
  <c r="E7621" i="2"/>
  <c r="D7621" i="2"/>
  <c r="B7621" i="2"/>
  <c r="A7621" i="2"/>
  <c r="O7620" i="2"/>
  <c r="O7619" i="2"/>
  <c r="M7619" i="2"/>
  <c r="L7619" i="2"/>
  <c r="E7619" i="2"/>
  <c r="D7619" i="2"/>
  <c r="B7619" i="2"/>
  <c r="A7619" i="2"/>
  <c r="O7618" i="2"/>
  <c r="O7617" i="2"/>
  <c r="O7616" i="2"/>
  <c r="M7616" i="2"/>
  <c r="L7616" i="2"/>
  <c r="E7616" i="2"/>
  <c r="D7616" i="2"/>
  <c r="B7616" i="2"/>
  <c r="A7616" i="2"/>
  <c r="O7615" i="2"/>
  <c r="M7615" i="2"/>
  <c r="L7615" i="2"/>
  <c r="E7615" i="2"/>
  <c r="D7615" i="2"/>
  <c r="B7615" i="2"/>
  <c r="A7615" i="2"/>
  <c r="O7614" i="2"/>
  <c r="M7614" i="2"/>
  <c r="L7614" i="2"/>
  <c r="E7614" i="2"/>
  <c r="D7614" i="2"/>
  <c r="B7614" i="2"/>
  <c r="A7614" i="2"/>
  <c r="O7613" i="2"/>
  <c r="O7612" i="2"/>
  <c r="O7611" i="2"/>
  <c r="M7611" i="2"/>
  <c r="L7611" i="2"/>
  <c r="E7611" i="2"/>
  <c r="D7611" i="2"/>
  <c r="B7611" i="2"/>
  <c r="A7611" i="2"/>
  <c r="O7610" i="2"/>
  <c r="O7609" i="2"/>
  <c r="M7609" i="2"/>
  <c r="L7609" i="2"/>
  <c r="E7609" i="2"/>
  <c r="D7609" i="2"/>
  <c r="B7609" i="2"/>
  <c r="A7609" i="2"/>
  <c r="O7608" i="2"/>
  <c r="M7608" i="2"/>
  <c r="L7608" i="2"/>
  <c r="E7608" i="2"/>
  <c r="D7608" i="2"/>
  <c r="B7608" i="2"/>
  <c r="A7608" i="2"/>
  <c r="O7607" i="2"/>
  <c r="O7606" i="2"/>
  <c r="M7606" i="2"/>
  <c r="L7606" i="2"/>
  <c r="E7606" i="2"/>
  <c r="D7606" i="2"/>
  <c r="B7606" i="2"/>
  <c r="A7606" i="2"/>
  <c r="O7605" i="2"/>
  <c r="O7604" i="2"/>
  <c r="O7603" i="2"/>
  <c r="O7602" i="2"/>
  <c r="M7602" i="2"/>
  <c r="L7602" i="2"/>
  <c r="E7602" i="2"/>
  <c r="D7602" i="2"/>
  <c r="B7602" i="2"/>
  <c r="A7602" i="2"/>
  <c r="O7601" i="2"/>
  <c r="O7600" i="2"/>
  <c r="O7599" i="2"/>
  <c r="M7599" i="2"/>
  <c r="L7599" i="2"/>
  <c r="E7599" i="2"/>
  <c r="D7599" i="2"/>
  <c r="B7599" i="2"/>
  <c r="A7599" i="2"/>
  <c r="O7598" i="2"/>
  <c r="O7597" i="2"/>
  <c r="M7597" i="2"/>
  <c r="L7597" i="2"/>
  <c r="E7597" i="2"/>
  <c r="D7597" i="2"/>
  <c r="B7597" i="2"/>
  <c r="A7597" i="2"/>
  <c r="O7596" i="2"/>
  <c r="O7595" i="2"/>
  <c r="O7594" i="2"/>
  <c r="M7594" i="2"/>
  <c r="L7594" i="2"/>
  <c r="E7594" i="2"/>
  <c r="D7594" i="2"/>
  <c r="B7594" i="2"/>
  <c r="A7594" i="2"/>
  <c r="O7593" i="2"/>
  <c r="M7593" i="2"/>
  <c r="L7593" i="2"/>
  <c r="E7593" i="2"/>
  <c r="D7593" i="2"/>
  <c r="B7593" i="2"/>
  <c r="A7593" i="2"/>
  <c r="O7592" i="2"/>
  <c r="O7591" i="2"/>
  <c r="M7591" i="2"/>
  <c r="L7591" i="2"/>
  <c r="E7591" i="2"/>
  <c r="D7591" i="2"/>
  <c r="B7591" i="2"/>
  <c r="A7591" i="2"/>
  <c r="O7590" i="2"/>
  <c r="O7589" i="2"/>
  <c r="O7588" i="2"/>
  <c r="O7587" i="2"/>
  <c r="O7586" i="2"/>
  <c r="M7586" i="2"/>
  <c r="L7586" i="2"/>
  <c r="E7586" i="2"/>
  <c r="D7586" i="2"/>
  <c r="B7586" i="2"/>
  <c r="A7586" i="2"/>
  <c r="O7585" i="2"/>
  <c r="O7584" i="2"/>
  <c r="O7583" i="2"/>
  <c r="O7582" i="2"/>
  <c r="M7582" i="2"/>
  <c r="L7582" i="2"/>
  <c r="E7582" i="2"/>
  <c r="D7582" i="2"/>
  <c r="B7582" i="2"/>
  <c r="A7582" i="2"/>
  <c r="O7581" i="2"/>
  <c r="M7581" i="2"/>
  <c r="L7581" i="2"/>
  <c r="E7581" i="2"/>
  <c r="D7581" i="2"/>
  <c r="B7581" i="2"/>
  <c r="A7581" i="2"/>
  <c r="O7580" i="2"/>
  <c r="M7580" i="2"/>
  <c r="L7580" i="2"/>
  <c r="E7580" i="2"/>
  <c r="D7580" i="2"/>
  <c r="B7580" i="2"/>
  <c r="A7580" i="2"/>
  <c r="O7579" i="2"/>
  <c r="M7579" i="2"/>
  <c r="L7579" i="2"/>
  <c r="E7579" i="2"/>
  <c r="D7579" i="2"/>
  <c r="B7579" i="2"/>
  <c r="A7579" i="2"/>
  <c r="O7578" i="2"/>
  <c r="O7577" i="2"/>
  <c r="O7576" i="2"/>
  <c r="O7575" i="2"/>
  <c r="M7575" i="2"/>
  <c r="L7575" i="2"/>
  <c r="E7575" i="2"/>
  <c r="D7575" i="2"/>
  <c r="B7575" i="2"/>
  <c r="A7575" i="2"/>
  <c r="O7574" i="2"/>
  <c r="M7574" i="2"/>
  <c r="L7574" i="2"/>
  <c r="E7574" i="2"/>
  <c r="D7574" i="2"/>
  <c r="B7574" i="2"/>
  <c r="A7574" i="2"/>
  <c r="O7573" i="2"/>
  <c r="M7573" i="2"/>
  <c r="L7573" i="2"/>
  <c r="E7573" i="2"/>
  <c r="D7573" i="2"/>
  <c r="B7573" i="2"/>
  <c r="A7573" i="2"/>
  <c r="O7572" i="2"/>
  <c r="O7571" i="2"/>
  <c r="M7571" i="2"/>
  <c r="L7571" i="2"/>
  <c r="E7571" i="2"/>
  <c r="D7571" i="2"/>
  <c r="B7571" i="2"/>
  <c r="A7571" i="2"/>
  <c r="O7570" i="2"/>
  <c r="O7569" i="2"/>
  <c r="M7569" i="2"/>
  <c r="L7569" i="2"/>
  <c r="E7569" i="2"/>
  <c r="D7569" i="2"/>
  <c r="B7569" i="2"/>
  <c r="A7569" i="2"/>
  <c r="O7568" i="2"/>
  <c r="O7567" i="2"/>
  <c r="O7566" i="2"/>
  <c r="M7566" i="2"/>
  <c r="L7566" i="2"/>
  <c r="E7566" i="2"/>
  <c r="D7566" i="2"/>
  <c r="B7566" i="2"/>
  <c r="A7566" i="2"/>
  <c r="O7565" i="2"/>
  <c r="O7564" i="2"/>
  <c r="M7564" i="2"/>
  <c r="L7564" i="2"/>
  <c r="E7564" i="2"/>
  <c r="D7564" i="2"/>
  <c r="B7564" i="2"/>
  <c r="A7564" i="2"/>
  <c r="O7563" i="2"/>
  <c r="O7562" i="2"/>
  <c r="M7562" i="2"/>
  <c r="L7562" i="2"/>
  <c r="E7562" i="2"/>
  <c r="D7562" i="2"/>
  <c r="B7562" i="2"/>
  <c r="A7562" i="2"/>
  <c r="O7561" i="2"/>
  <c r="M7561" i="2"/>
  <c r="L7561" i="2"/>
  <c r="E7561" i="2"/>
  <c r="D7561" i="2"/>
  <c r="B7561" i="2"/>
  <c r="A7561" i="2"/>
  <c r="O7560" i="2"/>
  <c r="M7560" i="2"/>
  <c r="L7560" i="2"/>
  <c r="E7560" i="2"/>
  <c r="D7560" i="2"/>
  <c r="B7560" i="2"/>
  <c r="A7560" i="2"/>
  <c r="O7559" i="2"/>
  <c r="O7558" i="2"/>
  <c r="O7557" i="2"/>
  <c r="M7557" i="2"/>
  <c r="L7557" i="2"/>
  <c r="E7557" i="2"/>
  <c r="D7557" i="2"/>
  <c r="B7557" i="2"/>
  <c r="A7557" i="2"/>
  <c r="O7556" i="2"/>
  <c r="M7556" i="2"/>
  <c r="L7556" i="2"/>
  <c r="E7556" i="2"/>
  <c r="D7556" i="2"/>
  <c r="B7556" i="2"/>
  <c r="A7556" i="2"/>
  <c r="O7555" i="2"/>
  <c r="O7554" i="2"/>
  <c r="M7554" i="2"/>
  <c r="L7554" i="2"/>
  <c r="E7554" i="2"/>
  <c r="D7554" i="2"/>
  <c r="B7554" i="2"/>
  <c r="A7554" i="2"/>
  <c r="O7553" i="2"/>
  <c r="M7553" i="2"/>
  <c r="L7553" i="2"/>
  <c r="E7553" i="2"/>
  <c r="D7553" i="2"/>
  <c r="B7553" i="2"/>
  <c r="A7553" i="2"/>
  <c r="O7552" i="2"/>
  <c r="M7552" i="2"/>
  <c r="L7552" i="2"/>
  <c r="E7552" i="2"/>
  <c r="D7552" i="2"/>
  <c r="B7552" i="2"/>
  <c r="A7552" i="2"/>
  <c r="O7551" i="2"/>
  <c r="M7551" i="2"/>
  <c r="L7551" i="2"/>
  <c r="E7551" i="2"/>
  <c r="D7551" i="2"/>
  <c r="B7551" i="2"/>
  <c r="A7551" i="2"/>
  <c r="O7550" i="2"/>
  <c r="M7550" i="2"/>
  <c r="L7550" i="2"/>
  <c r="E7550" i="2"/>
  <c r="D7550" i="2"/>
  <c r="B7550" i="2"/>
  <c r="A7550" i="2"/>
  <c r="O7549" i="2"/>
  <c r="M7549" i="2"/>
  <c r="L7549" i="2"/>
  <c r="E7549" i="2"/>
  <c r="D7549" i="2"/>
  <c r="B7549" i="2"/>
  <c r="A7549" i="2"/>
  <c r="O7548" i="2"/>
  <c r="M7548" i="2"/>
  <c r="L7548" i="2"/>
  <c r="E7548" i="2"/>
  <c r="D7548" i="2"/>
  <c r="B7548" i="2"/>
  <c r="A7548" i="2"/>
  <c r="O7547" i="2"/>
  <c r="M7547" i="2"/>
  <c r="L7547" i="2"/>
  <c r="E7547" i="2"/>
  <c r="D7547" i="2"/>
  <c r="B7547" i="2"/>
  <c r="A7547" i="2"/>
  <c r="O7546" i="2"/>
  <c r="O7545" i="2"/>
  <c r="O7544" i="2"/>
  <c r="O7543" i="2"/>
  <c r="O7542" i="2"/>
  <c r="M7542" i="2"/>
  <c r="L7542" i="2"/>
  <c r="E7542" i="2"/>
  <c r="D7542" i="2"/>
  <c r="B7542" i="2"/>
  <c r="A7542" i="2"/>
  <c r="O7541" i="2"/>
  <c r="M7541" i="2"/>
  <c r="L7541" i="2"/>
  <c r="E7541" i="2"/>
  <c r="D7541" i="2"/>
  <c r="B7541" i="2"/>
  <c r="A7541" i="2"/>
  <c r="O7540" i="2"/>
  <c r="M7540" i="2"/>
  <c r="L7540" i="2"/>
  <c r="E7540" i="2"/>
  <c r="D7540" i="2"/>
  <c r="B7540" i="2"/>
  <c r="A7540" i="2"/>
  <c r="O7539" i="2"/>
  <c r="O7538" i="2"/>
  <c r="O7537" i="2"/>
  <c r="O7536" i="2"/>
  <c r="O7535" i="2"/>
  <c r="M7535" i="2"/>
  <c r="L7535" i="2"/>
  <c r="E7535" i="2"/>
  <c r="D7535" i="2"/>
  <c r="B7535" i="2"/>
  <c r="A7535" i="2"/>
  <c r="O7534" i="2"/>
  <c r="M7534" i="2"/>
  <c r="L7534" i="2"/>
  <c r="E7534" i="2"/>
  <c r="D7534" i="2"/>
  <c r="B7534" i="2"/>
  <c r="A7534" i="2"/>
  <c r="O7533" i="2"/>
  <c r="M7533" i="2"/>
  <c r="L7533" i="2"/>
  <c r="E7533" i="2"/>
  <c r="D7533" i="2"/>
  <c r="B7533" i="2"/>
  <c r="A7533" i="2"/>
  <c r="O7532" i="2"/>
  <c r="O7531" i="2"/>
  <c r="O7530" i="2"/>
  <c r="O7529" i="2"/>
  <c r="O7528" i="2"/>
  <c r="M7528" i="2"/>
  <c r="L7528" i="2"/>
  <c r="E7528" i="2"/>
  <c r="D7528" i="2"/>
  <c r="B7528" i="2"/>
  <c r="A7528" i="2"/>
  <c r="O7527" i="2"/>
  <c r="M7527" i="2"/>
  <c r="L7527" i="2"/>
  <c r="E7527" i="2"/>
  <c r="D7527" i="2"/>
  <c r="B7527" i="2"/>
  <c r="A7527" i="2"/>
  <c r="O7526" i="2"/>
  <c r="M7526" i="2"/>
  <c r="L7526" i="2"/>
  <c r="E7526" i="2"/>
  <c r="D7526" i="2"/>
  <c r="B7526" i="2"/>
  <c r="A7526" i="2"/>
  <c r="O7525" i="2"/>
  <c r="O7524" i="2"/>
  <c r="O7523" i="2"/>
  <c r="O7522" i="2"/>
  <c r="M7522" i="2"/>
  <c r="L7522" i="2"/>
  <c r="E7522" i="2"/>
  <c r="D7522" i="2"/>
  <c r="B7522" i="2"/>
  <c r="A7522" i="2"/>
  <c r="O7521" i="2"/>
  <c r="O7520" i="2"/>
  <c r="M7520" i="2"/>
  <c r="L7520" i="2"/>
  <c r="E7520" i="2"/>
  <c r="D7520" i="2"/>
  <c r="B7520" i="2"/>
  <c r="A7520" i="2"/>
  <c r="O7519" i="2"/>
  <c r="O7518" i="2"/>
  <c r="M7518" i="2"/>
  <c r="L7518" i="2"/>
  <c r="E7518" i="2"/>
  <c r="D7518" i="2"/>
  <c r="B7518" i="2"/>
  <c r="A7518" i="2"/>
  <c r="O7517" i="2"/>
  <c r="M7517" i="2"/>
  <c r="L7517" i="2"/>
  <c r="E7517" i="2"/>
  <c r="D7517" i="2"/>
  <c r="B7517" i="2"/>
  <c r="A7517" i="2"/>
  <c r="O7516" i="2"/>
  <c r="M7516" i="2"/>
  <c r="L7516" i="2"/>
  <c r="E7516" i="2"/>
  <c r="D7516" i="2"/>
  <c r="B7516" i="2"/>
  <c r="A7516" i="2"/>
  <c r="O7515" i="2"/>
  <c r="M7515" i="2"/>
  <c r="L7515" i="2"/>
  <c r="E7515" i="2"/>
  <c r="D7515" i="2"/>
  <c r="B7515" i="2"/>
  <c r="A7515" i="2"/>
  <c r="O7514" i="2"/>
  <c r="M7514" i="2"/>
  <c r="L7514" i="2"/>
  <c r="E7514" i="2"/>
  <c r="D7514" i="2"/>
  <c r="B7514" i="2"/>
  <c r="A7514" i="2"/>
  <c r="O7513" i="2"/>
  <c r="M7513" i="2"/>
  <c r="L7513" i="2"/>
  <c r="E7513" i="2"/>
  <c r="D7513" i="2"/>
  <c r="B7513" i="2"/>
  <c r="A7513" i="2"/>
  <c r="O7512" i="2"/>
  <c r="M7512" i="2"/>
  <c r="L7512" i="2"/>
  <c r="E7512" i="2"/>
  <c r="D7512" i="2"/>
  <c r="B7512" i="2"/>
  <c r="A7512" i="2"/>
  <c r="O7511" i="2"/>
  <c r="M7511" i="2"/>
  <c r="L7511" i="2"/>
  <c r="E7511" i="2"/>
  <c r="D7511" i="2"/>
  <c r="B7511" i="2"/>
  <c r="A7511" i="2"/>
  <c r="O7510" i="2"/>
  <c r="M7510" i="2"/>
  <c r="L7510" i="2"/>
  <c r="E7510" i="2"/>
  <c r="D7510" i="2"/>
  <c r="B7510" i="2"/>
  <c r="A7510" i="2"/>
  <c r="O7509" i="2"/>
  <c r="M7509" i="2"/>
  <c r="L7509" i="2"/>
  <c r="E7509" i="2"/>
  <c r="D7509" i="2"/>
  <c r="B7509" i="2"/>
  <c r="A7509" i="2"/>
  <c r="O7508" i="2"/>
  <c r="O7507" i="2"/>
  <c r="M7507" i="2"/>
  <c r="L7507" i="2"/>
  <c r="E7507" i="2"/>
  <c r="D7507" i="2"/>
  <c r="B7507" i="2"/>
  <c r="A7507" i="2"/>
  <c r="O7506" i="2"/>
  <c r="M7506" i="2"/>
  <c r="L7506" i="2"/>
  <c r="E7506" i="2"/>
  <c r="D7506" i="2"/>
  <c r="B7506" i="2"/>
  <c r="A7506" i="2"/>
  <c r="O7505" i="2"/>
  <c r="M7505" i="2"/>
  <c r="L7505" i="2"/>
  <c r="E7505" i="2"/>
  <c r="D7505" i="2"/>
  <c r="B7505" i="2"/>
  <c r="A7505" i="2"/>
  <c r="O7504" i="2"/>
  <c r="M7504" i="2"/>
  <c r="L7504" i="2"/>
  <c r="E7504" i="2"/>
  <c r="D7504" i="2"/>
  <c r="B7504" i="2"/>
  <c r="A7504" i="2"/>
  <c r="O7503" i="2"/>
  <c r="M7503" i="2"/>
  <c r="L7503" i="2"/>
  <c r="E7503" i="2"/>
  <c r="D7503" i="2"/>
  <c r="B7503" i="2"/>
  <c r="A7503" i="2"/>
  <c r="O7502" i="2"/>
  <c r="M7502" i="2"/>
  <c r="L7502" i="2"/>
  <c r="E7502" i="2"/>
  <c r="D7502" i="2"/>
  <c r="B7502" i="2"/>
  <c r="A7502" i="2"/>
  <c r="O7501" i="2"/>
  <c r="M7501" i="2"/>
  <c r="L7501" i="2"/>
  <c r="E7501" i="2"/>
  <c r="D7501" i="2"/>
  <c r="B7501" i="2"/>
  <c r="A7501" i="2"/>
  <c r="O7500" i="2"/>
  <c r="O7499" i="2"/>
  <c r="M7499" i="2"/>
  <c r="L7499" i="2"/>
  <c r="E7499" i="2"/>
  <c r="D7499" i="2"/>
  <c r="B7499" i="2"/>
  <c r="A7499" i="2"/>
  <c r="O7498" i="2"/>
  <c r="O7497" i="2"/>
  <c r="M7497" i="2"/>
  <c r="L7497" i="2"/>
  <c r="E7497" i="2"/>
  <c r="D7497" i="2"/>
  <c r="B7497" i="2"/>
  <c r="A7497" i="2"/>
  <c r="O7496" i="2"/>
  <c r="M7496" i="2"/>
  <c r="L7496" i="2"/>
  <c r="E7496" i="2"/>
  <c r="D7496" i="2"/>
  <c r="B7496" i="2"/>
  <c r="A7496" i="2"/>
  <c r="O7495" i="2"/>
  <c r="M7495" i="2"/>
  <c r="L7495" i="2"/>
  <c r="E7495" i="2"/>
  <c r="D7495" i="2"/>
  <c r="B7495" i="2"/>
  <c r="A7495" i="2"/>
  <c r="O7494" i="2"/>
  <c r="M7494" i="2"/>
  <c r="L7494" i="2"/>
  <c r="E7494" i="2"/>
  <c r="D7494" i="2"/>
  <c r="B7494" i="2"/>
  <c r="A7494" i="2"/>
  <c r="O7493" i="2"/>
  <c r="M7493" i="2"/>
  <c r="L7493" i="2"/>
  <c r="E7493" i="2"/>
  <c r="D7493" i="2"/>
  <c r="B7493" i="2"/>
  <c r="A7493" i="2"/>
  <c r="O7492" i="2"/>
  <c r="O7491" i="2"/>
  <c r="M7491" i="2"/>
  <c r="L7491" i="2"/>
  <c r="E7491" i="2"/>
  <c r="D7491" i="2"/>
  <c r="B7491" i="2"/>
  <c r="A7491" i="2"/>
  <c r="O7490" i="2"/>
  <c r="O7489" i="2"/>
  <c r="O7488" i="2"/>
  <c r="O7487" i="2"/>
  <c r="O7486" i="2"/>
  <c r="O7485" i="2"/>
  <c r="M7485" i="2"/>
  <c r="L7485" i="2"/>
  <c r="E7485" i="2"/>
  <c r="D7485" i="2"/>
  <c r="B7485" i="2"/>
  <c r="A7485" i="2"/>
  <c r="O7484" i="2"/>
  <c r="M7484" i="2"/>
  <c r="L7484" i="2"/>
  <c r="E7484" i="2"/>
  <c r="D7484" i="2"/>
  <c r="B7484" i="2"/>
  <c r="A7484" i="2"/>
  <c r="O7483" i="2"/>
  <c r="O7482" i="2"/>
  <c r="M7482" i="2"/>
  <c r="L7482" i="2"/>
  <c r="E7482" i="2"/>
  <c r="D7482" i="2"/>
  <c r="B7482" i="2"/>
  <c r="A7482" i="2"/>
  <c r="O7481" i="2"/>
  <c r="M7481" i="2"/>
  <c r="L7481" i="2"/>
  <c r="E7481" i="2"/>
  <c r="D7481" i="2"/>
  <c r="B7481" i="2"/>
  <c r="A7481" i="2"/>
  <c r="O7480" i="2"/>
  <c r="M7480" i="2"/>
  <c r="L7480" i="2"/>
  <c r="E7480" i="2"/>
  <c r="D7480" i="2"/>
  <c r="B7480" i="2"/>
  <c r="A7480" i="2"/>
  <c r="O7479" i="2"/>
  <c r="M7479" i="2"/>
  <c r="L7479" i="2"/>
  <c r="E7479" i="2"/>
  <c r="D7479" i="2"/>
  <c r="B7479" i="2"/>
  <c r="A7479" i="2"/>
  <c r="O7478" i="2"/>
  <c r="M7478" i="2"/>
  <c r="L7478" i="2"/>
  <c r="E7478" i="2"/>
  <c r="D7478" i="2"/>
  <c r="B7478" i="2"/>
  <c r="A7478" i="2"/>
  <c r="O7477" i="2"/>
  <c r="O7476" i="2"/>
  <c r="O7475" i="2"/>
  <c r="M7475" i="2"/>
  <c r="L7475" i="2"/>
  <c r="E7475" i="2"/>
  <c r="D7475" i="2"/>
  <c r="B7475" i="2"/>
  <c r="A7475" i="2"/>
  <c r="O7474" i="2"/>
  <c r="M7474" i="2"/>
  <c r="L7474" i="2"/>
  <c r="E7474" i="2"/>
  <c r="D7474" i="2"/>
  <c r="B7474" i="2"/>
  <c r="A7474" i="2"/>
  <c r="O7473" i="2"/>
  <c r="O7472" i="2"/>
  <c r="M7472" i="2"/>
  <c r="L7472" i="2"/>
  <c r="E7472" i="2"/>
  <c r="D7472" i="2"/>
  <c r="B7472" i="2"/>
  <c r="A7472" i="2"/>
  <c r="O7471" i="2"/>
  <c r="O7470" i="2"/>
  <c r="O7469" i="2"/>
  <c r="M7469" i="2"/>
  <c r="L7469" i="2"/>
  <c r="E7469" i="2"/>
  <c r="D7469" i="2"/>
  <c r="B7469" i="2"/>
  <c r="A7469" i="2"/>
  <c r="O7468" i="2"/>
  <c r="O7467" i="2"/>
  <c r="M7467" i="2"/>
  <c r="L7467" i="2"/>
  <c r="E7467" i="2"/>
  <c r="D7467" i="2"/>
  <c r="B7467" i="2"/>
  <c r="A7467" i="2"/>
  <c r="O7466" i="2"/>
  <c r="O7465" i="2"/>
  <c r="M7465" i="2"/>
  <c r="L7465" i="2"/>
  <c r="E7465" i="2"/>
  <c r="D7465" i="2"/>
  <c r="B7465" i="2"/>
  <c r="A7465" i="2"/>
  <c r="O7464" i="2"/>
  <c r="M7464" i="2"/>
  <c r="L7464" i="2"/>
  <c r="E7464" i="2"/>
  <c r="D7464" i="2"/>
  <c r="B7464" i="2"/>
  <c r="A7464" i="2"/>
  <c r="O7463" i="2"/>
  <c r="O7462" i="2"/>
  <c r="M7462" i="2"/>
  <c r="L7462" i="2"/>
  <c r="E7462" i="2"/>
  <c r="D7462" i="2"/>
  <c r="B7462" i="2"/>
  <c r="A7462" i="2"/>
  <c r="O7461" i="2"/>
  <c r="M7461" i="2"/>
  <c r="L7461" i="2"/>
  <c r="E7461" i="2"/>
  <c r="D7461" i="2"/>
  <c r="B7461" i="2"/>
  <c r="A7461" i="2"/>
  <c r="O7460" i="2"/>
  <c r="O7459" i="2"/>
  <c r="M7459" i="2"/>
  <c r="L7459" i="2"/>
  <c r="E7459" i="2"/>
  <c r="D7459" i="2"/>
  <c r="B7459" i="2"/>
  <c r="A7459" i="2"/>
  <c r="O7458" i="2"/>
  <c r="O7457" i="2"/>
  <c r="M7457" i="2"/>
  <c r="L7457" i="2"/>
  <c r="E7457" i="2"/>
  <c r="D7457" i="2"/>
  <c r="B7457" i="2"/>
  <c r="A7457" i="2"/>
  <c r="O7456" i="2"/>
  <c r="O7455" i="2"/>
  <c r="M7455" i="2"/>
  <c r="L7455" i="2"/>
  <c r="E7455" i="2"/>
  <c r="D7455" i="2"/>
  <c r="B7455" i="2"/>
  <c r="A7455" i="2"/>
  <c r="O7454" i="2"/>
  <c r="O7453" i="2"/>
  <c r="M7453" i="2"/>
  <c r="L7453" i="2"/>
  <c r="E7453" i="2"/>
  <c r="D7453" i="2"/>
  <c r="B7453" i="2"/>
  <c r="A7453" i="2"/>
  <c r="O7452" i="2"/>
  <c r="O7451" i="2"/>
  <c r="O7450" i="2"/>
  <c r="M7450" i="2"/>
  <c r="L7450" i="2"/>
  <c r="E7450" i="2"/>
  <c r="D7450" i="2"/>
  <c r="B7450" i="2"/>
  <c r="A7450" i="2"/>
  <c r="O7449" i="2"/>
  <c r="M7449" i="2"/>
  <c r="L7449" i="2"/>
  <c r="E7449" i="2"/>
  <c r="D7449" i="2"/>
  <c r="B7449" i="2"/>
  <c r="A7449" i="2"/>
  <c r="O7448" i="2"/>
  <c r="O7447" i="2"/>
  <c r="O7446" i="2"/>
  <c r="M7446" i="2"/>
  <c r="L7446" i="2"/>
  <c r="E7446" i="2"/>
  <c r="D7446" i="2"/>
  <c r="B7446" i="2"/>
  <c r="A7446" i="2"/>
  <c r="O7445" i="2"/>
  <c r="O7444" i="2"/>
  <c r="M7444" i="2"/>
  <c r="L7444" i="2"/>
  <c r="E7444" i="2"/>
  <c r="D7444" i="2"/>
  <c r="B7444" i="2"/>
  <c r="A7444" i="2"/>
  <c r="O7443" i="2"/>
  <c r="M7443" i="2"/>
  <c r="L7443" i="2"/>
  <c r="E7443" i="2"/>
  <c r="D7443" i="2"/>
  <c r="B7443" i="2"/>
  <c r="A7443" i="2"/>
  <c r="O7442" i="2"/>
  <c r="O7441" i="2"/>
  <c r="M7441" i="2"/>
  <c r="L7441" i="2"/>
  <c r="E7441" i="2"/>
  <c r="D7441" i="2"/>
  <c r="B7441" i="2"/>
  <c r="A7441" i="2"/>
  <c r="O7440" i="2"/>
  <c r="O7439" i="2"/>
  <c r="M7439" i="2"/>
  <c r="L7439" i="2"/>
  <c r="E7439" i="2"/>
  <c r="D7439" i="2"/>
  <c r="B7439" i="2"/>
  <c r="A7439" i="2"/>
  <c r="O7438" i="2"/>
  <c r="O7437" i="2"/>
  <c r="M7437" i="2"/>
  <c r="L7437" i="2"/>
  <c r="E7437" i="2"/>
  <c r="D7437" i="2"/>
  <c r="B7437" i="2"/>
  <c r="A7437" i="2"/>
  <c r="O7436" i="2"/>
  <c r="M7436" i="2"/>
  <c r="L7436" i="2"/>
  <c r="E7436" i="2"/>
  <c r="D7436" i="2"/>
  <c r="B7436" i="2"/>
  <c r="A7436" i="2"/>
  <c r="O7435" i="2"/>
  <c r="O7434" i="2"/>
  <c r="M7434" i="2"/>
  <c r="L7434" i="2"/>
  <c r="E7434" i="2"/>
  <c r="D7434" i="2"/>
  <c r="B7434" i="2"/>
  <c r="A7434" i="2"/>
  <c r="O7433" i="2"/>
  <c r="O7432" i="2"/>
  <c r="M7432" i="2"/>
  <c r="L7432" i="2"/>
  <c r="E7432" i="2"/>
  <c r="D7432" i="2"/>
  <c r="B7432" i="2"/>
  <c r="A7432" i="2"/>
  <c r="O7431" i="2"/>
  <c r="M7431" i="2"/>
  <c r="L7431" i="2"/>
  <c r="E7431" i="2"/>
  <c r="D7431" i="2"/>
  <c r="B7431" i="2"/>
  <c r="A7431" i="2"/>
  <c r="O7430" i="2"/>
  <c r="M7430" i="2"/>
  <c r="L7430" i="2"/>
  <c r="E7430" i="2"/>
  <c r="D7430" i="2"/>
  <c r="B7430" i="2"/>
  <c r="A7430" i="2"/>
  <c r="O7429" i="2"/>
  <c r="M7429" i="2"/>
  <c r="L7429" i="2"/>
  <c r="E7429" i="2"/>
  <c r="D7429" i="2"/>
  <c r="B7429" i="2"/>
  <c r="A7429" i="2"/>
  <c r="O7428" i="2"/>
  <c r="O7427" i="2"/>
  <c r="O7426" i="2"/>
  <c r="M7426" i="2"/>
  <c r="L7426" i="2"/>
  <c r="E7426" i="2"/>
  <c r="D7426" i="2"/>
  <c r="B7426" i="2"/>
  <c r="A7426" i="2"/>
  <c r="O7425" i="2"/>
  <c r="O7424" i="2"/>
  <c r="O7423" i="2"/>
  <c r="M7423" i="2"/>
  <c r="L7423" i="2"/>
  <c r="E7423" i="2"/>
  <c r="D7423" i="2"/>
  <c r="B7423" i="2"/>
  <c r="A7423" i="2"/>
  <c r="O7422" i="2"/>
  <c r="O7421" i="2"/>
  <c r="O7420" i="2"/>
  <c r="O7419" i="2"/>
  <c r="O7418" i="2"/>
  <c r="O7417" i="2"/>
  <c r="M7417" i="2"/>
  <c r="L7417" i="2"/>
  <c r="E7417" i="2"/>
  <c r="D7417" i="2"/>
  <c r="B7417" i="2"/>
  <c r="A7417" i="2"/>
  <c r="O7416" i="2"/>
  <c r="O7415" i="2"/>
  <c r="M7415" i="2"/>
  <c r="L7415" i="2"/>
  <c r="E7415" i="2"/>
  <c r="D7415" i="2"/>
  <c r="B7415" i="2"/>
  <c r="A7415" i="2"/>
  <c r="O7414" i="2"/>
  <c r="M7414" i="2"/>
  <c r="L7414" i="2"/>
  <c r="E7414" i="2"/>
  <c r="D7414" i="2"/>
  <c r="B7414" i="2"/>
  <c r="A7414" i="2"/>
  <c r="O7413" i="2"/>
  <c r="O7412" i="2"/>
  <c r="M7412" i="2"/>
  <c r="L7412" i="2"/>
  <c r="E7412" i="2"/>
  <c r="D7412" i="2"/>
  <c r="B7412" i="2"/>
  <c r="A7412" i="2"/>
  <c r="O7411" i="2"/>
  <c r="O7410" i="2"/>
  <c r="M7410" i="2"/>
  <c r="L7410" i="2"/>
  <c r="E7410" i="2"/>
  <c r="D7410" i="2"/>
  <c r="B7410" i="2"/>
  <c r="A7410" i="2"/>
  <c r="O7409" i="2"/>
  <c r="O7408" i="2"/>
  <c r="M7408" i="2"/>
  <c r="L7408" i="2"/>
  <c r="E7408" i="2"/>
  <c r="D7408" i="2"/>
  <c r="B7408" i="2"/>
  <c r="A7408" i="2"/>
  <c r="O7407" i="2"/>
  <c r="O7406" i="2"/>
  <c r="O7405" i="2"/>
  <c r="M7405" i="2"/>
  <c r="L7405" i="2"/>
  <c r="E7405" i="2"/>
  <c r="D7405" i="2"/>
  <c r="B7405" i="2"/>
  <c r="A7405" i="2"/>
  <c r="O7404" i="2"/>
  <c r="O7403" i="2"/>
  <c r="M7403" i="2"/>
  <c r="L7403" i="2"/>
  <c r="E7403" i="2"/>
  <c r="D7403" i="2"/>
  <c r="B7403" i="2"/>
  <c r="A7403" i="2"/>
  <c r="O7402" i="2"/>
  <c r="M7402" i="2"/>
  <c r="L7402" i="2"/>
  <c r="E7402" i="2"/>
  <c r="D7402" i="2"/>
  <c r="B7402" i="2"/>
  <c r="A7402" i="2"/>
  <c r="O7401" i="2"/>
  <c r="O7400" i="2"/>
  <c r="M7400" i="2"/>
  <c r="L7400" i="2"/>
  <c r="E7400" i="2"/>
  <c r="D7400" i="2"/>
  <c r="B7400" i="2"/>
  <c r="A7400" i="2"/>
  <c r="O7399" i="2"/>
  <c r="M7399" i="2"/>
  <c r="L7399" i="2"/>
  <c r="E7399" i="2"/>
  <c r="D7399" i="2"/>
  <c r="B7399" i="2"/>
  <c r="A7399" i="2"/>
  <c r="O7398" i="2"/>
  <c r="M7398" i="2"/>
  <c r="L7398" i="2"/>
  <c r="E7398" i="2"/>
  <c r="D7398" i="2"/>
  <c r="B7398" i="2"/>
  <c r="A7398" i="2"/>
  <c r="O7397" i="2"/>
  <c r="O7396" i="2"/>
  <c r="O7395" i="2"/>
  <c r="M7395" i="2"/>
  <c r="L7395" i="2"/>
  <c r="E7395" i="2"/>
  <c r="D7395" i="2"/>
  <c r="B7395" i="2"/>
  <c r="A7395" i="2"/>
  <c r="O7394" i="2"/>
  <c r="M7394" i="2"/>
  <c r="L7394" i="2"/>
  <c r="E7394" i="2"/>
  <c r="D7394" i="2"/>
  <c r="B7394" i="2"/>
  <c r="A7394" i="2"/>
  <c r="O7393" i="2"/>
  <c r="O7392" i="2"/>
  <c r="O7391" i="2"/>
  <c r="O7390" i="2"/>
  <c r="M7390" i="2"/>
  <c r="L7390" i="2"/>
  <c r="E7390" i="2"/>
  <c r="D7390" i="2"/>
  <c r="B7390" i="2"/>
  <c r="A7390" i="2"/>
  <c r="O7389" i="2"/>
  <c r="M7389" i="2"/>
  <c r="L7389" i="2"/>
  <c r="E7389" i="2"/>
  <c r="D7389" i="2"/>
  <c r="B7389" i="2"/>
  <c r="A7389" i="2"/>
  <c r="O7388" i="2"/>
  <c r="O7387" i="2"/>
  <c r="O7386" i="2"/>
  <c r="O7385" i="2"/>
  <c r="M7385" i="2"/>
  <c r="L7385" i="2"/>
  <c r="E7385" i="2"/>
  <c r="D7385" i="2"/>
  <c r="B7385" i="2"/>
  <c r="A7385" i="2"/>
  <c r="O7384" i="2"/>
  <c r="O7383" i="2"/>
  <c r="M7383" i="2"/>
  <c r="L7383" i="2"/>
  <c r="E7383" i="2"/>
  <c r="D7383" i="2"/>
  <c r="B7383" i="2"/>
  <c r="A7383" i="2"/>
  <c r="O7382" i="2"/>
  <c r="M7382" i="2"/>
  <c r="L7382" i="2"/>
  <c r="E7382" i="2"/>
  <c r="D7382" i="2"/>
  <c r="B7382" i="2"/>
  <c r="A7382" i="2"/>
  <c r="O7381" i="2"/>
  <c r="M7381" i="2"/>
  <c r="L7381" i="2"/>
  <c r="E7381" i="2"/>
  <c r="D7381" i="2"/>
  <c r="B7381" i="2"/>
  <c r="A7381" i="2"/>
  <c r="O7380" i="2"/>
  <c r="M7380" i="2"/>
  <c r="L7380" i="2"/>
  <c r="E7380" i="2"/>
  <c r="D7380" i="2"/>
  <c r="B7380" i="2"/>
  <c r="A7380" i="2"/>
  <c r="O7379" i="2"/>
  <c r="M7379" i="2"/>
  <c r="L7379" i="2"/>
  <c r="E7379" i="2"/>
  <c r="D7379" i="2"/>
  <c r="B7379" i="2"/>
  <c r="A7379" i="2"/>
  <c r="O7378" i="2"/>
  <c r="M7378" i="2"/>
  <c r="L7378" i="2"/>
  <c r="E7378" i="2"/>
  <c r="D7378" i="2"/>
  <c r="B7378" i="2"/>
  <c r="A7378" i="2"/>
  <c r="O7377" i="2"/>
  <c r="M7377" i="2"/>
  <c r="L7377" i="2"/>
  <c r="E7377" i="2"/>
  <c r="D7377" i="2"/>
  <c r="B7377" i="2"/>
  <c r="A7377" i="2"/>
  <c r="O7376" i="2"/>
  <c r="O7375" i="2"/>
  <c r="M7375" i="2"/>
  <c r="L7375" i="2"/>
  <c r="E7375" i="2"/>
  <c r="D7375" i="2"/>
  <c r="B7375" i="2"/>
  <c r="A7375" i="2"/>
  <c r="O7374" i="2"/>
  <c r="O7373" i="2"/>
  <c r="O7372" i="2"/>
  <c r="M7372" i="2"/>
  <c r="L7372" i="2"/>
  <c r="E7372" i="2"/>
  <c r="D7372" i="2"/>
  <c r="B7372" i="2"/>
  <c r="A7372" i="2"/>
  <c r="O7371" i="2"/>
  <c r="M7371" i="2"/>
  <c r="L7371" i="2"/>
  <c r="E7371" i="2"/>
  <c r="D7371" i="2"/>
  <c r="B7371" i="2"/>
  <c r="A7371" i="2"/>
  <c r="O7370" i="2"/>
  <c r="M7370" i="2"/>
  <c r="L7370" i="2"/>
  <c r="E7370" i="2"/>
  <c r="D7370" i="2"/>
  <c r="B7370" i="2"/>
  <c r="A7370" i="2"/>
  <c r="O7369" i="2"/>
  <c r="O7368" i="2"/>
  <c r="M7368" i="2"/>
  <c r="L7368" i="2"/>
  <c r="E7368" i="2"/>
  <c r="D7368" i="2"/>
  <c r="B7368" i="2"/>
  <c r="A7368" i="2"/>
  <c r="O7367" i="2"/>
  <c r="O7366" i="2"/>
  <c r="O7365" i="2"/>
  <c r="O7364" i="2"/>
  <c r="O7363" i="2"/>
  <c r="O7362" i="2"/>
  <c r="M7362" i="2"/>
  <c r="L7362" i="2"/>
  <c r="E7362" i="2"/>
  <c r="D7362" i="2"/>
  <c r="B7362" i="2"/>
  <c r="A7362" i="2"/>
  <c r="O7361" i="2"/>
  <c r="M7361" i="2"/>
  <c r="L7361" i="2"/>
  <c r="E7361" i="2"/>
  <c r="D7361" i="2"/>
  <c r="B7361" i="2"/>
  <c r="A7361" i="2"/>
  <c r="O7360" i="2"/>
  <c r="M7360" i="2"/>
  <c r="L7360" i="2"/>
  <c r="E7360" i="2"/>
  <c r="D7360" i="2"/>
  <c r="B7360" i="2"/>
  <c r="A7360" i="2"/>
  <c r="O7359" i="2"/>
  <c r="O7358" i="2"/>
  <c r="M7358" i="2"/>
  <c r="L7358" i="2"/>
  <c r="E7358" i="2"/>
  <c r="D7358" i="2"/>
  <c r="B7358" i="2"/>
  <c r="A7358" i="2"/>
  <c r="O7357" i="2"/>
  <c r="O7356" i="2"/>
  <c r="O7355" i="2"/>
  <c r="O7354" i="2"/>
  <c r="M7354" i="2"/>
  <c r="L7354" i="2"/>
  <c r="E7354" i="2"/>
  <c r="D7354" i="2"/>
  <c r="B7354" i="2"/>
  <c r="A7354" i="2"/>
  <c r="O7353" i="2"/>
  <c r="O7352" i="2"/>
  <c r="M7352" i="2"/>
  <c r="L7352" i="2"/>
  <c r="E7352" i="2"/>
  <c r="D7352" i="2"/>
  <c r="B7352" i="2"/>
  <c r="A7352" i="2"/>
  <c r="O7351" i="2"/>
  <c r="O7350" i="2"/>
  <c r="M7350" i="2"/>
  <c r="L7350" i="2"/>
  <c r="E7350" i="2"/>
  <c r="D7350" i="2"/>
  <c r="B7350" i="2"/>
  <c r="A7350" i="2"/>
  <c r="O7349" i="2"/>
  <c r="O7348" i="2"/>
  <c r="M7348" i="2"/>
  <c r="L7348" i="2"/>
  <c r="E7348" i="2"/>
  <c r="D7348" i="2"/>
  <c r="B7348" i="2"/>
  <c r="A7348" i="2"/>
  <c r="O7347" i="2"/>
  <c r="O7346" i="2"/>
  <c r="O7345" i="2"/>
  <c r="M7345" i="2"/>
  <c r="L7345" i="2"/>
  <c r="E7345" i="2"/>
  <c r="D7345" i="2"/>
  <c r="B7345" i="2"/>
  <c r="A7345" i="2"/>
  <c r="O7344" i="2"/>
  <c r="O7343" i="2"/>
  <c r="M7343" i="2"/>
  <c r="L7343" i="2"/>
  <c r="E7343" i="2"/>
  <c r="D7343" i="2"/>
  <c r="B7343" i="2"/>
  <c r="A7343" i="2"/>
  <c r="O7342" i="2"/>
  <c r="O7341" i="2"/>
  <c r="M7341" i="2"/>
  <c r="L7341" i="2"/>
  <c r="E7341" i="2"/>
  <c r="D7341" i="2"/>
  <c r="B7341" i="2"/>
  <c r="A7341" i="2"/>
  <c r="O7340" i="2"/>
  <c r="O7339" i="2"/>
  <c r="M7339" i="2"/>
  <c r="L7339" i="2"/>
  <c r="E7339" i="2"/>
  <c r="D7339" i="2"/>
  <c r="B7339" i="2"/>
  <c r="A7339" i="2"/>
  <c r="O7338" i="2"/>
  <c r="O7337" i="2"/>
  <c r="O7336" i="2"/>
  <c r="O7335" i="2"/>
  <c r="M7335" i="2"/>
  <c r="L7335" i="2"/>
  <c r="E7335" i="2"/>
  <c r="D7335" i="2"/>
  <c r="B7335" i="2"/>
  <c r="A7335" i="2"/>
  <c r="O7334" i="2"/>
  <c r="M7334" i="2"/>
  <c r="L7334" i="2"/>
  <c r="E7334" i="2"/>
  <c r="D7334" i="2"/>
  <c r="B7334" i="2"/>
  <c r="A7334" i="2"/>
  <c r="O7333" i="2"/>
  <c r="O7332" i="2"/>
  <c r="M7332" i="2"/>
  <c r="L7332" i="2"/>
  <c r="E7332" i="2"/>
  <c r="D7332" i="2"/>
  <c r="B7332" i="2"/>
  <c r="A7332" i="2"/>
  <c r="O7331" i="2"/>
  <c r="O7330" i="2"/>
  <c r="M7330" i="2"/>
  <c r="L7330" i="2"/>
  <c r="E7330" i="2"/>
  <c r="D7330" i="2"/>
  <c r="B7330" i="2"/>
  <c r="A7330" i="2"/>
  <c r="O7329" i="2"/>
  <c r="M7329" i="2"/>
  <c r="L7329" i="2"/>
  <c r="E7329" i="2"/>
  <c r="D7329" i="2"/>
  <c r="B7329" i="2"/>
  <c r="A7329" i="2"/>
  <c r="O7328" i="2"/>
  <c r="O7327" i="2"/>
  <c r="M7327" i="2"/>
  <c r="L7327" i="2"/>
  <c r="E7327" i="2"/>
  <c r="D7327" i="2"/>
  <c r="B7327" i="2"/>
  <c r="A7327" i="2"/>
  <c r="O7326" i="2"/>
  <c r="O7325" i="2"/>
  <c r="M7325" i="2"/>
  <c r="L7325" i="2"/>
  <c r="E7325" i="2"/>
  <c r="D7325" i="2"/>
  <c r="B7325" i="2"/>
  <c r="A7325" i="2"/>
  <c r="O7324" i="2"/>
  <c r="O7323" i="2"/>
  <c r="M7323" i="2"/>
  <c r="L7323" i="2"/>
  <c r="E7323" i="2"/>
  <c r="D7323" i="2"/>
  <c r="B7323" i="2"/>
  <c r="A7323" i="2"/>
  <c r="O7322" i="2"/>
  <c r="O7321" i="2"/>
  <c r="M7321" i="2"/>
  <c r="L7321" i="2"/>
  <c r="E7321" i="2"/>
  <c r="D7321" i="2"/>
  <c r="B7321" i="2"/>
  <c r="A7321" i="2"/>
  <c r="O7320" i="2"/>
  <c r="M7320" i="2"/>
  <c r="L7320" i="2"/>
  <c r="E7320" i="2"/>
  <c r="D7320" i="2"/>
  <c r="B7320" i="2"/>
  <c r="A7320" i="2"/>
  <c r="O7319" i="2"/>
  <c r="M7319" i="2"/>
  <c r="L7319" i="2"/>
  <c r="E7319" i="2"/>
  <c r="D7319" i="2"/>
  <c r="B7319" i="2"/>
  <c r="A7319" i="2"/>
  <c r="O7318" i="2"/>
  <c r="O7317" i="2"/>
  <c r="O7316" i="2"/>
  <c r="M7316" i="2"/>
  <c r="L7316" i="2"/>
  <c r="E7316" i="2"/>
  <c r="D7316" i="2"/>
  <c r="B7316" i="2"/>
  <c r="A7316" i="2"/>
  <c r="O7315" i="2"/>
  <c r="O7314" i="2"/>
  <c r="O7313" i="2"/>
  <c r="M7313" i="2"/>
  <c r="L7313" i="2"/>
  <c r="E7313" i="2"/>
  <c r="D7313" i="2"/>
  <c r="B7313" i="2"/>
  <c r="A7313" i="2"/>
  <c r="O7312" i="2"/>
  <c r="M7312" i="2"/>
  <c r="L7312" i="2"/>
  <c r="E7312" i="2"/>
  <c r="D7312" i="2"/>
  <c r="B7312" i="2"/>
  <c r="A7312" i="2"/>
  <c r="O7311" i="2"/>
  <c r="M7311" i="2"/>
  <c r="L7311" i="2"/>
  <c r="E7311" i="2"/>
  <c r="D7311" i="2"/>
  <c r="B7311" i="2"/>
  <c r="A7311" i="2"/>
  <c r="O7310" i="2"/>
  <c r="O7309" i="2"/>
  <c r="O7308" i="2"/>
  <c r="M7308" i="2"/>
  <c r="L7308" i="2"/>
  <c r="E7308" i="2"/>
  <c r="D7308" i="2"/>
  <c r="B7308" i="2"/>
  <c r="A7308" i="2"/>
  <c r="O7307" i="2"/>
  <c r="O7306" i="2"/>
  <c r="M7306" i="2"/>
  <c r="L7306" i="2"/>
  <c r="E7306" i="2"/>
  <c r="D7306" i="2"/>
  <c r="B7306" i="2"/>
  <c r="A7306" i="2"/>
  <c r="O7305" i="2"/>
  <c r="O7304" i="2"/>
  <c r="O7303" i="2"/>
  <c r="M7303" i="2"/>
  <c r="L7303" i="2"/>
  <c r="E7303" i="2"/>
  <c r="D7303" i="2"/>
  <c r="B7303" i="2"/>
  <c r="A7303" i="2"/>
  <c r="O7302" i="2"/>
  <c r="O7301" i="2"/>
  <c r="M7301" i="2"/>
  <c r="L7301" i="2"/>
  <c r="E7301" i="2"/>
  <c r="D7301" i="2"/>
  <c r="B7301" i="2"/>
  <c r="A7301" i="2"/>
  <c r="O7300" i="2"/>
  <c r="O7299" i="2"/>
  <c r="M7299" i="2"/>
  <c r="L7299" i="2"/>
  <c r="E7299" i="2"/>
  <c r="D7299" i="2"/>
  <c r="B7299" i="2"/>
  <c r="A7299" i="2"/>
  <c r="O7298" i="2"/>
  <c r="O7297" i="2"/>
  <c r="O7296" i="2"/>
  <c r="M7296" i="2"/>
  <c r="L7296" i="2"/>
  <c r="E7296" i="2"/>
  <c r="D7296" i="2"/>
  <c r="B7296" i="2"/>
  <c r="A7296" i="2"/>
  <c r="O7295" i="2"/>
  <c r="M7295" i="2"/>
  <c r="L7295" i="2"/>
  <c r="E7295" i="2"/>
  <c r="D7295" i="2"/>
  <c r="B7295" i="2"/>
  <c r="A7295" i="2"/>
  <c r="O7294" i="2"/>
  <c r="O7293" i="2"/>
  <c r="M7293" i="2"/>
  <c r="L7293" i="2"/>
  <c r="E7293" i="2"/>
  <c r="D7293" i="2"/>
  <c r="B7293" i="2"/>
  <c r="A7293" i="2"/>
  <c r="O7292" i="2"/>
  <c r="O7291" i="2"/>
  <c r="O7290" i="2"/>
  <c r="M7290" i="2"/>
  <c r="L7290" i="2"/>
  <c r="E7290" i="2"/>
  <c r="D7290" i="2"/>
  <c r="B7290" i="2"/>
  <c r="A7290" i="2"/>
  <c r="O7289" i="2"/>
  <c r="M7289" i="2"/>
  <c r="L7289" i="2"/>
  <c r="E7289" i="2"/>
  <c r="D7289" i="2"/>
  <c r="B7289" i="2"/>
  <c r="A7289" i="2"/>
  <c r="O7288" i="2"/>
  <c r="M7288" i="2"/>
  <c r="L7288" i="2"/>
  <c r="E7288" i="2"/>
  <c r="D7288" i="2"/>
  <c r="B7288" i="2"/>
  <c r="A7288" i="2"/>
  <c r="O7287" i="2"/>
  <c r="M7287" i="2"/>
  <c r="L7287" i="2"/>
  <c r="E7287" i="2"/>
  <c r="D7287" i="2"/>
  <c r="B7287" i="2"/>
  <c r="A7287" i="2"/>
  <c r="O7286" i="2"/>
  <c r="M7286" i="2"/>
  <c r="L7286" i="2"/>
  <c r="E7286" i="2"/>
  <c r="D7286" i="2"/>
  <c r="B7286" i="2"/>
  <c r="A7286" i="2"/>
  <c r="O7285" i="2"/>
  <c r="O7284" i="2"/>
  <c r="M7284" i="2"/>
  <c r="L7284" i="2"/>
  <c r="E7284" i="2"/>
  <c r="D7284" i="2"/>
  <c r="B7284" i="2"/>
  <c r="A7284" i="2"/>
  <c r="O7283" i="2"/>
  <c r="O7282" i="2"/>
  <c r="O7281" i="2"/>
  <c r="M7281" i="2"/>
  <c r="L7281" i="2"/>
  <c r="E7281" i="2"/>
  <c r="D7281" i="2"/>
  <c r="B7281" i="2"/>
  <c r="A7281" i="2"/>
  <c r="O7280" i="2"/>
  <c r="O7279" i="2"/>
  <c r="O7278" i="2"/>
  <c r="O7277" i="2"/>
  <c r="M7277" i="2"/>
  <c r="L7277" i="2"/>
  <c r="E7277" i="2"/>
  <c r="D7277" i="2"/>
  <c r="B7277" i="2"/>
  <c r="A7277" i="2"/>
  <c r="O7276" i="2"/>
  <c r="O7275" i="2"/>
  <c r="O7274" i="2"/>
  <c r="M7274" i="2"/>
  <c r="L7274" i="2"/>
  <c r="E7274" i="2"/>
  <c r="D7274" i="2"/>
  <c r="B7274" i="2"/>
  <c r="A7274" i="2"/>
  <c r="O7273" i="2"/>
  <c r="O7272" i="2"/>
  <c r="O7271" i="2"/>
  <c r="O7270" i="2"/>
  <c r="M7270" i="2"/>
  <c r="L7270" i="2"/>
  <c r="E7270" i="2"/>
  <c r="D7270" i="2"/>
  <c r="B7270" i="2"/>
  <c r="A7270" i="2"/>
  <c r="O7269" i="2"/>
  <c r="M7269" i="2"/>
  <c r="L7269" i="2"/>
  <c r="E7269" i="2"/>
  <c r="D7269" i="2"/>
  <c r="B7269" i="2"/>
  <c r="A7269" i="2"/>
  <c r="O7268" i="2"/>
  <c r="O7267" i="2"/>
  <c r="O7266" i="2"/>
  <c r="M7266" i="2"/>
  <c r="L7266" i="2"/>
  <c r="E7266" i="2"/>
  <c r="D7266" i="2"/>
  <c r="B7266" i="2"/>
  <c r="A7266" i="2"/>
  <c r="O7265" i="2"/>
  <c r="O7264" i="2"/>
  <c r="M7264" i="2"/>
  <c r="L7264" i="2"/>
  <c r="E7264" i="2"/>
  <c r="D7264" i="2"/>
  <c r="B7264" i="2"/>
  <c r="A7264" i="2"/>
  <c r="O7263" i="2"/>
  <c r="O7262" i="2"/>
  <c r="M7262" i="2"/>
  <c r="L7262" i="2"/>
  <c r="E7262" i="2"/>
  <c r="D7262" i="2"/>
  <c r="B7262" i="2"/>
  <c r="A7262" i="2"/>
  <c r="O7261" i="2"/>
  <c r="O7260" i="2"/>
  <c r="O7259" i="2"/>
  <c r="M7259" i="2"/>
  <c r="L7259" i="2"/>
  <c r="E7259" i="2"/>
  <c r="D7259" i="2"/>
  <c r="B7259" i="2"/>
  <c r="A7259" i="2"/>
  <c r="O7258" i="2"/>
  <c r="O7257" i="2"/>
  <c r="O7256" i="2"/>
  <c r="M7256" i="2"/>
  <c r="L7256" i="2"/>
  <c r="E7256" i="2"/>
  <c r="D7256" i="2"/>
  <c r="B7256" i="2"/>
  <c r="A7256" i="2"/>
  <c r="O7255" i="2"/>
  <c r="O7254" i="2"/>
  <c r="O7253" i="2"/>
  <c r="M7253" i="2"/>
  <c r="L7253" i="2"/>
  <c r="E7253" i="2"/>
  <c r="D7253" i="2"/>
  <c r="B7253" i="2"/>
  <c r="A7253" i="2"/>
  <c r="O7252" i="2"/>
  <c r="O7251" i="2"/>
  <c r="O7250" i="2"/>
  <c r="M7250" i="2"/>
  <c r="L7250" i="2"/>
  <c r="E7250" i="2"/>
  <c r="D7250" i="2"/>
  <c r="B7250" i="2"/>
  <c r="A7250" i="2"/>
  <c r="O7249" i="2"/>
  <c r="O7248" i="2"/>
  <c r="O7247" i="2"/>
  <c r="M7247" i="2"/>
  <c r="L7247" i="2"/>
  <c r="E7247" i="2"/>
  <c r="D7247" i="2"/>
  <c r="B7247" i="2"/>
  <c r="A7247" i="2"/>
  <c r="O7246" i="2"/>
  <c r="M7246" i="2"/>
  <c r="L7246" i="2"/>
  <c r="E7246" i="2"/>
  <c r="D7246" i="2"/>
  <c r="B7246" i="2"/>
  <c r="A7246" i="2"/>
  <c r="O7245" i="2"/>
  <c r="O7244" i="2"/>
  <c r="M7244" i="2"/>
  <c r="L7244" i="2"/>
  <c r="E7244" i="2"/>
  <c r="D7244" i="2"/>
  <c r="B7244" i="2"/>
  <c r="A7244" i="2"/>
  <c r="O7243" i="2"/>
  <c r="M7243" i="2"/>
  <c r="L7243" i="2"/>
  <c r="E7243" i="2"/>
  <c r="D7243" i="2"/>
  <c r="B7243" i="2"/>
  <c r="A7243" i="2"/>
  <c r="O7242" i="2"/>
  <c r="M7242" i="2"/>
  <c r="L7242" i="2"/>
  <c r="E7242" i="2"/>
  <c r="D7242" i="2"/>
  <c r="B7242" i="2"/>
  <c r="A7242" i="2"/>
  <c r="O7241" i="2"/>
  <c r="O7240" i="2"/>
  <c r="O7239" i="2"/>
  <c r="M7239" i="2"/>
  <c r="L7239" i="2"/>
  <c r="E7239" i="2"/>
  <c r="D7239" i="2"/>
  <c r="B7239" i="2"/>
  <c r="A7239" i="2"/>
  <c r="O7238" i="2"/>
  <c r="M7238" i="2"/>
  <c r="L7238" i="2"/>
  <c r="E7238" i="2"/>
  <c r="D7238" i="2"/>
  <c r="B7238" i="2"/>
  <c r="A7238" i="2"/>
  <c r="O7237" i="2"/>
  <c r="O7236" i="2"/>
  <c r="M7236" i="2"/>
  <c r="L7236" i="2"/>
  <c r="E7236" i="2"/>
  <c r="D7236" i="2"/>
  <c r="B7236" i="2"/>
  <c r="A7236" i="2"/>
  <c r="O7235" i="2"/>
  <c r="O7234" i="2"/>
  <c r="O7233" i="2"/>
  <c r="O7232" i="2"/>
  <c r="M7232" i="2"/>
  <c r="L7232" i="2"/>
  <c r="E7232" i="2"/>
  <c r="D7232" i="2"/>
  <c r="B7232" i="2"/>
  <c r="A7232" i="2"/>
  <c r="O7231" i="2"/>
  <c r="O7230" i="2"/>
  <c r="O7229" i="2"/>
  <c r="O7228" i="2"/>
  <c r="O7227" i="2"/>
  <c r="M7227" i="2"/>
  <c r="L7227" i="2"/>
  <c r="E7227" i="2"/>
  <c r="D7227" i="2"/>
  <c r="B7227" i="2"/>
  <c r="A7227" i="2"/>
  <c r="O7226" i="2"/>
  <c r="O7225" i="2"/>
  <c r="M7225" i="2"/>
  <c r="L7225" i="2"/>
  <c r="E7225" i="2"/>
  <c r="D7225" i="2"/>
  <c r="B7225" i="2"/>
  <c r="A7225" i="2"/>
  <c r="O7224" i="2"/>
  <c r="M7224" i="2"/>
  <c r="L7224" i="2"/>
  <c r="E7224" i="2"/>
  <c r="D7224" i="2"/>
  <c r="B7224" i="2"/>
  <c r="A7224" i="2"/>
  <c r="O7223" i="2"/>
  <c r="M7223" i="2"/>
  <c r="L7223" i="2"/>
  <c r="E7223" i="2"/>
  <c r="D7223" i="2"/>
  <c r="B7223" i="2"/>
  <c r="A7223" i="2"/>
  <c r="O7222" i="2"/>
  <c r="M7222" i="2"/>
  <c r="L7222" i="2"/>
  <c r="E7222" i="2"/>
  <c r="D7222" i="2"/>
  <c r="B7222" i="2"/>
  <c r="A7222" i="2"/>
  <c r="O7221" i="2"/>
  <c r="M7221" i="2"/>
  <c r="L7221" i="2"/>
  <c r="E7221" i="2"/>
  <c r="D7221" i="2"/>
  <c r="B7221" i="2"/>
  <c r="A7221" i="2"/>
  <c r="O7220" i="2"/>
  <c r="O7219" i="2"/>
  <c r="O7218" i="2"/>
  <c r="M7218" i="2"/>
  <c r="L7218" i="2"/>
  <c r="E7218" i="2"/>
  <c r="D7218" i="2"/>
  <c r="B7218" i="2"/>
  <c r="A7218" i="2"/>
  <c r="O7217" i="2"/>
  <c r="O7216" i="2"/>
  <c r="M7216" i="2"/>
  <c r="L7216" i="2"/>
  <c r="E7216" i="2"/>
  <c r="D7216" i="2"/>
  <c r="B7216" i="2"/>
  <c r="A7216" i="2"/>
  <c r="O7215" i="2"/>
  <c r="M7215" i="2"/>
  <c r="L7215" i="2"/>
  <c r="E7215" i="2"/>
  <c r="D7215" i="2"/>
  <c r="B7215" i="2"/>
  <c r="A7215" i="2"/>
  <c r="O7214" i="2"/>
  <c r="O7213" i="2"/>
  <c r="M7213" i="2"/>
  <c r="L7213" i="2"/>
  <c r="E7213" i="2"/>
  <c r="D7213" i="2"/>
  <c r="B7213" i="2"/>
  <c r="A7213" i="2"/>
  <c r="O7212" i="2"/>
  <c r="O7211" i="2"/>
  <c r="M7211" i="2"/>
  <c r="L7211" i="2"/>
  <c r="E7211" i="2"/>
  <c r="D7211" i="2"/>
  <c r="B7211" i="2"/>
  <c r="A7211" i="2"/>
  <c r="O7210" i="2"/>
  <c r="O7209" i="2"/>
  <c r="M7209" i="2"/>
  <c r="L7209" i="2"/>
  <c r="E7209" i="2"/>
  <c r="D7209" i="2"/>
  <c r="B7209" i="2"/>
  <c r="A7209" i="2"/>
  <c r="O7208" i="2"/>
  <c r="O7207" i="2"/>
  <c r="O7206" i="2"/>
  <c r="M7206" i="2"/>
  <c r="L7206" i="2"/>
  <c r="E7206" i="2"/>
  <c r="D7206" i="2"/>
  <c r="B7206" i="2"/>
  <c r="A7206" i="2"/>
  <c r="O7205" i="2"/>
  <c r="O7204" i="2"/>
  <c r="O7203" i="2"/>
  <c r="M7203" i="2"/>
  <c r="L7203" i="2"/>
  <c r="E7203" i="2"/>
  <c r="D7203" i="2"/>
  <c r="B7203" i="2"/>
  <c r="A7203" i="2"/>
  <c r="O7202" i="2"/>
  <c r="M7202" i="2"/>
  <c r="L7202" i="2"/>
  <c r="E7202" i="2"/>
  <c r="D7202" i="2"/>
  <c r="B7202" i="2"/>
  <c r="A7202" i="2"/>
  <c r="O7201" i="2"/>
  <c r="O7200" i="2"/>
  <c r="O7199" i="2"/>
  <c r="O7198" i="2"/>
  <c r="M7198" i="2"/>
  <c r="L7198" i="2"/>
  <c r="E7198" i="2"/>
  <c r="D7198" i="2"/>
  <c r="B7198" i="2"/>
  <c r="A7198" i="2"/>
  <c r="O7197" i="2"/>
  <c r="O7196" i="2"/>
  <c r="M7196" i="2"/>
  <c r="L7196" i="2"/>
  <c r="E7196" i="2"/>
  <c r="D7196" i="2"/>
  <c r="B7196" i="2"/>
  <c r="A7196" i="2"/>
  <c r="O7195" i="2"/>
  <c r="O7194" i="2"/>
  <c r="O7193" i="2"/>
  <c r="M7193" i="2"/>
  <c r="L7193" i="2"/>
  <c r="E7193" i="2"/>
  <c r="D7193" i="2"/>
  <c r="B7193" i="2"/>
  <c r="A7193" i="2"/>
  <c r="O7192" i="2"/>
  <c r="O7191" i="2"/>
  <c r="M7191" i="2"/>
  <c r="L7191" i="2"/>
  <c r="E7191" i="2"/>
  <c r="D7191" i="2"/>
  <c r="B7191" i="2"/>
  <c r="A7191" i="2"/>
  <c r="O7190" i="2"/>
  <c r="O7189" i="2"/>
  <c r="M7189" i="2"/>
  <c r="L7189" i="2"/>
  <c r="E7189" i="2"/>
  <c r="D7189" i="2"/>
  <c r="B7189" i="2"/>
  <c r="A7189" i="2"/>
  <c r="O7188" i="2"/>
  <c r="M7188" i="2"/>
  <c r="L7188" i="2"/>
  <c r="E7188" i="2"/>
  <c r="D7188" i="2"/>
  <c r="B7188" i="2"/>
  <c r="A7188" i="2"/>
  <c r="O7187" i="2"/>
  <c r="M7187" i="2"/>
  <c r="L7187" i="2"/>
  <c r="E7187" i="2"/>
  <c r="D7187" i="2"/>
  <c r="B7187" i="2"/>
  <c r="A7187" i="2"/>
  <c r="O7186" i="2"/>
  <c r="M7186" i="2"/>
  <c r="L7186" i="2"/>
  <c r="E7186" i="2"/>
  <c r="D7186" i="2"/>
  <c r="B7186" i="2"/>
  <c r="A7186" i="2"/>
  <c r="O7185" i="2"/>
  <c r="O7184" i="2"/>
  <c r="M7184" i="2"/>
  <c r="L7184" i="2"/>
  <c r="E7184" i="2"/>
  <c r="D7184" i="2"/>
  <c r="B7184" i="2"/>
  <c r="A7184" i="2"/>
  <c r="O7183" i="2"/>
  <c r="O7182" i="2"/>
  <c r="M7182" i="2"/>
  <c r="L7182" i="2"/>
  <c r="E7182" i="2"/>
  <c r="D7182" i="2"/>
  <c r="B7182" i="2"/>
  <c r="A7182" i="2"/>
  <c r="O7181" i="2"/>
  <c r="O7180" i="2"/>
  <c r="M7180" i="2"/>
  <c r="L7180" i="2"/>
  <c r="E7180" i="2"/>
  <c r="D7180" i="2"/>
  <c r="B7180" i="2"/>
  <c r="A7180" i="2"/>
  <c r="O7179" i="2"/>
  <c r="M7179" i="2"/>
  <c r="L7179" i="2"/>
  <c r="E7179" i="2"/>
  <c r="D7179" i="2"/>
  <c r="B7179" i="2"/>
  <c r="A7179" i="2"/>
  <c r="O7178" i="2"/>
  <c r="O7177" i="2"/>
  <c r="O7176" i="2"/>
  <c r="M7176" i="2"/>
  <c r="L7176" i="2"/>
  <c r="E7176" i="2"/>
  <c r="D7176" i="2"/>
  <c r="B7176" i="2"/>
  <c r="A7176" i="2"/>
  <c r="O7175" i="2"/>
  <c r="M7175" i="2"/>
  <c r="L7175" i="2"/>
  <c r="E7175" i="2"/>
  <c r="D7175" i="2"/>
  <c r="B7175" i="2"/>
  <c r="A7175" i="2"/>
  <c r="O7174" i="2"/>
  <c r="O7173" i="2"/>
  <c r="M7173" i="2"/>
  <c r="L7173" i="2"/>
  <c r="E7173" i="2"/>
  <c r="D7173" i="2"/>
  <c r="B7173" i="2"/>
  <c r="A7173" i="2"/>
  <c r="O7172" i="2"/>
  <c r="O7171" i="2"/>
  <c r="O7170" i="2"/>
  <c r="M7170" i="2"/>
  <c r="L7170" i="2"/>
  <c r="E7170" i="2"/>
  <c r="D7170" i="2"/>
  <c r="B7170" i="2"/>
  <c r="A7170" i="2"/>
  <c r="O7169" i="2"/>
  <c r="O7168" i="2"/>
  <c r="M7168" i="2"/>
  <c r="L7168" i="2"/>
  <c r="E7168" i="2"/>
  <c r="D7168" i="2"/>
  <c r="B7168" i="2"/>
  <c r="A7168" i="2"/>
  <c r="O7167" i="2"/>
  <c r="O7166" i="2"/>
  <c r="M7166" i="2"/>
  <c r="L7166" i="2"/>
  <c r="E7166" i="2"/>
  <c r="D7166" i="2"/>
  <c r="B7166" i="2"/>
  <c r="A7166" i="2"/>
  <c r="O7165" i="2"/>
  <c r="M7165" i="2"/>
  <c r="L7165" i="2"/>
  <c r="E7165" i="2"/>
  <c r="D7165" i="2"/>
  <c r="B7165" i="2"/>
  <c r="A7165" i="2"/>
  <c r="O7164" i="2"/>
  <c r="O7163" i="2"/>
  <c r="O7162" i="2"/>
  <c r="O7161" i="2"/>
  <c r="M7161" i="2"/>
  <c r="L7161" i="2"/>
  <c r="E7161" i="2"/>
  <c r="D7161" i="2"/>
  <c r="B7161" i="2"/>
  <c r="A7161" i="2"/>
  <c r="O7160" i="2"/>
  <c r="M7160" i="2"/>
  <c r="L7160" i="2"/>
  <c r="E7160" i="2"/>
  <c r="D7160" i="2"/>
  <c r="B7160" i="2"/>
  <c r="A7160" i="2"/>
  <c r="O7159" i="2"/>
  <c r="O7158" i="2"/>
  <c r="M7158" i="2"/>
  <c r="L7158" i="2"/>
  <c r="E7158" i="2"/>
  <c r="D7158" i="2"/>
  <c r="B7158" i="2"/>
  <c r="A7158" i="2"/>
  <c r="O7157" i="2"/>
  <c r="M7157" i="2"/>
  <c r="L7157" i="2"/>
  <c r="E7157" i="2"/>
  <c r="D7157" i="2"/>
  <c r="B7157" i="2"/>
  <c r="A7157" i="2"/>
  <c r="O7156" i="2"/>
  <c r="O7155" i="2"/>
  <c r="O7154" i="2"/>
  <c r="M7154" i="2"/>
  <c r="L7154" i="2"/>
  <c r="E7154" i="2"/>
  <c r="D7154" i="2"/>
  <c r="B7154" i="2"/>
  <c r="A7154" i="2"/>
  <c r="O7153" i="2"/>
  <c r="O7152" i="2"/>
  <c r="M7152" i="2"/>
  <c r="L7152" i="2"/>
  <c r="E7152" i="2"/>
  <c r="D7152" i="2"/>
  <c r="B7152" i="2"/>
  <c r="A7152" i="2"/>
  <c r="O7151" i="2"/>
  <c r="M7151" i="2"/>
  <c r="L7151" i="2"/>
  <c r="E7151" i="2"/>
  <c r="D7151" i="2"/>
  <c r="B7151" i="2"/>
  <c r="A7151" i="2"/>
  <c r="O7150" i="2"/>
  <c r="O7149" i="2"/>
  <c r="M7149" i="2"/>
  <c r="L7149" i="2"/>
  <c r="E7149" i="2"/>
  <c r="D7149" i="2"/>
  <c r="B7149" i="2"/>
  <c r="A7149" i="2"/>
  <c r="O7148" i="2"/>
  <c r="M7148" i="2"/>
  <c r="L7148" i="2"/>
  <c r="E7148" i="2"/>
  <c r="D7148" i="2"/>
  <c r="B7148" i="2"/>
  <c r="A7148" i="2"/>
  <c r="O7147" i="2"/>
  <c r="O7146" i="2"/>
  <c r="O7145" i="2"/>
  <c r="O7144" i="2"/>
  <c r="M7144" i="2"/>
  <c r="L7144" i="2"/>
  <c r="E7144" i="2"/>
  <c r="D7144" i="2"/>
  <c r="B7144" i="2"/>
  <c r="A7144" i="2"/>
  <c r="O7143" i="2"/>
  <c r="O7142" i="2"/>
  <c r="O7141" i="2"/>
  <c r="O7140" i="2"/>
  <c r="O7139" i="2"/>
  <c r="O7138" i="2"/>
  <c r="M7138" i="2"/>
  <c r="L7138" i="2"/>
  <c r="E7138" i="2"/>
  <c r="D7138" i="2"/>
  <c r="B7138" i="2"/>
  <c r="A7138" i="2"/>
  <c r="O7137" i="2"/>
  <c r="O7136" i="2"/>
  <c r="M7136" i="2"/>
  <c r="L7136" i="2"/>
  <c r="E7136" i="2"/>
  <c r="D7136" i="2"/>
  <c r="B7136" i="2"/>
  <c r="A7136" i="2"/>
  <c r="O7135" i="2"/>
  <c r="O7134" i="2"/>
  <c r="M7134" i="2"/>
  <c r="L7134" i="2"/>
  <c r="E7134" i="2"/>
  <c r="D7134" i="2"/>
  <c r="B7134" i="2"/>
  <c r="A7134" i="2"/>
  <c r="O7133" i="2"/>
  <c r="O7132" i="2"/>
  <c r="O7131" i="2"/>
  <c r="M7131" i="2"/>
  <c r="L7131" i="2"/>
  <c r="E7131" i="2"/>
  <c r="D7131" i="2"/>
  <c r="B7131" i="2"/>
  <c r="A7131" i="2"/>
  <c r="O7130" i="2"/>
  <c r="M7130" i="2"/>
  <c r="L7130" i="2"/>
  <c r="E7130" i="2"/>
  <c r="D7130" i="2"/>
  <c r="B7130" i="2"/>
  <c r="A7130" i="2"/>
  <c r="O7129" i="2"/>
  <c r="M7129" i="2"/>
  <c r="L7129" i="2"/>
  <c r="E7129" i="2"/>
  <c r="D7129" i="2"/>
  <c r="B7129" i="2"/>
  <c r="A7129" i="2"/>
  <c r="O7128" i="2"/>
  <c r="O7127" i="2"/>
  <c r="O7126" i="2"/>
  <c r="M7126" i="2"/>
  <c r="L7126" i="2"/>
  <c r="E7126" i="2"/>
  <c r="D7126" i="2"/>
  <c r="B7126" i="2"/>
  <c r="A7126" i="2"/>
  <c r="O7125" i="2"/>
  <c r="O7124" i="2"/>
  <c r="O7123" i="2"/>
  <c r="O7122" i="2"/>
  <c r="M7122" i="2"/>
  <c r="L7122" i="2"/>
  <c r="E7122" i="2"/>
  <c r="D7122" i="2"/>
  <c r="B7122" i="2"/>
  <c r="A7122" i="2"/>
  <c r="O7121" i="2"/>
  <c r="O7120" i="2"/>
  <c r="M7120" i="2"/>
  <c r="L7120" i="2"/>
  <c r="E7120" i="2"/>
  <c r="D7120" i="2"/>
  <c r="B7120" i="2"/>
  <c r="A7120" i="2"/>
  <c r="O7119" i="2"/>
  <c r="O7118" i="2"/>
  <c r="M7118" i="2"/>
  <c r="L7118" i="2"/>
  <c r="E7118" i="2"/>
  <c r="D7118" i="2"/>
  <c r="B7118" i="2"/>
  <c r="A7118" i="2"/>
  <c r="O7117" i="2"/>
  <c r="O7116" i="2"/>
  <c r="O7115" i="2"/>
  <c r="M7115" i="2"/>
  <c r="L7115" i="2"/>
  <c r="E7115" i="2"/>
  <c r="D7115" i="2"/>
  <c r="B7115" i="2"/>
  <c r="A7115" i="2"/>
  <c r="O7114" i="2"/>
  <c r="M7114" i="2"/>
  <c r="L7114" i="2"/>
  <c r="E7114" i="2"/>
  <c r="D7114" i="2"/>
  <c r="B7114" i="2"/>
  <c r="A7114" i="2"/>
  <c r="O7113" i="2"/>
  <c r="O7112" i="2"/>
  <c r="O7111" i="2"/>
  <c r="M7111" i="2"/>
  <c r="L7111" i="2"/>
  <c r="E7111" i="2"/>
  <c r="D7111" i="2"/>
  <c r="B7111" i="2"/>
  <c r="A7111" i="2"/>
  <c r="O7110" i="2"/>
  <c r="M7110" i="2"/>
  <c r="L7110" i="2"/>
  <c r="E7110" i="2"/>
  <c r="D7110" i="2"/>
  <c r="B7110" i="2"/>
  <c r="A7110" i="2"/>
  <c r="O7109" i="2"/>
  <c r="M7109" i="2"/>
  <c r="L7109" i="2"/>
  <c r="E7109" i="2"/>
  <c r="D7109" i="2"/>
  <c r="B7109" i="2"/>
  <c r="A7109" i="2"/>
  <c r="O7108" i="2"/>
  <c r="O7107" i="2"/>
  <c r="M7107" i="2"/>
  <c r="L7107" i="2"/>
  <c r="E7107" i="2"/>
  <c r="D7107" i="2"/>
  <c r="B7107" i="2"/>
  <c r="A7107" i="2"/>
  <c r="O7106" i="2"/>
  <c r="M7106" i="2"/>
  <c r="L7106" i="2"/>
  <c r="E7106" i="2"/>
  <c r="D7106" i="2"/>
  <c r="B7106" i="2"/>
  <c r="A7106" i="2"/>
  <c r="O7105" i="2"/>
  <c r="M7105" i="2"/>
  <c r="L7105" i="2"/>
  <c r="E7105" i="2"/>
  <c r="D7105" i="2"/>
  <c r="B7105" i="2"/>
  <c r="A7105" i="2"/>
  <c r="O7104" i="2"/>
  <c r="O7103" i="2"/>
  <c r="O7102" i="2"/>
  <c r="O7101" i="2"/>
  <c r="M7101" i="2"/>
  <c r="L7101" i="2"/>
  <c r="E7101" i="2"/>
  <c r="D7101" i="2"/>
  <c r="B7101" i="2"/>
  <c r="A7101" i="2"/>
  <c r="O7100" i="2"/>
  <c r="M7100" i="2"/>
  <c r="L7100" i="2"/>
  <c r="E7100" i="2"/>
  <c r="D7100" i="2"/>
  <c r="B7100" i="2"/>
  <c r="A7100" i="2"/>
  <c r="O7099" i="2"/>
  <c r="M7099" i="2"/>
  <c r="L7099" i="2"/>
  <c r="E7099" i="2"/>
  <c r="D7099" i="2"/>
  <c r="B7099" i="2"/>
  <c r="A7099" i="2"/>
  <c r="O7098" i="2"/>
  <c r="O7097" i="2"/>
  <c r="O7096" i="2"/>
  <c r="M7096" i="2"/>
  <c r="L7096" i="2"/>
  <c r="E7096" i="2"/>
  <c r="D7096" i="2"/>
  <c r="B7096" i="2"/>
  <c r="A7096" i="2"/>
  <c r="O7095" i="2"/>
  <c r="O7094" i="2"/>
  <c r="M7094" i="2"/>
  <c r="L7094" i="2"/>
  <c r="E7094" i="2"/>
  <c r="D7094" i="2"/>
  <c r="B7094" i="2"/>
  <c r="A7094" i="2"/>
  <c r="O7093" i="2"/>
  <c r="M7093" i="2"/>
  <c r="L7093" i="2"/>
  <c r="E7093" i="2"/>
  <c r="D7093" i="2"/>
  <c r="B7093" i="2"/>
  <c r="A7093" i="2"/>
  <c r="O7092" i="2"/>
  <c r="O7091" i="2"/>
  <c r="M7091" i="2"/>
  <c r="L7091" i="2"/>
  <c r="E7091" i="2"/>
  <c r="D7091" i="2"/>
  <c r="B7091" i="2"/>
  <c r="A7091" i="2"/>
  <c r="O7090" i="2"/>
  <c r="O7089" i="2"/>
  <c r="M7089" i="2"/>
  <c r="L7089" i="2"/>
  <c r="E7089" i="2"/>
  <c r="D7089" i="2"/>
  <c r="B7089" i="2"/>
  <c r="A7089" i="2"/>
  <c r="O7088" i="2"/>
  <c r="O7087" i="2"/>
  <c r="O7086" i="2"/>
  <c r="O7085" i="2"/>
  <c r="M7085" i="2"/>
  <c r="L7085" i="2"/>
  <c r="E7085" i="2"/>
  <c r="D7085" i="2"/>
  <c r="B7085" i="2"/>
  <c r="A7085" i="2"/>
  <c r="O7084" i="2"/>
  <c r="O7083" i="2"/>
  <c r="O7082" i="2"/>
  <c r="M7082" i="2"/>
  <c r="L7082" i="2"/>
  <c r="E7082" i="2"/>
  <c r="D7082" i="2"/>
  <c r="B7082" i="2"/>
  <c r="A7082" i="2"/>
  <c r="O7081" i="2"/>
  <c r="O7080" i="2"/>
  <c r="O7079" i="2"/>
  <c r="M7079" i="2"/>
  <c r="L7079" i="2"/>
  <c r="E7079" i="2"/>
  <c r="D7079" i="2"/>
  <c r="B7079" i="2"/>
  <c r="A7079" i="2"/>
  <c r="O7078" i="2"/>
  <c r="O7077" i="2"/>
  <c r="M7077" i="2"/>
  <c r="L7077" i="2"/>
  <c r="E7077" i="2"/>
  <c r="D7077" i="2"/>
  <c r="B7077" i="2"/>
  <c r="A7077" i="2"/>
  <c r="O7076" i="2"/>
  <c r="M7076" i="2"/>
  <c r="L7076" i="2"/>
  <c r="E7076" i="2"/>
  <c r="D7076" i="2"/>
  <c r="B7076" i="2"/>
  <c r="A7076" i="2"/>
  <c r="O7075" i="2"/>
  <c r="O7074" i="2"/>
  <c r="O7073" i="2"/>
  <c r="O7072" i="2"/>
  <c r="O7071" i="2"/>
  <c r="O7070" i="2"/>
  <c r="M7070" i="2"/>
  <c r="L7070" i="2"/>
  <c r="E7070" i="2"/>
  <c r="D7070" i="2"/>
  <c r="B7070" i="2"/>
  <c r="A7070" i="2"/>
  <c r="O7069" i="2"/>
  <c r="O7068" i="2"/>
  <c r="O7067" i="2"/>
  <c r="M7067" i="2"/>
  <c r="L7067" i="2"/>
  <c r="E7067" i="2"/>
  <c r="D7067" i="2"/>
  <c r="B7067" i="2"/>
  <c r="A7067" i="2"/>
  <c r="O7066" i="2"/>
  <c r="O7065" i="2"/>
  <c r="M7065" i="2"/>
  <c r="L7065" i="2"/>
  <c r="E7065" i="2"/>
  <c r="D7065" i="2"/>
  <c r="B7065" i="2"/>
  <c r="A7065" i="2"/>
  <c r="O7064" i="2"/>
  <c r="O7063" i="2"/>
  <c r="O7062" i="2"/>
  <c r="O7061" i="2"/>
  <c r="M7061" i="2"/>
  <c r="L7061" i="2"/>
  <c r="E7061" i="2"/>
  <c r="D7061" i="2"/>
  <c r="B7061" i="2"/>
  <c r="A7061" i="2"/>
  <c r="O7060" i="2"/>
  <c r="O7059" i="2"/>
  <c r="O7058" i="2"/>
  <c r="O7057" i="2"/>
  <c r="O7056" i="2"/>
  <c r="M7056" i="2"/>
  <c r="L7056" i="2"/>
  <c r="E7056" i="2"/>
  <c r="D7056" i="2"/>
  <c r="B7056" i="2"/>
  <c r="A7056" i="2"/>
  <c r="O7055" i="2"/>
  <c r="M7055" i="2"/>
  <c r="L7055" i="2"/>
  <c r="E7055" i="2"/>
  <c r="D7055" i="2"/>
  <c r="B7055" i="2"/>
  <c r="A7055" i="2"/>
  <c r="O7054" i="2"/>
  <c r="M7054" i="2"/>
  <c r="L7054" i="2"/>
  <c r="E7054" i="2"/>
  <c r="D7054" i="2"/>
  <c r="B7054" i="2"/>
  <c r="A7054" i="2"/>
  <c r="O7053" i="2"/>
  <c r="O7052" i="2"/>
  <c r="O7051" i="2"/>
  <c r="M7051" i="2"/>
  <c r="L7051" i="2"/>
  <c r="E7051" i="2"/>
  <c r="D7051" i="2"/>
  <c r="B7051" i="2"/>
  <c r="A7051" i="2"/>
  <c r="O7050" i="2"/>
  <c r="M7050" i="2"/>
  <c r="L7050" i="2"/>
  <c r="E7050" i="2"/>
  <c r="D7050" i="2"/>
  <c r="B7050" i="2"/>
  <c r="A7050" i="2"/>
  <c r="O7049" i="2"/>
  <c r="M7049" i="2"/>
  <c r="L7049" i="2"/>
  <c r="E7049" i="2"/>
  <c r="D7049" i="2"/>
  <c r="B7049" i="2"/>
  <c r="A7049" i="2"/>
  <c r="O7048" i="2"/>
  <c r="O7047" i="2"/>
  <c r="M7047" i="2"/>
  <c r="L7047" i="2"/>
  <c r="E7047" i="2"/>
  <c r="D7047" i="2"/>
  <c r="B7047" i="2"/>
  <c r="A7047" i="2"/>
  <c r="O7046" i="2"/>
  <c r="M7046" i="2"/>
  <c r="L7046" i="2"/>
  <c r="E7046" i="2"/>
  <c r="D7046" i="2"/>
  <c r="B7046" i="2"/>
  <c r="A7046" i="2"/>
  <c r="O7045" i="2"/>
  <c r="M7045" i="2"/>
  <c r="L7045" i="2"/>
  <c r="E7045" i="2"/>
  <c r="D7045" i="2"/>
  <c r="B7045" i="2"/>
  <c r="A7045" i="2"/>
  <c r="O7044" i="2"/>
  <c r="M7044" i="2"/>
  <c r="L7044" i="2"/>
  <c r="E7044" i="2"/>
  <c r="D7044" i="2"/>
  <c r="B7044" i="2"/>
  <c r="A7044" i="2"/>
  <c r="O7043" i="2"/>
  <c r="O7042" i="2"/>
  <c r="M7042" i="2"/>
  <c r="L7042" i="2"/>
  <c r="E7042" i="2"/>
  <c r="D7042" i="2"/>
  <c r="B7042" i="2"/>
  <c r="A7042" i="2"/>
  <c r="O7041" i="2"/>
  <c r="O7040" i="2"/>
  <c r="O7039" i="2"/>
  <c r="M7039" i="2"/>
  <c r="L7039" i="2"/>
  <c r="E7039" i="2"/>
  <c r="D7039" i="2"/>
  <c r="B7039" i="2"/>
  <c r="A7039" i="2"/>
  <c r="O7038" i="2"/>
  <c r="O7037" i="2"/>
  <c r="O7036" i="2"/>
  <c r="O7035" i="2"/>
  <c r="O7034" i="2"/>
  <c r="O7033" i="2"/>
  <c r="O7032" i="2"/>
  <c r="O7031" i="2"/>
  <c r="O7030" i="2"/>
  <c r="M7030" i="2"/>
  <c r="L7030" i="2"/>
  <c r="E7030" i="2"/>
  <c r="D7030" i="2"/>
  <c r="B7030" i="2"/>
  <c r="A7030" i="2"/>
  <c r="O7029" i="2"/>
  <c r="O7028" i="2"/>
  <c r="O7027" i="2"/>
  <c r="O7026" i="2"/>
  <c r="M7026" i="2"/>
  <c r="L7026" i="2"/>
  <c r="E7026" i="2"/>
  <c r="D7026" i="2"/>
  <c r="B7026" i="2"/>
  <c r="A7026" i="2"/>
  <c r="O7025" i="2"/>
  <c r="O7024" i="2"/>
  <c r="M7024" i="2"/>
  <c r="L7024" i="2"/>
  <c r="E7024" i="2"/>
  <c r="D7024" i="2"/>
  <c r="B7024" i="2"/>
  <c r="A7024" i="2"/>
  <c r="O7023" i="2"/>
  <c r="O7022" i="2"/>
  <c r="O7021" i="2"/>
  <c r="O7020" i="2"/>
  <c r="M7020" i="2"/>
  <c r="L7020" i="2"/>
  <c r="E7020" i="2"/>
  <c r="D7020" i="2"/>
  <c r="B7020" i="2"/>
  <c r="A7020" i="2"/>
  <c r="O7019" i="2"/>
  <c r="O7018" i="2"/>
  <c r="O7017" i="2"/>
  <c r="M7017" i="2"/>
  <c r="L7017" i="2"/>
  <c r="E7017" i="2"/>
  <c r="D7017" i="2"/>
  <c r="B7017" i="2"/>
  <c r="A7017" i="2"/>
  <c r="O7016" i="2"/>
  <c r="M7016" i="2"/>
  <c r="L7016" i="2"/>
  <c r="E7016" i="2"/>
  <c r="D7016" i="2"/>
  <c r="B7016" i="2"/>
  <c r="A7016" i="2"/>
  <c r="O7015" i="2"/>
  <c r="O7014" i="2"/>
  <c r="M7014" i="2"/>
  <c r="L7014" i="2"/>
  <c r="E7014" i="2"/>
  <c r="D7014" i="2"/>
  <c r="B7014" i="2"/>
  <c r="A7014" i="2"/>
  <c r="O7013" i="2"/>
  <c r="M7013" i="2"/>
  <c r="L7013" i="2"/>
  <c r="E7013" i="2"/>
  <c r="D7013" i="2"/>
  <c r="B7013" i="2"/>
  <c r="A7013" i="2"/>
  <c r="O7012" i="2"/>
  <c r="O7011" i="2"/>
  <c r="M7011" i="2"/>
  <c r="L7011" i="2"/>
  <c r="E7011" i="2"/>
  <c r="D7011" i="2"/>
  <c r="B7011" i="2"/>
  <c r="A7011" i="2"/>
  <c r="O7010" i="2"/>
  <c r="O7009" i="2"/>
  <c r="M7009" i="2"/>
  <c r="L7009" i="2"/>
  <c r="E7009" i="2"/>
  <c r="D7009" i="2"/>
  <c r="B7009" i="2"/>
  <c r="A7009" i="2"/>
  <c r="O7008" i="2"/>
  <c r="O7007" i="2"/>
  <c r="M7007" i="2"/>
  <c r="L7007" i="2"/>
  <c r="E7007" i="2"/>
  <c r="D7007" i="2"/>
  <c r="B7007" i="2"/>
  <c r="A7007" i="2"/>
  <c r="O7006" i="2"/>
  <c r="O7005" i="2"/>
  <c r="M7005" i="2"/>
  <c r="L7005" i="2"/>
  <c r="E7005" i="2"/>
  <c r="D7005" i="2"/>
  <c r="B7005" i="2"/>
  <c r="A7005" i="2"/>
  <c r="O7004" i="2"/>
  <c r="M7004" i="2"/>
  <c r="L7004" i="2"/>
  <c r="E7004" i="2"/>
  <c r="D7004" i="2"/>
  <c r="B7004" i="2"/>
  <c r="A7004" i="2"/>
  <c r="O7003" i="2"/>
  <c r="O7002" i="2"/>
  <c r="M7002" i="2"/>
  <c r="L7002" i="2"/>
  <c r="E7002" i="2"/>
  <c r="D7002" i="2"/>
  <c r="B7002" i="2"/>
  <c r="A7002" i="2"/>
  <c r="O7001" i="2"/>
  <c r="O7000" i="2"/>
  <c r="M7000" i="2"/>
  <c r="L7000" i="2"/>
  <c r="E7000" i="2"/>
  <c r="D7000" i="2"/>
  <c r="B7000" i="2"/>
  <c r="A7000" i="2"/>
  <c r="O6999" i="2"/>
  <c r="O6998" i="2"/>
  <c r="M6998" i="2"/>
  <c r="L6998" i="2"/>
  <c r="E6998" i="2"/>
  <c r="D6998" i="2"/>
  <c r="B6998" i="2"/>
  <c r="A6998" i="2"/>
  <c r="O6997" i="2"/>
  <c r="O6996" i="2"/>
  <c r="O6995" i="2"/>
  <c r="O6994" i="2"/>
  <c r="M6994" i="2"/>
  <c r="L6994" i="2"/>
  <c r="E6994" i="2"/>
  <c r="D6994" i="2"/>
  <c r="B6994" i="2"/>
  <c r="A6994" i="2"/>
  <c r="O6993" i="2"/>
  <c r="O6992" i="2"/>
  <c r="O6991" i="2"/>
  <c r="M6991" i="2"/>
  <c r="L6991" i="2"/>
  <c r="E6991" i="2"/>
  <c r="D6991" i="2"/>
  <c r="B6991" i="2"/>
  <c r="A6991" i="2"/>
  <c r="O6990" i="2"/>
  <c r="O6989" i="2"/>
  <c r="O6988" i="2"/>
  <c r="M6988" i="2"/>
  <c r="L6988" i="2"/>
  <c r="E6988" i="2"/>
  <c r="D6988" i="2"/>
  <c r="B6988" i="2"/>
  <c r="A6988" i="2"/>
  <c r="O6987" i="2"/>
  <c r="O6986" i="2"/>
  <c r="M6986" i="2"/>
  <c r="L6986" i="2"/>
  <c r="E6986" i="2"/>
  <c r="D6986" i="2"/>
  <c r="B6986" i="2"/>
  <c r="A6986" i="2"/>
  <c r="O6985" i="2"/>
  <c r="O6984" i="2"/>
  <c r="M6984" i="2"/>
  <c r="L6984" i="2"/>
  <c r="E6984" i="2"/>
  <c r="D6984" i="2"/>
  <c r="B6984" i="2"/>
  <c r="A6984" i="2"/>
  <c r="O6983" i="2"/>
  <c r="O6982" i="2"/>
  <c r="M6982" i="2"/>
  <c r="L6982" i="2"/>
  <c r="E6982" i="2"/>
  <c r="D6982" i="2"/>
  <c r="B6982" i="2"/>
  <c r="A6982" i="2"/>
  <c r="O6981" i="2"/>
  <c r="M6981" i="2"/>
  <c r="L6981" i="2"/>
  <c r="E6981" i="2"/>
  <c r="D6981" i="2"/>
  <c r="B6981" i="2"/>
  <c r="A6981" i="2"/>
  <c r="O6980" i="2"/>
  <c r="M6980" i="2"/>
  <c r="L6980" i="2"/>
  <c r="E6980" i="2"/>
  <c r="D6980" i="2"/>
  <c r="B6980" i="2"/>
  <c r="A6980" i="2"/>
  <c r="O6979" i="2"/>
  <c r="M6979" i="2"/>
  <c r="L6979" i="2"/>
  <c r="E6979" i="2"/>
  <c r="D6979" i="2"/>
  <c r="B6979" i="2"/>
  <c r="A6979" i="2"/>
  <c r="O6978" i="2"/>
  <c r="M6978" i="2"/>
  <c r="L6978" i="2"/>
  <c r="E6978" i="2"/>
  <c r="D6978" i="2"/>
  <c r="B6978" i="2"/>
  <c r="A6978" i="2"/>
  <c r="O6977" i="2"/>
  <c r="O6976" i="2"/>
  <c r="O6975" i="2"/>
  <c r="O6974" i="2"/>
  <c r="O6973" i="2"/>
  <c r="O6972" i="2"/>
  <c r="O6971" i="2"/>
  <c r="O6970" i="2"/>
  <c r="O6969" i="2"/>
  <c r="M6969" i="2"/>
  <c r="L6969" i="2"/>
  <c r="E6969" i="2"/>
  <c r="D6969" i="2"/>
  <c r="B6969" i="2"/>
  <c r="A6969" i="2"/>
  <c r="O6968" i="2"/>
  <c r="O6967" i="2"/>
  <c r="M6967" i="2"/>
  <c r="L6967" i="2"/>
  <c r="E6967" i="2"/>
  <c r="D6967" i="2"/>
  <c r="B6967" i="2"/>
  <c r="A6967" i="2"/>
  <c r="O6966" i="2"/>
  <c r="O6965" i="2"/>
  <c r="M6965" i="2"/>
  <c r="L6965" i="2"/>
  <c r="E6965" i="2"/>
  <c r="D6965" i="2"/>
  <c r="B6965" i="2"/>
  <c r="A6965" i="2"/>
  <c r="O6964" i="2"/>
  <c r="O6963" i="2"/>
  <c r="O6962" i="2"/>
  <c r="M6962" i="2"/>
  <c r="L6962" i="2"/>
  <c r="E6962" i="2"/>
  <c r="D6962" i="2"/>
  <c r="B6962" i="2"/>
  <c r="A6962" i="2"/>
  <c r="O6961" i="2"/>
  <c r="M6961" i="2"/>
  <c r="L6961" i="2"/>
  <c r="E6961" i="2"/>
  <c r="D6961" i="2"/>
  <c r="B6961" i="2"/>
  <c r="A6961" i="2"/>
  <c r="O6960" i="2"/>
  <c r="O6959" i="2"/>
  <c r="O6958" i="2"/>
  <c r="O6957" i="2"/>
  <c r="M6957" i="2"/>
  <c r="L6957" i="2"/>
  <c r="E6957" i="2"/>
  <c r="D6957" i="2"/>
  <c r="B6957" i="2"/>
  <c r="A6957" i="2"/>
  <c r="O6956" i="2"/>
  <c r="O6955" i="2"/>
  <c r="M6955" i="2"/>
  <c r="L6955" i="2"/>
  <c r="E6955" i="2"/>
  <c r="D6955" i="2"/>
  <c r="B6955" i="2"/>
  <c r="A6955" i="2"/>
  <c r="O6954" i="2"/>
  <c r="M6954" i="2"/>
  <c r="L6954" i="2"/>
  <c r="E6954" i="2"/>
  <c r="D6954" i="2"/>
  <c r="B6954" i="2"/>
  <c r="A6954" i="2"/>
  <c r="O6953" i="2"/>
  <c r="O6952" i="2"/>
  <c r="O6951" i="2"/>
  <c r="O6950" i="2"/>
  <c r="M6950" i="2"/>
  <c r="L6950" i="2"/>
  <c r="E6950" i="2"/>
  <c r="D6950" i="2"/>
  <c r="B6950" i="2"/>
  <c r="A6950" i="2"/>
  <c r="O6949" i="2"/>
  <c r="M6949" i="2"/>
  <c r="L6949" i="2"/>
  <c r="E6949" i="2"/>
  <c r="D6949" i="2"/>
  <c r="B6949" i="2"/>
  <c r="A6949" i="2"/>
  <c r="O6948" i="2"/>
  <c r="O6947" i="2"/>
  <c r="M6947" i="2"/>
  <c r="L6947" i="2"/>
  <c r="E6947" i="2"/>
  <c r="D6947" i="2"/>
  <c r="B6947" i="2"/>
  <c r="A6947" i="2"/>
  <c r="O6946" i="2"/>
  <c r="M6946" i="2"/>
  <c r="L6946" i="2"/>
  <c r="E6946" i="2"/>
  <c r="D6946" i="2"/>
  <c r="B6946" i="2"/>
  <c r="A6946" i="2"/>
  <c r="O6945" i="2"/>
  <c r="M6945" i="2"/>
  <c r="L6945" i="2"/>
  <c r="E6945" i="2"/>
  <c r="D6945" i="2"/>
  <c r="B6945" i="2"/>
  <c r="A6945" i="2"/>
  <c r="O6944" i="2"/>
  <c r="O6943" i="2"/>
  <c r="M6943" i="2"/>
  <c r="L6943" i="2"/>
  <c r="E6943" i="2"/>
  <c r="D6943" i="2"/>
  <c r="B6943" i="2"/>
  <c r="A6943" i="2"/>
  <c r="O6942" i="2"/>
  <c r="M6942" i="2"/>
  <c r="L6942" i="2"/>
  <c r="E6942" i="2"/>
  <c r="D6942" i="2"/>
  <c r="B6942" i="2"/>
  <c r="A6942" i="2"/>
  <c r="O6941" i="2"/>
  <c r="O6940" i="2"/>
  <c r="O6939" i="2"/>
  <c r="M6939" i="2"/>
  <c r="L6939" i="2"/>
  <c r="E6939" i="2"/>
  <c r="D6939" i="2"/>
  <c r="B6939" i="2"/>
  <c r="A6939" i="2"/>
  <c r="O6938" i="2"/>
  <c r="O6937" i="2"/>
  <c r="O6936" i="2"/>
  <c r="M6936" i="2"/>
  <c r="L6936" i="2"/>
  <c r="E6936" i="2"/>
  <c r="D6936" i="2"/>
  <c r="B6936" i="2"/>
  <c r="A6936" i="2"/>
  <c r="O6935" i="2"/>
  <c r="O6934" i="2"/>
  <c r="M6934" i="2"/>
  <c r="L6934" i="2"/>
  <c r="E6934" i="2"/>
  <c r="D6934" i="2"/>
  <c r="B6934" i="2"/>
  <c r="A6934" i="2"/>
  <c r="O6933" i="2"/>
  <c r="O6932" i="2"/>
  <c r="O6931" i="2"/>
  <c r="M6931" i="2"/>
  <c r="L6931" i="2"/>
  <c r="E6931" i="2"/>
  <c r="D6931" i="2"/>
  <c r="B6931" i="2"/>
  <c r="A6931" i="2"/>
  <c r="O6930" i="2"/>
  <c r="O6929" i="2"/>
  <c r="O6928" i="2"/>
  <c r="M6928" i="2"/>
  <c r="L6928" i="2"/>
  <c r="E6928" i="2"/>
  <c r="D6928" i="2"/>
  <c r="B6928" i="2"/>
  <c r="A6928" i="2"/>
  <c r="O6927" i="2"/>
  <c r="M6927" i="2"/>
  <c r="L6927" i="2"/>
  <c r="E6927" i="2"/>
  <c r="D6927" i="2"/>
  <c r="B6927" i="2"/>
  <c r="A6927" i="2"/>
  <c r="O6926" i="2"/>
  <c r="M6926" i="2"/>
  <c r="L6926" i="2"/>
  <c r="E6926" i="2"/>
  <c r="D6926" i="2"/>
  <c r="B6926" i="2"/>
  <c r="A6926" i="2"/>
  <c r="O6925" i="2"/>
  <c r="O6924" i="2"/>
  <c r="O6923" i="2"/>
  <c r="O6922" i="2"/>
  <c r="O6921" i="2"/>
  <c r="M6921" i="2"/>
  <c r="L6921" i="2"/>
  <c r="E6921" i="2"/>
  <c r="D6921" i="2"/>
  <c r="B6921" i="2"/>
  <c r="A6921" i="2"/>
  <c r="O6920" i="2"/>
  <c r="M6920" i="2"/>
  <c r="L6920" i="2"/>
  <c r="E6920" i="2"/>
  <c r="D6920" i="2"/>
  <c r="B6920" i="2"/>
  <c r="A6920" i="2"/>
  <c r="O6919" i="2"/>
  <c r="M6919" i="2"/>
  <c r="L6919" i="2"/>
  <c r="E6919" i="2"/>
  <c r="D6919" i="2"/>
  <c r="B6919" i="2"/>
  <c r="A6919" i="2"/>
  <c r="O6918" i="2"/>
  <c r="O6917" i="2"/>
  <c r="M6917" i="2"/>
  <c r="L6917" i="2"/>
  <c r="E6917" i="2"/>
  <c r="D6917" i="2"/>
  <c r="B6917" i="2"/>
  <c r="A6917" i="2"/>
  <c r="O6916" i="2"/>
  <c r="M6916" i="2"/>
  <c r="L6916" i="2"/>
  <c r="E6916" i="2"/>
  <c r="D6916" i="2"/>
  <c r="B6916" i="2"/>
  <c r="A6916" i="2"/>
  <c r="O6915" i="2"/>
  <c r="M6915" i="2"/>
  <c r="L6915" i="2"/>
  <c r="E6915" i="2"/>
  <c r="D6915" i="2"/>
  <c r="B6915" i="2"/>
  <c r="A6915" i="2"/>
  <c r="O6914" i="2"/>
  <c r="M6914" i="2"/>
  <c r="L6914" i="2"/>
  <c r="E6914" i="2"/>
  <c r="D6914" i="2"/>
  <c r="B6914" i="2"/>
  <c r="A6914" i="2"/>
  <c r="O6913" i="2"/>
  <c r="M6913" i="2"/>
  <c r="L6913" i="2"/>
  <c r="E6913" i="2"/>
  <c r="D6913" i="2"/>
  <c r="B6913" i="2"/>
  <c r="A6913" i="2"/>
  <c r="O6912" i="2"/>
  <c r="O6911" i="2"/>
  <c r="O6910" i="2"/>
  <c r="M6910" i="2"/>
  <c r="L6910" i="2"/>
  <c r="E6910" i="2"/>
  <c r="D6910" i="2"/>
  <c r="B6910" i="2"/>
  <c r="A6910" i="2"/>
  <c r="O6909" i="2"/>
  <c r="O6908" i="2"/>
  <c r="O6907" i="2"/>
  <c r="O6906" i="2"/>
  <c r="O6905" i="2"/>
  <c r="O6904" i="2"/>
  <c r="M6904" i="2"/>
  <c r="L6904" i="2"/>
  <c r="E6904" i="2"/>
  <c r="D6904" i="2"/>
  <c r="B6904" i="2"/>
  <c r="A6904" i="2"/>
  <c r="O6903" i="2"/>
  <c r="O6902" i="2"/>
  <c r="O6901" i="2"/>
  <c r="O6900" i="2"/>
  <c r="O6899" i="2"/>
  <c r="M6899" i="2"/>
  <c r="L6899" i="2"/>
  <c r="E6899" i="2"/>
  <c r="D6899" i="2"/>
  <c r="B6899" i="2"/>
  <c r="A6899" i="2"/>
  <c r="O6898" i="2"/>
  <c r="O6897" i="2"/>
  <c r="M6897" i="2"/>
  <c r="L6897" i="2"/>
  <c r="E6897" i="2"/>
  <c r="D6897" i="2"/>
  <c r="B6897" i="2"/>
  <c r="A6897" i="2"/>
  <c r="O6896" i="2"/>
  <c r="M6896" i="2"/>
  <c r="L6896" i="2"/>
  <c r="E6896" i="2"/>
  <c r="D6896" i="2"/>
  <c r="B6896" i="2"/>
  <c r="A6896" i="2"/>
  <c r="O6895" i="2"/>
  <c r="O6894" i="2"/>
  <c r="O6893" i="2"/>
  <c r="M6893" i="2"/>
  <c r="L6893" i="2"/>
  <c r="E6893" i="2"/>
  <c r="D6893" i="2"/>
  <c r="B6893" i="2"/>
  <c r="A6893" i="2"/>
  <c r="O6892" i="2"/>
  <c r="M6892" i="2"/>
  <c r="L6892" i="2"/>
  <c r="E6892" i="2"/>
  <c r="D6892" i="2"/>
  <c r="B6892" i="2"/>
  <c r="A6892" i="2"/>
  <c r="O6891" i="2"/>
  <c r="O6890" i="2"/>
  <c r="M6890" i="2"/>
  <c r="L6890" i="2"/>
  <c r="E6890" i="2"/>
  <c r="D6890" i="2"/>
  <c r="B6890" i="2"/>
  <c r="A6890" i="2"/>
  <c r="O6889" i="2"/>
  <c r="M6889" i="2"/>
  <c r="L6889" i="2"/>
  <c r="E6889" i="2"/>
  <c r="D6889" i="2"/>
  <c r="B6889" i="2"/>
  <c r="A6889" i="2"/>
  <c r="O6888" i="2"/>
  <c r="O6887" i="2"/>
  <c r="M6887" i="2"/>
  <c r="L6887" i="2"/>
  <c r="E6887" i="2"/>
  <c r="D6887" i="2"/>
  <c r="B6887" i="2"/>
  <c r="A6887" i="2"/>
  <c r="O6886" i="2"/>
  <c r="O6885" i="2"/>
  <c r="M6885" i="2"/>
  <c r="L6885" i="2"/>
  <c r="E6885" i="2"/>
  <c r="D6885" i="2"/>
  <c r="B6885" i="2"/>
  <c r="A6885" i="2"/>
  <c r="O6884" i="2"/>
  <c r="M6884" i="2"/>
  <c r="L6884" i="2"/>
  <c r="E6884" i="2"/>
  <c r="D6884" i="2"/>
  <c r="B6884" i="2"/>
  <c r="A6884" i="2"/>
  <c r="O6883" i="2"/>
  <c r="M6883" i="2"/>
  <c r="L6883" i="2"/>
  <c r="E6883" i="2"/>
  <c r="D6883" i="2"/>
  <c r="B6883" i="2"/>
  <c r="A6883" i="2"/>
  <c r="O6882" i="2"/>
  <c r="M6882" i="2"/>
  <c r="L6882" i="2"/>
  <c r="E6882" i="2"/>
  <c r="D6882" i="2"/>
  <c r="B6882" i="2"/>
  <c r="A6882" i="2"/>
  <c r="O6881" i="2"/>
  <c r="M6881" i="2"/>
  <c r="L6881" i="2"/>
  <c r="E6881" i="2"/>
  <c r="D6881" i="2"/>
  <c r="B6881" i="2"/>
  <c r="A6881" i="2"/>
  <c r="O6880" i="2"/>
  <c r="O6879" i="2"/>
  <c r="M6879" i="2"/>
  <c r="L6879" i="2"/>
  <c r="E6879" i="2"/>
  <c r="D6879" i="2"/>
  <c r="B6879" i="2"/>
  <c r="A6879" i="2"/>
  <c r="O6878" i="2"/>
  <c r="O6877" i="2"/>
  <c r="O6876" i="2"/>
  <c r="O6875" i="2"/>
  <c r="M6875" i="2"/>
  <c r="L6875" i="2"/>
  <c r="E6875" i="2"/>
  <c r="D6875" i="2"/>
  <c r="B6875" i="2"/>
  <c r="A6875" i="2"/>
  <c r="O6874" i="2"/>
  <c r="O6873" i="2"/>
  <c r="O6872" i="2"/>
  <c r="M6872" i="2"/>
  <c r="L6872" i="2"/>
  <c r="E6872" i="2"/>
  <c r="D6872" i="2"/>
  <c r="B6872" i="2"/>
  <c r="A6872" i="2"/>
  <c r="O6871" i="2"/>
  <c r="O6870" i="2"/>
  <c r="O6869" i="2"/>
  <c r="M6869" i="2"/>
  <c r="L6869" i="2"/>
  <c r="E6869" i="2"/>
  <c r="D6869" i="2"/>
  <c r="B6869" i="2"/>
  <c r="A6869" i="2"/>
  <c r="O6868" i="2"/>
  <c r="O6867" i="2"/>
  <c r="O6866" i="2"/>
  <c r="M6866" i="2"/>
  <c r="L6866" i="2"/>
  <c r="E6866" i="2"/>
  <c r="D6866" i="2"/>
  <c r="B6866" i="2"/>
  <c r="A6866" i="2"/>
  <c r="O6865" i="2"/>
  <c r="O6864" i="2"/>
  <c r="M6864" i="2"/>
  <c r="L6864" i="2"/>
  <c r="E6864" i="2"/>
  <c r="D6864" i="2"/>
  <c r="B6864" i="2"/>
  <c r="A6864" i="2"/>
  <c r="O6863" i="2"/>
  <c r="O6862" i="2"/>
  <c r="M6862" i="2"/>
  <c r="L6862" i="2"/>
  <c r="E6862" i="2"/>
  <c r="D6862" i="2"/>
  <c r="B6862" i="2"/>
  <c r="A6862" i="2"/>
  <c r="O6861" i="2"/>
  <c r="O6860" i="2"/>
  <c r="M6860" i="2"/>
  <c r="L6860" i="2"/>
  <c r="E6860" i="2"/>
  <c r="D6860" i="2"/>
  <c r="B6860" i="2"/>
  <c r="A6860" i="2"/>
  <c r="O6859" i="2"/>
  <c r="M6859" i="2"/>
  <c r="L6859" i="2"/>
  <c r="E6859" i="2"/>
  <c r="D6859" i="2"/>
  <c r="B6859" i="2"/>
  <c r="A6859" i="2"/>
  <c r="O6858" i="2"/>
  <c r="M6858" i="2"/>
  <c r="L6858" i="2"/>
  <c r="E6858" i="2"/>
  <c r="D6858" i="2"/>
  <c r="B6858" i="2"/>
  <c r="A6858" i="2"/>
  <c r="O6857" i="2"/>
  <c r="M6857" i="2"/>
  <c r="L6857" i="2"/>
  <c r="E6857" i="2"/>
  <c r="D6857" i="2"/>
  <c r="B6857" i="2"/>
  <c r="A6857" i="2"/>
  <c r="O6856" i="2"/>
  <c r="M6856" i="2"/>
  <c r="L6856" i="2"/>
  <c r="E6856" i="2"/>
  <c r="D6856" i="2"/>
  <c r="B6856" i="2"/>
  <c r="A6856" i="2"/>
  <c r="O6855" i="2"/>
  <c r="O6854" i="2"/>
  <c r="O6853" i="2"/>
  <c r="O6852" i="2"/>
  <c r="O6851" i="2"/>
  <c r="M6851" i="2"/>
  <c r="L6851" i="2"/>
  <c r="E6851" i="2"/>
  <c r="D6851" i="2"/>
  <c r="B6851" i="2"/>
  <c r="A6851" i="2"/>
  <c r="O6850" i="2"/>
  <c r="O6849" i="2"/>
  <c r="M6849" i="2"/>
  <c r="L6849" i="2"/>
  <c r="E6849" i="2"/>
  <c r="D6849" i="2"/>
  <c r="B6849" i="2"/>
  <c r="A6849" i="2"/>
  <c r="O6848" i="2"/>
  <c r="O6847" i="2"/>
  <c r="M6847" i="2"/>
  <c r="L6847" i="2"/>
  <c r="E6847" i="2"/>
  <c r="D6847" i="2"/>
  <c r="B6847" i="2"/>
  <c r="A6847" i="2"/>
  <c r="O6846" i="2"/>
  <c r="O6845" i="2"/>
  <c r="M6845" i="2"/>
  <c r="L6845" i="2"/>
  <c r="E6845" i="2"/>
  <c r="D6845" i="2"/>
  <c r="B6845" i="2"/>
  <c r="A6845" i="2"/>
  <c r="O6844" i="2"/>
  <c r="M6844" i="2"/>
  <c r="L6844" i="2"/>
  <c r="E6844" i="2"/>
  <c r="D6844" i="2"/>
  <c r="B6844" i="2"/>
  <c r="A6844" i="2"/>
  <c r="O6843" i="2"/>
  <c r="O6842" i="2"/>
  <c r="O6841" i="2"/>
  <c r="O6840" i="2"/>
  <c r="O6839" i="2"/>
  <c r="O6838" i="2"/>
  <c r="O6837" i="2"/>
  <c r="O6836" i="2"/>
  <c r="M6836" i="2"/>
  <c r="L6836" i="2"/>
  <c r="E6836" i="2"/>
  <c r="D6836" i="2"/>
  <c r="B6836" i="2"/>
  <c r="A6836" i="2"/>
  <c r="O6835" i="2"/>
  <c r="O6834" i="2"/>
  <c r="M6834" i="2"/>
  <c r="L6834" i="2"/>
  <c r="E6834" i="2"/>
  <c r="D6834" i="2"/>
  <c r="B6834" i="2"/>
  <c r="A6834" i="2"/>
  <c r="O6833" i="2"/>
  <c r="M6833" i="2"/>
  <c r="L6833" i="2"/>
  <c r="E6833" i="2"/>
  <c r="D6833" i="2"/>
  <c r="B6833" i="2"/>
  <c r="A6833" i="2"/>
  <c r="O6832" i="2"/>
  <c r="O6831" i="2"/>
  <c r="O6830" i="2"/>
  <c r="M6830" i="2"/>
  <c r="L6830" i="2"/>
  <c r="E6830" i="2"/>
  <c r="D6830" i="2"/>
  <c r="B6830" i="2"/>
  <c r="A6830" i="2"/>
  <c r="O6829" i="2"/>
  <c r="M6829" i="2"/>
  <c r="L6829" i="2"/>
  <c r="E6829" i="2"/>
  <c r="D6829" i="2"/>
  <c r="B6829" i="2"/>
  <c r="A6829" i="2"/>
  <c r="O6828" i="2"/>
  <c r="M6828" i="2"/>
  <c r="L6828" i="2"/>
  <c r="E6828" i="2"/>
  <c r="D6828" i="2"/>
  <c r="B6828" i="2"/>
  <c r="A6828" i="2"/>
  <c r="O6827" i="2"/>
  <c r="M6827" i="2"/>
  <c r="L6827" i="2"/>
  <c r="E6827" i="2"/>
  <c r="D6827" i="2"/>
  <c r="B6827" i="2"/>
  <c r="A6827" i="2"/>
  <c r="O6826" i="2"/>
  <c r="M6826" i="2"/>
  <c r="L6826" i="2"/>
  <c r="E6826" i="2"/>
  <c r="D6826" i="2"/>
  <c r="B6826" i="2"/>
  <c r="A6826" i="2"/>
  <c r="O6825" i="2"/>
  <c r="O6824" i="2"/>
  <c r="M6824" i="2"/>
  <c r="L6824" i="2"/>
  <c r="E6824" i="2"/>
  <c r="D6824" i="2"/>
  <c r="B6824" i="2"/>
  <c r="A6824" i="2"/>
  <c r="O6823" i="2"/>
  <c r="O6822" i="2"/>
  <c r="O6821" i="2"/>
  <c r="M6821" i="2"/>
  <c r="L6821" i="2"/>
  <c r="E6821" i="2"/>
  <c r="D6821" i="2"/>
  <c r="B6821" i="2"/>
  <c r="A6821" i="2"/>
  <c r="O6820" i="2"/>
  <c r="O6819" i="2"/>
  <c r="M6819" i="2"/>
  <c r="L6819" i="2"/>
  <c r="E6819" i="2"/>
  <c r="D6819" i="2"/>
  <c r="B6819" i="2"/>
  <c r="A6819" i="2"/>
  <c r="O6818" i="2"/>
  <c r="O6817" i="2"/>
  <c r="O6816" i="2"/>
  <c r="O6815" i="2"/>
  <c r="O6814" i="2"/>
  <c r="O6813" i="2"/>
  <c r="O6812" i="2"/>
  <c r="M6812" i="2"/>
  <c r="L6812" i="2"/>
  <c r="E6812" i="2"/>
  <c r="D6812" i="2"/>
  <c r="B6812" i="2"/>
  <c r="A6812" i="2"/>
  <c r="O6811" i="2"/>
  <c r="O6810" i="2"/>
  <c r="M6810" i="2"/>
  <c r="L6810" i="2"/>
  <c r="E6810" i="2"/>
  <c r="D6810" i="2"/>
  <c r="B6810" i="2"/>
  <c r="A6810" i="2"/>
  <c r="O6809" i="2"/>
  <c r="O6808" i="2"/>
  <c r="O6807" i="2"/>
  <c r="O6806" i="2"/>
  <c r="O6805" i="2"/>
  <c r="O6804" i="2"/>
  <c r="O6803" i="2"/>
  <c r="M6803" i="2"/>
  <c r="L6803" i="2"/>
  <c r="E6803" i="2"/>
  <c r="D6803" i="2"/>
  <c r="B6803" i="2"/>
  <c r="A6803" i="2"/>
  <c r="O6802" i="2"/>
  <c r="O6801" i="2"/>
  <c r="O6800" i="2"/>
  <c r="O6799" i="2"/>
  <c r="O6798" i="2"/>
  <c r="O6797" i="2"/>
  <c r="O6796" i="2"/>
  <c r="O6795" i="2"/>
  <c r="O6794" i="2"/>
  <c r="O6793" i="2"/>
  <c r="O6792" i="2"/>
  <c r="O6791" i="2"/>
  <c r="O6790" i="2"/>
  <c r="O6789" i="2"/>
  <c r="O6788" i="2"/>
  <c r="O6787" i="2"/>
  <c r="O6786" i="2"/>
  <c r="O6785" i="2"/>
  <c r="O6784" i="2"/>
  <c r="O6783" i="2"/>
  <c r="O6782" i="2"/>
  <c r="O6781" i="2"/>
  <c r="O6780" i="2"/>
  <c r="O6779" i="2"/>
  <c r="O6778" i="2"/>
  <c r="O6777" i="2"/>
  <c r="O6776" i="2"/>
  <c r="O6775" i="2"/>
  <c r="O6774" i="2"/>
  <c r="O6773" i="2"/>
  <c r="O6772" i="2"/>
  <c r="O6771" i="2"/>
  <c r="M6771" i="2"/>
  <c r="L6771" i="2"/>
  <c r="E6771" i="2"/>
  <c r="D6771" i="2"/>
  <c r="B6771" i="2"/>
  <c r="A6771" i="2"/>
  <c r="O6770" i="2"/>
  <c r="O6769" i="2"/>
  <c r="M6769" i="2"/>
  <c r="L6769" i="2"/>
  <c r="E6769" i="2"/>
  <c r="D6769" i="2"/>
  <c r="B6769" i="2"/>
  <c r="A6769" i="2"/>
  <c r="O6768" i="2"/>
  <c r="M6768" i="2"/>
  <c r="L6768" i="2"/>
  <c r="E6768" i="2"/>
  <c r="D6768" i="2"/>
  <c r="B6768" i="2"/>
  <c r="A6768" i="2"/>
  <c r="O6767" i="2"/>
  <c r="M6767" i="2"/>
  <c r="L6767" i="2"/>
  <c r="E6767" i="2"/>
  <c r="D6767" i="2"/>
  <c r="B6767" i="2"/>
  <c r="A6767" i="2"/>
  <c r="O6766" i="2"/>
  <c r="M6766" i="2"/>
  <c r="L6766" i="2"/>
  <c r="E6766" i="2"/>
  <c r="D6766" i="2"/>
  <c r="B6766" i="2"/>
  <c r="A6766" i="2"/>
  <c r="O6765" i="2"/>
  <c r="M6765" i="2"/>
  <c r="L6765" i="2"/>
  <c r="E6765" i="2"/>
  <c r="D6765" i="2"/>
  <c r="B6765" i="2"/>
  <c r="A6765" i="2"/>
  <c r="O6764" i="2"/>
  <c r="O6763" i="2"/>
  <c r="M6763" i="2"/>
  <c r="L6763" i="2"/>
  <c r="E6763" i="2"/>
  <c r="D6763" i="2"/>
  <c r="B6763" i="2"/>
  <c r="A6763" i="2"/>
  <c r="O6762" i="2"/>
  <c r="M6762" i="2"/>
  <c r="L6762" i="2"/>
  <c r="E6762" i="2"/>
  <c r="D6762" i="2"/>
  <c r="B6762" i="2"/>
  <c r="A6762" i="2"/>
  <c r="O6761" i="2"/>
  <c r="M6761" i="2"/>
  <c r="L6761" i="2"/>
  <c r="E6761" i="2"/>
  <c r="D6761" i="2"/>
  <c r="B6761" i="2"/>
  <c r="A6761" i="2"/>
  <c r="O6760" i="2"/>
  <c r="O6759" i="2"/>
  <c r="M6759" i="2"/>
  <c r="L6759" i="2"/>
  <c r="E6759" i="2"/>
  <c r="D6759" i="2"/>
  <c r="B6759" i="2"/>
  <c r="A6759" i="2"/>
  <c r="O6758" i="2"/>
  <c r="O6757" i="2"/>
  <c r="M6757" i="2"/>
  <c r="L6757" i="2"/>
  <c r="E6757" i="2"/>
  <c r="D6757" i="2"/>
  <c r="B6757" i="2"/>
  <c r="A6757" i="2"/>
  <c r="O6756" i="2"/>
  <c r="O6755" i="2"/>
  <c r="O6754" i="2"/>
  <c r="M6754" i="2"/>
  <c r="L6754" i="2"/>
  <c r="E6754" i="2"/>
  <c r="D6754" i="2"/>
  <c r="B6754" i="2"/>
  <c r="A6754" i="2"/>
  <c r="O6753" i="2"/>
  <c r="O6752" i="2"/>
  <c r="M6752" i="2"/>
  <c r="L6752" i="2"/>
  <c r="E6752" i="2"/>
  <c r="D6752" i="2"/>
  <c r="B6752" i="2"/>
  <c r="A6752" i="2"/>
  <c r="O6751" i="2"/>
  <c r="O6750" i="2"/>
  <c r="O6749" i="2"/>
  <c r="O6748" i="2"/>
  <c r="O6747" i="2"/>
  <c r="M6747" i="2"/>
  <c r="L6747" i="2"/>
  <c r="E6747" i="2"/>
  <c r="D6747" i="2"/>
  <c r="B6747" i="2"/>
  <c r="A6747" i="2"/>
  <c r="O6746" i="2"/>
  <c r="M6746" i="2"/>
  <c r="L6746" i="2"/>
  <c r="E6746" i="2"/>
  <c r="D6746" i="2"/>
  <c r="B6746" i="2"/>
  <c r="A6746" i="2"/>
  <c r="O6745" i="2"/>
  <c r="O6744" i="2"/>
  <c r="O6743" i="2"/>
  <c r="O6742" i="2"/>
  <c r="M6742" i="2"/>
  <c r="L6742" i="2"/>
  <c r="E6742" i="2"/>
  <c r="D6742" i="2"/>
  <c r="B6742" i="2"/>
  <c r="A6742" i="2"/>
  <c r="O6741" i="2"/>
  <c r="M6741" i="2"/>
  <c r="L6741" i="2"/>
  <c r="E6741" i="2"/>
  <c r="D6741" i="2"/>
  <c r="B6741" i="2"/>
  <c r="A6741" i="2"/>
  <c r="O6740" i="2"/>
  <c r="O6739" i="2"/>
  <c r="O6738" i="2"/>
  <c r="O6737" i="2"/>
  <c r="O6736" i="2"/>
  <c r="O6735" i="2"/>
  <c r="M6735" i="2"/>
  <c r="L6735" i="2"/>
  <c r="E6735" i="2"/>
  <c r="D6735" i="2"/>
  <c r="B6735" i="2"/>
  <c r="A6735" i="2"/>
  <c r="O6734" i="2"/>
  <c r="O6733" i="2"/>
  <c r="O6732" i="2"/>
  <c r="M6732" i="2"/>
  <c r="L6732" i="2"/>
  <c r="E6732" i="2"/>
  <c r="D6732" i="2"/>
  <c r="B6732" i="2"/>
  <c r="A6732" i="2"/>
  <c r="O6731" i="2"/>
  <c r="O6730" i="2"/>
  <c r="O6729" i="2"/>
  <c r="O6728" i="2"/>
  <c r="O6727" i="2"/>
  <c r="O6726" i="2"/>
  <c r="M6726" i="2"/>
  <c r="L6726" i="2"/>
  <c r="E6726" i="2"/>
  <c r="D6726" i="2"/>
  <c r="B6726" i="2"/>
  <c r="A6726" i="2"/>
  <c r="O6725" i="2"/>
  <c r="O6724" i="2"/>
  <c r="O6723" i="2"/>
  <c r="O6722" i="2"/>
  <c r="O6721" i="2"/>
  <c r="M6721" i="2"/>
  <c r="L6721" i="2"/>
  <c r="E6721" i="2"/>
  <c r="D6721" i="2"/>
  <c r="B6721" i="2"/>
  <c r="A6721" i="2"/>
  <c r="O6720" i="2"/>
  <c r="O6719" i="2"/>
  <c r="O6718" i="2"/>
  <c r="O6717" i="2"/>
  <c r="M6717" i="2"/>
  <c r="L6717" i="2"/>
  <c r="E6717" i="2"/>
  <c r="D6717" i="2"/>
  <c r="B6717" i="2"/>
  <c r="A6717" i="2"/>
  <c r="O6716" i="2"/>
  <c r="O6715" i="2"/>
  <c r="O6714" i="2"/>
  <c r="O6713" i="2"/>
  <c r="O6712" i="2"/>
  <c r="M6712" i="2"/>
  <c r="L6712" i="2"/>
  <c r="E6712" i="2"/>
  <c r="D6712" i="2"/>
  <c r="B6712" i="2"/>
  <c r="A6712" i="2"/>
  <c r="O6711" i="2"/>
  <c r="O6710" i="2"/>
  <c r="O6709" i="2"/>
  <c r="O6708" i="2"/>
  <c r="M6708" i="2"/>
  <c r="L6708" i="2"/>
  <c r="E6708" i="2"/>
  <c r="D6708" i="2"/>
  <c r="B6708" i="2"/>
  <c r="A6708" i="2"/>
  <c r="O6707" i="2"/>
  <c r="O6706" i="2"/>
  <c r="O6705" i="2"/>
  <c r="M6705" i="2"/>
  <c r="L6705" i="2"/>
  <c r="E6705" i="2"/>
  <c r="D6705" i="2"/>
  <c r="B6705" i="2"/>
  <c r="A6705" i="2"/>
  <c r="O6704" i="2"/>
  <c r="O6703" i="2"/>
  <c r="O6702" i="2"/>
  <c r="O6701" i="2"/>
  <c r="O6700" i="2"/>
  <c r="M6700" i="2"/>
  <c r="L6700" i="2"/>
  <c r="E6700" i="2"/>
  <c r="D6700" i="2"/>
  <c r="B6700" i="2"/>
  <c r="A6700" i="2"/>
  <c r="O6699" i="2"/>
  <c r="O6698" i="2"/>
  <c r="O6697" i="2"/>
  <c r="M6697" i="2"/>
  <c r="L6697" i="2"/>
  <c r="E6697" i="2"/>
  <c r="D6697" i="2"/>
  <c r="B6697" i="2"/>
  <c r="A6697" i="2"/>
  <c r="O6696" i="2"/>
  <c r="M6696" i="2"/>
  <c r="L6696" i="2"/>
  <c r="E6696" i="2"/>
  <c r="D6696" i="2"/>
  <c r="B6696" i="2"/>
  <c r="A6696" i="2"/>
  <c r="O6695" i="2"/>
  <c r="O6694" i="2"/>
  <c r="O6693" i="2"/>
  <c r="M6693" i="2"/>
  <c r="L6693" i="2"/>
  <c r="E6693" i="2"/>
  <c r="D6693" i="2"/>
  <c r="B6693" i="2"/>
  <c r="A6693" i="2"/>
  <c r="O6692" i="2"/>
  <c r="O6691" i="2"/>
  <c r="M6691" i="2"/>
  <c r="L6691" i="2"/>
  <c r="E6691" i="2"/>
  <c r="D6691" i="2"/>
  <c r="B6691" i="2"/>
  <c r="A6691" i="2"/>
  <c r="O6690" i="2"/>
  <c r="M6690" i="2"/>
  <c r="L6690" i="2"/>
  <c r="E6690" i="2"/>
  <c r="D6690" i="2"/>
  <c r="B6690" i="2"/>
  <c r="A6690" i="2"/>
  <c r="O6689" i="2"/>
  <c r="O6688" i="2"/>
  <c r="M6688" i="2"/>
  <c r="L6688" i="2"/>
  <c r="E6688" i="2"/>
  <c r="D6688" i="2"/>
  <c r="B6688" i="2"/>
  <c r="A6688" i="2"/>
  <c r="O6687" i="2"/>
  <c r="O6686" i="2"/>
  <c r="M6686" i="2"/>
  <c r="L6686" i="2"/>
  <c r="E6686" i="2"/>
  <c r="D6686" i="2"/>
  <c r="B6686" i="2"/>
  <c r="A6686" i="2"/>
  <c r="O6685" i="2"/>
  <c r="M6685" i="2"/>
  <c r="L6685" i="2"/>
  <c r="E6685" i="2"/>
  <c r="D6685" i="2"/>
  <c r="B6685" i="2"/>
  <c r="A6685" i="2"/>
  <c r="O6684" i="2"/>
  <c r="O6683" i="2"/>
  <c r="M6683" i="2"/>
  <c r="L6683" i="2"/>
  <c r="E6683" i="2"/>
  <c r="D6683" i="2"/>
  <c r="B6683" i="2"/>
  <c r="A6683" i="2"/>
  <c r="O6682" i="2"/>
  <c r="O6681" i="2"/>
  <c r="O6680" i="2"/>
  <c r="O6679" i="2"/>
  <c r="O6678" i="2"/>
  <c r="M6678" i="2"/>
  <c r="L6678" i="2"/>
  <c r="E6678" i="2"/>
  <c r="D6678" i="2"/>
  <c r="B6678" i="2"/>
  <c r="A6678" i="2"/>
  <c r="O6677" i="2"/>
  <c r="O6676" i="2"/>
  <c r="O6675" i="2"/>
  <c r="O6674" i="2"/>
  <c r="M6674" i="2"/>
  <c r="L6674" i="2"/>
  <c r="E6674" i="2"/>
  <c r="D6674" i="2"/>
  <c r="B6674" i="2"/>
  <c r="A6674" i="2"/>
  <c r="O6673" i="2"/>
  <c r="O6672" i="2"/>
  <c r="O6671" i="2"/>
  <c r="M6671" i="2"/>
  <c r="L6671" i="2"/>
  <c r="E6671" i="2"/>
  <c r="D6671" i="2"/>
  <c r="B6671" i="2"/>
  <c r="A6671" i="2"/>
  <c r="O6670" i="2"/>
  <c r="O6669" i="2"/>
  <c r="O6668" i="2"/>
  <c r="M6668" i="2"/>
  <c r="L6668" i="2"/>
  <c r="E6668" i="2"/>
  <c r="D6668" i="2"/>
  <c r="B6668" i="2"/>
  <c r="A6668" i="2"/>
  <c r="O6667" i="2"/>
  <c r="O6666" i="2"/>
  <c r="M6666" i="2"/>
  <c r="L6666" i="2"/>
  <c r="E6666" i="2"/>
  <c r="D6666" i="2"/>
  <c r="B6666" i="2"/>
  <c r="A6666" i="2"/>
  <c r="O6665" i="2"/>
  <c r="O6664" i="2"/>
  <c r="M6664" i="2"/>
  <c r="L6664" i="2"/>
  <c r="E6664" i="2"/>
  <c r="D6664" i="2"/>
  <c r="B6664" i="2"/>
  <c r="A6664" i="2"/>
  <c r="O6663" i="2"/>
  <c r="O6662" i="2"/>
  <c r="O6661" i="2"/>
  <c r="M6661" i="2"/>
  <c r="L6661" i="2"/>
  <c r="E6661" i="2"/>
  <c r="D6661" i="2"/>
  <c r="B6661" i="2"/>
  <c r="A6661" i="2"/>
  <c r="O6660" i="2"/>
  <c r="O6659" i="2"/>
  <c r="O6658" i="2"/>
  <c r="M6658" i="2"/>
  <c r="L6658" i="2"/>
  <c r="E6658" i="2"/>
  <c r="D6658" i="2"/>
  <c r="B6658" i="2"/>
  <c r="A6658" i="2"/>
  <c r="O6657" i="2"/>
  <c r="O6656" i="2"/>
  <c r="O6655" i="2"/>
  <c r="M6655" i="2"/>
  <c r="L6655" i="2"/>
  <c r="E6655" i="2"/>
  <c r="D6655" i="2"/>
  <c r="B6655" i="2"/>
  <c r="A6655" i="2"/>
  <c r="O6654" i="2"/>
  <c r="O6653" i="2"/>
  <c r="O6652" i="2"/>
  <c r="M6652" i="2"/>
  <c r="L6652" i="2"/>
  <c r="E6652" i="2"/>
  <c r="D6652" i="2"/>
  <c r="B6652" i="2"/>
  <c r="A6652" i="2"/>
  <c r="O6651" i="2"/>
  <c r="O6650" i="2"/>
  <c r="O6649" i="2"/>
  <c r="M6649" i="2"/>
  <c r="L6649" i="2"/>
  <c r="E6649" i="2"/>
  <c r="D6649" i="2"/>
  <c r="B6649" i="2"/>
  <c r="A6649" i="2"/>
  <c r="O6648" i="2"/>
  <c r="O6647" i="2"/>
  <c r="O6646" i="2"/>
  <c r="M6646" i="2"/>
  <c r="L6646" i="2"/>
  <c r="E6646" i="2"/>
  <c r="D6646" i="2"/>
  <c r="B6646" i="2"/>
  <c r="A6646" i="2"/>
  <c r="O6645" i="2"/>
  <c r="O6644" i="2"/>
  <c r="M6644" i="2"/>
  <c r="L6644" i="2"/>
  <c r="E6644" i="2"/>
  <c r="D6644" i="2"/>
  <c r="B6644" i="2"/>
  <c r="A6644" i="2"/>
  <c r="O6643" i="2"/>
  <c r="O6642" i="2"/>
  <c r="O6641" i="2"/>
  <c r="M6641" i="2"/>
  <c r="L6641" i="2"/>
  <c r="E6641" i="2"/>
  <c r="D6641" i="2"/>
  <c r="B6641" i="2"/>
  <c r="A6641" i="2"/>
  <c r="O6640" i="2"/>
  <c r="M6640" i="2"/>
  <c r="L6640" i="2"/>
  <c r="E6640" i="2"/>
  <c r="D6640" i="2"/>
  <c r="B6640" i="2"/>
  <c r="A6640" i="2"/>
  <c r="O6639" i="2"/>
  <c r="O6638" i="2"/>
  <c r="O6637" i="2"/>
  <c r="M6637" i="2"/>
  <c r="L6637" i="2"/>
  <c r="E6637" i="2"/>
  <c r="D6637" i="2"/>
  <c r="B6637" i="2"/>
  <c r="A6637" i="2"/>
  <c r="O6636" i="2"/>
  <c r="O6635" i="2"/>
  <c r="M6635" i="2"/>
  <c r="L6635" i="2"/>
  <c r="E6635" i="2"/>
  <c r="D6635" i="2"/>
  <c r="B6635" i="2"/>
  <c r="A6635" i="2"/>
  <c r="O6634" i="2"/>
  <c r="O6633" i="2"/>
  <c r="O6632" i="2"/>
  <c r="O6631" i="2"/>
  <c r="O6630" i="2"/>
  <c r="M6630" i="2"/>
  <c r="L6630" i="2"/>
  <c r="E6630" i="2"/>
  <c r="D6630" i="2"/>
  <c r="B6630" i="2"/>
  <c r="A6630" i="2"/>
  <c r="O6629" i="2"/>
  <c r="O6628" i="2"/>
  <c r="O6627" i="2"/>
  <c r="O6626" i="2"/>
  <c r="M6626" i="2"/>
  <c r="L6626" i="2"/>
  <c r="E6626" i="2"/>
  <c r="D6626" i="2"/>
  <c r="B6626" i="2"/>
  <c r="A6626" i="2"/>
  <c r="O6625" i="2"/>
  <c r="O6624" i="2"/>
  <c r="O6623" i="2"/>
  <c r="M6623" i="2"/>
  <c r="L6623" i="2"/>
  <c r="E6623" i="2"/>
  <c r="D6623" i="2"/>
  <c r="B6623" i="2"/>
  <c r="A6623" i="2"/>
  <c r="O6622" i="2"/>
  <c r="O6621" i="2"/>
  <c r="O6620" i="2"/>
  <c r="M6620" i="2"/>
  <c r="L6620" i="2"/>
  <c r="E6620" i="2"/>
  <c r="D6620" i="2"/>
  <c r="B6620" i="2"/>
  <c r="A6620" i="2"/>
  <c r="O6619" i="2"/>
  <c r="O6618" i="2"/>
  <c r="O6617" i="2"/>
  <c r="M6617" i="2"/>
  <c r="L6617" i="2"/>
  <c r="E6617" i="2"/>
  <c r="D6617" i="2"/>
  <c r="B6617" i="2"/>
  <c r="A6617" i="2"/>
  <c r="O6616" i="2"/>
  <c r="O6615" i="2"/>
  <c r="M6615" i="2"/>
  <c r="L6615" i="2"/>
  <c r="E6615" i="2"/>
  <c r="D6615" i="2"/>
  <c r="B6615" i="2"/>
  <c r="A6615" i="2"/>
  <c r="O6614" i="2"/>
  <c r="O6613" i="2"/>
  <c r="M6613" i="2"/>
  <c r="L6613" i="2"/>
  <c r="E6613" i="2"/>
  <c r="D6613" i="2"/>
  <c r="B6613" i="2"/>
  <c r="A6613" i="2"/>
  <c r="O6612" i="2"/>
  <c r="M6612" i="2"/>
  <c r="L6612" i="2"/>
  <c r="E6612" i="2"/>
  <c r="D6612" i="2"/>
  <c r="B6612" i="2"/>
  <c r="A6612" i="2"/>
  <c r="O6611" i="2"/>
  <c r="M6611" i="2"/>
  <c r="L6611" i="2"/>
  <c r="E6611" i="2"/>
  <c r="D6611" i="2"/>
  <c r="B6611" i="2"/>
  <c r="A6611" i="2"/>
  <c r="O6610" i="2"/>
  <c r="O6609" i="2"/>
  <c r="M6609" i="2"/>
  <c r="L6609" i="2"/>
  <c r="E6609" i="2"/>
  <c r="D6609" i="2"/>
  <c r="B6609" i="2"/>
  <c r="A6609" i="2"/>
  <c r="O6608" i="2"/>
  <c r="M6608" i="2"/>
  <c r="L6608" i="2"/>
  <c r="E6608" i="2"/>
  <c r="D6608" i="2"/>
  <c r="B6608" i="2"/>
  <c r="A6608" i="2"/>
  <c r="O6607" i="2"/>
  <c r="O6606" i="2"/>
  <c r="M6606" i="2"/>
  <c r="L6606" i="2"/>
  <c r="E6606" i="2"/>
  <c r="D6606" i="2"/>
  <c r="B6606" i="2"/>
  <c r="A6606" i="2"/>
  <c r="O6605" i="2"/>
  <c r="O6604" i="2"/>
  <c r="M6604" i="2"/>
  <c r="L6604" i="2"/>
  <c r="E6604" i="2"/>
  <c r="D6604" i="2"/>
  <c r="B6604" i="2"/>
  <c r="A6604" i="2"/>
  <c r="O6603" i="2"/>
  <c r="O6602" i="2"/>
  <c r="M6602" i="2"/>
  <c r="L6602" i="2"/>
  <c r="E6602" i="2"/>
  <c r="D6602" i="2"/>
  <c r="B6602" i="2"/>
  <c r="A6602" i="2"/>
  <c r="O6601" i="2"/>
  <c r="M6601" i="2"/>
  <c r="L6601" i="2"/>
  <c r="E6601" i="2"/>
  <c r="D6601" i="2"/>
  <c r="B6601" i="2"/>
  <c r="A6601" i="2"/>
  <c r="O6600" i="2"/>
  <c r="O6599" i="2"/>
  <c r="M6599" i="2"/>
  <c r="L6599" i="2"/>
  <c r="E6599" i="2"/>
  <c r="D6599" i="2"/>
  <c r="B6599" i="2"/>
  <c r="A6599" i="2"/>
  <c r="O6598" i="2"/>
  <c r="O6597" i="2"/>
  <c r="M6597" i="2"/>
  <c r="L6597" i="2"/>
  <c r="E6597" i="2"/>
  <c r="D6597" i="2"/>
  <c r="B6597" i="2"/>
  <c r="A6597" i="2"/>
  <c r="O6596" i="2"/>
  <c r="O6595" i="2"/>
  <c r="O6594" i="2"/>
  <c r="M6594" i="2"/>
  <c r="L6594" i="2"/>
  <c r="E6594" i="2"/>
  <c r="D6594" i="2"/>
  <c r="B6594" i="2"/>
  <c r="A6594" i="2"/>
  <c r="O6593" i="2"/>
  <c r="O6592" i="2"/>
  <c r="O6591" i="2"/>
  <c r="M6591" i="2"/>
  <c r="L6591" i="2"/>
  <c r="E6591" i="2"/>
  <c r="D6591" i="2"/>
  <c r="B6591" i="2"/>
  <c r="A6591" i="2"/>
  <c r="O6590" i="2"/>
  <c r="O6589" i="2"/>
  <c r="O6588" i="2"/>
  <c r="O6587" i="2"/>
  <c r="O6586" i="2"/>
  <c r="O6585" i="2"/>
  <c r="M6585" i="2"/>
  <c r="L6585" i="2"/>
  <c r="E6585" i="2"/>
  <c r="D6585" i="2"/>
  <c r="B6585" i="2"/>
  <c r="A6585" i="2"/>
  <c r="O6584" i="2"/>
  <c r="O6583" i="2"/>
  <c r="M6583" i="2"/>
  <c r="L6583" i="2"/>
  <c r="E6583" i="2"/>
  <c r="D6583" i="2"/>
  <c r="B6583" i="2"/>
  <c r="A6583" i="2"/>
  <c r="O6582" i="2"/>
  <c r="M6582" i="2"/>
  <c r="L6582" i="2"/>
  <c r="E6582" i="2"/>
  <c r="D6582" i="2"/>
  <c r="B6582" i="2"/>
  <c r="A6582" i="2"/>
  <c r="O6581" i="2"/>
  <c r="O6580" i="2"/>
  <c r="M6580" i="2"/>
  <c r="L6580" i="2"/>
  <c r="E6580" i="2"/>
  <c r="D6580" i="2"/>
  <c r="B6580" i="2"/>
  <c r="A6580" i="2"/>
  <c r="O6579" i="2"/>
  <c r="O6578" i="2"/>
  <c r="M6578" i="2"/>
  <c r="L6578" i="2"/>
  <c r="E6578" i="2"/>
  <c r="D6578" i="2"/>
  <c r="B6578" i="2"/>
  <c r="A6578" i="2"/>
  <c r="O6577" i="2"/>
  <c r="O6576" i="2"/>
  <c r="M6576" i="2"/>
  <c r="L6576" i="2"/>
  <c r="E6576" i="2"/>
  <c r="D6576" i="2"/>
  <c r="B6576" i="2"/>
  <c r="A6576" i="2"/>
  <c r="O6575" i="2"/>
  <c r="O6574" i="2"/>
  <c r="M6574" i="2"/>
  <c r="L6574" i="2"/>
  <c r="E6574" i="2"/>
  <c r="D6574" i="2"/>
  <c r="B6574" i="2"/>
  <c r="A6574" i="2"/>
  <c r="O6573" i="2"/>
  <c r="O6572" i="2"/>
  <c r="M6572" i="2"/>
  <c r="L6572" i="2"/>
  <c r="E6572" i="2"/>
  <c r="D6572" i="2"/>
  <c r="B6572" i="2"/>
  <c r="A6572" i="2"/>
  <c r="O6571" i="2"/>
  <c r="M6571" i="2"/>
  <c r="L6571" i="2"/>
  <c r="E6571" i="2"/>
  <c r="D6571" i="2"/>
  <c r="B6571" i="2"/>
  <c r="A6571" i="2"/>
  <c r="O6570" i="2"/>
  <c r="M6570" i="2"/>
  <c r="L6570" i="2"/>
  <c r="E6570" i="2"/>
  <c r="D6570" i="2"/>
  <c r="B6570" i="2"/>
  <c r="A6570" i="2"/>
  <c r="O6569" i="2"/>
  <c r="M6569" i="2"/>
  <c r="L6569" i="2"/>
  <c r="E6569" i="2"/>
  <c r="D6569" i="2"/>
  <c r="B6569" i="2"/>
  <c r="A6569" i="2"/>
  <c r="O6568" i="2"/>
  <c r="O6567" i="2"/>
  <c r="M6567" i="2"/>
  <c r="L6567" i="2"/>
  <c r="E6567" i="2"/>
  <c r="D6567" i="2"/>
  <c r="B6567" i="2"/>
  <c r="A6567" i="2"/>
  <c r="O6566" i="2"/>
  <c r="O6565" i="2"/>
  <c r="O6564" i="2"/>
  <c r="O6563" i="2"/>
  <c r="M6563" i="2"/>
  <c r="L6563" i="2"/>
  <c r="E6563" i="2"/>
  <c r="D6563" i="2"/>
  <c r="B6563" i="2"/>
  <c r="A6563" i="2"/>
  <c r="O6562" i="2"/>
  <c r="M6562" i="2"/>
  <c r="L6562" i="2"/>
  <c r="E6562" i="2"/>
  <c r="D6562" i="2"/>
  <c r="B6562" i="2"/>
  <c r="A6562" i="2"/>
  <c r="O6561" i="2"/>
  <c r="O6560" i="2"/>
  <c r="M6560" i="2"/>
  <c r="L6560" i="2"/>
  <c r="E6560" i="2"/>
  <c r="D6560" i="2"/>
  <c r="B6560" i="2"/>
  <c r="A6560" i="2"/>
  <c r="O6559" i="2"/>
  <c r="O6558" i="2"/>
  <c r="M6558" i="2"/>
  <c r="L6558" i="2"/>
  <c r="E6558" i="2"/>
  <c r="D6558" i="2"/>
  <c r="B6558" i="2"/>
  <c r="A6558" i="2"/>
  <c r="O6557" i="2"/>
  <c r="O6556" i="2"/>
  <c r="M6556" i="2"/>
  <c r="L6556" i="2"/>
  <c r="E6556" i="2"/>
  <c r="D6556" i="2"/>
  <c r="B6556" i="2"/>
  <c r="A6556" i="2"/>
  <c r="O6555" i="2"/>
  <c r="O6554" i="2"/>
  <c r="M6554" i="2"/>
  <c r="L6554" i="2"/>
  <c r="E6554" i="2"/>
  <c r="D6554" i="2"/>
  <c r="B6554" i="2"/>
  <c r="A6554" i="2"/>
  <c r="O6553" i="2"/>
  <c r="M6553" i="2"/>
  <c r="L6553" i="2"/>
  <c r="E6553" i="2"/>
  <c r="D6553" i="2"/>
  <c r="B6553" i="2"/>
  <c r="A6553" i="2"/>
  <c r="O6552" i="2"/>
  <c r="M6552" i="2"/>
  <c r="L6552" i="2"/>
  <c r="E6552" i="2"/>
  <c r="D6552" i="2"/>
  <c r="B6552" i="2"/>
  <c r="A6552" i="2"/>
  <c r="O6551" i="2"/>
  <c r="O6550" i="2"/>
  <c r="M6550" i="2"/>
  <c r="L6550" i="2"/>
  <c r="E6550" i="2"/>
  <c r="D6550" i="2"/>
  <c r="B6550" i="2"/>
  <c r="A6550" i="2"/>
  <c r="O6549" i="2"/>
  <c r="O6548" i="2"/>
  <c r="M6548" i="2"/>
  <c r="L6548" i="2"/>
  <c r="E6548" i="2"/>
  <c r="D6548" i="2"/>
  <c r="B6548" i="2"/>
  <c r="A6548" i="2"/>
  <c r="O6547" i="2"/>
  <c r="O6546" i="2"/>
  <c r="M6546" i="2"/>
  <c r="L6546" i="2"/>
  <c r="E6546" i="2"/>
  <c r="D6546" i="2"/>
  <c r="B6546" i="2"/>
  <c r="A6546" i="2"/>
  <c r="O6545" i="2"/>
  <c r="O6544" i="2"/>
  <c r="M6544" i="2"/>
  <c r="L6544" i="2"/>
  <c r="E6544" i="2"/>
  <c r="D6544" i="2"/>
  <c r="B6544" i="2"/>
  <c r="A6544" i="2"/>
  <c r="O6543" i="2"/>
  <c r="M6543" i="2"/>
  <c r="L6543" i="2"/>
  <c r="E6543" i="2"/>
  <c r="D6543" i="2"/>
  <c r="B6543" i="2"/>
  <c r="A6543" i="2"/>
  <c r="O6542" i="2"/>
  <c r="M6542" i="2"/>
  <c r="L6542" i="2"/>
  <c r="E6542" i="2"/>
  <c r="D6542" i="2"/>
  <c r="B6542" i="2"/>
  <c r="A6542" i="2"/>
  <c r="O6541" i="2"/>
  <c r="M6541" i="2"/>
  <c r="L6541" i="2"/>
  <c r="E6541" i="2"/>
  <c r="D6541" i="2"/>
  <c r="B6541" i="2"/>
  <c r="A6541" i="2"/>
  <c r="O6540" i="2"/>
  <c r="O6539" i="2"/>
  <c r="M6539" i="2"/>
  <c r="L6539" i="2"/>
  <c r="E6539" i="2"/>
  <c r="D6539" i="2"/>
  <c r="B6539" i="2"/>
  <c r="A6539" i="2"/>
  <c r="O6538" i="2"/>
  <c r="O6537" i="2"/>
  <c r="M6537" i="2"/>
  <c r="L6537" i="2"/>
  <c r="E6537" i="2"/>
  <c r="D6537" i="2"/>
  <c r="B6537" i="2"/>
  <c r="A6537" i="2"/>
  <c r="O6536" i="2"/>
  <c r="O6535" i="2"/>
  <c r="M6535" i="2"/>
  <c r="L6535" i="2"/>
  <c r="E6535" i="2"/>
  <c r="D6535" i="2"/>
  <c r="B6535" i="2"/>
  <c r="A6535" i="2"/>
  <c r="O6534" i="2"/>
  <c r="M6534" i="2"/>
  <c r="L6534" i="2"/>
  <c r="E6534" i="2"/>
  <c r="D6534" i="2"/>
  <c r="B6534" i="2"/>
  <c r="A6534" i="2"/>
  <c r="O6533" i="2"/>
  <c r="O6532" i="2"/>
  <c r="M6532" i="2"/>
  <c r="L6532" i="2"/>
  <c r="E6532" i="2"/>
  <c r="D6532" i="2"/>
  <c r="B6532" i="2"/>
  <c r="A6532" i="2"/>
  <c r="O6531" i="2"/>
  <c r="M6531" i="2"/>
  <c r="L6531" i="2"/>
  <c r="E6531" i="2"/>
  <c r="D6531" i="2"/>
  <c r="B6531" i="2"/>
  <c r="A6531" i="2"/>
  <c r="O6530" i="2"/>
  <c r="O6529" i="2"/>
  <c r="O6528" i="2"/>
  <c r="O6527" i="2"/>
  <c r="M6527" i="2"/>
  <c r="L6527" i="2"/>
  <c r="E6527" i="2"/>
  <c r="D6527" i="2"/>
  <c r="B6527" i="2"/>
  <c r="A6527" i="2"/>
  <c r="O6526" i="2"/>
  <c r="O6525" i="2"/>
  <c r="O6524" i="2"/>
  <c r="O6523" i="2"/>
  <c r="M6523" i="2"/>
  <c r="L6523" i="2"/>
  <c r="E6523" i="2"/>
  <c r="D6523" i="2"/>
  <c r="B6523" i="2"/>
  <c r="A6523" i="2"/>
  <c r="O6522" i="2"/>
  <c r="O6521" i="2"/>
  <c r="O6520" i="2"/>
  <c r="O6519" i="2"/>
  <c r="O6518" i="2"/>
  <c r="M6518" i="2"/>
  <c r="L6518" i="2"/>
  <c r="E6518" i="2"/>
  <c r="D6518" i="2"/>
  <c r="B6518" i="2"/>
  <c r="A6518" i="2"/>
  <c r="O6517" i="2"/>
  <c r="O6516" i="2"/>
  <c r="O6515" i="2"/>
  <c r="O6514" i="2"/>
  <c r="M6514" i="2"/>
  <c r="L6514" i="2"/>
  <c r="E6514" i="2"/>
  <c r="D6514" i="2"/>
  <c r="B6514" i="2"/>
  <c r="A6514" i="2"/>
  <c r="O6513" i="2"/>
  <c r="O6512" i="2"/>
  <c r="O6511" i="2"/>
  <c r="O6510" i="2"/>
  <c r="M6510" i="2"/>
  <c r="L6510" i="2"/>
  <c r="E6510" i="2"/>
  <c r="D6510" i="2"/>
  <c r="B6510" i="2"/>
  <c r="A6510" i="2"/>
  <c r="O6509" i="2"/>
  <c r="O6508" i="2"/>
  <c r="M6508" i="2"/>
  <c r="L6508" i="2"/>
  <c r="E6508" i="2"/>
  <c r="D6508" i="2"/>
  <c r="B6508" i="2"/>
  <c r="A6508" i="2"/>
  <c r="O6507" i="2"/>
  <c r="O6506" i="2"/>
  <c r="M6506" i="2"/>
  <c r="L6506" i="2"/>
  <c r="E6506" i="2"/>
  <c r="D6506" i="2"/>
  <c r="B6506" i="2"/>
  <c r="A6506" i="2"/>
  <c r="O6505" i="2"/>
  <c r="M6505" i="2"/>
  <c r="L6505" i="2"/>
  <c r="E6505" i="2"/>
  <c r="D6505" i="2"/>
  <c r="B6505" i="2"/>
  <c r="A6505" i="2"/>
  <c r="O6504" i="2"/>
  <c r="M6504" i="2"/>
  <c r="L6504" i="2"/>
  <c r="E6504" i="2"/>
  <c r="D6504" i="2"/>
  <c r="B6504" i="2"/>
  <c r="A6504" i="2"/>
  <c r="O6503" i="2"/>
  <c r="O6502" i="2"/>
  <c r="M6502" i="2"/>
  <c r="L6502" i="2"/>
  <c r="E6502" i="2"/>
  <c r="D6502" i="2"/>
  <c r="B6502" i="2"/>
  <c r="A6502" i="2"/>
  <c r="O6501" i="2"/>
  <c r="M6501" i="2"/>
  <c r="L6501" i="2"/>
  <c r="E6501" i="2"/>
  <c r="D6501" i="2"/>
  <c r="B6501" i="2"/>
  <c r="A6501" i="2"/>
  <c r="O6500" i="2"/>
  <c r="M6500" i="2"/>
  <c r="L6500" i="2"/>
  <c r="E6500" i="2"/>
  <c r="D6500" i="2"/>
  <c r="B6500" i="2"/>
  <c r="A6500" i="2"/>
  <c r="O6499" i="2"/>
  <c r="M6499" i="2"/>
  <c r="L6499" i="2"/>
  <c r="E6499" i="2"/>
  <c r="D6499" i="2"/>
  <c r="B6499" i="2"/>
  <c r="A6499" i="2"/>
  <c r="O6498" i="2"/>
  <c r="M6498" i="2"/>
  <c r="L6498" i="2"/>
  <c r="E6498" i="2"/>
  <c r="D6498" i="2"/>
  <c r="B6498" i="2"/>
  <c r="A6498" i="2"/>
  <c r="O6497" i="2"/>
  <c r="M6497" i="2"/>
  <c r="L6497" i="2"/>
  <c r="E6497" i="2"/>
  <c r="D6497" i="2"/>
  <c r="B6497" i="2"/>
  <c r="A6497" i="2"/>
  <c r="O6496" i="2"/>
  <c r="O6495" i="2"/>
  <c r="M6495" i="2"/>
  <c r="L6495" i="2"/>
  <c r="E6495" i="2"/>
  <c r="D6495" i="2"/>
  <c r="B6495" i="2"/>
  <c r="A6495" i="2"/>
  <c r="O6494" i="2"/>
  <c r="O6493" i="2"/>
  <c r="M6493" i="2"/>
  <c r="L6493" i="2"/>
  <c r="E6493" i="2"/>
  <c r="D6493" i="2"/>
  <c r="B6493" i="2"/>
  <c r="A6493" i="2"/>
  <c r="O6492" i="2"/>
  <c r="M6492" i="2"/>
  <c r="L6492" i="2"/>
  <c r="E6492" i="2"/>
  <c r="D6492" i="2"/>
  <c r="B6492" i="2"/>
  <c r="A6492" i="2"/>
  <c r="O6491" i="2"/>
  <c r="M6491" i="2"/>
  <c r="L6491" i="2"/>
  <c r="E6491" i="2"/>
  <c r="D6491" i="2"/>
  <c r="B6491" i="2"/>
  <c r="A6491" i="2"/>
  <c r="O6490" i="2"/>
  <c r="O6489" i="2"/>
  <c r="M6489" i="2"/>
  <c r="L6489" i="2"/>
  <c r="E6489" i="2"/>
  <c r="D6489" i="2"/>
  <c r="B6489" i="2"/>
  <c r="A6489" i="2"/>
  <c r="O6488" i="2"/>
  <c r="O6487" i="2"/>
  <c r="M6487" i="2"/>
  <c r="L6487" i="2"/>
  <c r="E6487" i="2"/>
  <c r="D6487" i="2"/>
  <c r="B6487" i="2"/>
  <c r="A6487" i="2"/>
  <c r="O6486" i="2"/>
  <c r="M6486" i="2"/>
  <c r="L6486" i="2"/>
  <c r="E6486" i="2"/>
  <c r="D6486" i="2"/>
  <c r="B6486" i="2"/>
  <c r="A6486" i="2"/>
  <c r="O6485" i="2"/>
  <c r="O6484" i="2"/>
  <c r="M6484" i="2"/>
  <c r="L6484" i="2"/>
  <c r="E6484" i="2"/>
  <c r="D6484" i="2"/>
  <c r="B6484" i="2"/>
  <c r="A6484" i="2"/>
  <c r="O6483" i="2"/>
  <c r="O6482" i="2"/>
  <c r="M6482" i="2"/>
  <c r="L6482" i="2"/>
  <c r="E6482" i="2"/>
  <c r="D6482" i="2"/>
  <c r="B6482" i="2"/>
  <c r="A6482" i="2"/>
  <c r="O6481" i="2"/>
  <c r="M6481" i="2"/>
  <c r="L6481" i="2"/>
  <c r="E6481" i="2"/>
  <c r="D6481" i="2"/>
  <c r="B6481" i="2"/>
  <c r="A6481" i="2"/>
  <c r="O6480" i="2"/>
  <c r="M6480" i="2"/>
  <c r="L6480" i="2"/>
  <c r="E6480" i="2"/>
  <c r="D6480" i="2"/>
  <c r="B6480" i="2"/>
  <c r="A6480" i="2"/>
  <c r="O6479" i="2"/>
  <c r="O6478" i="2"/>
  <c r="O6477" i="2"/>
  <c r="M6477" i="2"/>
  <c r="L6477" i="2"/>
  <c r="E6477" i="2"/>
  <c r="D6477" i="2"/>
  <c r="B6477" i="2"/>
  <c r="A6477" i="2"/>
  <c r="O6476" i="2"/>
  <c r="M6476" i="2"/>
  <c r="L6476" i="2"/>
  <c r="E6476" i="2"/>
  <c r="D6476" i="2"/>
  <c r="B6476" i="2"/>
  <c r="A6476" i="2"/>
  <c r="O6475" i="2"/>
  <c r="O6474" i="2"/>
  <c r="M6474" i="2"/>
  <c r="L6474" i="2"/>
  <c r="E6474" i="2"/>
  <c r="D6474" i="2"/>
  <c r="B6474" i="2"/>
  <c r="A6474" i="2"/>
  <c r="O6473" i="2"/>
  <c r="M6473" i="2"/>
  <c r="L6473" i="2"/>
  <c r="E6473" i="2"/>
  <c r="D6473" i="2"/>
  <c r="B6473" i="2"/>
  <c r="A6473" i="2"/>
  <c r="O6472" i="2"/>
  <c r="M6472" i="2"/>
  <c r="L6472" i="2"/>
  <c r="E6472" i="2"/>
  <c r="D6472" i="2"/>
  <c r="B6472" i="2"/>
  <c r="A6472" i="2"/>
  <c r="O6471" i="2"/>
  <c r="M6471" i="2"/>
  <c r="L6471" i="2"/>
  <c r="E6471" i="2"/>
  <c r="D6471" i="2"/>
  <c r="B6471" i="2"/>
  <c r="A6471" i="2"/>
  <c r="O6470" i="2"/>
  <c r="O6469" i="2"/>
  <c r="M6469" i="2"/>
  <c r="L6469" i="2"/>
  <c r="E6469" i="2"/>
  <c r="D6469" i="2"/>
  <c r="B6469" i="2"/>
  <c r="A6469" i="2"/>
  <c r="O6468" i="2"/>
  <c r="M6468" i="2"/>
  <c r="L6468" i="2"/>
  <c r="E6468" i="2"/>
  <c r="D6468" i="2"/>
  <c r="B6468" i="2"/>
  <c r="A6468" i="2"/>
  <c r="O6467" i="2"/>
  <c r="O6466" i="2"/>
  <c r="M6466" i="2"/>
  <c r="L6466" i="2"/>
  <c r="E6466" i="2"/>
  <c r="D6466" i="2"/>
  <c r="B6466" i="2"/>
  <c r="A6466" i="2"/>
  <c r="O6465" i="2"/>
  <c r="M6465" i="2"/>
  <c r="L6465" i="2"/>
  <c r="E6465" i="2"/>
  <c r="D6465" i="2"/>
  <c r="B6465" i="2"/>
  <c r="A6465" i="2"/>
  <c r="O6464" i="2"/>
  <c r="O6463" i="2"/>
  <c r="M6463" i="2"/>
  <c r="L6463" i="2"/>
  <c r="E6463" i="2"/>
  <c r="D6463" i="2"/>
  <c r="B6463" i="2"/>
  <c r="A6463" i="2"/>
  <c r="O6462" i="2"/>
  <c r="O6461" i="2"/>
  <c r="O6460" i="2"/>
  <c r="O6459" i="2"/>
  <c r="M6459" i="2"/>
  <c r="L6459" i="2"/>
  <c r="E6459" i="2"/>
  <c r="D6459" i="2"/>
  <c r="B6459" i="2"/>
  <c r="A6459" i="2"/>
  <c r="O6458" i="2"/>
  <c r="O6457" i="2"/>
  <c r="M6457" i="2"/>
  <c r="L6457" i="2"/>
  <c r="E6457" i="2"/>
  <c r="D6457" i="2"/>
  <c r="B6457" i="2"/>
  <c r="A6457" i="2"/>
  <c r="O6456" i="2"/>
  <c r="M6456" i="2"/>
  <c r="L6456" i="2"/>
  <c r="E6456" i="2"/>
  <c r="D6456" i="2"/>
  <c r="B6456" i="2"/>
  <c r="A6456" i="2"/>
  <c r="O6455" i="2"/>
  <c r="O6454" i="2"/>
  <c r="O6453" i="2"/>
  <c r="M6453" i="2"/>
  <c r="L6453" i="2"/>
  <c r="E6453" i="2"/>
  <c r="D6453" i="2"/>
  <c r="B6453" i="2"/>
  <c r="A6453" i="2"/>
  <c r="O6452" i="2"/>
  <c r="O6451" i="2"/>
  <c r="O6450" i="2"/>
  <c r="O6449" i="2"/>
  <c r="O6448" i="2"/>
  <c r="M6448" i="2"/>
  <c r="L6448" i="2"/>
  <c r="E6448" i="2"/>
  <c r="D6448" i="2"/>
  <c r="B6448" i="2"/>
  <c r="A6448" i="2"/>
  <c r="O6447" i="2"/>
  <c r="O6446" i="2"/>
  <c r="O6445" i="2"/>
  <c r="O6444" i="2"/>
  <c r="O6443" i="2"/>
  <c r="O6442" i="2"/>
  <c r="M6442" i="2"/>
  <c r="L6442" i="2"/>
  <c r="E6442" i="2"/>
  <c r="D6442" i="2"/>
  <c r="B6442" i="2"/>
  <c r="A6442" i="2"/>
  <c r="O6441" i="2"/>
  <c r="O6440" i="2"/>
  <c r="M6440" i="2"/>
  <c r="L6440" i="2"/>
  <c r="E6440" i="2"/>
  <c r="D6440" i="2"/>
  <c r="B6440" i="2"/>
  <c r="A6440" i="2"/>
  <c r="O6439" i="2"/>
  <c r="O6438" i="2"/>
  <c r="O6437" i="2"/>
  <c r="O6436" i="2"/>
  <c r="O6435" i="2"/>
  <c r="O6434" i="2"/>
  <c r="M6434" i="2"/>
  <c r="L6434" i="2"/>
  <c r="E6434" i="2"/>
  <c r="D6434" i="2"/>
  <c r="B6434" i="2"/>
  <c r="A6434" i="2"/>
  <c r="O6433" i="2"/>
  <c r="O6432" i="2"/>
  <c r="O6431" i="2"/>
  <c r="M6431" i="2"/>
  <c r="L6431" i="2"/>
  <c r="E6431" i="2"/>
  <c r="D6431" i="2"/>
  <c r="B6431" i="2"/>
  <c r="A6431" i="2"/>
  <c r="O6430" i="2"/>
  <c r="O6429" i="2"/>
  <c r="O6428" i="2"/>
  <c r="O6427" i="2"/>
  <c r="O6426" i="2"/>
  <c r="O6425" i="2"/>
  <c r="O6424" i="2"/>
  <c r="O6423" i="2"/>
  <c r="O6422" i="2"/>
  <c r="O6421" i="2"/>
  <c r="M6421" i="2"/>
  <c r="L6421" i="2"/>
  <c r="E6421" i="2"/>
  <c r="D6421" i="2"/>
  <c r="B6421" i="2"/>
  <c r="A6421" i="2"/>
  <c r="O6420" i="2"/>
  <c r="O6419" i="2"/>
  <c r="O6418" i="2"/>
  <c r="O6417" i="2"/>
  <c r="O6416" i="2"/>
  <c r="M6416" i="2"/>
  <c r="L6416" i="2"/>
  <c r="E6416" i="2"/>
  <c r="D6416" i="2"/>
  <c r="B6416" i="2"/>
  <c r="A6416" i="2"/>
  <c r="O6415" i="2"/>
  <c r="O6414" i="2"/>
  <c r="O6413" i="2"/>
  <c r="O6412" i="2"/>
  <c r="M6412" i="2"/>
  <c r="L6412" i="2"/>
  <c r="E6412" i="2"/>
  <c r="D6412" i="2"/>
  <c r="B6412" i="2"/>
  <c r="A6412" i="2"/>
  <c r="O6411" i="2"/>
  <c r="O6410" i="2"/>
  <c r="O6409" i="2"/>
  <c r="O6408" i="2"/>
  <c r="O6407" i="2"/>
  <c r="M6407" i="2"/>
  <c r="L6407" i="2"/>
  <c r="E6407" i="2"/>
  <c r="D6407" i="2"/>
  <c r="B6407" i="2"/>
  <c r="A6407" i="2"/>
  <c r="O6406" i="2"/>
  <c r="O6405" i="2"/>
  <c r="O6404" i="2"/>
  <c r="O6403" i="2"/>
  <c r="M6403" i="2"/>
  <c r="L6403" i="2"/>
  <c r="E6403" i="2"/>
  <c r="D6403" i="2"/>
  <c r="B6403" i="2"/>
  <c r="A6403" i="2"/>
  <c r="O6402" i="2"/>
  <c r="O6401" i="2"/>
  <c r="O6400" i="2"/>
  <c r="O6399" i="2"/>
  <c r="M6399" i="2"/>
  <c r="L6399" i="2"/>
  <c r="E6399" i="2"/>
  <c r="D6399" i="2"/>
  <c r="B6399" i="2"/>
  <c r="A6399" i="2"/>
  <c r="O6398" i="2"/>
  <c r="O6397" i="2"/>
  <c r="O6396" i="2"/>
  <c r="M6396" i="2"/>
  <c r="L6396" i="2"/>
  <c r="E6396" i="2"/>
  <c r="D6396" i="2"/>
  <c r="B6396" i="2"/>
  <c r="A6396" i="2"/>
  <c r="O6395" i="2"/>
  <c r="O6394" i="2"/>
  <c r="O6393" i="2"/>
  <c r="O6392" i="2"/>
  <c r="M6392" i="2"/>
  <c r="L6392" i="2"/>
  <c r="E6392" i="2"/>
  <c r="D6392" i="2"/>
  <c r="B6392" i="2"/>
  <c r="A6392" i="2"/>
  <c r="O6391" i="2"/>
  <c r="O6390" i="2"/>
  <c r="O6389" i="2"/>
  <c r="M6389" i="2"/>
  <c r="L6389" i="2"/>
  <c r="E6389" i="2"/>
  <c r="D6389" i="2"/>
  <c r="B6389" i="2"/>
  <c r="A6389" i="2"/>
  <c r="O6388" i="2"/>
  <c r="O6387" i="2"/>
  <c r="O6386" i="2"/>
  <c r="M6386" i="2"/>
  <c r="L6386" i="2"/>
  <c r="E6386" i="2"/>
  <c r="D6386" i="2"/>
  <c r="B6386" i="2"/>
  <c r="A6386" i="2"/>
  <c r="O6385" i="2"/>
  <c r="M6385" i="2"/>
  <c r="L6385" i="2"/>
  <c r="E6385" i="2"/>
  <c r="D6385" i="2"/>
  <c r="B6385" i="2"/>
  <c r="A6385" i="2"/>
  <c r="O6384" i="2"/>
  <c r="O6383" i="2"/>
  <c r="M6383" i="2"/>
  <c r="L6383" i="2"/>
  <c r="E6383" i="2"/>
  <c r="D6383" i="2"/>
  <c r="B6383" i="2"/>
  <c r="A6383" i="2"/>
  <c r="O6382" i="2"/>
  <c r="O6381" i="2"/>
  <c r="M6381" i="2"/>
  <c r="L6381" i="2"/>
  <c r="E6381" i="2"/>
  <c r="D6381" i="2"/>
  <c r="B6381" i="2"/>
  <c r="A6381" i="2"/>
  <c r="O6380" i="2"/>
  <c r="O6379" i="2"/>
  <c r="M6379" i="2"/>
  <c r="L6379" i="2"/>
  <c r="E6379" i="2"/>
  <c r="D6379" i="2"/>
  <c r="B6379" i="2"/>
  <c r="A6379" i="2"/>
  <c r="O6378" i="2"/>
  <c r="O6377" i="2"/>
  <c r="M6377" i="2"/>
  <c r="L6377" i="2"/>
  <c r="E6377" i="2"/>
  <c r="D6377" i="2"/>
  <c r="B6377" i="2"/>
  <c r="A6377" i="2"/>
  <c r="O6376" i="2"/>
  <c r="O6375" i="2"/>
  <c r="O6374" i="2"/>
  <c r="M6374" i="2"/>
  <c r="L6374" i="2"/>
  <c r="E6374" i="2"/>
  <c r="D6374" i="2"/>
  <c r="B6374" i="2"/>
  <c r="A6374" i="2"/>
  <c r="O6373" i="2"/>
  <c r="O6372" i="2"/>
  <c r="M6372" i="2"/>
  <c r="L6372" i="2"/>
  <c r="E6372" i="2"/>
  <c r="D6372" i="2"/>
  <c r="B6372" i="2"/>
  <c r="A6372" i="2"/>
  <c r="O6371" i="2"/>
  <c r="O6370" i="2"/>
  <c r="O6369" i="2"/>
  <c r="M6369" i="2"/>
  <c r="L6369" i="2"/>
  <c r="E6369" i="2"/>
  <c r="D6369" i="2"/>
  <c r="B6369" i="2"/>
  <c r="A6369" i="2"/>
  <c r="O6368" i="2"/>
  <c r="O6367" i="2"/>
  <c r="M6367" i="2"/>
  <c r="L6367" i="2"/>
  <c r="E6367" i="2"/>
  <c r="D6367" i="2"/>
  <c r="B6367" i="2"/>
  <c r="A6367" i="2"/>
  <c r="O6366" i="2"/>
  <c r="O6365" i="2"/>
  <c r="O6364" i="2"/>
  <c r="O6363" i="2"/>
  <c r="M6363" i="2"/>
  <c r="L6363" i="2"/>
  <c r="E6363" i="2"/>
  <c r="D6363" i="2"/>
  <c r="B6363" i="2"/>
  <c r="A6363" i="2"/>
  <c r="O6362" i="2"/>
  <c r="O6361" i="2"/>
  <c r="O6360" i="2"/>
  <c r="M6360" i="2"/>
  <c r="L6360" i="2"/>
  <c r="E6360" i="2"/>
  <c r="D6360" i="2"/>
  <c r="B6360" i="2"/>
  <c r="A6360" i="2"/>
  <c r="O6359" i="2"/>
  <c r="O6358" i="2"/>
  <c r="O6357" i="2"/>
  <c r="M6357" i="2"/>
  <c r="L6357" i="2"/>
  <c r="E6357" i="2"/>
  <c r="D6357" i="2"/>
  <c r="B6357" i="2"/>
  <c r="A6357" i="2"/>
  <c r="O6356" i="2"/>
  <c r="O6355" i="2"/>
  <c r="M6355" i="2"/>
  <c r="L6355" i="2"/>
  <c r="E6355" i="2"/>
  <c r="D6355" i="2"/>
  <c r="B6355" i="2"/>
  <c r="A6355" i="2"/>
  <c r="O6354" i="2"/>
  <c r="O6353" i="2"/>
  <c r="O6352" i="2"/>
  <c r="O6351" i="2"/>
  <c r="O6350" i="2"/>
  <c r="M6350" i="2"/>
  <c r="L6350" i="2"/>
  <c r="E6350" i="2"/>
  <c r="D6350" i="2"/>
  <c r="B6350" i="2"/>
  <c r="A6350" i="2"/>
  <c r="O6349" i="2"/>
  <c r="O6348" i="2"/>
  <c r="M6348" i="2"/>
  <c r="L6348" i="2"/>
  <c r="E6348" i="2"/>
  <c r="D6348" i="2"/>
  <c r="B6348" i="2"/>
  <c r="A6348" i="2"/>
  <c r="O6347" i="2"/>
  <c r="O6346" i="2"/>
  <c r="O6345" i="2"/>
  <c r="O6344" i="2"/>
  <c r="O6343" i="2"/>
  <c r="M6343" i="2"/>
  <c r="L6343" i="2"/>
  <c r="E6343" i="2"/>
  <c r="D6343" i="2"/>
  <c r="B6343" i="2"/>
  <c r="A6343" i="2"/>
  <c r="O6342" i="2"/>
  <c r="O6341" i="2"/>
  <c r="O6340" i="2"/>
  <c r="O6339" i="2"/>
  <c r="O6338" i="2"/>
  <c r="M6338" i="2"/>
  <c r="L6338" i="2"/>
  <c r="E6338" i="2"/>
  <c r="D6338" i="2"/>
  <c r="B6338" i="2"/>
  <c r="A6338" i="2"/>
  <c r="O6337" i="2"/>
  <c r="O6336" i="2"/>
  <c r="O6335" i="2"/>
  <c r="O6334" i="2"/>
  <c r="O6333" i="2"/>
  <c r="M6333" i="2"/>
  <c r="L6333" i="2"/>
  <c r="E6333" i="2"/>
  <c r="D6333" i="2"/>
  <c r="B6333" i="2"/>
  <c r="A6333" i="2"/>
  <c r="O6332" i="2"/>
  <c r="O6331" i="2"/>
  <c r="O6330" i="2"/>
  <c r="O6329" i="2"/>
  <c r="O6328" i="2"/>
  <c r="M6328" i="2"/>
  <c r="L6328" i="2"/>
  <c r="E6328" i="2"/>
  <c r="D6328" i="2"/>
  <c r="B6328" i="2"/>
  <c r="A6328" i="2"/>
  <c r="O6327" i="2"/>
  <c r="O6326" i="2"/>
  <c r="O6325" i="2"/>
  <c r="O6324" i="2"/>
  <c r="O6323" i="2"/>
  <c r="O6322" i="2"/>
  <c r="M6322" i="2"/>
  <c r="L6322" i="2"/>
  <c r="E6322" i="2"/>
  <c r="D6322" i="2"/>
  <c r="B6322" i="2"/>
  <c r="A6322" i="2"/>
  <c r="O6321" i="2"/>
  <c r="M6321" i="2"/>
  <c r="L6321" i="2"/>
  <c r="E6321" i="2"/>
  <c r="D6321" i="2"/>
  <c r="B6321" i="2"/>
  <c r="A6321" i="2"/>
  <c r="O6320" i="2"/>
  <c r="O6319" i="2"/>
  <c r="O6318" i="2"/>
  <c r="M6318" i="2"/>
  <c r="L6318" i="2"/>
  <c r="E6318" i="2"/>
  <c r="D6318" i="2"/>
  <c r="B6318" i="2"/>
  <c r="A6318" i="2"/>
  <c r="O6317" i="2"/>
  <c r="O6316" i="2"/>
  <c r="O6315" i="2"/>
  <c r="O6314" i="2"/>
  <c r="M6314" i="2"/>
  <c r="L6314" i="2"/>
  <c r="E6314" i="2"/>
  <c r="D6314" i="2"/>
  <c r="B6314" i="2"/>
  <c r="A6314" i="2"/>
  <c r="O6313" i="2"/>
  <c r="O6312" i="2"/>
  <c r="O6311" i="2"/>
  <c r="O6310" i="2"/>
  <c r="M6310" i="2"/>
  <c r="L6310" i="2"/>
  <c r="E6310" i="2"/>
  <c r="D6310" i="2"/>
  <c r="B6310" i="2"/>
  <c r="A6310" i="2"/>
  <c r="O6309" i="2"/>
  <c r="M6309" i="2"/>
  <c r="L6309" i="2"/>
  <c r="E6309" i="2"/>
  <c r="D6309" i="2"/>
  <c r="B6309" i="2"/>
  <c r="A6309" i="2"/>
  <c r="O6308" i="2"/>
  <c r="O6307" i="2"/>
  <c r="O6306" i="2"/>
  <c r="M6306" i="2"/>
  <c r="L6306" i="2"/>
  <c r="E6306" i="2"/>
  <c r="D6306" i="2"/>
  <c r="B6306" i="2"/>
  <c r="A6306" i="2"/>
  <c r="O6305" i="2"/>
  <c r="O6304" i="2"/>
  <c r="M6304" i="2"/>
  <c r="L6304" i="2"/>
  <c r="E6304" i="2"/>
  <c r="D6304" i="2"/>
  <c r="B6304" i="2"/>
  <c r="A6304" i="2"/>
  <c r="O6303" i="2"/>
  <c r="O6302" i="2"/>
  <c r="O6301" i="2"/>
  <c r="M6301" i="2"/>
  <c r="L6301" i="2"/>
  <c r="E6301" i="2"/>
  <c r="D6301" i="2"/>
  <c r="B6301" i="2"/>
  <c r="A6301" i="2"/>
  <c r="O6300" i="2"/>
  <c r="O6299" i="2"/>
  <c r="O6298" i="2"/>
  <c r="M6298" i="2"/>
  <c r="L6298" i="2"/>
  <c r="E6298" i="2"/>
  <c r="D6298" i="2"/>
  <c r="B6298" i="2"/>
  <c r="A6298" i="2"/>
  <c r="O6297" i="2"/>
  <c r="O6296" i="2"/>
  <c r="O6295" i="2"/>
  <c r="M6295" i="2"/>
  <c r="L6295" i="2"/>
  <c r="E6295" i="2"/>
  <c r="D6295" i="2"/>
  <c r="B6295" i="2"/>
  <c r="A6295" i="2"/>
  <c r="O6294" i="2"/>
  <c r="O6293" i="2"/>
  <c r="M6293" i="2"/>
  <c r="L6293" i="2"/>
  <c r="E6293" i="2"/>
  <c r="D6293" i="2"/>
  <c r="B6293" i="2"/>
  <c r="A6293" i="2"/>
  <c r="O6292" i="2"/>
  <c r="O6291" i="2"/>
  <c r="M6291" i="2"/>
  <c r="L6291" i="2"/>
  <c r="E6291" i="2"/>
  <c r="D6291" i="2"/>
  <c r="B6291" i="2"/>
  <c r="A6291" i="2"/>
  <c r="O6290" i="2"/>
  <c r="O6289" i="2"/>
  <c r="M6289" i="2"/>
  <c r="L6289" i="2"/>
  <c r="E6289" i="2"/>
  <c r="D6289" i="2"/>
  <c r="B6289" i="2"/>
  <c r="A6289" i="2"/>
  <c r="O6288" i="2"/>
  <c r="M6288" i="2"/>
  <c r="L6288" i="2"/>
  <c r="E6288" i="2"/>
  <c r="D6288" i="2"/>
  <c r="B6288" i="2"/>
  <c r="A6288" i="2"/>
  <c r="O6287" i="2"/>
  <c r="O6286" i="2"/>
  <c r="O6285" i="2"/>
  <c r="M6285" i="2"/>
  <c r="L6285" i="2"/>
  <c r="E6285" i="2"/>
  <c r="D6285" i="2"/>
  <c r="B6285" i="2"/>
  <c r="A6285" i="2"/>
  <c r="O6284" i="2"/>
  <c r="O6283" i="2"/>
  <c r="M6283" i="2"/>
  <c r="L6283" i="2"/>
  <c r="E6283" i="2"/>
  <c r="D6283" i="2"/>
  <c r="B6283" i="2"/>
  <c r="A6283" i="2"/>
  <c r="O6282" i="2"/>
  <c r="O6281" i="2"/>
  <c r="M6281" i="2"/>
  <c r="L6281" i="2"/>
  <c r="E6281" i="2"/>
  <c r="D6281" i="2"/>
  <c r="B6281" i="2"/>
  <c r="A6281" i="2"/>
  <c r="O6280" i="2"/>
  <c r="O6279" i="2"/>
  <c r="M6279" i="2"/>
  <c r="L6279" i="2"/>
  <c r="E6279" i="2"/>
  <c r="D6279" i="2"/>
  <c r="B6279" i="2"/>
  <c r="A6279" i="2"/>
  <c r="O6278" i="2"/>
  <c r="O6277" i="2"/>
  <c r="O6276" i="2"/>
  <c r="M6276" i="2"/>
  <c r="L6276" i="2"/>
  <c r="E6276" i="2"/>
  <c r="D6276" i="2"/>
  <c r="B6276" i="2"/>
  <c r="A6276" i="2"/>
  <c r="O6275" i="2"/>
  <c r="O6274" i="2"/>
  <c r="M6274" i="2"/>
  <c r="L6274" i="2"/>
  <c r="E6274" i="2"/>
  <c r="D6274" i="2"/>
  <c r="B6274" i="2"/>
  <c r="A6274" i="2"/>
  <c r="O6273" i="2"/>
  <c r="M6273" i="2"/>
  <c r="L6273" i="2"/>
  <c r="E6273" i="2"/>
  <c r="D6273" i="2"/>
  <c r="B6273" i="2"/>
  <c r="A6273" i="2"/>
  <c r="O6272" i="2"/>
  <c r="M6272" i="2"/>
  <c r="L6272" i="2"/>
  <c r="E6272" i="2"/>
  <c r="D6272" i="2"/>
  <c r="B6272" i="2"/>
  <c r="A6272" i="2"/>
  <c r="O6271" i="2"/>
  <c r="O6270" i="2"/>
  <c r="M6270" i="2"/>
  <c r="L6270" i="2"/>
  <c r="E6270" i="2"/>
  <c r="D6270" i="2"/>
  <c r="B6270" i="2"/>
  <c r="A6270" i="2"/>
  <c r="O6269" i="2"/>
  <c r="O6268" i="2"/>
  <c r="M6268" i="2"/>
  <c r="L6268" i="2"/>
  <c r="E6268" i="2"/>
  <c r="D6268" i="2"/>
  <c r="B6268" i="2"/>
  <c r="A6268" i="2"/>
  <c r="O6267" i="2"/>
  <c r="O6266" i="2"/>
  <c r="M6266" i="2"/>
  <c r="L6266" i="2"/>
  <c r="E6266" i="2"/>
  <c r="D6266" i="2"/>
  <c r="B6266" i="2"/>
  <c r="A6266" i="2"/>
  <c r="O6265" i="2"/>
  <c r="O6264" i="2"/>
  <c r="M6264" i="2"/>
  <c r="L6264" i="2"/>
  <c r="E6264" i="2"/>
  <c r="D6264" i="2"/>
  <c r="B6264" i="2"/>
  <c r="A6264" i="2"/>
  <c r="O6263" i="2"/>
  <c r="O6262" i="2"/>
  <c r="M6262" i="2"/>
  <c r="L6262" i="2"/>
  <c r="E6262" i="2"/>
  <c r="D6262" i="2"/>
  <c r="B6262" i="2"/>
  <c r="A6262" i="2"/>
  <c r="O6261" i="2"/>
  <c r="M6261" i="2"/>
  <c r="L6261" i="2"/>
  <c r="E6261" i="2"/>
  <c r="D6261" i="2"/>
  <c r="B6261" i="2"/>
  <c r="A6261" i="2"/>
  <c r="O6260" i="2"/>
  <c r="O6259" i="2"/>
  <c r="M6259" i="2"/>
  <c r="L6259" i="2"/>
  <c r="E6259" i="2"/>
  <c r="D6259" i="2"/>
  <c r="B6259" i="2"/>
  <c r="A6259" i="2"/>
  <c r="O6258" i="2"/>
  <c r="O6257" i="2"/>
  <c r="M6257" i="2"/>
  <c r="L6257" i="2"/>
  <c r="E6257" i="2"/>
  <c r="D6257" i="2"/>
  <c r="B6257" i="2"/>
  <c r="A6257" i="2"/>
  <c r="O6256" i="2"/>
  <c r="M6256" i="2"/>
  <c r="L6256" i="2"/>
  <c r="E6256" i="2"/>
  <c r="D6256" i="2"/>
  <c r="B6256" i="2"/>
  <c r="A6256" i="2"/>
  <c r="O6255" i="2"/>
  <c r="O6254" i="2"/>
  <c r="M6254" i="2"/>
  <c r="L6254" i="2"/>
  <c r="E6254" i="2"/>
  <c r="D6254" i="2"/>
  <c r="B6254" i="2"/>
  <c r="A6254" i="2"/>
  <c r="O6253" i="2"/>
  <c r="M6253" i="2"/>
  <c r="L6253" i="2"/>
  <c r="E6253" i="2"/>
  <c r="D6253" i="2"/>
  <c r="B6253" i="2"/>
  <c r="A6253" i="2"/>
  <c r="O6252" i="2"/>
  <c r="M6252" i="2"/>
  <c r="L6252" i="2"/>
  <c r="E6252" i="2"/>
  <c r="D6252" i="2"/>
  <c r="B6252" i="2"/>
  <c r="A6252" i="2"/>
  <c r="O6251" i="2"/>
  <c r="M6251" i="2"/>
  <c r="L6251" i="2"/>
  <c r="E6251" i="2"/>
  <c r="D6251" i="2"/>
  <c r="B6251" i="2"/>
  <c r="A6251" i="2"/>
  <c r="O6250" i="2"/>
  <c r="O6249" i="2"/>
  <c r="M6249" i="2"/>
  <c r="L6249" i="2"/>
  <c r="E6249" i="2"/>
  <c r="D6249" i="2"/>
  <c r="B6249" i="2"/>
  <c r="A6249" i="2"/>
  <c r="O6248" i="2"/>
  <c r="M6248" i="2"/>
  <c r="L6248" i="2"/>
  <c r="E6248" i="2"/>
  <c r="D6248" i="2"/>
  <c r="B6248" i="2"/>
  <c r="A6248" i="2"/>
  <c r="O6247" i="2"/>
  <c r="M6247" i="2"/>
  <c r="L6247" i="2"/>
  <c r="E6247" i="2"/>
  <c r="D6247" i="2"/>
  <c r="B6247" i="2"/>
  <c r="A6247" i="2"/>
  <c r="O6246" i="2"/>
  <c r="M6246" i="2"/>
  <c r="L6246" i="2"/>
  <c r="E6246" i="2"/>
  <c r="D6246" i="2"/>
  <c r="B6246" i="2"/>
  <c r="A6246" i="2"/>
  <c r="O6245" i="2"/>
  <c r="M6245" i="2"/>
  <c r="L6245" i="2"/>
  <c r="E6245" i="2"/>
  <c r="D6245" i="2"/>
  <c r="B6245" i="2"/>
  <c r="A6245" i="2"/>
  <c r="O6244" i="2"/>
  <c r="O6243" i="2"/>
  <c r="M6243" i="2"/>
  <c r="L6243" i="2"/>
  <c r="E6243" i="2"/>
  <c r="D6243" i="2"/>
  <c r="B6243" i="2"/>
  <c r="A6243" i="2"/>
  <c r="O6242" i="2"/>
  <c r="O6241" i="2"/>
  <c r="M6241" i="2"/>
  <c r="L6241" i="2"/>
  <c r="E6241" i="2"/>
  <c r="D6241" i="2"/>
  <c r="B6241" i="2"/>
  <c r="A6241" i="2"/>
  <c r="O6240" i="2"/>
  <c r="M6240" i="2"/>
  <c r="L6240" i="2"/>
  <c r="E6240" i="2"/>
  <c r="D6240" i="2"/>
  <c r="B6240" i="2"/>
  <c r="A6240" i="2"/>
  <c r="O6239" i="2"/>
  <c r="M6239" i="2"/>
  <c r="L6239" i="2"/>
  <c r="E6239" i="2"/>
  <c r="D6239" i="2"/>
  <c r="B6239" i="2"/>
  <c r="A6239" i="2"/>
  <c r="O6238" i="2"/>
  <c r="O6237" i="2"/>
  <c r="M6237" i="2"/>
  <c r="L6237" i="2"/>
  <c r="E6237" i="2"/>
  <c r="D6237" i="2"/>
  <c r="B6237" i="2"/>
  <c r="A6237" i="2"/>
  <c r="O6236" i="2"/>
  <c r="M6236" i="2"/>
  <c r="L6236" i="2"/>
  <c r="E6236" i="2"/>
  <c r="D6236" i="2"/>
  <c r="B6236" i="2"/>
  <c r="A6236" i="2"/>
  <c r="O6235" i="2"/>
  <c r="M6235" i="2"/>
  <c r="L6235" i="2"/>
  <c r="E6235" i="2"/>
  <c r="D6235" i="2"/>
  <c r="B6235" i="2"/>
  <c r="A6235" i="2"/>
  <c r="O6234" i="2"/>
  <c r="M6234" i="2"/>
  <c r="L6234" i="2"/>
  <c r="E6234" i="2"/>
  <c r="D6234" i="2"/>
  <c r="B6234" i="2"/>
  <c r="A6234" i="2"/>
  <c r="O6233" i="2"/>
  <c r="O6232" i="2"/>
  <c r="M6232" i="2"/>
  <c r="L6232" i="2"/>
  <c r="E6232" i="2"/>
  <c r="D6232" i="2"/>
  <c r="B6232" i="2"/>
  <c r="A6232" i="2"/>
  <c r="O6231" i="2"/>
  <c r="M6231" i="2"/>
  <c r="L6231" i="2"/>
  <c r="E6231" i="2"/>
  <c r="D6231" i="2"/>
  <c r="B6231" i="2"/>
  <c r="A6231" i="2"/>
  <c r="O6230" i="2"/>
  <c r="O6229" i="2"/>
  <c r="M6229" i="2"/>
  <c r="L6229" i="2"/>
  <c r="E6229" i="2"/>
  <c r="D6229" i="2"/>
  <c r="B6229" i="2"/>
  <c r="A6229" i="2"/>
  <c r="O6228" i="2"/>
  <c r="O6227" i="2"/>
  <c r="M6227" i="2"/>
  <c r="L6227" i="2"/>
  <c r="E6227" i="2"/>
  <c r="D6227" i="2"/>
  <c r="B6227" i="2"/>
  <c r="A6227" i="2"/>
  <c r="O6226" i="2"/>
  <c r="M6226" i="2"/>
  <c r="L6226" i="2"/>
  <c r="E6226" i="2"/>
  <c r="D6226" i="2"/>
  <c r="B6226" i="2"/>
  <c r="A6226" i="2"/>
  <c r="O6225" i="2"/>
  <c r="M6225" i="2"/>
  <c r="L6225" i="2"/>
  <c r="E6225" i="2"/>
  <c r="D6225" i="2"/>
  <c r="B6225" i="2"/>
  <c r="A6225" i="2"/>
  <c r="O6224" i="2"/>
  <c r="O6223" i="2"/>
  <c r="M6223" i="2"/>
  <c r="L6223" i="2"/>
  <c r="E6223" i="2"/>
  <c r="D6223" i="2"/>
  <c r="B6223" i="2"/>
  <c r="A6223" i="2"/>
  <c r="O6222" i="2"/>
  <c r="M6222" i="2"/>
  <c r="L6222" i="2"/>
  <c r="E6222" i="2"/>
  <c r="D6222" i="2"/>
  <c r="B6222" i="2"/>
  <c r="A6222" i="2"/>
  <c r="O6221" i="2"/>
  <c r="M6221" i="2"/>
  <c r="L6221" i="2"/>
  <c r="E6221" i="2"/>
  <c r="D6221" i="2"/>
  <c r="B6221" i="2"/>
  <c r="A6221" i="2"/>
  <c r="O6220" i="2"/>
  <c r="O6219" i="2"/>
  <c r="M6219" i="2"/>
  <c r="L6219" i="2"/>
  <c r="E6219" i="2"/>
  <c r="D6219" i="2"/>
  <c r="B6219" i="2"/>
  <c r="A6219" i="2"/>
  <c r="O6218" i="2"/>
  <c r="O6217" i="2"/>
  <c r="M6217" i="2"/>
  <c r="L6217" i="2"/>
  <c r="E6217" i="2"/>
  <c r="D6217" i="2"/>
  <c r="B6217" i="2"/>
  <c r="A6217" i="2"/>
  <c r="O6216" i="2"/>
  <c r="M6216" i="2"/>
  <c r="L6216" i="2"/>
  <c r="E6216" i="2"/>
  <c r="D6216" i="2"/>
  <c r="B6216" i="2"/>
  <c r="A6216" i="2"/>
  <c r="O6215" i="2"/>
  <c r="M6215" i="2"/>
  <c r="L6215" i="2"/>
  <c r="E6215" i="2"/>
  <c r="D6215" i="2"/>
  <c r="B6215" i="2"/>
  <c r="A6215" i="2"/>
  <c r="O6214" i="2"/>
  <c r="O6213" i="2"/>
  <c r="M6213" i="2"/>
  <c r="L6213" i="2"/>
  <c r="E6213" i="2"/>
  <c r="D6213" i="2"/>
  <c r="B6213" i="2"/>
  <c r="A6213" i="2"/>
  <c r="O6212" i="2"/>
  <c r="O6211" i="2"/>
  <c r="M6211" i="2"/>
  <c r="L6211" i="2"/>
  <c r="E6211" i="2"/>
  <c r="D6211" i="2"/>
  <c r="B6211" i="2"/>
  <c r="A6211" i="2"/>
  <c r="O6210" i="2"/>
  <c r="M6210" i="2"/>
  <c r="L6210" i="2"/>
  <c r="E6210" i="2"/>
  <c r="D6210" i="2"/>
  <c r="B6210" i="2"/>
  <c r="A6210" i="2"/>
  <c r="O6209" i="2"/>
  <c r="M6209" i="2"/>
  <c r="L6209" i="2"/>
  <c r="E6209" i="2"/>
  <c r="D6209" i="2"/>
  <c r="B6209" i="2"/>
  <c r="A6209" i="2"/>
  <c r="O6208" i="2"/>
  <c r="O6207" i="2"/>
  <c r="O6206" i="2"/>
  <c r="M6206" i="2"/>
  <c r="L6206" i="2"/>
  <c r="E6206" i="2"/>
  <c r="D6206" i="2"/>
  <c r="B6206" i="2"/>
  <c r="A6206" i="2"/>
  <c r="O6205" i="2"/>
  <c r="O6204" i="2"/>
  <c r="M6204" i="2"/>
  <c r="L6204" i="2"/>
  <c r="E6204" i="2"/>
  <c r="D6204" i="2"/>
  <c r="B6204" i="2"/>
  <c r="A6204" i="2"/>
  <c r="O6203" i="2"/>
  <c r="O6202" i="2"/>
  <c r="O6201" i="2"/>
  <c r="M6201" i="2"/>
  <c r="L6201" i="2"/>
  <c r="E6201" i="2"/>
  <c r="D6201" i="2"/>
  <c r="B6201" i="2"/>
  <c r="A6201" i="2"/>
  <c r="O6200" i="2"/>
  <c r="O6199" i="2"/>
  <c r="M6199" i="2"/>
  <c r="L6199" i="2"/>
  <c r="E6199" i="2"/>
  <c r="D6199" i="2"/>
  <c r="B6199" i="2"/>
  <c r="A6199" i="2"/>
  <c r="O6198" i="2"/>
  <c r="O6197" i="2"/>
  <c r="M6197" i="2"/>
  <c r="L6197" i="2"/>
  <c r="E6197" i="2"/>
  <c r="D6197" i="2"/>
  <c r="B6197" i="2"/>
  <c r="A6197" i="2"/>
  <c r="O6196" i="2"/>
  <c r="M6196" i="2"/>
  <c r="L6196" i="2"/>
  <c r="E6196" i="2"/>
  <c r="D6196" i="2"/>
  <c r="B6196" i="2"/>
  <c r="A6196" i="2"/>
  <c r="O6195" i="2"/>
  <c r="O6194" i="2"/>
  <c r="M6194" i="2"/>
  <c r="L6194" i="2"/>
  <c r="E6194" i="2"/>
  <c r="D6194" i="2"/>
  <c r="B6194" i="2"/>
  <c r="A6194" i="2"/>
  <c r="O6193" i="2"/>
  <c r="O6192" i="2"/>
  <c r="M6192" i="2"/>
  <c r="L6192" i="2"/>
  <c r="E6192" i="2"/>
  <c r="D6192" i="2"/>
  <c r="B6192" i="2"/>
  <c r="A6192" i="2"/>
  <c r="O6191" i="2"/>
  <c r="M6191" i="2"/>
  <c r="L6191" i="2"/>
  <c r="E6191" i="2"/>
  <c r="D6191" i="2"/>
  <c r="B6191" i="2"/>
  <c r="A6191" i="2"/>
  <c r="O6190" i="2"/>
  <c r="M6190" i="2"/>
  <c r="L6190" i="2"/>
  <c r="E6190" i="2"/>
  <c r="D6190" i="2"/>
  <c r="B6190" i="2"/>
  <c r="A6190" i="2"/>
  <c r="O6189" i="2"/>
  <c r="O6188" i="2"/>
  <c r="M6188" i="2"/>
  <c r="L6188" i="2"/>
  <c r="E6188" i="2"/>
  <c r="D6188" i="2"/>
  <c r="B6188" i="2"/>
  <c r="A6188" i="2"/>
  <c r="O6187" i="2"/>
  <c r="M6187" i="2"/>
  <c r="L6187" i="2"/>
  <c r="E6187" i="2"/>
  <c r="D6187" i="2"/>
  <c r="B6187" i="2"/>
  <c r="A6187" i="2"/>
  <c r="O6186" i="2"/>
  <c r="M6186" i="2"/>
  <c r="L6186" i="2"/>
  <c r="E6186" i="2"/>
  <c r="D6186" i="2"/>
  <c r="B6186" i="2"/>
  <c r="A6186" i="2"/>
  <c r="O6185" i="2"/>
  <c r="O6184" i="2"/>
  <c r="M6184" i="2"/>
  <c r="L6184" i="2"/>
  <c r="E6184" i="2"/>
  <c r="D6184" i="2"/>
  <c r="B6184" i="2"/>
  <c r="A6184" i="2"/>
  <c r="O6183" i="2"/>
  <c r="M6183" i="2"/>
  <c r="L6183" i="2"/>
  <c r="E6183" i="2"/>
  <c r="D6183" i="2"/>
  <c r="B6183" i="2"/>
  <c r="A6183" i="2"/>
  <c r="O6182" i="2"/>
  <c r="O6181" i="2"/>
  <c r="M6181" i="2"/>
  <c r="L6181" i="2"/>
  <c r="E6181" i="2"/>
  <c r="D6181" i="2"/>
  <c r="B6181" i="2"/>
  <c r="A6181" i="2"/>
  <c r="O6180" i="2"/>
  <c r="O6179" i="2"/>
  <c r="O6178" i="2"/>
  <c r="M6178" i="2"/>
  <c r="L6178" i="2"/>
  <c r="E6178" i="2"/>
  <c r="D6178" i="2"/>
  <c r="B6178" i="2"/>
  <c r="A6178" i="2"/>
  <c r="O6177" i="2"/>
  <c r="O6176" i="2"/>
  <c r="M6176" i="2"/>
  <c r="L6176" i="2"/>
  <c r="E6176" i="2"/>
  <c r="D6176" i="2"/>
  <c r="B6176" i="2"/>
  <c r="A6176" i="2"/>
  <c r="O6175" i="2"/>
  <c r="M6175" i="2"/>
  <c r="L6175" i="2"/>
  <c r="E6175" i="2"/>
  <c r="D6175" i="2"/>
  <c r="B6175" i="2"/>
  <c r="A6175" i="2"/>
  <c r="O6174" i="2"/>
  <c r="O6173" i="2"/>
  <c r="O6172" i="2"/>
  <c r="O6171" i="2"/>
  <c r="M6171" i="2"/>
  <c r="L6171" i="2"/>
  <c r="E6171" i="2"/>
  <c r="D6171" i="2"/>
  <c r="B6171" i="2"/>
  <c r="A6171" i="2"/>
  <c r="O6170" i="2"/>
  <c r="M6170" i="2"/>
  <c r="L6170" i="2"/>
  <c r="E6170" i="2"/>
  <c r="D6170" i="2"/>
  <c r="B6170" i="2"/>
  <c r="A6170" i="2"/>
  <c r="O6169" i="2"/>
  <c r="M6169" i="2"/>
  <c r="L6169" i="2"/>
  <c r="E6169" i="2"/>
  <c r="D6169" i="2"/>
  <c r="B6169" i="2"/>
  <c r="A6169" i="2"/>
  <c r="O6168" i="2"/>
  <c r="O6167" i="2"/>
  <c r="M6167" i="2"/>
  <c r="L6167" i="2"/>
  <c r="E6167" i="2"/>
  <c r="D6167" i="2"/>
  <c r="B6167" i="2"/>
  <c r="A6167" i="2"/>
  <c r="O6166" i="2"/>
  <c r="M6166" i="2"/>
  <c r="L6166" i="2"/>
  <c r="E6166" i="2"/>
  <c r="D6166" i="2"/>
  <c r="B6166" i="2"/>
  <c r="A6166" i="2"/>
  <c r="O6165" i="2"/>
  <c r="O6164" i="2"/>
  <c r="M6164" i="2"/>
  <c r="L6164" i="2"/>
  <c r="E6164" i="2"/>
  <c r="D6164" i="2"/>
  <c r="B6164" i="2"/>
  <c r="A6164" i="2"/>
  <c r="O6163" i="2"/>
  <c r="M6163" i="2"/>
  <c r="L6163" i="2"/>
  <c r="E6163" i="2"/>
  <c r="D6163" i="2"/>
  <c r="B6163" i="2"/>
  <c r="A6163" i="2"/>
  <c r="O6162" i="2"/>
  <c r="M6162" i="2"/>
  <c r="L6162" i="2"/>
  <c r="E6162" i="2"/>
  <c r="D6162" i="2"/>
  <c r="B6162" i="2"/>
  <c r="A6162" i="2"/>
  <c r="O6161" i="2"/>
  <c r="O6160" i="2"/>
  <c r="M6160" i="2"/>
  <c r="L6160" i="2"/>
  <c r="E6160" i="2"/>
  <c r="D6160" i="2"/>
  <c r="B6160" i="2"/>
  <c r="A6160" i="2"/>
  <c r="O6159" i="2"/>
  <c r="M6159" i="2"/>
  <c r="L6159" i="2"/>
  <c r="E6159" i="2"/>
  <c r="D6159" i="2"/>
  <c r="B6159" i="2"/>
  <c r="A6159" i="2"/>
  <c r="O6158" i="2"/>
  <c r="O6157" i="2"/>
  <c r="M6157" i="2"/>
  <c r="L6157" i="2"/>
  <c r="E6157" i="2"/>
  <c r="D6157" i="2"/>
  <c r="B6157" i="2"/>
  <c r="A6157" i="2"/>
  <c r="O6156" i="2"/>
  <c r="M6156" i="2"/>
  <c r="L6156" i="2"/>
  <c r="E6156" i="2"/>
  <c r="D6156" i="2"/>
  <c r="B6156" i="2"/>
  <c r="A6156" i="2"/>
  <c r="O6155" i="2"/>
  <c r="O6154" i="2"/>
  <c r="M6154" i="2"/>
  <c r="L6154" i="2"/>
  <c r="E6154" i="2"/>
  <c r="D6154" i="2"/>
  <c r="B6154" i="2"/>
  <c r="A6154" i="2"/>
  <c r="O6153" i="2"/>
  <c r="O6152" i="2"/>
  <c r="M6152" i="2"/>
  <c r="L6152" i="2"/>
  <c r="E6152" i="2"/>
  <c r="D6152" i="2"/>
  <c r="B6152" i="2"/>
  <c r="A6152" i="2"/>
  <c r="O6151" i="2"/>
  <c r="M6151" i="2"/>
  <c r="L6151" i="2"/>
  <c r="E6151" i="2"/>
  <c r="D6151" i="2"/>
  <c r="B6151" i="2"/>
  <c r="A6151" i="2"/>
  <c r="O6150" i="2"/>
  <c r="O6149" i="2"/>
  <c r="O6148" i="2"/>
  <c r="M6148" i="2"/>
  <c r="L6148" i="2"/>
  <c r="E6148" i="2"/>
  <c r="D6148" i="2"/>
  <c r="B6148" i="2"/>
  <c r="A6148" i="2"/>
  <c r="O6147" i="2"/>
  <c r="O6146" i="2"/>
  <c r="M6146" i="2"/>
  <c r="L6146" i="2"/>
  <c r="E6146" i="2"/>
  <c r="D6146" i="2"/>
  <c r="B6146" i="2"/>
  <c r="A6146" i="2"/>
  <c r="O6145" i="2"/>
  <c r="O6144" i="2"/>
  <c r="M6144" i="2"/>
  <c r="L6144" i="2"/>
  <c r="E6144" i="2"/>
  <c r="D6144" i="2"/>
  <c r="B6144" i="2"/>
  <c r="A6144" i="2"/>
  <c r="O6143" i="2"/>
  <c r="O6142" i="2"/>
  <c r="M6142" i="2"/>
  <c r="L6142" i="2"/>
  <c r="E6142" i="2"/>
  <c r="D6142" i="2"/>
  <c r="B6142" i="2"/>
  <c r="A6142" i="2"/>
  <c r="O6141" i="2"/>
  <c r="M6141" i="2"/>
  <c r="L6141" i="2"/>
  <c r="E6141" i="2"/>
  <c r="D6141" i="2"/>
  <c r="B6141" i="2"/>
  <c r="A6141" i="2"/>
  <c r="O6140" i="2"/>
  <c r="O6139" i="2"/>
  <c r="M6139" i="2"/>
  <c r="L6139" i="2"/>
  <c r="E6139" i="2"/>
  <c r="D6139" i="2"/>
  <c r="B6139" i="2"/>
  <c r="A6139" i="2"/>
  <c r="O6138" i="2"/>
  <c r="O6137" i="2"/>
  <c r="M6137" i="2"/>
  <c r="L6137" i="2"/>
  <c r="E6137" i="2"/>
  <c r="D6137" i="2"/>
  <c r="B6137" i="2"/>
  <c r="A6137" i="2"/>
  <c r="O6136" i="2"/>
  <c r="O6135" i="2"/>
  <c r="M6135" i="2"/>
  <c r="L6135" i="2"/>
  <c r="E6135" i="2"/>
  <c r="D6135" i="2"/>
  <c r="B6135" i="2"/>
  <c r="A6135" i="2"/>
  <c r="O6134" i="2"/>
  <c r="O6133" i="2"/>
  <c r="O6132" i="2"/>
  <c r="M6132" i="2"/>
  <c r="L6132" i="2"/>
  <c r="E6132" i="2"/>
  <c r="D6132" i="2"/>
  <c r="B6132" i="2"/>
  <c r="A6132" i="2"/>
  <c r="O6131" i="2"/>
  <c r="O6130" i="2"/>
  <c r="O6129" i="2"/>
  <c r="O6128" i="2"/>
  <c r="M6128" i="2"/>
  <c r="L6128" i="2"/>
  <c r="E6128" i="2"/>
  <c r="D6128" i="2"/>
  <c r="B6128" i="2"/>
  <c r="A6128" i="2"/>
  <c r="O6127" i="2"/>
  <c r="O6126" i="2"/>
  <c r="O6125" i="2"/>
  <c r="M6125" i="2"/>
  <c r="L6125" i="2"/>
  <c r="E6125" i="2"/>
  <c r="D6125" i="2"/>
  <c r="B6125" i="2"/>
  <c r="A6125" i="2"/>
  <c r="O6124" i="2"/>
  <c r="O6123" i="2"/>
  <c r="O6122" i="2"/>
  <c r="M6122" i="2"/>
  <c r="L6122" i="2"/>
  <c r="E6122" i="2"/>
  <c r="D6122" i="2"/>
  <c r="B6122" i="2"/>
  <c r="A6122" i="2"/>
  <c r="O6121" i="2"/>
  <c r="M6121" i="2"/>
  <c r="L6121" i="2"/>
  <c r="E6121" i="2"/>
  <c r="D6121" i="2"/>
  <c r="B6121" i="2"/>
  <c r="A6121" i="2"/>
  <c r="O6120" i="2"/>
  <c r="M6120" i="2"/>
  <c r="L6120" i="2"/>
  <c r="E6120" i="2"/>
  <c r="D6120" i="2"/>
  <c r="B6120" i="2"/>
  <c r="A6120" i="2"/>
  <c r="O6119" i="2"/>
  <c r="M6119" i="2"/>
  <c r="L6119" i="2"/>
  <c r="E6119" i="2"/>
  <c r="D6119" i="2"/>
  <c r="B6119" i="2"/>
  <c r="A6119" i="2"/>
  <c r="O6118" i="2"/>
  <c r="M6118" i="2"/>
  <c r="L6118" i="2"/>
  <c r="E6118" i="2"/>
  <c r="D6118" i="2"/>
  <c r="B6118" i="2"/>
  <c r="A6118" i="2"/>
  <c r="O6117" i="2"/>
  <c r="M6117" i="2"/>
  <c r="L6117" i="2"/>
  <c r="E6117" i="2"/>
  <c r="D6117" i="2"/>
  <c r="B6117" i="2"/>
  <c r="A6117" i="2"/>
  <c r="O6116" i="2"/>
  <c r="O6115" i="2"/>
  <c r="O6114" i="2"/>
  <c r="M6114" i="2"/>
  <c r="L6114" i="2"/>
  <c r="E6114" i="2"/>
  <c r="D6114" i="2"/>
  <c r="B6114" i="2"/>
  <c r="A6114" i="2"/>
  <c r="O6113" i="2"/>
  <c r="O6112" i="2"/>
  <c r="M6112" i="2"/>
  <c r="L6112" i="2"/>
  <c r="E6112" i="2"/>
  <c r="D6112" i="2"/>
  <c r="B6112" i="2"/>
  <c r="A6112" i="2"/>
  <c r="O6111" i="2"/>
  <c r="M6111" i="2"/>
  <c r="L6111" i="2"/>
  <c r="E6111" i="2"/>
  <c r="D6111" i="2"/>
  <c r="B6111" i="2"/>
  <c r="A6111" i="2"/>
  <c r="O6110" i="2"/>
  <c r="O6109" i="2"/>
  <c r="O6108" i="2"/>
  <c r="O6107" i="2"/>
  <c r="M6107" i="2"/>
  <c r="L6107" i="2"/>
  <c r="E6107" i="2"/>
  <c r="D6107" i="2"/>
  <c r="B6107" i="2"/>
  <c r="A6107" i="2"/>
  <c r="O6106" i="2"/>
  <c r="M6106" i="2"/>
  <c r="L6106" i="2"/>
  <c r="E6106" i="2"/>
  <c r="D6106" i="2"/>
  <c r="B6106" i="2"/>
  <c r="A6106" i="2"/>
  <c r="O6105" i="2"/>
  <c r="M6105" i="2"/>
  <c r="L6105" i="2"/>
  <c r="E6105" i="2"/>
  <c r="D6105" i="2"/>
  <c r="B6105" i="2"/>
  <c r="A6105" i="2"/>
  <c r="O6104" i="2"/>
  <c r="M6104" i="2"/>
  <c r="L6104" i="2"/>
  <c r="E6104" i="2"/>
  <c r="D6104" i="2"/>
  <c r="B6104" i="2"/>
  <c r="A6104" i="2"/>
  <c r="O6103" i="2"/>
  <c r="M6103" i="2"/>
  <c r="L6103" i="2"/>
  <c r="E6103" i="2"/>
  <c r="D6103" i="2"/>
  <c r="B6103" i="2"/>
  <c r="A6103" i="2"/>
  <c r="O6102" i="2"/>
  <c r="M6102" i="2"/>
  <c r="L6102" i="2"/>
  <c r="E6102" i="2"/>
  <c r="D6102" i="2"/>
  <c r="B6102" i="2"/>
  <c r="A6102" i="2"/>
  <c r="O6101" i="2"/>
  <c r="O6100" i="2"/>
  <c r="M6100" i="2"/>
  <c r="L6100" i="2"/>
  <c r="E6100" i="2"/>
  <c r="D6100" i="2"/>
  <c r="B6100" i="2"/>
  <c r="A6100" i="2"/>
  <c r="O6099" i="2"/>
  <c r="O6098" i="2"/>
  <c r="M6098" i="2"/>
  <c r="L6098" i="2"/>
  <c r="E6098" i="2"/>
  <c r="D6098" i="2"/>
  <c r="B6098" i="2"/>
  <c r="A6098" i="2"/>
  <c r="O6097" i="2"/>
  <c r="M6097" i="2"/>
  <c r="L6097" i="2"/>
  <c r="E6097" i="2"/>
  <c r="D6097" i="2"/>
  <c r="B6097" i="2"/>
  <c r="A6097" i="2"/>
  <c r="O6096" i="2"/>
  <c r="M6096" i="2"/>
  <c r="L6096" i="2"/>
  <c r="E6096" i="2"/>
  <c r="D6096" i="2"/>
  <c r="B6096" i="2"/>
  <c r="A6096" i="2"/>
  <c r="O6095" i="2"/>
  <c r="M6095" i="2"/>
  <c r="L6095" i="2"/>
  <c r="E6095" i="2"/>
  <c r="D6095" i="2"/>
  <c r="B6095" i="2"/>
  <c r="A6095" i="2"/>
  <c r="O6094" i="2"/>
  <c r="O6093" i="2"/>
  <c r="O6092" i="2"/>
  <c r="M6092" i="2"/>
  <c r="L6092" i="2"/>
  <c r="E6092" i="2"/>
  <c r="D6092" i="2"/>
  <c r="B6092" i="2"/>
  <c r="A6092" i="2"/>
  <c r="O6091" i="2"/>
  <c r="O6090" i="2"/>
  <c r="O6089" i="2"/>
  <c r="M6089" i="2"/>
  <c r="L6089" i="2"/>
  <c r="E6089" i="2"/>
  <c r="D6089" i="2"/>
  <c r="B6089" i="2"/>
  <c r="A6089" i="2"/>
  <c r="O6088" i="2"/>
  <c r="O6087" i="2"/>
  <c r="M6087" i="2"/>
  <c r="L6087" i="2"/>
  <c r="E6087" i="2"/>
  <c r="D6087" i="2"/>
  <c r="B6087" i="2"/>
  <c r="A6087" i="2"/>
  <c r="O6086" i="2"/>
  <c r="M6086" i="2"/>
  <c r="L6086" i="2"/>
  <c r="E6086" i="2"/>
  <c r="D6086" i="2"/>
  <c r="B6086" i="2"/>
  <c r="A6086" i="2"/>
  <c r="O6085" i="2"/>
  <c r="M6085" i="2"/>
  <c r="L6085" i="2"/>
  <c r="E6085" i="2"/>
  <c r="D6085" i="2"/>
  <c r="B6085" i="2"/>
  <c r="A6085" i="2"/>
  <c r="O6084" i="2"/>
  <c r="M6084" i="2"/>
  <c r="L6084" i="2"/>
  <c r="E6084" i="2"/>
  <c r="D6084" i="2"/>
  <c r="B6084" i="2"/>
  <c r="A6084" i="2"/>
  <c r="O6083" i="2"/>
  <c r="O6082" i="2"/>
  <c r="O6081" i="2"/>
  <c r="M6081" i="2"/>
  <c r="L6081" i="2"/>
  <c r="E6081" i="2"/>
  <c r="D6081" i="2"/>
  <c r="B6081" i="2"/>
  <c r="A6081" i="2"/>
  <c r="O6080" i="2"/>
  <c r="O6079" i="2"/>
  <c r="O6078" i="2"/>
  <c r="M6078" i="2"/>
  <c r="L6078" i="2"/>
  <c r="E6078" i="2"/>
  <c r="D6078" i="2"/>
  <c r="B6078" i="2"/>
  <c r="A6078" i="2"/>
  <c r="O6077" i="2"/>
  <c r="M6077" i="2"/>
  <c r="L6077" i="2"/>
  <c r="E6077" i="2"/>
  <c r="D6077" i="2"/>
  <c r="B6077" i="2"/>
  <c r="A6077" i="2"/>
  <c r="O6076" i="2"/>
  <c r="M6076" i="2"/>
  <c r="L6076" i="2"/>
  <c r="E6076" i="2"/>
  <c r="D6076" i="2"/>
  <c r="B6076" i="2"/>
  <c r="A6076" i="2"/>
  <c r="O6075" i="2"/>
  <c r="O6074" i="2"/>
  <c r="M6074" i="2"/>
  <c r="L6074" i="2"/>
  <c r="E6074" i="2"/>
  <c r="D6074" i="2"/>
  <c r="B6074" i="2"/>
  <c r="A6074" i="2"/>
  <c r="O6073" i="2"/>
  <c r="O6072" i="2"/>
  <c r="M6072" i="2"/>
  <c r="L6072" i="2"/>
  <c r="E6072" i="2"/>
  <c r="D6072" i="2"/>
  <c r="B6072" i="2"/>
  <c r="A6072" i="2"/>
  <c r="O6071" i="2"/>
  <c r="O6070" i="2"/>
  <c r="M6070" i="2"/>
  <c r="L6070" i="2"/>
  <c r="E6070" i="2"/>
  <c r="D6070" i="2"/>
  <c r="B6070" i="2"/>
  <c r="A6070" i="2"/>
  <c r="O6069" i="2"/>
  <c r="O6068" i="2"/>
  <c r="M6068" i="2"/>
  <c r="L6068" i="2"/>
  <c r="E6068" i="2"/>
  <c r="D6068" i="2"/>
  <c r="B6068" i="2"/>
  <c r="A6068" i="2"/>
  <c r="O6067" i="2"/>
  <c r="O6066" i="2"/>
  <c r="O6065" i="2"/>
  <c r="M6065" i="2"/>
  <c r="L6065" i="2"/>
  <c r="E6065" i="2"/>
  <c r="D6065" i="2"/>
  <c r="B6065" i="2"/>
  <c r="A6065" i="2"/>
  <c r="O6064" i="2"/>
  <c r="O6063" i="2"/>
  <c r="M6063" i="2"/>
  <c r="L6063" i="2"/>
  <c r="E6063" i="2"/>
  <c r="D6063" i="2"/>
  <c r="B6063" i="2"/>
  <c r="A6063" i="2"/>
  <c r="O6062" i="2"/>
  <c r="O6061" i="2"/>
  <c r="O6060" i="2"/>
  <c r="O6059" i="2"/>
  <c r="M6059" i="2"/>
  <c r="L6059" i="2"/>
  <c r="E6059" i="2"/>
  <c r="D6059" i="2"/>
  <c r="B6059" i="2"/>
  <c r="A6059" i="2"/>
  <c r="O6058" i="2"/>
  <c r="O6057" i="2"/>
  <c r="O6056" i="2"/>
  <c r="O6055" i="2"/>
  <c r="O6054" i="2"/>
  <c r="M6054" i="2"/>
  <c r="L6054" i="2"/>
  <c r="E6054" i="2"/>
  <c r="D6054" i="2"/>
  <c r="B6054" i="2"/>
  <c r="A6054" i="2"/>
  <c r="O6053" i="2"/>
  <c r="O6052" i="2"/>
  <c r="M6052" i="2"/>
  <c r="L6052" i="2"/>
  <c r="E6052" i="2"/>
  <c r="D6052" i="2"/>
  <c r="B6052" i="2"/>
  <c r="A6052" i="2"/>
  <c r="O6051" i="2"/>
  <c r="O6050" i="2"/>
  <c r="M6050" i="2"/>
  <c r="L6050" i="2"/>
  <c r="E6050" i="2"/>
  <c r="D6050" i="2"/>
  <c r="B6050" i="2"/>
  <c r="A6050" i="2"/>
  <c r="O6049" i="2"/>
  <c r="O6048" i="2"/>
  <c r="M6048" i="2"/>
  <c r="L6048" i="2"/>
  <c r="E6048" i="2"/>
  <c r="D6048" i="2"/>
  <c r="B6048" i="2"/>
  <c r="A6048" i="2"/>
  <c r="O6047" i="2"/>
  <c r="O6046" i="2"/>
  <c r="O6045" i="2"/>
  <c r="O6044" i="2"/>
  <c r="O6043" i="2"/>
  <c r="O6042" i="2"/>
  <c r="M6042" i="2"/>
  <c r="L6042" i="2"/>
  <c r="E6042" i="2"/>
  <c r="D6042" i="2"/>
  <c r="B6042" i="2"/>
  <c r="A6042" i="2"/>
  <c r="O6041" i="2"/>
  <c r="O6040" i="2"/>
  <c r="M6040" i="2"/>
  <c r="L6040" i="2"/>
  <c r="E6040" i="2"/>
  <c r="D6040" i="2"/>
  <c r="B6040" i="2"/>
  <c r="A6040" i="2"/>
  <c r="O6039" i="2"/>
  <c r="M6039" i="2"/>
  <c r="L6039" i="2"/>
  <c r="E6039" i="2"/>
  <c r="D6039" i="2"/>
  <c r="B6039" i="2"/>
  <c r="A6039" i="2"/>
  <c r="O6038" i="2"/>
  <c r="O6037" i="2"/>
  <c r="O6036" i="2"/>
  <c r="M6036" i="2"/>
  <c r="L6036" i="2"/>
  <c r="E6036" i="2"/>
  <c r="D6036" i="2"/>
  <c r="B6036" i="2"/>
  <c r="A6036" i="2"/>
  <c r="O6035" i="2"/>
  <c r="O6034" i="2"/>
  <c r="M6034" i="2"/>
  <c r="L6034" i="2"/>
  <c r="E6034" i="2"/>
  <c r="D6034" i="2"/>
  <c r="B6034" i="2"/>
  <c r="A6034" i="2"/>
  <c r="O6033" i="2"/>
  <c r="M6033" i="2"/>
  <c r="L6033" i="2"/>
  <c r="E6033" i="2"/>
  <c r="D6033" i="2"/>
  <c r="B6033" i="2"/>
  <c r="A6033" i="2"/>
  <c r="O6032" i="2"/>
  <c r="M6032" i="2"/>
  <c r="L6032" i="2"/>
  <c r="E6032" i="2"/>
  <c r="D6032" i="2"/>
  <c r="B6032" i="2"/>
  <c r="A6032" i="2"/>
  <c r="O6031" i="2"/>
  <c r="O6030" i="2"/>
  <c r="O6029" i="2"/>
  <c r="M6029" i="2"/>
  <c r="L6029" i="2"/>
  <c r="E6029" i="2"/>
  <c r="D6029" i="2"/>
  <c r="B6029" i="2"/>
  <c r="A6029" i="2"/>
  <c r="O6028" i="2"/>
  <c r="O6027" i="2"/>
  <c r="O6026" i="2"/>
  <c r="M6026" i="2"/>
  <c r="L6026" i="2"/>
  <c r="E6026" i="2"/>
  <c r="D6026" i="2"/>
  <c r="B6026" i="2"/>
  <c r="A6026" i="2"/>
  <c r="O6025" i="2"/>
  <c r="M6025" i="2"/>
  <c r="L6025" i="2"/>
  <c r="E6025" i="2"/>
  <c r="D6025" i="2"/>
  <c r="B6025" i="2"/>
  <c r="A6025" i="2"/>
  <c r="O6024" i="2"/>
  <c r="O6023" i="2"/>
  <c r="M6023" i="2"/>
  <c r="L6023" i="2"/>
  <c r="E6023" i="2"/>
  <c r="D6023" i="2"/>
  <c r="B6023" i="2"/>
  <c r="A6023" i="2"/>
  <c r="O6022" i="2"/>
  <c r="O6021" i="2"/>
  <c r="M6021" i="2"/>
  <c r="L6021" i="2"/>
  <c r="E6021" i="2"/>
  <c r="D6021" i="2"/>
  <c r="B6021" i="2"/>
  <c r="A6021" i="2"/>
  <c r="O6020" i="2"/>
  <c r="O6019" i="2"/>
  <c r="O6018" i="2"/>
  <c r="O6017" i="2"/>
  <c r="M6017" i="2"/>
  <c r="L6017" i="2"/>
  <c r="E6017" i="2"/>
  <c r="D6017" i="2"/>
  <c r="B6017" i="2"/>
  <c r="A6017" i="2"/>
  <c r="O6016" i="2"/>
  <c r="O6015" i="2"/>
  <c r="M6015" i="2"/>
  <c r="L6015" i="2"/>
  <c r="E6015" i="2"/>
  <c r="D6015" i="2"/>
  <c r="B6015" i="2"/>
  <c r="A6015" i="2"/>
  <c r="O6014" i="2"/>
  <c r="O6013" i="2"/>
  <c r="M6013" i="2"/>
  <c r="L6013" i="2"/>
  <c r="E6013" i="2"/>
  <c r="D6013" i="2"/>
  <c r="B6013" i="2"/>
  <c r="A6013" i="2"/>
  <c r="O6012" i="2"/>
  <c r="O6011" i="2"/>
  <c r="M6011" i="2"/>
  <c r="L6011" i="2"/>
  <c r="E6011" i="2"/>
  <c r="D6011" i="2"/>
  <c r="B6011" i="2"/>
  <c r="A6011" i="2"/>
  <c r="O6010" i="2"/>
  <c r="O6009" i="2"/>
  <c r="O6008" i="2"/>
  <c r="M6008" i="2"/>
  <c r="L6008" i="2"/>
  <c r="E6008" i="2"/>
  <c r="D6008" i="2"/>
  <c r="B6008" i="2"/>
  <c r="A6008" i="2"/>
  <c r="O6007" i="2"/>
  <c r="O6006" i="2"/>
  <c r="M6006" i="2"/>
  <c r="L6006" i="2"/>
  <c r="E6006" i="2"/>
  <c r="D6006" i="2"/>
  <c r="B6006" i="2"/>
  <c r="A6006" i="2"/>
  <c r="O6005" i="2"/>
  <c r="O6004" i="2"/>
  <c r="M6004" i="2"/>
  <c r="L6004" i="2"/>
  <c r="E6004" i="2"/>
  <c r="D6004" i="2"/>
  <c r="B6004" i="2"/>
  <c r="A6004" i="2"/>
  <c r="O6003" i="2"/>
  <c r="M6003" i="2"/>
  <c r="L6003" i="2"/>
  <c r="E6003" i="2"/>
  <c r="D6003" i="2"/>
  <c r="B6003" i="2"/>
  <c r="A6003" i="2"/>
  <c r="O6002" i="2"/>
  <c r="M6002" i="2"/>
  <c r="L6002" i="2"/>
  <c r="E6002" i="2"/>
  <c r="D6002" i="2"/>
  <c r="B6002" i="2"/>
  <c r="A6002" i="2"/>
  <c r="O6001" i="2"/>
  <c r="O6000" i="2"/>
  <c r="M6000" i="2"/>
  <c r="L6000" i="2"/>
  <c r="E6000" i="2"/>
  <c r="D6000" i="2"/>
  <c r="B6000" i="2"/>
  <c r="A6000" i="2"/>
  <c r="O5999" i="2"/>
  <c r="O5998" i="2"/>
  <c r="M5998" i="2"/>
  <c r="L5998" i="2"/>
  <c r="E5998" i="2"/>
  <c r="D5998" i="2"/>
  <c r="B5998" i="2"/>
  <c r="A5998" i="2"/>
  <c r="O5997" i="2"/>
  <c r="O5996" i="2"/>
  <c r="O5995" i="2"/>
  <c r="M5995" i="2"/>
  <c r="L5995" i="2"/>
  <c r="E5995" i="2"/>
  <c r="D5995" i="2"/>
  <c r="B5995" i="2"/>
  <c r="A5995" i="2"/>
  <c r="O5994" i="2"/>
  <c r="O5993" i="2"/>
  <c r="M5993" i="2"/>
  <c r="L5993" i="2"/>
  <c r="E5993" i="2"/>
  <c r="D5993" i="2"/>
  <c r="B5993" i="2"/>
  <c r="A5993" i="2"/>
  <c r="O5992" i="2"/>
  <c r="O5991" i="2"/>
  <c r="M5991" i="2"/>
  <c r="L5991" i="2"/>
  <c r="E5991" i="2"/>
  <c r="D5991" i="2"/>
  <c r="B5991" i="2"/>
  <c r="A5991" i="2"/>
  <c r="O5990" i="2"/>
  <c r="O5989" i="2"/>
  <c r="M5989" i="2"/>
  <c r="L5989" i="2"/>
  <c r="E5989" i="2"/>
  <c r="D5989" i="2"/>
  <c r="B5989" i="2"/>
  <c r="A5989" i="2"/>
  <c r="O5988" i="2"/>
  <c r="M5988" i="2"/>
  <c r="L5988" i="2"/>
  <c r="E5988" i="2"/>
  <c r="D5988" i="2"/>
  <c r="B5988" i="2"/>
  <c r="A5988" i="2"/>
  <c r="O5987" i="2"/>
  <c r="O5986" i="2"/>
  <c r="O5985" i="2"/>
  <c r="M5985" i="2"/>
  <c r="L5985" i="2"/>
  <c r="E5985" i="2"/>
  <c r="D5985" i="2"/>
  <c r="B5985" i="2"/>
  <c r="A5985" i="2"/>
  <c r="O5984" i="2"/>
  <c r="O5983" i="2"/>
  <c r="O5982" i="2"/>
  <c r="M5982" i="2"/>
  <c r="L5982" i="2"/>
  <c r="E5982" i="2"/>
  <c r="D5982" i="2"/>
  <c r="B5982" i="2"/>
  <c r="A5982" i="2"/>
  <c r="O5981" i="2"/>
  <c r="M5981" i="2"/>
  <c r="L5981" i="2"/>
  <c r="E5981" i="2"/>
  <c r="D5981" i="2"/>
  <c r="B5981" i="2"/>
  <c r="A5981" i="2"/>
  <c r="O5980" i="2"/>
  <c r="O5979" i="2"/>
  <c r="M5979" i="2"/>
  <c r="L5979" i="2"/>
  <c r="E5979" i="2"/>
  <c r="D5979" i="2"/>
  <c r="B5979" i="2"/>
  <c r="A5979" i="2"/>
  <c r="O5978" i="2"/>
  <c r="O5977" i="2"/>
  <c r="M5977" i="2"/>
  <c r="L5977" i="2"/>
  <c r="E5977" i="2"/>
  <c r="D5977" i="2"/>
  <c r="B5977" i="2"/>
  <c r="A5977" i="2"/>
  <c r="O5976" i="2"/>
  <c r="M5976" i="2"/>
  <c r="L5976" i="2"/>
  <c r="E5976" i="2"/>
  <c r="D5976" i="2"/>
  <c r="B5976" i="2"/>
  <c r="A5976" i="2"/>
  <c r="O5975" i="2"/>
  <c r="O5974" i="2"/>
  <c r="M5974" i="2"/>
  <c r="L5974" i="2"/>
  <c r="E5974" i="2"/>
  <c r="D5974" i="2"/>
  <c r="B5974" i="2"/>
  <c r="A5974" i="2"/>
  <c r="O5973" i="2"/>
  <c r="M5973" i="2"/>
  <c r="L5973" i="2"/>
  <c r="E5973" i="2"/>
  <c r="D5973" i="2"/>
  <c r="B5973" i="2"/>
  <c r="A5973" i="2"/>
  <c r="O5972" i="2"/>
  <c r="M5972" i="2"/>
  <c r="L5972" i="2"/>
  <c r="E5972" i="2"/>
  <c r="D5972" i="2"/>
  <c r="B5972" i="2"/>
  <c r="A5972" i="2"/>
  <c r="O5971" i="2"/>
  <c r="O5970" i="2"/>
  <c r="O5969" i="2"/>
  <c r="M5969" i="2"/>
  <c r="L5969" i="2"/>
  <c r="E5969" i="2"/>
  <c r="D5969" i="2"/>
  <c r="B5969" i="2"/>
  <c r="A5969" i="2"/>
  <c r="O5968" i="2"/>
  <c r="O5967" i="2"/>
  <c r="O5966" i="2"/>
  <c r="O5965" i="2"/>
  <c r="M5965" i="2"/>
  <c r="L5965" i="2"/>
  <c r="E5965" i="2"/>
  <c r="D5965" i="2"/>
  <c r="B5965" i="2"/>
  <c r="A5965" i="2"/>
  <c r="O5964" i="2"/>
  <c r="O5963" i="2"/>
  <c r="O5962" i="2"/>
  <c r="O5961" i="2"/>
  <c r="O5960" i="2"/>
  <c r="M5960" i="2"/>
  <c r="L5960" i="2"/>
  <c r="E5960" i="2"/>
  <c r="D5960" i="2"/>
  <c r="B5960" i="2"/>
  <c r="A5960" i="2"/>
  <c r="O5959" i="2"/>
  <c r="M5959" i="2"/>
  <c r="L5959" i="2"/>
  <c r="E5959" i="2"/>
  <c r="D5959" i="2"/>
  <c r="B5959" i="2"/>
  <c r="A5959" i="2"/>
  <c r="O5958" i="2"/>
  <c r="M5958" i="2"/>
  <c r="L5958" i="2"/>
  <c r="E5958" i="2"/>
  <c r="D5958" i="2"/>
  <c r="B5958" i="2"/>
  <c r="A5958" i="2"/>
  <c r="O5957" i="2"/>
  <c r="O5956" i="2"/>
  <c r="M5956" i="2"/>
  <c r="L5956" i="2"/>
  <c r="E5956" i="2"/>
  <c r="D5956" i="2"/>
  <c r="B5956" i="2"/>
  <c r="A5956" i="2"/>
  <c r="O5955" i="2"/>
  <c r="O5954" i="2"/>
  <c r="O5953" i="2"/>
  <c r="O5952" i="2"/>
  <c r="M5952" i="2"/>
  <c r="L5952" i="2"/>
  <c r="E5952" i="2"/>
  <c r="D5952" i="2"/>
  <c r="B5952" i="2"/>
  <c r="A5952" i="2"/>
  <c r="O5951" i="2"/>
  <c r="O5950" i="2"/>
  <c r="O5949" i="2"/>
  <c r="O5948" i="2"/>
  <c r="M5948" i="2"/>
  <c r="L5948" i="2"/>
  <c r="E5948" i="2"/>
  <c r="D5948" i="2"/>
  <c r="B5948" i="2"/>
  <c r="A5948" i="2"/>
  <c r="O5947" i="2"/>
  <c r="O5946" i="2"/>
  <c r="M5946" i="2"/>
  <c r="L5946" i="2"/>
  <c r="E5946" i="2"/>
  <c r="D5946" i="2"/>
  <c r="B5946" i="2"/>
  <c r="A5946" i="2"/>
  <c r="O5945" i="2"/>
  <c r="M5945" i="2"/>
  <c r="L5945" i="2"/>
  <c r="E5945" i="2"/>
  <c r="D5945" i="2"/>
  <c r="B5945" i="2"/>
  <c r="A5945" i="2"/>
  <c r="O5944" i="2"/>
  <c r="M5944" i="2"/>
  <c r="L5944" i="2"/>
  <c r="E5944" i="2"/>
  <c r="D5944" i="2"/>
  <c r="B5944" i="2"/>
  <c r="A5944" i="2"/>
  <c r="O5943" i="2"/>
  <c r="O5942" i="2"/>
  <c r="M5942" i="2"/>
  <c r="L5942" i="2"/>
  <c r="E5942" i="2"/>
  <c r="D5942" i="2"/>
  <c r="B5942" i="2"/>
  <c r="A5942" i="2"/>
  <c r="O5941" i="2"/>
  <c r="O5940" i="2"/>
  <c r="M5940" i="2"/>
  <c r="L5940" i="2"/>
  <c r="E5940" i="2"/>
  <c r="D5940" i="2"/>
  <c r="B5940" i="2"/>
  <c r="A5940" i="2"/>
  <c r="O5939" i="2"/>
  <c r="O5938" i="2"/>
  <c r="O5937" i="2"/>
  <c r="O5936" i="2"/>
  <c r="M5936" i="2"/>
  <c r="L5936" i="2"/>
  <c r="E5936" i="2"/>
  <c r="D5936" i="2"/>
  <c r="B5936" i="2"/>
  <c r="A5936" i="2"/>
  <c r="O5935" i="2"/>
  <c r="O5934" i="2"/>
  <c r="O5933" i="2"/>
  <c r="M5933" i="2"/>
  <c r="L5933" i="2"/>
  <c r="E5933" i="2"/>
  <c r="D5933" i="2"/>
  <c r="B5933" i="2"/>
  <c r="A5933" i="2"/>
  <c r="O5932" i="2"/>
  <c r="M5932" i="2"/>
  <c r="L5932" i="2"/>
  <c r="E5932" i="2"/>
  <c r="D5932" i="2"/>
  <c r="B5932" i="2"/>
  <c r="A5932" i="2"/>
  <c r="O5931" i="2"/>
  <c r="O5930" i="2"/>
  <c r="O5929" i="2"/>
  <c r="O5928" i="2"/>
  <c r="O5927" i="2"/>
  <c r="O5926" i="2"/>
  <c r="O5925" i="2"/>
  <c r="O5924" i="2"/>
  <c r="O5923" i="2"/>
  <c r="O5922" i="2"/>
  <c r="O5921" i="2"/>
  <c r="O5920" i="2"/>
  <c r="O5919" i="2"/>
  <c r="O5918" i="2"/>
  <c r="O5917" i="2"/>
  <c r="O5916" i="2"/>
  <c r="O5915" i="2"/>
  <c r="O5914" i="2"/>
  <c r="O5913" i="2"/>
  <c r="O5912" i="2"/>
  <c r="M5912" i="2"/>
  <c r="L5912" i="2"/>
  <c r="E5912" i="2"/>
  <c r="D5912" i="2"/>
  <c r="B5912" i="2"/>
  <c r="A5912" i="2"/>
  <c r="O5911" i="2"/>
  <c r="O5910" i="2"/>
  <c r="M5910" i="2"/>
  <c r="L5910" i="2"/>
  <c r="E5910" i="2"/>
  <c r="D5910" i="2"/>
  <c r="B5910" i="2"/>
  <c r="A5910" i="2"/>
  <c r="O5909" i="2"/>
  <c r="O5908" i="2"/>
  <c r="O5907" i="2"/>
  <c r="M5907" i="2"/>
  <c r="L5907" i="2"/>
  <c r="E5907" i="2"/>
  <c r="D5907" i="2"/>
  <c r="B5907" i="2"/>
  <c r="A5907" i="2"/>
  <c r="O5906" i="2"/>
  <c r="O5905" i="2"/>
  <c r="M5905" i="2"/>
  <c r="L5905" i="2"/>
  <c r="E5905" i="2"/>
  <c r="D5905" i="2"/>
  <c r="B5905" i="2"/>
  <c r="A5905" i="2"/>
  <c r="O5904" i="2"/>
  <c r="O5903" i="2"/>
  <c r="O5902" i="2"/>
  <c r="O5901" i="2"/>
  <c r="M5901" i="2"/>
  <c r="L5901" i="2"/>
  <c r="E5901" i="2"/>
  <c r="D5901" i="2"/>
  <c r="B5901" i="2"/>
  <c r="A5901" i="2"/>
  <c r="O5900" i="2"/>
  <c r="O5899" i="2"/>
  <c r="O5898" i="2"/>
  <c r="O5897" i="2"/>
  <c r="O5896" i="2"/>
  <c r="O5895" i="2"/>
  <c r="O5894" i="2"/>
  <c r="O5893" i="2"/>
  <c r="O5892" i="2"/>
  <c r="O5891" i="2"/>
  <c r="O5890" i="2"/>
  <c r="O5889" i="2"/>
  <c r="O5888" i="2"/>
  <c r="O5887" i="2"/>
  <c r="O5886" i="2"/>
  <c r="M5886" i="2"/>
  <c r="L5886" i="2"/>
  <c r="E5886" i="2"/>
  <c r="D5886" i="2"/>
  <c r="B5886" i="2"/>
  <c r="A5886" i="2"/>
  <c r="O5885" i="2"/>
  <c r="O5884" i="2"/>
  <c r="O5883" i="2"/>
  <c r="M5883" i="2"/>
  <c r="L5883" i="2"/>
  <c r="E5883" i="2"/>
  <c r="D5883" i="2"/>
  <c r="B5883" i="2"/>
  <c r="A5883" i="2"/>
  <c r="O5882" i="2"/>
  <c r="O5881" i="2"/>
  <c r="M5881" i="2"/>
  <c r="L5881" i="2"/>
  <c r="E5881" i="2"/>
  <c r="D5881" i="2"/>
  <c r="B5881" i="2"/>
  <c r="A5881" i="2"/>
  <c r="O5880" i="2"/>
  <c r="M5880" i="2"/>
  <c r="L5880" i="2"/>
  <c r="E5880" i="2"/>
  <c r="D5880" i="2"/>
  <c r="B5880" i="2"/>
  <c r="A5880" i="2"/>
  <c r="O5879" i="2"/>
  <c r="O5878" i="2"/>
  <c r="O5877" i="2"/>
  <c r="M5877" i="2"/>
  <c r="L5877" i="2"/>
  <c r="E5877" i="2"/>
  <c r="D5877" i="2"/>
  <c r="B5877" i="2"/>
  <c r="A5877" i="2"/>
  <c r="O5876" i="2"/>
  <c r="O5875" i="2"/>
  <c r="O5874" i="2"/>
  <c r="O5873" i="2"/>
  <c r="M5873" i="2"/>
  <c r="L5873" i="2"/>
  <c r="E5873" i="2"/>
  <c r="D5873" i="2"/>
  <c r="B5873" i="2"/>
  <c r="A5873" i="2"/>
  <c r="O5872" i="2"/>
  <c r="O5871" i="2"/>
  <c r="O5870" i="2"/>
  <c r="O5869" i="2"/>
  <c r="M5869" i="2"/>
  <c r="L5869" i="2"/>
  <c r="E5869" i="2"/>
  <c r="D5869" i="2"/>
  <c r="B5869" i="2"/>
  <c r="A5869" i="2"/>
  <c r="O5868" i="2"/>
  <c r="O5867" i="2"/>
  <c r="O5866" i="2"/>
  <c r="M5866" i="2"/>
  <c r="L5866" i="2"/>
  <c r="E5866" i="2"/>
  <c r="D5866" i="2"/>
  <c r="B5866" i="2"/>
  <c r="A5866" i="2"/>
  <c r="O5865" i="2"/>
  <c r="O5864" i="2"/>
  <c r="O5863" i="2"/>
  <c r="O5862" i="2"/>
  <c r="M5862" i="2"/>
  <c r="L5862" i="2"/>
  <c r="E5862" i="2"/>
  <c r="D5862" i="2"/>
  <c r="B5862" i="2"/>
  <c r="A5862" i="2"/>
  <c r="O5861" i="2"/>
  <c r="O5860" i="2"/>
  <c r="O5859" i="2"/>
  <c r="M5859" i="2"/>
  <c r="L5859" i="2"/>
  <c r="E5859" i="2"/>
  <c r="D5859" i="2"/>
  <c r="B5859" i="2"/>
  <c r="A5859" i="2"/>
  <c r="O5858" i="2"/>
  <c r="O5857" i="2"/>
  <c r="O5856" i="2"/>
  <c r="O5855" i="2"/>
  <c r="M5855" i="2"/>
  <c r="L5855" i="2"/>
  <c r="E5855" i="2"/>
  <c r="D5855" i="2"/>
  <c r="B5855" i="2"/>
  <c r="A5855" i="2"/>
  <c r="O5854" i="2"/>
  <c r="O5853" i="2"/>
  <c r="O5852" i="2"/>
  <c r="M5852" i="2"/>
  <c r="L5852" i="2"/>
  <c r="E5852" i="2"/>
  <c r="D5852" i="2"/>
  <c r="B5852" i="2"/>
  <c r="A5852" i="2"/>
  <c r="O5851" i="2"/>
  <c r="O5850" i="2"/>
  <c r="M5850" i="2"/>
  <c r="L5850" i="2"/>
  <c r="E5850" i="2"/>
  <c r="D5850" i="2"/>
  <c r="B5850" i="2"/>
  <c r="A5850" i="2"/>
  <c r="O5849" i="2"/>
  <c r="O5848" i="2"/>
  <c r="O5847" i="2"/>
  <c r="O5846" i="2"/>
  <c r="M5846" i="2"/>
  <c r="L5846" i="2"/>
  <c r="E5846" i="2"/>
  <c r="D5846" i="2"/>
  <c r="B5846" i="2"/>
  <c r="A5846" i="2"/>
  <c r="O5845" i="2"/>
  <c r="O5844" i="2"/>
  <c r="O5843" i="2"/>
  <c r="O5842" i="2"/>
  <c r="O5841" i="2"/>
  <c r="O5840" i="2"/>
  <c r="O5839" i="2"/>
  <c r="O5838" i="2"/>
  <c r="M5838" i="2"/>
  <c r="L5838" i="2"/>
  <c r="E5838" i="2"/>
  <c r="D5838" i="2"/>
  <c r="B5838" i="2"/>
  <c r="A5838" i="2"/>
  <c r="O5837" i="2"/>
  <c r="M5837" i="2"/>
  <c r="L5837" i="2"/>
  <c r="E5837" i="2"/>
  <c r="D5837" i="2"/>
  <c r="B5837" i="2"/>
  <c r="A5837" i="2"/>
  <c r="O5836" i="2"/>
  <c r="O5835" i="2"/>
  <c r="O5834" i="2"/>
  <c r="O5833" i="2"/>
  <c r="M5833" i="2"/>
  <c r="L5833" i="2"/>
  <c r="E5833" i="2"/>
  <c r="D5833" i="2"/>
  <c r="B5833" i="2"/>
  <c r="A5833" i="2"/>
  <c r="O5832" i="2"/>
  <c r="M5832" i="2"/>
  <c r="L5832" i="2"/>
  <c r="E5832" i="2"/>
  <c r="D5832" i="2"/>
  <c r="B5832" i="2"/>
  <c r="A5832" i="2"/>
  <c r="O5831" i="2"/>
  <c r="O5830" i="2"/>
  <c r="O5829" i="2"/>
  <c r="O5828" i="2"/>
  <c r="M5828" i="2"/>
  <c r="L5828" i="2"/>
  <c r="E5828" i="2"/>
  <c r="D5828" i="2"/>
  <c r="B5828" i="2"/>
  <c r="A5828" i="2"/>
  <c r="O5827" i="2"/>
  <c r="O5826" i="2"/>
  <c r="O5825" i="2"/>
  <c r="O5824" i="2"/>
  <c r="M5824" i="2"/>
  <c r="L5824" i="2"/>
  <c r="E5824" i="2"/>
  <c r="D5824" i="2"/>
  <c r="B5824" i="2"/>
  <c r="A5824" i="2"/>
  <c r="O5823" i="2"/>
  <c r="O5822" i="2"/>
  <c r="O5821" i="2"/>
  <c r="M5821" i="2"/>
  <c r="L5821" i="2"/>
  <c r="E5821" i="2"/>
  <c r="D5821" i="2"/>
  <c r="B5821" i="2"/>
  <c r="A5821" i="2"/>
  <c r="O5820" i="2"/>
  <c r="O5819" i="2"/>
  <c r="O5818" i="2"/>
  <c r="O5817" i="2"/>
  <c r="M5817" i="2"/>
  <c r="L5817" i="2"/>
  <c r="E5817" i="2"/>
  <c r="D5817" i="2"/>
  <c r="B5817" i="2"/>
  <c r="A5817" i="2"/>
  <c r="O5816" i="2"/>
  <c r="O5815" i="2"/>
  <c r="O5814" i="2"/>
  <c r="O5813" i="2"/>
  <c r="M5813" i="2"/>
  <c r="L5813" i="2"/>
  <c r="E5813" i="2"/>
  <c r="D5813" i="2"/>
  <c r="B5813" i="2"/>
  <c r="A5813" i="2"/>
  <c r="O5812" i="2"/>
  <c r="M5812" i="2"/>
  <c r="L5812" i="2"/>
  <c r="E5812" i="2"/>
  <c r="D5812" i="2"/>
  <c r="B5812" i="2"/>
  <c r="A5812" i="2"/>
  <c r="O5811" i="2"/>
  <c r="O5810" i="2"/>
  <c r="M5810" i="2"/>
  <c r="L5810" i="2"/>
  <c r="E5810" i="2"/>
  <c r="D5810" i="2"/>
  <c r="B5810" i="2"/>
  <c r="A5810" i="2"/>
  <c r="O5809" i="2"/>
  <c r="O5808" i="2"/>
  <c r="O5807" i="2"/>
  <c r="M5807" i="2"/>
  <c r="L5807" i="2"/>
  <c r="E5807" i="2"/>
  <c r="D5807" i="2"/>
  <c r="B5807" i="2"/>
  <c r="A5807" i="2"/>
  <c r="O5806" i="2"/>
  <c r="O5805" i="2"/>
  <c r="O5804" i="2"/>
  <c r="O5803" i="2"/>
  <c r="O5802" i="2"/>
  <c r="M5802" i="2"/>
  <c r="L5802" i="2"/>
  <c r="E5802" i="2"/>
  <c r="D5802" i="2"/>
  <c r="B5802" i="2"/>
  <c r="A5802" i="2"/>
  <c r="O5801" i="2"/>
  <c r="M5801" i="2"/>
  <c r="L5801" i="2"/>
  <c r="E5801" i="2"/>
  <c r="D5801" i="2"/>
  <c r="B5801" i="2"/>
  <c r="A5801" i="2"/>
  <c r="O5800" i="2"/>
  <c r="M5800" i="2"/>
  <c r="L5800" i="2"/>
  <c r="E5800" i="2"/>
  <c r="D5800" i="2"/>
  <c r="B5800" i="2"/>
  <c r="A5800" i="2"/>
  <c r="O5799" i="2"/>
  <c r="M5799" i="2"/>
  <c r="L5799" i="2"/>
  <c r="E5799" i="2"/>
  <c r="D5799" i="2"/>
  <c r="B5799" i="2"/>
  <c r="A5799" i="2"/>
  <c r="O5798" i="2"/>
  <c r="O5797" i="2"/>
  <c r="O5796" i="2"/>
  <c r="O5795" i="2"/>
  <c r="O5794" i="2"/>
  <c r="O5793" i="2"/>
  <c r="O5792" i="2"/>
  <c r="O5791" i="2"/>
  <c r="O5790" i="2"/>
  <c r="M5790" i="2"/>
  <c r="L5790" i="2"/>
  <c r="E5790" i="2"/>
  <c r="D5790" i="2"/>
  <c r="B5790" i="2"/>
  <c r="A5790" i="2"/>
  <c r="O5789" i="2"/>
  <c r="O5788" i="2"/>
  <c r="O5787" i="2"/>
  <c r="M5787" i="2"/>
  <c r="L5787" i="2"/>
  <c r="E5787" i="2"/>
  <c r="D5787" i="2"/>
  <c r="B5787" i="2"/>
  <c r="A5787" i="2"/>
  <c r="O5786" i="2"/>
  <c r="O5785" i="2"/>
  <c r="O5784" i="2"/>
  <c r="O5783" i="2"/>
  <c r="M5783" i="2"/>
  <c r="L5783" i="2"/>
  <c r="E5783" i="2"/>
  <c r="D5783" i="2"/>
  <c r="B5783" i="2"/>
  <c r="A5783" i="2"/>
  <c r="O5782" i="2"/>
  <c r="O5781" i="2"/>
  <c r="O5780" i="2"/>
  <c r="M5780" i="2"/>
  <c r="L5780" i="2"/>
  <c r="E5780" i="2"/>
  <c r="D5780" i="2"/>
  <c r="B5780" i="2"/>
  <c r="A5780" i="2"/>
  <c r="O5779" i="2"/>
  <c r="M5779" i="2"/>
  <c r="L5779" i="2"/>
  <c r="E5779" i="2"/>
  <c r="D5779" i="2"/>
  <c r="B5779" i="2"/>
  <c r="A5779" i="2"/>
  <c r="O5778" i="2"/>
  <c r="O5777" i="2"/>
  <c r="M5777" i="2"/>
  <c r="L5777" i="2"/>
  <c r="E5777" i="2"/>
  <c r="D5777" i="2"/>
  <c r="B5777" i="2"/>
  <c r="A5777" i="2"/>
  <c r="O5776" i="2"/>
  <c r="O5775" i="2"/>
  <c r="M5775" i="2"/>
  <c r="L5775" i="2"/>
  <c r="E5775" i="2"/>
  <c r="D5775" i="2"/>
  <c r="B5775" i="2"/>
  <c r="A5775" i="2"/>
  <c r="O5774" i="2"/>
  <c r="M5774" i="2"/>
  <c r="L5774" i="2"/>
  <c r="E5774" i="2"/>
  <c r="D5774" i="2"/>
  <c r="B5774" i="2"/>
  <c r="A5774" i="2"/>
  <c r="O5773" i="2"/>
  <c r="O5772" i="2"/>
  <c r="O5771" i="2"/>
  <c r="M5771" i="2"/>
  <c r="L5771" i="2"/>
  <c r="E5771" i="2"/>
  <c r="D5771" i="2"/>
  <c r="B5771" i="2"/>
  <c r="A5771" i="2"/>
  <c r="O5770" i="2"/>
  <c r="M5770" i="2"/>
  <c r="L5770" i="2"/>
  <c r="E5770" i="2"/>
  <c r="D5770" i="2"/>
  <c r="B5770" i="2"/>
  <c r="A5770" i="2"/>
  <c r="O5769" i="2"/>
  <c r="O5768" i="2"/>
  <c r="M5768" i="2"/>
  <c r="L5768" i="2"/>
  <c r="E5768" i="2"/>
  <c r="D5768" i="2"/>
  <c r="B5768" i="2"/>
  <c r="A5768" i="2"/>
  <c r="O5767" i="2"/>
  <c r="O5766" i="2"/>
  <c r="O5765" i="2"/>
  <c r="O5764" i="2"/>
  <c r="M5764" i="2"/>
  <c r="L5764" i="2"/>
  <c r="E5764" i="2"/>
  <c r="D5764" i="2"/>
  <c r="B5764" i="2"/>
  <c r="A5764" i="2"/>
  <c r="O5763" i="2"/>
  <c r="O5762" i="2"/>
  <c r="O5761" i="2"/>
  <c r="O5760" i="2"/>
  <c r="O5759" i="2"/>
  <c r="O5758" i="2"/>
  <c r="M5758" i="2"/>
  <c r="L5758" i="2"/>
  <c r="E5758" i="2"/>
  <c r="D5758" i="2"/>
  <c r="B5758" i="2"/>
  <c r="A5758" i="2"/>
  <c r="O5757" i="2"/>
  <c r="O5756" i="2"/>
  <c r="O5755" i="2"/>
  <c r="O5754" i="2"/>
  <c r="M5754" i="2"/>
  <c r="L5754" i="2"/>
  <c r="E5754" i="2"/>
  <c r="D5754" i="2"/>
  <c r="B5754" i="2"/>
  <c r="A5754" i="2"/>
  <c r="O5753" i="2"/>
  <c r="O5752" i="2"/>
  <c r="O5751" i="2"/>
  <c r="O5750" i="2"/>
  <c r="O5749" i="2"/>
  <c r="O5748" i="2"/>
  <c r="O5747" i="2"/>
  <c r="O5746" i="2"/>
  <c r="O5745" i="2"/>
  <c r="O5744" i="2"/>
  <c r="O5743" i="2"/>
  <c r="O5742" i="2"/>
  <c r="O5741" i="2"/>
  <c r="O5740" i="2"/>
  <c r="O5739" i="2"/>
  <c r="O5738" i="2"/>
  <c r="O5737" i="2"/>
  <c r="O5736" i="2"/>
  <c r="O5735" i="2"/>
  <c r="O5734" i="2"/>
  <c r="O5733" i="2"/>
  <c r="O5732" i="2"/>
  <c r="O5731" i="2"/>
  <c r="O5730" i="2"/>
  <c r="O5729" i="2"/>
  <c r="O5728" i="2"/>
  <c r="M5728" i="2"/>
  <c r="L5728" i="2"/>
  <c r="E5728" i="2"/>
  <c r="D5728" i="2"/>
  <c r="B5728" i="2"/>
  <c r="A5728" i="2"/>
  <c r="O5727" i="2"/>
  <c r="M5727" i="2"/>
  <c r="L5727" i="2"/>
  <c r="E5727" i="2"/>
  <c r="D5727" i="2"/>
  <c r="B5727" i="2"/>
  <c r="A5727" i="2"/>
  <c r="O5726" i="2"/>
  <c r="M5726" i="2"/>
  <c r="L5726" i="2"/>
  <c r="E5726" i="2"/>
  <c r="D5726" i="2"/>
  <c r="B5726" i="2"/>
  <c r="A5726" i="2"/>
  <c r="O5725" i="2"/>
  <c r="M5725" i="2"/>
  <c r="L5725" i="2"/>
  <c r="E5725" i="2"/>
  <c r="D5725" i="2"/>
  <c r="B5725" i="2"/>
  <c r="A5725" i="2"/>
  <c r="O5724" i="2"/>
  <c r="M5724" i="2"/>
  <c r="L5724" i="2"/>
  <c r="E5724" i="2"/>
  <c r="D5724" i="2"/>
  <c r="B5724" i="2"/>
  <c r="A5724" i="2"/>
  <c r="O5723" i="2"/>
  <c r="M5723" i="2"/>
  <c r="L5723" i="2"/>
  <c r="E5723" i="2"/>
  <c r="D5723" i="2"/>
  <c r="B5723" i="2"/>
  <c r="A5723" i="2"/>
  <c r="O5722" i="2"/>
  <c r="O5721" i="2"/>
  <c r="O5720" i="2"/>
  <c r="O5719" i="2"/>
  <c r="M5719" i="2"/>
  <c r="L5719" i="2"/>
  <c r="E5719" i="2"/>
  <c r="D5719" i="2"/>
  <c r="B5719" i="2"/>
  <c r="A5719" i="2"/>
  <c r="O5718" i="2"/>
  <c r="M5718" i="2"/>
  <c r="L5718" i="2"/>
  <c r="E5718" i="2"/>
  <c r="D5718" i="2"/>
  <c r="B5718" i="2"/>
  <c r="A5718" i="2"/>
  <c r="O5717" i="2"/>
  <c r="M5717" i="2"/>
  <c r="L5717" i="2"/>
  <c r="E5717" i="2"/>
  <c r="D5717" i="2"/>
  <c r="B5717" i="2"/>
  <c r="A5717" i="2"/>
  <c r="O5716" i="2"/>
  <c r="M5716" i="2"/>
  <c r="L5716" i="2"/>
  <c r="E5716" i="2"/>
  <c r="D5716" i="2"/>
  <c r="B5716" i="2"/>
  <c r="A5716" i="2"/>
  <c r="O5715" i="2"/>
  <c r="O5714" i="2"/>
  <c r="O5713" i="2"/>
  <c r="O5712" i="2"/>
  <c r="M5712" i="2"/>
  <c r="L5712" i="2"/>
  <c r="E5712" i="2"/>
  <c r="D5712" i="2"/>
  <c r="B5712" i="2"/>
  <c r="A5712" i="2"/>
  <c r="O5711" i="2"/>
  <c r="M5711" i="2"/>
  <c r="L5711" i="2"/>
  <c r="E5711" i="2"/>
  <c r="D5711" i="2"/>
  <c r="B5711" i="2"/>
  <c r="A5711" i="2"/>
  <c r="O5710" i="2"/>
  <c r="O5709" i="2"/>
  <c r="O5708" i="2"/>
  <c r="O5707" i="2"/>
  <c r="M5707" i="2"/>
  <c r="L5707" i="2"/>
  <c r="E5707" i="2"/>
  <c r="D5707" i="2"/>
  <c r="B5707" i="2"/>
  <c r="A5707" i="2"/>
  <c r="O5706" i="2"/>
  <c r="M5706" i="2"/>
  <c r="L5706" i="2"/>
  <c r="E5706" i="2"/>
  <c r="D5706" i="2"/>
  <c r="B5706" i="2"/>
  <c r="A5706" i="2"/>
  <c r="O5705" i="2"/>
  <c r="M5705" i="2"/>
  <c r="L5705" i="2"/>
  <c r="E5705" i="2"/>
  <c r="D5705" i="2"/>
  <c r="B5705" i="2"/>
  <c r="A5705" i="2"/>
  <c r="O5704" i="2"/>
  <c r="O5703" i="2"/>
  <c r="O5702" i="2"/>
  <c r="M5702" i="2"/>
  <c r="L5702" i="2"/>
  <c r="E5702" i="2"/>
  <c r="D5702" i="2"/>
  <c r="B5702" i="2"/>
  <c r="A5702" i="2"/>
  <c r="O5701" i="2"/>
  <c r="O5700" i="2"/>
  <c r="O5699" i="2"/>
  <c r="O5698" i="2"/>
  <c r="O5697" i="2"/>
  <c r="O5696" i="2"/>
  <c r="M5696" i="2"/>
  <c r="L5696" i="2"/>
  <c r="E5696" i="2"/>
  <c r="D5696" i="2"/>
  <c r="B5696" i="2"/>
  <c r="A5696" i="2"/>
  <c r="O5695" i="2"/>
  <c r="M5695" i="2"/>
  <c r="L5695" i="2"/>
  <c r="E5695" i="2"/>
  <c r="D5695" i="2"/>
  <c r="B5695" i="2"/>
  <c r="A5695" i="2"/>
  <c r="O5694" i="2"/>
  <c r="O5693" i="2"/>
  <c r="O5692" i="2"/>
  <c r="O5691" i="2"/>
  <c r="O5690" i="2"/>
  <c r="O5689" i="2"/>
  <c r="O5688" i="2"/>
  <c r="O5687" i="2"/>
  <c r="O5686" i="2"/>
  <c r="O5685" i="2"/>
  <c r="O5684" i="2"/>
  <c r="O5683" i="2"/>
  <c r="O5682" i="2"/>
  <c r="O5681" i="2"/>
  <c r="M5681" i="2"/>
  <c r="L5681" i="2"/>
  <c r="E5681" i="2"/>
  <c r="D5681" i="2"/>
  <c r="B5681" i="2"/>
  <c r="A5681" i="2"/>
  <c r="O5680" i="2"/>
  <c r="O5679" i="2"/>
  <c r="M5679" i="2"/>
  <c r="L5679" i="2"/>
  <c r="E5679" i="2"/>
  <c r="D5679" i="2"/>
  <c r="B5679" i="2"/>
  <c r="A5679" i="2"/>
  <c r="O5678" i="2"/>
  <c r="M5678" i="2"/>
  <c r="L5678" i="2"/>
  <c r="E5678" i="2"/>
  <c r="D5678" i="2"/>
  <c r="B5678" i="2"/>
  <c r="A5678" i="2"/>
  <c r="O5677" i="2"/>
  <c r="M5677" i="2"/>
  <c r="L5677" i="2"/>
  <c r="E5677" i="2"/>
  <c r="D5677" i="2"/>
  <c r="B5677" i="2"/>
  <c r="A5677" i="2"/>
  <c r="O5676" i="2"/>
  <c r="M5676" i="2"/>
  <c r="L5676" i="2"/>
  <c r="E5676" i="2"/>
  <c r="D5676" i="2"/>
  <c r="B5676" i="2"/>
  <c r="A5676" i="2"/>
  <c r="O5675" i="2"/>
  <c r="M5675" i="2"/>
  <c r="L5675" i="2"/>
  <c r="E5675" i="2"/>
  <c r="D5675" i="2"/>
  <c r="B5675" i="2"/>
  <c r="A5675" i="2"/>
  <c r="O5674" i="2"/>
  <c r="O5673" i="2"/>
  <c r="M5673" i="2"/>
  <c r="L5673" i="2"/>
  <c r="E5673" i="2"/>
  <c r="D5673" i="2"/>
  <c r="B5673" i="2"/>
  <c r="A5673" i="2"/>
  <c r="O5672" i="2"/>
  <c r="M5672" i="2"/>
  <c r="L5672" i="2"/>
  <c r="E5672" i="2"/>
  <c r="D5672" i="2"/>
  <c r="B5672" i="2"/>
  <c r="A5672" i="2"/>
  <c r="O5671" i="2"/>
  <c r="M5671" i="2"/>
  <c r="L5671" i="2"/>
  <c r="E5671" i="2"/>
  <c r="D5671" i="2"/>
  <c r="B5671" i="2"/>
  <c r="A5671" i="2"/>
  <c r="O5670" i="2"/>
  <c r="M5670" i="2"/>
  <c r="L5670" i="2"/>
  <c r="E5670" i="2"/>
  <c r="D5670" i="2"/>
  <c r="B5670" i="2"/>
  <c r="A5670" i="2"/>
  <c r="O5669" i="2"/>
  <c r="M5669" i="2"/>
  <c r="L5669" i="2"/>
  <c r="E5669" i="2"/>
  <c r="D5669" i="2"/>
  <c r="B5669" i="2"/>
  <c r="A5669" i="2"/>
  <c r="O5668" i="2"/>
  <c r="O5667" i="2"/>
  <c r="M5667" i="2"/>
  <c r="L5667" i="2"/>
  <c r="E5667" i="2"/>
  <c r="D5667" i="2"/>
  <c r="B5667" i="2"/>
  <c r="A5667" i="2"/>
  <c r="O5666" i="2"/>
  <c r="M5666" i="2"/>
  <c r="L5666" i="2"/>
  <c r="E5666" i="2"/>
  <c r="D5666" i="2"/>
  <c r="B5666" i="2"/>
  <c r="A5666" i="2"/>
  <c r="O5665" i="2"/>
  <c r="M5665" i="2"/>
  <c r="L5665" i="2"/>
  <c r="E5665" i="2"/>
  <c r="D5665" i="2"/>
  <c r="B5665" i="2"/>
  <c r="A5665" i="2"/>
  <c r="O5664" i="2"/>
  <c r="M5664" i="2"/>
  <c r="L5664" i="2"/>
  <c r="E5664" i="2"/>
  <c r="D5664" i="2"/>
  <c r="B5664" i="2"/>
  <c r="A5664" i="2"/>
  <c r="O5663" i="2"/>
  <c r="M5663" i="2"/>
  <c r="L5663" i="2"/>
  <c r="E5663" i="2"/>
  <c r="D5663" i="2"/>
  <c r="B5663" i="2"/>
  <c r="A5663" i="2"/>
  <c r="O5662" i="2"/>
  <c r="M5662" i="2"/>
  <c r="L5662" i="2"/>
  <c r="E5662" i="2"/>
  <c r="D5662" i="2"/>
  <c r="B5662" i="2"/>
  <c r="A5662" i="2"/>
  <c r="O5661" i="2"/>
  <c r="O5660" i="2"/>
  <c r="M5660" i="2"/>
  <c r="L5660" i="2"/>
  <c r="E5660" i="2"/>
  <c r="D5660" i="2"/>
  <c r="B5660" i="2"/>
  <c r="A5660" i="2"/>
  <c r="O5659" i="2"/>
  <c r="O5658" i="2"/>
  <c r="O5657" i="2"/>
  <c r="O5656" i="2"/>
  <c r="M5656" i="2"/>
  <c r="L5656" i="2"/>
  <c r="E5656" i="2"/>
  <c r="D5656" i="2"/>
  <c r="B5656" i="2"/>
  <c r="A5656" i="2"/>
  <c r="O5655" i="2"/>
  <c r="M5655" i="2"/>
  <c r="L5655" i="2"/>
  <c r="E5655" i="2"/>
  <c r="D5655" i="2"/>
  <c r="B5655" i="2"/>
  <c r="A5655" i="2"/>
  <c r="O5654" i="2"/>
  <c r="O5653" i="2"/>
  <c r="M5653" i="2"/>
  <c r="L5653" i="2"/>
  <c r="E5653" i="2"/>
  <c r="D5653" i="2"/>
  <c r="B5653" i="2"/>
  <c r="A5653" i="2"/>
  <c r="O5652" i="2"/>
  <c r="O5651" i="2"/>
  <c r="M5651" i="2"/>
  <c r="L5651" i="2"/>
  <c r="E5651" i="2"/>
  <c r="D5651" i="2"/>
  <c r="B5651" i="2"/>
  <c r="A5651" i="2"/>
  <c r="O5650" i="2"/>
  <c r="M5650" i="2"/>
  <c r="L5650" i="2"/>
  <c r="E5650" i="2"/>
  <c r="D5650" i="2"/>
  <c r="B5650" i="2"/>
  <c r="A5650" i="2"/>
  <c r="O5649" i="2"/>
  <c r="M5649" i="2"/>
  <c r="L5649" i="2"/>
  <c r="E5649" i="2"/>
  <c r="D5649" i="2"/>
  <c r="B5649" i="2"/>
  <c r="A5649" i="2"/>
  <c r="O5648" i="2"/>
  <c r="O5647" i="2"/>
  <c r="M5647" i="2"/>
  <c r="L5647" i="2"/>
  <c r="E5647" i="2"/>
  <c r="D5647" i="2"/>
  <c r="B5647" i="2"/>
  <c r="A5647" i="2"/>
  <c r="O5646" i="2"/>
  <c r="O5645" i="2"/>
  <c r="M5645" i="2"/>
  <c r="L5645" i="2"/>
  <c r="E5645" i="2"/>
  <c r="D5645" i="2"/>
  <c r="B5645" i="2"/>
  <c r="A5645" i="2"/>
  <c r="O5644" i="2"/>
  <c r="O5643" i="2"/>
  <c r="M5643" i="2"/>
  <c r="L5643" i="2"/>
  <c r="E5643" i="2"/>
  <c r="D5643" i="2"/>
  <c r="B5643" i="2"/>
  <c r="A5643" i="2"/>
  <c r="O5642" i="2"/>
  <c r="M5642" i="2"/>
  <c r="L5642" i="2"/>
  <c r="E5642" i="2"/>
  <c r="D5642" i="2"/>
  <c r="B5642" i="2"/>
  <c r="A5642" i="2"/>
  <c r="O5641" i="2"/>
  <c r="O5640" i="2"/>
  <c r="M5640" i="2"/>
  <c r="L5640" i="2"/>
  <c r="E5640" i="2"/>
  <c r="D5640" i="2"/>
  <c r="B5640" i="2"/>
  <c r="A5640" i="2"/>
  <c r="O5639" i="2"/>
  <c r="M5639" i="2"/>
  <c r="L5639" i="2"/>
  <c r="E5639" i="2"/>
  <c r="D5639" i="2"/>
  <c r="B5639" i="2"/>
  <c r="A5639" i="2"/>
  <c r="O5638" i="2"/>
  <c r="M5638" i="2"/>
  <c r="L5638" i="2"/>
  <c r="E5638" i="2"/>
  <c r="D5638" i="2"/>
  <c r="B5638" i="2"/>
  <c r="A5638" i="2"/>
  <c r="O5637" i="2"/>
  <c r="M5637" i="2"/>
  <c r="L5637" i="2"/>
  <c r="E5637" i="2"/>
  <c r="D5637" i="2"/>
  <c r="B5637" i="2"/>
  <c r="A5637" i="2"/>
  <c r="O5636" i="2"/>
  <c r="M5636" i="2"/>
  <c r="L5636" i="2"/>
  <c r="E5636" i="2"/>
  <c r="D5636" i="2"/>
  <c r="B5636" i="2"/>
  <c r="A5636" i="2"/>
  <c r="O5635" i="2"/>
  <c r="M5635" i="2"/>
  <c r="L5635" i="2"/>
  <c r="E5635" i="2"/>
  <c r="D5635" i="2"/>
  <c r="B5635" i="2"/>
  <c r="A5635" i="2"/>
  <c r="O5634" i="2"/>
  <c r="M5634" i="2"/>
  <c r="L5634" i="2"/>
  <c r="E5634" i="2"/>
  <c r="D5634" i="2"/>
  <c r="B5634" i="2"/>
  <c r="A5634" i="2"/>
  <c r="O5633" i="2"/>
  <c r="M5633" i="2"/>
  <c r="L5633" i="2"/>
  <c r="E5633" i="2"/>
  <c r="D5633" i="2"/>
  <c r="B5633" i="2"/>
  <c r="A5633" i="2"/>
  <c r="O5632" i="2"/>
  <c r="O5631" i="2"/>
  <c r="M5631" i="2"/>
  <c r="L5631" i="2"/>
  <c r="E5631" i="2"/>
  <c r="D5631" i="2"/>
  <c r="B5631" i="2"/>
  <c r="A5631" i="2"/>
  <c r="O5630" i="2"/>
  <c r="M5630" i="2"/>
  <c r="L5630" i="2"/>
  <c r="E5630" i="2"/>
  <c r="D5630" i="2"/>
  <c r="B5630" i="2"/>
  <c r="A5630" i="2"/>
  <c r="O5629" i="2"/>
  <c r="O5628" i="2"/>
  <c r="M5628" i="2"/>
  <c r="L5628" i="2"/>
  <c r="E5628" i="2"/>
  <c r="D5628" i="2"/>
  <c r="B5628" i="2"/>
  <c r="A5628" i="2"/>
  <c r="O5627" i="2"/>
  <c r="O5626" i="2"/>
  <c r="M5626" i="2"/>
  <c r="L5626" i="2"/>
  <c r="E5626" i="2"/>
  <c r="D5626" i="2"/>
  <c r="B5626" i="2"/>
  <c r="A5626" i="2"/>
  <c r="O5625" i="2"/>
  <c r="O5624" i="2"/>
  <c r="M5624" i="2"/>
  <c r="L5624" i="2"/>
  <c r="E5624" i="2"/>
  <c r="D5624" i="2"/>
  <c r="B5624" i="2"/>
  <c r="A5624" i="2"/>
  <c r="O5623" i="2"/>
  <c r="M5623" i="2"/>
  <c r="L5623" i="2"/>
  <c r="E5623" i="2"/>
  <c r="D5623" i="2"/>
  <c r="B5623" i="2"/>
  <c r="A5623" i="2"/>
  <c r="O5622" i="2"/>
  <c r="O5621" i="2"/>
  <c r="O5620" i="2"/>
  <c r="O5619" i="2"/>
  <c r="O5618" i="2"/>
  <c r="O5617" i="2"/>
  <c r="M5617" i="2"/>
  <c r="L5617" i="2"/>
  <c r="E5617" i="2"/>
  <c r="D5617" i="2"/>
  <c r="B5617" i="2"/>
  <c r="A5617" i="2"/>
  <c r="O5616" i="2"/>
  <c r="M5616" i="2"/>
  <c r="L5616" i="2"/>
  <c r="E5616" i="2"/>
  <c r="D5616" i="2"/>
  <c r="B5616" i="2"/>
  <c r="A5616" i="2"/>
  <c r="O5615" i="2"/>
  <c r="O5614" i="2"/>
  <c r="M5614" i="2"/>
  <c r="L5614" i="2"/>
  <c r="E5614" i="2"/>
  <c r="D5614" i="2"/>
  <c r="B5614" i="2"/>
  <c r="A5614" i="2"/>
  <c r="O5613" i="2"/>
  <c r="O5612" i="2"/>
  <c r="M5612" i="2"/>
  <c r="L5612" i="2"/>
  <c r="E5612" i="2"/>
  <c r="D5612" i="2"/>
  <c r="B5612" i="2"/>
  <c r="A5612" i="2"/>
  <c r="O5611" i="2"/>
  <c r="M5611" i="2"/>
  <c r="L5611" i="2"/>
  <c r="E5611" i="2"/>
  <c r="D5611" i="2"/>
  <c r="B5611" i="2"/>
  <c r="A5611" i="2"/>
  <c r="O5610" i="2"/>
  <c r="O5609" i="2"/>
  <c r="M5609" i="2"/>
  <c r="L5609" i="2"/>
  <c r="E5609" i="2"/>
  <c r="D5609" i="2"/>
  <c r="B5609" i="2"/>
  <c r="A5609" i="2"/>
  <c r="O5608" i="2"/>
  <c r="O5607" i="2"/>
  <c r="O5606" i="2"/>
  <c r="M5606" i="2"/>
  <c r="L5606" i="2"/>
  <c r="E5606" i="2"/>
  <c r="D5606" i="2"/>
  <c r="B5606" i="2"/>
  <c r="A5606" i="2"/>
  <c r="O5605" i="2"/>
  <c r="O5604" i="2"/>
  <c r="M5604" i="2"/>
  <c r="L5604" i="2"/>
  <c r="E5604" i="2"/>
  <c r="D5604" i="2"/>
  <c r="B5604" i="2"/>
  <c r="A5604" i="2"/>
  <c r="O5603" i="2"/>
  <c r="O5602" i="2"/>
  <c r="O5601" i="2"/>
  <c r="O5600" i="2"/>
  <c r="O5599" i="2"/>
  <c r="O5598" i="2"/>
  <c r="M5598" i="2"/>
  <c r="L5598" i="2"/>
  <c r="E5598" i="2"/>
  <c r="D5598" i="2"/>
  <c r="B5598" i="2"/>
  <c r="A5598" i="2"/>
  <c r="O5597" i="2"/>
  <c r="M5597" i="2"/>
  <c r="L5597" i="2"/>
  <c r="E5597" i="2"/>
  <c r="D5597" i="2"/>
  <c r="B5597" i="2"/>
  <c r="A5597" i="2"/>
  <c r="O5596" i="2"/>
  <c r="O5595" i="2"/>
  <c r="M5595" i="2"/>
  <c r="L5595" i="2"/>
  <c r="E5595" i="2"/>
  <c r="D5595" i="2"/>
  <c r="B5595" i="2"/>
  <c r="A5595" i="2"/>
  <c r="O5594" i="2"/>
  <c r="M5594" i="2"/>
  <c r="L5594" i="2"/>
  <c r="E5594" i="2"/>
  <c r="D5594" i="2"/>
  <c r="B5594" i="2"/>
  <c r="A5594" i="2"/>
  <c r="O5593" i="2"/>
  <c r="M5593" i="2"/>
  <c r="L5593" i="2"/>
  <c r="E5593" i="2"/>
  <c r="D5593" i="2"/>
  <c r="B5593" i="2"/>
  <c r="A5593" i="2"/>
  <c r="O5592" i="2"/>
  <c r="O5591" i="2"/>
  <c r="M5591" i="2"/>
  <c r="L5591" i="2"/>
  <c r="E5591" i="2"/>
  <c r="D5591" i="2"/>
  <c r="B5591" i="2"/>
  <c r="A5591" i="2"/>
  <c r="O5590" i="2"/>
  <c r="O5589" i="2"/>
  <c r="O5588" i="2"/>
  <c r="M5588" i="2"/>
  <c r="L5588" i="2"/>
  <c r="E5588" i="2"/>
  <c r="D5588" i="2"/>
  <c r="B5588" i="2"/>
  <c r="A5588" i="2"/>
  <c r="O5587" i="2"/>
  <c r="M5587" i="2"/>
  <c r="L5587" i="2"/>
  <c r="E5587" i="2"/>
  <c r="D5587" i="2"/>
  <c r="B5587" i="2"/>
  <c r="A5587" i="2"/>
  <c r="O5586" i="2"/>
  <c r="M5586" i="2"/>
  <c r="L5586" i="2"/>
  <c r="E5586" i="2"/>
  <c r="D5586" i="2"/>
  <c r="B5586" i="2"/>
  <c r="A5586" i="2"/>
  <c r="O5585" i="2"/>
  <c r="M5585" i="2"/>
  <c r="L5585" i="2"/>
  <c r="E5585" i="2"/>
  <c r="D5585" i="2"/>
  <c r="B5585" i="2"/>
  <c r="A5585" i="2"/>
  <c r="O5584" i="2"/>
  <c r="M5584" i="2"/>
  <c r="L5584" i="2"/>
  <c r="E5584" i="2"/>
  <c r="D5584" i="2"/>
  <c r="B5584" i="2"/>
  <c r="A5584" i="2"/>
  <c r="O5583" i="2"/>
  <c r="M5583" i="2"/>
  <c r="L5583" i="2"/>
  <c r="E5583" i="2"/>
  <c r="D5583" i="2"/>
  <c r="B5583" i="2"/>
  <c r="A5583" i="2"/>
  <c r="O5582" i="2"/>
  <c r="M5582" i="2"/>
  <c r="L5582" i="2"/>
  <c r="E5582" i="2"/>
  <c r="D5582" i="2"/>
  <c r="B5582" i="2"/>
  <c r="A5582" i="2"/>
  <c r="O5581" i="2"/>
  <c r="M5581" i="2"/>
  <c r="L5581" i="2"/>
  <c r="E5581" i="2"/>
  <c r="D5581" i="2"/>
  <c r="B5581" i="2"/>
  <c r="A5581" i="2"/>
  <c r="O5580" i="2"/>
  <c r="O5579" i="2"/>
  <c r="O5578" i="2"/>
  <c r="M5578" i="2"/>
  <c r="L5578" i="2"/>
  <c r="E5578" i="2"/>
  <c r="D5578" i="2"/>
  <c r="B5578" i="2"/>
  <c r="A5578" i="2"/>
  <c r="O5577" i="2"/>
  <c r="O5576" i="2"/>
  <c r="O5575" i="2"/>
  <c r="O5574" i="2"/>
  <c r="O5573" i="2"/>
  <c r="M5573" i="2"/>
  <c r="L5573" i="2"/>
  <c r="E5573" i="2"/>
  <c r="D5573" i="2"/>
  <c r="B5573" i="2"/>
  <c r="A5573" i="2"/>
  <c r="O5572" i="2"/>
  <c r="M5572" i="2"/>
  <c r="L5572" i="2"/>
  <c r="E5572" i="2"/>
  <c r="D5572" i="2"/>
  <c r="B5572" i="2"/>
  <c r="A5572" i="2"/>
  <c r="O5571" i="2"/>
  <c r="M5571" i="2"/>
  <c r="L5571" i="2"/>
  <c r="E5571" i="2"/>
  <c r="D5571" i="2"/>
  <c r="B5571" i="2"/>
  <c r="A5571" i="2"/>
  <c r="O5570" i="2"/>
  <c r="M5570" i="2"/>
  <c r="L5570" i="2"/>
  <c r="E5570" i="2"/>
  <c r="D5570" i="2"/>
  <c r="B5570" i="2"/>
  <c r="A5570" i="2"/>
  <c r="O5569" i="2"/>
  <c r="M5569" i="2"/>
  <c r="L5569" i="2"/>
  <c r="E5569" i="2"/>
  <c r="D5569" i="2"/>
  <c r="B5569" i="2"/>
  <c r="A5569" i="2"/>
  <c r="O5568" i="2"/>
  <c r="M5568" i="2"/>
  <c r="L5568" i="2"/>
  <c r="E5568" i="2"/>
  <c r="D5568" i="2"/>
  <c r="B5568" i="2"/>
  <c r="A5568" i="2"/>
  <c r="O5567" i="2"/>
  <c r="M5567" i="2"/>
  <c r="L5567" i="2"/>
  <c r="E5567" i="2"/>
  <c r="D5567" i="2"/>
  <c r="B5567" i="2"/>
  <c r="A5567" i="2"/>
  <c r="O5566" i="2"/>
  <c r="O5565" i="2"/>
  <c r="M5565" i="2"/>
  <c r="L5565" i="2"/>
  <c r="E5565" i="2"/>
  <c r="D5565" i="2"/>
  <c r="B5565" i="2"/>
  <c r="A5565" i="2"/>
  <c r="O5564" i="2"/>
  <c r="M5564" i="2"/>
  <c r="L5564" i="2"/>
  <c r="E5564" i="2"/>
  <c r="D5564" i="2"/>
  <c r="B5564" i="2"/>
  <c r="A5564" i="2"/>
  <c r="O5563" i="2"/>
  <c r="M5563" i="2"/>
  <c r="L5563" i="2"/>
  <c r="E5563" i="2"/>
  <c r="D5563" i="2"/>
  <c r="B5563" i="2"/>
  <c r="A5563" i="2"/>
  <c r="O5562" i="2"/>
  <c r="O5561" i="2"/>
  <c r="M5561" i="2"/>
  <c r="L5561" i="2"/>
  <c r="E5561" i="2"/>
  <c r="D5561" i="2"/>
  <c r="B5561" i="2"/>
  <c r="A5561" i="2"/>
  <c r="O5560" i="2"/>
  <c r="M5560" i="2"/>
  <c r="L5560" i="2"/>
  <c r="E5560" i="2"/>
  <c r="D5560" i="2"/>
  <c r="B5560" i="2"/>
  <c r="A5560" i="2"/>
  <c r="O5559" i="2"/>
  <c r="M5559" i="2"/>
  <c r="L5559" i="2"/>
  <c r="E5559" i="2"/>
  <c r="D5559" i="2"/>
  <c r="B5559" i="2"/>
  <c r="A5559" i="2"/>
  <c r="O5558" i="2"/>
  <c r="O5557" i="2"/>
  <c r="O5556" i="2"/>
  <c r="O5555" i="2"/>
  <c r="M5555" i="2"/>
  <c r="L5555" i="2"/>
  <c r="E5555" i="2"/>
  <c r="D5555" i="2"/>
  <c r="B5555" i="2"/>
  <c r="A5555" i="2"/>
  <c r="O5554" i="2"/>
  <c r="O5553" i="2"/>
  <c r="M5553" i="2"/>
  <c r="L5553" i="2"/>
  <c r="E5553" i="2"/>
  <c r="D5553" i="2"/>
  <c r="B5553" i="2"/>
  <c r="A5553" i="2"/>
  <c r="O5552" i="2"/>
  <c r="M5552" i="2"/>
  <c r="L5552" i="2"/>
  <c r="E5552" i="2"/>
  <c r="D5552" i="2"/>
  <c r="B5552" i="2"/>
  <c r="A5552" i="2"/>
  <c r="O5551" i="2"/>
  <c r="O5550" i="2"/>
  <c r="M5550" i="2"/>
  <c r="L5550" i="2"/>
  <c r="E5550" i="2"/>
  <c r="D5550" i="2"/>
  <c r="B5550" i="2"/>
  <c r="A5550" i="2"/>
  <c r="O5549" i="2"/>
  <c r="O5548" i="2"/>
  <c r="O5547" i="2"/>
  <c r="O5546" i="2"/>
  <c r="M5546" i="2"/>
  <c r="L5546" i="2"/>
  <c r="E5546" i="2"/>
  <c r="D5546" i="2"/>
  <c r="B5546" i="2"/>
  <c r="A5546" i="2"/>
  <c r="O5545" i="2"/>
  <c r="O5544" i="2"/>
  <c r="O5543" i="2"/>
  <c r="O5542" i="2"/>
  <c r="M5542" i="2"/>
  <c r="L5542" i="2"/>
  <c r="E5542" i="2"/>
  <c r="D5542" i="2"/>
  <c r="B5542" i="2"/>
  <c r="A5542" i="2"/>
  <c r="O5541" i="2"/>
  <c r="M5541" i="2"/>
  <c r="L5541" i="2"/>
  <c r="E5541" i="2"/>
  <c r="D5541" i="2"/>
  <c r="B5541" i="2"/>
  <c r="A5541" i="2"/>
  <c r="O5540" i="2"/>
  <c r="O5539" i="2"/>
  <c r="O5538" i="2"/>
  <c r="O5537" i="2"/>
  <c r="M5537" i="2"/>
  <c r="L5537" i="2"/>
  <c r="E5537" i="2"/>
  <c r="D5537" i="2"/>
  <c r="B5537" i="2"/>
  <c r="A5537" i="2"/>
  <c r="O5536" i="2"/>
  <c r="O5535" i="2"/>
  <c r="M5535" i="2"/>
  <c r="L5535" i="2"/>
  <c r="E5535" i="2"/>
  <c r="D5535" i="2"/>
  <c r="B5535" i="2"/>
  <c r="A5535" i="2"/>
  <c r="O5534" i="2"/>
  <c r="O5533" i="2"/>
  <c r="O5532" i="2"/>
  <c r="M5532" i="2"/>
  <c r="L5532" i="2"/>
  <c r="E5532" i="2"/>
  <c r="D5532" i="2"/>
  <c r="B5532" i="2"/>
  <c r="A5532" i="2"/>
  <c r="O5531" i="2"/>
  <c r="O5530" i="2"/>
  <c r="O5529" i="2"/>
  <c r="M5529" i="2"/>
  <c r="L5529" i="2"/>
  <c r="E5529" i="2"/>
  <c r="D5529" i="2"/>
  <c r="B5529" i="2"/>
  <c r="A5529" i="2"/>
  <c r="O5528" i="2"/>
  <c r="O5527" i="2"/>
  <c r="O5526" i="2"/>
  <c r="O5525" i="2"/>
  <c r="O5524" i="2"/>
  <c r="O5523" i="2"/>
  <c r="O5522" i="2"/>
  <c r="O5521" i="2"/>
  <c r="M5521" i="2"/>
  <c r="L5521" i="2"/>
  <c r="E5521" i="2"/>
  <c r="D5521" i="2"/>
  <c r="B5521" i="2"/>
  <c r="A5521" i="2"/>
  <c r="O5520" i="2"/>
  <c r="M5520" i="2"/>
  <c r="L5520" i="2"/>
  <c r="E5520" i="2"/>
  <c r="D5520" i="2"/>
  <c r="B5520" i="2"/>
  <c r="A5520" i="2"/>
  <c r="O5519" i="2"/>
  <c r="O5518" i="2"/>
  <c r="M5518" i="2"/>
  <c r="L5518" i="2"/>
  <c r="E5518" i="2"/>
  <c r="D5518" i="2"/>
  <c r="B5518" i="2"/>
  <c r="A5518" i="2"/>
  <c r="O5517" i="2"/>
  <c r="M5517" i="2"/>
  <c r="L5517" i="2"/>
  <c r="E5517" i="2"/>
  <c r="D5517" i="2"/>
  <c r="B5517" i="2"/>
  <c r="A5517" i="2"/>
  <c r="O5516" i="2"/>
  <c r="O5515" i="2"/>
  <c r="O5514" i="2"/>
  <c r="M5514" i="2"/>
  <c r="L5514" i="2"/>
  <c r="E5514" i="2"/>
  <c r="D5514" i="2"/>
  <c r="B5514" i="2"/>
  <c r="A5514" i="2"/>
  <c r="O5513" i="2"/>
  <c r="M5513" i="2"/>
  <c r="L5513" i="2"/>
  <c r="E5513" i="2"/>
  <c r="D5513" i="2"/>
  <c r="B5513" i="2"/>
  <c r="A5513" i="2"/>
  <c r="O5512" i="2"/>
  <c r="O5511" i="2"/>
  <c r="O5510" i="2"/>
  <c r="O5509" i="2"/>
  <c r="O5508" i="2"/>
  <c r="O5507" i="2"/>
  <c r="M5507" i="2"/>
  <c r="L5507" i="2"/>
  <c r="E5507" i="2"/>
  <c r="D5507" i="2"/>
  <c r="B5507" i="2"/>
  <c r="A5507" i="2"/>
  <c r="O5506" i="2"/>
  <c r="M5506" i="2"/>
  <c r="L5506" i="2"/>
  <c r="E5506" i="2"/>
  <c r="D5506" i="2"/>
  <c r="B5506" i="2"/>
  <c r="A5506" i="2"/>
  <c r="O5505" i="2"/>
  <c r="O5504" i="2"/>
  <c r="M5504" i="2"/>
  <c r="L5504" i="2"/>
  <c r="E5504" i="2"/>
  <c r="D5504" i="2"/>
  <c r="B5504" i="2"/>
  <c r="A5504" i="2"/>
  <c r="O5503" i="2"/>
  <c r="M5503" i="2"/>
  <c r="L5503" i="2"/>
  <c r="E5503" i="2"/>
  <c r="D5503" i="2"/>
  <c r="B5503" i="2"/>
  <c r="A5503" i="2"/>
  <c r="O5502" i="2"/>
  <c r="M5502" i="2"/>
  <c r="L5502" i="2"/>
  <c r="E5502" i="2"/>
  <c r="D5502" i="2"/>
  <c r="B5502" i="2"/>
  <c r="A5502" i="2"/>
  <c r="O5501" i="2"/>
  <c r="M5501" i="2"/>
  <c r="L5501" i="2"/>
  <c r="E5501" i="2"/>
  <c r="D5501" i="2"/>
  <c r="B5501" i="2"/>
  <c r="A5501" i="2"/>
  <c r="O5500" i="2"/>
  <c r="M5500" i="2"/>
  <c r="L5500" i="2"/>
  <c r="E5500" i="2"/>
  <c r="D5500" i="2"/>
  <c r="B5500" i="2"/>
  <c r="A5500" i="2"/>
  <c r="O5499" i="2"/>
  <c r="M5499" i="2"/>
  <c r="L5499" i="2"/>
  <c r="E5499" i="2"/>
  <c r="D5499" i="2"/>
  <c r="B5499" i="2"/>
  <c r="A5499" i="2"/>
  <c r="O5498" i="2"/>
  <c r="M5498" i="2"/>
  <c r="L5498" i="2"/>
  <c r="E5498" i="2"/>
  <c r="D5498" i="2"/>
  <c r="B5498" i="2"/>
  <c r="A5498" i="2"/>
  <c r="O5497" i="2"/>
  <c r="O5496" i="2"/>
  <c r="M5496" i="2"/>
  <c r="L5496" i="2"/>
  <c r="E5496" i="2"/>
  <c r="D5496" i="2"/>
  <c r="B5496" i="2"/>
  <c r="A5496" i="2"/>
  <c r="O5495" i="2"/>
  <c r="O5494" i="2"/>
  <c r="O5493" i="2"/>
  <c r="O5492" i="2"/>
  <c r="M5492" i="2"/>
  <c r="L5492" i="2"/>
  <c r="E5492" i="2"/>
  <c r="D5492" i="2"/>
  <c r="B5492" i="2"/>
  <c r="A5492" i="2"/>
  <c r="O5491" i="2"/>
  <c r="M5491" i="2"/>
  <c r="L5491" i="2"/>
  <c r="E5491" i="2"/>
  <c r="D5491" i="2"/>
  <c r="B5491" i="2"/>
  <c r="A5491" i="2"/>
  <c r="O5490" i="2"/>
  <c r="O5489" i="2"/>
  <c r="M5489" i="2"/>
  <c r="L5489" i="2"/>
  <c r="E5489" i="2"/>
  <c r="D5489" i="2"/>
  <c r="B5489" i="2"/>
  <c r="A5489" i="2"/>
  <c r="O5488" i="2"/>
  <c r="O5487" i="2"/>
  <c r="O5486" i="2"/>
  <c r="O5485" i="2"/>
  <c r="M5485" i="2"/>
  <c r="L5485" i="2"/>
  <c r="E5485" i="2"/>
  <c r="D5485" i="2"/>
  <c r="B5485" i="2"/>
  <c r="A5485" i="2"/>
  <c r="O5484" i="2"/>
  <c r="O5483" i="2"/>
  <c r="O5482" i="2"/>
  <c r="O5481" i="2"/>
  <c r="M5481" i="2"/>
  <c r="L5481" i="2"/>
  <c r="E5481" i="2"/>
  <c r="D5481" i="2"/>
  <c r="B5481" i="2"/>
  <c r="A5481" i="2"/>
  <c r="O5480" i="2"/>
  <c r="M5480" i="2"/>
  <c r="L5480" i="2"/>
  <c r="E5480" i="2"/>
  <c r="D5480" i="2"/>
  <c r="B5480" i="2"/>
  <c r="A5480" i="2"/>
  <c r="O5479" i="2"/>
  <c r="M5479" i="2"/>
  <c r="L5479" i="2"/>
  <c r="E5479" i="2"/>
  <c r="D5479" i="2"/>
  <c r="B5479" i="2"/>
  <c r="A5479" i="2"/>
  <c r="O5478" i="2"/>
  <c r="M5478" i="2"/>
  <c r="L5478" i="2"/>
  <c r="E5478" i="2"/>
  <c r="D5478" i="2"/>
  <c r="B5478" i="2"/>
  <c r="A5478" i="2"/>
  <c r="O5477" i="2"/>
  <c r="O5476" i="2"/>
  <c r="O5475" i="2"/>
  <c r="M5475" i="2"/>
  <c r="L5475" i="2"/>
  <c r="E5475" i="2"/>
  <c r="D5475" i="2"/>
  <c r="B5475" i="2"/>
  <c r="A5475" i="2"/>
  <c r="O5474" i="2"/>
  <c r="O5473" i="2"/>
  <c r="O5472" i="2"/>
  <c r="M5472" i="2"/>
  <c r="L5472" i="2"/>
  <c r="E5472" i="2"/>
  <c r="D5472" i="2"/>
  <c r="B5472" i="2"/>
  <c r="A5472" i="2"/>
  <c r="O5471" i="2"/>
  <c r="O5470" i="2"/>
  <c r="O5469" i="2"/>
  <c r="M5469" i="2"/>
  <c r="L5469" i="2"/>
  <c r="E5469" i="2"/>
  <c r="D5469" i="2"/>
  <c r="B5469" i="2"/>
  <c r="A5469" i="2"/>
  <c r="O5468" i="2"/>
  <c r="O5467" i="2"/>
  <c r="O5466" i="2"/>
  <c r="M5466" i="2"/>
  <c r="L5466" i="2"/>
  <c r="E5466" i="2"/>
  <c r="D5466" i="2"/>
  <c r="B5466" i="2"/>
  <c r="A5466" i="2"/>
  <c r="O5465" i="2"/>
  <c r="O5464" i="2"/>
  <c r="O5463" i="2"/>
  <c r="M5463" i="2"/>
  <c r="L5463" i="2"/>
  <c r="E5463" i="2"/>
  <c r="D5463" i="2"/>
  <c r="B5463" i="2"/>
  <c r="A5463" i="2"/>
  <c r="O5462" i="2"/>
  <c r="O5461" i="2"/>
  <c r="O5460" i="2"/>
  <c r="O5459" i="2"/>
  <c r="M5459" i="2"/>
  <c r="L5459" i="2"/>
  <c r="E5459" i="2"/>
  <c r="D5459" i="2"/>
  <c r="B5459" i="2"/>
  <c r="A5459" i="2"/>
  <c r="O5458" i="2"/>
  <c r="O5457" i="2"/>
  <c r="M5457" i="2"/>
  <c r="L5457" i="2"/>
  <c r="E5457" i="2"/>
  <c r="D5457" i="2"/>
  <c r="B5457" i="2"/>
  <c r="A5457" i="2"/>
  <c r="O5456" i="2"/>
  <c r="O5455" i="2"/>
  <c r="O5454" i="2"/>
  <c r="O5453" i="2"/>
  <c r="M5453" i="2"/>
  <c r="L5453" i="2"/>
  <c r="E5453" i="2"/>
  <c r="D5453" i="2"/>
  <c r="B5453" i="2"/>
  <c r="A5453" i="2"/>
  <c r="O5452" i="2"/>
  <c r="O5451" i="2"/>
  <c r="O5450" i="2"/>
  <c r="O5449" i="2"/>
  <c r="M5449" i="2"/>
  <c r="L5449" i="2"/>
  <c r="E5449" i="2"/>
  <c r="D5449" i="2"/>
  <c r="B5449" i="2"/>
  <c r="A5449" i="2"/>
  <c r="O5448" i="2"/>
  <c r="O5447" i="2"/>
  <c r="O5446" i="2"/>
  <c r="O5445" i="2"/>
  <c r="M5445" i="2"/>
  <c r="L5445" i="2"/>
  <c r="E5445" i="2"/>
  <c r="D5445" i="2"/>
  <c r="B5445" i="2"/>
  <c r="A5445" i="2"/>
  <c r="O5444" i="2"/>
  <c r="O5443" i="2"/>
  <c r="O5442" i="2"/>
  <c r="M5442" i="2"/>
  <c r="L5442" i="2"/>
  <c r="E5442" i="2"/>
  <c r="D5442" i="2"/>
  <c r="B5442" i="2"/>
  <c r="A5442" i="2"/>
  <c r="O5441" i="2"/>
  <c r="O5440" i="2"/>
  <c r="O5439" i="2"/>
  <c r="O5438" i="2"/>
  <c r="M5438" i="2"/>
  <c r="L5438" i="2"/>
  <c r="E5438" i="2"/>
  <c r="D5438" i="2"/>
  <c r="B5438" i="2"/>
  <c r="A5438" i="2"/>
  <c r="O5437" i="2"/>
  <c r="O5436" i="2"/>
  <c r="O5435" i="2"/>
  <c r="M5435" i="2"/>
  <c r="L5435" i="2"/>
  <c r="E5435" i="2"/>
  <c r="D5435" i="2"/>
  <c r="B5435" i="2"/>
  <c r="A5435" i="2"/>
  <c r="O5434" i="2"/>
  <c r="O5433" i="2"/>
  <c r="O5432" i="2"/>
  <c r="M5432" i="2"/>
  <c r="L5432" i="2"/>
  <c r="E5432" i="2"/>
  <c r="D5432" i="2"/>
  <c r="B5432" i="2"/>
  <c r="A5432" i="2"/>
  <c r="O5431" i="2"/>
  <c r="O5430" i="2"/>
  <c r="M5430" i="2"/>
  <c r="L5430" i="2"/>
  <c r="E5430" i="2"/>
  <c r="D5430" i="2"/>
  <c r="B5430" i="2"/>
  <c r="A5430" i="2"/>
  <c r="O5429" i="2"/>
  <c r="M5429" i="2"/>
  <c r="L5429" i="2"/>
  <c r="E5429" i="2"/>
  <c r="D5429" i="2"/>
  <c r="B5429" i="2"/>
  <c r="A5429" i="2"/>
  <c r="O5428" i="2"/>
  <c r="O5427" i="2"/>
  <c r="O5426" i="2"/>
  <c r="O5425" i="2"/>
  <c r="O5424" i="2"/>
  <c r="O5423" i="2"/>
  <c r="O5422" i="2"/>
  <c r="O5421" i="2"/>
  <c r="M5421" i="2"/>
  <c r="L5421" i="2"/>
  <c r="E5421" i="2"/>
  <c r="D5421" i="2"/>
  <c r="B5421" i="2"/>
  <c r="A5421" i="2"/>
  <c r="O5420" i="2"/>
  <c r="O5419" i="2"/>
  <c r="O5418" i="2"/>
  <c r="M5418" i="2"/>
  <c r="L5418" i="2"/>
  <c r="E5418" i="2"/>
  <c r="D5418" i="2"/>
  <c r="B5418" i="2"/>
  <c r="A5418" i="2"/>
  <c r="O5417" i="2"/>
  <c r="O5416" i="2"/>
  <c r="O5415" i="2"/>
  <c r="O5414" i="2"/>
  <c r="O5413" i="2"/>
  <c r="M5413" i="2"/>
  <c r="L5413" i="2"/>
  <c r="E5413" i="2"/>
  <c r="D5413" i="2"/>
  <c r="B5413" i="2"/>
  <c r="A5413" i="2"/>
  <c r="O5412" i="2"/>
  <c r="O5411" i="2"/>
  <c r="O5410" i="2"/>
  <c r="O5409" i="2"/>
  <c r="O5408" i="2"/>
  <c r="O5407" i="2"/>
  <c r="O5406" i="2"/>
  <c r="O5405" i="2"/>
  <c r="O5404" i="2"/>
  <c r="O5403" i="2"/>
  <c r="O5402" i="2"/>
  <c r="O5401" i="2"/>
  <c r="O5400" i="2"/>
  <c r="O5399" i="2"/>
  <c r="O5398" i="2"/>
  <c r="O5397" i="2"/>
  <c r="O5396" i="2"/>
  <c r="O5395" i="2"/>
  <c r="O5394" i="2"/>
  <c r="O5393" i="2"/>
  <c r="O5392" i="2"/>
  <c r="O5391" i="2"/>
  <c r="M5391" i="2"/>
  <c r="L5391" i="2"/>
  <c r="E5391" i="2"/>
  <c r="D5391" i="2"/>
  <c r="B5391" i="2"/>
  <c r="A5391" i="2"/>
  <c r="O5390" i="2"/>
  <c r="M5390" i="2"/>
  <c r="L5390" i="2"/>
  <c r="E5390" i="2"/>
  <c r="D5390" i="2"/>
  <c r="B5390" i="2"/>
  <c r="A5390" i="2"/>
  <c r="O5389" i="2"/>
  <c r="M5389" i="2"/>
  <c r="L5389" i="2"/>
  <c r="E5389" i="2"/>
  <c r="D5389" i="2"/>
  <c r="B5389" i="2"/>
  <c r="A5389" i="2"/>
  <c r="O5388" i="2"/>
  <c r="M5388" i="2"/>
  <c r="L5388" i="2"/>
  <c r="E5388" i="2"/>
  <c r="D5388" i="2"/>
  <c r="B5388" i="2"/>
  <c r="A5388" i="2"/>
  <c r="O5387" i="2"/>
  <c r="M5387" i="2"/>
  <c r="L5387" i="2"/>
  <c r="E5387" i="2"/>
  <c r="D5387" i="2"/>
  <c r="B5387" i="2"/>
  <c r="A5387" i="2"/>
  <c r="O5386" i="2"/>
  <c r="M5386" i="2"/>
  <c r="L5386" i="2"/>
  <c r="E5386" i="2"/>
  <c r="D5386" i="2"/>
  <c r="B5386" i="2"/>
  <c r="A5386" i="2"/>
  <c r="O5385" i="2"/>
  <c r="M5385" i="2"/>
  <c r="L5385" i="2"/>
  <c r="E5385" i="2"/>
  <c r="D5385" i="2"/>
  <c r="B5385" i="2"/>
  <c r="A5385" i="2"/>
  <c r="O5384" i="2"/>
  <c r="M5384" i="2"/>
  <c r="L5384" i="2"/>
  <c r="E5384" i="2"/>
  <c r="D5384" i="2"/>
  <c r="B5384" i="2"/>
  <c r="A5384" i="2"/>
  <c r="O5383" i="2"/>
  <c r="M5383" i="2"/>
  <c r="L5383" i="2"/>
  <c r="E5383" i="2"/>
  <c r="D5383" i="2"/>
  <c r="B5383" i="2"/>
  <c r="A5383" i="2"/>
  <c r="O5382" i="2"/>
  <c r="O5381" i="2"/>
  <c r="O5380" i="2"/>
  <c r="O5379" i="2"/>
  <c r="O5378" i="2"/>
  <c r="O5377" i="2"/>
  <c r="O5376" i="2"/>
  <c r="O5375" i="2"/>
  <c r="O5374" i="2"/>
  <c r="O5373" i="2"/>
  <c r="O5372" i="2"/>
  <c r="M5372" i="2"/>
  <c r="L5372" i="2"/>
  <c r="E5372" i="2"/>
  <c r="D5372" i="2"/>
  <c r="B5372" i="2"/>
  <c r="A5372" i="2"/>
  <c r="O5371" i="2"/>
  <c r="M5371" i="2"/>
  <c r="L5371" i="2"/>
  <c r="E5371" i="2"/>
  <c r="D5371" i="2"/>
  <c r="B5371" i="2"/>
  <c r="A5371" i="2"/>
  <c r="O5370" i="2"/>
  <c r="M5370" i="2"/>
  <c r="L5370" i="2"/>
  <c r="E5370" i="2"/>
  <c r="D5370" i="2"/>
  <c r="B5370" i="2"/>
  <c r="A5370" i="2"/>
  <c r="O5369" i="2"/>
  <c r="M5369" i="2"/>
  <c r="L5369" i="2"/>
  <c r="E5369" i="2"/>
  <c r="D5369" i="2"/>
  <c r="B5369" i="2"/>
  <c r="A5369" i="2"/>
  <c r="O5368" i="2"/>
  <c r="M5368" i="2"/>
  <c r="L5368" i="2"/>
  <c r="E5368" i="2"/>
  <c r="D5368" i="2"/>
  <c r="B5368" i="2"/>
  <c r="A5368" i="2"/>
  <c r="O5367" i="2"/>
  <c r="M5367" i="2"/>
  <c r="L5367" i="2"/>
  <c r="E5367" i="2"/>
  <c r="D5367" i="2"/>
  <c r="B5367" i="2"/>
  <c r="A5367" i="2"/>
  <c r="O5366" i="2"/>
  <c r="M5366" i="2"/>
  <c r="L5366" i="2"/>
  <c r="E5366" i="2"/>
  <c r="D5366" i="2"/>
  <c r="B5366" i="2"/>
  <c r="A5366" i="2"/>
  <c r="O5365" i="2"/>
  <c r="O5364" i="2"/>
  <c r="O5363" i="2"/>
  <c r="M5363" i="2"/>
  <c r="L5363" i="2"/>
  <c r="E5363" i="2"/>
  <c r="D5363" i="2"/>
  <c r="B5363" i="2"/>
  <c r="A5363" i="2"/>
  <c r="O5362" i="2"/>
  <c r="M5362" i="2"/>
  <c r="L5362" i="2"/>
  <c r="E5362" i="2"/>
  <c r="D5362" i="2"/>
  <c r="B5362" i="2"/>
  <c r="A5362" i="2"/>
  <c r="O5361" i="2"/>
  <c r="O5360" i="2"/>
  <c r="O5359" i="2"/>
  <c r="M5359" i="2"/>
  <c r="L5359" i="2"/>
  <c r="E5359" i="2"/>
  <c r="D5359" i="2"/>
  <c r="B5359" i="2"/>
  <c r="A5359" i="2"/>
  <c r="O5358" i="2"/>
  <c r="O5357" i="2"/>
  <c r="M5357" i="2"/>
  <c r="L5357" i="2"/>
  <c r="E5357" i="2"/>
  <c r="D5357" i="2"/>
  <c r="B5357" i="2"/>
  <c r="A5357" i="2"/>
  <c r="O5356" i="2"/>
  <c r="M5356" i="2"/>
  <c r="L5356" i="2"/>
  <c r="E5356" i="2"/>
  <c r="D5356" i="2"/>
  <c r="B5356" i="2"/>
  <c r="A5356" i="2"/>
  <c r="O5355" i="2"/>
  <c r="M5355" i="2"/>
  <c r="L5355" i="2"/>
  <c r="E5355" i="2"/>
  <c r="D5355" i="2"/>
  <c r="B5355" i="2"/>
  <c r="A5355" i="2"/>
  <c r="O5354" i="2"/>
  <c r="M5354" i="2"/>
  <c r="L5354" i="2"/>
  <c r="E5354" i="2"/>
  <c r="D5354" i="2"/>
  <c r="B5354" i="2"/>
  <c r="A5354" i="2"/>
  <c r="O5353" i="2"/>
  <c r="O5352" i="2"/>
  <c r="O5351" i="2"/>
  <c r="M5351" i="2"/>
  <c r="L5351" i="2"/>
  <c r="E5351" i="2"/>
  <c r="D5351" i="2"/>
  <c r="B5351" i="2"/>
  <c r="A5351" i="2"/>
  <c r="O5350" i="2"/>
  <c r="M5350" i="2"/>
  <c r="L5350" i="2"/>
  <c r="E5350" i="2"/>
  <c r="D5350" i="2"/>
  <c r="B5350" i="2"/>
  <c r="A5350" i="2"/>
  <c r="O5349" i="2"/>
  <c r="M5349" i="2"/>
  <c r="L5349" i="2"/>
  <c r="E5349" i="2"/>
  <c r="D5349" i="2"/>
  <c r="B5349" i="2"/>
  <c r="A5349" i="2"/>
  <c r="O5348" i="2"/>
  <c r="M5348" i="2"/>
  <c r="L5348" i="2"/>
  <c r="E5348" i="2"/>
  <c r="D5348" i="2"/>
  <c r="B5348" i="2"/>
  <c r="A5348" i="2"/>
  <c r="O5347" i="2"/>
  <c r="M5347" i="2"/>
  <c r="L5347" i="2"/>
  <c r="E5347" i="2"/>
  <c r="D5347" i="2"/>
  <c r="B5347" i="2"/>
  <c r="A5347" i="2"/>
  <c r="O5346" i="2"/>
  <c r="M5346" i="2"/>
  <c r="L5346" i="2"/>
  <c r="E5346" i="2"/>
  <c r="D5346" i="2"/>
  <c r="B5346" i="2"/>
  <c r="A5346" i="2"/>
  <c r="O5345" i="2"/>
  <c r="O5344" i="2"/>
  <c r="M5344" i="2"/>
  <c r="L5344" i="2"/>
  <c r="E5344" i="2"/>
  <c r="D5344" i="2"/>
  <c r="B5344" i="2"/>
  <c r="A5344" i="2"/>
  <c r="O5343" i="2"/>
  <c r="M5343" i="2"/>
  <c r="L5343" i="2"/>
  <c r="E5343" i="2"/>
  <c r="D5343" i="2"/>
  <c r="B5343" i="2"/>
  <c r="A5343" i="2"/>
  <c r="O5342" i="2"/>
  <c r="M5342" i="2"/>
  <c r="L5342" i="2"/>
  <c r="E5342" i="2"/>
  <c r="D5342" i="2"/>
  <c r="B5342" i="2"/>
  <c r="A5342" i="2"/>
  <c r="O5341" i="2"/>
  <c r="O5340" i="2"/>
  <c r="M5340" i="2"/>
  <c r="L5340" i="2"/>
  <c r="E5340" i="2"/>
  <c r="D5340" i="2"/>
  <c r="B5340" i="2"/>
  <c r="A5340" i="2"/>
  <c r="O5339" i="2"/>
  <c r="O5338" i="2"/>
  <c r="M5338" i="2"/>
  <c r="L5338" i="2"/>
  <c r="E5338" i="2"/>
  <c r="D5338" i="2"/>
  <c r="B5338" i="2"/>
  <c r="A5338" i="2"/>
  <c r="O5337" i="2"/>
  <c r="O5336" i="2"/>
  <c r="M5336" i="2"/>
  <c r="L5336" i="2"/>
  <c r="E5336" i="2"/>
  <c r="D5336" i="2"/>
  <c r="B5336" i="2"/>
  <c r="A5336" i="2"/>
  <c r="O5335" i="2"/>
  <c r="M5335" i="2"/>
  <c r="L5335" i="2"/>
  <c r="E5335" i="2"/>
  <c r="D5335" i="2"/>
  <c r="B5335" i="2"/>
  <c r="A5335" i="2"/>
  <c r="O5334" i="2"/>
  <c r="M5334" i="2"/>
  <c r="L5334" i="2"/>
  <c r="E5334" i="2"/>
  <c r="D5334" i="2"/>
  <c r="B5334" i="2"/>
  <c r="A5334" i="2"/>
  <c r="O5333" i="2"/>
  <c r="O5332" i="2"/>
  <c r="M5332" i="2"/>
  <c r="L5332" i="2"/>
  <c r="E5332" i="2"/>
  <c r="D5332" i="2"/>
  <c r="B5332" i="2"/>
  <c r="A5332" i="2"/>
  <c r="O5331" i="2"/>
  <c r="M5331" i="2"/>
  <c r="L5331" i="2"/>
  <c r="E5331" i="2"/>
  <c r="D5331" i="2"/>
  <c r="B5331" i="2"/>
  <c r="A5331" i="2"/>
  <c r="O5330" i="2"/>
  <c r="M5330" i="2"/>
  <c r="L5330" i="2"/>
  <c r="E5330" i="2"/>
  <c r="D5330" i="2"/>
  <c r="B5330" i="2"/>
  <c r="A5330" i="2"/>
  <c r="O5329" i="2"/>
  <c r="M5329" i="2"/>
  <c r="L5329" i="2"/>
  <c r="E5329" i="2"/>
  <c r="D5329" i="2"/>
  <c r="B5329" i="2"/>
  <c r="A5329" i="2"/>
  <c r="O5328" i="2"/>
  <c r="M5328" i="2"/>
  <c r="L5328" i="2"/>
  <c r="E5328" i="2"/>
  <c r="D5328" i="2"/>
  <c r="B5328" i="2"/>
  <c r="A5328" i="2"/>
  <c r="O5327" i="2"/>
  <c r="M5327" i="2"/>
  <c r="L5327" i="2"/>
  <c r="E5327" i="2"/>
  <c r="D5327" i="2"/>
  <c r="B5327" i="2"/>
  <c r="A5327" i="2"/>
  <c r="O5326" i="2"/>
  <c r="O5325" i="2"/>
  <c r="O5324" i="2"/>
  <c r="M5324" i="2"/>
  <c r="L5324" i="2"/>
  <c r="E5324" i="2"/>
  <c r="D5324" i="2"/>
  <c r="B5324" i="2"/>
  <c r="A5324" i="2"/>
  <c r="O5323" i="2"/>
  <c r="O5322" i="2"/>
  <c r="M5322" i="2"/>
  <c r="L5322" i="2"/>
  <c r="E5322" i="2"/>
  <c r="D5322" i="2"/>
  <c r="B5322" i="2"/>
  <c r="A5322" i="2"/>
  <c r="O5321" i="2"/>
  <c r="M5321" i="2"/>
  <c r="L5321" i="2"/>
  <c r="E5321" i="2"/>
  <c r="D5321" i="2"/>
  <c r="B5321" i="2"/>
  <c r="A5321" i="2"/>
  <c r="O5320" i="2"/>
  <c r="O5319" i="2"/>
  <c r="O5318" i="2"/>
  <c r="O5317" i="2"/>
  <c r="O5316" i="2"/>
  <c r="O5315" i="2"/>
  <c r="O5314" i="2"/>
  <c r="O5313" i="2"/>
  <c r="O5312" i="2"/>
  <c r="O5311" i="2"/>
  <c r="M5311" i="2"/>
  <c r="L5311" i="2"/>
  <c r="E5311" i="2"/>
  <c r="D5311" i="2"/>
  <c r="B5311" i="2"/>
  <c r="A5311" i="2"/>
  <c r="O5310" i="2"/>
  <c r="O5309" i="2"/>
  <c r="M5309" i="2"/>
  <c r="L5309" i="2"/>
  <c r="E5309" i="2"/>
  <c r="D5309" i="2"/>
  <c r="B5309" i="2"/>
  <c r="A5309" i="2"/>
  <c r="O5308" i="2"/>
  <c r="M5308" i="2"/>
  <c r="L5308" i="2"/>
  <c r="E5308" i="2"/>
  <c r="D5308" i="2"/>
  <c r="B5308" i="2"/>
  <c r="A5308" i="2"/>
  <c r="O5307" i="2"/>
  <c r="M5307" i="2"/>
  <c r="L5307" i="2"/>
  <c r="E5307" i="2"/>
  <c r="D5307" i="2"/>
  <c r="B5307" i="2"/>
  <c r="A5307" i="2"/>
  <c r="O5306" i="2"/>
  <c r="O5305" i="2"/>
  <c r="M5305" i="2"/>
  <c r="L5305" i="2"/>
  <c r="E5305" i="2"/>
  <c r="D5305" i="2"/>
  <c r="B5305" i="2"/>
  <c r="A5305" i="2"/>
  <c r="O5304" i="2"/>
  <c r="O5303" i="2"/>
  <c r="M5303" i="2"/>
  <c r="L5303" i="2"/>
  <c r="E5303" i="2"/>
  <c r="D5303" i="2"/>
  <c r="B5303" i="2"/>
  <c r="A5303" i="2"/>
  <c r="O5302" i="2"/>
  <c r="O5301" i="2"/>
  <c r="O5300" i="2"/>
  <c r="O5299" i="2"/>
  <c r="O5298" i="2"/>
  <c r="M5298" i="2"/>
  <c r="L5298" i="2"/>
  <c r="E5298" i="2"/>
  <c r="D5298" i="2"/>
  <c r="B5298" i="2"/>
  <c r="A5298" i="2"/>
  <c r="O5297" i="2"/>
  <c r="M5297" i="2"/>
  <c r="L5297" i="2"/>
  <c r="E5297" i="2"/>
  <c r="D5297" i="2"/>
  <c r="B5297" i="2"/>
  <c r="A5297" i="2"/>
  <c r="O5296" i="2"/>
  <c r="M5296" i="2"/>
  <c r="L5296" i="2"/>
  <c r="E5296" i="2"/>
  <c r="D5296" i="2"/>
  <c r="B5296" i="2"/>
  <c r="A5296" i="2"/>
  <c r="O5295" i="2"/>
  <c r="O5294" i="2"/>
  <c r="M5294" i="2"/>
  <c r="L5294" i="2"/>
  <c r="E5294" i="2"/>
  <c r="D5294" i="2"/>
  <c r="B5294" i="2"/>
  <c r="A5294" i="2"/>
  <c r="O5293" i="2"/>
  <c r="M5293" i="2"/>
  <c r="L5293" i="2"/>
  <c r="E5293" i="2"/>
  <c r="D5293" i="2"/>
  <c r="B5293" i="2"/>
  <c r="A5293" i="2"/>
  <c r="O5292" i="2"/>
  <c r="M5292" i="2"/>
  <c r="L5292" i="2"/>
  <c r="E5292" i="2"/>
  <c r="D5292" i="2"/>
  <c r="B5292" i="2"/>
  <c r="A5292" i="2"/>
  <c r="O5291" i="2"/>
  <c r="M5291" i="2"/>
  <c r="L5291" i="2"/>
  <c r="E5291" i="2"/>
  <c r="D5291" i="2"/>
  <c r="B5291" i="2"/>
  <c r="A5291" i="2"/>
  <c r="O5290" i="2"/>
  <c r="M5290" i="2"/>
  <c r="L5290" i="2"/>
  <c r="E5290" i="2"/>
  <c r="D5290" i="2"/>
  <c r="B5290" i="2"/>
  <c r="A5290" i="2"/>
  <c r="O5289" i="2"/>
  <c r="M5289" i="2"/>
  <c r="L5289" i="2"/>
  <c r="E5289" i="2"/>
  <c r="D5289" i="2"/>
  <c r="B5289" i="2"/>
  <c r="A5289" i="2"/>
  <c r="O5288" i="2"/>
  <c r="M5288" i="2"/>
  <c r="L5288" i="2"/>
  <c r="E5288" i="2"/>
  <c r="D5288" i="2"/>
  <c r="B5288" i="2"/>
  <c r="A5288" i="2"/>
  <c r="O5287" i="2"/>
  <c r="M5287" i="2"/>
  <c r="L5287" i="2"/>
  <c r="E5287" i="2"/>
  <c r="D5287" i="2"/>
  <c r="B5287" i="2"/>
  <c r="A5287" i="2"/>
  <c r="O5286" i="2"/>
  <c r="O5285" i="2"/>
  <c r="O5284" i="2"/>
  <c r="O5283" i="2"/>
  <c r="M5283" i="2"/>
  <c r="L5283" i="2"/>
  <c r="E5283" i="2"/>
  <c r="D5283" i="2"/>
  <c r="B5283" i="2"/>
  <c r="A5283" i="2"/>
  <c r="O5282" i="2"/>
  <c r="M5282" i="2"/>
  <c r="L5282" i="2"/>
  <c r="E5282" i="2"/>
  <c r="D5282" i="2"/>
  <c r="B5282" i="2"/>
  <c r="A5282" i="2"/>
  <c r="O5281" i="2"/>
  <c r="O5280" i="2"/>
  <c r="O5279" i="2"/>
  <c r="O5278" i="2"/>
  <c r="M5278" i="2"/>
  <c r="L5278" i="2"/>
  <c r="E5278" i="2"/>
  <c r="D5278" i="2"/>
  <c r="B5278" i="2"/>
  <c r="A5278" i="2"/>
  <c r="O5277" i="2"/>
  <c r="M5277" i="2"/>
  <c r="L5277" i="2"/>
  <c r="E5277" i="2"/>
  <c r="D5277" i="2"/>
  <c r="B5277" i="2"/>
  <c r="A5277" i="2"/>
  <c r="O5276" i="2"/>
  <c r="O5275" i="2"/>
  <c r="M5275" i="2"/>
  <c r="L5275" i="2"/>
  <c r="E5275" i="2"/>
  <c r="D5275" i="2"/>
  <c r="B5275" i="2"/>
  <c r="A5275" i="2"/>
  <c r="O5274" i="2"/>
  <c r="O5273" i="2"/>
  <c r="O5272" i="2"/>
  <c r="O5271" i="2"/>
  <c r="O5270" i="2"/>
  <c r="M5270" i="2"/>
  <c r="L5270" i="2"/>
  <c r="E5270" i="2"/>
  <c r="D5270" i="2"/>
  <c r="B5270" i="2"/>
  <c r="A5270" i="2"/>
  <c r="O5269" i="2"/>
  <c r="O5268" i="2"/>
  <c r="O5267" i="2"/>
  <c r="O5266" i="2"/>
  <c r="M5266" i="2"/>
  <c r="L5266" i="2"/>
  <c r="E5266" i="2"/>
  <c r="D5266" i="2"/>
  <c r="B5266" i="2"/>
  <c r="A5266" i="2"/>
  <c r="O5265" i="2"/>
  <c r="M5265" i="2"/>
  <c r="L5265" i="2"/>
  <c r="E5265" i="2"/>
  <c r="D5265" i="2"/>
  <c r="B5265" i="2"/>
  <c r="A5265" i="2"/>
  <c r="O5264" i="2"/>
  <c r="M5264" i="2"/>
  <c r="L5264" i="2"/>
  <c r="E5264" i="2"/>
  <c r="D5264" i="2"/>
  <c r="B5264" i="2"/>
  <c r="A5264" i="2"/>
  <c r="O5263" i="2"/>
  <c r="O5262" i="2"/>
  <c r="O5261" i="2"/>
  <c r="M5261" i="2"/>
  <c r="L5261" i="2"/>
  <c r="E5261" i="2"/>
  <c r="D5261" i="2"/>
  <c r="B5261" i="2"/>
  <c r="A5261" i="2"/>
  <c r="O5260" i="2"/>
  <c r="O5259" i="2"/>
  <c r="O5258" i="2"/>
  <c r="O5257" i="2"/>
  <c r="M5257" i="2"/>
  <c r="L5257" i="2"/>
  <c r="E5257" i="2"/>
  <c r="D5257" i="2"/>
  <c r="B5257" i="2"/>
  <c r="A5257" i="2"/>
  <c r="O5256" i="2"/>
  <c r="O5255" i="2"/>
  <c r="O5254" i="2"/>
  <c r="O5253" i="2"/>
  <c r="O5252" i="2"/>
  <c r="M5252" i="2"/>
  <c r="L5252" i="2"/>
  <c r="E5252" i="2"/>
  <c r="D5252" i="2"/>
  <c r="B5252" i="2"/>
  <c r="A5252" i="2"/>
  <c r="O5251" i="2"/>
  <c r="M5251" i="2"/>
  <c r="L5251" i="2"/>
  <c r="E5251" i="2"/>
  <c r="D5251" i="2"/>
  <c r="B5251" i="2"/>
  <c r="A5251" i="2"/>
  <c r="O5250" i="2"/>
  <c r="O5249" i="2"/>
  <c r="O5248" i="2"/>
  <c r="O5247" i="2"/>
  <c r="O5246" i="2"/>
  <c r="O5245" i="2"/>
  <c r="O5244" i="2"/>
  <c r="M5244" i="2"/>
  <c r="L5244" i="2"/>
  <c r="E5244" i="2"/>
  <c r="D5244" i="2"/>
  <c r="B5244" i="2"/>
  <c r="A5244" i="2"/>
  <c r="O5243" i="2"/>
  <c r="M5243" i="2"/>
  <c r="L5243" i="2"/>
  <c r="E5243" i="2"/>
  <c r="D5243" i="2"/>
  <c r="B5243" i="2"/>
  <c r="A5243" i="2"/>
  <c r="O5242" i="2"/>
  <c r="O5241" i="2"/>
  <c r="O5240" i="2"/>
  <c r="M5240" i="2"/>
  <c r="L5240" i="2"/>
  <c r="E5240" i="2"/>
  <c r="D5240" i="2"/>
  <c r="B5240" i="2"/>
  <c r="A5240" i="2"/>
  <c r="O5239" i="2"/>
  <c r="O5238" i="2"/>
  <c r="M5238" i="2"/>
  <c r="L5238" i="2"/>
  <c r="E5238" i="2"/>
  <c r="D5238" i="2"/>
  <c r="B5238" i="2"/>
  <c r="A5238" i="2"/>
  <c r="O5237" i="2"/>
  <c r="M5237" i="2"/>
  <c r="L5237" i="2"/>
  <c r="E5237" i="2"/>
  <c r="D5237" i="2"/>
  <c r="B5237" i="2"/>
  <c r="A5237" i="2"/>
  <c r="O5236" i="2"/>
  <c r="O5235" i="2"/>
  <c r="O5234" i="2"/>
  <c r="O5233" i="2"/>
  <c r="O5232" i="2"/>
  <c r="O5231" i="2"/>
  <c r="M5231" i="2"/>
  <c r="L5231" i="2"/>
  <c r="E5231" i="2"/>
  <c r="D5231" i="2"/>
  <c r="B5231" i="2"/>
  <c r="A5231" i="2"/>
  <c r="O5230" i="2"/>
  <c r="O5229" i="2"/>
  <c r="O5228" i="2"/>
  <c r="O5227" i="2"/>
  <c r="O5226" i="2"/>
  <c r="M5226" i="2"/>
  <c r="L5226" i="2"/>
  <c r="E5226" i="2"/>
  <c r="D5226" i="2"/>
  <c r="B5226" i="2"/>
  <c r="A5226" i="2"/>
  <c r="O5225" i="2"/>
  <c r="O5224" i="2"/>
  <c r="O5223" i="2"/>
  <c r="O5222" i="2"/>
  <c r="O5221" i="2"/>
  <c r="O5220" i="2"/>
  <c r="M5220" i="2"/>
  <c r="L5220" i="2"/>
  <c r="E5220" i="2"/>
  <c r="D5220" i="2"/>
  <c r="B5220" i="2"/>
  <c r="A5220" i="2"/>
  <c r="O5219" i="2"/>
  <c r="O5218" i="2"/>
  <c r="M5218" i="2"/>
  <c r="L5218" i="2"/>
  <c r="E5218" i="2"/>
  <c r="D5218" i="2"/>
  <c r="B5218" i="2"/>
  <c r="A5218" i="2"/>
  <c r="O5217" i="2"/>
  <c r="O5216" i="2"/>
  <c r="M5216" i="2"/>
  <c r="L5216" i="2"/>
  <c r="E5216" i="2"/>
  <c r="D5216" i="2"/>
  <c r="B5216" i="2"/>
  <c r="A5216" i="2"/>
  <c r="O5215" i="2"/>
  <c r="O5214" i="2"/>
  <c r="O5213" i="2"/>
  <c r="O5212" i="2"/>
  <c r="O5211" i="2"/>
  <c r="O5210" i="2"/>
  <c r="M5210" i="2"/>
  <c r="L5210" i="2"/>
  <c r="E5210" i="2"/>
  <c r="D5210" i="2"/>
  <c r="B5210" i="2"/>
  <c r="A5210" i="2"/>
  <c r="O5209" i="2"/>
  <c r="O5208" i="2"/>
  <c r="O5207" i="2"/>
  <c r="M5207" i="2"/>
  <c r="L5207" i="2"/>
  <c r="E5207" i="2"/>
  <c r="D5207" i="2"/>
  <c r="B5207" i="2"/>
  <c r="A5207" i="2"/>
  <c r="O5206" i="2"/>
  <c r="M5206" i="2"/>
  <c r="L5206" i="2"/>
  <c r="E5206" i="2"/>
  <c r="D5206" i="2"/>
  <c r="B5206" i="2"/>
  <c r="A5206" i="2"/>
  <c r="O5205" i="2"/>
  <c r="M5205" i="2"/>
  <c r="L5205" i="2"/>
  <c r="E5205" i="2"/>
  <c r="D5205" i="2"/>
  <c r="B5205" i="2"/>
  <c r="A5205" i="2"/>
  <c r="O5204" i="2"/>
  <c r="M5204" i="2"/>
  <c r="L5204" i="2"/>
  <c r="E5204" i="2"/>
  <c r="D5204" i="2"/>
  <c r="B5204" i="2"/>
  <c r="A5204" i="2"/>
  <c r="O5203" i="2"/>
  <c r="M5203" i="2"/>
  <c r="L5203" i="2"/>
  <c r="E5203" i="2"/>
  <c r="D5203" i="2"/>
  <c r="B5203" i="2"/>
  <c r="A5203" i="2"/>
  <c r="O5202" i="2"/>
  <c r="O5201" i="2"/>
  <c r="M5201" i="2"/>
  <c r="L5201" i="2"/>
  <c r="E5201" i="2"/>
  <c r="D5201" i="2"/>
  <c r="B5201" i="2"/>
  <c r="A5201" i="2"/>
  <c r="O5200" i="2"/>
  <c r="M5200" i="2"/>
  <c r="L5200" i="2"/>
  <c r="E5200" i="2"/>
  <c r="D5200" i="2"/>
  <c r="B5200" i="2"/>
  <c r="A5200" i="2"/>
  <c r="O5199" i="2"/>
  <c r="M5199" i="2"/>
  <c r="L5199" i="2"/>
  <c r="E5199" i="2"/>
  <c r="D5199" i="2"/>
  <c r="B5199" i="2"/>
  <c r="A5199" i="2"/>
  <c r="O5198" i="2"/>
  <c r="M5198" i="2"/>
  <c r="L5198" i="2"/>
  <c r="E5198" i="2"/>
  <c r="D5198" i="2"/>
  <c r="B5198" i="2"/>
  <c r="A5198" i="2"/>
  <c r="O5197" i="2"/>
  <c r="M5197" i="2"/>
  <c r="L5197" i="2"/>
  <c r="E5197" i="2"/>
  <c r="D5197" i="2"/>
  <c r="B5197" i="2"/>
  <c r="A5197" i="2"/>
  <c r="O5196" i="2"/>
  <c r="M5196" i="2"/>
  <c r="L5196" i="2"/>
  <c r="E5196" i="2"/>
  <c r="D5196" i="2"/>
  <c r="B5196" i="2"/>
  <c r="A5196" i="2"/>
  <c r="O5195" i="2"/>
  <c r="M5195" i="2"/>
  <c r="L5195" i="2"/>
  <c r="E5195" i="2"/>
  <c r="D5195" i="2"/>
  <c r="B5195" i="2"/>
  <c r="A5195" i="2"/>
  <c r="O5194" i="2"/>
  <c r="O5193" i="2"/>
  <c r="O5192" i="2"/>
  <c r="M5192" i="2"/>
  <c r="L5192" i="2"/>
  <c r="E5192" i="2"/>
  <c r="D5192" i="2"/>
  <c r="B5192" i="2"/>
  <c r="A5192" i="2"/>
  <c r="O5191" i="2"/>
  <c r="O5190" i="2"/>
  <c r="O5189" i="2"/>
  <c r="M5189" i="2"/>
  <c r="L5189" i="2"/>
  <c r="E5189" i="2"/>
  <c r="D5189" i="2"/>
  <c r="B5189" i="2"/>
  <c r="A5189" i="2"/>
  <c r="O5188" i="2"/>
  <c r="M5188" i="2"/>
  <c r="L5188" i="2"/>
  <c r="E5188" i="2"/>
  <c r="D5188" i="2"/>
  <c r="B5188" i="2"/>
  <c r="A5188" i="2"/>
  <c r="O5187" i="2"/>
  <c r="M5187" i="2"/>
  <c r="L5187" i="2"/>
  <c r="E5187" i="2"/>
  <c r="D5187" i="2"/>
  <c r="B5187" i="2"/>
  <c r="A5187" i="2"/>
  <c r="O5186" i="2"/>
  <c r="M5186" i="2"/>
  <c r="L5186" i="2"/>
  <c r="E5186" i="2"/>
  <c r="D5186" i="2"/>
  <c r="B5186" i="2"/>
  <c r="A5186" i="2"/>
  <c r="O5185" i="2"/>
  <c r="M5185" i="2"/>
  <c r="L5185" i="2"/>
  <c r="E5185" i="2"/>
  <c r="D5185" i="2"/>
  <c r="B5185" i="2"/>
  <c r="A5185" i="2"/>
  <c r="O5184" i="2"/>
  <c r="O5183" i="2"/>
  <c r="M5183" i="2"/>
  <c r="L5183" i="2"/>
  <c r="E5183" i="2"/>
  <c r="D5183" i="2"/>
  <c r="B5183" i="2"/>
  <c r="A5183" i="2"/>
  <c r="O5182" i="2"/>
  <c r="O5181" i="2"/>
  <c r="M5181" i="2"/>
  <c r="L5181" i="2"/>
  <c r="E5181" i="2"/>
  <c r="D5181" i="2"/>
  <c r="B5181" i="2"/>
  <c r="A5181" i="2"/>
  <c r="O5180" i="2"/>
  <c r="M5180" i="2"/>
  <c r="L5180" i="2"/>
  <c r="E5180" i="2"/>
  <c r="D5180" i="2"/>
  <c r="B5180" i="2"/>
  <c r="A5180" i="2"/>
  <c r="O5179" i="2"/>
  <c r="O5178" i="2"/>
  <c r="O5177" i="2"/>
  <c r="O5176" i="2"/>
  <c r="M5176" i="2"/>
  <c r="L5176" i="2"/>
  <c r="E5176" i="2"/>
  <c r="D5176" i="2"/>
  <c r="B5176" i="2"/>
  <c r="A5176" i="2"/>
  <c r="O5175" i="2"/>
  <c r="M5175" i="2"/>
  <c r="L5175" i="2"/>
  <c r="E5175" i="2"/>
  <c r="D5175" i="2"/>
  <c r="B5175" i="2"/>
  <c r="A5175" i="2"/>
  <c r="O5174" i="2"/>
  <c r="M5174" i="2"/>
  <c r="L5174" i="2"/>
  <c r="E5174" i="2"/>
  <c r="D5174" i="2"/>
  <c r="B5174" i="2"/>
  <c r="A5174" i="2"/>
  <c r="O5173" i="2"/>
  <c r="O5172" i="2"/>
  <c r="O5171" i="2"/>
  <c r="M5171" i="2"/>
  <c r="L5171" i="2"/>
  <c r="E5171" i="2"/>
  <c r="D5171" i="2"/>
  <c r="B5171" i="2"/>
  <c r="A5171" i="2"/>
  <c r="O5170" i="2"/>
  <c r="O5169" i="2"/>
  <c r="O5168" i="2"/>
  <c r="M5168" i="2"/>
  <c r="L5168" i="2"/>
  <c r="E5168" i="2"/>
  <c r="D5168" i="2"/>
  <c r="B5168" i="2"/>
  <c r="A5168" i="2"/>
  <c r="O5167" i="2"/>
  <c r="M5167" i="2"/>
  <c r="L5167" i="2"/>
  <c r="E5167" i="2"/>
  <c r="D5167" i="2"/>
  <c r="B5167" i="2"/>
  <c r="A5167" i="2"/>
  <c r="O5166" i="2"/>
  <c r="M5166" i="2"/>
  <c r="L5166" i="2"/>
  <c r="E5166" i="2"/>
  <c r="D5166" i="2"/>
  <c r="B5166" i="2"/>
  <c r="A5166" i="2"/>
  <c r="O5165" i="2"/>
  <c r="M5165" i="2"/>
  <c r="L5165" i="2"/>
  <c r="E5165" i="2"/>
  <c r="D5165" i="2"/>
  <c r="B5165" i="2"/>
  <c r="A5165" i="2"/>
  <c r="O5164" i="2"/>
  <c r="O5163" i="2"/>
  <c r="M5163" i="2"/>
  <c r="L5163" i="2"/>
  <c r="E5163" i="2"/>
  <c r="D5163" i="2"/>
  <c r="B5163" i="2"/>
  <c r="A5163" i="2"/>
  <c r="O5162" i="2"/>
  <c r="M5162" i="2"/>
  <c r="L5162" i="2"/>
  <c r="E5162" i="2"/>
  <c r="D5162" i="2"/>
  <c r="B5162" i="2"/>
  <c r="A5162" i="2"/>
  <c r="O5161" i="2"/>
  <c r="M5161" i="2"/>
  <c r="L5161" i="2"/>
  <c r="E5161" i="2"/>
  <c r="D5161" i="2"/>
  <c r="B5161" i="2"/>
  <c r="A5161" i="2"/>
  <c r="O5160" i="2"/>
  <c r="M5160" i="2"/>
  <c r="L5160" i="2"/>
  <c r="E5160" i="2"/>
  <c r="D5160" i="2"/>
  <c r="B5160" i="2"/>
  <c r="A5160" i="2"/>
  <c r="O5159" i="2"/>
  <c r="O5158" i="2"/>
  <c r="O5157" i="2"/>
  <c r="M5157" i="2"/>
  <c r="L5157" i="2"/>
  <c r="E5157" i="2"/>
  <c r="D5157" i="2"/>
  <c r="B5157" i="2"/>
  <c r="A5157" i="2"/>
  <c r="O5156" i="2"/>
  <c r="O5155" i="2"/>
  <c r="O5154" i="2"/>
  <c r="O5153" i="2"/>
  <c r="O5152" i="2"/>
  <c r="O5151" i="2"/>
  <c r="O5150" i="2"/>
  <c r="O5149" i="2"/>
  <c r="O5148" i="2"/>
  <c r="O5147" i="2"/>
  <c r="O5146" i="2"/>
  <c r="M5146" i="2"/>
  <c r="L5146" i="2"/>
  <c r="E5146" i="2"/>
  <c r="D5146" i="2"/>
  <c r="B5146" i="2"/>
  <c r="A5146" i="2"/>
  <c r="O5145" i="2"/>
  <c r="M5145" i="2"/>
  <c r="L5145" i="2"/>
  <c r="E5145" i="2"/>
  <c r="D5145" i="2"/>
  <c r="B5145" i="2"/>
  <c r="A5145" i="2"/>
  <c r="O5144" i="2"/>
  <c r="M5144" i="2"/>
  <c r="L5144" i="2"/>
  <c r="E5144" i="2"/>
  <c r="D5144" i="2"/>
  <c r="B5144" i="2"/>
  <c r="A5144" i="2"/>
  <c r="O5143" i="2"/>
  <c r="M5143" i="2"/>
  <c r="L5143" i="2"/>
  <c r="E5143" i="2"/>
  <c r="D5143" i="2"/>
  <c r="B5143" i="2"/>
  <c r="A5143" i="2"/>
  <c r="O5142" i="2"/>
  <c r="O5141" i="2"/>
  <c r="M5141" i="2"/>
  <c r="L5141" i="2"/>
  <c r="E5141" i="2"/>
  <c r="D5141" i="2"/>
  <c r="B5141" i="2"/>
  <c r="A5141" i="2"/>
  <c r="O5140" i="2"/>
  <c r="O5139" i="2"/>
  <c r="M5139" i="2"/>
  <c r="L5139" i="2"/>
  <c r="E5139" i="2"/>
  <c r="D5139" i="2"/>
  <c r="B5139" i="2"/>
  <c r="A5139" i="2"/>
  <c r="O5138" i="2"/>
  <c r="M5138" i="2"/>
  <c r="L5138" i="2"/>
  <c r="E5138" i="2"/>
  <c r="D5138" i="2"/>
  <c r="B5138" i="2"/>
  <c r="A5138" i="2"/>
  <c r="O5137" i="2"/>
  <c r="M5137" i="2"/>
  <c r="L5137" i="2"/>
  <c r="E5137" i="2"/>
  <c r="D5137" i="2"/>
  <c r="B5137" i="2"/>
  <c r="A5137" i="2"/>
  <c r="O5136" i="2"/>
  <c r="O5135" i="2"/>
  <c r="M5135" i="2"/>
  <c r="L5135" i="2"/>
  <c r="E5135" i="2"/>
  <c r="D5135" i="2"/>
  <c r="B5135" i="2"/>
  <c r="A5135" i="2"/>
  <c r="O5134" i="2"/>
  <c r="M5134" i="2"/>
  <c r="L5134" i="2"/>
  <c r="E5134" i="2"/>
  <c r="D5134" i="2"/>
  <c r="B5134" i="2"/>
  <c r="A5134" i="2"/>
  <c r="O5133" i="2"/>
  <c r="M5133" i="2"/>
  <c r="L5133" i="2"/>
  <c r="E5133" i="2"/>
  <c r="D5133" i="2"/>
  <c r="B5133" i="2"/>
  <c r="A5133" i="2"/>
  <c r="O5132" i="2"/>
  <c r="M5132" i="2"/>
  <c r="L5132" i="2"/>
  <c r="E5132" i="2"/>
  <c r="D5132" i="2"/>
  <c r="B5132" i="2"/>
  <c r="A5132" i="2"/>
  <c r="O5131" i="2"/>
  <c r="O5130" i="2"/>
  <c r="O5129" i="2"/>
  <c r="O5128" i="2"/>
  <c r="M5128" i="2"/>
  <c r="L5128" i="2"/>
  <c r="E5128" i="2"/>
  <c r="D5128" i="2"/>
  <c r="B5128" i="2"/>
  <c r="A5128" i="2"/>
  <c r="O5127" i="2"/>
  <c r="O5126" i="2"/>
  <c r="M5126" i="2"/>
  <c r="L5126" i="2"/>
  <c r="E5126" i="2"/>
  <c r="D5126" i="2"/>
  <c r="B5126" i="2"/>
  <c r="A5126" i="2"/>
  <c r="O5125" i="2"/>
  <c r="O5124" i="2"/>
  <c r="O5123" i="2"/>
  <c r="M5123" i="2"/>
  <c r="L5123" i="2"/>
  <c r="E5123" i="2"/>
  <c r="D5123" i="2"/>
  <c r="B5123" i="2"/>
  <c r="A5123" i="2"/>
  <c r="O5122" i="2"/>
  <c r="O5121" i="2"/>
  <c r="M5121" i="2"/>
  <c r="L5121" i="2"/>
  <c r="E5121" i="2"/>
  <c r="D5121" i="2"/>
  <c r="B5121" i="2"/>
  <c r="A5121" i="2"/>
  <c r="O5120" i="2"/>
  <c r="M5120" i="2"/>
  <c r="L5120" i="2"/>
  <c r="E5120" i="2"/>
  <c r="D5120" i="2"/>
  <c r="B5120" i="2"/>
  <c r="A5120" i="2"/>
  <c r="O5119" i="2"/>
  <c r="O5118" i="2"/>
  <c r="O5117" i="2"/>
  <c r="O5116" i="2"/>
  <c r="O5115" i="2"/>
  <c r="O5114" i="2"/>
  <c r="O5113" i="2"/>
  <c r="O5112" i="2"/>
  <c r="O5111" i="2"/>
  <c r="O5110" i="2"/>
  <c r="O5109" i="2"/>
  <c r="O5108" i="2"/>
  <c r="O5107" i="2"/>
  <c r="O5106" i="2"/>
  <c r="O5105" i="2"/>
  <c r="O5104" i="2"/>
  <c r="O5103" i="2"/>
  <c r="O5102" i="2"/>
  <c r="O5101" i="2"/>
  <c r="O5100" i="2"/>
  <c r="O5099" i="2"/>
  <c r="O5098" i="2"/>
  <c r="O5097" i="2"/>
  <c r="O5096" i="2"/>
  <c r="O5095" i="2"/>
  <c r="O5094" i="2"/>
  <c r="O5093" i="2"/>
  <c r="O5092" i="2"/>
  <c r="O5091" i="2"/>
  <c r="O5090" i="2"/>
  <c r="O5089" i="2"/>
  <c r="O5088" i="2"/>
  <c r="O5087" i="2"/>
  <c r="O5086" i="2"/>
  <c r="O5085" i="2"/>
  <c r="O5084" i="2"/>
  <c r="O5083" i="2"/>
  <c r="M5083" i="2"/>
  <c r="L5083" i="2"/>
  <c r="E5083" i="2"/>
  <c r="D5083" i="2"/>
  <c r="B5083" i="2"/>
  <c r="A5083" i="2"/>
  <c r="O5082" i="2"/>
  <c r="O5081" i="2"/>
  <c r="M5081" i="2"/>
  <c r="L5081" i="2"/>
  <c r="E5081" i="2"/>
  <c r="D5081" i="2"/>
  <c r="B5081" i="2"/>
  <c r="A5081" i="2"/>
  <c r="O5080" i="2"/>
  <c r="M5080" i="2"/>
  <c r="L5080" i="2"/>
  <c r="E5080" i="2"/>
  <c r="D5080" i="2"/>
  <c r="B5080" i="2"/>
  <c r="A5080" i="2"/>
  <c r="O5079" i="2"/>
  <c r="O5078" i="2"/>
  <c r="O5077" i="2"/>
  <c r="M5077" i="2"/>
  <c r="L5077" i="2"/>
  <c r="E5077" i="2"/>
  <c r="D5077" i="2"/>
  <c r="B5077" i="2"/>
  <c r="A5077" i="2"/>
  <c r="O5076" i="2"/>
  <c r="M5076" i="2"/>
  <c r="L5076" i="2"/>
  <c r="E5076" i="2"/>
  <c r="D5076" i="2"/>
  <c r="B5076" i="2"/>
  <c r="A5076" i="2"/>
  <c r="O5075" i="2"/>
  <c r="M5075" i="2"/>
  <c r="L5075" i="2"/>
  <c r="E5075" i="2"/>
  <c r="D5075" i="2"/>
  <c r="B5075" i="2"/>
  <c r="A5075" i="2"/>
  <c r="O5074" i="2"/>
  <c r="O5073" i="2"/>
  <c r="O5072" i="2"/>
  <c r="M5072" i="2"/>
  <c r="L5072" i="2"/>
  <c r="E5072" i="2"/>
  <c r="D5072" i="2"/>
  <c r="B5072" i="2"/>
  <c r="A5072" i="2"/>
  <c r="O5071" i="2"/>
  <c r="M5071" i="2"/>
  <c r="L5071" i="2"/>
  <c r="E5071" i="2"/>
  <c r="D5071" i="2"/>
  <c r="B5071" i="2"/>
  <c r="A5071" i="2"/>
  <c r="O5070" i="2"/>
  <c r="M5070" i="2"/>
  <c r="L5070" i="2"/>
  <c r="E5070" i="2"/>
  <c r="D5070" i="2"/>
  <c r="B5070" i="2"/>
  <c r="A5070" i="2"/>
  <c r="O5069" i="2"/>
  <c r="M5069" i="2"/>
  <c r="L5069" i="2"/>
  <c r="E5069" i="2"/>
  <c r="D5069" i="2"/>
  <c r="B5069" i="2"/>
  <c r="A5069" i="2"/>
  <c r="O5068" i="2"/>
  <c r="M5068" i="2"/>
  <c r="L5068" i="2"/>
  <c r="E5068" i="2"/>
  <c r="D5068" i="2"/>
  <c r="B5068" i="2"/>
  <c r="A5068" i="2"/>
  <c r="O5067" i="2"/>
  <c r="O5066" i="2"/>
  <c r="M5066" i="2"/>
  <c r="L5066" i="2"/>
  <c r="E5066" i="2"/>
  <c r="D5066" i="2"/>
  <c r="B5066" i="2"/>
  <c r="A5066" i="2"/>
  <c r="O5065" i="2"/>
  <c r="O5064" i="2"/>
  <c r="O5063" i="2"/>
  <c r="O5062" i="2"/>
  <c r="O5061" i="2"/>
  <c r="O5060" i="2"/>
  <c r="O5059" i="2"/>
  <c r="O5058" i="2"/>
  <c r="O5057" i="2"/>
  <c r="O5056" i="2"/>
  <c r="O5055" i="2"/>
  <c r="O5054" i="2"/>
  <c r="M5054" i="2"/>
  <c r="L5054" i="2"/>
  <c r="E5054" i="2"/>
  <c r="D5054" i="2"/>
  <c r="B5054" i="2"/>
  <c r="A5054" i="2"/>
  <c r="O5053" i="2"/>
  <c r="O5052" i="2"/>
  <c r="O5051" i="2"/>
  <c r="O5050" i="2"/>
  <c r="M5050" i="2"/>
  <c r="L5050" i="2"/>
  <c r="E5050" i="2"/>
  <c r="D5050" i="2"/>
  <c r="B5050" i="2"/>
  <c r="A5050" i="2"/>
  <c r="O5049" i="2"/>
  <c r="M5049" i="2"/>
  <c r="L5049" i="2"/>
  <c r="E5049" i="2"/>
  <c r="D5049" i="2"/>
  <c r="B5049" i="2"/>
  <c r="A5049" i="2"/>
  <c r="O5048" i="2"/>
  <c r="O5047" i="2"/>
  <c r="O5046" i="2"/>
  <c r="M5046" i="2"/>
  <c r="L5046" i="2"/>
  <c r="E5046" i="2"/>
  <c r="D5046" i="2"/>
  <c r="B5046" i="2"/>
  <c r="A5046" i="2"/>
  <c r="O5045" i="2"/>
  <c r="O5044" i="2"/>
  <c r="O5043" i="2"/>
  <c r="O5042" i="2"/>
  <c r="O5041" i="2"/>
  <c r="O5040" i="2"/>
  <c r="O5039" i="2"/>
  <c r="O5038" i="2"/>
  <c r="O5037" i="2"/>
  <c r="O5036" i="2"/>
  <c r="O5035" i="2"/>
  <c r="O5034" i="2"/>
  <c r="O5033" i="2"/>
  <c r="O5032" i="2"/>
  <c r="O5031" i="2"/>
  <c r="O5030" i="2"/>
  <c r="O5029" i="2"/>
  <c r="O5028" i="2"/>
  <c r="O5027" i="2"/>
  <c r="M5027" i="2"/>
  <c r="L5027" i="2"/>
  <c r="E5027" i="2"/>
  <c r="D5027" i="2"/>
  <c r="B5027" i="2"/>
  <c r="A5027" i="2"/>
  <c r="O5026" i="2"/>
  <c r="M5026" i="2"/>
  <c r="L5026" i="2"/>
  <c r="E5026" i="2"/>
  <c r="D5026" i="2"/>
  <c r="B5026" i="2"/>
  <c r="A5026" i="2"/>
  <c r="O5025" i="2"/>
  <c r="O5024" i="2"/>
  <c r="M5024" i="2"/>
  <c r="L5024" i="2"/>
  <c r="E5024" i="2"/>
  <c r="D5024" i="2"/>
  <c r="B5024" i="2"/>
  <c r="A5024" i="2"/>
  <c r="O5023" i="2"/>
  <c r="M5023" i="2"/>
  <c r="L5023" i="2"/>
  <c r="E5023" i="2"/>
  <c r="D5023" i="2"/>
  <c r="B5023" i="2"/>
  <c r="A5023" i="2"/>
  <c r="O5022" i="2"/>
  <c r="M5022" i="2"/>
  <c r="L5022" i="2"/>
  <c r="E5022" i="2"/>
  <c r="D5022" i="2"/>
  <c r="B5022" i="2"/>
  <c r="A5022" i="2"/>
  <c r="O5021" i="2"/>
  <c r="O5020" i="2"/>
  <c r="M5020" i="2"/>
  <c r="L5020" i="2"/>
  <c r="E5020" i="2"/>
  <c r="D5020" i="2"/>
  <c r="B5020" i="2"/>
  <c r="A5020" i="2"/>
  <c r="O5019" i="2"/>
  <c r="M5019" i="2"/>
  <c r="L5019" i="2"/>
  <c r="E5019" i="2"/>
  <c r="D5019" i="2"/>
  <c r="B5019" i="2"/>
  <c r="A5019" i="2"/>
  <c r="O5018" i="2"/>
  <c r="M5018" i="2"/>
  <c r="L5018" i="2"/>
  <c r="E5018" i="2"/>
  <c r="D5018" i="2"/>
  <c r="B5018" i="2"/>
  <c r="A5018" i="2"/>
  <c r="O5017" i="2"/>
  <c r="O5016" i="2"/>
  <c r="O5015" i="2"/>
  <c r="O5014" i="2"/>
  <c r="O5013" i="2"/>
  <c r="O5012" i="2"/>
  <c r="M5012" i="2"/>
  <c r="L5012" i="2"/>
  <c r="E5012" i="2"/>
  <c r="D5012" i="2"/>
  <c r="B5012" i="2"/>
  <c r="A5012" i="2"/>
  <c r="O5011" i="2"/>
  <c r="M5011" i="2"/>
  <c r="L5011" i="2"/>
  <c r="E5011" i="2"/>
  <c r="D5011" i="2"/>
  <c r="B5011" i="2"/>
  <c r="A5011" i="2"/>
  <c r="O5010" i="2"/>
  <c r="M5010" i="2"/>
  <c r="L5010" i="2"/>
  <c r="E5010" i="2"/>
  <c r="D5010" i="2"/>
  <c r="B5010" i="2"/>
  <c r="A5010" i="2"/>
  <c r="O5009" i="2"/>
  <c r="M5009" i="2"/>
  <c r="L5009" i="2"/>
  <c r="E5009" i="2"/>
  <c r="D5009" i="2"/>
  <c r="B5009" i="2"/>
  <c r="A5009" i="2"/>
  <c r="O5008" i="2"/>
  <c r="M5008" i="2"/>
  <c r="L5008" i="2"/>
  <c r="E5008" i="2"/>
  <c r="D5008" i="2"/>
  <c r="B5008" i="2"/>
  <c r="A5008" i="2"/>
  <c r="O5007" i="2"/>
  <c r="M5007" i="2"/>
  <c r="L5007" i="2"/>
  <c r="E5007" i="2"/>
  <c r="D5007" i="2"/>
  <c r="B5007" i="2"/>
  <c r="A5007" i="2"/>
  <c r="O5006" i="2"/>
  <c r="O5005" i="2"/>
  <c r="M5005" i="2"/>
  <c r="L5005" i="2"/>
  <c r="E5005" i="2"/>
  <c r="D5005" i="2"/>
  <c r="B5005" i="2"/>
  <c r="A5005" i="2"/>
  <c r="O5004" i="2"/>
  <c r="O5003" i="2"/>
  <c r="M5003" i="2"/>
  <c r="L5003" i="2"/>
  <c r="E5003" i="2"/>
  <c r="D5003" i="2"/>
  <c r="B5003" i="2"/>
  <c r="A5003" i="2"/>
  <c r="O5002" i="2"/>
  <c r="O5001" i="2"/>
  <c r="M5001" i="2"/>
  <c r="L5001" i="2"/>
  <c r="E5001" i="2"/>
  <c r="D5001" i="2"/>
  <c r="B5001" i="2"/>
  <c r="A5001" i="2"/>
  <c r="O5000" i="2"/>
  <c r="M5000" i="2"/>
  <c r="L5000" i="2"/>
  <c r="E5000" i="2"/>
  <c r="D5000" i="2"/>
  <c r="B5000" i="2"/>
  <c r="A5000" i="2"/>
  <c r="O4999" i="2"/>
  <c r="O4998" i="2"/>
  <c r="O4997" i="2"/>
  <c r="M4997" i="2"/>
  <c r="L4997" i="2"/>
  <c r="E4997" i="2"/>
  <c r="D4997" i="2"/>
  <c r="B4997" i="2"/>
  <c r="A4997" i="2"/>
  <c r="O4996" i="2"/>
  <c r="M4996" i="2"/>
  <c r="L4996" i="2"/>
  <c r="E4996" i="2"/>
  <c r="D4996" i="2"/>
  <c r="B4996" i="2"/>
  <c r="A4996" i="2"/>
  <c r="O4995" i="2"/>
  <c r="O4994" i="2"/>
  <c r="M4994" i="2"/>
  <c r="L4994" i="2"/>
  <c r="E4994" i="2"/>
  <c r="D4994" i="2"/>
  <c r="B4994" i="2"/>
  <c r="A4994" i="2"/>
  <c r="O4993" i="2"/>
  <c r="O4992" i="2"/>
  <c r="M4992" i="2"/>
  <c r="L4992" i="2"/>
  <c r="E4992" i="2"/>
  <c r="D4992" i="2"/>
  <c r="B4992" i="2"/>
  <c r="A4992" i="2"/>
  <c r="O4991" i="2"/>
  <c r="M4991" i="2"/>
  <c r="L4991" i="2"/>
  <c r="E4991" i="2"/>
  <c r="D4991" i="2"/>
  <c r="B4991" i="2"/>
  <c r="A4991" i="2"/>
  <c r="O4990" i="2"/>
  <c r="M4990" i="2"/>
  <c r="L4990" i="2"/>
  <c r="E4990" i="2"/>
  <c r="D4990" i="2"/>
  <c r="B4990" i="2"/>
  <c r="A4990" i="2"/>
  <c r="O4989" i="2"/>
  <c r="O4988" i="2"/>
  <c r="M4988" i="2"/>
  <c r="L4988" i="2"/>
  <c r="E4988" i="2"/>
  <c r="D4988" i="2"/>
  <c r="B4988" i="2"/>
  <c r="A4988" i="2"/>
  <c r="O4987" i="2"/>
  <c r="O4986" i="2"/>
  <c r="M4986" i="2"/>
  <c r="L4986" i="2"/>
  <c r="E4986" i="2"/>
  <c r="D4986" i="2"/>
  <c r="B4986" i="2"/>
  <c r="A4986" i="2"/>
  <c r="O4985" i="2"/>
  <c r="M4985" i="2"/>
  <c r="L4985" i="2"/>
  <c r="E4985" i="2"/>
  <c r="D4985" i="2"/>
  <c r="B4985" i="2"/>
  <c r="A4985" i="2"/>
  <c r="O4984" i="2"/>
  <c r="O4983" i="2"/>
  <c r="M4983" i="2"/>
  <c r="L4983" i="2"/>
  <c r="E4983" i="2"/>
  <c r="D4983" i="2"/>
  <c r="B4983" i="2"/>
  <c r="A4983" i="2"/>
  <c r="O4982" i="2"/>
  <c r="O4981" i="2"/>
  <c r="O4980" i="2"/>
  <c r="O4979" i="2"/>
  <c r="O4978" i="2"/>
  <c r="O4977" i="2"/>
  <c r="O4976" i="2"/>
  <c r="O4975" i="2"/>
  <c r="O4974" i="2"/>
  <c r="M4974" i="2"/>
  <c r="L4974" i="2"/>
  <c r="E4974" i="2"/>
  <c r="D4974" i="2"/>
  <c r="B4974" i="2"/>
  <c r="A4974" i="2"/>
  <c r="O4973" i="2"/>
  <c r="M4973" i="2"/>
  <c r="L4973" i="2"/>
  <c r="E4973" i="2"/>
  <c r="D4973" i="2"/>
  <c r="B4973" i="2"/>
  <c r="A4973" i="2"/>
  <c r="O4972" i="2"/>
  <c r="M4972" i="2"/>
  <c r="L4972" i="2"/>
  <c r="E4972" i="2"/>
  <c r="D4972" i="2"/>
  <c r="B4972" i="2"/>
  <c r="A4972" i="2"/>
  <c r="O4971" i="2"/>
  <c r="O4970" i="2"/>
  <c r="M4970" i="2"/>
  <c r="L4970" i="2"/>
  <c r="E4970" i="2"/>
  <c r="D4970" i="2"/>
  <c r="B4970" i="2"/>
  <c r="A4970" i="2"/>
  <c r="O4969" i="2"/>
  <c r="O4968" i="2"/>
  <c r="M4968" i="2"/>
  <c r="L4968" i="2"/>
  <c r="E4968" i="2"/>
  <c r="D4968" i="2"/>
  <c r="B4968" i="2"/>
  <c r="A4968" i="2"/>
  <c r="O4967" i="2"/>
  <c r="O4966" i="2"/>
  <c r="M4966" i="2"/>
  <c r="L4966" i="2"/>
  <c r="E4966" i="2"/>
  <c r="D4966" i="2"/>
  <c r="B4966" i="2"/>
  <c r="A4966" i="2"/>
  <c r="O4965" i="2"/>
  <c r="O4964" i="2"/>
  <c r="O4963" i="2"/>
  <c r="O4962" i="2"/>
  <c r="M4962" i="2"/>
  <c r="L4962" i="2"/>
  <c r="E4962" i="2"/>
  <c r="D4962" i="2"/>
  <c r="B4962" i="2"/>
  <c r="A4962" i="2"/>
  <c r="O4961" i="2"/>
  <c r="O4960" i="2"/>
  <c r="O4959" i="2"/>
  <c r="M4959" i="2"/>
  <c r="L4959" i="2"/>
  <c r="E4959" i="2"/>
  <c r="D4959" i="2"/>
  <c r="B4959" i="2"/>
  <c r="A4959" i="2"/>
  <c r="O4958" i="2"/>
  <c r="O4957" i="2"/>
  <c r="O4956" i="2"/>
  <c r="M4956" i="2"/>
  <c r="L4956" i="2"/>
  <c r="E4956" i="2"/>
  <c r="D4956" i="2"/>
  <c r="B4956" i="2"/>
  <c r="A4956" i="2"/>
  <c r="O4955" i="2"/>
  <c r="M4955" i="2"/>
  <c r="L4955" i="2"/>
  <c r="E4955" i="2"/>
  <c r="D4955" i="2"/>
  <c r="B4955" i="2"/>
  <c r="A4955" i="2"/>
  <c r="O4954" i="2"/>
  <c r="O4953" i="2"/>
  <c r="M4953" i="2"/>
  <c r="L4953" i="2"/>
  <c r="E4953" i="2"/>
  <c r="D4953" i="2"/>
  <c r="B4953" i="2"/>
  <c r="A4953" i="2"/>
  <c r="O4952" i="2"/>
  <c r="O4951" i="2"/>
  <c r="M4951" i="2"/>
  <c r="L4951" i="2"/>
  <c r="E4951" i="2"/>
  <c r="D4951" i="2"/>
  <c r="B4951" i="2"/>
  <c r="A4951" i="2"/>
  <c r="O4950" i="2"/>
  <c r="M4950" i="2"/>
  <c r="L4950" i="2"/>
  <c r="E4950" i="2"/>
  <c r="D4950" i="2"/>
  <c r="B4950" i="2"/>
  <c r="A4950" i="2"/>
  <c r="O4949" i="2"/>
  <c r="O4948" i="2"/>
  <c r="O4947" i="2"/>
  <c r="O4946" i="2"/>
  <c r="O4945" i="2"/>
  <c r="O4944" i="2"/>
  <c r="O4943" i="2"/>
  <c r="O4942" i="2"/>
  <c r="O4941" i="2"/>
  <c r="O4940" i="2"/>
  <c r="O4939" i="2"/>
  <c r="O4938" i="2"/>
  <c r="O4937" i="2"/>
  <c r="O4936" i="2"/>
  <c r="O4935" i="2"/>
  <c r="O4934" i="2"/>
  <c r="O4933" i="2"/>
  <c r="O4932" i="2"/>
  <c r="O4931" i="2"/>
  <c r="O4930" i="2"/>
  <c r="O4929" i="2"/>
  <c r="O4928" i="2"/>
  <c r="O4927" i="2"/>
  <c r="O4926" i="2"/>
  <c r="M4926" i="2"/>
  <c r="L4926" i="2"/>
  <c r="E4926" i="2"/>
  <c r="D4926" i="2"/>
  <c r="B4926" i="2"/>
  <c r="A4926" i="2"/>
  <c r="O4925" i="2"/>
  <c r="M4925" i="2"/>
  <c r="L4925" i="2"/>
  <c r="E4925" i="2"/>
  <c r="D4925" i="2"/>
  <c r="B4925" i="2"/>
  <c r="A4925" i="2"/>
  <c r="O4924" i="2"/>
  <c r="O4923" i="2"/>
  <c r="O4922" i="2"/>
  <c r="M4922" i="2"/>
  <c r="L4922" i="2"/>
  <c r="E4922" i="2"/>
  <c r="D4922" i="2"/>
  <c r="B4922" i="2"/>
  <c r="A4922" i="2"/>
  <c r="O4921" i="2"/>
  <c r="O4920" i="2"/>
  <c r="O4919" i="2"/>
  <c r="M4919" i="2"/>
  <c r="L4919" i="2"/>
  <c r="E4919" i="2"/>
  <c r="D4919" i="2"/>
  <c r="B4919" i="2"/>
  <c r="A4919" i="2"/>
  <c r="O4918" i="2"/>
  <c r="O4917" i="2"/>
  <c r="O4916" i="2"/>
  <c r="O4915" i="2"/>
  <c r="O4914" i="2"/>
  <c r="M4914" i="2"/>
  <c r="L4914" i="2"/>
  <c r="E4914" i="2"/>
  <c r="D4914" i="2"/>
  <c r="B4914" i="2"/>
  <c r="A4914" i="2"/>
  <c r="O4913" i="2"/>
  <c r="M4913" i="2"/>
  <c r="L4913" i="2"/>
  <c r="E4913" i="2"/>
  <c r="D4913" i="2"/>
  <c r="B4913" i="2"/>
  <c r="A4913" i="2"/>
  <c r="O4912" i="2"/>
  <c r="M4912" i="2"/>
  <c r="L4912" i="2"/>
  <c r="E4912" i="2"/>
  <c r="D4912" i="2"/>
  <c r="B4912" i="2"/>
  <c r="A4912" i="2"/>
  <c r="O4911" i="2"/>
  <c r="O4910" i="2"/>
  <c r="O4909" i="2"/>
  <c r="M4909" i="2"/>
  <c r="L4909" i="2"/>
  <c r="E4909" i="2"/>
  <c r="D4909" i="2"/>
  <c r="B4909" i="2"/>
  <c r="A4909" i="2"/>
  <c r="O4908" i="2"/>
  <c r="O4907" i="2"/>
  <c r="O4906" i="2"/>
  <c r="M4906" i="2"/>
  <c r="L4906" i="2"/>
  <c r="E4906" i="2"/>
  <c r="D4906" i="2"/>
  <c r="B4906" i="2"/>
  <c r="A4906" i="2"/>
  <c r="O4905" i="2"/>
  <c r="O4904" i="2"/>
  <c r="O4903" i="2"/>
  <c r="M4903" i="2"/>
  <c r="L4903" i="2"/>
  <c r="E4903" i="2"/>
  <c r="D4903" i="2"/>
  <c r="B4903" i="2"/>
  <c r="A4903" i="2"/>
  <c r="O4902" i="2"/>
  <c r="M4902" i="2"/>
  <c r="L4902" i="2"/>
  <c r="E4902" i="2"/>
  <c r="D4902" i="2"/>
  <c r="B4902" i="2"/>
  <c r="A4902" i="2"/>
  <c r="O4901" i="2"/>
  <c r="M4901" i="2"/>
  <c r="L4901" i="2"/>
  <c r="E4901" i="2"/>
  <c r="D4901" i="2"/>
  <c r="B4901" i="2"/>
  <c r="A4901" i="2"/>
  <c r="O4900" i="2"/>
  <c r="O4899" i="2"/>
  <c r="O4898" i="2"/>
  <c r="M4898" i="2"/>
  <c r="L4898" i="2"/>
  <c r="E4898" i="2"/>
  <c r="D4898" i="2"/>
  <c r="B4898" i="2"/>
  <c r="A4898" i="2"/>
  <c r="O4897" i="2"/>
  <c r="M4897" i="2"/>
  <c r="L4897" i="2"/>
  <c r="E4897" i="2"/>
  <c r="D4897" i="2"/>
  <c r="B4897" i="2"/>
  <c r="A4897" i="2"/>
  <c r="O4896" i="2"/>
  <c r="M4896" i="2"/>
  <c r="L4896" i="2"/>
  <c r="E4896" i="2"/>
  <c r="D4896" i="2"/>
  <c r="B4896" i="2"/>
  <c r="A4896" i="2"/>
  <c r="O4895" i="2"/>
  <c r="O4894" i="2"/>
  <c r="M4894" i="2"/>
  <c r="L4894" i="2"/>
  <c r="E4894" i="2"/>
  <c r="D4894" i="2"/>
  <c r="B4894" i="2"/>
  <c r="A4894" i="2"/>
  <c r="O4893" i="2"/>
  <c r="O4892" i="2"/>
  <c r="M4892" i="2"/>
  <c r="L4892" i="2"/>
  <c r="E4892" i="2"/>
  <c r="D4892" i="2"/>
  <c r="B4892" i="2"/>
  <c r="A4892" i="2"/>
  <c r="O4891" i="2"/>
  <c r="O4890" i="2"/>
  <c r="O4889" i="2"/>
  <c r="O4888" i="2"/>
  <c r="O4887" i="2"/>
  <c r="O4886" i="2"/>
  <c r="O4885" i="2"/>
  <c r="M4885" i="2"/>
  <c r="L4885" i="2"/>
  <c r="E4885" i="2"/>
  <c r="D4885" i="2"/>
  <c r="B4885" i="2"/>
  <c r="A4885" i="2"/>
  <c r="O4884" i="2"/>
  <c r="M4884" i="2"/>
  <c r="L4884" i="2"/>
  <c r="E4884" i="2"/>
  <c r="D4884" i="2"/>
  <c r="B4884" i="2"/>
  <c r="A4884" i="2"/>
  <c r="O4883" i="2"/>
  <c r="O4882" i="2"/>
  <c r="O4881" i="2"/>
  <c r="O4880" i="2"/>
  <c r="M4880" i="2"/>
  <c r="L4880" i="2"/>
  <c r="E4880" i="2"/>
  <c r="D4880" i="2"/>
  <c r="B4880" i="2"/>
  <c r="A4880" i="2"/>
  <c r="O4879" i="2"/>
  <c r="M4879" i="2"/>
  <c r="L4879" i="2"/>
  <c r="E4879" i="2"/>
  <c r="D4879" i="2"/>
  <c r="B4879" i="2"/>
  <c r="A4879" i="2"/>
  <c r="O4878" i="2"/>
  <c r="O4877" i="2"/>
  <c r="M4877" i="2"/>
  <c r="L4877" i="2"/>
  <c r="E4877" i="2"/>
  <c r="D4877" i="2"/>
  <c r="B4877" i="2"/>
  <c r="A4877" i="2"/>
  <c r="O4876" i="2"/>
  <c r="O4875" i="2"/>
  <c r="O4874" i="2"/>
  <c r="M4874" i="2"/>
  <c r="L4874" i="2"/>
  <c r="E4874" i="2"/>
  <c r="D4874" i="2"/>
  <c r="B4874" i="2"/>
  <c r="A4874" i="2"/>
  <c r="O4873" i="2"/>
  <c r="O4872" i="2"/>
  <c r="O4871" i="2"/>
  <c r="M4871" i="2"/>
  <c r="L4871" i="2"/>
  <c r="E4871" i="2"/>
  <c r="D4871" i="2"/>
  <c r="B4871" i="2"/>
  <c r="A4871" i="2"/>
  <c r="O4870" i="2"/>
  <c r="M4870" i="2"/>
  <c r="L4870" i="2"/>
  <c r="E4870" i="2"/>
  <c r="D4870" i="2"/>
  <c r="B4870" i="2"/>
  <c r="A4870" i="2"/>
  <c r="O4869" i="2"/>
  <c r="M4869" i="2"/>
  <c r="L4869" i="2"/>
  <c r="E4869" i="2"/>
  <c r="D4869" i="2"/>
  <c r="B4869" i="2"/>
  <c r="A4869" i="2"/>
  <c r="O4868" i="2"/>
  <c r="O4867" i="2"/>
  <c r="M4867" i="2"/>
  <c r="L4867" i="2"/>
  <c r="E4867" i="2"/>
  <c r="D4867" i="2"/>
  <c r="B4867" i="2"/>
  <c r="A4867" i="2"/>
  <c r="O4866" i="2"/>
  <c r="M4866" i="2"/>
  <c r="L4866" i="2"/>
  <c r="E4866" i="2"/>
  <c r="D4866" i="2"/>
  <c r="B4866" i="2"/>
  <c r="A4866" i="2"/>
  <c r="O4865" i="2"/>
  <c r="M4865" i="2"/>
  <c r="L4865" i="2"/>
  <c r="E4865" i="2"/>
  <c r="D4865" i="2"/>
  <c r="B4865" i="2"/>
  <c r="A4865" i="2"/>
  <c r="O4864" i="2"/>
  <c r="M4864" i="2"/>
  <c r="L4864" i="2"/>
  <c r="E4864" i="2"/>
  <c r="D4864" i="2"/>
  <c r="B4864" i="2"/>
  <c r="A4864" i="2"/>
  <c r="O4863" i="2"/>
  <c r="M4863" i="2"/>
  <c r="L4863" i="2"/>
  <c r="E4863" i="2"/>
  <c r="D4863" i="2"/>
  <c r="B4863" i="2"/>
  <c r="A4863" i="2"/>
  <c r="O4862" i="2"/>
  <c r="M4862" i="2"/>
  <c r="L4862" i="2"/>
  <c r="E4862" i="2"/>
  <c r="D4862" i="2"/>
  <c r="B4862" i="2"/>
  <c r="A4862" i="2"/>
  <c r="O4861" i="2"/>
  <c r="M4861" i="2"/>
  <c r="L4861" i="2"/>
  <c r="E4861" i="2"/>
  <c r="D4861" i="2"/>
  <c r="B4861" i="2"/>
  <c r="A4861" i="2"/>
  <c r="O4860" i="2"/>
  <c r="O4859" i="2"/>
  <c r="O4858" i="2"/>
  <c r="O4857" i="2"/>
  <c r="O4856" i="2"/>
  <c r="O4855" i="2"/>
  <c r="O4854" i="2"/>
  <c r="O4853" i="2"/>
  <c r="O4852" i="2"/>
  <c r="O4851" i="2"/>
  <c r="O4850" i="2"/>
  <c r="O4849" i="2"/>
  <c r="O4848" i="2"/>
  <c r="O4847" i="2"/>
  <c r="O4846" i="2"/>
  <c r="O4845" i="2"/>
  <c r="O4844" i="2"/>
  <c r="O4843" i="2"/>
  <c r="O4842" i="2"/>
  <c r="O4841" i="2"/>
  <c r="O4840" i="2"/>
  <c r="O4839" i="2"/>
  <c r="M4839" i="2"/>
  <c r="L4839" i="2"/>
  <c r="E4839" i="2"/>
  <c r="D4839" i="2"/>
  <c r="B4839" i="2"/>
  <c r="A4839" i="2"/>
  <c r="O4838" i="2"/>
  <c r="O4837" i="2"/>
  <c r="O4836" i="2"/>
  <c r="O4835" i="2"/>
  <c r="O4834" i="2"/>
  <c r="O4833" i="2"/>
  <c r="O4832" i="2"/>
  <c r="O4831" i="2"/>
  <c r="O4830" i="2"/>
  <c r="O4829" i="2"/>
  <c r="O4828" i="2"/>
  <c r="O4827" i="2"/>
  <c r="O4826" i="2"/>
  <c r="O4825" i="2"/>
  <c r="O4824" i="2"/>
  <c r="O4823" i="2"/>
  <c r="O4822" i="2"/>
  <c r="O4821" i="2"/>
  <c r="O4820" i="2"/>
  <c r="O4819" i="2"/>
  <c r="O4818" i="2"/>
  <c r="M4818" i="2"/>
  <c r="L4818" i="2"/>
  <c r="E4818" i="2"/>
  <c r="D4818" i="2"/>
  <c r="B4818" i="2"/>
  <c r="A4818" i="2"/>
  <c r="O4817" i="2"/>
  <c r="O4816" i="2"/>
  <c r="O4815" i="2"/>
  <c r="M4815" i="2"/>
  <c r="L4815" i="2"/>
  <c r="E4815" i="2"/>
  <c r="D4815" i="2"/>
  <c r="B4815" i="2"/>
  <c r="A4815" i="2"/>
  <c r="O4814" i="2"/>
  <c r="O4813" i="2"/>
  <c r="O4812" i="2"/>
  <c r="O4811" i="2"/>
  <c r="O4810" i="2"/>
  <c r="O4809" i="2"/>
  <c r="O4808" i="2"/>
  <c r="O4807" i="2"/>
  <c r="O4806" i="2"/>
  <c r="O4805" i="2"/>
  <c r="O4804" i="2"/>
  <c r="M4804" i="2"/>
  <c r="L4804" i="2"/>
  <c r="E4804" i="2"/>
  <c r="D4804" i="2"/>
  <c r="B4804" i="2"/>
  <c r="A4804" i="2"/>
  <c r="O4803" i="2"/>
  <c r="M4803" i="2"/>
  <c r="L4803" i="2"/>
  <c r="E4803" i="2"/>
  <c r="D4803" i="2"/>
  <c r="B4803" i="2"/>
  <c r="A4803" i="2"/>
  <c r="O4802" i="2"/>
  <c r="M4802" i="2"/>
  <c r="L4802" i="2"/>
  <c r="E4802" i="2"/>
  <c r="D4802" i="2"/>
  <c r="B4802" i="2"/>
  <c r="A4802" i="2"/>
  <c r="O4801" i="2"/>
  <c r="M4801" i="2"/>
  <c r="L4801" i="2"/>
  <c r="E4801" i="2"/>
  <c r="D4801" i="2"/>
  <c r="B4801" i="2"/>
  <c r="A4801" i="2"/>
  <c r="O4800" i="2"/>
  <c r="O4799" i="2"/>
  <c r="O4798" i="2"/>
  <c r="M4798" i="2"/>
  <c r="L4798" i="2"/>
  <c r="E4798" i="2"/>
  <c r="D4798" i="2"/>
  <c r="B4798" i="2"/>
  <c r="A4798" i="2"/>
  <c r="O4797" i="2"/>
  <c r="O4796" i="2"/>
  <c r="O4795" i="2"/>
  <c r="O4794" i="2"/>
  <c r="M4794" i="2"/>
  <c r="L4794" i="2"/>
  <c r="E4794" i="2"/>
  <c r="D4794" i="2"/>
  <c r="B4794" i="2"/>
  <c r="A4794" i="2"/>
  <c r="O4793" i="2"/>
  <c r="M4793" i="2"/>
  <c r="L4793" i="2"/>
  <c r="E4793" i="2"/>
  <c r="D4793" i="2"/>
  <c r="B4793" i="2"/>
  <c r="A4793" i="2"/>
  <c r="O4792" i="2"/>
  <c r="M4792" i="2"/>
  <c r="L4792" i="2"/>
  <c r="E4792" i="2"/>
  <c r="D4792" i="2"/>
  <c r="B4792" i="2"/>
  <c r="A4792" i="2"/>
  <c r="O4791" i="2"/>
  <c r="O4790" i="2"/>
  <c r="O4789" i="2"/>
  <c r="M4789" i="2"/>
  <c r="L4789" i="2"/>
  <c r="E4789" i="2"/>
  <c r="D4789" i="2"/>
  <c r="B4789" i="2"/>
  <c r="A4789" i="2"/>
  <c r="O4788" i="2"/>
  <c r="O4787" i="2"/>
  <c r="M4787" i="2"/>
  <c r="L4787" i="2"/>
  <c r="E4787" i="2"/>
  <c r="D4787" i="2"/>
  <c r="B4787" i="2"/>
  <c r="A4787" i="2"/>
  <c r="O4786" i="2"/>
  <c r="M4786" i="2"/>
  <c r="L4786" i="2"/>
  <c r="E4786" i="2"/>
  <c r="D4786" i="2"/>
  <c r="B4786" i="2"/>
  <c r="A4786" i="2"/>
  <c r="O4785" i="2"/>
  <c r="O4784" i="2"/>
  <c r="M4784" i="2"/>
  <c r="L4784" i="2"/>
  <c r="E4784" i="2"/>
  <c r="D4784" i="2"/>
  <c r="B4784" i="2"/>
  <c r="A4784" i="2"/>
  <c r="O4783" i="2"/>
  <c r="O4782" i="2"/>
  <c r="O4781" i="2"/>
  <c r="O4780" i="2"/>
  <c r="M4780" i="2"/>
  <c r="L4780" i="2"/>
  <c r="E4780" i="2"/>
  <c r="D4780" i="2"/>
  <c r="B4780" i="2"/>
  <c r="A4780" i="2"/>
  <c r="O4779" i="2"/>
  <c r="O4778" i="2"/>
  <c r="M4778" i="2"/>
  <c r="L4778" i="2"/>
  <c r="E4778" i="2"/>
  <c r="D4778" i="2"/>
  <c r="B4778" i="2"/>
  <c r="A4778" i="2"/>
  <c r="O4777" i="2"/>
  <c r="M4777" i="2"/>
  <c r="L4777" i="2"/>
  <c r="E4777" i="2"/>
  <c r="D4777" i="2"/>
  <c r="B4777" i="2"/>
  <c r="A4777" i="2"/>
  <c r="O4776" i="2"/>
  <c r="O4775" i="2"/>
  <c r="O4774" i="2"/>
  <c r="M4774" i="2"/>
  <c r="L4774" i="2"/>
  <c r="E4774" i="2"/>
  <c r="D4774" i="2"/>
  <c r="B4774" i="2"/>
  <c r="A4774" i="2"/>
  <c r="O4773" i="2"/>
  <c r="O4772" i="2"/>
  <c r="O4771" i="2"/>
  <c r="O4770" i="2"/>
  <c r="O4769" i="2"/>
  <c r="O4768" i="2"/>
  <c r="O4767" i="2"/>
  <c r="O4766" i="2"/>
  <c r="O4765" i="2"/>
  <c r="O4764" i="2"/>
  <c r="M4764" i="2"/>
  <c r="L4764" i="2"/>
  <c r="E4764" i="2"/>
  <c r="D4764" i="2"/>
  <c r="B4764" i="2"/>
  <c r="A4764" i="2"/>
  <c r="O4763" i="2"/>
  <c r="M4763" i="2"/>
  <c r="L4763" i="2"/>
  <c r="E4763" i="2"/>
  <c r="D4763" i="2"/>
  <c r="B4763" i="2"/>
  <c r="A4763" i="2"/>
  <c r="O4762" i="2"/>
  <c r="M4762" i="2"/>
  <c r="L4762" i="2"/>
  <c r="E4762" i="2"/>
  <c r="D4762" i="2"/>
  <c r="B4762" i="2"/>
  <c r="A4762" i="2"/>
  <c r="O4761" i="2"/>
  <c r="M4761" i="2"/>
  <c r="L4761" i="2"/>
  <c r="E4761" i="2"/>
  <c r="D4761" i="2"/>
  <c r="B4761" i="2"/>
  <c r="A4761" i="2"/>
  <c r="O4760" i="2"/>
  <c r="O4759" i="2"/>
  <c r="O4758" i="2"/>
  <c r="O4757" i="2"/>
  <c r="O4756" i="2"/>
  <c r="O4755" i="2"/>
  <c r="M4755" i="2"/>
  <c r="L4755" i="2"/>
  <c r="E4755" i="2"/>
  <c r="D4755" i="2"/>
  <c r="B4755" i="2"/>
  <c r="A4755" i="2"/>
  <c r="O4754" i="2"/>
  <c r="O4753" i="2"/>
  <c r="O4752" i="2"/>
  <c r="O4751" i="2"/>
  <c r="O4750" i="2"/>
  <c r="O4749" i="2"/>
  <c r="M4749" i="2"/>
  <c r="L4749" i="2"/>
  <c r="E4749" i="2"/>
  <c r="D4749" i="2"/>
  <c r="B4749" i="2"/>
  <c r="A4749" i="2"/>
  <c r="O4748" i="2"/>
  <c r="M4748" i="2"/>
  <c r="L4748" i="2"/>
  <c r="E4748" i="2"/>
  <c r="D4748" i="2"/>
  <c r="B4748" i="2"/>
  <c r="A4748" i="2"/>
  <c r="O4747" i="2"/>
  <c r="O4746" i="2"/>
  <c r="M4746" i="2"/>
  <c r="L4746" i="2"/>
  <c r="E4746" i="2"/>
  <c r="D4746" i="2"/>
  <c r="B4746" i="2"/>
  <c r="A4746" i="2"/>
  <c r="O4745" i="2"/>
  <c r="M4745" i="2"/>
  <c r="L4745" i="2"/>
  <c r="E4745" i="2"/>
  <c r="D4745" i="2"/>
  <c r="B4745" i="2"/>
  <c r="A4745" i="2"/>
  <c r="O4744" i="2"/>
  <c r="O4743" i="2"/>
  <c r="O4742" i="2"/>
  <c r="O4741" i="2"/>
  <c r="M4741" i="2"/>
  <c r="L4741" i="2"/>
  <c r="E4741" i="2"/>
  <c r="D4741" i="2"/>
  <c r="B4741" i="2"/>
  <c r="A4741" i="2"/>
  <c r="O4740" i="2"/>
  <c r="M4740" i="2"/>
  <c r="L4740" i="2"/>
  <c r="E4740" i="2"/>
  <c r="D4740" i="2"/>
  <c r="B4740" i="2"/>
  <c r="A4740" i="2"/>
  <c r="O4739" i="2"/>
  <c r="O4738" i="2"/>
  <c r="M4738" i="2"/>
  <c r="L4738" i="2"/>
  <c r="E4738" i="2"/>
  <c r="D4738" i="2"/>
  <c r="B4738" i="2"/>
  <c r="A4738" i="2"/>
  <c r="O4737" i="2"/>
  <c r="M4737" i="2"/>
  <c r="L4737" i="2"/>
  <c r="E4737" i="2"/>
  <c r="D4737" i="2"/>
  <c r="B4737" i="2"/>
  <c r="A4737" i="2"/>
  <c r="O4736" i="2"/>
  <c r="M4736" i="2"/>
  <c r="L4736" i="2"/>
  <c r="E4736" i="2"/>
  <c r="D4736" i="2"/>
  <c r="B4736" i="2"/>
  <c r="A4736" i="2"/>
  <c r="O4735" i="2"/>
  <c r="M4735" i="2"/>
  <c r="L4735" i="2"/>
  <c r="E4735" i="2"/>
  <c r="D4735" i="2"/>
  <c r="B4735" i="2"/>
  <c r="A4735" i="2"/>
  <c r="O4734" i="2"/>
  <c r="M4734" i="2"/>
  <c r="L4734" i="2"/>
  <c r="E4734" i="2"/>
  <c r="D4734" i="2"/>
  <c r="B4734" i="2"/>
  <c r="A4734" i="2"/>
  <c r="O4733" i="2"/>
  <c r="O4732" i="2"/>
  <c r="M4732" i="2"/>
  <c r="L4732" i="2"/>
  <c r="E4732" i="2"/>
  <c r="D4732" i="2"/>
  <c r="B4732" i="2"/>
  <c r="A4732" i="2"/>
  <c r="O4731" i="2"/>
  <c r="M4731" i="2"/>
  <c r="L4731" i="2"/>
  <c r="E4731" i="2"/>
  <c r="D4731" i="2"/>
  <c r="B4731" i="2"/>
  <c r="A4731" i="2"/>
  <c r="O4730" i="2"/>
  <c r="M4730" i="2"/>
  <c r="L4730" i="2"/>
  <c r="E4730" i="2"/>
  <c r="D4730" i="2"/>
  <c r="B4730" i="2"/>
  <c r="A4730" i="2"/>
  <c r="O4729" i="2"/>
  <c r="M4729" i="2"/>
  <c r="L4729" i="2"/>
  <c r="E4729" i="2"/>
  <c r="D4729" i="2"/>
  <c r="B4729" i="2"/>
  <c r="A4729" i="2"/>
  <c r="O4728" i="2"/>
  <c r="O4727" i="2"/>
  <c r="O4726" i="2"/>
  <c r="M4726" i="2"/>
  <c r="L4726" i="2"/>
  <c r="E4726" i="2"/>
  <c r="D4726" i="2"/>
  <c r="B4726" i="2"/>
  <c r="A4726" i="2"/>
  <c r="O4725" i="2"/>
  <c r="M4725" i="2"/>
  <c r="L4725" i="2"/>
  <c r="E4725" i="2"/>
  <c r="D4725" i="2"/>
  <c r="B4725" i="2"/>
  <c r="A4725" i="2"/>
  <c r="O4724" i="2"/>
  <c r="O4723" i="2"/>
  <c r="O4722" i="2"/>
  <c r="O4721" i="2"/>
  <c r="O4720" i="2"/>
  <c r="M4720" i="2"/>
  <c r="L4720" i="2"/>
  <c r="E4720" i="2"/>
  <c r="D4720" i="2"/>
  <c r="B4720" i="2"/>
  <c r="A4720" i="2"/>
  <c r="O4719" i="2"/>
  <c r="M4719" i="2"/>
  <c r="L4719" i="2"/>
  <c r="E4719" i="2"/>
  <c r="D4719" i="2"/>
  <c r="B4719" i="2"/>
  <c r="A4719" i="2"/>
  <c r="O4718" i="2"/>
  <c r="M4718" i="2"/>
  <c r="L4718" i="2"/>
  <c r="E4718" i="2"/>
  <c r="D4718" i="2"/>
  <c r="B4718" i="2"/>
  <c r="A4718" i="2"/>
  <c r="O4717" i="2"/>
  <c r="M4717" i="2"/>
  <c r="L4717" i="2"/>
  <c r="E4717" i="2"/>
  <c r="D4717" i="2"/>
  <c r="B4717" i="2"/>
  <c r="A4717" i="2"/>
  <c r="O4716" i="2"/>
  <c r="M4716" i="2"/>
  <c r="L4716" i="2"/>
  <c r="E4716" i="2"/>
  <c r="D4716" i="2"/>
  <c r="B4716" i="2"/>
  <c r="A4716" i="2"/>
  <c r="O4715" i="2"/>
  <c r="O4714" i="2"/>
  <c r="O4713" i="2"/>
  <c r="M4713" i="2"/>
  <c r="L4713" i="2"/>
  <c r="E4713" i="2"/>
  <c r="D4713" i="2"/>
  <c r="B4713" i="2"/>
  <c r="A4713" i="2"/>
  <c r="O4712" i="2"/>
  <c r="O4711" i="2"/>
  <c r="O4710" i="2"/>
  <c r="O4709" i="2"/>
  <c r="O4708" i="2"/>
  <c r="O4707" i="2"/>
  <c r="O4706" i="2"/>
  <c r="O4705" i="2"/>
  <c r="O4704" i="2"/>
  <c r="O4703" i="2"/>
  <c r="O4702" i="2"/>
  <c r="O4701" i="2"/>
  <c r="O4700" i="2"/>
  <c r="O4699" i="2"/>
  <c r="O4698" i="2"/>
  <c r="O4697" i="2"/>
  <c r="M4697" i="2"/>
  <c r="L4697" i="2"/>
  <c r="E4697" i="2"/>
  <c r="D4697" i="2"/>
  <c r="B4697" i="2"/>
  <c r="A4697" i="2"/>
  <c r="O4696" i="2"/>
  <c r="O4695" i="2"/>
  <c r="O4694" i="2"/>
  <c r="O4693" i="2"/>
  <c r="O4692" i="2"/>
  <c r="O4691" i="2"/>
  <c r="O4690" i="2"/>
  <c r="M4690" i="2"/>
  <c r="L4690" i="2"/>
  <c r="E4690" i="2"/>
  <c r="D4690" i="2"/>
  <c r="B4690" i="2"/>
  <c r="A4690" i="2"/>
  <c r="O4689" i="2"/>
  <c r="O4688" i="2"/>
  <c r="O4687" i="2"/>
  <c r="O4686" i="2"/>
  <c r="O4685" i="2"/>
  <c r="O4684" i="2"/>
  <c r="O4683" i="2"/>
  <c r="M4683" i="2"/>
  <c r="L4683" i="2"/>
  <c r="E4683" i="2"/>
  <c r="D4683" i="2"/>
  <c r="B4683" i="2"/>
  <c r="A4683" i="2"/>
  <c r="O4682" i="2"/>
  <c r="O4681" i="2"/>
  <c r="O4680" i="2"/>
  <c r="O4679" i="2"/>
  <c r="O4678" i="2"/>
  <c r="O4677" i="2"/>
  <c r="O4676" i="2"/>
  <c r="M4676" i="2"/>
  <c r="L4676" i="2"/>
  <c r="E4676" i="2"/>
  <c r="D4676" i="2"/>
  <c r="B4676" i="2"/>
  <c r="A4676" i="2"/>
  <c r="O4675" i="2"/>
  <c r="O4674" i="2"/>
  <c r="O4673" i="2"/>
  <c r="M4673" i="2"/>
  <c r="L4673" i="2"/>
  <c r="E4673" i="2"/>
  <c r="D4673" i="2"/>
  <c r="B4673" i="2"/>
  <c r="A4673" i="2"/>
  <c r="O4672" i="2"/>
  <c r="O4671" i="2"/>
  <c r="O4670" i="2"/>
  <c r="O4669" i="2"/>
  <c r="O4668" i="2"/>
  <c r="M4668" i="2"/>
  <c r="L4668" i="2"/>
  <c r="E4668" i="2"/>
  <c r="D4668" i="2"/>
  <c r="B4668" i="2"/>
  <c r="A4668" i="2"/>
  <c r="O4667" i="2"/>
  <c r="O4666" i="2"/>
  <c r="O4665" i="2"/>
  <c r="O4664" i="2"/>
  <c r="O4663" i="2"/>
  <c r="M4663" i="2"/>
  <c r="L4663" i="2"/>
  <c r="E4663" i="2"/>
  <c r="D4663" i="2"/>
  <c r="B4663" i="2"/>
  <c r="A4663" i="2"/>
  <c r="O4662" i="2"/>
  <c r="O4661" i="2"/>
  <c r="M4661" i="2"/>
  <c r="L4661" i="2"/>
  <c r="E4661" i="2"/>
  <c r="D4661" i="2"/>
  <c r="B4661" i="2"/>
  <c r="A4661" i="2"/>
  <c r="O4660" i="2"/>
  <c r="M4660" i="2"/>
  <c r="L4660" i="2"/>
  <c r="E4660" i="2"/>
  <c r="D4660" i="2"/>
  <c r="B4660" i="2"/>
  <c r="A4660" i="2"/>
  <c r="O4659" i="2"/>
  <c r="M4659" i="2"/>
  <c r="L4659" i="2"/>
  <c r="E4659" i="2"/>
  <c r="D4659" i="2"/>
  <c r="B4659" i="2"/>
  <c r="A4659" i="2"/>
  <c r="O4658" i="2"/>
  <c r="M4658" i="2"/>
  <c r="L4658" i="2"/>
  <c r="E4658" i="2"/>
  <c r="D4658" i="2"/>
  <c r="B4658" i="2"/>
  <c r="A4658" i="2"/>
  <c r="O4657" i="2"/>
  <c r="O4656" i="2"/>
  <c r="O4655" i="2"/>
  <c r="O4654" i="2"/>
  <c r="M4654" i="2"/>
  <c r="L4654" i="2"/>
  <c r="E4654" i="2"/>
  <c r="D4654" i="2"/>
  <c r="B4654" i="2"/>
  <c r="A4654" i="2"/>
  <c r="O4653" i="2"/>
  <c r="O4652" i="2"/>
  <c r="M4652" i="2"/>
  <c r="L4652" i="2"/>
  <c r="E4652" i="2"/>
  <c r="D4652" i="2"/>
  <c r="B4652" i="2"/>
  <c r="A4652" i="2"/>
  <c r="O4651" i="2"/>
  <c r="O4650" i="2"/>
  <c r="O4649" i="2"/>
  <c r="M4649" i="2"/>
  <c r="L4649" i="2"/>
  <c r="E4649" i="2"/>
  <c r="D4649" i="2"/>
  <c r="B4649" i="2"/>
  <c r="A4649" i="2"/>
  <c r="O4648" i="2"/>
  <c r="O4647" i="2"/>
  <c r="O4646" i="2"/>
  <c r="M4646" i="2"/>
  <c r="L4646" i="2"/>
  <c r="E4646" i="2"/>
  <c r="D4646" i="2"/>
  <c r="B4646" i="2"/>
  <c r="A4646" i="2"/>
  <c r="O4645" i="2"/>
  <c r="M4645" i="2"/>
  <c r="L4645" i="2"/>
  <c r="E4645" i="2"/>
  <c r="D4645" i="2"/>
  <c r="B4645" i="2"/>
  <c r="A4645" i="2"/>
  <c r="O4644" i="2"/>
  <c r="O4643" i="2"/>
  <c r="O4642" i="2"/>
  <c r="M4642" i="2"/>
  <c r="L4642" i="2"/>
  <c r="E4642" i="2"/>
  <c r="D4642" i="2"/>
  <c r="B4642" i="2"/>
  <c r="A4642" i="2"/>
  <c r="O4641" i="2"/>
  <c r="O4640" i="2"/>
  <c r="O4639" i="2"/>
  <c r="O4638" i="2"/>
  <c r="O4637" i="2"/>
  <c r="O4636" i="2"/>
  <c r="M4636" i="2"/>
  <c r="L4636" i="2"/>
  <c r="E4636" i="2"/>
  <c r="D4636" i="2"/>
  <c r="B4636" i="2"/>
  <c r="A4636" i="2"/>
  <c r="O4635" i="2"/>
  <c r="O4634" i="2"/>
  <c r="O4633" i="2"/>
  <c r="O4632" i="2"/>
  <c r="O4631" i="2"/>
  <c r="M4631" i="2"/>
  <c r="L4631" i="2"/>
  <c r="E4631" i="2"/>
  <c r="D4631" i="2"/>
  <c r="B4631" i="2"/>
  <c r="A4631" i="2"/>
  <c r="O4630" i="2"/>
  <c r="O4629" i="2"/>
  <c r="M4629" i="2"/>
  <c r="L4629" i="2"/>
  <c r="E4629" i="2"/>
  <c r="D4629" i="2"/>
  <c r="B4629" i="2"/>
  <c r="A4629" i="2"/>
  <c r="O4628" i="2"/>
  <c r="O4627" i="2"/>
  <c r="O4626" i="2"/>
  <c r="O4625" i="2"/>
  <c r="O4624" i="2"/>
  <c r="O4623" i="2"/>
  <c r="M4623" i="2"/>
  <c r="L4623" i="2"/>
  <c r="E4623" i="2"/>
  <c r="D4623" i="2"/>
  <c r="B4623" i="2"/>
  <c r="A4623" i="2"/>
  <c r="O4622" i="2"/>
  <c r="O4621" i="2"/>
  <c r="M4621" i="2"/>
  <c r="L4621" i="2"/>
  <c r="E4621" i="2"/>
  <c r="D4621" i="2"/>
  <c r="B4621" i="2"/>
  <c r="A4621" i="2"/>
  <c r="O4620" i="2"/>
  <c r="O4619" i="2"/>
  <c r="O4618" i="2"/>
  <c r="O4617" i="2"/>
  <c r="O4616" i="2"/>
  <c r="O4615" i="2"/>
  <c r="O4614" i="2"/>
  <c r="O4613" i="2"/>
  <c r="O4612" i="2"/>
  <c r="M4612" i="2"/>
  <c r="L4612" i="2"/>
  <c r="E4612" i="2"/>
  <c r="D4612" i="2"/>
  <c r="B4612" i="2"/>
  <c r="A4612" i="2"/>
  <c r="O4611" i="2"/>
  <c r="M4611" i="2"/>
  <c r="L4611" i="2"/>
  <c r="E4611" i="2"/>
  <c r="D4611" i="2"/>
  <c r="B4611" i="2"/>
  <c r="A4611" i="2"/>
  <c r="O4610" i="2"/>
  <c r="M4610" i="2"/>
  <c r="L4610" i="2"/>
  <c r="E4610" i="2"/>
  <c r="D4610" i="2"/>
  <c r="B4610" i="2"/>
  <c r="A4610" i="2"/>
  <c r="O4609" i="2"/>
  <c r="M4609" i="2"/>
  <c r="L4609" i="2"/>
  <c r="E4609" i="2"/>
  <c r="D4609" i="2"/>
  <c r="B4609" i="2"/>
  <c r="A4609" i="2"/>
  <c r="O4608" i="2"/>
  <c r="O4607" i="2"/>
  <c r="O4606" i="2"/>
  <c r="M4606" i="2"/>
  <c r="L4606" i="2"/>
  <c r="E4606" i="2"/>
  <c r="D4606" i="2"/>
  <c r="B4606" i="2"/>
  <c r="A4606" i="2"/>
  <c r="O4605" i="2"/>
  <c r="O4604" i="2"/>
  <c r="O4603" i="2"/>
  <c r="M4603" i="2"/>
  <c r="L4603" i="2"/>
  <c r="E4603" i="2"/>
  <c r="D4603" i="2"/>
  <c r="B4603" i="2"/>
  <c r="A4603" i="2"/>
  <c r="O4602" i="2"/>
  <c r="M4602" i="2"/>
  <c r="L4602" i="2"/>
  <c r="E4602" i="2"/>
  <c r="D4602" i="2"/>
  <c r="B4602" i="2"/>
  <c r="A4602" i="2"/>
  <c r="O4601" i="2"/>
  <c r="O4600" i="2"/>
  <c r="O4599" i="2"/>
  <c r="O4598" i="2"/>
  <c r="O4597" i="2"/>
  <c r="O4596" i="2"/>
  <c r="M4596" i="2"/>
  <c r="L4596" i="2"/>
  <c r="E4596" i="2"/>
  <c r="D4596" i="2"/>
  <c r="B4596" i="2"/>
  <c r="A4596" i="2"/>
  <c r="O4595" i="2"/>
  <c r="O4594" i="2"/>
  <c r="M4594" i="2"/>
  <c r="L4594" i="2"/>
  <c r="E4594" i="2"/>
  <c r="D4594" i="2"/>
  <c r="B4594" i="2"/>
  <c r="A4594" i="2"/>
  <c r="O4593" i="2"/>
  <c r="M4593" i="2"/>
  <c r="L4593" i="2"/>
  <c r="E4593" i="2"/>
  <c r="D4593" i="2"/>
  <c r="B4593" i="2"/>
  <c r="A4593" i="2"/>
  <c r="O4592" i="2"/>
  <c r="O4591" i="2"/>
  <c r="M4591" i="2"/>
  <c r="L4591" i="2"/>
  <c r="E4591" i="2"/>
  <c r="D4591" i="2"/>
  <c r="B4591" i="2"/>
  <c r="A4591" i="2"/>
  <c r="O4590" i="2"/>
  <c r="M4590" i="2"/>
  <c r="L4590" i="2"/>
  <c r="E4590" i="2"/>
  <c r="D4590" i="2"/>
  <c r="B4590" i="2"/>
  <c r="A4590" i="2"/>
  <c r="O4589" i="2"/>
  <c r="M4589" i="2"/>
  <c r="L4589" i="2"/>
  <c r="E4589" i="2"/>
  <c r="D4589" i="2"/>
  <c r="B4589" i="2"/>
  <c r="A4589" i="2"/>
  <c r="O4588" i="2"/>
  <c r="O4587" i="2"/>
  <c r="O4586" i="2"/>
  <c r="M4586" i="2"/>
  <c r="L4586" i="2"/>
  <c r="E4586" i="2"/>
  <c r="D4586" i="2"/>
  <c r="B4586" i="2"/>
  <c r="A4586" i="2"/>
  <c r="O4585" i="2"/>
  <c r="M4585" i="2"/>
  <c r="L4585" i="2"/>
  <c r="E4585" i="2"/>
  <c r="D4585" i="2"/>
  <c r="B4585" i="2"/>
  <c r="A4585" i="2"/>
  <c r="O4584" i="2"/>
  <c r="M4584" i="2"/>
  <c r="L4584" i="2"/>
  <c r="E4584" i="2"/>
  <c r="D4584" i="2"/>
  <c r="B4584" i="2"/>
  <c r="A4584" i="2"/>
  <c r="O4583" i="2"/>
  <c r="M4583" i="2"/>
  <c r="L4583" i="2"/>
  <c r="E4583" i="2"/>
  <c r="D4583" i="2"/>
  <c r="B4583" i="2"/>
  <c r="A4583" i="2"/>
  <c r="O4582" i="2"/>
  <c r="M4582" i="2"/>
  <c r="L4582" i="2"/>
  <c r="E4582" i="2"/>
  <c r="D4582" i="2"/>
  <c r="B4582" i="2"/>
  <c r="A4582" i="2"/>
  <c r="O4581" i="2"/>
  <c r="M4581" i="2"/>
  <c r="L4581" i="2"/>
  <c r="E4581" i="2"/>
  <c r="D4581" i="2"/>
  <c r="B4581" i="2"/>
  <c r="A4581" i="2"/>
  <c r="O4580" i="2"/>
  <c r="M4580" i="2"/>
  <c r="L4580" i="2"/>
  <c r="E4580" i="2"/>
  <c r="D4580" i="2"/>
  <c r="B4580" i="2"/>
  <c r="A4580" i="2"/>
  <c r="O4579" i="2"/>
  <c r="M4579" i="2"/>
  <c r="L4579" i="2"/>
  <c r="E4579" i="2"/>
  <c r="D4579" i="2"/>
  <c r="B4579" i="2"/>
  <c r="A4579" i="2"/>
  <c r="O4578" i="2"/>
  <c r="O4577" i="2"/>
  <c r="O4576" i="2"/>
  <c r="O4575" i="2"/>
  <c r="O4574" i="2"/>
  <c r="O4573" i="2"/>
  <c r="M4573" i="2"/>
  <c r="L4573" i="2"/>
  <c r="E4573" i="2"/>
  <c r="D4573" i="2"/>
  <c r="B4573" i="2"/>
  <c r="A4573" i="2"/>
  <c r="O4572" i="2"/>
  <c r="M4572" i="2"/>
  <c r="L4572" i="2"/>
  <c r="E4572" i="2"/>
  <c r="D4572" i="2"/>
  <c r="B4572" i="2"/>
  <c r="A4572" i="2"/>
  <c r="O4571" i="2"/>
  <c r="O4570" i="2"/>
  <c r="M4570" i="2"/>
  <c r="L4570" i="2"/>
  <c r="E4570" i="2"/>
  <c r="D4570" i="2"/>
  <c r="B4570" i="2"/>
  <c r="A4570" i="2"/>
  <c r="O4569" i="2"/>
  <c r="O4568" i="2"/>
  <c r="M4568" i="2"/>
  <c r="L4568" i="2"/>
  <c r="E4568" i="2"/>
  <c r="D4568" i="2"/>
  <c r="B4568" i="2"/>
  <c r="A4568" i="2"/>
  <c r="O4567" i="2"/>
  <c r="M4567" i="2"/>
  <c r="L4567" i="2"/>
  <c r="E4567" i="2"/>
  <c r="D4567" i="2"/>
  <c r="B4567" i="2"/>
  <c r="A4567" i="2"/>
  <c r="O4566" i="2"/>
  <c r="M4566" i="2"/>
  <c r="L4566" i="2"/>
  <c r="E4566" i="2"/>
  <c r="D4566" i="2"/>
  <c r="B4566" i="2"/>
  <c r="A4566" i="2"/>
  <c r="O4565" i="2"/>
  <c r="M4565" i="2"/>
  <c r="L4565" i="2"/>
  <c r="E4565" i="2"/>
  <c r="D4565" i="2"/>
  <c r="B4565" i="2"/>
  <c r="A4565" i="2"/>
  <c r="O4564" i="2"/>
  <c r="M4564" i="2"/>
  <c r="L4564" i="2"/>
  <c r="E4564" i="2"/>
  <c r="D4564" i="2"/>
  <c r="B4564" i="2"/>
  <c r="A4564" i="2"/>
  <c r="O4563" i="2"/>
  <c r="M4563" i="2"/>
  <c r="L4563" i="2"/>
  <c r="E4563" i="2"/>
  <c r="D4563" i="2"/>
  <c r="B4563" i="2"/>
  <c r="A4563" i="2"/>
  <c r="O4562" i="2"/>
  <c r="M4562" i="2"/>
  <c r="L4562" i="2"/>
  <c r="E4562" i="2"/>
  <c r="D4562" i="2"/>
  <c r="B4562" i="2"/>
  <c r="A4562" i="2"/>
  <c r="O4561" i="2"/>
  <c r="M4561" i="2"/>
  <c r="L4561" i="2"/>
  <c r="E4561" i="2"/>
  <c r="D4561" i="2"/>
  <c r="B4561" i="2"/>
  <c r="A4561" i="2"/>
  <c r="O4560" i="2"/>
  <c r="M4560" i="2"/>
  <c r="L4560" i="2"/>
  <c r="E4560" i="2"/>
  <c r="D4560" i="2"/>
  <c r="B4560" i="2"/>
  <c r="A4560" i="2"/>
  <c r="O4559" i="2"/>
  <c r="O4558" i="2"/>
  <c r="O4557" i="2"/>
  <c r="M4557" i="2"/>
  <c r="L4557" i="2"/>
  <c r="E4557" i="2"/>
  <c r="D4557" i="2"/>
  <c r="B4557" i="2"/>
  <c r="A4557" i="2"/>
  <c r="O4556" i="2"/>
  <c r="M4556" i="2"/>
  <c r="L4556" i="2"/>
  <c r="E4556" i="2"/>
  <c r="D4556" i="2"/>
  <c r="B4556" i="2"/>
  <c r="A4556" i="2"/>
  <c r="O4555" i="2"/>
  <c r="M4555" i="2"/>
  <c r="L4555" i="2"/>
  <c r="E4555" i="2"/>
  <c r="D4555" i="2"/>
  <c r="B4555" i="2"/>
  <c r="A4555" i="2"/>
  <c r="O4554" i="2"/>
  <c r="O4553" i="2"/>
  <c r="M4553" i="2"/>
  <c r="L4553" i="2"/>
  <c r="E4553" i="2"/>
  <c r="D4553" i="2"/>
  <c r="B4553" i="2"/>
  <c r="A4553" i="2"/>
  <c r="O4552" i="2"/>
  <c r="M4552" i="2"/>
  <c r="L4552" i="2"/>
  <c r="E4552" i="2"/>
  <c r="D4552" i="2"/>
  <c r="B4552" i="2"/>
  <c r="A4552" i="2"/>
  <c r="O4551" i="2"/>
  <c r="O4550" i="2"/>
  <c r="M4550" i="2"/>
  <c r="L4550" i="2"/>
  <c r="E4550" i="2"/>
  <c r="D4550" i="2"/>
  <c r="B4550" i="2"/>
  <c r="A4550" i="2"/>
  <c r="O4549" i="2"/>
  <c r="M4549" i="2"/>
  <c r="L4549" i="2"/>
  <c r="E4549" i="2"/>
  <c r="D4549" i="2"/>
  <c r="B4549" i="2"/>
  <c r="A4549" i="2"/>
  <c r="O4548" i="2"/>
  <c r="O4547" i="2"/>
  <c r="M4547" i="2"/>
  <c r="L4547" i="2"/>
  <c r="E4547" i="2"/>
  <c r="D4547" i="2"/>
  <c r="B4547" i="2"/>
  <c r="A4547" i="2"/>
  <c r="O4546" i="2"/>
  <c r="M4546" i="2"/>
  <c r="L4546" i="2"/>
  <c r="E4546" i="2"/>
  <c r="D4546" i="2"/>
  <c r="B4546" i="2"/>
  <c r="A4546" i="2"/>
  <c r="O4545" i="2"/>
  <c r="M4545" i="2"/>
  <c r="L4545" i="2"/>
  <c r="E4545" i="2"/>
  <c r="D4545" i="2"/>
  <c r="B4545" i="2"/>
  <c r="A4545" i="2"/>
  <c r="O4544" i="2"/>
  <c r="O4543" i="2"/>
  <c r="O4542" i="2"/>
  <c r="O4541" i="2"/>
  <c r="O4540" i="2"/>
  <c r="O4539" i="2"/>
  <c r="O4538" i="2"/>
  <c r="O4537" i="2"/>
  <c r="M4537" i="2"/>
  <c r="L4537" i="2"/>
  <c r="E4537" i="2"/>
  <c r="D4537" i="2"/>
  <c r="B4537" i="2"/>
  <c r="A4537" i="2"/>
  <c r="O4536" i="2"/>
  <c r="O4535" i="2"/>
  <c r="O4534" i="2"/>
  <c r="O4533" i="2"/>
  <c r="O4532" i="2"/>
  <c r="O4531" i="2"/>
  <c r="O4530" i="2"/>
  <c r="O4529" i="2"/>
  <c r="O4528" i="2"/>
  <c r="M4528" i="2"/>
  <c r="L4528" i="2"/>
  <c r="E4528" i="2"/>
  <c r="D4528" i="2"/>
  <c r="B4528" i="2"/>
  <c r="A4528" i="2"/>
  <c r="O4527" i="2"/>
  <c r="M4527" i="2"/>
  <c r="L4527" i="2"/>
  <c r="E4527" i="2"/>
  <c r="D4527" i="2"/>
  <c r="B4527" i="2"/>
  <c r="A4527" i="2"/>
  <c r="O4526" i="2"/>
  <c r="M4526" i="2"/>
  <c r="L4526" i="2"/>
  <c r="E4526" i="2"/>
  <c r="D4526" i="2"/>
  <c r="B4526" i="2"/>
  <c r="A4526" i="2"/>
  <c r="O4525" i="2"/>
  <c r="O4524" i="2"/>
  <c r="M4524" i="2"/>
  <c r="L4524" i="2"/>
  <c r="E4524" i="2"/>
  <c r="D4524" i="2"/>
  <c r="B4524" i="2"/>
  <c r="A4524" i="2"/>
  <c r="O4523" i="2"/>
  <c r="M4523" i="2"/>
  <c r="L4523" i="2"/>
  <c r="E4523" i="2"/>
  <c r="D4523" i="2"/>
  <c r="B4523" i="2"/>
  <c r="A4523" i="2"/>
  <c r="O4522" i="2"/>
  <c r="M4522" i="2"/>
  <c r="L4522" i="2"/>
  <c r="E4522" i="2"/>
  <c r="D4522" i="2"/>
  <c r="B4522" i="2"/>
  <c r="A4522" i="2"/>
  <c r="O4521" i="2"/>
  <c r="M4521" i="2"/>
  <c r="L4521" i="2"/>
  <c r="E4521" i="2"/>
  <c r="D4521" i="2"/>
  <c r="B4521" i="2"/>
  <c r="A4521" i="2"/>
  <c r="O4520" i="2"/>
  <c r="M4520" i="2"/>
  <c r="L4520" i="2"/>
  <c r="E4520" i="2"/>
  <c r="D4520" i="2"/>
  <c r="B4520" i="2"/>
  <c r="A4520" i="2"/>
  <c r="O4519" i="2"/>
  <c r="O4518" i="2"/>
  <c r="M4518" i="2"/>
  <c r="L4518" i="2"/>
  <c r="E4518" i="2"/>
  <c r="D4518" i="2"/>
  <c r="B4518" i="2"/>
  <c r="A4518" i="2"/>
  <c r="O4517" i="2"/>
  <c r="O4516" i="2"/>
  <c r="O4515" i="2"/>
  <c r="O4514" i="2"/>
  <c r="M4514" i="2"/>
  <c r="L4514" i="2"/>
  <c r="E4514" i="2"/>
  <c r="D4514" i="2"/>
  <c r="B4514" i="2"/>
  <c r="A4514" i="2"/>
  <c r="O4513" i="2"/>
  <c r="O4512" i="2"/>
  <c r="M4512" i="2"/>
  <c r="L4512" i="2"/>
  <c r="E4512" i="2"/>
  <c r="D4512" i="2"/>
  <c r="B4512" i="2"/>
  <c r="A4512" i="2"/>
  <c r="O4511" i="2"/>
  <c r="M4511" i="2"/>
  <c r="L4511" i="2"/>
  <c r="E4511" i="2"/>
  <c r="D4511" i="2"/>
  <c r="B4511" i="2"/>
  <c r="A4511" i="2"/>
  <c r="O4510" i="2"/>
  <c r="O4509" i="2"/>
  <c r="O4508" i="2"/>
  <c r="O4507" i="2"/>
  <c r="O4506" i="2"/>
  <c r="O4505" i="2"/>
  <c r="M4505" i="2"/>
  <c r="L4505" i="2"/>
  <c r="E4505" i="2"/>
  <c r="D4505" i="2"/>
  <c r="B4505" i="2"/>
  <c r="A4505" i="2"/>
  <c r="O4504" i="2"/>
  <c r="M4504" i="2"/>
  <c r="L4504" i="2"/>
  <c r="E4504" i="2"/>
  <c r="D4504" i="2"/>
  <c r="B4504" i="2"/>
  <c r="A4504" i="2"/>
  <c r="O4503" i="2"/>
  <c r="O4502" i="2"/>
  <c r="M4502" i="2"/>
  <c r="L4502" i="2"/>
  <c r="E4502" i="2"/>
  <c r="D4502" i="2"/>
  <c r="B4502" i="2"/>
  <c r="A4502" i="2"/>
  <c r="O4501" i="2"/>
  <c r="M4501" i="2"/>
  <c r="L4501" i="2"/>
  <c r="E4501" i="2"/>
  <c r="D4501" i="2"/>
  <c r="B4501" i="2"/>
  <c r="A4501" i="2"/>
  <c r="O4500" i="2"/>
  <c r="M4500" i="2"/>
  <c r="L4500" i="2"/>
  <c r="E4500" i="2"/>
  <c r="D4500" i="2"/>
  <c r="B4500" i="2"/>
  <c r="A4500" i="2"/>
  <c r="O4499" i="2"/>
  <c r="M4499" i="2"/>
  <c r="L4499" i="2"/>
  <c r="E4499" i="2"/>
  <c r="D4499" i="2"/>
  <c r="B4499" i="2"/>
  <c r="A4499" i="2"/>
  <c r="O4498" i="2"/>
  <c r="M4498" i="2"/>
  <c r="L4498" i="2"/>
  <c r="E4498" i="2"/>
  <c r="D4498" i="2"/>
  <c r="B4498" i="2"/>
  <c r="A4498" i="2"/>
  <c r="O4497" i="2"/>
  <c r="M4497" i="2"/>
  <c r="L4497" i="2"/>
  <c r="E4497" i="2"/>
  <c r="D4497" i="2"/>
  <c r="B4497" i="2"/>
  <c r="A4497" i="2"/>
  <c r="O4496" i="2"/>
  <c r="M4496" i="2"/>
  <c r="L4496" i="2"/>
  <c r="E4496" i="2"/>
  <c r="D4496" i="2"/>
  <c r="B4496" i="2"/>
  <c r="A4496" i="2"/>
  <c r="O4495" i="2"/>
  <c r="M4495" i="2"/>
  <c r="L4495" i="2"/>
  <c r="E4495" i="2"/>
  <c r="D4495" i="2"/>
  <c r="B4495" i="2"/>
  <c r="A4495" i="2"/>
  <c r="O4494" i="2"/>
  <c r="O4493" i="2"/>
  <c r="M4493" i="2"/>
  <c r="L4493" i="2"/>
  <c r="E4493" i="2"/>
  <c r="D4493" i="2"/>
  <c r="B4493" i="2"/>
  <c r="A4493" i="2"/>
  <c r="O4492" i="2"/>
  <c r="M4492" i="2"/>
  <c r="L4492" i="2"/>
  <c r="E4492" i="2"/>
  <c r="D4492" i="2"/>
  <c r="B4492" i="2"/>
  <c r="A4492" i="2"/>
  <c r="O4491" i="2"/>
  <c r="M4491" i="2"/>
  <c r="L4491" i="2"/>
  <c r="E4491" i="2"/>
  <c r="D4491" i="2"/>
  <c r="B4491" i="2"/>
  <c r="A4491" i="2"/>
  <c r="O4490" i="2"/>
  <c r="M4490" i="2"/>
  <c r="L4490" i="2"/>
  <c r="E4490" i="2"/>
  <c r="D4490" i="2"/>
  <c r="B4490" i="2"/>
  <c r="A4490" i="2"/>
  <c r="O4489" i="2"/>
  <c r="M4489" i="2"/>
  <c r="L4489" i="2"/>
  <c r="E4489" i="2"/>
  <c r="D4489" i="2"/>
  <c r="B4489" i="2"/>
  <c r="A4489" i="2"/>
  <c r="O4488" i="2"/>
  <c r="M4488" i="2"/>
  <c r="L4488" i="2"/>
  <c r="E4488" i="2"/>
  <c r="D4488" i="2"/>
  <c r="B4488" i="2"/>
  <c r="A4488" i="2"/>
  <c r="O4487" i="2"/>
  <c r="O4486" i="2"/>
  <c r="M4486" i="2"/>
  <c r="L4486" i="2"/>
  <c r="E4486" i="2"/>
  <c r="D4486" i="2"/>
  <c r="B4486" i="2"/>
  <c r="A4486" i="2"/>
  <c r="O4485" i="2"/>
  <c r="O4484" i="2"/>
  <c r="M4484" i="2"/>
  <c r="L4484" i="2"/>
  <c r="E4484" i="2"/>
  <c r="D4484" i="2"/>
  <c r="B4484" i="2"/>
  <c r="A4484" i="2"/>
  <c r="O4483" i="2"/>
  <c r="M4483" i="2"/>
  <c r="L4483" i="2"/>
  <c r="E4483" i="2"/>
  <c r="D4483" i="2"/>
  <c r="B4483" i="2"/>
  <c r="A4483" i="2"/>
  <c r="O4482" i="2"/>
  <c r="M4482" i="2"/>
  <c r="L4482" i="2"/>
  <c r="E4482" i="2"/>
  <c r="D4482" i="2"/>
  <c r="B4482" i="2"/>
  <c r="A4482" i="2"/>
  <c r="O4481" i="2"/>
  <c r="M4481" i="2"/>
  <c r="L4481" i="2"/>
  <c r="E4481" i="2"/>
  <c r="D4481" i="2"/>
  <c r="B4481" i="2"/>
  <c r="A4481" i="2"/>
  <c r="O4480" i="2"/>
  <c r="O4479" i="2"/>
  <c r="O4478" i="2"/>
  <c r="O4477" i="2"/>
  <c r="O4476" i="2"/>
  <c r="O4475" i="2"/>
  <c r="O4474" i="2"/>
  <c r="O4473" i="2"/>
  <c r="O4472" i="2"/>
  <c r="O4471" i="2"/>
  <c r="O4470" i="2"/>
  <c r="O4469" i="2"/>
  <c r="O4468" i="2"/>
  <c r="O4467" i="2"/>
  <c r="O4466" i="2"/>
  <c r="O4465" i="2"/>
  <c r="O4464" i="2"/>
  <c r="O4463" i="2"/>
  <c r="O4462" i="2"/>
  <c r="O4461" i="2"/>
  <c r="O4460" i="2"/>
  <c r="O4459" i="2"/>
  <c r="O4458" i="2"/>
  <c r="O4457" i="2"/>
  <c r="O4456" i="2"/>
  <c r="O4455" i="2"/>
  <c r="M4455" i="2"/>
  <c r="L4455" i="2"/>
  <c r="E4455" i="2"/>
  <c r="D4455" i="2"/>
  <c r="B4455" i="2"/>
  <c r="A4455" i="2"/>
  <c r="O4454" i="2"/>
  <c r="O4453" i="2"/>
  <c r="M4453" i="2"/>
  <c r="L4453" i="2"/>
  <c r="E4453" i="2"/>
  <c r="D4453" i="2"/>
  <c r="B4453" i="2"/>
  <c r="A4453" i="2"/>
  <c r="O4452" i="2"/>
  <c r="O4451" i="2"/>
  <c r="O4450" i="2"/>
  <c r="O4449" i="2"/>
  <c r="O4448" i="2"/>
  <c r="O4447" i="2"/>
  <c r="O4446" i="2"/>
  <c r="O4445" i="2"/>
  <c r="O4444" i="2"/>
  <c r="O4443" i="2"/>
  <c r="M4443" i="2"/>
  <c r="L4443" i="2"/>
  <c r="E4443" i="2"/>
  <c r="D4443" i="2"/>
  <c r="B4443" i="2"/>
  <c r="A4443" i="2"/>
  <c r="O4442" i="2"/>
  <c r="M4442" i="2"/>
  <c r="L4442" i="2"/>
  <c r="E4442" i="2"/>
  <c r="D4442" i="2"/>
  <c r="B4442" i="2"/>
  <c r="A4442" i="2"/>
  <c r="O4441" i="2"/>
  <c r="M4441" i="2"/>
  <c r="L4441" i="2"/>
  <c r="E4441" i="2"/>
  <c r="D4441" i="2"/>
  <c r="B4441" i="2"/>
  <c r="A4441" i="2"/>
  <c r="O4440" i="2"/>
  <c r="M4440" i="2"/>
  <c r="L4440" i="2"/>
  <c r="E4440" i="2"/>
  <c r="D4440" i="2"/>
  <c r="B4440" i="2"/>
  <c r="A4440" i="2"/>
  <c r="O4439" i="2"/>
  <c r="M4439" i="2"/>
  <c r="L4439" i="2"/>
  <c r="E4439" i="2"/>
  <c r="D4439" i="2"/>
  <c r="B4439" i="2"/>
  <c r="A4439" i="2"/>
  <c r="O4438" i="2"/>
  <c r="O4437" i="2"/>
  <c r="M4437" i="2"/>
  <c r="L4437" i="2"/>
  <c r="E4437" i="2"/>
  <c r="D4437" i="2"/>
  <c r="B4437" i="2"/>
  <c r="A4437" i="2"/>
  <c r="O4436" i="2"/>
  <c r="M4436" i="2"/>
  <c r="L4436" i="2"/>
  <c r="E4436" i="2"/>
  <c r="D4436" i="2"/>
  <c r="B4436" i="2"/>
  <c r="A4436" i="2"/>
  <c r="O4435" i="2"/>
  <c r="M4435" i="2"/>
  <c r="L4435" i="2"/>
  <c r="E4435" i="2"/>
  <c r="D4435" i="2"/>
  <c r="B4435" i="2"/>
  <c r="A4435" i="2"/>
  <c r="O4434" i="2"/>
  <c r="M4434" i="2"/>
  <c r="L4434" i="2"/>
  <c r="E4434" i="2"/>
  <c r="D4434" i="2"/>
  <c r="B4434" i="2"/>
  <c r="A4434" i="2"/>
  <c r="O4433" i="2"/>
  <c r="O4432" i="2"/>
  <c r="O4431" i="2"/>
  <c r="M4431" i="2"/>
  <c r="L4431" i="2"/>
  <c r="E4431" i="2"/>
  <c r="D4431" i="2"/>
  <c r="B4431" i="2"/>
  <c r="A4431" i="2"/>
  <c r="O4430" i="2"/>
  <c r="O4429" i="2"/>
  <c r="O4428" i="2"/>
  <c r="O4427" i="2"/>
  <c r="M4427" i="2"/>
  <c r="L4427" i="2"/>
  <c r="E4427" i="2"/>
  <c r="D4427" i="2"/>
  <c r="B4427" i="2"/>
  <c r="A4427" i="2"/>
  <c r="O4426" i="2"/>
  <c r="M4426" i="2"/>
  <c r="L4426" i="2"/>
  <c r="E4426" i="2"/>
  <c r="D4426" i="2"/>
  <c r="B4426" i="2"/>
  <c r="A4426" i="2"/>
  <c r="O4425" i="2"/>
  <c r="M4425" i="2"/>
  <c r="L4425" i="2"/>
  <c r="E4425" i="2"/>
  <c r="D4425" i="2"/>
  <c r="B4425" i="2"/>
  <c r="A4425" i="2"/>
  <c r="O4424" i="2"/>
  <c r="M4424" i="2"/>
  <c r="L4424" i="2"/>
  <c r="E4424" i="2"/>
  <c r="D4424" i="2"/>
  <c r="B4424" i="2"/>
  <c r="A4424" i="2"/>
  <c r="O4423" i="2"/>
  <c r="O4422" i="2"/>
  <c r="O4421" i="2"/>
  <c r="O4420" i="2"/>
  <c r="M4420" i="2"/>
  <c r="L4420" i="2"/>
  <c r="E4420" i="2"/>
  <c r="D4420" i="2"/>
  <c r="B4420" i="2"/>
  <c r="A4420" i="2"/>
  <c r="O4419" i="2"/>
  <c r="M4419" i="2"/>
  <c r="L4419" i="2"/>
  <c r="E4419" i="2"/>
  <c r="D4419" i="2"/>
  <c r="B4419" i="2"/>
  <c r="A4419" i="2"/>
  <c r="O4418" i="2"/>
  <c r="M4418" i="2"/>
  <c r="L4418" i="2"/>
  <c r="E4418" i="2"/>
  <c r="D4418" i="2"/>
  <c r="B4418" i="2"/>
  <c r="A4418" i="2"/>
  <c r="O4417" i="2"/>
  <c r="O4416" i="2"/>
  <c r="M4416" i="2"/>
  <c r="L4416" i="2"/>
  <c r="E4416" i="2"/>
  <c r="D4416" i="2"/>
  <c r="B4416" i="2"/>
  <c r="A4416" i="2"/>
  <c r="O4415" i="2"/>
  <c r="O4414" i="2"/>
  <c r="O4413" i="2"/>
  <c r="O4412" i="2"/>
  <c r="O4411" i="2"/>
  <c r="O4410" i="2"/>
  <c r="O4409" i="2"/>
  <c r="O4408" i="2"/>
  <c r="O4407" i="2"/>
  <c r="M4407" i="2"/>
  <c r="L4407" i="2"/>
  <c r="E4407" i="2"/>
  <c r="D4407" i="2"/>
  <c r="B4407" i="2"/>
  <c r="A4407" i="2"/>
  <c r="O4406" i="2"/>
  <c r="M4406" i="2"/>
  <c r="L4406" i="2"/>
  <c r="E4406" i="2"/>
  <c r="D4406" i="2"/>
  <c r="B4406" i="2"/>
  <c r="A4406" i="2"/>
  <c r="O4405" i="2"/>
  <c r="M4405" i="2"/>
  <c r="L4405" i="2"/>
  <c r="E4405" i="2"/>
  <c r="D4405" i="2"/>
  <c r="B4405" i="2"/>
  <c r="A4405" i="2"/>
  <c r="O4404" i="2"/>
  <c r="M4404" i="2"/>
  <c r="L4404" i="2"/>
  <c r="E4404" i="2"/>
  <c r="D4404" i="2"/>
  <c r="B4404" i="2"/>
  <c r="A4404" i="2"/>
  <c r="O4403" i="2"/>
  <c r="O4402" i="2"/>
  <c r="M4402" i="2"/>
  <c r="L4402" i="2"/>
  <c r="E4402" i="2"/>
  <c r="D4402" i="2"/>
  <c r="B4402" i="2"/>
  <c r="A4402" i="2"/>
  <c r="O4401" i="2"/>
  <c r="O4400" i="2"/>
  <c r="O4399" i="2"/>
  <c r="O4398" i="2"/>
  <c r="O4397" i="2"/>
  <c r="O4396" i="2"/>
  <c r="O4395" i="2"/>
  <c r="O4394" i="2"/>
  <c r="O4393" i="2"/>
  <c r="O4392" i="2"/>
  <c r="O4391" i="2"/>
  <c r="M4391" i="2"/>
  <c r="L4391" i="2"/>
  <c r="E4391" i="2"/>
  <c r="D4391" i="2"/>
  <c r="B4391" i="2"/>
  <c r="A4391" i="2"/>
  <c r="O4390" i="2"/>
  <c r="O4389" i="2"/>
  <c r="M4389" i="2"/>
  <c r="L4389" i="2"/>
  <c r="E4389" i="2"/>
  <c r="D4389" i="2"/>
  <c r="B4389" i="2"/>
  <c r="A4389" i="2"/>
  <c r="O4388" i="2"/>
  <c r="O4387" i="2"/>
  <c r="O4386" i="2"/>
  <c r="M4386" i="2"/>
  <c r="L4386" i="2"/>
  <c r="E4386" i="2"/>
  <c r="D4386" i="2"/>
  <c r="B4386" i="2"/>
  <c r="A4386" i="2"/>
  <c r="O4385" i="2"/>
  <c r="M4385" i="2"/>
  <c r="L4385" i="2"/>
  <c r="E4385" i="2"/>
  <c r="D4385" i="2"/>
  <c r="B4385" i="2"/>
  <c r="A4385" i="2"/>
  <c r="O4384" i="2"/>
  <c r="M4384" i="2"/>
  <c r="L4384" i="2"/>
  <c r="E4384" i="2"/>
  <c r="D4384" i="2"/>
  <c r="B4384" i="2"/>
  <c r="A4384" i="2"/>
  <c r="O4383" i="2"/>
  <c r="M4383" i="2"/>
  <c r="L4383" i="2"/>
  <c r="E4383" i="2"/>
  <c r="D4383" i="2"/>
  <c r="B4383" i="2"/>
  <c r="A4383" i="2"/>
  <c r="O4382" i="2"/>
  <c r="M4382" i="2"/>
  <c r="L4382" i="2"/>
  <c r="E4382" i="2"/>
  <c r="D4382" i="2"/>
  <c r="B4382" i="2"/>
  <c r="A4382" i="2"/>
  <c r="O4381" i="2"/>
  <c r="M4381" i="2"/>
  <c r="L4381" i="2"/>
  <c r="E4381" i="2"/>
  <c r="D4381" i="2"/>
  <c r="B4381" i="2"/>
  <c r="A4381" i="2"/>
  <c r="O4380" i="2"/>
  <c r="M4380" i="2"/>
  <c r="L4380" i="2"/>
  <c r="E4380" i="2"/>
  <c r="D4380" i="2"/>
  <c r="B4380" i="2"/>
  <c r="A4380" i="2"/>
  <c r="O4379" i="2"/>
  <c r="O4378" i="2"/>
  <c r="O4377" i="2"/>
  <c r="M4377" i="2"/>
  <c r="L4377" i="2"/>
  <c r="E4377" i="2"/>
  <c r="D4377" i="2"/>
  <c r="B4377" i="2"/>
  <c r="A4377" i="2"/>
  <c r="O4376" i="2"/>
  <c r="M4376" i="2"/>
  <c r="L4376" i="2"/>
  <c r="E4376" i="2"/>
  <c r="D4376" i="2"/>
  <c r="B4376" i="2"/>
  <c r="A4376" i="2"/>
  <c r="O4375" i="2"/>
  <c r="O4374" i="2"/>
  <c r="M4374" i="2"/>
  <c r="L4374" i="2"/>
  <c r="E4374" i="2"/>
  <c r="D4374" i="2"/>
  <c r="B4374" i="2"/>
  <c r="A4374" i="2"/>
  <c r="O4373" i="2"/>
  <c r="O4372" i="2"/>
  <c r="O4371" i="2"/>
  <c r="O4370" i="2"/>
  <c r="O4369" i="2"/>
  <c r="O4368" i="2"/>
  <c r="O4367" i="2"/>
  <c r="O4366" i="2"/>
  <c r="O4365" i="2"/>
  <c r="O4364" i="2"/>
  <c r="M4364" i="2"/>
  <c r="L4364" i="2"/>
  <c r="E4364" i="2"/>
  <c r="D4364" i="2"/>
  <c r="B4364" i="2"/>
  <c r="A4364" i="2"/>
  <c r="O4363" i="2"/>
  <c r="M4363" i="2"/>
  <c r="L4363" i="2"/>
  <c r="E4363" i="2"/>
  <c r="D4363" i="2"/>
  <c r="B4363" i="2"/>
  <c r="A4363" i="2"/>
  <c r="O4362" i="2"/>
  <c r="M4362" i="2"/>
  <c r="L4362" i="2"/>
  <c r="E4362" i="2"/>
  <c r="D4362" i="2"/>
  <c r="B4362" i="2"/>
  <c r="A4362" i="2"/>
  <c r="O4361" i="2"/>
  <c r="M4361" i="2"/>
  <c r="L4361" i="2"/>
  <c r="E4361" i="2"/>
  <c r="D4361" i="2"/>
  <c r="B4361" i="2"/>
  <c r="A4361" i="2"/>
  <c r="O4360" i="2"/>
  <c r="M4360" i="2"/>
  <c r="L4360" i="2"/>
  <c r="E4360" i="2"/>
  <c r="D4360" i="2"/>
  <c r="B4360" i="2"/>
  <c r="A4360" i="2"/>
  <c r="O4359" i="2"/>
  <c r="O4358" i="2"/>
  <c r="M4358" i="2"/>
  <c r="L4358" i="2"/>
  <c r="E4358" i="2"/>
  <c r="D4358" i="2"/>
  <c r="B4358" i="2"/>
  <c r="A4358" i="2"/>
  <c r="O4357" i="2"/>
  <c r="M4357" i="2"/>
  <c r="L4357" i="2"/>
  <c r="E4357" i="2"/>
  <c r="D4357" i="2"/>
  <c r="B4357" i="2"/>
  <c r="A4357" i="2"/>
  <c r="O4356" i="2"/>
  <c r="O4355" i="2"/>
  <c r="M4355" i="2"/>
  <c r="L4355" i="2"/>
  <c r="E4355" i="2"/>
  <c r="D4355" i="2"/>
  <c r="B4355" i="2"/>
  <c r="A4355" i="2"/>
  <c r="O4354" i="2"/>
  <c r="O4353" i="2"/>
  <c r="M4353" i="2"/>
  <c r="L4353" i="2"/>
  <c r="E4353" i="2"/>
  <c r="D4353" i="2"/>
  <c r="B4353" i="2"/>
  <c r="A4353" i="2"/>
  <c r="O4352" i="2"/>
  <c r="O4351" i="2"/>
  <c r="O4350" i="2"/>
  <c r="M4350" i="2"/>
  <c r="L4350" i="2"/>
  <c r="E4350" i="2"/>
  <c r="D4350" i="2"/>
  <c r="B4350" i="2"/>
  <c r="A4350" i="2"/>
  <c r="O4349" i="2"/>
  <c r="O4348" i="2"/>
  <c r="O4347" i="2"/>
  <c r="M4347" i="2"/>
  <c r="L4347" i="2"/>
  <c r="E4347" i="2"/>
  <c r="D4347" i="2"/>
  <c r="B4347" i="2"/>
  <c r="A4347" i="2"/>
  <c r="O4346" i="2"/>
  <c r="M4346" i="2"/>
  <c r="L4346" i="2"/>
  <c r="E4346" i="2"/>
  <c r="D4346" i="2"/>
  <c r="B4346" i="2"/>
  <c r="A4346" i="2"/>
  <c r="O4345" i="2"/>
  <c r="O4344" i="2"/>
  <c r="O4343" i="2"/>
  <c r="M4343" i="2"/>
  <c r="L4343" i="2"/>
  <c r="E4343" i="2"/>
  <c r="D4343" i="2"/>
  <c r="B4343" i="2"/>
  <c r="A4343" i="2"/>
  <c r="O4342" i="2"/>
  <c r="M4342" i="2"/>
  <c r="L4342" i="2"/>
  <c r="E4342" i="2"/>
  <c r="D4342" i="2"/>
  <c r="B4342" i="2"/>
  <c r="A4342" i="2"/>
  <c r="O4341" i="2"/>
  <c r="M4341" i="2"/>
  <c r="L4341" i="2"/>
  <c r="E4341" i="2"/>
  <c r="D4341" i="2"/>
  <c r="B4341" i="2"/>
  <c r="A4341" i="2"/>
  <c r="O4340" i="2"/>
  <c r="O4339" i="2"/>
  <c r="M4339" i="2"/>
  <c r="L4339" i="2"/>
  <c r="E4339" i="2"/>
  <c r="D4339" i="2"/>
  <c r="B4339" i="2"/>
  <c r="A4339" i="2"/>
  <c r="O4338" i="2"/>
  <c r="M4338" i="2"/>
  <c r="L4338" i="2"/>
  <c r="E4338" i="2"/>
  <c r="D4338" i="2"/>
  <c r="B4338" i="2"/>
  <c r="A4338" i="2"/>
  <c r="O4337" i="2"/>
  <c r="O4336" i="2"/>
  <c r="M4336" i="2"/>
  <c r="L4336" i="2"/>
  <c r="E4336" i="2"/>
  <c r="D4336" i="2"/>
  <c r="B4336" i="2"/>
  <c r="A4336" i="2"/>
  <c r="O4335" i="2"/>
  <c r="M4335" i="2"/>
  <c r="L4335" i="2"/>
  <c r="E4335" i="2"/>
  <c r="D4335" i="2"/>
  <c r="B4335" i="2"/>
  <c r="A4335" i="2"/>
  <c r="O4334" i="2"/>
  <c r="M4334" i="2"/>
  <c r="L4334" i="2"/>
  <c r="E4334" i="2"/>
  <c r="D4334" i="2"/>
  <c r="B4334" i="2"/>
  <c r="A4334" i="2"/>
  <c r="O4333" i="2"/>
  <c r="M4333" i="2"/>
  <c r="L4333" i="2"/>
  <c r="E4333" i="2"/>
  <c r="D4333" i="2"/>
  <c r="B4333" i="2"/>
  <c r="A4333" i="2"/>
  <c r="O4332" i="2"/>
  <c r="O4331" i="2"/>
  <c r="M4331" i="2"/>
  <c r="L4331" i="2"/>
  <c r="E4331" i="2"/>
  <c r="D4331" i="2"/>
  <c r="B4331" i="2"/>
  <c r="A4331" i="2"/>
  <c r="O4330" i="2"/>
  <c r="M4330" i="2"/>
  <c r="L4330" i="2"/>
  <c r="E4330" i="2"/>
  <c r="D4330" i="2"/>
  <c r="B4330" i="2"/>
  <c r="A4330" i="2"/>
  <c r="O4329" i="2"/>
  <c r="O4328" i="2"/>
  <c r="M4328" i="2"/>
  <c r="L4328" i="2"/>
  <c r="E4328" i="2"/>
  <c r="D4328" i="2"/>
  <c r="B4328" i="2"/>
  <c r="A4328" i="2"/>
  <c r="O4327" i="2"/>
  <c r="M4327" i="2"/>
  <c r="L4327" i="2"/>
  <c r="E4327" i="2"/>
  <c r="D4327" i="2"/>
  <c r="B4327" i="2"/>
  <c r="A4327" i="2"/>
  <c r="O4326" i="2"/>
  <c r="M4326" i="2"/>
  <c r="L4326" i="2"/>
  <c r="E4326" i="2"/>
  <c r="D4326" i="2"/>
  <c r="B4326" i="2"/>
  <c r="A4326" i="2"/>
  <c r="O4325" i="2"/>
  <c r="M4325" i="2"/>
  <c r="L4325" i="2"/>
  <c r="E4325" i="2"/>
  <c r="D4325" i="2"/>
  <c r="B4325" i="2"/>
  <c r="A4325" i="2"/>
  <c r="O4324" i="2"/>
  <c r="M4324" i="2"/>
  <c r="L4324" i="2"/>
  <c r="E4324" i="2"/>
  <c r="D4324" i="2"/>
  <c r="B4324" i="2"/>
  <c r="A4324" i="2"/>
  <c r="O4323" i="2"/>
  <c r="O4322" i="2"/>
  <c r="M4322" i="2"/>
  <c r="L4322" i="2"/>
  <c r="E4322" i="2"/>
  <c r="D4322" i="2"/>
  <c r="B4322" i="2"/>
  <c r="A4322" i="2"/>
  <c r="O4321" i="2"/>
  <c r="O4320" i="2"/>
  <c r="M4320" i="2"/>
  <c r="L4320" i="2"/>
  <c r="E4320" i="2"/>
  <c r="D4320" i="2"/>
  <c r="B4320" i="2"/>
  <c r="A4320" i="2"/>
  <c r="O4319" i="2"/>
  <c r="O4318" i="2"/>
  <c r="M4318" i="2"/>
  <c r="L4318" i="2"/>
  <c r="E4318" i="2"/>
  <c r="D4318" i="2"/>
  <c r="B4318" i="2"/>
  <c r="A4318" i="2"/>
  <c r="O4317" i="2"/>
  <c r="M4317" i="2"/>
  <c r="L4317" i="2"/>
  <c r="E4317" i="2"/>
  <c r="D4317" i="2"/>
  <c r="B4317" i="2"/>
  <c r="A4317" i="2"/>
  <c r="O4316" i="2"/>
  <c r="M4316" i="2"/>
  <c r="L4316" i="2"/>
  <c r="E4316" i="2"/>
  <c r="D4316" i="2"/>
  <c r="B4316" i="2"/>
  <c r="A4316" i="2"/>
  <c r="O4315" i="2"/>
  <c r="M4315" i="2"/>
  <c r="L4315" i="2"/>
  <c r="E4315" i="2"/>
  <c r="D4315" i="2"/>
  <c r="B4315" i="2"/>
  <c r="A4315" i="2"/>
  <c r="O4314" i="2"/>
  <c r="O4313" i="2"/>
  <c r="M4313" i="2"/>
  <c r="L4313" i="2"/>
  <c r="E4313" i="2"/>
  <c r="D4313" i="2"/>
  <c r="B4313" i="2"/>
  <c r="A4313" i="2"/>
  <c r="O4312" i="2"/>
  <c r="O4311" i="2"/>
  <c r="M4311" i="2"/>
  <c r="L4311" i="2"/>
  <c r="E4311" i="2"/>
  <c r="D4311" i="2"/>
  <c r="B4311" i="2"/>
  <c r="A4311" i="2"/>
  <c r="O4310" i="2"/>
  <c r="M4310" i="2"/>
  <c r="L4310" i="2"/>
  <c r="E4310" i="2"/>
  <c r="D4310" i="2"/>
  <c r="B4310" i="2"/>
  <c r="A4310" i="2"/>
  <c r="O4309" i="2"/>
  <c r="M4309" i="2"/>
  <c r="L4309" i="2"/>
  <c r="E4309" i="2"/>
  <c r="D4309" i="2"/>
  <c r="B4309" i="2"/>
  <c r="A4309" i="2"/>
  <c r="O4308" i="2"/>
  <c r="O4307" i="2"/>
  <c r="O4306" i="2"/>
  <c r="M4306" i="2"/>
  <c r="L4306" i="2"/>
  <c r="E4306" i="2"/>
  <c r="D4306" i="2"/>
  <c r="B4306" i="2"/>
  <c r="A4306" i="2"/>
  <c r="O4305" i="2"/>
  <c r="M4305" i="2"/>
  <c r="L4305" i="2"/>
  <c r="E4305" i="2"/>
  <c r="D4305" i="2"/>
  <c r="B4305" i="2"/>
  <c r="A4305" i="2"/>
  <c r="O4304" i="2"/>
  <c r="M4304" i="2"/>
  <c r="L4304" i="2"/>
  <c r="E4304" i="2"/>
  <c r="D4304" i="2"/>
  <c r="B4304" i="2"/>
  <c r="A4304" i="2"/>
  <c r="O4303" i="2"/>
  <c r="M4303" i="2"/>
  <c r="L4303" i="2"/>
  <c r="E4303" i="2"/>
  <c r="D4303" i="2"/>
  <c r="B4303" i="2"/>
  <c r="A4303" i="2"/>
  <c r="O4302" i="2"/>
  <c r="O4301" i="2"/>
  <c r="M4301" i="2"/>
  <c r="L4301" i="2"/>
  <c r="E4301" i="2"/>
  <c r="D4301" i="2"/>
  <c r="B4301" i="2"/>
  <c r="A4301" i="2"/>
  <c r="O4300" i="2"/>
  <c r="M4300" i="2"/>
  <c r="L4300" i="2"/>
  <c r="E4300" i="2"/>
  <c r="D4300" i="2"/>
  <c r="B4300" i="2"/>
  <c r="A4300" i="2"/>
  <c r="O4299" i="2"/>
  <c r="M4299" i="2"/>
  <c r="L4299" i="2"/>
  <c r="E4299" i="2"/>
  <c r="D4299" i="2"/>
  <c r="B4299" i="2"/>
  <c r="A4299" i="2"/>
  <c r="O4298" i="2"/>
  <c r="M4298" i="2"/>
  <c r="L4298" i="2"/>
  <c r="E4298" i="2"/>
  <c r="D4298" i="2"/>
  <c r="B4298" i="2"/>
  <c r="A4298" i="2"/>
  <c r="O4297" i="2"/>
  <c r="O4296" i="2"/>
  <c r="M4296" i="2"/>
  <c r="L4296" i="2"/>
  <c r="E4296" i="2"/>
  <c r="D4296" i="2"/>
  <c r="B4296" i="2"/>
  <c r="A4296" i="2"/>
  <c r="O4295" i="2"/>
  <c r="M4295" i="2"/>
  <c r="L4295" i="2"/>
  <c r="E4295" i="2"/>
  <c r="D4295" i="2"/>
  <c r="B4295" i="2"/>
  <c r="A4295" i="2"/>
  <c r="O4294" i="2"/>
  <c r="M4294" i="2"/>
  <c r="L4294" i="2"/>
  <c r="E4294" i="2"/>
  <c r="D4294" i="2"/>
  <c r="B4294" i="2"/>
  <c r="A4294" i="2"/>
  <c r="O4293" i="2"/>
  <c r="M4293" i="2"/>
  <c r="L4293" i="2"/>
  <c r="E4293" i="2"/>
  <c r="D4293" i="2"/>
  <c r="B4293" i="2"/>
  <c r="A4293" i="2"/>
  <c r="O4292" i="2"/>
  <c r="M4292" i="2"/>
  <c r="L4292" i="2"/>
  <c r="E4292" i="2"/>
  <c r="D4292" i="2"/>
  <c r="B4292" i="2"/>
  <c r="A4292" i="2"/>
  <c r="O4291" i="2"/>
  <c r="M4291" i="2"/>
  <c r="L4291" i="2"/>
  <c r="E4291" i="2"/>
  <c r="D4291" i="2"/>
  <c r="B4291" i="2"/>
  <c r="A4291" i="2"/>
  <c r="O4290" i="2"/>
  <c r="O4289" i="2"/>
  <c r="M4289" i="2"/>
  <c r="L4289" i="2"/>
  <c r="E4289" i="2"/>
  <c r="D4289" i="2"/>
  <c r="B4289" i="2"/>
  <c r="A4289" i="2"/>
  <c r="O4288" i="2"/>
  <c r="M4288" i="2"/>
  <c r="L4288" i="2"/>
  <c r="E4288" i="2"/>
  <c r="D4288" i="2"/>
  <c r="B4288" i="2"/>
  <c r="A4288" i="2"/>
  <c r="O4287" i="2"/>
  <c r="M4287" i="2"/>
  <c r="L4287" i="2"/>
  <c r="E4287" i="2"/>
  <c r="D4287" i="2"/>
  <c r="B4287" i="2"/>
  <c r="A4287" i="2"/>
  <c r="O4286" i="2"/>
  <c r="M4286" i="2"/>
  <c r="L4286" i="2"/>
  <c r="E4286" i="2"/>
  <c r="D4286" i="2"/>
  <c r="B4286" i="2"/>
  <c r="A4286" i="2"/>
  <c r="O4285" i="2"/>
  <c r="M4285" i="2"/>
  <c r="L4285" i="2"/>
  <c r="E4285" i="2"/>
  <c r="D4285" i="2"/>
  <c r="B4285" i="2"/>
  <c r="A4285" i="2"/>
  <c r="O4284" i="2"/>
  <c r="M4284" i="2"/>
  <c r="L4284" i="2"/>
  <c r="E4284" i="2"/>
  <c r="D4284" i="2"/>
  <c r="B4284" i="2"/>
  <c r="A4284" i="2"/>
  <c r="O4283" i="2"/>
  <c r="M4283" i="2"/>
  <c r="L4283" i="2"/>
  <c r="E4283" i="2"/>
  <c r="D4283" i="2"/>
  <c r="B4283" i="2"/>
  <c r="A4283" i="2"/>
  <c r="O4282" i="2"/>
  <c r="O4281" i="2"/>
  <c r="M4281" i="2"/>
  <c r="L4281" i="2"/>
  <c r="E4281" i="2"/>
  <c r="D4281" i="2"/>
  <c r="B4281" i="2"/>
  <c r="A4281" i="2"/>
  <c r="O4280" i="2"/>
  <c r="M4280" i="2"/>
  <c r="L4280" i="2"/>
  <c r="E4280" i="2"/>
  <c r="D4280" i="2"/>
  <c r="B4280" i="2"/>
  <c r="A4280" i="2"/>
  <c r="O4279" i="2"/>
  <c r="O4278" i="2"/>
  <c r="O4277" i="2"/>
  <c r="M4277" i="2"/>
  <c r="L4277" i="2"/>
  <c r="E4277" i="2"/>
  <c r="D4277" i="2"/>
  <c r="B4277" i="2"/>
  <c r="A4277" i="2"/>
  <c r="O4276" i="2"/>
  <c r="M4276" i="2"/>
  <c r="L4276" i="2"/>
  <c r="E4276" i="2"/>
  <c r="D4276" i="2"/>
  <c r="B4276" i="2"/>
  <c r="A4276" i="2"/>
  <c r="O4275" i="2"/>
  <c r="M4275" i="2"/>
  <c r="L4275" i="2"/>
  <c r="E4275" i="2"/>
  <c r="D4275" i="2"/>
  <c r="B4275" i="2"/>
  <c r="A4275" i="2"/>
  <c r="O4274" i="2"/>
  <c r="O4273" i="2"/>
  <c r="M4273" i="2"/>
  <c r="L4273" i="2"/>
  <c r="E4273" i="2"/>
  <c r="D4273" i="2"/>
  <c r="B4273" i="2"/>
  <c r="A4273" i="2"/>
  <c r="O4272" i="2"/>
  <c r="O4271" i="2"/>
  <c r="M4271" i="2"/>
  <c r="L4271" i="2"/>
  <c r="E4271" i="2"/>
  <c r="D4271" i="2"/>
  <c r="B4271" i="2"/>
  <c r="A4271" i="2"/>
  <c r="O4270" i="2"/>
  <c r="M4270" i="2"/>
  <c r="L4270" i="2"/>
  <c r="E4270" i="2"/>
  <c r="D4270" i="2"/>
  <c r="B4270" i="2"/>
  <c r="A4270" i="2"/>
  <c r="O4269" i="2"/>
  <c r="O4268" i="2"/>
  <c r="M4268" i="2"/>
  <c r="L4268" i="2"/>
  <c r="E4268" i="2"/>
  <c r="D4268" i="2"/>
  <c r="B4268" i="2"/>
  <c r="A4268" i="2"/>
  <c r="O4267" i="2"/>
  <c r="O4266" i="2"/>
  <c r="M4266" i="2"/>
  <c r="L4266" i="2"/>
  <c r="E4266" i="2"/>
  <c r="D4266" i="2"/>
  <c r="B4266" i="2"/>
  <c r="A4266" i="2"/>
  <c r="O4265" i="2"/>
  <c r="M4265" i="2"/>
  <c r="L4265" i="2"/>
  <c r="E4265" i="2"/>
  <c r="D4265" i="2"/>
  <c r="B4265" i="2"/>
  <c r="A4265" i="2"/>
  <c r="O4264" i="2"/>
  <c r="M4264" i="2"/>
  <c r="L4264" i="2"/>
  <c r="E4264" i="2"/>
  <c r="D4264" i="2"/>
  <c r="B4264" i="2"/>
  <c r="A4264" i="2"/>
  <c r="O4263" i="2"/>
  <c r="M4263" i="2"/>
  <c r="L4263" i="2"/>
  <c r="E4263" i="2"/>
  <c r="D4263" i="2"/>
  <c r="B4263" i="2"/>
  <c r="A4263" i="2"/>
  <c r="O4262" i="2"/>
  <c r="O4261" i="2"/>
  <c r="M4261" i="2"/>
  <c r="L4261" i="2"/>
  <c r="E4261" i="2"/>
  <c r="D4261" i="2"/>
  <c r="B4261" i="2"/>
  <c r="A4261" i="2"/>
  <c r="O4260" i="2"/>
  <c r="M4260" i="2"/>
  <c r="L4260" i="2"/>
  <c r="E4260" i="2"/>
  <c r="D4260" i="2"/>
  <c r="B4260" i="2"/>
  <c r="A4260" i="2"/>
  <c r="O4259" i="2"/>
  <c r="O4258" i="2"/>
  <c r="M4258" i="2"/>
  <c r="L4258" i="2"/>
  <c r="E4258" i="2"/>
  <c r="D4258" i="2"/>
  <c r="B4258" i="2"/>
  <c r="A4258" i="2"/>
  <c r="O4257" i="2"/>
  <c r="O4256" i="2"/>
  <c r="M4256" i="2"/>
  <c r="L4256" i="2"/>
  <c r="E4256" i="2"/>
  <c r="D4256" i="2"/>
  <c r="B4256" i="2"/>
  <c r="A4256" i="2"/>
  <c r="O4255" i="2"/>
  <c r="O4254" i="2"/>
  <c r="M4254" i="2"/>
  <c r="L4254" i="2"/>
  <c r="E4254" i="2"/>
  <c r="D4254" i="2"/>
  <c r="B4254" i="2"/>
  <c r="A4254" i="2"/>
  <c r="O4253" i="2"/>
  <c r="M4253" i="2"/>
  <c r="L4253" i="2"/>
  <c r="E4253" i="2"/>
  <c r="D4253" i="2"/>
  <c r="B4253" i="2"/>
  <c r="A4253" i="2"/>
  <c r="O4252" i="2"/>
  <c r="M4252" i="2"/>
  <c r="L4252" i="2"/>
  <c r="E4252" i="2"/>
  <c r="D4252" i="2"/>
  <c r="B4252" i="2"/>
  <c r="A4252" i="2"/>
  <c r="O4251" i="2"/>
  <c r="M4251" i="2"/>
  <c r="L4251" i="2"/>
  <c r="E4251" i="2"/>
  <c r="D4251" i="2"/>
  <c r="B4251" i="2"/>
  <c r="A4251" i="2"/>
  <c r="O4250" i="2"/>
  <c r="O4249" i="2"/>
  <c r="M4249" i="2"/>
  <c r="L4249" i="2"/>
  <c r="E4249" i="2"/>
  <c r="D4249" i="2"/>
  <c r="B4249" i="2"/>
  <c r="A4249" i="2"/>
  <c r="O4248" i="2"/>
  <c r="O4247" i="2"/>
  <c r="M4247" i="2"/>
  <c r="L4247" i="2"/>
  <c r="E4247" i="2"/>
  <c r="D4247" i="2"/>
  <c r="B4247" i="2"/>
  <c r="A4247" i="2"/>
  <c r="O4246" i="2"/>
  <c r="M4246" i="2"/>
  <c r="L4246" i="2"/>
  <c r="E4246" i="2"/>
  <c r="D4246" i="2"/>
  <c r="B4246" i="2"/>
  <c r="A4246" i="2"/>
  <c r="O4245" i="2"/>
  <c r="O4244" i="2"/>
  <c r="M4244" i="2"/>
  <c r="L4244" i="2"/>
  <c r="E4244" i="2"/>
  <c r="D4244" i="2"/>
  <c r="B4244" i="2"/>
  <c r="A4244" i="2"/>
  <c r="O4243" i="2"/>
  <c r="O4242" i="2"/>
  <c r="M4242" i="2"/>
  <c r="L4242" i="2"/>
  <c r="E4242" i="2"/>
  <c r="D4242" i="2"/>
  <c r="B4242" i="2"/>
  <c r="A4242" i="2"/>
  <c r="O4241" i="2"/>
  <c r="M4241" i="2"/>
  <c r="L4241" i="2"/>
  <c r="E4241" i="2"/>
  <c r="D4241" i="2"/>
  <c r="B4241" i="2"/>
  <c r="A4241" i="2"/>
  <c r="O4240" i="2"/>
  <c r="M4240" i="2"/>
  <c r="L4240" i="2"/>
  <c r="E4240" i="2"/>
  <c r="D4240" i="2"/>
  <c r="B4240" i="2"/>
  <c r="A4240" i="2"/>
  <c r="O4239" i="2"/>
  <c r="M4239" i="2"/>
  <c r="L4239" i="2"/>
  <c r="E4239" i="2"/>
  <c r="D4239" i="2"/>
  <c r="B4239" i="2"/>
  <c r="A4239" i="2"/>
  <c r="O4238" i="2"/>
  <c r="M4238" i="2"/>
  <c r="L4238" i="2"/>
  <c r="E4238" i="2"/>
  <c r="D4238" i="2"/>
  <c r="B4238" i="2"/>
  <c r="A4238" i="2"/>
  <c r="O4237" i="2"/>
  <c r="M4237" i="2"/>
  <c r="L4237" i="2"/>
  <c r="E4237" i="2"/>
  <c r="D4237" i="2"/>
  <c r="B4237" i="2"/>
  <c r="A4237" i="2"/>
  <c r="O4236" i="2"/>
  <c r="O4235" i="2"/>
  <c r="O4234" i="2"/>
  <c r="M4234" i="2"/>
  <c r="L4234" i="2"/>
  <c r="E4234" i="2"/>
  <c r="D4234" i="2"/>
  <c r="B4234" i="2"/>
  <c r="A4234" i="2"/>
  <c r="O4233" i="2"/>
  <c r="M4233" i="2"/>
  <c r="L4233" i="2"/>
  <c r="E4233" i="2"/>
  <c r="D4233" i="2"/>
  <c r="B4233" i="2"/>
  <c r="A4233" i="2"/>
  <c r="O4232" i="2"/>
  <c r="M4232" i="2"/>
  <c r="L4232" i="2"/>
  <c r="E4232" i="2"/>
  <c r="D4232" i="2"/>
  <c r="B4232" i="2"/>
  <c r="A4232" i="2"/>
  <c r="O4231" i="2"/>
  <c r="M4231" i="2"/>
  <c r="L4231" i="2"/>
  <c r="E4231" i="2"/>
  <c r="D4231" i="2"/>
  <c r="B4231" i="2"/>
  <c r="A4231" i="2"/>
  <c r="O4230" i="2"/>
  <c r="O4229" i="2"/>
  <c r="O4228" i="2"/>
  <c r="O4227" i="2"/>
  <c r="O4226" i="2"/>
  <c r="O4225" i="2"/>
  <c r="M4225" i="2"/>
  <c r="L4225" i="2"/>
  <c r="E4225" i="2"/>
  <c r="D4225" i="2"/>
  <c r="B4225" i="2"/>
  <c r="A4225" i="2"/>
  <c r="O4224" i="2"/>
  <c r="O4223" i="2"/>
  <c r="M4223" i="2"/>
  <c r="L4223" i="2"/>
  <c r="E4223" i="2"/>
  <c r="D4223" i="2"/>
  <c r="B4223" i="2"/>
  <c r="A4223" i="2"/>
  <c r="O4222" i="2"/>
  <c r="O4221" i="2"/>
  <c r="M4221" i="2"/>
  <c r="L4221" i="2"/>
  <c r="E4221" i="2"/>
  <c r="D4221" i="2"/>
  <c r="B4221" i="2"/>
  <c r="A4221" i="2"/>
  <c r="O4220" i="2"/>
  <c r="O4219" i="2"/>
  <c r="O4218" i="2"/>
  <c r="O4217" i="2"/>
  <c r="M4217" i="2"/>
  <c r="L4217" i="2"/>
  <c r="E4217" i="2"/>
  <c r="D4217" i="2"/>
  <c r="B4217" i="2"/>
  <c r="A4217" i="2"/>
  <c r="O4216" i="2"/>
  <c r="M4216" i="2"/>
  <c r="L4216" i="2"/>
  <c r="E4216" i="2"/>
  <c r="D4216" i="2"/>
  <c r="B4216" i="2"/>
  <c r="A4216" i="2"/>
  <c r="O4215" i="2"/>
  <c r="M4215" i="2"/>
  <c r="L4215" i="2"/>
  <c r="E4215" i="2"/>
  <c r="D4215" i="2"/>
  <c r="B4215" i="2"/>
  <c r="A4215" i="2"/>
  <c r="O4214" i="2"/>
  <c r="M4214" i="2"/>
  <c r="L4214" i="2"/>
  <c r="E4214" i="2"/>
  <c r="D4214" i="2"/>
  <c r="B4214" i="2"/>
  <c r="A4214" i="2"/>
  <c r="O4213" i="2"/>
  <c r="M4213" i="2"/>
  <c r="L4213" i="2"/>
  <c r="E4213" i="2"/>
  <c r="D4213" i="2"/>
  <c r="B4213" i="2"/>
  <c r="A4213" i="2"/>
  <c r="O4212" i="2"/>
  <c r="M4212" i="2"/>
  <c r="L4212" i="2"/>
  <c r="E4212" i="2"/>
  <c r="D4212" i="2"/>
  <c r="B4212" i="2"/>
  <c r="A4212" i="2"/>
  <c r="O4211" i="2"/>
  <c r="O4210" i="2"/>
  <c r="O4209" i="2"/>
  <c r="O4208" i="2"/>
  <c r="M4208" i="2"/>
  <c r="L4208" i="2"/>
  <c r="E4208" i="2"/>
  <c r="D4208" i="2"/>
  <c r="B4208" i="2"/>
  <c r="A4208" i="2"/>
  <c r="O4207" i="2"/>
  <c r="O4206" i="2"/>
  <c r="O4205" i="2"/>
  <c r="M4205" i="2"/>
  <c r="L4205" i="2"/>
  <c r="E4205" i="2"/>
  <c r="D4205" i="2"/>
  <c r="B4205" i="2"/>
  <c r="A4205" i="2"/>
  <c r="O4204" i="2"/>
  <c r="O4203" i="2"/>
  <c r="M4203" i="2"/>
  <c r="L4203" i="2"/>
  <c r="E4203" i="2"/>
  <c r="D4203" i="2"/>
  <c r="B4203" i="2"/>
  <c r="A4203" i="2"/>
  <c r="O4202" i="2"/>
  <c r="M4202" i="2"/>
  <c r="L4202" i="2"/>
  <c r="E4202" i="2"/>
  <c r="D4202" i="2"/>
  <c r="B4202" i="2"/>
  <c r="A4202" i="2"/>
  <c r="O4201" i="2"/>
  <c r="O4200" i="2"/>
  <c r="O4199" i="2"/>
  <c r="M4199" i="2"/>
  <c r="L4199" i="2"/>
  <c r="E4199" i="2"/>
  <c r="D4199" i="2"/>
  <c r="B4199" i="2"/>
  <c r="A4199" i="2"/>
  <c r="O4198" i="2"/>
  <c r="O4197" i="2"/>
  <c r="M4197" i="2"/>
  <c r="L4197" i="2"/>
  <c r="E4197" i="2"/>
  <c r="D4197" i="2"/>
  <c r="B4197" i="2"/>
  <c r="A4197" i="2"/>
  <c r="O4196" i="2"/>
  <c r="M4196" i="2"/>
  <c r="L4196" i="2"/>
  <c r="E4196" i="2"/>
  <c r="D4196" i="2"/>
  <c r="B4196" i="2"/>
  <c r="A4196" i="2"/>
  <c r="O4195" i="2"/>
  <c r="M4195" i="2"/>
  <c r="L4195" i="2"/>
  <c r="E4195" i="2"/>
  <c r="D4195" i="2"/>
  <c r="B4195" i="2"/>
  <c r="A4195" i="2"/>
  <c r="O4194" i="2"/>
  <c r="M4194" i="2"/>
  <c r="L4194" i="2"/>
  <c r="E4194" i="2"/>
  <c r="D4194" i="2"/>
  <c r="B4194" i="2"/>
  <c r="A4194" i="2"/>
  <c r="O4193" i="2"/>
  <c r="M4193" i="2"/>
  <c r="L4193" i="2"/>
  <c r="E4193" i="2"/>
  <c r="D4193" i="2"/>
  <c r="B4193" i="2"/>
  <c r="A4193" i="2"/>
  <c r="O4192" i="2"/>
  <c r="M4192" i="2"/>
  <c r="L4192" i="2"/>
  <c r="E4192" i="2"/>
  <c r="D4192" i="2"/>
  <c r="B4192" i="2"/>
  <c r="A4192" i="2"/>
  <c r="O4191" i="2"/>
  <c r="O4190" i="2"/>
  <c r="M4190" i="2"/>
  <c r="L4190" i="2"/>
  <c r="E4190" i="2"/>
  <c r="D4190" i="2"/>
  <c r="B4190" i="2"/>
  <c r="A4190" i="2"/>
  <c r="O4189" i="2"/>
  <c r="M4189" i="2"/>
  <c r="L4189" i="2"/>
  <c r="E4189" i="2"/>
  <c r="D4189" i="2"/>
  <c r="B4189" i="2"/>
  <c r="A4189" i="2"/>
  <c r="O4188" i="2"/>
  <c r="O4187" i="2"/>
  <c r="O4186" i="2"/>
  <c r="M4186" i="2"/>
  <c r="L4186" i="2"/>
  <c r="E4186" i="2"/>
  <c r="D4186" i="2"/>
  <c r="B4186" i="2"/>
  <c r="A4186" i="2"/>
  <c r="O4185" i="2"/>
  <c r="M4185" i="2"/>
  <c r="L4185" i="2"/>
  <c r="E4185" i="2"/>
  <c r="D4185" i="2"/>
  <c r="B4185" i="2"/>
  <c r="A4185" i="2"/>
  <c r="O4184" i="2"/>
  <c r="O4183" i="2"/>
  <c r="M4183" i="2"/>
  <c r="L4183" i="2"/>
  <c r="E4183" i="2"/>
  <c r="D4183" i="2"/>
  <c r="B4183" i="2"/>
  <c r="A4183" i="2"/>
  <c r="O4182" i="2"/>
  <c r="O4181" i="2"/>
  <c r="O4180" i="2"/>
  <c r="O4179" i="2"/>
  <c r="M4179" i="2"/>
  <c r="L4179" i="2"/>
  <c r="E4179" i="2"/>
  <c r="D4179" i="2"/>
  <c r="B4179" i="2"/>
  <c r="A4179" i="2"/>
  <c r="O4178" i="2"/>
  <c r="O4177" i="2"/>
  <c r="O4176" i="2"/>
  <c r="O4175" i="2"/>
  <c r="M4175" i="2"/>
  <c r="L4175" i="2"/>
  <c r="E4175" i="2"/>
  <c r="D4175" i="2"/>
  <c r="B4175" i="2"/>
  <c r="A4175" i="2"/>
  <c r="O4174" i="2"/>
  <c r="O4173" i="2"/>
  <c r="O4172" i="2"/>
  <c r="O4171" i="2"/>
  <c r="O4170" i="2"/>
  <c r="O4169" i="2"/>
  <c r="O4168" i="2"/>
  <c r="O4167" i="2"/>
  <c r="O4166" i="2"/>
  <c r="O4165" i="2"/>
  <c r="M4165" i="2"/>
  <c r="L4165" i="2"/>
  <c r="E4165" i="2"/>
  <c r="D4165" i="2"/>
  <c r="B4165" i="2"/>
  <c r="A4165" i="2"/>
  <c r="O4164" i="2"/>
  <c r="O4163" i="2"/>
  <c r="O4162" i="2"/>
  <c r="O4161" i="2"/>
  <c r="M4161" i="2"/>
  <c r="L4161" i="2"/>
  <c r="E4161" i="2"/>
  <c r="D4161" i="2"/>
  <c r="B4161" i="2"/>
  <c r="A4161" i="2"/>
  <c r="O4160" i="2"/>
  <c r="M4160" i="2"/>
  <c r="L4160" i="2"/>
  <c r="E4160" i="2"/>
  <c r="D4160" i="2"/>
  <c r="B4160" i="2"/>
  <c r="A4160" i="2"/>
  <c r="O4159" i="2"/>
  <c r="M4159" i="2"/>
  <c r="L4159" i="2"/>
  <c r="E4159" i="2"/>
  <c r="D4159" i="2"/>
  <c r="B4159" i="2"/>
  <c r="A4159" i="2"/>
  <c r="O4158" i="2"/>
  <c r="M4158" i="2"/>
  <c r="L4158" i="2"/>
  <c r="E4158" i="2"/>
  <c r="D4158" i="2"/>
  <c r="B4158" i="2"/>
  <c r="A4158" i="2"/>
  <c r="O4157" i="2"/>
  <c r="O4156" i="2"/>
  <c r="M4156" i="2"/>
  <c r="L4156" i="2"/>
  <c r="E4156" i="2"/>
  <c r="D4156" i="2"/>
  <c r="B4156" i="2"/>
  <c r="A4156" i="2"/>
  <c r="O4155" i="2"/>
  <c r="O4154" i="2"/>
  <c r="M4154" i="2"/>
  <c r="L4154" i="2"/>
  <c r="E4154" i="2"/>
  <c r="D4154" i="2"/>
  <c r="B4154" i="2"/>
  <c r="A4154" i="2"/>
  <c r="O4153" i="2"/>
  <c r="O4152" i="2"/>
  <c r="M4152" i="2"/>
  <c r="L4152" i="2"/>
  <c r="E4152" i="2"/>
  <c r="D4152" i="2"/>
  <c r="B4152" i="2"/>
  <c r="A4152" i="2"/>
  <c r="O4151" i="2"/>
  <c r="M4151" i="2"/>
  <c r="L4151" i="2"/>
  <c r="E4151" i="2"/>
  <c r="D4151" i="2"/>
  <c r="B4151" i="2"/>
  <c r="A4151" i="2"/>
  <c r="O4150" i="2"/>
  <c r="O4149" i="2"/>
  <c r="M4149" i="2"/>
  <c r="L4149" i="2"/>
  <c r="E4149" i="2"/>
  <c r="D4149" i="2"/>
  <c r="B4149" i="2"/>
  <c r="A4149" i="2"/>
  <c r="O4148" i="2"/>
  <c r="M4148" i="2"/>
  <c r="L4148" i="2"/>
  <c r="E4148" i="2"/>
  <c r="D4148" i="2"/>
  <c r="B4148" i="2"/>
  <c r="A4148" i="2"/>
  <c r="O4147" i="2"/>
  <c r="M4147" i="2"/>
  <c r="L4147" i="2"/>
  <c r="E4147" i="2"/>
  <c r="D4147" i="2"/>
  <c r="B4147" i="2"/>
  <c r="A4147" i="2"/>
  <c r="O4146" i="2"/>
  <c r="M4146" i="2"/>
  <c r="L4146" i="2"/>
  <c r="E4146" i="2"/>
  <c r="D4146" i="2"/>
  <c r="B4146" i="2"/>
  <c r="A4146" i="2"/>
  <c r="O4145" i="2"/>
  <c r="M4145" i="2"/>
  <c r="L4145" i="2"/>
  <c r="E4145" i="2"/>
  <c r="D4145" i="2"/>
  <c r="B4145" i="2"/>
  <c r="A4145" i="2"/>
  <c r="O4144" i="2"/>
  <c r="M4144" i="2"/>
  <c r="L4144" i="2"/>
  <c r="E4144" i="2"/>
  <c r="D4144" i="2"/>
  <c r="B4144" i="2"/>
  <c r="A4144" i="2"/>
  <c r="O4143" i="2"/>
  <c r="M4143" i="2"/>
  <c r="L4143" i="2"/>
  <c r="E4143" i="2"/>
  <c r="D4143" i="2"/>
  <c r="B4143" i="2"/>
  <c r="A4143" i="2"/>
  <c r="O4142" i="2"/>
  <c r="M4142" i="2"/>
  <c r="L4142" i="2"/>
  <c r="E4142" i="2"/>
  <c r="D4142" i="2"/>
  <c r="B4142" i="2"/>
  <c r="A4142" i="2"/>
  <c r="O4141" i="2"/>
  <c r="O4140" i="2"/>
  <c r="M4140" i="2"/>
  <c r="L4140" i="2"/>
  <c r="E4140" i="2"/>
  <c r="D4140" i="2"/>
  <c r="B4140" i="2"/>
  <c r="A4140" i="2"/>
  <c r="O4139" i="2"/>
  <c r="M4139" i="2"/>
  <c r="L4139" i="2"/>
  <c r="E4139" i="2"/>
  <c r="D4139" i="2"/>
  <c r="B4139" i="2"/>
  <c r="A4139" i="2"/>
  <c r="O4138" i="2"/>
  <c r="M4138" i="2"/>
  <c r="L4138" i="2"/>
  <c r="E4138" i="2"/>
  <c r="D4138" i="2"/>
  <c r="B4138" i="2"/>
  <c r="A4138" i="2"/>
  <c r="O4137" i="2"/>
  <c r="O4136" i="2"/>
  <c r="M4136" i="2"/>
  <c r="L4136" i="2"/>
  <c r="E4136" i="2"/>
  <c r="D4136" i="2"/>
  <c r="B4136" i="2"/>
  <c r="A4136" i="2"/>
  <c r="O4135" i="2"/>
  <c r="O4134" i="2"/>
  <c r="O4133" i="2"/>
  <c r="O4132" i="2"/>
  <c r="O4131" i="2"/>
  <c r="O4130" i="2"/>
  <c r="O4129" i="2"/>
  <c r="O4128" i="2"/>
  <c r="O4127" i="2"/>
  <c r="M4127" i="2"/>
  <c r="L4127" i="2"/>
  <c r="E4127" i="2"/>
  <c r="D4127" i="2"/>
  <c r="B4127" i="2"/>
  <c r="A4127" i="2"/>
  <c r="O4126" i="2"/>
  <c r="M4126" i="2"/>
  <c r="L4126" i="2"/>
  <c r="E4126" i="2"/>
  <c r="D4126" i="2"/>
  <c r="B4126" i="2"/>
  <c r="A4126" i="2"/>
  <c r="O4125" i="2"/>
  <c r="O4124" i="2"/>
  <c r="M4124" i="2"/>
  <c r="L4124" i="2"/>
  <c r="E4124" i="2"/>
  <c r="D4124" i="2"/>
  <c r="B4124" i="2"/>
  <c r="A4124" i="2"/>
  <c r="O4123" i="2"/>
  <c r="M4123" i="2"/>
  <c r="L4123" i="2"/>
  <c r="E4123" i="2"/>
  <c r="D4123" i="2"/>
  <c r="B4123" i="2"/>
  <c r="A4123" i="2"/>
  <c r="O4122" i="2"/>
  <c r="M4122" i="2"/>
  <c r="L4122" i="2"/>
  <c r="E4122" i="2"/>
  <c r="D4122" i="2"/>
  <c r="B4122" i="2"/>
  <c r="A4122" i="2"/>
  <c r="O4121" i="2"/>
  <c r="O4120" i="2"/>
  <c r="M4120" i="2"/>
  <c r="L4120" i="2"/>
  <c r="E4120" i="2"/>
  <c r="D4120" i="2"/>
  <c r="B4120" i="2"/>
  <c r="A4120" i="2"/>
  <c r="O4119" i="2"/>
  <c r="M4119" i="2"/>
  <c r="L4119" i="2"/>
  <c r="E4119" i="2"/>
  <c r="D4119" i="2"/>
  <c r="B4119" i="2"/>
  <c r="A4119" i="2"/>
  <c r="O4118" i="2"/>
  <c r="M4118" i="2"/>
  <c r="L4118" i="2"/>
  <c r="E4118" i="2"/>
  <c r="D4118" i="2"/>
  <c r="B4118" i="2"/>
  <c r="A4118" i="2"/>
  <c r="O4117" i="2"/>
  <c r="M4117" i="2"/>
  <c r="L4117" i="2"/>
  <c r="E4117" i="2"/>
  <c r="D4117" i="2"/>
  <c r="B4117" i="2"/>
  <c r="A4117" i="2"/>
  <c r="O4116" i="2"/>
  <c r="M4116" i="2"/>
  <c r="L4116" i="2"/>
  <c r="E4116" i="2"/>
  <c r="D4116" i="2"/>
  <c r="B4116" i="2"/>
  <c r="A4116" i="2"/>
  <c r="O4115" i="2"/>
  <c r="M4115" i="2"/>
  <c r="L4115" i="2"/>
  <c r="E4115" i="2"/>
  <c r="D4115" i="2"/>
  <c r="B4115" i="2"/>
  <c r="A4115" i="2"/>
  <c r="O4114" i="2"/>
  <c r="M4114" i="2"/>
  <c r="L4114" i="2"/>
  <c r="E4114" i="2"/>
  <c r="D4114" i="2"/>
  <c r="B4114" i="2"/>
  <c r="A4114" i="2"/>
  <c r="O4113" i="2"/>
  <c r="M4113" i="2"/>
  <c r="L4113" i="2"/>
  <c r="E4113" i="2"/>
  <c r="D4113" i="2"/>
  <c r="B4113" i="2"/>
  <c r="A4113" i="2"/>
  <c r="O4112" i="2"/>
  <c r="O4111" i="2"/>
  <c r="O4110" i="2"/>
  <c r="O4109" i="2"/>
  <c r="O4108" i="2"/>
  <c r="M4108" i="2"/>
  <c r="L4108" i="2"/>
  <c r="E4108" i="2"/>
  <c r="D4108" i="2"/>
  <c r="B4108" i="2"/>
  <c r="A4108" i="2"/>
  <c r="O4107" i="2"/>
  <c r="M4107" i="2"/>
  <c r="L4107" i="2"/>
  <c r="E4107" i="2"/>
  <c r="D4107" i="2"/>
  <c r="B4107" i="2"/>
  <c r="A4107" i="2"/>
  <c r="O4106" i="2"/>
  <c r="M4106" i="2"/>
  <c r="L4106" i="2"/>
  <c r="E4106" i="2"/>
  <c r="D4106" i="2"/>
  <c r="B4106" i="2"/>
  <c r="A4106" i="2"/>
  <c r="O4105" i="2"/>
  <c r="M4105" i="2"/>
  <c r="L4105" i="2"/>
  <c r="E4105" i="2"/>
  <c r="D4105" i="2"/>
  <c r="B4105" i="2"/>
  <c r="A4105" i="2"/>
  <c r="O4104" i="2"/>
  <c r="O4103" i="2"/>
  <c r="M4103" i="2"/>
  <c r="L4103" i="2"/>
  <c r="E4103" i="2"/>
  <c r="D4103" i="2"/>
  <c r="B4103" i="2"/>
  <c r="A4103" i="2"/>
  <c r="O4102" i="2"/>
  <c r="M4102" i="2"/>
  <c r="L4102" i="2"/>
  <c r="E4102" i="2"/>
  <c r="D4102" i="2"/>
  <c r="B4102" i="2"/>
  <c r="A4102" i="2"/>
  <c r="O4101" i="2"/>
  <c r="O4100" i="2"/>
  <c r="O4099" i="2"/>
  <c r="O4098" i="2"/>
  <c r="M4098" i="2"/>
  <c r="L4098" i="2"/>
  <c r="E4098" i="2"/>
  <c r="D4098" i="2"/>
  <c r="B4098" i="2"/>
  <c r="A4098" i="2"/>
  <c r="O4097" i="2"/>
  <c r="M4097" i="2"/>
  <c r="L4097" i="2"/>
  <c r="E4097" i="2"/>
  <c r="D4097" i="2"/>
  <c r="B4097" i="2"/>
  <c r="A4097" i="2"/>
  <c r="O4096" i="2"/>
  <c r="O4095" i="2"/>
  <c r="M4095" i="2"/>
  <c r="L4095" i="2"/>
  <c r="E4095" i="2"/>
  <c r="D4095" i="2"/>
  <c r="B4095" i="2"/>
  <c r="A4095" i="2"/>
  <c r="O4094" i="2"/>
  <c r="O4093" i="2"/>
  <c r="O4092" i="2"/>
  <c r="O4091" i="2"/>
  <c r="O4090" i="2"/>
  <c r="O4089" i="2"/>
  <c r="M4089" i="2"/>
  <c r="L4089" i="2"/>
  <c r="E4089" i="2"/>
  <c r="D4089" i="2"/>
  <c r="B4089" i="2"/>
  <c r="A4089" i="2"/>
  <c r="O4088" i="2"/>
  <c r="M4088" i="2"/>
  <c r="L4088" i="2"/>
  <c r="E4088" i="2"/>
  <c r="D4088" i="2"/>
  <c r="B4088" i="2"/>
  <c r="A4088" i="2"/>
  <c r="O4087" i="2"/>
  <c r="O4086" i="2"/>
  <c r="M4086" i="2"/>
  <c r="L4086" i="2"/>
  <c r="E4086" i="2"/>
  <c r="D4086" i="2"/>
  <c r="B4086" i="2"/>
  <c r="A4086" i="2"/>
  <c r="O4085" i="2"/>
  <c r="M4085" i="2"/>
  <c r="L4085" i="2"/>
  <c r="E4085" i="2"/>
  <c r="D4085" i="2"/>
  <c r="B4085" i="2"/>
  <c r="A4085" i="2"/>
  <c r="O4084" i="2"/>
  <c r="M4084" i="2"/>
  <c r="L4084" i="2"/>
  <c r="E4084" i="2"/>
  <c r="D4084" i="2"/>
  <c r="B4084" i="2"/>
  <c r="A4084" i="2"/>
  <c r="O4083" i="2"/>
  <c r="O4082" i="2"/>
  <c r="M4082" i="2"/>
  <c r="L4082" i="2"/>
  <c r="E4082" i="2"/>
  <c r="D4082" i="2"/>
  <c r="B4082" i="2"/>
  <c r="A4082" i="2"/>
  <c r="O4081" i="2"/>
  <c r="O4080" i="2"/>
  <c r="M4080" i="2"/>
  <c r="L4080" i="2"/>
  <c r="E4080" i="2"/>
  <c r="D4080" i="2"/>
  <c r="B4080" i="2"/>
  <c r="A4080" i="2"/>
  <c r="O4079" i="2"/>
  <c r="M4079" i="2"/>
  <c r="L4079" i="2"/>
  <c r="E4079" i="2"/>
  <c r="D4079" i="2"/>
  <c r="B4079" i="2"/>
  <c r="A4079" i="2"/>
  <c r="O4078" i="2"/>
  <c r="O4077" i="2"/>
  <c r="M4077" i="2"/>
  <c r="L4077" i="2"/>
  <c r="E4077" i="2"/>
  <c r="D4077" i="2"/>
  <c r="B4077" i="2"/>
  <c r="A4077" i="2"/>
  <c r="O4076" i="2"/>
  <c r="O4075" i="2"/>
  <c r="M4075" i="2"/>
  <c r="L4075" i="2"/>
  <c r="E4075" i="2"/>
  <c r="D4075" i="2"/>
  <c r="B4075" i="2"/>
  <c r="A4075" i="2"/>
  <c r="O4074" i="2"/>
  <c r="O4073" i="2"/>
  <c r="O4072" i="2"/>
  <c r="O4071" i="2"/>
  <c r="O4070" i="2"/>
  <c r="M4070" i="2"/>
  <c r="L4070" i="2"/>
  <c r="E4070" i="2"/>
  <c r="D4070" i="2"/>
  <c r="B4070" i="2"/>
  <c r="A4070" i="2"/>
  <c r="O4069" i="2"/>
  <c r="M4069" i="2"/>
  <c r="L4069" i="2"/>
  <c r="E4069" i="2"/>
  <c r="D4069" i="2"/>
  <c r="B4069" i="2"/>
  <c r="A4069" i="2"/>
  <c r="O4068" i="2"/>
  <c r="O4067" i="2"/>
  <c r="O4066" i="2"/>
  <c r="O4065" i="2"/>
  <c r="O4064" i="2"/>
  <c r="M4064" i="2"/>
  <c r="L4064" i="2"/>
  <c r="E4064" i="2"/>
  <c r="D4064" i="2"/>
  <c r="B4064" i="2"/>
  <c r="A4064" i="2"/>
  <c r="O4063" i="2"/>
  <c r="O4062" i="2"/>
  <c r="M4062" i="2"/>
  <c r="L4062" i="2"/>
  <c r="E4062" i="2"/>
  <c r="D4062" i="2"/>
  <c r="B4062" i="2"/>
  <c r="A4062" i="2"/>
  <c r="O4061" i="2"/>
  <c r="O4060" i="2"/>
  <c r="O4059" i="2"/>
  <c r="O4058" i="2"/>
  <c r="O4057" i="2"/>
  <c r="M4057" i="2"/>
  <c r="L4057" i="2"/>
  <c r="E4057" i="2"/>
  <c r="D4057" i="2"/>
  <c r="B4057" i="2"/>
  <c r="A4057" i="2"/>
  <c r="O4056" i="2"/>
  <c r="O4055" i="2"/>
  <c r="O4054" i="2"/>
  <c r="M4054" i="2"/>
  <c r="L4054" i="2"/>
  <c r="E4054" i="2"/>
  <c r="D4054" i="2"/>
  <c r="B4054" i="2"/>
  <c r="A4054" i="2"/>
  <c r="O4053" i="2"/>
  <c r="O4052" i="2"/>
  <c r="O4051" i="2"/>
  <c r="M4051" i="2"/>
  <c r="L4051" i="2"/>
  <c r="E4051" i="2"/>
  <c r="D4051" i="2"/>
  <c r="B4051" i="2"/>
  <c r="A4051" i="2"/>
  <c r="O4050" i="2"/>
  <c r="M4050" i="2"/>
  <c r="L4050" i="2"/>
  <c r="E4050" i="2"/>
  <c r="D4050" i="2"/>
  <c r="B4050" i="2"/>
  <c r="A4050" i="2"/>
  <c r="O4049" i="2"/>
  <c r="M4049" i="2"/>
  <c r="L4049" i="2"/>
  <c r="E4049" i="2"/>
  <c r="D4049" i="2"/>
  <c r="B4049" i="2"/>
  <c r="A4049" i="2"/>
  <c r="O4048" i="2"/>
  <c r="M4048" i="2"/>
  <c r="L4048" i="2"/>
  <c r="E4048" i="2"/>
  <c r="D4048" i="2"/>
  <c r="B4048" i="2"/>
  <c r="A4048" i="2"/>
  <c r="O4047" i="2"/>
  <c r="M4047" i="2"/>
  <c r="L4047" i="2"/>
  <c r="E4047" i="2"/>
  <c r="D4047" i="2"/>
  <c r="B4047" i="2"/>
  <c r="A4047" i="2"/>
  <c r="O4046" i="2"/>
  <c r="M4046" i="2"/>
  <c r="L4046" i="2"/>
  <c r="E4046" i="2"/>
  <c r="D4046" i="2"/>
  <c r="B4046" i="2"/>
  <c r="A4046" i="2"/>
  <c r="O4045" i="2"/>
  <c r="M4045" i="2"/>
  <c r="L4045" i="2"/>
  <c r="E4045" i="2"/>
  <c r="D4045" i="2"/>
  <c r="B4045" i="2"/>
  <c r="A4045" i="2"/>
  <c r="O4044" i="2"/>
  <c r="O4043" i="2"/>
  <c r="M4043" i="2"/>
  <c r="L4043" i="2"/>
  <c r="E4043" i="2"/>
  <c r="D4043" i="2"/>
  <c r="B4043" i="2"/>
  <c r="A4043" i="2"/>
  <c r="O4042" i="2"/>
  <c r="M4042" i="2"/>
  <c r="L4042" i="2"/>
  <c r="E4042" i="2"/>
  <c r="D4042" i="2"/>
  <c r="B4042" i="2"/>
  <c r="A4042" i="2"/>
  <c r="O4041" i="2"/>
  <c r="O4040" i="2"/>
  <c r="M4040" i="2"/>
  <c r="L4040" i="2"/>
  <c r="E4040" i="2"/>
  <c r="D4040" i="2"/>
  <c r="B4040" i="2"/>
  <c r="A4040" i="2"/>
  <c r="O4039" i="2"/>
  <c r="O4038" i="2"/>
  <c r="M4038" i="2"/>
  <c r="L4038" i="2"/>
  <c r="E4038" i="2"/>
  <c r="D4038" i="2"/>
  <c r="B4038" i="2"/>
  <c r="A4038" i="2"/>
  <c r="O4037" i="2"/>
  <c r="M4037" i="2"/>
  <c r="L4037" i="2"/>
  <c r="E4037" i="2"/>
  <c r="D4037" i="2"/>
  <c r="B4037" i="2"/>
  <c r="A4037" i="2"/>
  <c r="O4036" i="2"/>
  <c r="M4036" i="2"/>
  <c r="L4036" i="2"/>
  <c r="E4036" i="2"/>
  <c r="D4036" i="2"/>
  <c r="B4036" i="2"/>
  <c r="A4036" i="2"/>
  <c r="O4035" i="2"/>
  <c r="M4035" i="2"/>
  <c r="L4035" i="2"/>
  <c r="E4035" i="2"/>
  <c r="D4035" i="2"/>
  <c r="B4035" i="2"/>
  <c r="A4035" i="2"/>
  <c r="O4034" i="2"/>
  <c r="M4034" i="2"/>
  <c r="L4034" i="2"/>
  <c r="E4034" i="2"/>
  <c r="D4034" i="2"/>
  <c r="B4034" i="2"/>
  <c r="A4034" i="2"/>
  <c r="O4033" i="2"/>
  <c r="M4033" i="2"/>
  <c r="L4033" i="2"/>
  <c r="E4033" i="2"/>
  <c r="D4033" i="2"/>
  <c r="B4033" i="2"/>
  <c r="A4033" i="2"/>
  <c r="O4032" i="2"/>
  <c r="M4032" i="2"/>
  <c r="L4032" i="2"/>
  <c r="E4032" i="2"/>
  <c r="D4032" i="2"/>
  <c r="B4032" i="2"/>
  <c r="A4032" i="2"/>
  <c r="O4031" i="2"/>
  <c r="O4030" i="2"/>
  <c r="M4030" i="2"/>
  <c r="L4030" i="2"/>
  <c r="E4030" i="2"/>
  <c r="D4030" i="2"/>
  <c r="B4030" i="2"/>
  <c r="A4030" i="2"/>
  <c r="O4029" i="2"/>
  <c r="O4028" i="2"/>
  <c r="O4027" i="2"/>
  <c r="M4027" i="2"/>
  <c r="L4027" i="2"/>
  <c r="E4027" i="2"/>
  <c r="D4027" i="2"/>
  <c r="B4027" i="2"/>
  <c r="A4027" i="2"/>
  <c r="O4026" i="2"/>
  <c r="M4026" i="2"/>
  <c r="L4026" i="2"/>
  <c r="E4026" i="2"/>
  <c r="D4026" i="2"/>
  <c r="B4026" i="2"/>
  <c r="A4026" i="2"/>
  <c r="O4025" i="2"/>
  <c r="O4024" i="2"/>
  <c r="M4024" i="2"/>
  <c r="L4024" i="2"/>
  <c r="E4024" i="2"/>
  <c r="D4024" i="2"/>
  <c r="B4024" i="2"/>
  <c r="A4024" i="2"/>
  <c r="O4023" i="2"/>
  <c r="M4023" i="2"/>
  <c r="L4023" i="2"/>
  <c r="E4023" i="2"/>
  <c r="D4023" i="2"/>
  <c r="B4023" i="2"/>
  <c r="A4023" i="2"/>
  <c r="O4022" i="2"/>
  <c r="M4022" i="2"/>
  <c r="L4022" i="2"/>
  <c r="E4022" i="2"/>
  <c r="D4022" i="2"/>
  <c r="B4022" i="2"/>
  <c r="A4022" i="2"/>
  <c r="O4021" i="2"/>
  <c r="M4021" i="2"/>
  <c r="L4021" i="2"/>
  <c r="E4021" i="2"/>
  <c r="D4021" i="2"/>
  <c r="B4021" i="2"/>
  <c r="A4021" i="2"/>
  <c r="O4020" i="2"/>
  <c r="M4020" i="2"/>
  <c r="L4020" i="2"/>
  <c r="E4020" i="2"/>
  <c r="D4020" i="2"/>
  <c r="B4020" i="2"/>
  <c r="A4020" i="2"/>
  <c r="O4019" i="2"/>
  <c r="M4019" i="2"/>
  <c r="L4019" i="2"/>
  <c r="E4019" i="2"/>
  <c r="D4019" i="2"/>
  <c r="B4019" i="2"/>
  <c r="A4019" i="2"/>
  <c r="O4018" i="2"/>
  <c r="O4017" i="2"/>
  <c r="O4016" i="2"/>
  <c r="M4016" i="2"/>
  <c r="L4016" i="2"/>
  <c r="E4016" i="2"/>
  <c r="D4016" i="2"/>
  <c r="B4016" i="2"/>
  <c r="A4016" i="2"/>
  <c r="O4015" i="2"/>
  <c r="O4014" i="2"/>
  <c r="O4013" i="2"/>
  <c r="O4012" i="2"/>
  <c r="O4011" i="2"/>
  <c r="M4011" i="2"/>
  <c r="L4011" i="2"/>
  <c r="E4011" i="2"/>
  <c r="D4011" i="2"/>
  <c r="B4011" i="2"/>
  <c r="A4011" i="2"/>
  <c r="O4010" i="2"/>
  <c r="M4010" i="2"/>
  <c r="L4010" i="2"/>
  <c r="E4010" i="2"/>
  <c r="D4010" i="2"/>
  <c r="B4010" i="2"/>
  <c r="A4010" i="2"/>
  <c r="O4009" i="2"/>
  <c r="M4009" i="2"/>
  <c r="L4009" i="2"/>
  <c r="E4009" i="2"/>
  <c r="D4009" i="2"/>
  <c r="B4009" i="2"/>
  <c r="A4009" i="2"/>
  <c r="O4008" i="2"/>
  <c r="M4008" i="2"/>
  <c r="L4008" i="2"/>
  <c r="E4008" i="2"/>
  <c r="D4008" i="2"/>
  <c r="B4008" i="2"/>
  <c r="A4008" i="2"/>
  <c r="O4007" i="2"/>
  <c r="O4006" i="2"/>
  <c r="O4005" i="2"/>
  <c r="O4004" i="2"/>
  <c r="O4003" i="2"/>
  <c r="M4003" i="2"/>
  <c r="L4003" i="2"/>
  <c r="E4003" i="2"/>
  <c r="D4003" i="2"/>
  <c r="B4003" i="2"/>
  <c r="A4003" i="2"/>
  <c r="O4002" i="2"/>
  <c r="O4001" i="2"/>
  <c r="M4001" i="2"/>
  <c r="L4001" i="2"/>
  <c r="E4001" i="2"/>
  <c r="D4001" i="2"/>
  <c r="B4001" i="2"/>
  <c r="A4001" i="2"/>
  <c r="O4000" i="2"/>
  <c r="M4000" i="2"/>
  <c r="L4000" i="2"/>
  <c r="E4000" i="2"/>
  <c r="D4000" i="2"/>
  <c r="B4000" i="2"/>
  <c r="A4000" i="2"/>
  <c r="O3999" i="2"/>
  <c r="O3998" i="2"/>
  <c r="M3998" i="2"/>
  <c r="L3998" i="2"/>
  <c r="E3998" i="2"/>
  <c r="D3998" i="2"/>
  <c r="B3998" i="2"/>
  <c r="A3998" i="2"/>
  <c r="O3997" i="2"/>
  <c r="O3996" i="2"/>
  <c r="M3996" i="2"/>
  <c r="L3996" i="2"/>
  <c r="E3996" i="2"/>
  <c r="D3996" i="2"/>
  <c r="B3996" i="2"/>
  <c r="A3996" i="2"/>
  <c r="O3995" i="2"/>
  <c r="O3994" i="2"/>
  <c r="O3993" i="2"/>
  <c r="M3993" i="2"/>
  <c r="L3993" i="2"/>
  <c r="E3993" i="2"/>
  <c r="D3993" i="2"/>
  <c r="B3993" i="2"/>
  <c r="A3993" i="2"/>
  <c r="O3992" i="2"/>
  <c r="O3991" i="2"/>
  <c r="O3990" i="2"/>
  <c r="O3989" i="2"/>
  <c r="O3988" i="2"/>
  <c r="O3987" i="2"/>
  <c r="O3986" i="2"/>
  <c r="O3985" i="2"/>
  <c r="M3985" i="2"/>
  <c r="L3985" i="2"/>
  <c r="E3985" i="2"/>
  <c r="D3985" i="2"/>
  <c r="B3985" i="2"/>
  <c r="A3985" i="2"/>
  <c r="O3984" i="2"/>
  <c r="M3984" i="2"/>
  <c r="L3984" i="2"/>
  <c r="E3984" i="2"/>
  <c r="D3984" i="2"/>
  <c r="B3984" i="2"/>
  <c r="A3984" i="2"/>
  <c r="O3983" i="2"/>
  <c r="O3982" i="2"/>
  <c r="M3982" i="2"/>
  <c r="L3982" i="2"/>
  <c r="E3982" i="2"/>
  <c r="D3982" i="2"/>
  <c r="B3982" i="2"/>
  <c r="A3982" i="2"/>
  <c r="O3981" i="2"/>
  <c r="M3981" i="2"/>
  <c r="L3981" i="2"/>
  <c r="E3981" i="2"/>
  <c r="D3981" i="2"/>
  <c r="B3981" i="2"/>
  <c r="A3981" i="2"/>
  <c r="O3980" i="2"/>
  <c r="O3979" i="2"/>
  <c r="M3979" i="2"/>
  <c r="L3979" i="2"/>
  <c r="E3979" i="2"/>
  <c r="D3979" i="2"/>
  <c r="B3979" i="2"/>
  <c r="A3979" i="2"/>
  <c r="O3978" i="2"/>
  <c r="O3977" i="2"/>
  <c r="O3976" i="2"/>
  <c r="O3975" i="2"/>
  <c r="M3975" i="2"/>
  <c r="L3975" i="2"/>
  <c r="E3975" i="2"/>
  <c r="D3975" i="2"/>
  <c r="B3975" i="2"/>
  <c r="A3975" i="2"/>
  <c r="O3974" i="2"/>
  <c r="O3973" i="2"/>
  <c r="M3973" i="2"/>
  <c r="L3973" i="2"/>
  <c r="E3973" i="2"/>
  <c r="D3973" i="2"/>
  <c r="B3973" i="2"/>
  <c r="A3973" i="2"/>
  <c r="O3972" i="2"/>
  <c r="M3972" i="2"/>
  <c r="L3972" i="2"/>
  <c r="E3972" i="2"/>
  <c r="D3972" i="2"/>
  <c r="B3972" i="2"/>
  <c r="A3972" i="2"/>
  <c r="O3971" i="2"/>
  <c r="O3970" i="2"/>
  <c r="M3970" i="2"/>
  <c r="L3970" i="2"/>
  <c r="E3970" i="2"/>
  <c r="D3970" i="2"/>
  <c r="B3970" i="2"/>
  <c r="A3970" i="2"/>
  <c r="O3969" i="2"/>
  <c r="M3969" i="2"/>
  <c r="L3969" i="2"/>
  <c r="E3969" i="2"/>
  <c r="D3969" i="2"/>
  <c r="B3969" i="2"/>
  <c r="A3969" i="2"/>
  <c r="O3968" i="2"/>
  <c r="O3967" i="2"/>
  <c r="O3966" i="2"/>
  <c r="M3966" i="2"/>
  <c r="L3966" i="2"/>
  <c r="E3966" i="2"/>
  <c r="D3966" i="2"/>
  <c r="B3966" i="2"/>
  <c r="A3966" i="2"/>
  <c r="O3965" i="2"/>
  <c r="M3965" i="2"/>
  <c r="L3965" i="2"/>
  <c r="E3965" i="2"/>
  <c r="D3965" i="2"/>
  <c r="B3965" i="2"/>
  <c r="A3965" i="2"/>
  <c r="O3964" i="2"/>
  <c r="M3964" i="2"/>
  <c r="L3964" i="2"/>
  <c r="E3964" i="2"/>
  <c r="D3964" i="2"/>
  <c r="B3964" i="2"/>
  <c r="A3964" i="2"/>
  <c r="O3963" i="2"/>
  <c r="O3962" i="2"/>
  <c r="M3962" i="2"/>
  <c r="L3962" i="2"/>
  <c r="E3962" i="2"/>
  <c r="D3962" i="2"/>
  <c r="B3962" i="2"/>
  <c r="A3962" i="2"/>
  <c r="O3961" i="2"/>
  <c r="M3961" i="2"/>
  <c r="L3961" i="2"/>
  <c r="E3961" i="2"/>
  <c r="D3961" i="2"/>
  <c r="B3961" i="2"/>
  <c r="A3961" i="2"/>
  <c r="O3960" i="2"/>
  <c r="M3960" i="2"/>
  <c r="L3960" i="2"/>
  <c r="E3960" i="2"/>
  <c r="D3960" i="2"/>
  <c r="B3960" i="2"/>
  <c r="A3960" i="2"/>
  <c r="O3959" i="2"/>
  <c r="M3959" i="2"/>
  <c r="L3959" i="2"/>
  <c r="E3959" i="2"/>
  <c r="D3959" i="2"/>
  <c r="B3959" i="2"/>
  <c r="A3959" i="2"/>
  <c r="O3958" i="2"/>
  <c r="O3957" i="2"/>
  <c r="M3957" i="2"/>
  <c r="L3957" i="2"/>
  <c r="E3957" i="2"/>
  <c r="D3957" i="2"/>
  <c r="B3957" i="2"/>
  <c r="A3957" i="2"/>
  <c r="O3956" i="2"/>
  <c r="O3955" i="2"/>
  <c r="O3954" i="2"/>
  <c r="M3954" i="2"/>
  <c r="L3954" i="2"/>
  <c r="E3954" i="2"/>
  <c r="D3954" i="2"/>
  <c r="B3954" i="2"/>
  <c r="A3954" i="2"/>
  <c r="O3953" i="2"/>
  <c r="M3953" i="2"/>
  <c r="L3953" i="2"/>
  <c r="E3953" i="2"/>
  <c r="D3953" i="2"/>
  <c r="B3953" i="2"/>
  <c r="A3953" i="2"/>
  <c r="O3952" i="2"/>
  <c r="O3951" i="2"/>
  <c r="O3950" i="2"/>
  <c r="M3950" i="2"/>
  <c r="L3950" i="2"/>
  <c r="E3950" i="2"/>
  <c r="D3950" i="2"/>
  <c r="B3950" i="2"/>
  <c r="A3950" i="2"/>
  <c r="O3949" i="2"/>
  <c r="M3949" i="2"/>
  <c r="L3949" i="2"/>
  <c r="E3949" i="2"/>
  <c r="D3949" i="2"/>
  <c r="B3949" i="2"/>
  <c r="A3949" i="2"/>
  <c r="O3948" i="2"/>
  <c r="M3948" i="2"/>
  <c r="L3948" i="2"/>
  <c r="E3948" i="2"/>
  <c r="D3948" i="2"/>
  <c r="B3948" i="2"/>
  <c r="A3948" i="2"/>
  <c r="O3947" i="2"/>
  <c r="O3946" i="2"/>
  <c r="O3945" i="2"/>
  <c r="M3945" i="2"/>
  <c r="L3945" i="2"/>
  <c r="E3945" i="2"/>
  <c r="D3945" i="2"/>
  <c r="B3945" i="2"/>
  <c r="A3945" i="2"/>
  <c r="O3944" i="2"/>
  <c r="O3943" i="2"/>
  <c r="M3943" i="2"/>
  <c r="L3943" i="2"/>
  <c r="E3943" i="2"/>
  <c r="D3943" i="2"/>
  <c r="B3943" i="2"/>
  <c r="A3943" i="2"/>
  <c r="O3942" i="2"/>
  <c r="M3942" i="2"/>
  <c r="L3942" i="2"/>
  <c r="E3942" i="2"/>
  <c r="D3942" i="2"/>
  <c r="B3942" i="2"/>
  <c r="A3942" i="2"/>
  <c r="O3941" i="2"/>
  <c r="M3941" i="2"/>
  <c r="L3941" i="2"/>
  <c r="E3941" i="2"/>
  <c r="D3941" i="2"/>
  <c r="B3941" i="2"/>
  <c r="A3941" i="2"/>
  <c r="O3940" i="2"/>
  <c r="O3939" i="2"/>
  <c r="O3938" i="2"/>
  <c r="M3938" i="2"/>
  <c r="L3938" i="2"/>
  <c r="E3938" i="2"/>
  <c r="D3938" i="2"/>
  <c r="B3938" i="2"/>
  <c r="A3938" i="2"/>
  <c r="O3937" i="2"/>
  <c r="O3936" i="2"/>
  <c r="O3935" i="2"/>
  <c r="M3935" i="2"/>
  <c r="L3935" i="2"/>
  <c r="E3935" i="2"/>
  <c r="D3935" i="2"/>
  <c r="B3935" i="2"/>
  <c r="A3935" i="2"/>
  <c r="O3934" i="2"/>
  <c r="O3933" i="2"/>
  <c r="M3933" i="2"/>
  <c r="L3933" i="2"/>
  <c r="E3933" i="2"/>
  <c r="D3933" i="2"/>
  <c r="B3933" i="2"/>
  <c r="A3933" i="2"/>
  <c r="O3932" i="2"/>
  <c r="O3931" i="2"/>
  <c r="O3930" i="2"/>
  <c r="O3929" i="2"/>
  <c r="M3929" i="2"/>
  <c r="L3929" i="2"/>
  <c r="E3929" i="2"/>
  <c r="D3929" i="2"/>
  <c r="B3929" i="2"/>
  <c r="A3929" i="2"/>
  <c r="O3928" i="2"/>
  <c r="M3928" i="2"/>
  <c r="L3928" i="2"/>
  <c r="E3928" i="2"/>
  <c r="D3928" i="2"/>
  <c r="B3928" i="2"/>
  <c r="A3928" i="2"/>
  <c r="O3927" i="2"/>
  <c r="O3926" i="2"/>
  <c r="M3926" i="2"/>
  <c r="L3926" i="2"/>
  <c r="E3926" i="2"/>
  <c r="D3926" i="2"/>
  <c r="B3926" i="2"/>
  <c r="A3926" i="2"/>
  <c r="O3925" i="2"/>
  <c r="O3924" i="2"/>
  <c r="O3923" i="2"/>
  <c r="M3923" i="2"/>
  <c r="L3923" i="2"/>
  <c r="E3923" i="2"/>
  <c r="D3923" i="2"/>
  <c r="B3923" i="2"/>
  <c r="A3923" i="2"/>
  <c r="O3922" i="2"/>
  <c r="M3922" i="2"/>
  <c r="L3922" i="2"/>
  <c r="E3922" i="2"/>
  <c r="D3922" i="2"/>
  <c r="B3922" i="2"/>
  <c r="A3922" i="2"/>
  <c r="O3921" i="2"/>
  <c r="O3920" i="2"/>
  <c r="M3920" i="2"/>
  <c r="L3920" i="2"/>
  <c r="E3920" i="2"/>
  <c r="D3920" i="2"/>
  <c r="B3920" i="2"/>
  <c r="A3920" i="2"/>
  <c r="O3919" i="2"/>
  <c r="M3919" i="2"/>
  <c r="L3919" i="2"/>
  <c r="E3919" i="2"/>
  <c r="D3919" i="2"/>
  <c r="B3919" i="2"/>
  <c r="A3919" i="2"/>
  <c r="O3918" i="2"/>
  <c r="O3917" i="2"/>
  <c r="O3916" i="2"/>
  <c r="M3916" i="2"/>
  <c r="L3916" i="2"/>
  <c r="E3916" i="2"/>
  <c r="D3916" i="2"/>
  <c r="B3916" i="2"/>
  <c r="A3916" i="2"/>
  <c r="O3915" i="2"/>
  <c r="M3915" i="2"/>
  <c r="L3915" i="2"/>
  <c r="E3915" i="2"/>
  <c r="D3915" i="2"/>
  <c r="B3915" i="2"/>
  <c r="A3915" i="2"/>
  <c r="O3914" i="2"/>
  <c r="O3913" i="2"/>
  <c r="O3912" i="2"/>
  <c r="O3911" i="2"/>
  <c r="O3910" i="2"/>
  <c r="M3910" i="2"/>
  <c r="L3910" i="2"/>
  <c r="E3910" i="2"/>
  <c r="D3910" i="2"/>
  <c r="B3910" i="2"/>
  <c r="A3910" i="2"/>
  <c r="O3909" i="2"/>
  <c r="M3909" i="2"/>
  <c r="L3909" i="2"/>
  <c r="E3909" i="2"/>
  <c r="D3909" i="2"/>
  <c r="B3909" i="2"/>
  <c r="A3909" i="2"/>
  <c r="O3908" i="2"/>
  <c r="M3908" i="2"/>
  <c r="L3908" i="2"/>
  <c r="E3908" i="2"/>
  <c r="D3908" i="2"/>
  <c r="B3908" i="2"/>
  <c r="A3908" i="2"/>
  <c r="O3907" i="2"/>
  <c r="M3907" i="2"/>
  <c r="L3907" i="2"/>
  <c r="E3907" i="2"/>
  <c r="D3907" i="2"/>
  <c r="B3907" i="2"/>
  <c r="A3907" i="2"/>
  <c r="O3906" i="2"/>
  <c r="O3905" i="2"/>
  <c r="M3905" i="2"/>
  <c r="L3905" i="2"/>
  <c r="E3905" i="2"/>
  <c r="D3905" i="2"/>
  <c r="B3905" i="2"/>
  <c r="A3905" i="2"/>
  <c r="O3904" i="2"/>
  <c r="O3903" i="2"/>
  <c r="O3902" i="2"/>
  <c r="M3902" i="2"/>
  <c r="L3902" i="2"/>
  <c r="E3902" i="2"/>
  <c r="D3902" i="2"/>
  <c r="B3902" i="2"/>
  <c r="A3902" i="2"/>
  <c r="O3901" i="2"/>
  <c r="O3900" i="2"/>
  <c r="M3900" i="2"/>
  <c r="L3900" i="2"/>
  <c r="E3900" i="2"/>
  <c r="D3900" i="2"/>
  <c r="B3900" i="2"/>
  <c r="A3900" i="2"/>
  <c r="O3899" i="2"/>
  <c r="O3898" i="2"/>
  <c r="O3897" i="2"/>
  <c r="M3897" i="2"/>
  <c r="L3897" i="2"/>
  <c r="E3897" i="2"/>
  <c r="D3897" i="2"/>
  <c r="B3897" i="2"/>
  <c r="A3897" i="2"/>
  <c r="O3896" i="2"/>
  <c r="O3895" i="2"/>
  <c r="M3895" i="2"/>
  <c r="L3895" i="2"/>
  <c r="E3895" i="2"/>
  <c r="D3895" i="2"/>
  <c r="B3895" i="2"/>
  <c r="A3895" i="2"/>
  <c r="O3894" i="2"/>
  <c r="O3893" i="2"/>
  <c r="M3893" i="2"/>
  <c r="L3893" i="2"/>
  <c r="E3893" i="2"/>
  <c r="D3893" i="2"/>
  <c r="B3893" i="2"/>
  <c r="A3893" i="2"/>
  <c r="O3892" i="2"/>
  <c r="M3892" i="2"/>
  <c r="L3892" i="2"/>
  <c r="E3892" i="2"/>
  <c r="D3892" i="2"/>
  <c r="B3892" i="2"/>
  <c r="A3892" i="2"/>
  <c r="O3891" i="2"/>
  <c r="M3891" i="2"/>
  <c r="L3891" i="2"/>
  <c r="E3891" i="2"/>
  <c r="D3891" i="2"/>
  <c r="B3891" i="2"/>
  <c r="A3891" i="2"/>
  <c r="O3890" i="2"/>
  <c r="M3890" i="2"/>
  <c r="L3890" i="2"/>
  <c r="E3890" i="2"/>
  <c r="D3890" i="2"/>
  <c r="B3890" i="2"/>
  <c r="A3890" i="2"/>
  <c r="O3889" i="2"/>
  <c r="M3889" i="2"/>
  <c r="L3889" i="2"/>
  <c r="E3889" i="2"/>
  <c r="D3889" i="2"/>
  <c r="B3889" i="2"/>
  <c r="A3889" i="2"/>
  <c r="O3888" i="2"/>
  <c r="O3887" i="2"/>
  <c r="O3886" i="2"/>
  <c r="M3886" i="2"/>
  <c r="L3886" i="2"/>
  <c r="E3886" i="2"/>
  <c r="D3886" i="2"/>
  <c r="B3886" i="2"/>
  <c r="A3886" i="2"/>
  <c r="O3885" i="2"/>
  <c r="M3885" i="2"/>
  <c r="L3885" i="2"/>
  <c r="E3885" i="2"/>
  <c r="D3885" i="2"/>
  <c r="B3885" i="2"/>
  <c r="A3885" i="2"/>
  <c r="O3884" i="2"/>
  <c r="M3884" i="2"/>
  <c r="L3884" i="2"/>
  <c r="E3884" i="2"/>
  <c r="D3884" i="2"/>
  <c r="B3884" i="2"/>
  <c r="A3884" i="2"/>
  <c r="O3883" i="2"/>
  <c r="M3883" i="2"/>
  <c r="L3883" i="2"/>
  <c r="E3883" i="2"/>
  <c r="D3883" i="2"/>
  <c r="B3883" i="2"/>
  <c r="A3883" i="2"/>
  <c r="O3882" i="2"/>
  <c r="O3881" i="2"/>
  <c r="O3880" i="2"/>
  <c r="O3879" i="2"/>
  <c r="O3878" i="2"/>
  <c r="M3878" i="2"/>
  <c r="L3878" i="2"/>
  <c r="E3878" i="2"/>
  <c r="D3878" i="2"/>
  <c r="B3878" i="2"/>
  <c r="A3878" i="2"/>
  <c r="O3877" i="2"/>
  <c r="M3877" i="2"/>
  <c r="L3877" i="2"/>
  <c r="E3877" i="2"/>
  <c r="D3877" i="2"/>
  <c r="B3877" i="2"/>
  <c r="A3877" i="2"/>
  <c r="O3876" i="2"/>
  <c r="M3876" i="2"/>
  <c r="L3876" i="2"/>
  <c r="E3876" i="2"/>
  <c r="D3876" i="2"/>
  <c r="B3876" i="2"/>
  <c r="A3876" i="2"/>
  <c r="O3875" i="2"/>
  <c r="O3874" i="2"/>
  <c r="M3874" i="2"/>
  <c r="L3874" i="2"/>
  <c r="E3874" i="2"/>
  <c r="D3874" i="2"/>
  <c r="B3874" i="2"/>
  <c r="A3874" i="2"/>
  <c r="O3873" i="2"/>
  <c r="O3872" i="2"/>
  <c r="M3872" i="2"/>
  <c r="L3872" i="2"/>
  <c r="E3872" i="2"/>
  <c r="D3872" i="2"/>
  <c r="B3872" i="2"/>
  <c r="A3872" i="2"/>
  <c r="O3871" i="2"/>
  <c r="O3870" i="2"/>
  <c r="O3869" i="2"/>
  <c r="M3869" i="2"/>
  <c r="L3869" i="2"/>
  <c r="E3869" i="2"/>
  <c r="D3869" i="2"/>
  <c r="B3869" i="2"/>
  <c r="A3869" i="2"/>
  <c r="O3868" i="2"/>
  <c r="O3867" i="2"/>
  <c r="O3866" i="2"/>
  <c r="O3865" i="2"/>
  <c r="M3865" i="2"/>
  <c r="L3865" i="2"/>
  <c r="E3865" i="2"/>
  <c r="D3865" i="2"/>
  <c r="B3865" i="2"/>
  <c r="A3865" i="2"/>
  <c r="O3864" i="2"/>
  <c r="M3864" i="2"/>
  <c r="L3864" i="2"/>
  <c r="E3864" i="2"/>
  <c r="D3864" i="2"/>
  <c r="B3864" i="2"/>
  <c r="A3864" i="2"/>
  <c r="O3863" i="2"/>
  <c r="M3863" i="2"/>
  <c r="L3863" i="2"/>
  <c r="E3863" i="2"/>
  <c r="D3863" i="2"/>
  <c r="B3863" i="2"/>
  <c r="A3863" i="2"/>
  <c r="O3862" i="2"/>
  <c r="O3861" i="2"/>
  <c r="O3860" i="2"/>
  <c r="M3860" i="2"/>
  <c r="L3860" i="2"/>
  <c r="E3860" i="2"/>
  <c r="D3860" i="2"/>
  <c r="B3860" i="2"/>
  <c r="A3860" i="2"/>
  <c r="O3859" i="2"/>
  <c r="O3858" i="2"/>
  <c r="O3857" i="2"/>
  <c r="M3857" i="2"/>
  <c r="L3857" i="2"/>
  <c r="E3857" i="2"/>
  <c r="D3857" i="2"/>
  <c r="B3857" i="2"/>
  <c r="A3857" i="2"/>
  <c r="O3856" i="2"/>
  <c r="O3855" i="2"/>
  <c r="O3854" i="2"/>
  <c r="M3854" i="2"/>
  <c r="L3854" i="2"/>
  <c r="E3854" i="2"/>
  <c r="D3854" i="2"/>
  <c r="B3854" i="2"/>
  <c r="A3854" i="2"/>
  <c r="O3853" i="2"/>
  <c r="M3853" i="2"/>
  <c r="L3853" i="2"/>
  <c r="E3853" i="2"/>
  <c r="D3853" i="2"/>
  <c r="B3853" i="2"/>
  <c r="A3853" i="2"/>
  <c r="O3852" i="2"/>
  <c r="O3851" i="2"/>
  <c r="O3850" i="2"/>
  <c r="O3849" i="2"/>
  <c r="O3848" i="2"/>
  <c r="O3847" i="2"/>
  <c r="M3847" i="2"/>
  <c r="L3847" i="2"/>
  <c r="E3847" i="2"/>
  <c r="D3847" i="2"/>
  <c r="B3847" i="2"/>
  <c r="A3847" i="2"/>
  <c r="O3846" i="2"/>
  <c r="M3846" i="2"/>
  <c r="L3846" i="2"/>
  <c r="E3846" i="2"/>
  <c r="D3846" i="2"/>
  <c r="B3846" i="2"/>
  <c r="A3846" i="2"/>
  <c r="O3845" i="2"/>
  <c r="O3844" i="2"/>
  <c r="M3844" i="2"/>
  <c r="L3844" i="2"/>
  <c r="E3844" i="2"/>
  <c r="D3844" i="2"/>
  <c r="B3844" i="2"/>
  <c r="A3844" i="2"/>
  <c r="O3843" i="2"/>
  <c r="M3843" i="2"/>
  <c r="L3843" i="2"/>
  <c r="E3843" i="2"/>
  <c r="D3843" i="2"/>
  <c r="B3843" i="2"/>
  <c r="A3843" i="2"/>
  <c r="O3842" i="2"/>
  <c r="O3841" i="2"/>
  <c r="O3840" i="2"/>
  <c r="M3840" i="2"/>
  <c r="L3840" i="2"/>
  <c r="E3840" i="2"/>
  <c r="D3840" i="2"/>
  <c r="B3840" i="2"/>
  <c r="A3840" i="2"/>
  <c r="O3839" i="2"/>
  <c r="O3838" i="2"/>
  <c r="M3838" i="2"/>
  <c r="L3838" i="2"/>
  <c r="E3838" i="2"/>
  <c r="D3838" i="2"/>
  <c r="B3838" i="2"/>
  <c r="A3838" i="2"/>
  <c r="O3837" i="2"/>
  <c r="O3836" i="2"/>
  <c r="M3836" i="2"/>
  <c r="L3836" i="2"/>
  <c r="E3836" i="2"/>
  <c r="D3836" i="2"/>
  <c r="B3836" i="2"/>
  <c r="A3836" i="2"/>
  <c r="O3835" i="2"/>
  <c r="M3835" i="2"/>
  <c r="L3835" i="2"/>
  <c r="E3835" i="2"/>
  <c r="D3835" i="2"/>
  <c r="B3835" i="2"/>
  <c r="A3835" i="2"/>
  <c r="O3834" i="2"/>
  <c r="M3834" i="2"/>
  <c r="L3834" i="2"/>
  <c r="E3834" i="2"/>
  <c r="D3834" i="2"/>
  <c r="B3834" i="2"/>
  <c r="A3834" i="2"/>
  <c r="O3833" i="2"/>
  <c r="M3833" i="2"/>
  <c r="L3833" i="2"/>
  <c r="E3833" i="2"/>
  <c r="D3833" i="2"/>
  <c r="B3833" i="2"/>
  <c r="A3833" i="2"/>
  <c r="O3832" i="2"/>
  <c r="M3832" i="2"/>
  <c r="L3832" i="2"/>
  <c r="E3832" i="2"/>
  <c r="D3832" i="2"/>
  <c r="B3832" i="2"/>
  <c r="A3832" i="2"/>
  <c r="O3831" i="2"/>
  <c r="M3831" i="2"/>
  <c r="L3831" i="2"/>
  <c r="E3831" i="2"/>
  <c r="D3831" i="2"/>
  <c r="B3831" i="2"/>
  <c r="A3831" i="2"/>
  <c r="O3830" i="2"/>
  <c r="M3830" i="2"/>
  <c r="L3830" i="2"/>
  <c r="E3830" i="2"/>
  <c r="D3830" i="2"/>
  <c r="B3830" i="2"/>
  <c r="A3830" i="2"/>
  <c r="O3829" i="2"/>
  <c r="O3828" i="2"/>
  <c r="O3827" i="2"/>
  <c r="O3826" i="2"/>
  <c r="M3826" i="2"/>
  <c r="L3826" i="2"/>
  <c r="E3826" i="2"/>
  <c r="D3826" i="2"/>
  <c r="B3826" i="2"/>
  <c r="A3826" i="2"/>
  <c r="O3825" i="2"/>
  <c r="M3825" i="2"/>
  <c r="L3825" i="2"/>
  <c r="E3825" i="2"/>
  <c r="D3825" i="2"/>
  <c r="B3825" i="2"/>
  <c r="A3825" i="2"/>
  <c r="O3824" i="2"/>
  <c r="M3824" i="2"/>
  <c r="L3824" i="2"/>
  <c r="E3824" i="2"/>
  <c r="D3824" i="2"/>
  <c r="B3824" i="2"/>
  <c r="A3824" i="2"/>
  <c r="O3823" i="2"/>
  <c r="O3822" i="2"/>
  <c r="M3822" i="2"/>
  <c r="L3822" i="2"/>
  <c r="E3822" i="2"/>
  <c r="D3822" i="2"/>
  <c r="B3822" i="2"/>
  <c r="A3822" i="2"/>
  <c r="O3821" i="2"/>
  <c r="M3821" i="2"/>
  <c r="L3821" i="2"/>
  <c r="E3821" i="2"/>
  <c r="D3821" i="2"/>
  <c r="B3821" i="2"/>
  <c r="A3821" i="2"/>
  <c r="O3820" i="2"/>
  <c r="O3819" i="2"/>
  <c r="O3818" i="2"/>
  <c r="O3817" i="2"/>
  <c r="O3816" i="2"/>
  <c r="O3815" i="2"/>
  <c r="M3815" i="2"/>
  <c r="L3815" i="2"/>
  <c r="E3815" i="2"/>
  <c r="D3815" i="2"/>
  <c r="B3815" i="2"/>
  <c r="A3815" i="2"/>
  <c r="O3814" i="2"/>
  <c r="O3813" i="2"/>
  <c r="M3813" i="2"/>
  <c r="L3813" i="2"/>
  <c r="E3813" i="2"/>
  <c r="D3813" i="2"/>
  <c r="B3813" i="2"/>
  <c r="A3813" i="2"/>
  <c r="O3812" i="2"/>
  <c r="M3812" i="2"/>
  <c r="L3812" i="2"/>
  <c r="E3812" i="2"/>
  <c r="D3812" i="2"/>
  <c r="B3812" i="2"/>
  <c r="A3812" i="2"/>
  <c r="O3811" i="2"/>
  <c r="M3811" i="2"/>
  <c r="L3811" i="2"/>
  <c r="E3811" i="2"/>
  <c r="D3811" i="2"/>
  <c r="B3811" i="2"/>
  <c r="A3811" i="2"/>
  <c r="O3810" i="2"/>
  <c r="M3810" i="2"/>
  <c r="L3810" i="2"/>
  <c r="E3810" i="2"/>
  <c r="D3810" i="2"/>
  <c r="B3810" i="2"/>
  <c r="A3810" i="2"/>
  <c r="O3809" i="2"/>
  <c r="O3808" i="2"/>
  <c r="M3808" i="2"/>
  <c r="L3808" i="2"/>
  <c r="E3808" i="2"/>
  <c r="D3808" i="2"/>
  <c r="B3808" i="2"/>
  <c r="A3808" i="2"/>
  <c r="O3807" i="2"/>
  <c r="M3807" i="2"/>
  <c r="L3807" i="2"/>
  <c r="E3807" i="2"/>
  <c r="D3807" i="2"/>
  <c r="B3807" i="2"/>
  <c r="A3807" i="2"/>
  <c r="O3806" i="2"/>
  <c r="O3805" i="2"/>
  <c r="O3804" i="2"/>
  <c r="O3803" i="2"/>
  <c r="M3803" i="2"/>
  <c r="L3803" i="2"/>
  <c r="E3803" i="2"/>
  <c r="D3803" i="2"/>
  <c r="B3803" i="2"/>
  <c r="A3803" i="2"/>
  <c r="O3802" i="2"/>
  <c r="O3801" i="2"/>
  <c r="O3800" i="2"/>
  <c r="O3799" i="2"/>
  <c r="M3799" i="2"/>
  <c r="L3799" i="2"/>
  <c r="E3799" i="2"/>
  <c r="D3799" i="2"/>
  <c r="B3799" i="2"/>
  <c r="A3799" i="2"/>
  <c r="O3798" i="2"/>
  <c r="M3798" i="2"/>
  <c r="L3798" i="2"/>
  <c r="E3798" i="2"/>
  <c r="D3798" i="2"/>
  <c r="B3798" i="2"/>
  <c r="A3798" i="2"/>
  <c r="O3797" i="2"/>
  <c r="M3797" i="2"/>
  <c r="L3797" i="2"/>
  <c r="E3797" i="2"/>
  <c r="D3797" i="2"/>
  <c r="B3797" i="2"/>
  <c r="A3797" i="2"/>
  <c r="O3796" i="2"/>
  <c r="M3796" i="2"/>
  <c r="L3796" i="2"/>
  <c r="E3796" i="2"/>
  <c r="D3796" i="2"/>
  <c r="B3796" i="2"/>
  <c r="A3796" i="2"/>
  <c r="O3795" i="2"/>
  <c r="O3794" i="2"/>
  <c r="O3793" i="2"/>
  <c r="O3792" i="2"/>
  <c r="O3791" i="2"/>
  <c r="M3791" i="2"/>
  <c r="L3791" i="2"/>
  <c r="E3791" i="2"/>
  <c r="D3791" i="2"/>
  <c r="B3791" i="2"/>
  <c r="A3791" i="2"/>
  <c r="O3790" i="2"/>
  <c r="M3790" i="2"/>
  <c r="L3790" i="2"/>
  <c r="E3790" i="2"/>
  <c r="D3790" i="2"/>
  <c r="B3790" i="2"/>
  <c r="A3790" i="2"/>
  <c r="O3789" i="2"/>
  <c r="O3788" i="2"/>
  <c r="O3787" i="2"/>
  <c r="O3786" i="2"/>
  <c r="M3786" i="2"/>
  <c r="L3786" i="2"/>
  <c r="E3786" i="2"/>
  <c r="D3786" i="2"/>
  <c r="B3786" i="2"/>
  <c r="A3786" i="2"/>
  <c r="O3785" i="2"/>
  <c r="O3784" i="2"/>
  <c r="O3783" i="2"/>
  <c r="O3782" i="2"/>
  <c r="M3782" i="2"/>
  <c r="L3782" i="2"/>
  <c r="E3782" i="2"/>
  <c r="D3782" i="2"/>
  <c r="B3782" i="2"/>
  <c r="A3782" i="2"/>
  <c r="O3781" i="2"/>
  <c r="O3780" i="2"/>
  <c r="M3780" i="2"/>
  <c r="L3780" i="2"/>
  <c r="E3780" i="2"/>
  <c r="D3780" i="2"/>
  <c r="B3780" i="2"/>
  <c r="A3780" i="2"/>
  <c r="O3779" i="2"/>
  <c r="O3778" i="2"/>
  <c r="O3777" i="2"/>
  <c r="O3776" i="2"/>
  <c r="O3775" i="2"/>
  <c r="O3774" i="2"/>
  <c r="O3773" i="2"/>
  <c r="M3773" i="2"/>
  <c r="L3773" i="2"/>
  <c r="E3773" i="2"/>
  <c r="D3773" i="2"/>
  <c r="B3773" i="2"/>
  <c r="A3773" i="2"/>
  <c r="O3772" i="2"/>
  <c r="O3771" i="2"/>
  <c r="O3770" i="2"/>
  <c r="O3769" i="2"/>
  <c r="O3768" i="2"/>
  <c r="O3767" i="2"/>
  <c r="O3766" i="2"/>
  <c r="O3765" i="2"/>
  <c r="O3764" i="2"/>
  <c r="O3763" i="2"/>
  <c r="O3762" i="2"/>
  <c r="M3762" i="2"/>
  <c r="L3762" i="2"/>
  <c r="E3762" i="2"/>
  <c r="D3762" i="2"/>
  <c r="B3762" i="2"/>
  <c r="A3762" i="2"/>
  <c r="O3761" i="2"/>
  <c r="M3761" i="2"/>
  <c r="L3761" i="2"/>
  <c r="E3761" i="2"/>
  <c r="D3761" i="2"/>
  <c r="B3761" i="2"/>
  <c r="A3761" i="2"/>
  <c r="O3760" i="2"/>
  <c r="O3759" i="2"/>
  <c r="O3758" i="2"/>
  <c r="O3757" i="2"/>
  <c r="O3756" i="2"/>
  <c r="O3755" i="2"/>
  <c r="M3755" i="2"/>
  <c r="L3755" i="2"/>
  <c r="E3755" i="2"/>
  <c r="D3755" i="2"/>
  <c r="B3755" i="2"/>
  <c r="A3755" i="2"/>
  <c r="O3754" i="2"/>
  <c r="O3753" i="2"/>
  <c r="M3753" i="2"/>
  <c r="L3753" i="2"/>
  <c r="E3753" i="2"/>
  <c r="D3753" i="2"/>
  <c r="B3753" i="2"/>
  <c r="A3753" i="2"/>
  <c r="O3752" i="2"/>
  <c r="M3752" i="2"/>
  <c r="L3752" i="2"/>
  <c r="E3752" i="2"/>
  <c r="D3752" i="2"/>
  <c r="B3752" i="2"/>
  <c r="A3752" i="2"/>
  <c r="O3751" i="2"/>
  <c r="M3751" i="2"/>
  <c r="L3751" i="2"/>
  <c r="E3751" i="2"/>
  <c r="D3751" i="2"/>
  <c r="B3751" i="2"/>
  <c r="A3751" i="2"/>
  <c r="O3750" i="2"/>
  <c r="O3749" i="2"/>
  <c r="O3748" i="2"/>
  <c r="M3748" i="2"/>
  <c r="L3748" i="2"/>
  <c r="E3748" i="2"/>
  <c r="D3748" i="2"/>
  <c r="B3748" i="2"/>
  <c r="A3748" i="2"/>
  <c r="O3747" i="2"/>
  <c r="O3746" i="2"/>
  <c r="O3745" i="2"/>
  <c r="M3745" i="2"/>
  <c r="L3745" i="2"/>
  <c r="E3745" i="2"/>
  <c r="D3745" i="2"/>
  <c r="B3745" i="2"/>
  <c r="A3745" i="2"/>
  <c r="O3744" i="2"/>
  <c r="O3743" i="2"/>
  <c r="O3742" i="2"/>
  <c r="O3741" i="2"/>
  <c r="O3740" i="2"/>
  <c r="M3740" i="2"/>
  <c r="L3740" i="2"/>
  <c r="E3740" i="2"/>
  <c r="D3740" i="2"/>
  <c r="B3740" i="2"/>
  <c r="A3740" i="2"/>
  <c r="O3739" i="2"/>
  <c r="M3739" i="2"/>
  <c r="L3739" i="2"/>
  <c r="E3739" i="2"/>
  <c r="D3739" i="2"/>
  <c r="B3739" i="2"/>
  <c r="A3739" i="2"/>
  <c r="O3738" i="2"/>
  <c r="O3737" i="2"/>
  <c r="O3736" i="2"/>
  <c r="O3735" i="2"/>
  <c r="M3735" i="2"/>
  <c r="L3735" i="2"/>
  <c r="E3735" i="2"/>
  <c r="D3735" i="2"/>
  <c r="B3735" i="2"/>
  <c r="A3735" i="2"/>
  <c r="O3734" i="2"/>
  <c r="M3734" i="2"/>
  <c r="L3734" i="2"/>
  <c r="E3734" i="2"/>
  <c r="D3734" i="2"/>
  <c r="B3734" i="2"/>
  <c r="A3734" i="2"/>
  <c r="O3733" i="2"/>
  <c r="M3733" i="2"/>
  <c r="L3733" i="2"/>
  <c r="E3733" i="2"/>
  <c r="D3733" i="2"/>
  <c r="B3733" i="2"/>
  <c r="A3733" i="2"/>
  <c r="O3732" i="2"/>
  <c r="O3731" i="2"/>
  <c r="M3731" i="2"/>
  <c r="L3731" i="2"/>
  <c r="E3731" i="2"/>
  <c r="D3731" i="2"/>
  <c r="B3731" i="2"/>
  <c r="A3731" i="2"/>
  <c r="O3730" i="2"/>
  <c r="O3729" i="2"/>
  <c r="O3728" i="2"/>
  <c r="M3728" i="2"/>
  <c r="L3728" i="2"/>
  <c r="E3728" i="2"/>
  <c r="D3728" i="2"/>
  <c r="B3728" i="2"/>
  <c r="A3728" i="2"/>
  <c r="O3727" i="2"/>
  <c r="M3727" i="2"/>
  <c r="L3727" i="2"/>
  <c r="E3727" i="2"/>
  <c r="D3727" i="2"/>
  <c r="B3727" i="2"/>
  <c r="A3727" i="2"/>
  <c r="O3726" i="2"/>
  <c r="O3725" i="2"/>
  <c r="O3724" i="2"/>
  <c r="O3723" i="2"/>
  <c r="M3723" i="2"/>
  <c r="L3723" i="2"/>
  <c r="E3723" i="2"/>
  <c r="D3723" i="2"/>
  <c r="B3723" i="2"/>
  <c r="A3723" i="2"/>
  <c r="O3722" i="2"/>
  <c r="O3721" i="2"/>
  <c r="O3720" i="2"/>
  <c r="O3719" i="2"/>
  <c r="O3718" i="2"/>
  <c r="O3717" i="2"/>
  <c r="O3716" i="2"/>
  <c r="M3716" i="2"/>
  <c r="L3716" i="2"/>
  <c r="E3716" i="2"/>
  <c r="D3716" i="2"/>
  <c r="B3716" i="2"/>
  <c r="A3716" i="2"/>
  <c r="O3715" i="2"/>
  <c r="O3714" i="2"/>
  <c r="M3714" i="2"/>
  <c r="L3714" i="2"/>
  <c r="E3714" i="2"/>
  <c r="D3714" i="2"/>
  <c r="B3714" i="2"/>
  <c r="A3714" i="2"/>
  <c r="O3713" i="2"/>
  <c r="M3713" i="2"/>
  <c r="L3713" i="2"/>
  <c r="E3713" i="2"/>
  <c r="D3713" i="2"/>
  <c r="B3713" i="2"/>
  <c r="A3713" i="2"/>
  <c r="O3712" i="2"/>
  <c r="O3711" i="2"/>
  <c r="O3710" i="2"/>
  <c r="M3710" i="2"/>
  <c r="L3710" i="2"/>
  <c r="E3710" i="2"/>
  <c r="D3710" i="2"/>
  <c r="B3710" i="2"/>
  <c r="A3710" i="2"/>
  <c r="O3709" i="2"/>
  <c r="M3709" i="2"/>
  <c r="L3709" i="2"/>
  <c r="E3709" i="2"/>
  <c r="D3709" i="2"/>
  <c r="B3709" i="2"/>
  <c r="A3709" i="2"/>
  <c r="O3708" i="2"/>
  <c r="O3707" i="2"/>
  <c r="M3707" i="2"/>
  <c r="L3707" i="2"/>
  <c r="E3707" i="2"/>
  <c r="D3707" i="2"/>
  <c r="B3707" i="2"/>
  <c r="A3707" i="2"/>
  <c r="O3706" i="2"/>
  <c r="M3706" i="2"/>
  <c r="L3706" i="2"/>
  <c r="E3706" i="2"/>
  <c r="D3706" i="2"/>
  <c r="B3706" i="2"/>
  <c r="A3706" i="2"/>
  <c r="O3705" i="2"/>
  <c r="O3704" i="2"/>
  <c r="M3704" i="2"/>
  <c r="L3704" i="2"/>
  <c r="E3704" i="2"/>
  <c r="D3704" i="2"/>
  <c r="B3704" i="2"/>
  <c r="A3704" i="2"/>
  <c r="O3703" i="2"/>
  <c r="M3703" i="2"/>
  <c r="L3703" i="2"/>
  <c r="E3703" i="2"/>
  <c r="D3703" i="2"/>
  <c r="B3703" i="2"/>
  <c r="A3703" i="2"/>
  <c r="O3702" i="2"/>
  <c r="M3702" i="2"/>
  <c r="L3702" i="2"/>
  <c r="E3702" i="2"/>
  <c r="D3702" i="2"/>
  <c r="B3702" i="2"/>
  <c r="A3702" i="2"/>
  <c r="O3701" i="2"/>
  <c r="O3700" i="2"/>
  <c r="O3699" i="2"/>
  <c r="M3699" i="2"/>
  <c r="L3699" i="2"/>
  <c r="E3699" i="2"/>
  <c r="D3699" i="2"/>
  <c r="B3699" i="2"/>
  <c r="A3699" i="2"/>
  <c r="O3698" i="2"/>
  <c r="O3697" i="2"/>
  <c r="M3697" i="2"/>
  <c r="L3697" i="2"/>
  <c r="E3697" i="2"/>
  <c r="D3697" i="2"/>
  <c r="B3697" i="2"/>
  <c r="A3697" i="2"/>
  <c r="O3696" i="2"/>
  <c r="M3696" i="2"/>
  <c r="L3696" i="2"/>
  <c r="E3696" i="2"/>
  <c r="D3696" i="2"/>
  <c r="B3696" i="2"/>
  <c r="A3696" i="2"/>
  <c r="O3695" i="2"/>
  <c r="M3695" i="2"/>
  <c r="L3695" i="2"/>
  <c r="E3695" i="2"/>
  <c r="D3695" i="2"/>
  <c r="B3695" i="2"/>
  <c r="A3695" i="2"/>
  <c r="O3694" i="2"/>
  <c r="O3693" i="2"/>
  <c r="M3693" i="2"/>
  <c r="L3693" i="2"/>
  <c r="E3693" i="2"/>
  <c r="D3693" i="2"/>
  <c r="B3693" i="2"/>
  <c r="A3693" i="2"/>
  <c r="O3692" i="2"/>
  <c r="O3691" i="2"/>
  <c r="M3691" i="2"/>
  <c r="L3691" i="2"/>
  <c r="E3691" i="2"/>
  <c r="D3691" i="2"/>
  <c r="B3691" i="2"/>
  <c r="A3691" i="2"/>
  <c r="O3690" i="2"/>
  <c r="O3689" i="2"/>
  <c r="M3689" i="2"/>
  <c r="L3689" i="2"/>
  <c r="E3689" i="2"/>
  <c r="D3689" i="2"/>
  <c r="B3689" i="2"/>
  <c r="A3689" i="2"/>
  <c r="O3688" i="2"/>
  <c r="O3687" i="2"/>
  <c r="O3686" i="2"/>
  <c r="O3685" i="2"/>
  <c r="M3685" i="2"/>
  <c r="L3685" i="2"/>
  <c r="E3685" i="2"/>
  <c r="D3685" i="2"/>
  <c r="B3685" i="2"/>
  <c r="A3685" i="2"/>
  <c r="O3684" i="2"/>
  <c r="M3684" i="2"/>
  <c r="L3684" i="2"/>
  <c r="E3684" i="2"/>
  <c r="D3684" i="2"/>
  <c r="B3684" i="2"/>
  <c r="A3684" i="2"/>
  <c r="O3683" i="2"/>
  <c r="M3683" i="2"/>
  <c r="L3683" i="2"/>
  <c r="E3683" i="2"/>
  <c r="D3683" i="2"/>
  <c r="B3683" i="2"/>
  <c r="A3683" i="2"/>
  <c r="O3682" i="2"/>
  <c r="O3681" i="2"/>
  <c r="O3680" i="2"/>
  <c r="O3679" i="2"/>
  <c r="O3678" i="2"/>
  <c r="O3677" i="2"/>
  <c r="O3676" i="2"/>
  <c r="M3676" i="2"/>
  <c r="L3676" i="2"/>
  <c r="E3676" i="2"/>
  <c r="D3676" i="2"/>
  <c r="B3676" i="2"/>
  <c r="A3676" i="2"/>
  <c r="O3675" i="2"/>
  <c r="O3674" i="2"/>
  <c r="O3673" i="2"/>
  <c r="O3672" i="2"/>
  <c r="O3671" i="2"/>
  <c r="O3670" i="2"/>
  <c r="M3670" i="2"/>
  <c r="L3670" i="2"/>
  <c r="E3670" i="2"/>
  <c r="D3670" i="2"/>
  <c r="B3670" i="2"/>
  <c r="A3670" i="2"/>
  <c r="O3669" i="2"/>
  <c r="O3668" i="2"/>
  <c r="M3668" i="2"/>
  <c r="L3668" i="2"/>
  <c r="E3668" i="2"/>
  <c r="D3668" i="2"/>
  <c r="B3668" i="2"/>
  <c r="A3668" i="2"/>
  <c r="O3667" i="2"/>
  <c r="O3666" i="2"/>
  <c r="M3666" i="2"/>
  <c r="L3666" i="2"/>
  <c r="E3666" i="2"/>
  <c r="D3666" i="2"/>
  <c r="B3666" i="2"/>
  <c r="A3666" i="2"/>
  <c r="O3665" i="2"/>
  <c r="O3664" i="2"/>
  <c r="O3663" i="2"/>
  <c r="M3663" i="2"/>
  <c r="L3663" i="2"/>
  <c r="E3663" i="2"/>
  <c r="D3663" i="2"/>
  <c r="B3663" i="2"/>
  <c r="A3663" i="2"/>
  <c r="O3662" i="2"/>
  <c r="O3661" i="2"/>
  <c r="O3660" i="2"/>
  <c r="O3659" i="2"/>
  <c r="M3659" i="2"/>
  <c r="L3659" i="2"/>
  <c r="E3659" i="2"/>
  <c r="D3659" i="2"/>
  <c r="B3659" i="2"/>
  <c r="A3659" i="2"/>
  <c r="O3658" i="2"/>
  <c r="M3658" i="2"/>
  <c r="L3658" i="2"/>
  <c r="E3658" i="2"/>
  <c r="D3658" i="2"/>
  <c r="B3658" i="2"/>
  <c r="A3658" i="2"/>
  <c r="O3657" i="2"/>
  <c r="O3656" i="2"/>
  <c r="O3655" i="2"/>
  <c r="M3655" i="2"/>
  <c r="L3655" i="2"/>
  <c r="E3655" i="2"/>
  <c r="D3655" i="2"/>
  <c r="B3655" i="2"/>
  <c r="A3655" i="2"/>
  <c r="O3654" i="2"/>
  <c r="O3653" i="2"/>
  <c r="O3652" i="2"/>
  <c r="M3652" i="2"/>
  <c r="L3652" i="2"/>
  <c r="E3652" i="2"/>
  <c r="D3652" i="2"/>
  <c r="B3652" i="2"/>
  <c r="A3652" i="2"/>
  <c r="O3651" i="2"/>
  <c r="M3651" i="2"/>
  <c r="L3651" i="2"/>
  <c r="E3651" i="2"/>
  <c r="D3651" i="2"/>
  <c r="B3651" i="2"/>
  <c r="A3651" i="2"/>
  <c r="O3650" i="2"/>
  <c r="O3649" i="2"/>
  <c r="M3649" i="2"/>
  <c r="L3649" i="2"/>
  <c r="E3649" i="2"/>
  <c r="D3649" i="2"/>
  <c r="B3649" i="2"/>
  <c r="A3649" i="2"/>
  <c r="O3648" i="2"/>
  <c r="O3647" i="2"/>
  <c r="M3647" i="2"/>
  <c r="L3647" i="2"/>
  <c r="E3647" i="2"/>
  <c r="D3647" i="2"/>
  <c r="B3647" i="2"/>
  <c r="A3647" i="2"/>
  <c r="O3646" i="2"/>
  <c r="M3646" i="2"/>
  <c r="L3646" i="2"/>
  <c r="E3646" i="2"/>
  <c r="D3646" i="2"/>
  <c r="B3646" i="2"/>
  <c r="A3646" i="2"/>
  <c r="O3645" i="2"/>
  <c r="O3644" i="2"/>
  <c r="M3644" i="2"/>
  <c r="L3644" i="2"/>
  <c r="E3644" i="2"/>
  <c r="D3644" i="2"/>
  <c r="B3644" i="2"/>
  <c r="A3644" i="2"/>
  <c r="O3643" i="2"/>
  <c r="M3643" i="2"/>
  <c r="L3643" i="2"/>
  <c r="E3643" i="2"/>
  <c r="D3643" i="2"/>
  <c r="B3643" i="2"/>
  <c r="A3643" i="2"/>
  <c r="O3642" i="2"/>
  <c r="O3641" i="2"/>
  <c r="M3641" i="2"/>
  <c r="L3641" i="2"/>
  <c r="E3641" i="2"/>
  <c r="D3641" i="2"/>
  <c r="B3641" i="2"/>
  <c r="A3641" i="2"/>
  <c r="O3640" i="2"/>
  <c r="O3639" i="2"/>
  <c r="M3639" i="2"/>
  <c r="L3639" i="2"/>
  <c r="E3639" i="2"/>
  <c r="D3639" i="2"/>
  <c r="B3639" i="2"/>
  <c r="A3639" i="2"/>
  <c r="O3638" i="2"/>
  <c r="O3637" i="2"/>
  <c r="M3637" i="2"/>
  <c r="L3637" i="2"/>
  <c r="E3637" i="2"/>
  <c r="D3637" i="2"/>
  <c r="B3637" i="2"/>
  <c r="A3637" i="2"/>
  <c r="O3636" i="2"/>
  <c r="O3635" i="2"/>
  <c r="M3635" i="2"/>
  <c r="L3635" i="2"/>
  <c r="E3635" i="2"/>
  <c r="D3635" i="2"/>
  <c r="B3635" i="2"/>
  <c r="A3635" i="2"/>
  <c r="O3634" i="2"/>
  <c r="O3633" i="2"/>
  <c r="O3632" i="2"/>
  <c r="M3632" i="2"/>
  <c r="L3632" i="2"/>
  <c r="E3632" i="2"/>
  <c r="D3632" i="2"/>
  <c r="B3632" i="2"/>
  <c r="A3632" i="2"/>
  <c r="O3631" i="2"/>
  <c r="O3630" i="2"/>
  <c r="M3630" i="2"/>
  <c r="L3630" i="2"/>
  <c r="E3630" i="2"/>
  <c r="D3630" i="2"/>
  <c r="B3630" i="2"/>
  <c r="A3630" i="2"/>
  <c r="O3629" i="2"/>
  <c r="O3628" i="2"/>
  <c r="O3627" i="2"/>
  <c r="M3627" i="2"/>
  <c r="L3627" i="2"/>
  <c r="E3627" i="2"/>
  <c r="D3627" i="2"/>
  <c r="B3627" i="2"/>
  <c r="A3627" i="2"/>
  <c r="O3626" i="2"/>
  <c r="O3625" i="2"/>
  <c r="M3625" i="2"/>
  <c r="L3625" i="2"/>
  <c r="E3625" i="2"/>
  <c r="D3625" i="2"/>
  <c r="B3625" i="2"/>
  <c r="A3625" i="2"/>
  <c r="O3624" i="2"/>
  <c r="O3623" i="2"/>
  <c r="O3622" i="2"/>
  <c r="M3622" i="2"/>
  <c r="L3622" i="2"/>
  <c r="E3622" i="2"/>
  <c r="D3622" i="2"/>
  <c r="B3622" i="2"/>
  <c r="A3622" i="2"/>
  <c r="O3621" i="2"/>
  <c r="O3620" i="2"/>
  <c r="M3620" i="2"/>
  <c r="L3620" i="2"/>
  <c r="E3620" i="2"/>
  <c r="D3620" i="2"/>
  <c r="B3620" i="2"/>
  <c r="A3620" i="2"/>
  <c r="O3619" i="2"/>
  <c r="M3619" i="2"/>
  <c r="L3619" i="2"/>
  <c r="E3619" i="2"/>
  <c r="D3619" i="2"/>
  <c r="B3619" i="2"/>
  <c r="A3619" i="2"/>
  <c r="O3618" i="2"/>
  <c r="O3617" i="2"/>
  <c r="M3617" i="2"/>
  <c r="L3617" i="2"/>
  <c r="E3617" i="2"/>
  <c r="D3617" i="2"/>
  <c r="B3617" i="2"/>
  <c r="A3617" i="2"/>
  <c r="O3616" i="2"/>
  <c r="M3616" i="2"/>
  <c r="L3616" i="2"/>
  <c r="E3616" i="2"/>
  <c r="D3616" i="2"/>
  <c r="B3616" i="2"/>
  <c r="A3616" i="2"/>
  <c r="O3615" i="2"/>
  <c r="O3614" i="2"/>
  <c r="M3614" i="2"/>
  <c r="L3614" i="2"/>
  <c r="E3614" i="2"/>
  <c r="D3614" i="2"/>
  <c r="B3614" i="2"/>
  <c r="A3614" i="2"/>
  <c r="O3613" i="2"/>
  <c r="O3612" i="2"/>
  <c r="O3611" i="2"/>
  <c r="O3610" i="2"/>
  <c r="O3609" i="2"/>
  <c r="O3608" i="2"/>
  <c r="M3608" i="2"/>
  <c r="L3608" i="2"/>
  <c r="E3608" i="2"/>
  <c r="D3608" i="2"/>
  <c r="B3608" i="2"/>
  <c r="A3608" i="2"/>
  <c r="O3607" i="2"/>
  <c r="O3606" i="2"/>
  <c r="O3605" i="2"/>
  <c r="O3604" i="2"/>
  <c r="O3603" i="2"/>
  <c r="O3602" i="2"/>
  <c r="M3602" i="2"/>
  <c r="L3602" i="2"/>
  <c r="E3602" i="2"/>
  <c r="D3602" i="2"/>
  <c r="B3602" i="2"/>
  <c r="A3602" i="2"/>
  <c r="O3601" i="2"/>
  <c r="O3600" i="2"/>
  <c r="O3599" i="2"/>
  <c r="M3599" i="2"/>
  <c r="L3599" i="2"/>
  <c r="E3599" i="2"/>
  <c r="D3599" i="2"/>
  <c r="B3599" i="2"/>
  <c r="A3599" i="2"/>
  <c r="O3598" i="2"/>
  <c r="M3598" i="2"/>
  <c r="L3598" i="2"/>
  <c r="E3598" i="2"/>
  <c r="D3598" i="2"/>
  <c r="B3598" i="2"/>
  <c r="A3598" i="2"/>
  <c r="O3597" i="2"/>
  <c r="M3597" i="2"/>
  <c r="L3597" i="2"/>
  <c r="E3597" i="2"/>
  <c r="D3597" i="2"/>
  <c r="B3597" i="2"/>
  <c r="A3597" i="2"/>
  <c r="O3596" i="2"/>
  <c r="M3596" i="2"/>
  <c r="L3596" i="2"/>
  <c r="E3596" i="2"/>
  <c r="D3596" i="2"/>
  <c r="B3596" i="2"/>
  <c r="A3596" i="2"/>
  <c r="O3595" i="2"/>
  <c r="O3594" i="2"/>
  <c r="O3593" i="2"/>
  <c r="M3593" i="2"/>
  <c r="L3593" i="2"/>
  <c r="E3593" i="2"/>
  <c r="D3593" i="2"/>
  <c r="B3593" i="2"/>
  <c r="A3593" i="2"/>
  <c r="O3592" i="2"/>
  <c r="O3591" i="2"/>
  <c r="M3591" i="2"/>
  <c r="L3591" i="2"/>
  <c r="E3591" i="2"/>
  <c r="D3591" i="2"/>
  <c r="B3591" i="2"/>
  <c r="A3591" i="2"/>
  <c r="O3590" i="2"/>
  <c r="O3589" i="2"/>
  <c r="O3588" i="2"/>
  <c r="M3588" i="2"/>
  <c r="L3588" i="2"/>
  <c r="E3588" i="2"/>
  <c r="D3588" i="2"/>
  <c r="B3588" i="2"/>
  <c r="A3588" i="2"/>
  <c r="O3587" i="2"/>
  <c r="O3586" i="2"/>
  <c r="O3585" i="2"/>
  <c r="M3585" i="2"/>
  <c r="L3585" i="2"/>
  <c r="E3585" i="2"/>
  <c r="D3585" i="2"/>
  <c r="B3585" i="2"/>
  <c r="A3585" i="2"/>
  <c r="O3584" i="2"/>
  <c r="M3584" i="2"/>
  <c r="L3584" i="2"/>
  <c r="E3584" i="2"/>
  <c r="D3584" i="2"/>
  <c r="B3584" i="2"/>
  <c r="A3584" i="2"/>
  <c r="O3583" i="2"/>
  <c r="O3582" i="2"/>
  <c r="O3581" i="2"/>
  <c r="M3581" i="2"/>
  <c r="L3581" i="2"/>
  <c r="E3581" i="2"/>
  <c r="D3581" i="2"/>
  <c r="B3581" i="2"/>
  <c r="A3581" i="2"/>
  <c r="O3580" i="2"/>
  <c r="O3579" i="2"/>
  <c r="M3579" i="2"/>
  <c r="L3579" i="2"/>
  <c r="E3579" i="2"/>
  <c r="D3579" i="2"/>
  <c r="B3579" i="2"/>
  <c r="A3579" i="2"/>
  <c r="O3578" i="2"/>
  <c r="O3577" i="2"/>
  <c r="M3577" i="2"/>
  <c r="L3577" i="2"/>
  <c r="E3577" i="2"/>
  <c r="D3577" i="2"/>
  <c r="B3577" i="2"/>
  <c r="A3577" i="2"/>
  <c r="O3576" i="2"/>
  <c r="O3575" i="2"/>
  <c r="M3575" i="2"/>
  <c r="L3575" i="2"/>
  <c r="E3575" i="2"/>
  <c r="D3575" i="2"/>
  <c r="B3575" i="2"/>
  <c r="A3575" i="2"/>
  <c r="O3574" i="2"/>
  <c r="O3573" i="2"/>
  <c r="O3572" i="2"/>
  <c r="O3571" i="2"/>
  <c r="M3571" i="2"/>
  <c r="L3571" i="2"/>
  <c r="E3571" i="2"/>
  <c r="D3571" i="2"/>
  <c r="B3571" i="2"/>
  <c r="A3571" i="2"/>
  <c r="O3570" i="2"/>
  <c r="O3569" i="2"/>
  <c r="O3568" i="2"/>
  <c r="O3567" i="2"/>
  <c r="O3566" i="2"/>
  <c r="M3566" i="2"/>
  <c r="L3566" i="2"/>
  <c r="E3566" i="2"/>
  <c r="D3566" i="2"/>
  <c r="B3566" i="2"/>
  <c r="A3566" i="2"/>
  <c r="O3565" i="2"/>
  <c r="O3564" i="2"/>
  <c r="O3563" i="2"/>
  <c r="M3563" i="2"/>
  <c r="L3563" i="2"/>
  <c r="E3563" i="2"/>
  <c r="D3563" i="2"/>
  <c r="B3563" i="2"/>
  <c r="A3563" i="2"/>
  <c r="O3562" i="2"/>
  <c r="O3561" i="2"/>
  <c r="M3561" i="2"/>
  <c r="L3561" i="2"/>
  <c r="E3561" i="2"/>
  <c r="D3561" i="2"/>
  <c r="B3561" i="2"/>
  <c r="A3561" i="2"/>
  <c r="O3560" i="2"/>
  <c r="O3559" i="2"/>
  <c r="O3558" i="2"/>
  <c r="M3558" i="2"/>
  <c r="L3558" i="2"/>
  <c r="E3558" i="2"/>
  <c r="D3558" i="2"/>
  <c r="B3558" i="2"/>
  <c r="A3558" i="2"/>
  <c r="O3557" i="2"/>
  <c r="O3556" i="2"/>
  <c r="O3555" i="2"/>
  <c r="M3555" i="2"/>
  <c r="L3555" i="2"/>
  <c r="E3555" i="2"/>
  <c r="D3555" i="2"/>
  <c r="B3555" i="2"/>
  <c r="A3555" i="2"/>
  <c r="O3554" i="2"/>
  <c r="M3554" i="2"/>
  <c r="L3554" i="2"/>
  <c r="E3554" i="2"/>
  <c r="D3554" i="2"/>
  <c r="B3554" i="2"/>
  <c r="A3554" i="2"/>
  <c r="O3553" i="2"/>
  <c r="O3552" i="2"/>
  <c r="M3552" i="2"/>
  <c r="L3552" i="2"/>
  <c r="E3552" i="2"/>
  <c r="D3552" i="2"/>
  <c r="B3552" i="2"/>
  <c r="A3552" i="2"/>
  <c r="O3551" i="2"/>
  <c r="O3550" i="2"/>
  <c r="O3549" i="2"/>
  <c r="O3548" i="2"/>
  <c r="O3547" i="2"/>
  <c r="M3547" i="2"/>
  <c r="L3547" i="2"/>
  <c r="E3547" i="2"/>
  <c r="D3547" i="2"/>
  <c r="B3547" i="2"/>
  <c r="A3547" i="2"/>
  <c r="O3546" i="2"/>
  <c r="M3546" i="2"/>
  <c r="L3546" i="2"/>
  <c r="E3546" i="2"/>
  <c r="D3546" i="2"/>
  <c r="B3546" i="2"/>
  <c r="A3546" i="2"/>
  <c r="O3545" i="2"/>
  <c r="O3544" i="2"/>
  <c r="O3543" i="2"/>
  <c r="O3542" i="2"/>
  <c r="M3542" i="2"/>
  <c r="L3542" i="2"/>
  <c r="E3542" i="2"/>
  <c r="D3542" i="2"/>
  <c r="B3542" i="2"/>
  <c r="A3542" i="2"/>
  <c r="O3541" i="2"/>
  <c r="M3541" i="2"/>
  <c r="L3541" i="2"/>
  <c r="E3541" i="2"/>
  <c r="D3541" i="2"/>
  <c r="B3541" i="2"/>
  <c r="A3541" i="2"/>
  <c r="O3540" i="2"/>
  <c r="M3540" i="2"/>
  <c r="L3540" i="2"/>
  <c r="E3540" i="2"/>
  <c r="D3540" i="2"/>
  <c r="B3540" i="2"/>
  <c r="A3540" i="2"/>
  <c r="O3539" i="2"/>
  <c r="O3538" i="2"/>
  <c r="O3537" i="2"/>
  <c r="O3536" i="2"/>
  <c r="M3536" i="2"/>
  <c r="L3536" i="2"/>
  <c r="E3536" i="2"/>
  <c r="D3536" i="2"/>
  <c r="B3536" i="2"/>
  <c r="A3536" i="2"/>
  <c r="O3535" i="2"/>
  <c r="M3535" i="2"/>
  <c r="L3535" i="2"/>
  <c r="E3535" i="2"/>
  <c r="D3535" i="2"/>
  <c r="B3535" i="2"/>
  <c r="A3535" i="2"/>
  <c r="O3534" i="2"/>
  <c r="M3534" i="2"/>
  <c r="L3534" i="2"/>
  <c r="E3534" i="2"/>
  <c r="D3534" i="2"/>
  <c r="B3534" i="2"/>
  <c r="A3534" i="2"/>
  <c r="O3533" i="2"/>
  <c r="O3532" i="2"/>
  <c r="O3531" i="2"/>
  <c r="M3531" i="2"/>
  <c r="L3531" i="2"/>
  <c r="E3531" i="2"/>
  <c r="D3531" i="2"/>
  <c r="B3531" i="2"/>
  <c r="A3531" i="2"/>
  <c r="O3530" i="2"/>
  <c r="M3530" i="2"/>
  <c r="L3530" i="2"/>
  <c r="E3530" i="2"/>
  <c r="D3530" i="2"/>
  <c r="B3530" i="2"/>
  <c r="A3530" i="2"/>
  <c r="O3529" i="2"/>
  <c r="M3529" i="2"/>
  <c r="L3529" i="2"/>
  <c r="E3529" i="2"/>
  <c r="D3529" i="2"/>
  <c r="B3529" i="2"/>
  <c r="A3529" i="2"/>
  <c r="O3528" i="2"/>
  <c r="O3527" i="2"/>
  <c r="M3527" i="2"/>
  <c r="L3527" i="2"/>
  <c r="E3527" i="2"/>
  <c r="D3527" i="2"/>
  <c r="B3527" i="2"/>
  <c r="A3527" i="2"/>
  <c r="O3526" i="2"/>
  <c r="O3525" i="2"/>
  <c r="M3525" i="2"/>
  <c r="L3525" i="2"/>
  <c r="E3525" i="2"/>
  <c r="D3525" i="2"/>
  <c r="B3525" i="2"/>
  <c r="A3525" i="2"/>
  <c r="O3524" i="2"/>
  <c r="O3523" i="2"/>
  <c r="O3522" i="2"/>
  <c r="M3522" i="2"/>
  <c r="L3522" i="2"/>
  <c r="E3522" i="2"/>
  <c r="D3522" i="2"/>
  <c r="B3522" i="2"/>
  <c r="A3522" i="2"/>
  <c r="O3521" i="2"/>
  <c r="O3520" i="2"/>
  <c r="M3520" i="2"/>
  <c r="L3520" i="2"/>
  <c r="E3520" i="2"/>
  <c r="D3520" i="2"/>
  <c r="B3520" i="2"/>
  <c r="A3520" i="2"/>
  <c r="O3519" i="2"/>
  <c r="O3518" i="2"/>
  <c r="M3518" i="2"/>
  <c r="L3518" i="2"/>
  <c r="E3518" i="2"/>
  <c r="D3518" i="2"/>
  <c r="B3518" i="2"/>
  <c r="A3518" i="2"/>
  <c r="O3517" i="2"/>
  <c r="O3516" i="2"/>
  <c r="O3515" i="2"/>
  <c r="M3515" i="2"/>
  <c r="L3515" i="2"/>
  <c r="E3515" i="2"/>
  <c r="D3515" i="2"/>
  <c r="B3515" i="2"/>
  <c r="A3515" i="2"/>
  <c r="O3514" i="2"/>
  <c r="M3514" i="2"/>
  <c r="L3514" i="2"/>
  <c r="E3514" i="2"/>
  <c r="D3514" i="2"/>
  <c r="B3514" i="2"/>
  <c r="A3514" i="2"/>
  <c r="O3513" i="2"/>
  <c r="O3512" i="2"/>
  <c r="M3512" i="2"/>
  <c r="L3512" i="2"/>
  <c r="E3512" i="2"/>
  <c r="D3512" i="2"/>
  <c r="B3512" i="2"/>
  <c r="A3512" i="2"/>
  <c r="O3511" i="2"/>
  <c r="O3510" i="2"/>
  <c r="M3510" i="2"/>
  <c r="L3510" i="2"/>
  <c r="E3510" i="2"/>
  <c r="D3510" i="2"/>
  <c r="B3510" i="2"/>
  <c r="A3510" i="2"/>
  <c r="O3509" i="2"/>
  <c r="O3508" i="2"/>
  <c r="O3507" i="2"/>
  <c r="O3506" i="2"/>
  <c r="M3506" i="2"/>
  <c r="L3506" i="2"/>
  <c r="E3506" i="2"/>
  <c r="D3506" i="2"/>
  <c r="B3506" i="2"/>
  <c r="A3506" i="2"/>
  <c r="O3505" i="2"/>
  <c r="M3505" i="2"/>
  <c r="L3505" i="2"/>
  <c r="E3505" i="2"/>
  <c r="D3505" i="2"/>
  <c r="B3505" i="2"/>
  <c r="A3505" i="2"/>
  <c r="O3504" i="2"/>
  <c r="O3503" i="2"/>
  <c r="M3503" i="2"/>
  <c r="L3503" i="2"/>
  <c r="E3503" i="2"/>
  <c r="D3503" i="2"/>
  <c r="B3503" i="2"/>
  <c r="A3503" i="2"/>
  <c r="O3502" i="2"/>
  <c r="O3501" i="2"/>
  <c r="O3500" i="2"/>
  <c r="O3499" i="2"/>
  <c r="M3499" i="2"/>
  <c r="L3499" i="2"/>
  <c r="E3499" i="2"/>
  <c r="D3499" i="2"/>
  <c r="B3499" i="2"/>
  <c r="A3499" i="2"/>
  <c r="O3498" i="2"/>
  <c r="M3498" i="2"/>
  <c r="L3498" i="2"/>
  <c r="E3498" i="2"/>
  <c r="D3498" i="2"/>
  <c r="B3498" i="2"/>
  <c r="A3498" i="2"/>
  <c r="O3497" i="2"/>
  <c r="M3497" i="2"/>
  <c r="L3497" i="2"/>
  <c r="E3497" i="2"/>
  <c r="D3497" i="2"/>
  <c r="B3497" i="2"/>
  <c r="A3497" i="2"/>
  <c r="O3496" i="2"/>
  <c r="M3496" i="2"/>
  <c r="L3496" i="2"/>
  <c r="E3496" i="2"/>
  <c r="D3496" i="2"/>
  <c r="B3496" i="2"/>
  <c r="A3496" i="2"/>
  <c r="O3495" i="2"/>
  <c r="M3495" i="2"/>
  <c r="L3495" i="2"/>
  <c r="E3495" i="2"/>
  <c r="D3495" i="2"/>
  <c r="B3495" i="2"/>
  <c r="A3495" i="2"/>
  <c r="O3494" i="2"/>
  <c r="O3493" i="2"/>
  <c r="M3493" i="2"/>
  <c r="L3493" i="2"/>
  <c r="E3493" i="2"/>
  <c r="D3493" i="2"/>
  <c r="B3493" i="2"/>
  <c r="A3493" i="2"/>
  <c r="O3492" i="2"/>
  <c r="O3491" i="2"/>
  <c r="O3490" i="2"/>
  <c r="O3489" i="2"/>
  <c r="O3488" i="2"/>
  <c r="O3487" i="2"/>
  <c r="O3486" i="2"/>
  <c r="M3486" i="2"/>
  <c r="L3486" i="2"/>
  <c r="E3486" i="2"/>
  <c r="D3486" i="2"/>
  <c r="B3486" i="2"/>
  <c r="A3486" i="2"/>
  <c r="O3485" i="2"/>
  <c r="M3485" i="2"/>
  <c r="L3485" i="2"/>
  <c r="E3485" i="2"/>
  <c r="D3485" i="2"/>
  <c r="B3485" i="2"/>
  <c r="A3485" i="2"/>
  <c r="O3484" i="2"/>
  <c r="O3483" i="2"/>
  <c r="M3483" i="2"/>
  <c r="L3483" i="2"/>
  <c r="E3483" i="2"/>
  <c r="D3483" i="2"/>
  <c r="B3483" i="2"/>
  <c r="A3483" i="2"/>
  <c r="O3482" i="2"/>
  <c r="O3481" i="2"/>
  <c r="M3481" i="2"/>
  <c r="L3481" i="2"/>
  <c r="E3481" i="2"/>
  <c r="D3481" i="2"/>
  <c r="B3481" i="2"/>
  <c r="A3481" i="2"/>
  <c r="O3480" i="2"/>
  <c r="O3479" i="2"/>
  <c r="O3478" i="2"/>
  <c r="O3477" i="2"/>
  <c r="M3477" i="2"/>
  <c r="L3477" i="2"/>
  <c r="E3477" i="2"/>
  <c r="D3477" i="2"/>
  <c r="B3477" i="2"/>
  <c r="A3477" i="2"/>
  <c r="O3476" i="2"/>
  <c r="M3476" i="2"/>
  <c r="L3476" i="2"/>
  <c r="E3476" i="2"/>
  <c r="D3476" i="2"/>
  <c r="B3476" i="2"/>
  <c r="A3476" i="2"/>
  <c r="O3475" i="2"/>
  <c r="O3474" i="2"/>
  <c r="M3474" i="2"/>
  <c r="L3474" i="2"/>
  <c r="E3474" i="2"/>
  <c r="D3474" i="2"/>
  <c r="B3474" i="2"/>
  <c r="A3474" i="2"/>
  <c r="O3473" i="2"/>
  <c r="O3472" i="2"/>
  <c r="M3472" i="2"/>
  <c r="L3472" i="2"/>
  <c r="E3472" i="2"/>
  <c r="D3472" i="2"/>
  <c r="B3472" i="2"/>
  <c r="A3472" i="2"/>
  <c r="O3471" i="2"/>
  <c r="O3470" i="2"/>
  <c r="M3470" i="2"/>
  <c r="L3470" i="2"/>
  <c r="E3470" i="2"/>
  <c r="D3470" i="2"/>
  <c r="B3470" i="2"/>
  <c r="A3470" i="2"/>
  <c r="O3469" i="2"/>
  <c r="M3469" i="2"/>
  <c r="L3469" i="2"/>
  <c r="E3469" i="2"/>
  <c r="D3469" i="2"/>
  <c r="B3469" i="2"/>
  <c r="A3469" i="2"/>
  <c r="O3468" i="2"/>
  <c r="M3468" i="2"/>
  <c r="L3468" i="2"/>
  <c r="E3468" i="2"/>
  <c r="D3468" i="2"/>
  <c r="B3468" i="2"/>
  <c r="A3468" i="2"/>
  <c r="O3467" i="2"/>
  <c r="O3466" i="2"/>
  <c r="O3465" i="2"/>
  <c r="M3465" i="2"/>
  <c r="L3465" i="2"/>
  <c r="E3465" i="2"/>
  <c r="D3465" i="2"/>
  <c r="B3465" i="2"/>
  <c r="A3465" i="2"/>
  <c r="O3464" i="2"/>
  <c r="O3463" i="2"/>
  <c r="M3463" i="2"/>
  <c r="L3463" i="2"/>
  <c r="E3463" i="2"/>
  <c r="D3463" i="2"/>
  <c r="B3463" i="2"/>
  <c r="A3463" i="2"/>
  <c r="O3462" i="2"/>
  <c r="M3462" i="2"/>
  <c r="L3462" i="2"/>
  <c r="E3462" i="2"/>
  <c r="D3462" i="2"/>
  <c r="B3462" i="2"/>
  <c r="A3462" i="2"/>
  <c r="O3461" i="2"/>
  <c r="M3461" i="2"/>
  <c r="L3461" i="2"/>
  <c r="E3461" i="2"/>
  <c r="D3461" i="2"/>
  <c r="B3461" i="2"/>
  <c r="A3461" i="2"/>
  <c r="O3460" i="2"/>
  <c r="M3460" i="2"/>
  <c r="L3460" i="2"/>
  <c r="E3460" i="2"/>
  <c r="D3460" i="2"/>
  <c r="B3460" i="2"/>
  <c r="A3460" i="2"/>
  <c r="O3459" i="2"/>
  <c r="O3458" i="2"/>
  <c r="M3458" i="2"/>
  <c r="L3458" i="2"/>
  <c r="E3458" i="2"/>
  <c r="D3458" i="2"/>
  <c r="B3458" i="2"/>
  <c r="A3458" i="2"/>
  <c r="O3457" i="2"/>
  <c r="M3457" i="2"/>
  <c r="L3457" i="2"/>
  <c r="E3457" i="2"/>
  <c r="D3457" i="2"/>
  <c r="B3457" i="2"/>
  <c r="A3457" i="2"/>
  <c r="O3456" i="2"/>
  <c r="M3456" i="2"/>
  <c r="L3456" i="2"/>
  <c r="E3456" i="2"/>
  <c r="D3456" i="2"/>
  <c r="B3456" i="2"/>
  <c r="A3456" i="2"/>
  <c r="O3455" i="2"/>
  <c r="O3454" i="2"/>
  <c r="M3454" i="2"/>
  <c r="L3454" i="2"/>
  <c r="E3454" i="2"/>
  <c r="D3454" i="2"/>
  <c r="B3454" i="2"/>
  <c r="A3454" i="2"/>
  <c r="O3453" i="2"/>
  <c r="O3452" i="2"/>
  <c r="M3452" i="2"/>
  <c r="L3452" i="2"/>
  <c r="E3452" i="2"/>
  <c r="D3452" i="2"/>
  <c r="B3452" i="2"/>
  <c r="A3452" i="2"/>
  <c r="O3451" i="2"/>
  <c r="M3451" i="2"/>
  <c r="L3451" i="2"/>
  <c r="E3451" i="2"/>
  <c r="D3451" i="2"/>
  <c r="B3451" i="2"/>
  <c r="A3451" i="2"/>
  <c r="O3450" i="2"/>
  <c r="M3450" i="2"/>
  <c r="L3450" i="2"/>
  <c r="E3450" i="2"/>
  <c r="D3450" i="2"/>
  <c r="B3450" i="2"/>
  <c r="A3450" i="2"/>
  <c r="O3449" i="2"/>
  <c r="O3448" i="2"/>
  <c r="M3448" i="2"/>
  <c r="L3448" i="2"/>
  <c r="E3448" i="2"/>
  <c r="D3448" i="2"/>
  <c r="B3448" i="2"/>
  <c r="A3448" i="2"/>
  <c r="O3447" i="2"/>
  <c r="O3446" i="2"/>
  <c r="M3446" i="2"/>
  <c r="L3446" i="2"/>
  <c r="E3446" i="2"/>
  <c r="D3446" i="2"/>
  <c r="B3446" i="2"/>
  <c r="A3446" i="2"/>
  <c r="O3445" i="2"/>
  <c r="M3445" i="2"/>
  <c r="L3445" i="2"/>
  <c r="E3445" i="2"/>
  <c r="D3445" i="2"/>
  <c r="B3445" i="2"/>
  <c r="A3445" i="2"/>
  <c r="O3444" i="2"/>
  <c r="O3443" i="2"/>
  <c r="O3442" i="2"/>
  <c r="M3442" i="2"/>
  <c r="L3442" i="2"/>
  <c r="E3442" i="2"/>
  <c r="D3442" i="2"/>
  <c r="B3442" i="2"/>
  <c r="A3442" i="2"/>
  <c r="O3441" i="2"/>
  <c r="O3440" i="2"/>
  <c r="O3439" i="2"/>
  <c r="O3438" i="2"/>
  <c r="M3438" i="2"/>
  <c r="L3438" i="2"/>
  <c r="E3438" i="2"/>
  <c r="D3438" i="2"/>
  <c r="B3438" i="2"/>
  <c r="A3438" i="2"/>
  <c r="O3437" i="2"/>
  <c r="M3437" i="2"/>
  <c r="L3437" i="2"/>
  <c r="E3437" i="2"/>
  <c r="D3437" i="2"/>
  <c r="B3437" i="2"/>
  <c r="A3437" i="2"/>
  <c r="O3436" i="2"/>
  <c r="O3435" i="2"/>
  <c r="M3435" i="2"/>
  <c r="L3435" i="2"/>
  <c r="E3435" i="2"/>
  <c r="D3435" i="2"/>
  <c r="B3435" i="2"/>
  <c r="A3435" i="2"/>
  <c r="O3434" i="2"/>
  <c r="O3433" i="2"/>
  <c r="M3433" i="2"/>
  <c r="L3433" i="2"/>
  <c r="E3433" i="2"/>
  <c r="D3433" i="2"/>
  <c r="B3433" i="2"/>
  <c r="A3433" i="2"/>
  <c r="O3432" i="2"/>
  <c r="O3431" i="2"/>
  <c r="O3430" i="2"/>
  <c r="O3429" i="2"/>
  <c r="M3429" i="2"/>
  <c r="L3429" i="2"/>
  <c r="E3429" i="2"/>
  <c r="D3429" i="2"/>
  <c r="B3429" i="2"/>
  <c r="A3429" i="2"/>
  <c r="O3428" i="2"/>
  <c r="M3428" i="2"/>
  <c r="L3428" i="2"/>
  <c r="E3428" i="2"/>
  <c r="D3428" i="2"/>
  <c r="B3428" i="2"/>
  <c r="A3428" i="2"/>
  <c r="O3427" i="2"/>
  <c r="M3427" i="2"/>
  <c r="L3427" i="2"/>
  <c r="E3427" i="2"/>
  <c r="D3427" i="2"/>
  <c r="B3427" i="2"/>
  <c r="A3427" i="2"/>
  <c r="O3426" i="2"/>
  <c r="O3425" i="2"/>
  <c r="M3425" i="2"/>
  <c r="L3425" i="2"/>
  <c r="E3425" i="2"/>
  <c r="D3425" i="2"/>
  <c r="B3425" i="2"/>
  <c r="A3425" i="2"/>
  <c r="O3424" i="2"/>
  <c r="M3424" i="2"/>
  <c r="L3424" i="2"/>
  <c r="E3424" i="2"/>
  <c r="D3424" i="2"/>
  <c r="B3424" i="2"/>
  <c r="A3424" i="2"/>
  <c r="O3423" i="2"/>
  <c r="O3422" i="2"/>
  <c r="O3421" i="2"/>
  <c r="O3420" i="2"/>
  <c r="O3419" i="2"/>
  <c r="M3419" i="2"/>
  <c r="L3419" i="2"/>
  <c r="E3419" i="2"/>
  <c r="D3419" i="2"/>
  <c r="B3419" i="2"/>
  <c r="A3419" i="2"/>
  <c r="O3418" i="2"/>
  <c r="O3417" i="2"/>
  <c r="O3416" i="2"/>
  <c r="O3415" i="2"/>
  <c r="O3414" i="2"/>
  <c r="O3413" i="2"/>
  <c r="O3412" i="2"/>
  <c r="M3412" i="2"/>
  <c r="L3412" i="2"/>
  <c r="E3412" i="2"/>
  <c r="D3412" i="2"/>
  <c r="B3412" i="2"/>
  <c r="A3412" i="2"/>
  <c r="O3411" i="2"/>
  <c r="M3411" i="2"/>
  <c r="L3411" i="2"/>
  <c r="E3411" i="2"/>
  <c r="D3411" i="2"/>
  <c r="B3411" i="2"/>
  <c r="A3411" i="2"/>
  <c r="O3410" i="2"/>
  <c r="O3409" i="2"/>
  <c r="O3408" i="2"/>
  <c r="O3407" i="2"/>
  <c r="M3407" i="2"/>
  <c r="L3407" i="2"/>
  <c r="E3407" i="2"/>
  <c r="D3407" i="2"/>
  <c r="B3407" i="2"/>
  <c r="A3407" i="2"/>
  <c r="O3406" i="2"/>
  <c r="M3406" i="2"/>
  <c r="L3406" i="2"/>
  <c r="E3406" i="2"/>
  <c r="D3406" i="2"/>
  <c r="B3406" i="2"/>
  <c r="A3406" i="2"/>
  <c r="O3405" i="2"/>
  <c r="M3405" i="2"/>
  <c r="L3405" i="2"/>
  <c r="E3405" i="2"/>
  <c r="D3405" i="2"/>
  <c r="B3405" i="2"/>
  <c r="A3405" i="2"/>
  <c r="O3404" i="2"/>
  <c r="M3404" i="2"/>
  <c r="L3404" i="2"/>
  <c r="E3404" i="2"/>
  <c r="D3404" i="2"/>
  <c r="B3404" i="2"/>
  <c r="A3404" i="2"/>
  <c r="O3403" i="2"/>
  <c r="M3403" i="2"/>
  <c r="L3403" i="2"/>
  <c r="E3403" i="2"/>
  <c r="D3403" i="2"/>
  <c r="B3403" i="2"/>
  <c r="A3403" i="2"/>
  <c r="O3402" i="2"/>
  <c r="M3402" i="2"/>
  <c r="L3402" i="2"/>
  <c r="E3402" i="2"/>
  <c r="D3402" i="2"/>
  <c r="B3402" i="2"/>
  <c r="A3402" i="2"/>
  <c r="O3401" i="2"/>
  <c r="M3401" i="2"/>
  <c r="L3401" i="2"/>
  <c r="E3401" i="2"/>
  <c r="D3401" i="2"/>
  <c r="B3401" i="2"/>
  <c r="A3401" i="2"/>
  <c r="O3400" i="2"/>
  <c r="M3400" i="2"/>
  <c r="L3400" i="2"/>
  <c r="E3400" i="2"/>
  <c r="D3400" i="2"/>
  <c r="B3400" i="2"/>
  <c r="A3400" i="2"/>
  <c r="O3399" i="2"/>
  <c r="O3398" i="2"/>
  <c r="M3398" i="2"/>
  <c r="L3398" i="2"/>
  <c r="E3398" i="2"/>
  <c r="D3398" i="2"/>
  <c r="B3398" i="2"/>
  <c r="A3398" i="2"/>
  <c r="O3397" i="2"/>
  <c r="O3396" i="2"/>
  <c r="O3395" i="2"/>
  <c r="O3394" i="2"/>
  <c r="M3394" i="2"/>
  <c r="L3394" i="2"/>
  <c r="E3394" i="2"/>
  <c r="D3394" i="2"/>
  <c r="B3394" i="2"/>
  <c r="A3394" i="2"/>
  <c r="O3393" i="2"/>
  <c r="M3393" i="2"/>
  <c r="L3393" i="2"/>
  <c r="E3393" i="2"/>
  <c r="D3393" i="2"/>
  <c r="B3393" i="2"/>
  <c r="A3393" i="2"/>
  <c r="O3392" i="2"/>
  <c r="M3392" i="2"/>
  <c r="L3392" i="2"/>
  <c r="E3392" i="2"/>
  <c r="D3392" i="2"/>
  <c r="B3392" i="2"/>
  <c r="A3392" i="2"/>
  <c r="O3391" i="2"/>
  <c r="M3391" i="2"/>
  <c r="L3391" i="2"/>
  <c r="E3391" i="2"/>
  <c r="D3391" i="2"/>
  <c r="B3391" i="2"/>
  <c r="A3391" i="2"/>
  <c r="O3390" i="2"/>
  <c r="M3390" i="2"/>
  <c r="L3390" i="2"/>
  <c r="E3390" i="2"/>
  <c r="D3390" i="2"/>
  <c r="B3390" i="2"/>
  <c r="A3390" i="2"/>
  <c r="O3389" i="2"/>
  <c r="M3389" i="2"/>
  <c r="L3389" i="2"/>
  <c r="E3389" i="2"/>
  <c r="D3389" i="2"/>
  <c r="B3389" i="2"/>
  <c r="A3389" i="2"/>
  <c r="O3388" i="2"/>
  <c r="M3388" i="2"/>
  <c r="L3388" i="2"/>
  <c r="E3388" i="2"/>
  <c r="D3388" i="2"/>
  <c r="B3388" i="2"/>
  <c r="A3388" i="2"/>
  <c r="O3387" i="2"/>
  <c r="O3386" i="2"/>
  <c r="M3386" i="2"/>
  <c r="L3386" i="2"/>
  <c r="E3386" i="2"/>
  <c r="D3386" i="2"/>
  <c r="B3386" i="2"/>
  <c r="A3386" i="2"/>
  <c r="O3385" i="2"/>
  <c r="M3385" i="2"/>
  <c r="L3385" i="2"/>
  <c r="E3385" i="2"/>
  <c r="D3385" i="2"/>
  <c r="B3385" i="2"/>
  <c r="A3385" i="2"/>
  <c r="O3384" i="2"/>
  <c r="M3384" i="2"/>
  <c r="L3384" i="2"/>
  <c r="E3384" i="2"/>
  <c r="D3384" i="2"/>
  <c r="B3384" i="2"/>
  <c r="A3384" i="2"/>
  <c r="O3383" i="2"/>
  <c r="M3383" i="2"/>
  <c r="L3383" i="2"/>
  <c r="E3383" i="2"/>
  <c r="D3383" i="2"/>
  <c r="B3383" i="2"/>
  <c r="A3383" i="2"/>
  <c r="O3382" i="2"/>
  <c r="M3382" i="2"/>
  <c r="L3382" i="2"/>
  <c r="E3382" i="2"/>
  <c r="D3382" i="2"/>
  <c r="B3382" i="2"/>
  <c r="A3382" i="2"/>
  <c r="O3381" i="2"/>
  <c r="M3381" i="2"/>
  <c r="L3381" i="2"/>
  <c r="E3381" i="2"/>
  <c r="D3381" i="2"/>
  <c r="B3381" i="2"/>
  <c r="A3381" i="2"/>
  <c r="O3380" i="2"/>
  <c r="M3380" i="2"/>
  <c r="L3380" i="2"/>
  <c r="E3380" i="2"/>
  <c r="D3380" i="2"/>
  <c r="B3380" i="2"/>
  <c r="A3380" i="2"/>
  <c r="O3379" i="2"/>
  <c r="M3379" i="2"/>
  <c r="L3379" i="2"/>
  <c r="E3379" i="2"/>
  <c r="D3379" i="2"/>
  <c r="B3379" i="2"/>
  <c r="A3379" i="2"/>
  <c r="O3378" i="2"/>
  <c r="M3378" i="2"/>
  <c r="L3378" i="2"/>
  <c r="E3378" i="2"/>
  <c r="D3378" i="2"/>
  <c r="B3378" i="2"/>
  <c r="A3378" i="2"/>
  <c r="O3377" i="2"/>
  <c r="M3377" i="2"/>
  <c r="L3377" i="2"/>
  <c r="E3377" i="2"/>
  <c r="D3377" i="2"/>
  <c r="B3377" i="2"/>
  <c r="A3377" i="2"/>
  <c r="O3376" i="2"/>
  <c r="O3375" i="2"/>
  <c r="M3375" i="2"/>
  <c r="L3375" i="2"/>
  <c r="E3375" i="2"/>
  <c r="D3375" i="2"/>
  <c r="B3375" i="2"/>
  <c r="A3375" i="2"/>
  <c r="O3374" i="2"/>
  <c r="O3373" i="2"/>
  <c r="O3372" i="2"/>
  <c r="O3371" i="2"/>
  <c r="M3371" i="2"/>
  <c r="L3371" i="2"/>
  <c r="E3371" i="2"/>
  <c r="D3371" i="2"/>
  <c r="B3371" i="2"/>
  <c r="A3371" i="2"/>
  <c r="O3370" i="2"/>
  <c r="M3370" i="2"/>
  <c r="L3370" i="2"/>
  <c r="E3370" i="2"/>
  <c r="D3370" i="2"/>
  <c r="B3370" i="2"/>
  <c r="A3370" i="2"/>
  <c r="O3369" i="2"/>
  <c r="M3369" i="2"/>
  <c r="L3369" i="2"/>
  <c r="E3369" i="2"/>
  <c r="D3369" i="2"/>
  <c r="B3369" i="2"/>
  <c r="A3369" i="2"/>
  <c r="O3368" i="2"/>
  <c r="M3368" i="2"/>
  <c r="L3368" i="2"/>
  <c r="E3368" i="2"/>
  <c r="D3368" i="2"/>
  <c r="B3368" i="2"/>
  <c r="A3368" i="2"/>
  <c r="O3367" i="2"/>
  <c r="M3367" i="2"/>
  <c r="L3367" i="2"/>
  <c r="E3367" i="2"/>
  <c r="D3367" i="2"/>
  <c r="B3367" i="2"/>
  <c r="A3367" i="2"/>
  <c r="O3366" i="2"/>
  <c r="O3365" i="2"/>
  <c r="O3364" i="2"/>
  <c r="M3364" i="2"/>
  <c r="L3364" i="2"/>
  <c r="E3364" i="2"/>
  <c r="D3364" i="2"/>
  <c r="B3364" i="2"/>
  <c r="A3364" i="2"/>
  <c r="O3363" i="2"/>
  <c r="M3363" i="2"/>
  <c r="L3363" i="2"/>
  <c r="E3363" i="2"/>
  <c r="D3363" i="2"/>
  <c r="B3363" i="2"/>
  <c r="A3363" i="2"/>
  <c r="O3362" i="2"/>
  <c r="O3361" i="2"/>
  <c r="M3361" i="2"/>
  <c r="L3361" i="2"/>
  <c r="E3361" i="2"/>
  <c r="D3361" i="2"/>
  <c r="B3361" i="2"/>
  <c r="A3361" i="2"/>
  <c r="O3360" i="2"/>
  <c r="M3360" i="2"/>
  <c r="L3360" i="2"/>
  <c r="E3360" i="2"/>
  <c r="D3360" i="2"/>
  <c r="B3360" i="2"/>
  <c r="A3360" i="2"/>
  <c r="O3359" i="2"/>
  <c r="O3358" i="2"/>
  <c r="O3357" i="2"/>
  <c r="M3357" i="2"/>
  <c r="L3357" i="2"/>
  <c r="E3357" i="2"/>
  <c r="D3357" i="2"/>
  <c r="B3357" i="2"/>
  <c r="A3357" i="2"/>
  <c r="O3356" i="2"/>
  <c r="M3356" i="2"/>
  <c r="L3356" i="2"/>
  <c r="E3356" i="2"/>
  <c r="D3356" i="2"/>
  <c r="B3356" i="2"/>
  <c r="A3356" i="2"/>
  <c r="O3355" i="2"/>
  <c r="M3355" i="2"/>
  <c r="L3355" i="2"/>
  <c r="E3355" i="2"/>
  <c r="D3355" i="2"/>
  <c r="B3355" i="2"/>
  <c r="A3355" i="2"/>
  <c r="O3354" i="2"/>
  <c r="M3354" i="2"/>
  <c r="L3354" i="2"/>
  <c r="E3354" i="2"/>
  <c r="D3354" i="2"/>
  <c r="B3354" i="2"/>
  <c r="A3354" i="2"/>
  <c r="O3353" i="2"/>
  <c r="O3352" i="2"/>
  <c r="O3351" i="2"/>
  <c r="O3350" i="2"/>
  <c r="M3350" i="2"/>
  <c r="L3350" i="2"/>
  <c r="E3350" i="2"/>
  <c r="D3350" i="2"/>
  <c r="B3350" i="2"/>
  <c r="A3350" i="2"/>
  <c r="O3349" i="2"/>
  <c r="M3349" i="2"/>
  <c r="L3349" i="2"/>
  <c r="E3349" i="2"/>
  <c r="D3349" i="2"/>
  <c r="B3349" i="2"/>
  <c r="A3349" i="2"/>
  <c r="O3348" i="2"/>
  <c r="O3347" i="2"/>
  <c r="O3346" i="2"/>
  <c r="O3345" i="2"/>
  <c r="O3344" i="2"/>
  <c r="O3343" i="2"/>
  <c r="O3342" i="2"/>
  <c r="O3341" i="2"/>
  <c r="M3341" i="2"/>
  <c r="L3341" i="2"/>
  <c r="E3341" i="2"/>
  <c r="D3341" i="2"/>
  <c r="B3341" i="2"/>
  <c r="A3341" i="2"/>
  <c r="O3340" i="2"/>
  <c r="O3339" i="2"/>
  <c r="O3338" i="2"/>
  <c r="M3338" i="2"/>
  <c r="L3338" i="2"/>
  <c r="E3338" i="2"/>
  <c r="D3338" i="2"/>
  <c r="B3338" i="2"/>
  <c r="A3338" i="2"/>
  <c r="O3337" i="2"/>
  <c r="O3336" i="2"/>
  <c r="O3335" i="2"/>
  <c r="O3334" i="2"/>
  <c r="O3333" i="2"/>
  <c r="O3332" i="2"/>
  <c r="M3332" i="2"/>
  <c r="L3332" i="2"/>
  <c r="E3332" i="2"/>
  <c r="D3332" i="2"/>
  <c r="B3332" i="2"/>
  <c r="A3332" i="2"/>
  <c r="O3331" i="2"/>
  <c r="M3331" i="2"/>
  <c r="L3331" i="2"/>
  <c r="E3331" i="2"/>
  <c r="D3331" i="2"/>
  <c r="B3331" i="2"/>
  <c r="A3331" i="2"/>
  <c r="O3330" i="2"/>
  <c r="O3329" i="2"/>
  <c r="O3328" i="2"/>
  <c r="O3327" i="2"/>
  <c r="O3326" i="2"/>
  <c r="O3325" i="2"/>
  <c r="O3324" i="2"/>
  <c r="O3323" i="2"/>
  <c r="O3322" i="2"/>
  <c r="O3321" i="2"/>
  <c r="O3320" i="2"/>
  <c r="O3319" i="2"/>
  <c r="O3318" i="2"/>
  <c r="O3317" i="2"/>
  <c r="M3317" i="2"/>
  <c r="L3317" i="2"/>
  <c r="E3317" i="2"/>
  <c r="D3317" i="2"/>
  <c r="B3317" i="2"/>
  <c r="A3317" i="2"/>
  <c r="O3316" i="2"/>
  <c r="M3316" i="2"/>
  <c r="L3316" i="2"/>
  <c r="E3316" i="2"/>
  <c r="D3316" i="2"/>
  <c r="B3316" i="2"/>
  <c r="A3316" i="2"/>
  <c r="O3315" i="2"/>
  <c r="O3314" i="2"/>
  <c r="M3314" i="2"/>
  <c r="L3314" i="2"/>
  <c r="E3314" i="2"/>
  <c r="D3314" i="2"/>
  <c r="B3314" i="2"/>
  <c r="A3314" i="2"/>
  <c r="O3313" i="2"/>
  <c r="M3313" i="2"/>
  <c r="L3313" i="2"/>
  <c r="E3313" i="2"/>
  <c r="D3313" i="2"/>
  <c r="B3313" i="2"/>
  <c r="A3313" i="2"/>
  <c r="O3312" i="2"/>
  <c r="O3311" i="2"/>
  <c r="M3311" i="2"/>
  <c r="L3311" i="2"/>
  <c r="E3311" i="2"/>
  <c r="D3311" i="2"/>
  <c r="B3311" i="2"/>
  <c r="A3311" i="2"/>
  <c r="O3310" i="2"/>
  <c r="M3310" i="2"/>
  <c r="L3310" i="2"/>
  <c r="E3310" i="2"/>
  <c r="D3310" i="2"/>
  <c r="B3310" i="2"/>
  <c r="A3310" i="2"/>
  <c r="O3309" i="2"/>
  <c r="M3309" i="2"/>
  <c r="L3309" i="2"/>
  <c r="E3309" i="2"/>
  <c r="D3309" i="2"/>
  <c r="B3309" i="2"/>
  <c r="A3309" i="2"/>
  <c r="O3308" i="2"/>
  <c r="O3307" i="2"/>
  <c r="M3307" i="2"/>
  <c r="L3307" i="2"/>
  <c r="E3307" i="2"/>
  <c r="D3307" i="2"/>
  <c r="B3307" i="2"/>
  <c r="A3307" i="2"/>
  <c r="O3306" i="2"/>
  <c r="M3306" i="2"/>
  <c r="L3306" i="2"/>
  <c r="E3306" i="2"/>
  <c r="D3306" i="2"/>
  <c r="B3306" i="2"/>
  <c r="A3306" i="2"/>
  <c r="O3305" i="2"/>
  <c r="M3305" i="2"/>
  <c r="L3305" i="2"/>
  <c r="E3305" i="2"/>
  <c r="D3305" i="2"/>
  <c r="B3305" i="2"/>
  <c r="A3305" i="2"/>
  <c r="O3304" i="2"/>
  <c r="O3303" i="2"/>
  <c r="M3303" i="2"/>
  <c r="L3303" i="2"/>
  <c r="E3303" i="2"/>
  <c r="D3303" i="2"/>
  <c r="B3303" i="2"/>
  <c r="A3303" i="2"/>
  <c r="O3302" i="2"/>
  <c r="O3301" i="2"/>
  <c r="O3300" i="2"/>
  <c r="O3299" i="2"/>
  <c r="O3298" i="2"/>
  <c r="O3297" i="2"/>
  <c r="O3296" i="2"/>
  <c r="O3295" i="2"/>
  <c r="O3294" i="2"/>
  <c r="O3293" i="2"/>
  <c r="O3292" i="2"/>
  <c r="O3291" i="2"/>
  <c r="O3290" i="2"/>
  <c r="O3289" i="2"/>
  <c r="M3289" i="2"/>
  <c r="L3289" i="2"/>
  <c r="E3289" i="2"/>
  <c r="D3289" i="2"/>
  <c r="B3289" i="2"/>
  <c r="A3289" i="2"/>
  <c r="O3288" i="2"/>
  <c r="M3288" i="2"/>
  <c r="L3288" i="2"/>
  <c r="E3288" i="2"/>
  <c r="D3288" i="2"/>
  <c r="B3288" i="2"/>
  <c r="A3288" i="2"/>
  <c r="O3287" i="2"/>
  <c r="O3286" i="2"/>
  <c r="M3286" i="2"/>
  <c r="L3286" i="2"/>
  <c r="E3286" i="2"/>
  <c r="D3286" i="2"/>
  <c r="B3286" i="2"/>
  <c r="A3286" i="2"/>
  <c r="O3285" i="2"/>
  <c r="O3284" i="2"/>
  <c r="O3283" i="2"/>
  <c r="M3283" i="2"/>
  <c r="L3283" i="2"/>
  <c r="E3283" i="2"/>
  <c r="D3283" i="2"/>
  <c r="B3283" i="2"/>
  <c r="A3283" i="2"/>
  <c r="O3282" i="2"/>
  <c r="M3282" i="2"/>
  <c r="L3282" i="2"/>
  <c r="E3282" i="2"/>
  <c r="D3282" i="2"/>
  <c r="B3282" i="2"/>
  <c r="A3282" i="2"/>
  <c r="O3281" i="2"/>
  <c r="O3280" i="2"/>
  <c r="M3280" i="2"/>
  <c r="L3280" i="2"/>
  <c r="E3280" i="2"/>
  <c r="D3280" i="2"/>
  <c r="B3280" i="2"/>
  <c r="A3280" i="2"/>
  <c r="O3279" i="2"/>
  <c r="M3279" i="2"/>
  <c r="L3279" i="2"/>
  <c r="E3279" i="2"/>
  <c r="D3279" i="2"/>
  <c r="B3279" i="2"/>
  <c r="A3279" i="2"/>
  <c r="O3278" i="2"/>
  <c r="M3278" i="2"/>
  <c r="L3278" i="2"/>
  <c r="E3278" i="2"/>
  <c r="D3278" i="2"/>
  <c r="B3278" i="2"/>
  <c r="A3278" i="2"/>
  <c r="O3277" i="2"/>
  <c r="M3277" i="2"/>
  <c r="L3277" i="2"/>
  <c r="E3277" i="2"/>
  <c r="D3277" i="2"/>
  <c r="B3277" i="2"/>
  <c r="A3277" i="2"/>
  <c r="O3276" i="2"/>
  <c r="M3276" i="2"/>
  <c r="L3276" i="2"/>
  <c r="E3276" i="2"/>
  <c r="D3276" i="2"/>
  <c r="B3276" i="2"/>
  <c r="A3276" i="2"/>
  <c r="O3275" i="2"/>
  <c r="M3275" i="2"/>
  <c r="L3275" i="2"/>
  <c r="E3275" i="2"/>
  <c r="D3275" i="2"/>
  <c r="B3275" i="2"/>
  <c r="A3275" i="2"/>
  <c r="O3274" i="2"/>
  <c r="M3274" i="2"/>
  <c r="L3274" i="2"/>
  <c r="E3274" i="2"/>
  <c r="D3274" i="2"/>
  <c r="B3274" i="2"/>
  <c r="A3274" i="2"/>
  <c r="O3273" i="2"/>
  <c r="M3273" i="2"/>
  <c r="L3273" i="2"/>
  <c r="E3273" i="2"/>
  <c r="D3273" i="2"/>
  <c r="B3273" i="2"/>
  <c r="A3273" i="2"/>
  <c r="O3272" i="2"/>
  <c r="M3272" i="2"/>
  <c r="L3272" i="2"/>
  <c r="E3272" i="2"/>
  <c r="D3272" i="2"/>
  <c r="B3272" i="2"/>
  <c r="A3272" i="2"/>
  <c r="O3271" i="2"/>
  <c r="O3270" i="2"/>
  <c r="O3269" i="2"/>
  <c r="M3269" i="2"/>
  <c r="L3269" i="2"/>
  <c r="E3269" i="2"/>
  <c r="D3269" i="2"/>
  <c r="B3269" i="2"/>
  <c r="A3269" i="2"/>
  <c r="O3268" i="2"/>
  <c r="M3268" i="2"/>
  <c r="L3268" i="2"/>
  <c r="E3268" i="2"/>
  <c r="D3268" i="2"/>
  <c r="B3268" i="2"/>
  <c r="A3268" i="2"/>
  <c r="O3267" i="2"/>
  <c r="M3267" i="2"/>
  <c r="L3267" i="2"/>
  <c r="E3267" i="2"/>
  <c r="D3267" i="2"/>
  <c r="B3267" i="2"/>
  <c r="A3267" i="2"/>
  <c r="O3266" i="2"/>
  <c r="O3265" i="2"/>
  <c r="O3264" i="2"/>
  <c r="O3263" i="2"/>
  <c r="O3262" i="2"/>
  <c r="O3261" i="2"/>
  <c r="M3261" i="2"/>
  <c r="L3261" i="2"/>
  <c r="E3261" i="2"/>
  <c r="D3261" i="2"/>
  <c r="B3261" i="2"/>
  <c r="A3261" i="2"/>
  <c r="O3260" i="2"/>
  <c r="O3259" i="2"/>
  <c r="O3258" i="2"/>
  <c r="O3257" i="2"/>
  <c r="O3256" i="2"/>
  <c r="O3255" i="2"/>
  <c r="O3254" i="2"/>
  <c r="O3253" i="2"/>
  <c r="O3252" i="2"/>
  <c r="O3251" i="2"/>
  <c r="O3250" i="2"/>
  <c r="O3249" i="2"/>
  <c r="O3248" i="2"/>
  <c r="M3248" i="2"/>
  <c r="L3248" i="2"/>
  <c r="E3248" i="2"/>
  <c r="D3248" i="2"/>
  <c r="B3248" i="2"/>
  <c r="A3248" i="2"/>
  <c r="O3247" i="2"/>
  <c r="M3247" i="2"/>
  <c r="L3247" i="2"/>
  <c r="E3247" i="2"/>
  <c r="D3247" i="2"/>
  <c r="B3247" i="2"/>
  <c r="A3247" i="2"/>
  <c r="O3246" i="2"/>
  <c r="M3246" i="2"/>
  <c r="L3246" i="2"/>
  <c r="E3246" i="2"/>
  <c r="D3246" i="2"/>
  <c r="B3246" i="2"/>
  <c r="A3246" i="2"/>
  <c r="O3245" i="2"/>
  <c r="M3245" i="2"/>
  <c r="L3245" i="2"/>
  <c r="E3245" i="2"/>
  <c r="D3245" i="2"/>
  <c r="B3245" i="2"/>
  <c r="A3245" i="2"/>
  <c r="O3244" i="2"/>
  <c r="M3244" i="2"/>
  <c r="L3244" i="2"/>
  <c r="E3244" i="2"/>
  <c r="D3244" i="2"/>
  <c r="B3244" i="2"/>
  <c r="A3244" i="2"/>
  <c r="O3243" i="2"/>
  <c r="M3243" i="2"/>
  <c r="L3243" i="2"/>
  <c r="E3243" i="2"/>
  <c r="D3243" i="2"/>
  <c r="B3243" i="2"/>
  <c r="A3243" i="2"/>
  <c r="O3242" i="2"/>
  <c r="M3242" i="2"/>
  <c r="L3242" i="2"/>
  <c r="E3242" i="2"/>
  <c r="D3242" i="2"/>
  <c r="B3242" i="2"/>
  <c r="A3242" i="2"/>
  <c r="O3241" i="2"/>
  <c r="M3241" i="2"/>
  <c r="L3241" i="2"/>
  <c r="E3241" i="2"/>
  <c r="D3241" i="2"/>
  <c r="B3241" i="2"/>
  <c r="A3241" i="2"/>
  <c r="O3240" i="2"/>
  <c r="O3239" i="2"/>
  <c r="M3239" i="2"/>
  <c r="L3239" i="2"/>
  <c r="E3239" i="2"/>
  <c r="D3239" i="2"/>
  <c r="B3239" i="2"/>
  <c r="A3239" i="2"/>
  <c r="O3238" i="2"/>
  <c r="M3238" i="2"/>
  <c r="L3238" i="2"/>
  <c r="E3238" i="2"/>
  <c r="D3238" i="2"/>
  <c r="B3238" i="2"/>
  <c r="A3238" i="2"/>
  <c r="O3237" i="2"/>
  <c r="M3237" i="2"/>
  <c r="L3237" i="2"/>
  <c r="E3237" i="2"/>
  <c r="D3237" i="2"/>
  <c r="B3237" i="2"/>
  <c r="A3237" i="2"/>
  <c r="O3236" i="2"/>
  <c r="M3236" i="2"/>
  <c r="L3236" i="2"/>
  <c r="E3236" i="2"/>
  <c r="D3236" i="2"/>
  <c r="B3236" i="2"/>
  <c r="A3236" i="2"/>
  <c r="O3235" i="2"/>
  <c r="M3235" i="2"/>
  <c r="L3235" i="2"/>
  <c r="E3235" i="2"/>
  <c r="D3235" i="2"/>
  <c r="B3235" i="2"/>
  <c r="A3235" i="2"/>
  <c r="O3234" i="2"/>
  <c r="O3233" i="2"/>
  <c r="M3233" i="2"/>
  <c r="L3233" i="2"/>
  <c r="E3233" i="2"/>
  <c r="D3233" i="2"/>
  <c r="B3233" i="2"/>
  <c r="A3233" i="2"/>
  <c r="O3232" i="2"/>
  <c r="M3232" i="2"/>
  <c r="L3232" i="2"/>
  <c r="E3232" i="2"/>
  <c r="D3232" i="2"/>
  <c r="B3232" i="2"/>
  <c r="A3232" i="2"/>
  <c r="O3231" i="2"/>
  <c r="M3231" i="2"/>
  <c r="L3231" i="2"/>
  <c r="E3231" i="2"/>
  <c r="D3231" i="2"/>
  <c r="B3231" i="2"/>
  <c r="A3231" i="2"/>
  <c r="O3230" i="2"/>
  <c r="O3229" i="2"/>
  <c r="M3229" i="2"/>
  <c r="L3229" i="2"/>
  <c r="E3229" i="2"/>
  <c r="D3229" i="2"/>
  <c r="B3229" i="2"/>
  <c r="A3229" i="2"/>
  <c r="O3228" i="2"/>
  <c r="O3227" i="2"/>
  <c r="O3226" i="2"/>
  <c r="O3225" i="2"/>
  <c r="M3225" i="2"/>
  <c r="L3225" i="2"/>
  <c r="E3225" i="2"/>
  <c r="D3225" i="2"/>
  <c r="B3225" i="2"/>
  <c r="A3225" i="2"/>
  <c r="O3224" i="2"/>
  <c r="O3223" i="2"/>
  <c r="O3222" i="2"/>
  <c r="M3222" i="2"/>
  <c r="L3222" i="2"/>
  <c r="E3222" i="2"/>
  <c r="D3222" i="2"/>
  <c r="B3222" i="2"/>
  <c r="A3222" i="2"/>
  <c r="O3221" i="2"/>
  <c r="O3220" i="2"/>
  <c r="O3219" i="2"/>
  <c r="O3218" i="2"/>
  <c r="O3217" i="2"/>
  <c r="O3216" i="2"/>
  <c r="O3215" i="2"/>
  <c r="O3214" i="2"/>
  <c r="M3214" i="2"/>
  <c r="L3214" i="2"/>
  <c r="E3214" i="2"/>
  <c r="D3214" i="2"/>
  <c r="B3214" i="2"/>
  <c r="A3214" i="2"/>
  <c r="O3213" i="2"/>
  <c r="O3212" i="2"/>
  <c r="O3211" i="2"/>
  <c r="M3211" i="2"/>
  <c r="L3211" i="2"/>
  <c r="E3211" i="2"/>
  <c r="D3211" i="2"/>
  <c r="B3211" i="2"/>
  <c r="A3211" i="2"/>
  <c r="O3210" i="2"/>
  <c r="M3210" i="2"/>
  <c r="L3210" i="2"/>
  <c r="E3210" i="2"/>
  <c r="D3210" i="2"/>
  <c r="B3210" i="2"/>
  <c r="A3210" i="2"/>
  <c r="O3209" i="2"/>
  <c r="M3209" i="2"/>
  <c r="L3209" i="2"/>
  <c r="E3209" i="2"/>
  <c r="D3209" i="2"/>
  <c r="B3209" i="2"/>
  <c r="A3209" i="2"/>
  <c r="O3208" i="2"/>
  <c r="M3208" i="2"/>
  <c r="L3208" i="2"/>
  <c r="E3208" i="2"/>
  <c r="D3208" i="2"/>
  <c r="B3208" i="2"/>
  <c r="A3208" i="2"/>
  <c r="O3207" i="2"/>
  <c r="M3207" i="2"/>
  <c r="L3207" i="2"/>
  <c r="E3207" i="2"/>
  <c r="D3207" i="2"/>
  <c r="B3207" i="2"/>
  <c r="A3207" i="2"/>
  <c r="O3206" i="2"/>
  <c r="M3206" i="2"/>
  <c r="L3206" i="2"/>
  <c r="E3206" i="2"/>
  <c r="D3206" i="2"/>
  <c r="B3206" i="2"/>
  <c r="A3206" i="2"/>
  <c r="O3205" i="2"/>
  <c r="M3205" i="2"/>
  <c r="L3205" i="2"/>
  <c r="E3205" i="2"/>
  <c r="D3205" i="2"/>
  <c r="B3205" i="2"/>
  <c r="A3205" i="2"/>
  <c r="O3204" i="2"/>
  <c r="M3204" i="2"/>
  <c r="L3204" i="2"/>
  <c r="E3204" i="2"/>
  <c r="D3204" i="2"/>
  <c r="B3204" i="2"/>
  <c r="A3204" i="2"/>
  <c r="O3203" i="2"/>
  <c r="M3203" i="2"/>
  <c r="L3203" i="2"/>
  <c r="E3203" i="2"/>
  <c r="D3203" i="2"/>
  <c r="B3203" i="2"/>
  <c r="A3203" i="2"/>
  <c r="O3202" i="2"/>
  <c r="M3202" i="2"/>
  <c r="L3202" i="2"/>
  <c r="E3202" i="2"/>
  <c r="D3202" i="2"/>
  <c r="B3202" i="2"/>
  <c r="A3202" i="2"/>
  <c r="O3201" i="2"/>
  <c r="O3200" i="2"/>
  <c r="O3199" i="2"/>
  <c r="M3199" i="2"/>
  <c r="L3199" i="2"/>
  <c r="E3199" i="2"/>
  <c r="D3199" i="2"/>
  <c r="B3199" i="2"/>
  <c r="A3199" i="2"/>
  <c r="O3198" i="2"/>
  <c r="M3198" i="2"/>
  <c r="L3198" i="2"/>
  <c r="E3198" i="2"/>
  <c r="D3198" i="2"/>
  <c r="B3198" i="2"/>
  <c r="A3198" i="2"/>
  <c r="O3197" i="2"/>
  <c r="M3197" i="2"/>
  <c r="L3197" i="2"/>
  <c r="E3197" i="2"/>
  <c r="D3197" i="2"/>
  <c r="B3197" i="2"/>
  <c r="A3197" i="2"/>
  <c r="O3196" i="2"/>
  <c r="O3195" i="2"/>
  <c r="O3194" i="2"/>
  <c r="M3194" i="2"/>
  <c r="L3194" i="2"/>
  <c r="E3194" i="2"/>
  <c r="D3194" i="2"/>
  <c r="B3194" i="2"/>
  <c r="A3194" i="2"/>
  <c r="O3193" i="2"/>
  <c r="O3192" i="2"/>
  <c r="O3191" i="2"/>
  <c r="O3190" i="2"/>
  <c r="M3190" i="2"/>
  <c r="L3190" i="2"/>
  <c r="E3190" i="2"/>
  <c r="D3190" i="2"/>
  <c r="B3190" i="2"/>
  <c r="A3190" i="2"/>
  <c r="O3189" i="2"/>
  <c r="M3189" i="2"/>
  <c r="L3189" i="2"/>
  <c r="E3189" i="2"/>
  <c r="D3189" i="2"/>
  <c r="B3189" i="2"/>
  <c r="A3189" i="2"/>
  <c r="O3188" i="2"/>
  <c r="M3188" i="2"/>
  <c r="L3188" i="2"/>
  <c r="E3188" i="2"/>
  <c r="D3188" i="2"/>
  <c r="B3188" i="2"/>
  <c r="A3188" i="2"/>
  <c r="O3187" i="2"/>
  <c r="M3187" i="2"/>
  <c r="L3187" i="2"/>
  <c r="E3187" i="2"/>
  <c r="D3187" i="2"/>
  <c r="B3187" i="2"/>
  <c r="A3187" i="2"/>
  <c r="O3186" i="2"/>
  <c r="M3186" i="2"/>
  <c r="L3186" i="2"/>
  <c r="E3186" i="2"/>
  <c r="D3186" i="2"/>
  <c r="B3186" i="2"/>
  <c r="A3186" i="2"/>
  <c r="O3185" i="2"/>
  <c r="M3185" i="2"/>
  <c r="L3185" i="2"/>
  <c r="E3185" i="2"/>
  <c r="D3185" i="2"/>
  <c r="B3185" i="2"/>
  <c r="A3185" i="2"/>
  <c r="O3184" i="2"/>
  <c r="M3184" i="2"/>
  <c r="L3184" i="2"/>
  <c r="E3184" i="2"/>
  <c r="D3184" i="2"/>
  <c r="B3184" i="2"/>
  <c r="A3184" i="2"/>
  <c r="O3183" i="2"/>
  <c r="M3183" i="2"/>
  <c r="L3183" i="2"/>
  <c r="E3183" i="2"/>
  <c r="D3183" i="2"/>
  <c r="B3183" i="2"/>
  <c r="A3183" i="2"/>
  <c r="O3182" i="2"/>
  <c r="O3181" i="2"/>
  <c r="M3181" i="2"/>
  <c r="L3181" i="2"/>
  <c r="E3181" i="2"/>
  <c r="D3181" i="2"/>
  <c r="B3181" i="2"/>
  <c r="A3181" i="2"/>
  <c r="O3180" i="2"/>
  <c r="O3179" i="2"/>
  <c r="O3178" i="2"/>
  <c r="O3177" i="2"/>
  <c r="O3176" i="2"/>
  <c r="M3176" i="2"/>
  <c r="L3176" i="2"/>
  <c r="E3176" i="2"/>
  <c r="D3176" i="2"/>
  <c r="B3176" i="2"/>
  <c r="A3176" i="2"/>
  <c r="O3175" i="2"/>
  <c r="M3175" i="2"/>
  <c r="L3175" i="2"/>
  <c r="E3175" i="2"/>
  <c r="D3175" i="2"/>
  <c r="B3175" i="2"/>
  <c r="A3175" i="2"/>
  <c r="O3174" i="2"/>
  <c r="O3173" i="2"/>
  <c r="O3172" i="2"/>
  <c r="O3171" i="2"/>
  <c r="O3170" i="2"/>
  <c r="O3169" i="2"/>
  <c r="O3168" i="2"/>
  <c r="O3167" i="2"/>
  <c r="O3166" i="2"/>
  <c r="O3165" i="2"/>
  <c r="O3164" i="2"/>
  <c r="O3163" i="2"/>
  <c r="O3162" i="2"/>
  <c r="O3161" i="2"/>
  <c r="O3160" i="2"/>
  <c r="O3159" i="2"/>
  <c r="O3158" i="2"/>
  <c r="O3157" i="2"/>
  <c r="O3156" i="2"/>
  <c r="O3155" i="2"/>
  <c r="O3154" i="2"/>
  <c r="O3153" i="2"/>
  <c r="O3152" i="2"/>
  <c r="O3151" i="2"/>
  <c r="O3150" i="2"/>
  <c r="O3149" i="2"/>
  <c r="O3148" i="2"/>
  <c r="O3147" i="2"/>
  <c r="O3146" i="2"/>
  <c r="O3145" i="2"/>
  <c r="O3144" i="2"/>
  <c r="O3143" i="2"/>
  <c r="O3142" i="2"/>
  <c r="O3141" i="2"/>
  <c r="O3140" i="2"/>
  <c r="O3139" i="2"/>
  <c r="O3138" i="2"/>
  <c r="O3137" i="2"/>
  <c r="O3136" i="2"/>
  <c r="O3135" i="2"/>
  <c r="O3134" i="2"/>
  <c r="O3133" i="2"/>
  <c r="O3132" i="2"/>
  <c r="O3131" i="2"/>
  <c r="O3130" i="2"/>
  <c r="M3130" i="2"/>
  <c r="L3130" i="2"/>
  <c r="E3130" i="2"/>
  <c r="D3130" i="2"/>
  <c r="B3130" i="2"/>
  <c r="A3130" i="2"/>
  <c r="O3129" i="2"/>
  <c r="M3129" i="2"/>
  <c r="L3129" i="2"/>
  <c r="E3129" i="2"/>
  <c r="D3129" i="2"/>
  <c r="B3129" i="2"/>
  <c r="A3129" i="2"/>
  <c r="O3128" i="2"/>
  <c r="O3127" i="2"/>
  <c r="M3127" i="2"/>
  <c r="L3127" i="2"/>
  <c r="E3127" i="2"/>
  <c r="D3127" i="2"/>
  <c r="B3127" i="2"/>
  <c r="A3127" i="2"/>
  <c r="O3126" i="2"/>
  <c r="M3126" i="2"/>
  <c r="L3126" i="2"/>
  <c r="E3126" i="2"/>
  <c r="D3126" i="2"/>
  <c r="B3126" i="2"/>
  <c r="A3126" i="2"/>
  <c r="O3125" i="2"/>
  <c r="M3125" i="2"/>
  <c r="L3125" i="2"/>
  <c r="E3125" i="2"/>
  <c r="D3125" i="2"/>
  <c r="B3125" i="2"/>
  <c r="A3125" i="2"/>
  <c r="O3124" i="2"/>
  <c r="M3124" i="2"/>
  <c r="L3124" i="2"/>
  <c r="E3124" i="2"/>
  <c r="D3124" i="2"/>
  <c r="B3124" i="2"/>
  <c r="A3124" i="2"/>
  <c r="O3123" i="2"/>
  <c r="M3123" i="2"/>
  <c r="L3123" i="2"/>
  <c r="E3123" i="2"/>
  <c r="D3123" i="2"/>
  <c r="B3123" i="2"/>
  <c r="A3123" i="2"/>
  <c r="O3122" i="2"/>
  <c r="M3122" i="2"/>
  <c r="L3122" i="2"/>
  <c r="E3122" i="2"/>
  <c r="D3122" i="2"/>
  <c r="B3122" i="2"/>
  <c r="A3122" i="2"/>
  <c r="O3121" i="2"/>
  <c r="M3121" i="2"/>
  <c r="L3121" i="2"/>
  <c r="E3121" i="2"/>
  <c r="D3121" i="2"/>
  <c r="B3121" i="2"/>
  <c r="A3121" i="2"/>
  <c r="O3120" i="2"/>
  <c r="M3120" i="2"/>
  <c r="L3120" i="2"/>
  <c r="E3120" i="2"/>
  <c r="D3120" i="2"/>
  <c r="B3120" i="2"/>
  <c r="A3120" i="2"/>
  <c r="O3119" i="2"/>
  <c r="O3118" i="2"/>
  <c r="O3117" i="2"/>
  <c r="M3117" i="2"/>
  <c r="L3117" i="2"/>
  <c r="E3117" i="2"/>
  <c r="D3117" i="2"/>
  <c r="B3117" i="2"/>
  <c r="A3117" i="2"/>
  <c r="O3116" i="2"/>
  <c r="M3116" i="2"/>
  <c r="L3116" i="2"/>
  <c r="E3116" i="2"/>
  <c r="D3116" i="2"/>
  <c r="B3116" i="2"/>
  <c r="A3116" i="2"/>
  <c r="O3115" i="2"/>
  <c r="M3115" i="2"/>
  <c r="L3115" i="2"/>
  <c r="E3115" i="2"/>
  <c r="D3115" i="2"/>
  <c r="B3115" i="2"/>
  <c r="A3115" i="2"/>
  <c r="O3114" i="2"/>
  <c r="M3114" i="2"/>
  <c r="L3114" i="2"/>
  <c r="E3114" i="2"/>
  <c r="D3114" i="2"/>
  <c r="B3114" i="2"/>
  <c r="A3114" i="2"/>
  <c r="O3113" i="2"/>
  <c r="O3112" i="2"/>
  <c r="M3112" i="2"/>
  <c r="L3112" i="2"/>
  <c r="E3112" i="2"/>
  <c r="D3112" i="2"/>
  <c r="B3112" i="2"/>
  <c r="A3112" i="2"/>
  <c r="O3111" i="2"/>
  <c r="M3111" i="2"/>
  <c r="L3111" i="2"/>
  <c r="E3111" i="2"/>
  <c r="D3111" i="2"/>
  <c r="B3111" i="2"/>
  <c r="A3111" i="2"/>
  <c r="O3110" i="2"/>
  <c r="M3110" i="2"/>
  <c r="L3110" i="2"/>
  <c r="E3110" i="2"/>
  <c r="D3110" i="2"/>
  <c r="B3110" i="2"/>
  <c r="A3110" i="2"/>
  <c r="O3109" i="2"/>
  <c r="M3109" i="2"/>
  <c r="L3109" i="2"/>
  <c r="E3109" i="2"/>
  <c r="D3109" i="2"/>
  <c r="B3109" i="2"/>
  <c r="A3109" i="2"/>
  <c r="O3108" i="2"/>
  <c r="M3108" i="2"/>
  <c r="L3108" i="2"/>
  <c r="E3108" i="2"/>
  <c r="D3108" i="2"/>
  <c r="B3108" i="2"/>
  <c r="A3108" i="2"/>
  <c r="O3107" i="2"/>
  <c r="M3107" i="2"/>
  <c r="L3107" i="2"/>
  <c r="E3107" i="2"/>
  <c r="D3107" i="2"/>
  <c r="B3107" i="2"/>
  <c r="A3107" i="2"/>
  <c r="O3106" i="2"/>
  <c r="M3106" i="2"/>
  <c r="L3106" i="2"/>
  <c r="E3106" i="2"/>
  <c r="D3106" i="2"/>
  <c r="B3106" i="2"/>
  <c r="A3106" i="2"/>
  <c r="O3105" i="2"/>
  <c r="M3105" i="2"/>
  <c r="L3105" i="2"/>
  <c r="E3105" i="2"/>
  <c r="D3105" i="2"/>
  <c r="B3105" i="2"/>
  <c r="A3105" i="2"/>
  <c r="O3104" i="2"/>
  <c r="O3103" i="2"/>
  <c r="O3102" i="2"/>
  <c r="M3102" i="2"/>
  <c r="L3102" i="2"/>
  <c r="E3102" i="2"/>
  <c r="D3102" i="2"/>
  <c r="B3102" i="2"/>
  <c r="A3102" i="2"/>
  <c r="O3101" i="2"/>
  <c r="M3101" i="2"/>
  <c r="L3101" i="2"/>
  <c r="E3101" i="2"/>
  <c r="D3101" i="2"/>
  <c r="B3101" i="2"/>
  <c r="A3101" i="2"/>
  <c r="O3100" i="2"/>
  <c r="M3100" i="2"/>
  <c r="L3100" i="2"/>
  <c r="E3100" i="2"/>
  <c r="D3100" i="2"/>
  <c r="B3100" i="2"/>
  <c r="A3100" i="2"/>
  <c r="O3099" i="2"/>
  <c r="M3099" i="2"/>
  <c r="L3099" i="2"/>
  <c r="E3099" i="2"/>
  <c r="D3099" i="2"/>
  <c r="B3099" i="2"/>
  <c r="A3099" i="2"/>
  <c r="O3098" i="2"/>
  <c r="O3097" i="2"/>
  <c r="M3097" i="2"/>
  <c r="L3097" i="2"/>
  <c r="E3097" i="2"/>
  <c r="D3097" i="2"/>
  <c r="B3097" i="2"/>
  <c r="A3097" i="2"/>
  <c r="O3096" i="2"/>
  <c r="M3096" i="2"/>
  <c r="L3096" i="2"/>
  <c r="E3096" i="2"/>
  <c r="D3096" i="2"/>
  <c r="B3096" i="2"/>
  <c r="A3096" i="2"/>
  <c r="O3095" i="2"/>
  <c r="M3095" i="2"/>
  <c r="L3095" i="2"/>
  <c r="E3095" i="2"/>
  <c r="D3095" i="2"/>
  <c r="B3095" i="2"/>
  <c r="A3095" i="2"/>
  <c r="O3094" i="2"/>
  <c r="O3093" i="2"/>
  <c r="O3092" i="2"/>
  <c r="O3091" i="2"/>
  <c r="O3090" i="2"/>
  <c r="O3089" i="2"/>
  <c r="O3088" i="2"/>
  <c r="O3087" i="2"/>
  <c r="O3086" i="2"/>
  <c r="O3085" i="2"/>
  <c r="M3085" i="2"/>
  <c r="L3085" i="2"/>
  <c r="E3085" i="2"/>
  <c r="D3085" i="2"/>
  <c r="B3085" i="2"/>
  <c r="A3085" i="2"/>
  <c r="O3084" i="2"/>
  <c r="O3083" i="2"/>
  <c r="O3082" i="2"/>
  <c r="O3081" i="2"/>
  <c r="O3080" i="2"/>
  <c r="O3079" i="2"/>
  <c r="O3078" i="2"/>
  <c r="O3077" i="2"/>
  <c r="O3076" i="2"/>
  <c r="O3075" i="2"/>
  <c r="O3074" i="2"/>
  <c r="O3073" i="2"/>
  <c r="O3072" i="2"/>
  <c r="O3071" i="2"/>
  <c r="O3070" i="2"/>
  <c r="O3069" i="2"/>
  <c r="O3068" i="2"/>
  <c r="O3067" i="2"/>
  <c r="M3067" i="2"/>
  <c r="L3067" i="2"/>
  <c r="E3067" i="2"/>
  <c r="D3067" i="2"/>
  <c r="B3067" i="2"/>
  <c r="A3067" i="2"/>
  <c r="O3066" i="2"/>
  <c r="M3066" i="2"/>
  <c r="L3066" i="2"/>
  <c r="E3066" i="2"/>
  <c r="D3066" i="2"/>
  <c r="B3066" i="2"/>
  <c r="A3066" i="2"/>
  <c r="O3065" i="2"/>
  <c r="M3065" i="2"/>
  <c r="L3065" i="2"/>
  <c r="E3065" i="2"/>
  <c r="D3065" i="2"/>
  <c r="B3065" i="2"/>
  <c r="A3065" i="2"/>
  <c r="O3064" i="2"/>
  <c r="M3064" i="2"/>
  <c r="L3064" i="2"/>
  <c r="E3064" i="2"/>
  <c r="D3064" i="2"/>
  <c r="B3064" i="2"/>
  <c r="A3064" i="2"/>
  <c r="O3063" i="2"/>
  <c r="M3063" i="2"/>
  <c r="L3063" i="2"/>
  <c r="E3063" i="2"/>
  <c r="D3063" i="2"/>
  <c r="B3063" i="2"/>
  <c r="A3063" i="2"/>
  <c r="O3062" i="2"/>
  <c r="O3061" i="2"/>
  <c r="O3060" i="2"/>
  <c r="O3059" i="2"/>
  <c r="M3059" i="2"/>
  <c r="L3059" i="2"/>
  <c r="E3059" i="2"/>
  <c r="D3059" i="2"/>
  <c r="B3059" i="2"/>
  <c r="A3059" i="2"/>
  <c r="O3058" i="2"/>
  <c r="O3057" i="2"/>
  <c r="M3057" i="2"/>
  <c r="L3057" i="2"/>
  <c r="E3057" i="2"/>
  <c r="D3057" i="2"/>
  <c r="B3057" i="2"/>
  <c r="A3057" i="2"/>
  <c r="O3056" i="2"/>
  <c r="M3056" i="2"/>
  <c r="L3056" i="2"/>
  <c r="E3056" i="2"/>
  <c r="D3056" i="2"/>
  <c r="B3056" i="2"/>
  <c r="A3056" i="2"/>
  <c r="O3055" i="2"/>
  <c r="M3055" i="2"/>
  <c r="L3055" i="2"/>
  <c r="E3055" i="2"/>
  <c r="D3055" i="2"/>
  <c r="B3055" i="2"/>
  <c r="A3055" i="2"/>
  <c r="O3054" i="2"/>
  <c r="M3054" i="2"/>
  <c r="L3054" i="2"/>
  <c r="E3054" i="2"/>
  <c r="D3054" i="2"/>
  <c r="B3054" i="2"/>
  <c r="A3054" i="2"/>
  <c r="O3053" i="2"/>
  <c r="M3053" i="2"/>
  <c r="L3053" i="2"/>
  <c r="E3053" i="2"/>
  <c r="D3053" i="2"/>
  <c r="B3053" i="2"/>
  <c r="A3053" i="2"/>
  <c r="O3052" i="2"/>
  <c r="O3051" i="2"/>
  <c r="M3051" i="2"/>
  <c r="L3051" i="2"/>
  <c r="E3051" i="2"/>
  <c r="D3051" i="2"/>
  <c r="B3051" i="2"/>
  <c r="A3051" i="2"/>
  <c r="O3050" i="2"/>
  <c r="M3050" i="2"/>
  <c r="L3050" i="2"/>
  <c r="E3050" i="2"/>
  <c r="D3050" i="2"/>
  <c r="B3050" i="2"/>
  <c r="A3050" i="2"/>
  <c r="O3049" i="2"/>
  <c r="M3049" i="2"/>
  <c r="L3049" i="2"/>
  <c r="E3049" i="2"/>
  <c r="D3049" i="2"/>
  <c r="B3049" i="2"/>
  <c r="A3049" i="2"/>
  <c r="O3048" i="2"/>
  <c r="O3047" i="2"/>
  <c r="M3047" i="2"/>
  <c r="L3047" i="2"/>
  <c r="E3047" i="2"/>
  <c r="D3047" i="2"/>
  <c r="B3047" i="2"/>
  <c r="A3047" i="2"/>
  <c r="O3046" i="2"/>
  <c r="O3045" i="2"/>
  <c r="M3045" i="2"/>
  <c r="L3045" i="2"/>
  <c r="E3045" i="2"/>
  <c r="D3045" i="2"/>
  <c r="B3045" i="2"/>
  <c r="A3045" i="2"/>
  <c r="O3044" i="2"/>
  <c r="M3044" i="2"/>
  <c r="L3044" i="2"/>
  <c r="E3044" i="2"/>
  <c r="D3044" i="2"/>
  <c r="B3044" i="2"/>
  <c r="A3044" i="2"/>
  <c r="O3043" i="2"/>
  <c r="O3042" i="2"/>
  <c r="O3041" i="2"/>
  <c r="M3041" i="2"/>
  <c r="L3041" i="2"/>
  <c r="E3041" i="2"/>
  <c r="D3041" i="2"/>
  <c r="B3041" i="2"/>
  <c r="A3041" i="2"/>
  <c r="O3040" i="2"/>
  <c r="O3039" i="2"/>
  <c r="O3038" i="2"/>
  <c r="M3038" i="2"/>
  <c r="L3038" i="2"/>
  <c r="E3038" i="2"/>
  <c r="D3038" i="2"/>
  <c r="B3038" i="2"/>
  <c r="A3038" i="2"/>
  <c r="O3037" i="2"/>
  <c r="O3036" i="2"/>
  <c r="O3035" i="2"/>
  <c r="O3034" i="2"/>
  <c r="M3034" i="2"/>
  <c r="L3034" i="2"/>
  <c r="E3034" i="2"/>
  <c r="D3034" i="2"/>
  <c r="B3034" i="2"/>
  <c r="A3034" i="2"/>
  <c r="O3033" i="2"/>
  <c r="M3033" i="2"/>
  <c r="L3033" i="2"/>
  <c r="E3033" i="2"/>
  <c r="D3033" i="2"/>
  <c r="B3033" i="2"/>
  <c r="A3033" i="2"/>
  <c r="O3032" i="2"/>
  <c r="O3031" i="2"/>
  <c r="M3031" i="2"/>
  <c r="L3031" i="2"/>
  <c r="E3031" i="2"/>
  <c r="D3031" i="2"/>
  <c r="B3031" i="2"/>
  <c r="A3031" i="2"/>
  <c r="O3030" i="2"/>
  <c r="M3030" i="2"/>
  <c r="L3030" i="2"/>
  <c r="E3030" i="2"/>
  <c r="D3030" i="2"/>
  <c r="B3030" i="2"/>
  <c r="A3030" i="2"/>
  <c r="O3029" i="2"/>
  <c r="O3028" i="2"/>
  <c r="M3028" i="2"/>
  <c r="L3028" i="2"/>
  <c r="E3028" i="2"/>
  <c r="D3028" i="2"/>
  <c r="B3028" i="2"/>
  <c r="A3028" i="2"/>
  <c r="O3027" i="2"/>
  <c r="M3027" i="2"/>
  <c r="L3027" i="2"/>
  <c r="E3027" i="2"/>
  <c r="D3027" i="2"/>
  <c r="B3027" i="2"/>
  <c r="A3027" i="2"/>
  <c r="O3026" i="2"/>
  <c r="O3025" i="2"/>
  <c r="O3024" i="2"/>
  <c r="M3024" i="2"/>
  <c r="L3024" i="2"/>
  <c r="E3024" i="2"/>
  <c r="D3024" i="2"/>
  <c r="B3024" i="2"/>
  <c r="A3024" i="2"/>
  <c r="O3023" i="2"/>
  <c r="M3023" i="2"/>
  <c r="L3023" i="2"/>
  <c r="E3023" i="2"/>
  <c r="D3023" i="2"/>
  <c r="B3023" i="2"/>
  <c r="A3023" i="2"/>
  <c r="O3022" i="2"/>
  <c r="M3022" i="2"/>
  <c r="L3022" i="2"/>
  <c r="E3022" i="2"/>
  <c r="D3022" i="2"/>
  <c r="B3022" i="2"/>
  <c r="A3022" i="2"/>
  <c r="O3021" i="2"/>
  <c r="M3021" i="2"/>
  <c r="L3021" i="2"/>
  <c r="E3021" i="2"/>
  <c r="D3021" i="2"/>
  <c r="B3021" i="2"/>
  <c r="A3021" i="2"/>
  <c r="O3020" i="2"/>
  <c r="M3020" i="2"/>
  <c r="L3020" i="2"/>
  <c r="E3020" i="2"/>
  <c r="D3020" i="2"/>
  <c r="B3020" i="2"/>
  <c r="A3020" i="2"/>
  <c r="O3019" i="2"/>
  <c r="M3019" i="2"/>
  <c r="L3019" i="2"/>
  <c r="E3019" i="2"/>
  <c r="D3019" i="2"/>
  <c r="B3019" i="2"/>
  <c r="A3019" i="2"/>
  <c r="O3018" i="2"/>
  <c r="M3018" i="2"/>
  <c r="L3018" i="2"/>
  <c r="E3018" i="2"/>
  <c r="D3018" i="2"/>
  <c r="B3018" i="2"/>
  <c r="A3018" i="2"/>
  <c r="O3017" i="2"/>
  <c r="M3017" i="2"/>
  <c r="L3017" i="2"/>
  <c r="E3017" i="2"/>
  <c r="D3017" i="2"/>
  <c r="B3017" i="2"/>
  <c r="A3017" i="2"/>
  <c r="O3016" i="2"/>
  <c r="M3016" i="2"/>
  <c r="L3016" i="2"/>
  <c r="E3016" i="2"/>
  <c r="D3016" i="2"/>
  <c r="B3016" i="2"/>
  <c r="A3016" i="2"/>
  <c r="O3015" i="2"/>
  <c r="M3015" i="2"/>
  <c r="L3015" i="2"/>
  <c r="E3015" i="2"/>
  <c r="D3015" i="2"/>
  <c r="B3015" i="2"/>
  <c r="A3015" i="2"/>
  <c r="O3014" i="2"/>
  <c r="M3014" i="2"/>
  <c r="L3014" i="2"/>
  <c r="E3014" i="2"/>
  <c r="D3014" i="2"/>
  <c r="B3014" i="2"/>
  <c r="A3014" i="2"/>
  <c r="O3013" i="2"/>
  <c r="M3013" i="2"/>
  <c r="L3013" i="2"/>
  <c r="E3013" i="2"/>
  <c r="D3013" i="2"/>
  <c r="B3013" i="2"/>
  <c r="A3013" i="2"/>
  <c r="O3012" i="2"/>
  <c r="O3011" i="2"/>
  <c r="O3010" i="2"/>
  <c r="O3009" i="2"/>
  <c r="O3008" i="2"/>
  <c r="O3007" i="2"/>
  <c r="O3006" i="2"/>
  <c r="M3006" i="2"/>
  <c r="L3006" i="2"/>
  <c r="E3006" i="2"/>
  <c r="D3006" i="2"/>
  <c r="B3006" i="2"/>
  <c r="A3006" i="2"/>
  <c r="O3005" i="2"/>
  <c r="O3004" i="2"/>
  <c r="O3003" i="2"/>
  <c r="O3002" i="2"/>
  <c r="O3001" i="2"/>
  <c r="M3001" i="2"/>
  <c r="L3001" i="2"/>
  <c r="E3001" i="2"/>
  <c r="D3001" i="2"/>
  <c r="B3001" i="2"/>
  <c r="A3001" i="2"/>
  <c r="O3000" i="2"/>
  <c r="O2999" i="2"/>
  <c r="M2999" i="2"/>
  <c r="L2999" i="2"/>
  <c r="E2999" i="2"/>
  <c r="D2999" i="2"/>
  <c r="B2999" i="2"/>
  <c r="A2999" i="2"/>
  <c r="O2998" i="2"/>
  <c r="O2997" i="2"/>
  <c r="O2996" i="2"/>
  <c r="O2995" i="2"/>
  <c r="O2994" i="2"/>
  <c r="O2993" i="2"/>
  <c r="M2993" i="2"/>
  <c r="L2993" i="2"/>
  <c r="E2993" i="2"/>
  <c r="D2993" i="2"/>
  <c r="B2993" i="2"/>
  <c r="A2993" i="2"/>
  <c r="O2992" i="2"/>
  <c r="O2991" i="2"/>
  <c r="O2990" i="2"/>
  <c r="M2990" i="2"/>
  <c r="L2990" i="2"/>
  <c r="E2990" i="2"/>
  <c r="D2990" i="2"/>
  <c r="B2990" i="2"/>
  <c r="A2990" i="2"/>
  <c r="O2989" i="2"/>
  <c r="M2989" i="2"/>
  <c r="L2989" i="2"/>
  <c r="E2989" i="2"/>
  <c r="D2989" i="2"/>
  <c r="B2989" i="2"/>
  <c r="A2989" i="2"/>
  <c r="O2988" i="2"/>
  <c r="M2988" i="2"/>
  <c r="L2988" i="2"/>
  <c r="E2988" i="2"/>
  <c r="D2988" i="2"/>
  <c r="B2988" i="2"/>
  <c r="A2988" i="2"/>
  <c r="O2987" i="2"/>
  <c r="M2987" i="2"/>
  <c r="L2987" i="2"/>
  <c r="E2987" i="2"/>
  <c r="D2987" i="2"/>
  <c r="B2987" i="2"/>
  <c r="A2987" i="2"/>
  <c r="O2986" i="2"/>
  <c r="M2986" i="2"/>
  <c r="L2986" i="2"/>
  <c r="E2986" i="2"/>
  <c r="D2986" i="2"/>
  <c r="B2986" i="2"/>
  <c r="A2986" i="2"/>
  <c r="O2985" i="2"/>
  <c r="O2984" i="2"/>
  <c r="M2984" i="2"/>
  <c r="L2984" i="2"/>
  <c r="E2984" i="2"/>
  <c r="D2984" i="2"/>
  <c r="B2984" i="2"/>
  <c r="A2984" i="2"/>
  <c r="O2983" i="2"/>
  <c r="M2983" i="2"/>
  <c r="L2983" i="2"/>
  <c r="E2983" i="2"/>
  <c r="D2983" i="2"/>
  <c r="B2983" i="2"/>
  <c r="A2983" i="2"/>
  <c r="O2982" i="2"/>
  <c r="O2981" i="2"/>
  <c r="O2980" i="2"/>
  <c r="O2979" i="2"/>
  <c r="O2978" i="2"/>
  <c r="O2977" i="2"/>
  <c r="O2976" i="2"/>
  <c r="O2975" i="2"/>
  <c r="O2974" i="2"/>
  <c r="O2973" i="2"/>
  <c r="O2972" i="2"/>
  <c r="O2971" i="2"/>
  <c r="O2970" i="2"/>
  <c r="O2969" i="2"/>
  <c r="M2969" i="2"/>
  <c r="L2969" i="2"/>
  <c r="E2969" i="2"/>
  <c r="D2969" i="2"/>
  <c r="B2969" i="2"/>
  <c r="A2969" i="2"/>
  <c r="O2968" i="2"/>
  <c r="O2967" i="2"/>
  <c r="O2966" i="2"/>
  <c r="O2965" i="2"/>
  <c r="O2964" i="2"/>
  <c r="O2963" i="2"/>
  <c r="O2962" i="2"/>
  <c r="O2961" i="2"/>
  <c r="O2960" i="2"/>
  <c r="O2959" i="2"/>
  <c r="O2958" i="2"/>
  <c r="O2957" i="2"/>
  <c r="O2956" i="2"/>
  <c r="O2955" i="2"/>
  <c r="O2954" i="2"/>
  <c r="O2953" i="2"/>
  <c r="M2953" i="2"/>
  <c r="L2953" i="2"/>
  <c r="E2953" i="2"/>
  <c r="D2953" i="2"/>
  <c r="B2953" i="2"/>
  <c r="A2953" i="2"/>
  <c r="O2952" i="2"/>
  <c r="O2951" i="2"/>
  <c r="O2950" i="2"/>
  <c r="O2949" i="2"/>
  <c r="O2948" i="2"/>
  <c r="O2947" i="2"/>
  <c r="M2947" i="2"/>
  <c r="L2947" i="2"/>
  <c r="E2947" i="2"/>
  <c r="D2947" i="2"/>
  <c r="B2947" i="2"/>
  <c r="A2947" i="2"/>
  <c r="O2946" i="2"/>
  <c r="O2945" i="2"/>
  <c r="O2944" i="2"/>
  <c r="O2943" i="2"/>
  <c r="O2942" i="2"/>
  <c r="O2941" i="2"/>
  <c r="M2941" i="2"/>
  <c r="L2941" i="2"/>
  <c r="E2941" i="2"/>
  <c r="D2941" i="2"/>
  <c r="B2941" i="2"/>
  <c r="A2941" i="2"/>
  <c r="O2940" i="2"/>
  <c r="O2939" i="2"/>
  <c r="O2938" i="2"/>
  <c r="O2937" i="2"/>
  <c r="M2937" i="2"/>
  <c r="L2937" i="2"/>
  <c r="E2937" i="2"/>
  <c r="D2937" i="2"/>
  <c r="B2937" i="2"/>
  <c r="A2937" i="2"/>
  <c r="O2936" i="2"/>
  <c r="O2935" i="2"/>
  <c r="M2935" i="2"/>
  <c r="L2935" i="2"/>
  <c r="E2935" i="2"/>
  <c r="D2935" i="2"/>
  <c r="B2935" i="2"/>
  <c r="A2935" i="2"/>
  <c r="O2934" i="2"/>
  <c r="O2933" i="2"/>
  <c r="O2932" i="2"/>
  <c r="M2932" i="2"/>
  <c r="L2932" i="2"/>
  <c r="E2932" i="2"/>
  <c r="D2932" i="2"/>
  <c r="B2932" i="2"/>
  <c r="A2932" i="2"/>
  <c r="O2931" i="2"/>
  <c r="M2931" i="2"/>
  <c r="L2931" i="2"/>
  <c r="E2931" i="2"/>
  <c r="D2931" i="2"/>
  <c r="B2931" i="2"/>
  <c r="A2931" i="2"/>
  <c r="O2930" i="2"/>
  <c r="M2930" i="2"/>
  <c r="L2930" i="2"/>
  <c r="E2930" i="2"/>
  <c r="D2930" i="2"/>
  <c r="B2930" i="2"/>
  <c r="A2930" i="2"/>
  <c r="O2929" i="2"/>
  <c r="O2928" i="2"/>
  <c r="O2927" i="2"/>
  <c r="M2927" i="2"/>
  <c r="L2927" i="2"/>
  <c r="E2927" i="2"/>
  <c r="D2927" i="2"/>
  <c r="B2927" i="2"/>
  <c r="A2927" i="2"/>
  <c r="O2926" i="2"/>
  <c r="O2925" i="2"/>
  <c r="O2924" i="2"/>
  <c r="M2924" i="2"/>
  <c r="L2924" i="2"/>
  <c r="E2924" i="2"/>
  <c r="D2924" i="2"/>
  <c r="B2924" i="2"/>
  <c r="A2924" i="2"/>
  <c r="O2923" i="2"/>
  <c r="M2923" i="2"/>
  <c r="L2923" i="2"/>
  <c r="E2923" i="2"/>
  <c r="D2923" i="2"/>
  <c r="B2923" i="2"/>
  <c r="A2923" i="2"/>
  <c r="O2922" i="2"/>
  <c r="M2922" i="2"/>
  <c r="L2922" i="2"/>
  <c r="E2922" i="2"/>
  <c r="D2922" i="2"/>
  <c r="B2922" i="2"/>
  <c r="A2922" i="2"/>
  <c r="O2921" i="2"/>
  <c r="O2920" i="2"/>
  <c r="M2920" i="2"/>
  <c r="L2920" i="2"/>
  <c r="E2920" i="2"/>
  <c r="D2920" i="2"/>
  <c r="B2920" i="2"/>
  <c r="A2920" i="2"/>
  <c r="O2919" i="2"/>
  <c r="M2919" i="2"/>
  <c r="L2919" i="2"/>
  <c r="E2919" i="2"/>
  <c r="D2919" i="2"/>
  <c r="B2919" i="2"/>
  <c r="A2919" i="2"/>
  <c r="O2918" i="2"/>
  <c r="O2917" i="2"/>
  <c r="O2916" i="2"/>
  <c r="M2916" i="2"/>
  <c r="L2916" i="2"/>
  <c r="E2916" i="2"/>
  <c r="D2916" i="2"/>
  <c r="B2916" i="2"/>
  <c r="A2916" i="2"/>
  <c r="O2915" i="2"/>
  <c r="O2914" i="2"/>
  <c r="O2913" i="2"/>
  <c r="O2912" i="2"/>
  <c r="M2912" i="2"/>
  <c r="L2912" i="2"/>
  <c r="E2912" i="2"/>
  <c r="D2912" i="2"/>
  <c r="B2912" i="2"/>
  <c r="A2912" i="2"/>
  <c r="O2911" i="2"/>
  <c r="M2911" i="2"/>
  <c r="L2911" i="2"/>
  <c r="E2911" i="2"/>
  <c r="D2911" i="2"/>
  <c r="B2911" i="2"/>
  <c r="A2911" i="2"/>
  <c r="O2910" i="2"/>
  <c r="M2910" i="2"/>
  <c r="L2910" i="2"/>
  <c r="E2910" i="2"/>
  <c r="D2910" i="2"/>
  <c r="B2910" i="2"/>
  <c r="A2910" i="2"/>
  <c r="O2909" i="2"/>
  <c r="M2909" i="2"/>
  <c r="L2909" i="2"/>
  <c r="E2909" i="2"/>
  <c r="D2909" i="2"/>
  <c r="B2909" i="2"/>
  <c r="A2909" i="2"/>
  <c r="O2908" i="2"/>
  <c r="O2907" i="2"/>
  <c r="M2907" i="2"/>
  <c r="L2907" i="2"/>
  <c r="E2907" i="2"/>
  <c r="D2907" i="2"/>
  <c r="B2907" i="2"/>
  <c r="A2907" i="2"/>
  <c r="O2906" i="2"/>
  <c r="M2906" i="2"/>
  <c r="L2906" i="2"/>
  <c r="E2906" i="2"/>
  <c r="D2906" i="2"/>
  <c r="B2906" i="2"/>
  <c r="A2906" i="2"/>
  <c r="O2905" i="2"/>
  <c r="O2904" i="2"/>
  <c r="M2904" i="2"/>
  <c r="L2904" i="2"/>
  <c r="E2904" i="2"/>
  <c r="D2904" i="2"/>
  <c r="B2904" i="2"/>
  <c r="A2904" i="2"/>
  <c r="O2903" i="2"/>
  <c r="M2903" i="2"/>
  <c r="L2903" i="2"/>
  <c r="E2903" i="2"/>
  <c r="D2903" i="2"/>
  <c r="B2903" i="2"/>
  <c r="A2903" i="2"/>
  <c r="O2902" i="2"/>
  <c r="O2901" i="2"/>
  <c r="O2900" i="2"/>
  <c r="M2900" i="2"/>
  <c r="L2900" i="2"/>
  <c r="E2900" i="2"/>
  <c r="D2900" i="2"/>
  <c r="B2900" i="2"/>
  <c r="A2900" i="2"/>
  <c r="O2899" i="2"/>
  <c r="M2899" i="2"/>
  <c r="L2899" i="2"/>
  <c r="E2899" i="2"/>
  <c r="D2899" i="2"/>
  <c r="B2899" i="2"/>
  <c r="A2899" i="2"/>
  <c r="O2898" i="2"/>
  <c r="M2898" i="2"/>
  <c r="L2898" i="2"/>
  <c r="E2898" i="2"/>
  <c r="D2898" i="2"/>
  <c r="B2898" i="2"/>
  <c r="A2898" i="2"/>
  <c r="O2897" i="2"/>
  <c r="M2897" i="2"/>
  <c r="L2897" i="2"/>
  <c r="E2897" i="2"/>
  <c r="D2897" i="2"/>
  <c r="B2897" i="2"/>
  <c r="A2897" i="2"/>
  <c r="O2896" i="2"/>
  <c r="O2895" i="2"/>
  <c r="M2895" i="2"/>
  <c r="L2895" i="2"/>
  <c r="E2895" i="2"/>
  <c r="D2895" i="2"/>
  <c r="B2895" i="2"/>
  <c r="A2895" i="2"/>
  <c r="O2894" i="2"/>
  <c r="O2893" i="2"/>
  <c r="M2893" i="2"/>
  <c r="L2893" i="2"/>
  <c r="E2893" i="2"/>
  <c r="D2893" i="2"/>
  <c r="B2893" i="2"/>
  <c r="A2893" i="2"/>
  <c r="O2892" i="2"/>
  <c r="M2892" i="2"/>
  <c r="L2892" i="2"/>
  <c r="E2892" i="2"/>
  <c r="D2892" i="2"/>
  <c r="B2892" i="2"/>
  <c r="A2892" i="2"/>
  <c r="O2891" i="2"/>
  <c r="O2890" i="2"/>
  <c r="M2890" i="2"/>
  <c r="L2890" i="2"/>
  <c r="E2890" i="2"/>
  <c r="D2890" i="2"/>
  <c r="B2890" i="2"/>
  <c r="A2890" i="2"/>
  <c r="O2889" i="2"/>
  <c r="M2889" i="2"/>
  <c r="L2889" i="2"/>
  <c r="E2889" i="2"/>
  <c r="D2889" i="2"/>
  <c r="B2889" i="2"/>
  <c r="A2889" i="2"/>
  <c r="O2888" i="2"/>
  <c r="O2887" i="2"/>
  <c r="M2887" i="2"/>
  <c r="L2887" i="2"/>
  <c r="E2887" i="2"/>
  <c r="D2887" i="2"/>
  <c r="B2887" i="2"/>
  <c r="A2887" i="2"/>
  <c r="O2886" i="2"/>
  <c r="M2886" i="2"/>
  <c r="L2886" i="2"/>
  <c r="E2886" i="2"/>
  <c r="D2886" i="2"/>
  <c r="B2886" i="2"/>
  <c r="A2886" i="2"/>
  <c r="O2885" i="2"/>
  <c r="M2885" i="2"/>
  <c r="L2885" i="2"/>
  <c r="E2885" i="2"/>
  <c r="D2885" i="2"/>
  <c r="B2885" i="2"/>
  <c r="A2885" i="2"/>
  <c r="O2884" i="2"/>
  <c r="M2884" i="2"/>
  <c r="L2884" i="2"/>
  <c r="E2884" i="2"/>
  <c r="D2884" i="2"/>
  <c r="B2884" i="2"/>
  <c r="A2884" i="2"/>
  <c r="O2883" i="2"/>
  <c r="M2883" i="2"/>
  <c r="L2883" i="2"/>
  <c r="E2883" i="2"/>
  <c r="D2883" i="2"/>
  <c r="B2883" i="2"/>
  <c r="A2883" i="2"/>
  <c r="O2882" i="2"/>
  <c r="M2882" i="2"/>
  <c r="L2882" i="2"/>
  <c r="E2882" i="2"/>
  <c r="D2882" i="2"/>
  <c r="B2882" i="2"/>
  <c r="A2882" i="2"/>
  <c r="O2881" i="2"/>
  <c r="M2881" i="2"/>
  <c r="L2881" i="2"/>
  <c r="E2881" i="2"/>
  <c r="D2881" i="2"/>
  <c r="B2881" i="2"/>
  <c r="A2881" i="2"/>
  <c r="O2880" i="2"/>
  <c r="M2880" i="2"/>
  <c r="L2880" i="2"/>
  <c r="E2880" i="2"/>
  <c r="D2880" i="2"/>
  <c r="B2880" i="2"/>
  <c r="A2880" i="2"/>
  <c r="O2879" i="2"/>
  <c r="O2878" i="2"/>
  <c r="M2878" i="2"/>
  <c r="L2878" i="2"/>
  <c r="E2878" i="2"/>
  <c r="D2878" i="2"/>
  <c r="B2878" i="2"/>
  <c r="A2878" i="2"/>
  <c r="O2877" i="2"/>
  <c r="M2877" i="2"/>
  <c r="L2877" i="2"/>
  <c r="E2877" i="2"/>
  <c r="D2877" i="2"/>
  <c r="B2877" i="2"/>
  <c r="A2877" i="2"/>
  <c r="O2876" i="2"/>
  <c r="M2876" i="2"/>
  <c r="L2876" i="2"/>
  <c r="E2876" i="2"/>
  <c r="D2876" i="2"/>
  <c r="B2876" i="2"/>
  <c r="A2876" i="2"/>
  <c r="O2875" i="2"/>
  <c r="M2875" i="2"/>
  <c r="L2875" i="2"/>
  <c r="E2875" i="2"/>
  <c r="D2875" i="2"/>
  <c r="B2875" i="2"/>
  <c r="A2875" i="2"/>
  <c r="O2874" i="2"/>
  <c r="O2873" i="2"/>
  <c r="O2872" i="2"/>
  <c r="M2872" i="2"/>
  <c r="L2872" i="2"/>
  <c r="E2872" i="2"/>
  <c r="D2872" i="2"/>
  <c r="B2872" i="2"/>
  <c r="A2872" i="2"/>
  <c r="O2871" i="2"/>
  <c r="M2871" i="2"/>
  <c r="L2871" i="2"/>
  <c r="E2871" i="2"/>
  <c r="D2871" i="2"/>
  <c r="B2871" i="2"/>
  <c r="A2871" i="2"/>
  <c r="O2870" i="2"/>
  <c r="M2870" i="2"/>
  <c r="L2870" i="2"/>
  <c r="E2870" i="2"/>
  <c r="D2870" i="2"/>
  <c r="B2870" i="2"/>
  <c r="A2870" i="2"/>
  <c r="O2869" i="2"/>
  <c r="M2869" i="2"/>
  <c r="L2869" i="2"/>
  <c r="E2869" i="2"/>
  <c r="D2869" i="2"/>
  <c r="B2869" i="2"/>
  <c r="A2869" i="2"/>
  <c r="O2868" i="2"/>
  <c r="M2868" i="2"/>
  <c r="L2868" i="2"/>
  <c r="E2868" i="2"/>
  <c r="D2868" i="2"/>
  <c r="B2868" i="2"/>
  <c r="A2868" i="2"/>
  <c r="O2867" i="2"/>
  <c r="M2867" i="2"/>
  <c r="L2867" i="2"/>
  <c r="E2867" i="2"/>
  <c r="D2867" i="2"/>
  <c r="B2867" i="2"/>
  <c r="A2867" i="2"/>
  <c r="O2866" i="2"/>
  <c r="O2865" i="2"/>
  <c r="O2864" i="2"/>
  <c r="M2864" i="2"/>
  <c r="L2864" i="2"/>
  <c r="E2864" i="2"/>
  <c r="D2864" i="2"/>
  <c r="B2864" i="2"/>
  <c r="A2864" i="2"/>
  <c r="O2863" i="2"/>
  <c r="M2863" i="2"/>
  <c r="L2863" i="2"/>
  <c r="E2863" i="2"/>
  <c r="D2863" i="2"/>
  <c r="B2863" i="2"/>
  <c r="A2863" i="2"/>
  <c r="O2862" i="2"/>
  <c r="M2862" i="2"/>
  <c r="L2862" i="2"/>
  <c r="E2862" i="2"/>
  <c r="D2862" i="2"/>
  <c r="B2862" i="2"/>
  <c r="A2862" i="2"/>
  <c r="O2861" i="2"/>
  <c r="O2860" i="2"/>
  <c r="M2860" i="2"/>
  <c r="L2860" i="2"/>
  <c r="E2860" i="2"/>
  <c r="D2860" i="2"/>
  <c r="B2860" i="2"/>
  <c r="A2860" i="2"/>
  <c r="O2859" i="2"/>
  <c r="M2859" i="2"/>
  <c r="L2859" i="2"/>
  <c r="E2859" i="2"/>
  <c r="D2859" i="2"/>
  <c r="B2859" i="2"/>
  <c r="A2859" i="2"/>
  <c r="O2858" i="2"/>
  <c r="M2858" i="2"/>
  <c r="L2858" i="2"/>
  <c r="E2858" i="2"/>
  <c r="D2858" i="2"/>
  <c r="B2858" i="2"/>
  <c r="A2858" i="2"/>
  <c r="O2857" i="2"/>
  <c r="M2857" i="2"/>
  <c r="L2857" i="2"/>
  <c r="E2857" i="2"/>
  <c r="D2857" i="2"/>
  <c r="B2857" i="2"/>
  <c r="A2857" i="2"/>
  <c r="O2856" i="2"/>
  <c r="O2855" i="2"/>
  <c r="O2854" i="2"/>
  <c r="O2853" i="2"/>
  <c r="M2853" i="2"/>
  <c r="L2853" i="2"/>
  <c r="E2853" i="2"/>
  <c r="D2853" i="2"/>
  <c r="B2853" i="2"/>
  <c r="A2853" i="2"/>
  <c r="O2852" i="2"/>
  <c r="O2851" i="2"/>
  <c r="M2851" i="2"/>
  <c r="L2851" i="2"/>
  <c r="E2851" i="2"/>
  <c r="D2851" i="2"/>
  <c r="B2851" i="2"/>
  <c r="A2851" i="2"/>
  <c r="O2850" i="2"/>
  <c r="O2849" i="2"/>
  <c r="O2848" i="2"/>
  <c r="O2847" i="2"/>
  <c r="M2847" i="2"/>
  <c r="L2847" i="2"/>
  <c r="E2847" i="2"/>
  <c r="D2847" i="2"/>
  <c r="B2847" i="2"/>
  <c r="A2847" i="2"/>
  <c r="O2846" i="2"/>
  <c r="M2846" i="2"/>
  <c r="L2846" i="2"/>
  <c r="E2846" i="2"/>
  <c r="D2846" i="2"/>
  <c r="B2846" i="2"/>
  <c r="A2846" i="2"/>
  <c r="O2845" i="2"/>
  <c r="M2845" i="2"/>
  <c r="L2845" i="2"/>
  <c r="E2845" i="2"/>
  <c r="D2845" i="2"/>
  <c r="B2845" i="2"/>
  <c r="A2845" i="2"/>
  <c r="O2844" i="2"/>
  <c r="M2844" i="2"/>
  <c r="L2844" i="2"/>
  <c r="E2844" i="2"/>
  <c r="D2844" i="2"/>
  <c r="B2844" i="2"/>
  <c r="A2844" i="2"/>
  <c r="O2843" i="2"/>
  <c r="M2843" i="2"/>
  <c r="L2843" i="2"/>
  <c r="E2843" i="2"/>
  <c r="D2843" i="2"/>
  <c r="B2843" i="2"/>
  <c r="A2843" i="2"/>
  <c r="O2842" i="2"/>
  <c r="M2842" i="2"/>
  <c r="L2842" i="2"/>
  <c r="E2842" i="2"/>
  <c r="D2842" i="2"/>
  <c r="B2842" i="2"/>
  <c r="A2842" i="2"/>
  <c r="O2841" i="2"/>
  <c r="M2841" i="2"/>
  <c r="L2841" i="2"/>
  <c r="E2841" i="2"/>
  <c r="D2841" i="2"/>
  <c r="B2841" i="2"/>
  <c r="A2841" i="2"/>
  <c r="O2840" i="2"/>
  <c r="O2839" i="2"/>
  <c r="M2839" i="2"/>
  <c r="L2839" i="2"/>
  <c r="E2839" i="2"/>
  <c r="D2839" i="2"/>
  <c r="B2839" i="2"/>
  <c r="A2839" i="2"/>
  <c r="O2838" i="2"/>
  <c r="O2837" i="2"/>
  <c r="M2837" i="2"/>
  <c r="L2837" i="2"/>
  <c r="E2837" i="2"/>
  <c r="D2837" i="2"/>
  <c r="B2837" i="2"/>
  <c r="A2837" i="2"/>
  <c r="O2836" i="2"/>
  <c r="M2836" i="2"/>
  <c r="L2836" i="2"/>
  <c r="E2836" i="2"/>
  <c r="D2836" i="2"/>
  <c r="B2836" i="2"/>
  <c r="A2836" i="2"/>
  <c r="O2835" i="2"/>
  <c r="O2834" i="2"/>
  <c r="O2833" i="2"/>
  <c r="O2832" i="2"/>
  <c r="M2832" i="2"/>
  <c r="L2832" i="2"/>
  <c r="E2832" i="2"/>
  <c r="D2832" i="2"/>
  <c r="B2832" i="2"/>
  <c r="A2832" i="2"/>
  <c r="O2831" i="2"/>
  <c r="M2831" i="2"/>
  <c r="L2831" i="2"/>
  <c r="E2831" i="2"/>
  <c r="D2831" i="2"/>
  <c r="B2831" i="2"/>
  <c r="A2831" i="2"/>
  <c r="O2830" i="2"/>
  <c r="M2830" i="2"/>
  <c r="L2830" i="2"/>
  <c r="E2830" i="2"/>
  <c r="D2830" i="2"/>
  <c r="B2830" i="2"/>
  <c r="A2830" i="2"/>
  <c r="O2829" i="2"/>
  <c r="M2829" i="2"/>
  <c r="L2829" i="2"/>
  <c r="E2829" i="2"/>
  <c r="D2829" i="2"/>
  <c r="B2829" i="2"/>
  <c r="A2829" i="2"/>
  <c r="O2828" i="2"/>
  <c r="O2827" i="2"/>
  <c r="M2827" i="2"/>
  <c r="L2827" i="2"/>
  <c r="E2827" i="2"/>
  <c r="D2827" i="2"/>
  <c r="B2827" i="2"/>
  <c r="A2827" i="2"/>
  <c r="O2826" i="2"/>
  <c r="M2826" i="2"/>
  <c r="L2826" i="2"/>
  <c r="E2826" i="2"/>
  <c r="D2826" i="2"/>
  <c r="B2826" i="2"/>
  <c r="A2826" i="2"/>
  <c r="O2825" i="2"/>
  <c r="O2824" i="2"/>
  <c r="M2824" i="2"/>
  <c r="L2824" i="2"/>
  <c r="E2824" i="2"/>
  <c r="D2824" i="2"/>
  <c r="B2824" i="2"/>
  <c r="A2824" i="2"/>
  <c r="O2823" i="2"/>
  <c r="O2822" i="2"/>
  <c r="M2822" i="2"/>
  <c r="L2822" i="2"/>
  <c r="E2822" i="2"/>
  <c r="D2822" i="2"/>
  <c r="B2822" i="2"/>
  <c r="A2822" i="2"/>
  <c r="O2821" i="2"/>
  <c r="O2820" i="2"/>
  <c r="M2820" i="2"/>
  <c r="L2820" i="2"/>
  <c r="E2820" i="2"/>
  <c r="D2820" i="2"/>
  <c r="B2820" i="2"/>
  <c r="A2820" i="2"/>
  <c r="O2819" i="2"/>
  <c r="M2819" i="2"/>
  <c r="L2819" i="2"/>
  <c r="E2819" i="2"/>
  <c r="D2819" i="2"/>
  <c r="B2819" i="2"/>
  <c r="A2819" i="2"/>
  <c r="O2818" i="2"/>
  <c r="O2817" i="2"/>
  <c r="M2817" i="2"/>
  <c r="L2817" i="2"/>
  <c r="E2817" i="2"/>
  <c r="D2817" i="2"/>
  <c r="B2817" i="2"/>
  <c r="A2817" i="2"/>
  <c r="O2816" i="2"/>
  <c r="O2815" i="2"/>
  <c r="O2814" i="2"/>
  <c r="M2814" i="2"/>
  <c r="L2814" i="2"/>
  <c r="E2814" i="2"/>
  <c r="D2814" i="2"/>
  <c r="B2814" i="2"/>
  <c r="A2814" i="2"/>
  <c r="O2813" i="2"/>
  <c r="M2813" i="2"/>
  <c r="L2813" i="2"/>
  <c r="E2813" i="2"/>
  <c r="D2813" i="2"/>
  <c r="B2813" i="2"/>
  <c r="A2813" i="2"/>
  <c r="O2812" i="2"/>
  <c r="M2812" i="2"/>
  <c r="L2812" i="2"/>
  <c r="E2812" i="2"/>
  <c r="D2812" i="2"/>
  <c r="B2812" i="2"/>
  <c r="A2812" i="2"/>
  <c r="O2811" i="2"/>
  <c r="M2811" i="2"/>
  <c r="L2811" i="2"/>
  <c r="E2811" i="2"/>
  <c r="D2811" i="2"/>
  <c r="B2811" i="2"/>
  <c r="A2811" i="2"/>
  <c r="O2810" i="2"/>
  <c r="O2809" i="2"/>
  <c r="O2808" i="2"/>
  <c r="M2808" i="2"/>
  <c r="L2808" i="2"/>
  <c r="E2808" i="2"/>
  <c r="D2808" i="2"/>
  <c r="B2808" i="2"/>
  <c r="A2808" i="2"/>
  <c r="O2807" i="2"/>
  <c r="M2807" i="2"/>
  <c r="L2807" i="2"/>
  <c r="E2807" i="2"/>
  <c r="D2807" i="2"/>
  <c r="B2807" i="2"/>
  <c r="A2807" i="2"/>
  <c r="O2806" i="2"/>
  <c r="M2806" i="2"/>
  <c r="L2806" i="2"/>
  <c r="E2806" i="2"/>
  <c r="D2806" i="2"/>
  <c r="B2806" i="2"/>
  <c r="A2806" i="2"/>
  <c r="O2805" i="2"/>
  <c r="M2805" i="2"/>
  <c r="L2805" i="2"/>
  <c r="E2805" i="2"/>
  <c r="D2805" i="2"/>
  <c r="B2805" i="2"/>
  <c r="A2805" i="2"/>
  <c r="O2804" i="2"/>
  <c r="M2804" i="2"/>
  <c r="L2804" i="2"/>
  <c r="E2804" i="2"/>
  <c r="D2804" i="2"/>
  <c r="B2804" i="2"/>
  <c r="A2804" i="2"/>
  <c r="O2803" i="2"/>
  <c r="M2803" i="2"/>
  <c r="L2803" i="2"/>
  <c r="E2803" i="2"/>
  <c r="D2803" i="2"/>
  <c r="B2803" i="2"/>
  <c r="A2803" i="2"/>
  <c r="O2802" i="2"/>
  <c r="M2802" i="2"/>
  <c r="L2802" i="2"/>
  <c r="E2802" i="2"/>
  <c r="D2802" i="2"/>
  <c r="B2802" i="2"/>
  <c r="A2802" i="2"/>
  <c r="O2801" i="2"/>
  <c r="M2801" i="2"/>
  <c r="L2801" i="2"/>
  <c r="E2801" i="2"/>
  <c r="D2801" i="2"/>
  <c r="B2801" i="2"/>
  <c r="A2801" i="2"/>
  <c r="O2800" i="2"/>
  <c r="M2800" i="2"/>
  <c r="L2800" i="2"/>
  <c r="E2800" i="2"/>
  <c r="D2800" i="2"/>
  <c r="B2800" i="2"/>
  <c r="A2800" i="2"/>
  <c r="O2799" i="2"/>
  <c r="M2799" i="2"/>
  <c r="L2799" i="2"/>
  <c r="E2799" i="2"/>
  <c r="D2799" i="2"/>
  <c r="B2799" i="2"/>
  <c r="A2799" i="2"/>
  <c r="O2798" i="2"/>
  <c r="O2797" i="2"/>
  <c r="M2797" i="2"/>
  <c r="L2797" i="2"/>
  <c r="E2797" i="2"/>
  <c r="D2797" i="2"/>
  <c r="B2797" i="2"/>
  <c r="A2797" i="2"/>
  <c r="O2796" i="2"/>
  <c r="O2795" i="2"/>
  <c r="M2795" i="2"/>
  <c r="L2795" i="2"/>
  <c r="E2795" i="2"/>
  <c r="D2795" i="2"/>
  <c r="B2795" i="2"/>
  <c r="A2795" i="2"/>
  <c r="O2794" i="2"/>
  <c r="O2793" i="2"/>
  <c r="O2792" i="2"/>
  <c r="M2792" i="2"/>
  <c r="L2792" i="2"/>
  <c r="E2792" i="2"/>
  <c r="D2792" i="2"/>
  <c r="B2792" i="2"/>
  <c r="A2792" i="2"/>
  <c r="O2791" i="2"/>
  <c r="O2790" i="2"/>
  <c r="O2789" i="2"/>
  <c r="M2789" i="2"/>
  <c r="L2789" i="2"/>
  <c r="E2789" i="2"/>
  <c r="D2789" i="2"/>
  <c r="B2789" i="2"/>
  <c r="A2789" i="2"/>
  <c r="O2788" i="2"/>
  <c r="O2787" i="2"/>
  <c r="M2787" i="2"/>
  <c r="L2787" i="2"/>
  <c r="E2787" i="2"/>
  <c r="D2787" i="2"/>
  <c r="B2787" i="2"/>
  <c r="A2787" i="2"/>
  <c r="O2786" i="2"/>
  <c r="M2786" i="2"/>
  <c r="L2786" i="2"/>
  <c r="E2786" i="2"/>
  <c r="D2786" i="2"/>
  <c r="B2786" i="2"/>
  <c r="A2786" i="2"/>
  <c r="O2785" i="2"/>
  <c r="M2785" i="2"/>
  <c r="L2785" i="2"/>
  <c r="E2785" i="2"/>
  <c r="D2785" i="2"/>
  <c r="B2785" i="2"/>
  <c r="A2785" i="2"/>
  <c r="O2784" i="2"/>
  <c r="O2783" i="2"/>
  <c r="M2783" i="2"/>
  <c r="L2783" i="2"/>
  <c r="E2783" i="2"/>
  <c r="D2783" i="2"/>
  <c r="B2783" i="2"/>
  <c r="A2783" i="2"/>
  <c r="O2782" i="2"/>
  <c r="M2782" i="2"/>
  <c r="L2782" i="2"/>
  <c r="E2782" i="2"/>
  <c r="D2782" i="2"/>
  <c r="B2782" i="2"/>
  <c r="A2782" i="2"/>
  <c r="O2781" i="2"/>
  <c r="M2781" i="2"/>
  <c r="L2781" i="2"/>
  <c r="E2781" i="2"/>
  <c r="D2781" i="2"/>
  <c r="B2781" i="2"/>
  <c r="A2781" i="2"/>
  <c r="O2780" i="2"/>
  <c r="M2780" i="2"/>
  <c r="L2780" i="2"/>
  <c r="E2780" i="2"/>
  <c r="D2780" i="2"/>
  <c r="B2780" i="2"/>
  <c r="A2780" i="2"/>
  <c r="O2779" i="2"/>
  <c r="M2779" i="2"/>
  <c r="L2779" i="2"/>
  <c r="E2779" i="2"/>
  <c r="D2779" i="2"/>
  <c r="B2779" i="2"/>
  <c r="A2779" i="2"/>
  <c r="O2778" i="2"/>
  <c r="O2777" i="2"/>
  <c r="O2776" i="2"/>
  <c r="O2775" i="2"/>
  <c r="O2774" i="2"/>
  <c r="O2773" i="2"/>
  <c r="M2773" i="2"/>
  <c r="L2773" i="2"/>
  <c r="E2773" i="2"/>
  <c r="D2773" i="2"/>
  <c r="B2773" i="2"/>
  <c r="A2773" i="2"/>
  <c r="O2772" i="2"/>
  <c r="M2772" i="2"/>
  <c r="L2772" i="2"/>
  <c r="E2772" i="2"/>
  <c r="D2772" i="2"/>
  <c r="B2772" i="2"/>
  <c r="A2772" i="2"/>
  <c r="O2771" i="2"/>
  <c r="O2770" i="2"/>
  <c r="M2770" i="2"/>
  <c r="L2770" i="2"/>
  <c r="E2770" i="2"/>
  <c r="D2770" i="2"/>
  <c r="B2770" i="2"/>
  <c r="A2770" i="2"/>
  <c r="O2769" i="2"/>
  <c r="M2769" i="2"/>
  <c r="L2769" i="2"/>
  <c r="E2769" i="2"/>
  <c r="D2769" i="2"/>
  <c r="B2769" i="2"/>
  <c r="A2769" i="2"/>
  <c r="O2768" i="2"/>
  <c r="M2768" i="2"/>
  <c r="L2768" i="2"/>
  <c r="E2768" i="2"/>
  <c r="D2768" i="2"/>
  <c r="B2768" i="2"/>
  <c r="A2768" i="2"/>
  <c r="O2767" i="2"/>
  <c r="O2766" i="2"/>
  <c r="O2765" i="2"/>
  <c r="O2764" i="2"/>
  <c r="O2763" i="2"/>
  <c r="M2763" i="2"/>
  <c r="L2763" i="2"/>
  <c r="E2763" i="2"/>
  <c r="D2763" i="2"/>
  <c r="B2763" i="2"/>
  <c r="A2763" i="2"/>
  <c r="O2762" i="2"/>
  <c r="O2761" i="2"/>
  <c r="O2760" i="2"/>
  <c r="M2760" i="2"/>
  <c r="L2760" i="2"/>
  <c r="E2760" i="2"/>
  <c r="D2760" i="2"/>
  <c r="B2760" i="2"/>
  <c r="A2760" i="2"/>
  <c r="O2759" i="2"/>
  <c r="M2759" i="2"/>
  <c r="L2759" i="2"/>
  <c r="E2759" i="2"/>
  <c r="D2759" i="2"/>
  <c r="B2759" i="2"/>
  <c r="A2759" i="2"/>
  <c r="O2758" i="2"/>
  <c r="O2757" i="2"/>
  <c r="O2756" i="2"/>
  <c r="M2756" i="2"/>
  <c r="L2756" i="2"/>
  <c r="E2756" i="2"/>
  <c r="D2756" i="2"/>
  <c r="B2756" i="2"/>
  <c r="A2756" i="2"/>
  <c r="O2755" i="2"/>
  <c r="M2755" i="2"/>
  <c r="L2755" i="2"/>
  <c r="E2755" i="2"/>
  <c r="D2755" i="2"/>
  <c r="B2755" i="2"/>
  <c r="A2755" i="2"/>
  <c r="O2754" i="2"/>
  <c r="M2754" i="2"/>
  <c r="L2754" i="2"/>
  <c r="E2754" i="2"/>
  <c r="D2754" i="2"/>
  <c r="B2754" i="2"/>
  <c r="A2754" i="2"/>
  <c r="O2753" i="2"/>
  <c r="M2753" i="2"/>
  <c r="L2753" i="2"/>
  <c r="E2753" i="2"/>
  <c r="D2753" i="2"/>
  <c r="B2753" i="2"/>
  <c r="A2753" i="2"/>
  <c r="O2752" i="2"/>
  <c r="O2751" i="2"/>
  <c r="M2751" i="2"/>
  <c r="L2751" i="2"/>
  <c r="E2751" i="2"/>
  <c r="D2751" i="2"/>
  <c r="B2751" i="2"/>
  <c r="A2751" i="2"/>
  <c r="O2750" i="2"/>
  <c r="M2750" i="2"/>
  <c r="L2750" i="2"/>
  <c r="E2750" i="2"/>
  <c r="D2750" i="2"/>
  <c r="B2750" i="2"/>
  <c r="A2750" i="2"/>
  <c r="O2749" i="2"/>
  <c r="M2749" i="2"/>
  <c r="L2749" i="2"/>
  <c r="E2749" i="2"/>
  <c r="D2749" i="2"/>
  <c r="B2749" i="2"/>
  <c r="A2749" i="2"/>
  <c r="O2748" i="2"/>
  <c r="M2748" i="2"/>
  <c r="L2748" i="2"/>
  <c r="E2748" i="2"/>
  <c r="D2748" i="2"/>
  <c r="B2748" i="2"/>
  <c r="A2748" i="2"/>
  <c r="O2747" i="2"/>
  <c r="M2747" i="2"/>
  <c r="L2747" i="2"/>
  <c r="E2747" i="2"/>
  <c r="D2747" i="2"/>
  <c r="B2747" i="2"/>
  <c r="A2747" i="2"/>
  <c r="O2746" i="2"/>
  <c r="M2746" i="2"/>
  <c r="L2746" i="2"/>
  <c r="E2746" i="2"/>
  <c r="D2746" i="2"/>
  <c r="B2746" i="2"/>
  <c r="A2746" i="2"/>
  <c r="O2745" i="2"/>
  <c r="M2745" i="2"/>
  <c r="L2745" i="2"/>
  <c r="E2745" i="2"/>
  <c r="D2745" i="2"/>
  <c r="B2745" i="2"/>
  <c r="A2745" i="2"/>
  <c r="O2744" i="2"/>
  <c r="M2744" i="2"/>
  <c r="L2744" i="2"/>
  <c r="E2744" i="2"/>
  <c r="D2744" i="2"/>
  <c r="B2744" i="2"/>
  <c r="A2744" i="2"/>
  <c r="O2743" i="2"/>
  <c r="O2742" i="2"/>
  <c r="M2742" i="2"/>
  <c r="L2742" i="2"/>
  <c r="E2742" i="2"/>
  <c r="D2742" i="2"/>
  <c r="B2742" i="2"/>
  <c r="A2742" i="2"/>
  <c r="O2741" i="2"/>
  <c r="O2740" i="2"/>
  <c r="O2739" i="2"/>
  <c r="O2738" i="2"/>
  <c r="O2737" i="2"/>
  <c r="M2737" i="2"/>
  <c r="L2737" i="2"/>
  <c r="E2737" i="2"/>
  <c r="D2737" i="2"/>
  <c r="B2737" i="2"/>
  <c r="A2737" i="2"/>
  <c r="O2736" i="2"/>
  <c r="M2736" i="2"/>
  <c r="L2736" i="2"/>
  <c r="E2736" i="2"/>
  <c r="D2736" i="2"/>
  <c r="B2736" i="2"/>
  <c r="A2736" i="2"/>
  <c r="O2735" i="2"/>
  <c r="M2735" i="2"/>
  <c r="L2735" i="2"/>
  <c r="E2735" i="2"/>
  <c r="D2735" i="2"/>
  <c r="B2735" i="2"/>
  <c r="A2735" i="2"/>
  <c r="O2734" i="2"/>
  <c r="M2734" i="2"/>
  <c r="L2734" i="2"/>
  <c r="E2734" i="2"/>
  <c r="D2734" i="2"/>
  <c r="B2734" i="2"/>
  <c r="A2734" i="2"/>
  <c r="O2733" i="2"/>
  <c r="O2732" i="2"/>
  <c r="O2731" i="2"/>
  <c r="M2731" i="2"/>
  <c r="L2731" i="2"/>
  <c r="E2731" i="2"/>
  <c r="D2731" i="2"/>
  <c r="B2731" i="2"/>
  <c r="A2731" i="2"/>
  <c r="O2730" i="2"/>
  <c r="M2730" i="2"/>
  <c r="L2730" i="2"/>
  <c r="E2730" i="2"/>
  <c r="D2730" i="2"/>
  <c r="B2730" i="2"/>
  <c r="A2730" i="2"/>
  <c r="O2729" i="2"/>
  <c r="O2728" i="2"/>
  <c r="O2727" i="2"/>
  <c r="O2726" i="2"/>
  <c r="O2725" i="2"/>
  <c r="O2724" i="2"/>
  <c r="O2723" i="2"/>
  <c r="M2723" i="2"/>
  <c r="L2723" i="2"/>
  <c r="E2723" i="2"/>
  <c r="D2723" i="2"/>
  <c r="B2723" i="2"/>
  <c r="A2723" i="2"/>
  <c r="O2722" i="2"/>
  <c r="O2721" i="2"/>
  <c r="O2720" i="2"/>
  <c r="M2720" i="2"/>
  <c r="L2720" i="2"/>
  <c r="E2720" i="2"/>
  <c r="D2720" i="2"/>
  <c r="B2720" i="2"/>
  <c r="A2720" i="2"/>
  <c r="O2719" i="2"/>
  <c r="M2719" i="2"/>
  <c r="L2719" i="2"/>
  <c r="E2719" i="2"/>
  <c r="D2719" i="2"/>
  <c r="B2719" i="2"/>
  <c r="A2719" i="2"/>
  <c r="O2718" i="2"/>
  <c r="O2717" i="2"/>
  <c r="M2717" i="2"/>
  <c r="L2717" i="2"/>
  <c r="E2717" i="2"/>
  <c r="D2717" i="2"/>
  <c r="B2717" i="2"/>
  <c r="A2717" i="2"/>
  <c r="O2716" i="2"/>
  <c r="O2715" i="2"/>
  <c r="M2715" i="2"/>
  <c r="L2715" i="2"/>
  <c r="E2715" i="2"/>
  <c r="D2715" i="2"/>
  <c r="B2715" i="2"/>
  <c r="A2715" i="2"/>
  <c r="O2714" i="2"/>
  <c r="O2713" i="2"/>
  <c r="O2712" i="2"/>
  <c r="M2712" i="2"/>
  <c r="L2712" i="2"/>
  <c r="E2712" i="2"/>
  <c r="D2712" i="2"/>
  <c r="B2712" i="2"/>
  <c r="A2712" i="2"/>
  <c r="O2711" i="2"/>
  <c r="O2710" i="2"/>
  <c r="O2709" i="2"/>
  <c r="O2708" i="2"/>
  <c r="M2708" i="2"/>
  <c r="L2708" i="2"/>
  <c r="E2708" i="2"/>
  <c r="D2708" i="2"/>
  <c r="B2708" i="2"/>
  <c r="A2708" i="2"/>
  <c r="O2707" i="2"/>
  <c r="O2706" i="2"/>
  <c r="M2706" i="2"/>
  <c r="L2706" i="2"/>
  <c r="E2706" i="2"/>
  <c r="D2706" i="2"/>
  <c r="B2706" i="2"/>
  <c r="A2706" i="2"/>
  <c r="O2705" i="2"/>
  <c r="O2704" i="2"/>
  <c r="M2704" i="2"/>
  <c r="L2704" i="2"/>
  <c r="E2704" i="2"/>
  <c r="D2704" i="2"/>
  <c r="B2704" i="2"/>
  <c r="A2704" i="2"/>
  <c r="O2703" i="2"/>
  <c r="M2703" i="2"/>
  <c r="L2703" i="2"/>
  <c r="E2703" i="2"/>
  <c r="D2703" i="2"/>
  <c r="B2703" i="2"/>
  <c r="A2703" i="2"/>
  <c r="O2702" i="2"/>
  <c r="M2702" i="2"/>
  <c r="L2702" i="2"/>
  <c r="E2702" i="2"/>
  <c r="D2702" i="2"/>
  <c r="B2702" i="2"/>
  <c r="A2702" i="2"/>
  <c r="O2701" i="2"/>
  <c r="M2701" i="2"/>
  <c r="L2701" i="2"/>
  <c r="E2701" i="2"/>
  <c r="D2701" i="2"/>
  <c r="B2701" i="2"/>
  <c r="A2701" i="2"/>
  <c r="O2700" i="2"/>
  <c r="O2699" i="2"/>
  <c r="M2699" i="2"/>
  <c r="L2699" i="2"/>
  <c r="E2699" i="2"/>
  <c r="D2699" i="2"/>
  <c r="B2699" i="2"/>
  <c r="A2699" i="2"/>
  <c r="O2698" i="2"/>
  <c r="O2697" i="2"/>
  <c r="M2697" i="2"/>
  <c r="L2697" i="2"/>
  <c r="E2697" i="2"/>
  <c r="D2697" i="2"/>
  <c r="B2697" i="2"/>
  <c r="A2697" i="2"/>
  <c r="O2696" i="2"/>
  <c r="O2695" i="2"/>
  <c r="M2695" i="2"/>
  <c r="L2695" i="2"/>
  <c r="E2695" i="2"/>
  <c r="D2695" i="2"/>
  <c r="B2695" i="2"/>
  <c r="A2695" i="2"/>
  <c r="O2694" i="2"/>
  <c r="O2693" i="2"/>
  <c r="M2693" i="2"/>
  <c r="L2693" i="2"/>
  <c r="E2693" i="2"/>
  <c r="D2693" i="2"/>
  <c r="B2693" i="2"/>
  <c r="A2693" i="2"/>
  <c r="O2692" i="2"/>
  <c r="M2692" i="2"/>
  <c r="L2692" i="2"/>
  <c r="E2692" i="2"/>
  <c r="D2692" i="2"/>
  <c r="B2692" i="2"/>
  <c r="A2692" i="2"/>
  <c r="O2691" i="2"/>
  <c r="O2690" i="2"/>
  <c r="O2689" i="2"/>
  <c r="M2689" i="2"/>
  <c r="L2689" i="2"/>
  <c r="E2689" i="2"/>
  <c r="D2689" i="2"/>
  <c r="B2689" i="2"/>
  <c r="A2689" i="2"/>
  <c r="O2688" i="2"/>
  <c r="M2688" i="2"/>
  <c r="L2688" i="2"/>
  <c r="E2688" i="2"/>
  <c r="D2688" i="2"/>
  <c r="B2688" i="2"/>
  <c r="A2688" i="2"/>
  <c r="O2687" i="2"/>
  <c r="M2687" i="2"/>
  <c r="L2687" i="2"/>
  <c r="E2687" i="2"/>
  <c r="D2687" i="2"/>
  <c r="B2687" i="2"/>
  <c r="A2687" i="2"/>
  <c r="O2686" i="2"/>
  <c r="O2685" i="2"/>
  <c r="O2684" i="2"/>
  <c r="M2684" i="2"/>
  <c r="L2684" i="2"/>
  <c r="E2684" i="2"/>
  <c r="D2684" i="2"/>
  <c r="B2684" i="2"/>
  <c r="A2684" i="2"/>
  <c r="O2683" i="2"/>
  <c r="O2682" i="2"/>
  <c r="M2682" i="2"/>
  <c r="L2682" i="2"/>
  <c r="E2682" i="2"/>
  <c r="D2682" i="2"/>
  <c r="B2682" i="2"/>
  <c r="A2682" i="2"/>
  <c r="O2681" i="2"/>
  <c r="O2680" i="2"/>
  <c r="M2680" i="2"/>
  <c r="L2680" i="2"/>
  <c r="E2680" i="2"/>
  <c r="D2680" i="2"/>
  <c r="B2680" i="2"/>
  <c r="A2680" i="2"/>
  <c r="O2679" i="2"/>
  <c r="O2678" i="2"/>
  <c r="M2678" i="2"/>
  <c r="L2678" i="2"/>
  <c r="E2678" i="2"/>
  <c r="D2678" i="2"/>
  <c r="B2678" i="2"/>
  <c r="A2678" i="2"/>
  <c r="O2677" i="2"/>
  <c r="M2677" i="2"/>
  <c r="L2677" i="2"/>
  <c r="E2677" i="2"/>
  <c r="D2677" i="2"/>
  <c r="B2677" i="2"/>
  <c r="A2677" i="2"/>
  <c r="O2676" i="2"/>
  <c r="O2675" i="2"/>
  <c r="M2675" i="2"/>
  <c r="L2675" i="2"/>
  <c r="E2675" i="2"/>
  <c r="D2675" i="2"/>
  <c r="B2675" i="2"/>
  <c r="A2675" i="2"/>
  <c r="O2674" i="2"/>
  <c r="O2673" i="2"/>
  <c r="O2672" i="2"/>
  <c r="M2672" i="2"/>
  <c r="L2672" i="2"/>
  <c r="E2672" i="2"/>
  <c r="D2672" i="2"/>
  <c r="B2672" i="2"/>
  <c r="A2672" i="2"/>
  <c r="O2671" i="2"/>
  <c r="O2670" i="2"/>
  <c r="M2670" i="2"/>
  <c r="L2670" i="2"/>
  <c r="E2670" i="2"/>
  <c r="D2670" i="2"/>
  <c r="B2670" i="2"/>
  <c r="A2670" i="2"/>
  <c r="O2669" i="2"/>
  <c r="O2668" i="2"/>
  <c r="O2667" i="2"/>
  <c r="O2666" i="2"/>
  <c r="M2666" i="2"/>
  <c r="L2666" i="2"/>
  <c r="E2666" i="2"/>
  <c r="D2666" i="2"/>
  <c r="B2666" i="2"/>
  <c r="A2666" i="2"/>
  <c r="O2665" i="2"/>
  <c r="M2665" i="2"/>
  <c r="L2665" i="2"/>
  <c r="E2665" i="2"/>
  <c r="D2665" i="2"/>
  <c r="B2665" i="2"/>
  <c r="A2665" i="2"/>
  <c r="O2664" i="2"/>
  <c r="O2663" i="2"/>
  <c r="M2663" i="2"/>
  <c r="L2663" i="2"/>
  <c r="E2663" i="2"/>
  <c r="D2663" i="2"/>
  <c r="B2663" i="2"/>
  <c r="A2663" i="2"/>
  <c r="O2662" i="2"/>
  <c r="M2662" i="2"/>
  <c r="L2662" i="2"/>
  <c r="E2662" i="2"/>
  <c r="D2662" i="2"/>
  <c r="B2662" i="2"/>
  <c r="A2662" i="2"/>
  <c r="O2661" i="2"/>
  <c r="O2660" i="2"/>
  <c r="O2659" i="2"/>
  <c r="O2658" i="2"/>
  <c r="O2657" i="2"/>
  <c r="M2657" i="2"/>
  <c r="L2657" i="2"/>
  <c r="E2657" i="2"/>
  <c r="D2657" i="2"/>
  <c r="B2657" i="2"/>
  <c r="A2657" i="2"/>
  <c r="O2656" i="2"/>
  <c r="M2656" i="2"/>
  <c r="L2656" i="2"/>
  <c r="E2656" i="2"/>
  <c r="D2656" i="2"/>
  <c r="B2656" i="2"/>
  <c r="A2656" i="2"/>
  <c r="O2655" i="2"/>
  <c r="M2655" i="2"/>
  <c r="L2655" i="2"/>
  <c r="E2655" i="2"/>
  <c r="D2655" i="2"/>
  <c r="B2655" i="2"/>
  <c r="A2655" i="2"/>
  <c r="O2654" i="2"/>
  <c r="O2653" i="2"/>
  <c r="O2652" i="2"/>
  <c r="M2652" i="2"/>
  <c r="L2652" i="2"/>
  <c r="E2652" i="2"/>
  <c r="D2652" i="2"/>
  <c r="B2652" i="2"/>
  <c r="A2652" i="2"/>
  <c r="O2651" i="2"/>
  <c r="O2650" i="2"/>
  <c r="O2649" i="2"/>
  <c r="M2649" i="2"/>
  <c r="L2649" i="2"/>
  <c r="E2649" i="2"/>
  <c r="D2649" i="2"/>
  <c r="B2649" i="2"/>
  <c r="A2649" i="2"/>
  <c r="O2648" i="2"/>
  <c r="M2648" i="2"/>
  <c r="L2648" i="2"/>
  <c r="E2648" i="2"/>
  <c r="D2648" i="2"/>
  <c r="B2648" i="2"/>
  <c r="A2648" i="2"/>
  <c r="O2647" i="2"/>
  <c r="M2647" i="2"/>
  <c r="L2647" i="2"/>
  <c r="E2647" i="2"/>
  <c r="D2647" i="2"/>
  <c r="B2647" i="2"/>
  <c r="A2647" i="2"/>
  <c r="O2646" i="2"/>
  <c r="M2646" i="2"/>
  <c r="L2646" i="2"/>
  <c r="E2646" i="2"/>
  <c r="D2646" i="2"/>
  <c r="B2646" i="2"/>
  <c r="A2646" i="2"/>
  <c r="O2645" i="2"/>
  <c r="M2645" i="2"/>
  <c r="L2645" i="2"/>
  <c r="E2645" i="2"/>
  <c r="D2645" i="2"/>
  <c r="B2645" i="2"/>
  <c r="A2645" i="2"/>
  <c r="O2644" i="2"/>
  <c r="O2643" i="2"/>
  <c r="M2643" i="2"/>
  <c r="L2643" i="2"/>
  <c r="E2643" i="2"/>
  <c r="D2643" i="2"/>
  <c r="B2643" i="2"/>
  <c r="A2643" i="2"/>
  <c r="O2642" i="2"/>
  <c r="O2641" i="2"/>
  <c r="O2640" i="2"/>
  <c r="O2639" i="2"/>
  <c r="M2639" i="2"/>
  <c r="L2639" i="2"/>
  <c r="E2639" i="2"/>
  <c r="D2639" i="2"/>
  <c r="B2639" i="2"/>
  <c r="A2639" i="2"/>
  <c r="O2638" i="2"/>
  <c r="O2637" i="2"/>
  <c r="M2637" i="2"/>
  <c r="L2637" i="2"/>
  <c r="E2637" i="2"/>
  <c r="D2637" i="2"/>
  <c r="B2637" i="2"/>
  <c r="A2637" i="2"/>
  <c r="O2636" i="2"/>
  <c r="O2635" i="2"/>
  <c r="O2634" i="2"/>
  <c r="M2634" i="2"/>
  <c r="L2634" i="2"/>
  <c r="E2634" i="2"/>
  <c r="D2634" i="2"/>
  <c r="B2634" i="2"/>
  <c r="A2634" i="2"/>
  <c r="O2633" i="2"/>
  <c r="O2632" i="2"/>
  <c r="M2632" i="2"/>
  <c r="L2632" i="2"/>
  <c r="E2632" i="2"/>
  <c r="D2632" i="2"/>
  <c r="B2632" i="2"/>
  <c r="A2632" i="2"/>
  <c r="O2631" i="2"/>
  <c r="M2631" i="2"/>
  <c r="L2631" i="2"/>
  <c r="E2631" i="2"/>
  <c r="D2631" i="2"/>
  <c r="B2631" i="2"/>
  <c r="A2631" i="2"/>
  <c r="O2630" i="2"/>
  <c r="O2629" i="2"/>
  <c r="M2629" i="2"/>
  <c r="L2629" i="2"/>
  <c r="E2629" i="2"/>
  <c r="D2629" i="2"/>
  <c r="B2629" i="2"/>
  <c r="A2629" i="2"/>
  <c r="O2628" i="2"/>
  <c r="O2627" i="2"/>
  <c r="M2627" i="2"/>
  <c r="L2627" i="2"/>
  <c r="E2627" i="2"/>
  <c r="D2627" i="2"/>
  <c r="B2627" i="2"/>
  <c r="A2627" i="2"/>
  <c r="O2626" i="2"/>
  <c r="M2626" i="2"/>
  <c r="L2626" i="2"/>
  <c r="E2626" i="2"/>
  <c r="D2626" i="2"/>
  <c r="B2626" i="2"/>
  <c r="A2626" i="2"/>
  <c r="O2625" i="2"/>
  <c r="O2624" i="2"/>
  <c r="O2623" i="2"/>
  <c r="M2623" i="2"/>
  <c r="L2623" i="2"/>
  <c r="E2623" i="2"/>
  <c r="D2623" i="2"/>
  <c r="B2623" i="2"/>
  <c r="A2623" i="2"/>
  <c r="O2622" i="2"/>
  <c r="O2621" i="2"/>
  <c r="O2620" i="2"/>
  <c r="M2620" i="2"/>
  <c r="L2620" i="2"/>
  <c r="E2620" i="2"/>
  <c r="D2620" i="2"/>
  <c r="B2620" i="2"/>
  <c r="A2620" i="2"/>
  <c r="O2619" i="2"/>
  <c r="O2618" i="2"/>
  <c r="O2617" i="2"/>
  <c r="O2616" i="2"/>
  <c r="M2616" i="2"/>
  <c r="L2616" i="2"/>
  <c r="E2616" i="2"/>
  <c r="D2616" i="2"/>
  <c r="B2616" i="2"/>
  <c r="A2616" i="2"/>
  <c r="O2615" i="2"/>
  <c r="O2614" i="2"/>
  <c r="O2613" i="2"/>
  <c r="M2613" i="2"/>
  <c r="L2613" i="2"/>
  <c r="E2613" i="2"/>
  <c r="D2613" i="2"/>
  <c r="B2613" i="2"/>
  <c r="A2613" i="2"/>
  <c r="O2612" i="2"/>
  <c r="O2611" i="2"/>
  <c r="M2611" i="2"/>
  <c r="L2611" i="2"/>
  <c r="E2611" i="2"/>
  <c r="D2611" i="2"/>
  <c r="B2611" i="2"/>
  <c r="A2611" i="2"/>
  <c r="O2610" i="2"/>
  <c r="M2610" i="2"/>
  <c r="L2610" i="2"/>
  <c r="E2610" i="2"/>
  <c r="D2610" i="2"/>
  <c r="B2610" i="2"/>
  <c r="A2610" i="2"/>
  <c r="O2609" i="2"/>
  <c r="O2608" i="2"/>
  <c r="M2608" i="2"/>
  <c r="L2608" i="2"/>
  <c r="E2608" i="2"/>
  <c r="D2608" i="2"/>
  <c r="B2608" i="2"/>
  <c r="A2608" i="2"/>
  <c r="O2607" i="2"/>
  <c r="M2607" i="2"/>
  <c r="L2607" i="2"/>
  <c r="E2607" i="2"/>
  <c r="D2607" i="2"/>
  <c r="B2607" i="2"/>
  <c r="A2607" i="2"/>
  <c r="O2606" i="2"/>
  <c r="M2606" i="2"/>
  <c r="L2606" i="2"/>
  <c r="E2606" i="2"/>
  <c r="D2606" i="2"/>
  <c r="B2606" i="2"/>
  <c r="A2606" i="2"/>
  <c r="O2605" i="2"/>
  <c r="O2604" i="2"/>
  <c r="M2604" i="2"/>
  <c r="L2604" i="2"/>
  <c r="E2604" i="2"/>
  <c r="D2604" i="2"/>
  <c r="B2604" i="2"/>
  <c r="A2604" i="2"/>
  <c r="O2603" i="2"/>
  <c r="M2603" i="2"/>
  <c r="L2603" i="2"/>
  <c r="E2603" i="2"/>
  <c r="D2603" i="2"/>
  <c r="B2603" i="2"/>
  <c r="A2603" i="2"/>
  <c r="O2602" i="2"/>
  <c r="M2602" i="2"/>
  <c r="L2602" i="2"/>
  <c r="E2602" i="2"/>
  <c r="D2602" i="2"/>
  <c r="B2602" i="2"/>
  <c r="A2602" i="2"/>
  <c r="O2601" i="2"/>
  <c r="O2600" i="2"/>
  <c r="O2599" i="2"/>
  <c r="M2599" i="2"/>
  <c r="L2599" i="2"/>
  <c r="E2599" i="2"/>
  <c r="D2599" i="2"/>
  <c r="B2599" i="2"/>
  <c r="A2599" i="2"/>
  <c r="O2598" i="2"/>
  <c r="M2598" i="2"/>
  <c r="L2598" i="2"/>
  <c r="E2598" i="2"/>
  <c r="D2598" i="2"/>
  <c r="B2598" i="2"/>
  <c r="A2598" i="2"/>
  <c r="O2597" i="2"/>
  <c r="O2596" i="2"/>
  <c r="O2595" i="2"/>
  <c r="O2594" i="2"/>
  <c r="O2593" i="2"/>
  <c r="O2592" i="2"/>
  <c r="O2591" i="2"/>
  <c r="O2590" i="2"/>
  <c r="M2590" i="2"/>
  <c r="L2590" i="2"/>
  <c r="E2590" i="2"/>
  <c r="D2590" i="2"/>
  <c r="B2590" i="2"/>
  <c r="A2590" i="2"/>
  <c r="O2589" i="2"/>
  <c r="M2589" i="2"/>
  <c r="L2589" i="2"/>
  <c r="E2589" i="2"/>
  <c r="D2589" i="2"/>
  <c r="B2589" i="2"/>
  <c r="A2589" i="2"/>
  <c r="O2588" i="2"/>
  <c r="O2587" i="2"/>
  <c r="O2586" i="2"/>
  <c r="M2586" i="2"/>
  <c r="L2586" i="2"/>
  <c r="E2586" i="2"/>
  <c r="D2586" i="2"/>
  <c r="B2586" i="2"/>
  <c r="A2586" i="2"/>
  <c r="O2585" i="2"/>
  <c r="M2585" i="2"/>
  <c r="L2585" i="2"/>
  <c r="E2585" i="2"/>
  <c r="D2585" i="2"/>
  <c r="B2585" i="2"/>
  <c r="A2585" i="2"/>
  <c r="O2584" i="2"/>
  <c r="M2584" i="2"/>
  <c r="L2584" i="2"/>
  <c r="E2584" i="2"/>
  <c r="D2584" i="2"/>
  <c r="B2584" i="2"/>
  <c r="A2584" i="2"/>
  <c r="O2583" i="2"/>
  <c r="M2583" i="2"/>
  <c r="L2583" i="2"/>
  <c r="E2583" i="2"/>
  <c r="D2583" i="2"/>
  <c r="B2583" i="2"/>
  <c r="A2583" i="2"/>
  <c r="O2582" i="2"/>
  <c r="M2582" i="2"/>
  <c r="L2582" i="2"/>
  <c r="E2582" i="2"/>
  <c r="D2582" i="2"/>
  <c r="B2582" i="2"/>
  <c r="A2582" i="2"/>
  <c r="O2581" i="2"/>
  <c r="M2581" i="2"/>
  <c r="L2581" i="2"/>
  <c r="E2581" i="2"/>
  <c r="D2581" i="2"/>
  <c r="B2581" i="2"/>
  <c r="A2581" i="2"/>
  <c r="O2580" i="2"/>
  <c r="M2580" i="2"/>
  <c r="L2580" i="2"/>
  <c r="E2580" i="2"/>
  <c r="D2580" i="2"/>
  <c r="B2580" i="2"/>
  <c r="A2580" i="2"/>
  <c r="O2579" i="2"/>
  <c r="O2578" i="2"/>
  <c r="O2577" i="2"/>
  <c r="M2577" i="2"/>
  <c r="L2577" i="2"/>
  <c r="E2577" i="2"/>
  <c r="D2577" i="2"/>
  <c r="B2577" i="2"/>
  <c r="A2577" i="2"/>
  <c r="O2576" i="2"/>
  <c r="M2576" i="2"/>
  <c r="L2576" i="2"/>
  <c r="E2576" i="2"/>
  <c r="D2576" i="2"/>
  <c r="B2576" i="2"/>
  <c r="A2576" i="2"/>
  <c r="O2575" i="2"/>
  <c r="O2574" i="2"/>
  <c r="M2574" i="2"/>
  <c r="L2574" i="2"/>
  <c r="E2574" i="2"/>
  <c r="D2574" i="2"/>
  <c r="B2574" i="2"/>
  <c r="A2574" i="2"/>
  <c r="O2573" i="2"/>
  <c r="O2572" i="2"/>
  <c r="O2571" i="2"/>
  <c r="M2571" i="2"/>
  <c r="L2571" i="2"/>
  <c r="E2571" i="2"/>
  <c r="D2571" i="2"/>
  <c r="B2571" i="2"/>
  <c r="A2571" i="2"/>
  <c r="O2570" i="2"/>
  <c r="O2569" i="2"/>
  <c r="M2569" i="2"/>
  <c r="L2569" i="2"/>
  <c r="E2569" i="2"/>
  <c r="D2569" i="2"/>
  <c r="B2569" i="2"/>
  <c r="A2569" i="2"/>
  <c r="O2568" i="2"/>
  <c r="M2568" i="2"/>
  <c r="L2568" i="2"/>
  <c r="E2568" i="2"/>
  <c r="D2568" i="2"/>
  <c r="B2568" i="2"/>
  <c r="A2568" i="2"/>
  <c r="O2567" i="2"/>
  <c r="M2567" i="2"/>
  <c r="L2567" i="2"/>
  <c r="E2567" i="2"/>
  <c r="D2567" i="2"/>
  <c r="B2567" i="2"/>
  <c r="A2567" i="2"/>
  <c r="O2566" i="2"/>
  <c r="O2565" i="2"/>
  <c r="O2564" i="2"/>
  <c r="O2563" i="2"/>
  <c r="M2563" i="2"/>
  <c r="L2563" i="2"/>
  <c r="E2563" i="2"/>
  <c r="D2563" i="2"/>
  <c r="B2563" i="2"/>
  <c r="A2563" i="2"/>
  <c r="O2562" i="2"/>
  <c r="O2561" i="2"/>
  <c r="O2560" i="2"/>
  <c r="O2559" i="2"/>
  <c r="O2558" i="2"/>
  <c r="O2557" i="2"/>
  <c r="M2557" i="2"/>
  <c r="L2557" i="2"/>
  <c r="E2557" i="2"/>
  <c r="D2557" i="2"/>
  <c r="B2557" i="2"/>
  <c r="A2557" i="2"/>
  <c r="O2556" i="2"/>
  <c r="O2555" i="2"/>
  <c r="O2554" i="2"/>
  <c r="O2553" i="2"/>
  <c r="M2553" i="2"/>
  <c r="L2553" i="2"/>
  <c r="E2553" i="2"/>
  <c r="D2553" i="2"/>
  <c r="B2553" i="2"/>
  <c r="A2553" i="2"/>
  <c r="O2552" i="2"/>
  <c r="O2551" i="2"/>
  <c r="O2550" i="2"/>
  <c r="M2550" i="2"/>
  <c r="L2550" i="2"/>
  <c r="E2550" i="2"/>
  <c r="D2550" i="2"/>
  <c r="B2550" i="2"/>
  <c r="A2550" i="2"/>
  <c r="O2549" i="2"/>
  <c r="M2549" i="2"/>
  <c r="L2549" i="2"/>
  <c r="E2549" i="2"/>
  <c r="D2549" i="2"/>
  <c r="B2549" i="2"/>
  <c r="A2549" i="2"/>
  <c r="O2548" i="2"/>
  <c r="O2547" i="2"/>
  <c r="M2547" i="2"/>
  <c r="L2547" i="2"/>
  <c r="E2547" i="2"/>
  <c r="D2547" i="2"/>
  <c r="B2547" i="2"/>
  <c r="A2547" i="2"/>
  <c r="O2546" i="2"/>
  <c r="O2545" i="2"/>
  <c r="O2544" i="2"/>
  <c r="M2544" i="2"/>
  <c r="L2544" i="2"/>
  <c r="E2544" i="2"/>
  <c r="D2544" i="2"/>
  <c r="B2544" i="2"/>
  <c r="A2544" i="2"/>
  <c r="O2543" i="2"/>
  <c r="M2543" i="2"/>
  <c r="L2543" i="2"/>
  <c r="E2543" i="2"/>
  <c r="D2543" i="2"/>
  <c r="B2543" i="2"/>
  <c r="A2543" i="2"/>
  <c r="O2542" i="2"/>
  <c r="M2542" i="2"/>
  <c r="L2542" i="2"/>
  <c r="E2542" i="2"/>
  <c r="D2542" i="2"/>
  <c r="B2542" i="2"/>
  <c r="A2542" i="2"/>
  <c r="O2541" i="2"/>
  <c r="M2541" i="2"/>
  <c r="L2541" i="2"/>
  <c r="E2541" i="2"/>
  <c r="D2541" i="2"/>
  <c r="B2541" i="2"/>
  <c r="A2541" i="2"/>
  <c r="O2540" i="2"/>
  <c r="M2540" i="2"/>
  <c r="L2540" i="2"/>
  <c r="E2540" i="2"/>
  <c r="D2540" i="2"/>
  <c r="B2540" i="2"/>
  <c r="A2540" i="2"/>
  <c r="O2539" i="2"/>
  <c r="M2539" i="2"/>
  <c r="L2539" i="2"/>
  <c r="E2539" i="2"/>
  <c r="D2539" i="2"/>
  <c r="B2539" i="2"/>
  <c r="A2539" i="2"/>
  <c r="O2538" i="2"/>
  <c r="M2538" i="2"/>
  <c r="L2538" i="2"/>
  <c r="E2538" i="2"/>
  <c r="D2538" i="2"/>
  <c r="B2538" i="2"/>
  <c r="A2538" i="2"/>
  <c r="O2537" i="2"/>
  <c r="O2536" i="2"/>
  <c r="M2536" i="2"/>
  <c r="L2536" i="2"/>
  <c r="E2536" i="2"/>
  <c r="D2536" i="2"/>
  <c r="B2536" i="2"/>
  <c r="A2536" i="2"/>
  <c r="O2535" i="2"/>
  <c r="O2534" i="2"/>
  <c r="M2534" i="2"/>
  <c r="L2534" i="2"/>
  <c r="E2534" i="2"/>
  <c r="D2534" i="2"/>
  <c r="B2534" i="2"/>
  <c r="A2534" i="2"/>
  <c r="O2533" i="2"/>
  <c r="O2532" i="2"/>
  <c r="M2532" i="2"/>
  <c r="L2532" i="2"/>
  <c r="E2532" i="2"/>
  <c r="D2532" i="2"/>
  <c r="B2532" i="2"/>
  <c r="A2532" i="2"/>
  <c r="O2531" i="2"/>
  <c r="O2530" i="2"/>
  <c r="O2529" i="2"/>
  <c r="M2529" i="2"/>
  <c r="L2529" i="2"/>
  <c r="E2529" i="2"/>
  <c r="D2529" i="2"/>
  <c r="B2529" i="2"/>
  <c r="A2529" i="2"/>
  <c r="O2528" i="2"/>
  <c r="O2527" i="2"/>
  <c r="O2526" i="2"/>
  <c r="M2526" i="2"/>
  <c r="L2526" i="2"/>
  <c r="E2526" i="2"/>
  <c r="D2526" i="2"/>
  <c r="B2526" i="2"/>
  <c r="A2526" i="2"/>
  <c r="O2525" i="2"/>
  <c r="M2525" i="2"/>
  <c r="L2525" i="2"/>
  <c r="E2525" i="2"/>
  <c r="D2525" i="2"/>
  <c r="B2525" i="2"/>
  <c r="A2525" i="2"/>
  <c r="O2524" i="2"/>
  <c r="M2524" i="2"/>
  <c r="L2524" i="2"/>
  <c r="E2524" i="2"/>
  <c r="D2524" i="2"/>
  <c r="B2524" i="2"/>
  <c r="A2524" i="2"/>
  <c r="O2523" i="2"/>
  <c r="M2523" i="2"/>
  <c r="L2523" i="2"/>
  <c r="E2523" i="2"/>
  <c r="D2523" i="2"/>
  <c r="B2523" i="2"/>
  <c r="A2523" i="2"/>
  <c r="O2522" i="2"/>
  <c r="O2521" i="2"/>
  <c r="O2520" i="2"/>
  <c r="M2520" i="2"/>
  <c r="L2520" i="2"/>
  <c r="E2520" i="2"/>
  <c r="D2520" i="2"/>
  <c r="B2520" i="2"/>
  <c r="A2520" i="2"/>
  <c r="O2519" i="2"/>
  <c r="M2519" i="2"/>
  <c r="L2519" i="2"/>
  <c r="E2519" i="2"/>
  <c r="D2519" i="2"/>
  <c r="B2519" i="2"/>
  <c r="A2519" i="2"/>
  <c r="O2518" i="2"/>
  <c r="M2518" i="2"/>
  <c r="L2518" i="2"/>
  <c r="E2518" i="2"/>
  <c r="D2518" i="2"/>
  <c r="B2518" i="2"/>
  <c r="A2518" i="2"/>
  <c r="O2517" i="2"/>
  <c r="M2517" i="2"/>
  <c r="L2517" i="2"/>
  <c r="E2517" i="2"/>
  <c r="D2517" i="2"/>
  <c r="B2517" i="2"/>
  <c r="A2517" i="2"/>
  <c r="O2516" i="2"/>
  <c r="O2515" i="2"/>
  <c r="O2514" i="2"/>
  <c r="M2514" i="2"/>
  <c r="L2514" i="2"/>
  <c r="E2514" i="2"/>
  <c r="D2514" i="2"/>
  <c r="B2514" i="2"/>
  <c r="A2514" i="2"/>
  <c r="O2513" i="2"/>
  <c r="M2513" i="2"/>
  <c r="L2513" i="2"/>
  <c r="E2513" i="2"/>
  <c r="D2513" i="2"/>
  <c r="B2513" i="2"/>
  <c r="A2513" i="2"/>
  <c r="O2512" i="2"/>
  <c r="M2512" i="2"/>
  <c r="L2512" i="2"/>
  <c r="E2512" i="2"/>
  <c r="D2512" i="2"/>
  <c r="B2512" i="2"/>
  <c r="A2512" i="2"/>
  <c r="O2511" i="2"/>
  <c r="M2511" i="2"/>
  <c r="L2511" i="2"/>
  <c r="E2511" i="2"/>
  <c r="D2511" i="2"/>
  <c r="B2511" i="2"/>
  <c r="A2511" i="2"/>
  <c r="O2510" i="2"/>
  <c r="O2509" i="2"/>
  <c r="M2509" i="2"/>
  <c r="L2509" i="2"/>
  <c r="E2509" i="2"/>
  <c r="D2509" i="2"/>
  <c r="B2509" i="2"/>
  <c r="A2509" i="2"/>
  <c r="O2508" i="2"/>
  <c r="M2508" i="2"/>
  <c r="L2508" i="2"/>
  <c r="E2508" i="2"/>
  <c r="D2508" i="2"/>
  <c r="B2508" i="2"/>
  <c r="A2508" i="2"/>
  <c r="O2507" i="2"/>
  <c r="M2507" i="2"/>
  <c r="L2507" i="2"/>
  <c r="E2507" i="2"/>
  <c r="D2507" i="2"/>
  <c r="B2507" i="2"/>
  <c r="A2507" i="2"/>
  <c r="O2506" i="2"/>
  <c r="M2506" i="2"/>
  <c r="L2506" i="2"/>
  <c r="E2506" i="2"/>
  <c r="D2506" i="2"/>
  <c r="B2506" i="2"/>
  <c r="A2506" i="2"/>
  <c r="O2505" i="2"/>
  <c r="M2505" i="2"/>
  <c r="L2505" i="2"/>
  <c r="E2505" i="2"/>
  <c r="D2505" i="2"/>
  <c r="B2505" i="2"/>
  <c r="A2505" i="2"/>
  <c r="O2504" i="2"/>
  <c r="M2504" i="2"/>
  <c r="L2504" i="2"/>
  <c r="E2504" i="2"/>
  <c r="D2504" i="2"/>
  <c r="B2504" i="2"/>
  <c r="A2504" i="2"/>
  <c r="O2503" i="2"/>
  <c r="O2502" i="2"/>
  <c r="O2501" i="2"/>
  <c r="M2501" i="2"/>
  <c r="L2501" i="2"/>
  <c r="E2501" i="2"/>
  <c r="D2501" i="2"/>
  <c r="B2501" i="2"/>
  <c r="A2501" i="2"/>
  <c r="O2500" i="2"/>
  <c r="M2500" i="2"/>
  <c r="L2500" i="2"/>
  <c r="E2500" i="2"/>
  <c r="D2500" i="2"/>
  <c r="B2500" i="2"/>
  <c r="A2500" i="2"/>
  <c r="O2499" i="2"/>
  <c r="M2499" i="2"/>
  <c r="L2499" i="2"/>
  <c r="E2499" i="2"/>
  <c r="D2499" i="2"/>
  <c r="B2499" i="2"/>
  <c r="A2499" i="2"/>
  <c r="O2498" i="2"/>
  <c r="M2498" i="2"/>
  <c r="L2498" i="2"/>
  <c r="E2498" i="2"/>
  <c r="D2498" i="2"/>
  <c r="B2498" i="2"/>
  <c r="A2498" i="2"/>
  <c r="O2497" i="2"/>
  <c r="O2496" i="2"/>
  <c r="O2495" i="2"/>
  <c r="O2494" i="2"/>
  <c r="O2493" i="2"/>
  <c r="M2493" i="2"/>
  <c r="L2493" i="2"/>
  <c r="E2493" i="2"/>
  <c r="D2493" i="2"/>
  <c r="B2493" i="2"/>
  <c r="A2493" i="2"/>
  <c r="O2492" i="2"/>
  <c r="O2491" i="2"/>
  <c r="M2491" i="2"/>
  <c r="L2491" i="2"/>
  <c r="E2491" i="2"/>
  <c r="D2491" i="2"/>
  <c r="B2491" i="2"/>
  <c r="A2491" i="2"/>
  <c r="O2490" i="2"/>
  <c r="M2490" i="2"/>
  <c r="L2490" i="2"/>
  <c r="E2490" i="2"/>
  <c r="D2490" i="2"/>
  <c r="B2490" i="2"/>
  <c r="A2490" i="2"/>
  <c r="O2489" i="2"/>
  <c r="O2488" i="2"/>
  <c r="M2488" i="2"/>
  <c r="L2488" i="2"/>
  <c r="E2488" i="2"/>
  <c r="D2488" i="2"/>
  <c r="B2488" i="2"/>
  <c r="A2488" i="2"/>
  <c r="O2487" i="2"/>
  <c r="M2487" i="2"/>
  <c r="L2487" i="2"/>
  <c r="E2487" i="2"/>
  <c r="D2487" i="2"/>
  <c r="B2487" i="2"/>
  <c r="A2487" i="2"/>
  <c r="O2486" i="2"/>
  <c r="M2486" i="2"/>
  <c r="L2486" i="2"/>
  <c r="E2486" i="2"/>
  <c r="D2486" i="2"/>
  <c r="B2486" i="2"/>
  <c r="A2486" i="2"/>
  <c r="O2485" i="2"/>
  <c r="M2485" i="2"/>
  <c r="L2485" i="2"/>
  <c r="E2485" i="2"/>
  <c r="D2485" i="2"/>
  <c r="B2485" i="2"/>
  <c r="A2485" i="2"/>
  <c r="O2484" i="2"/>
  <c r="M2484" i="2"/>
  <c r="L2484" i="2"/>
  <c r="E2484" i="2"/>
  <c r="D2484" i="2"/>
  <c r="B2484" i="2"/>
  <c r="A2484" i="2"/>
  <c r="O2483" i="2"/>
  <c r="M2483" i="2"/>
  <c r="L2483" i="2"/>
  <c r="E2483" i="2"/>
  <c r="D2483" i="2"/>
  <c r="B2483" i="2"/>
  <c r="A2483" i="2"/>
  <c r="O2482" i="2"/>
  <c r="O2481" i="2"/>
  <c r="O2480" i="2"/>
  <c r="O2479" i="2"/>
  <c r="O2478" i="2"/>
  <c r="M2478" i="2"/>
  <c r="L2478" i="2"/>
  <c r="E2478" i="2"/>
  <c r="D2478" i="2"/>
  <c r="B2478" i="2"/>
  <c r="A2478" i="2"/>
  <c r="O2477" i="2"/>
  <c r="O2476" i="2"/>
  <c r="M2476" i="2"/>
  <c r="L2476" i="2"/>
  <c r="E2476" i="2"/>
  <c r="D2476" i="2"/>
  <c r="B2476" i="2"/>
  <c r="A2476" i="2"/>
  <c r="O2475" i="2"/>
  <c r="M2475" i="2"/>
  <c r="L2475" i="2"/>
  <c r="E2475" i="2"/>
  <c r="D2475" i="2"/>
  <c r="B2475" i="2"/>
  <c r="A2475" i="2"/>
  <c r="O2474" i="2"/>
  <c r="O2473" i="2"/>
  <c r="M2473" i="2"/>
  <c r="L2473" i="2"/>
  <c r="E2473" i="2"/>
  <c r="D2473" i="2"/>
  <c r="B2473" i="2"/>
  <c r="A2473" i="2"/>
  <c r="O2472" i="2"/>
  <c r="O2471" i="2"/>
  <c r="O2470" i="2"/>
  <c r="O2469" i="2"/>
  <c r="O2468" i="2"/>
  <c r="O2467" i="2"/>
  <c r="O2466" i="2"/>
  <c r="O2465" i="2"/>
  <c r="O2464" i="2"/>
  <c r="M2464" i="2"/>
  <c r="L2464" i="2"/>
  <c r="E2464" i="2"/>
  <c r="D2464" i="2"/>
  <c r="B2464" i="2"/>
  <c r="A2464" i="2"/>
  <c r="O2463" i="2"/>
  <c r="O2462" i="2"/>
  <c r="M2462" i="2"/>
  <c r="L2462" i="2"/>
  <c r="E2462" i="2"/>
  <c r="D2462" i="2"/>
  <c r="B2462" i="2"/>
  <c r="A2462" i="2"/>
  <c r="O2461" i="2"/>
  <c r="M2461" i="2"/>
  <c r="L2461" i="2"/>
  <c r="E2461" i="2"/>
  <c r="D2461" i="2"/>
  <c r="B2461" i="2"/>
  <c r="A2461" i="2"/>
  <c r="O2460" i="2"/>
  <c r="M2460" i="2"/>
  <c r="L2460" i="2"/>
  <c r="E2460" i="2"/>
  <c r="D2460" i="2"/>
  <c r="B2460" i="2"/>
  <c r="A2460" i="2"/>
  <c r="O2459" i="2"/>
  <c r="O2458" i="2"/>
  <c r="O2457" i="2"/>
  <c r="M2457" i="2"/>
  <c r="L2457" i="2"/>
  <c r="E2457" i="2"/>
  <c r="D2457" i="2"/>
  <c r="B2457" i="2"/>
  <c r="A2457" i="2"/>
  <c r="O2456" i="2"/>
  <c r="O2455" i="2"/>
  <c r="O2454" i="2"/>
  <c r="O2453" i="2"/>
  <c r="O2452" i="2"/>
  <c r="M2452" i="2"/>
  <c r="L2452" i="2"/>
  <c r="E2452" i="2"/>
  <c r="D2452" i="2"/>
  <c r="B2452" i="2"/>
  <c r="A2452" i="2"/>
  <c r="O2451" i="2"/>
  <c r="O2450" i="2"/>
  <c r="M2450" i="2"/>
  <c r="L2450" i="2"/>
  <c r="E2450" i="2"/>
  <c r="D2450" i="2"/>
  <c r="B2450" i="2"/>
  <c r="A2450" i="2"/>
  <c r="O2449" i="2"/>
  <c r="M2449" i="2"/>
  <c r="L2449" i="2"/>
  <c r="E2449" i="2"/>
  <c r="D2449" i="2"/>
  <c r="B2449" i="2"/>
  <c r="A2449" i="2"/>
  <c r="O2448" i="2"/>
  <c r="O2447" i="2"/>
  <c r="M2447" i="2"/>
  <c r="L2447" i="2"/>
  <c r="E2447" i="2"/>
  <c r="D2447" i="2"/>
  <c r="B2447" i="2"/>
  <c r="A2447" i="2"/>
  <c r="O2446" i="2"/>
  <c r="O2445" i="2"/>
  <c r="O2444" i="2"/>
  <c r="O2443" i="2"/>
  <c r="M2443" i="2"/>
  <c r="L2443" i="2"/>
  <c r="E2443" i="2"/>
  <c r="D2443" i="2"/>
  <c r="B2443" i="2"/>
  <c r="A2443" i="2"/>
  <c r="O2442" i="2"/>
  <c r="O2441" i="2"/>
  <c r="M2441" i="2"/>
  <c r="L2441" i="2"/>
  <c r="E2441" i="2"/>
  <c r="D2441" i="2"/>
  <c r="B2441" i="2"/>
  <c r="A2441" i="2"/>
  <c r="O2440" i="2"/>
  <c r="M2440" i="2"/>
  <c r="L2440" i="2"/>
  <c r="E2440" i="2"/>
  <c r="D2440" i="2"/>
  <c r="B2440" i="2"/>
  <c r="A2440" i="2"/>
  <c r="O2439" i="2"/>
  <c r="O2438" i="2"/>
  <c r="M2438" i="2"/>
  <c r="L2438" i="2"/>
  <c r="E2438" i="2"/>
  <c r="D2438" i="2"/>
  <c r="B2438" i="2"/>
  <c r="A2438" i="2"/>
  <c r="O2437" i="2"/>
  <c r="M2437" i="2"/>
  <c r="L2437" i="2"/>
  <c r="E2437" i="2"/>
  <c r="D2437" i="2"/>
  <c r="B2437" i="2"/>
  <c r="A2437" i="2"/>
  <c r="O2436" i="2"/>
  <c r="O2435" i="2"/>
  <c r="M2435" i="2"/>
  <c r="L2435" i="2"/>
  <c r="E2435" i="2"/>
  <c r="D2435" i="2"/>
  <c r="B2435" i="2"/>
  <c r="A2435" i="2"/>
  <c r="O2434" i="2"/>
  <c r="M2434" i="2"/>
  <c r="L2434" i="2"/>
  <c r="E2434" i="2"/>
  <c r="D2434" i="2"/>
  <c r="B2434" i="2"/>
  <c r="A2434" i="2"/>
  <c r="O2433" i="2"/>
  <c r="M2433" i="2"/>
  <c r="L2433" i="2"/>
  <c r="E2433" i="2"/>
  <c r="D2433" i="2"/>
  <c r="B2433" i="2"/>
  <c r="A2433" i="2"/>
  <c r="O2432" i="2"/>
  <c r="O2431" i="2"/>
  <c r="M2431" i="2"/>
  <c r="L2431" i="2"/>
  <c r="E2431" i="2"/>
  <c r="D2431" i="2"/>
  <c r="B2431" i="2"/>
  <c r="A2431" i="2"/>
  <c r="O2430" i="2"/>
  <c r="O2429" i="2"/>
  <c r="M2429" i="2"/>
  <c r="L2429" i="2"/>
  <c r="E2429" i="2"/>
  <c r="D2429" i="2"/>
  <c r="B2429" i="2"/>
  <c r="A2429" i="2"/>
  <c r="O2428" i="2"/>
  <c r="M2428" i="2"/>
  <c r="L2428" i="2"/>
  <c r="E2428" i="2"/>
  <c r="D2428" i="2"/>
  <c r="B2428" i="2"/>
  <c r="A2428" i="2"/>
  <c r="O2427" i="2"/>
  <c r="M2427" i="2"/>
  <c r="L2427" i="2"/>
  <c r="E2427" i="2"/>
  <c r="D2427" i="2"/>
  <c r="B2427" i="2"/>
  <c r="A2427" i="2"/>
  <c r="O2426" i="2"/>
  <c r="M2426" i="2"/>
  <c r="L2426" i="2"/>
  <c r="E2426" i="2"/>
  <c r="D2426" i="2"/>
  <c r="B2426" i="2"/>
  <c r="A2426" i="2"/>
  <c r="O2425" i="2"/>
  <c r="O2424" i="2"/>
  <c r="M2424" i="2"/>
  <c r="L2424" i="2"/>
  <c r="E2424" i="2"/>
  <c r="D2424" i="2"/>
  <c r="B2424" i="2"/>
  <c r="A2424" i="2"/>
  <c r="O2423" i="2"/>
  <c r="O2422" i="2"/>
  <c r="M2422" i="2"/>
  <c r="L2422" i="2"/>
  <c r="E2422" i="2"/>
  <c r="D2422" i="2"/>
  <c r="B2422" i="2"/>
  <c r="A2422" i="2"/>
  <c r="O2421" i="2"/>
  <c r="M2421" i="2"/>
  <c r="L2421" i="2"/>
  <c r="E2421" i="2"/>
  <c r="D2421" i="2"/>
  <c r="B2421" i="2"/>
  <c r="A2421" i="2"/>
  <c r="O2420" i="2"/>
  <c r="M2420" i="2"/>
  <c r="L2420" i="2"/>
  <c r="E2420" i="2"/>
  <c r="D2420" i="2"/>
  <c r="B2420" i="2"/>
  <c r="A2420" i="2"/>
  <c r="O2419" i="2"/>
  <c r="M2419" i="2"/>
  <c r="L2419" i="2"/>
  <c r="E2419" i="2"/>
  <c r="D2419" i="2"/>
  <c r="B2419" i="2"/>
  <c r="A2419" i="2"/>
  <c r="O2418" i="2"/>
  <c r="M2418" i="2"/>
  <c r="L2418" i="2"/>
  <c r="E2418" i="2"/>
  <c r="D2418" i="2"/>
  <c r="B2418" i="2"/>
  <c r="A2418" i="2"/>
  <c r="O2417" i="2"/>
  <c r="M2417" i="2"/>
  <c r="L2417" i="2"/>
  <c r="E2417" i="2"/>
  <c r="D2417" i="2"/>
  <c r="B2417" i="2"/>
  <c r="A2417" i="2"/>
  <c r="O2416" i="2"/>
  <c r="M2416" i="2"/>
  <c r="L2416" i="2"/>
  <c r="E2416" i="2"/>
  <c r="D2416" i="2"/>
  <c r="B2416" i="2"/>
  <c r="A2416" i="2"/>
  <c r="O2415" i="2"/>
  <c r="O2414" i="2"/>
  <c r="M2414" i="2"/>
  <c r="L2414" i="2"/>
  <c r="E2414" i="2"/>
  <c r="D2414" i="2"/>
  <c r="B2414" i="2"/>
  <c r="A2414" i="2"/>
  <c r="O2413" i="2"/>
  <c r="M2413" i="2"/>
  <c r="L2413" i="2"/>
  <c r="E2413" i="2"/>
  <c r="D2413" i="2"/>
  <c r="B2413" i="2"/>
  <c r="A2413" i="2"/>
  <c r="O2412" i="2"/>
  <c r="O2411" i="2"/>
  <c r="M2411" i="2"/>
  <c r="L2411" i="2"/>
  <c r="E2411" i="2"/>
  <c r="D2411" i="2"/>
  <c r="B2411" i="2"/>
  <c r="A2411" i="2"/>
  <c r="O2410" i="2"/>
  <c r="O2409" i="2"/>
  <c r="M2409" i="2"/>
  <c r="L2409" i="2"/>
  <c r="E2409" i="2"/>
  <c r="D2409" i="2"/>
  <c r="B2409" i="2"/>
  <c r="A2409" i="2"/>
  <c r="O2408" i="2"/>
  <c r="M2408" i="2"/>
  <c r="L2408" i="2"/>
  <c r="E2408" i="2"/>
  <c r="D2408" i="2"/>
  <c r="B2408" i="2"/>
  <c r="A2408" i="2"/>
  <c r="O2407" i="2"/>
  <c r="M2407" i="2"/>
  <c r="L2407" i="2"/>
  <c r="E2407" i="2"/>
  <c r="D2407" i="2"/>
  <c r="B2407" i="2"/>
  <c r="A2407" i="2"/>
  <c r="O2406" i="2"/>
  <c r="O2405" i="2"/>
  <c r="M2405" i="2"/>
  <c r="L2405" i="2"/>
  <c r="E2405" i="2"/>
  <c r="D2405" i="2"/>
  <c r="B2405" i="2"/>
  <c r="A2405" i="2"/>
  <c r="O2404" i="2"/>
  <c r="M2404" i="2"/>
  <c r="L2404" i="2"/>
  <c r="E2404" i="2"/>
  <c r="D2404" i="2"/>
  <c r="B2404" i="2"/>
  <c r="A2404" i="2"/>
  <c r="O2403" i="2"/>
  <c r="M2403" i="2"/>
  <c r="L2403" i="2"/>
  <c r="E2403" i="2"/>
  <c r="D2403" i="2"/>
  <c r="B2403" i="2"/>
  <c r="A2403" i="2"/>
  <c r="O2402" i="2"/>
  <c r="O2401" i="2"/>
  <c r="M2401" i="2"/>
  <c r="L2401" i="2"/>
  <c r="E2401" i="2"/>
  <c r="D2401" i="2"/>
  <c r="B2401" i="2"/>
  <c r="A2401" i="2"/>
  <c r="O2400" i="2"/>
  <c r="M2400" i="2"/>
  <c r="L2400" i="2"/>
  <c r="E2400" i="2"/>
  <c r="D2400" i="2"/>
  <c r="B2400" i="2"/>
  <c r="A2400" i="2"/>
  <c r="O2399" i="2"/>
  <c r="M2399" i="2"/>
  <c r="L2399" i="2"/>
  <c r="E2399" i="2"/>
  <c r="D2399" i="2"/>
  <c r="B2399" i="2"/>
  <c r="A2399" i="2"/>
  <c r="O2398" i="2"/>
  <c r="M2398" i="2"/>
  <c r="L2398" i="2"/>
  <c r="E2398" i="2"/>
  <c r="D2398" i="2"/>
  <c r="B2398" i="2"/>
  <c r="A2398" i="2"/>
  <c r="O2397" i="2"/>
  <c r="M2397" i="2"/>
  <c r="L2397" i="2"/>
  <c r="E2397" i="2"/>
  <c r="D2397" i="2"/>
  <c r="B2397" i="2"/>
  <c r="A2397" i="2"/>
  <c r="O2396" i="2"/>
  <c r="M2396" i="2"/>
  <c r="L2396" i="2"/>
  <c r="E2396" i="2"/>
  <c r="D2396" i="2"/>
  <c r="B2396" i="2"/>
  <c r="A2396" i="2"/>
  <c r="O2395" i="2"/>
  <c r="M2395" i="2"/>
  <c r="L2395" i="2"/>
  <c r="E2395" i="2"/>
  <c r="D2395" i="2"/>
  <c r="B2395" i="2"/>
  <c r="A2395" i="2"/>
  <c r="O2394" i="2"/>
  <c r="O2393" i="2"/>
  <c r="O2392" i="2"/>
  <c r="M2392" i="2"/>
  <c r="L2392" i="2"/>
  <c r="E2392" i="2"/>
  <c r="D2392" i="2"/>
  <c r="B2392" i="2"/>
  <c r="A2392" i="2"/>
  <c r="O2391" i="2"/>
  <c r="M2391" i="2"/>
  <c r="L2391" i="2"/>
  <c r="E2391" i="2"/>
  <c r="D2391" i="2"/>
  <c r="B2391" i="2"/>
  <c r="A2391" i="2"/>
  <c r="O2390" i="2"/>
  <c r="O2389" i="2"/>
  <c r="M2389" i="2"/>
  <c r="L2389" i="2"/>
  <c r="E2389" i="2"/>
  <c r="D2389" i="2"/>
  <c r="B2389" i="2"/>
  <c r="A2389" i="2"/>
  <c r="O2388" i="2"/>
  <c r="O2387" i="2"/>
  <c r="M2387" i="2"/>
  <c r="L2387" i="2"/>
  <c r="E2387" i="2"/>
  <c r="D2387" i="2"/>
  <c r="B2387" i="2"/>
  <c r="A2387" i="2"/>
  <c r="O2386" i="2"/>
  <c r="O2385" i="2"/>
  <c r="O2384" i="2"/>
  <c r="M2384" i="2"/>
  <c r="L2384" i="2"/>
  <c r="E2384" i="2"/>
  <c r="D2384" i="2"/>
  <c r="B2384" i="2"/>
  <c r="A2384" i="2"/>
  <c r="O2383" i="2"/>
  <c r="M2383" i="2"/>
  <c r="L2383" i="2"/>
  <c r="E2383" i="2"/>
  <c r="D2383" i="2"/>
  <c r="B2383" i="2"/>
  <c r="A2383" i="2"/>
  <c r="O2382" i="2"/>
  <c r="M2382" i="2"/>
  <c r="L2382" i="2"/>
  <c r="E2382" i="2"/>
  <c r="D2382" i="2"/>
  <c r="B2382" i="2"/>
  <c r="A2382" i="2"/>
  <c r="O2381" i="2"/>
  <c r="M2381" i="2"/>
  <c r="L2381" i="2"/>
  <c r="E2381" i="2"/>
  <c r="D2381" i="2"/>
  <c r="B2381" i="2"/>
  <c r="A2381" i="2"/>
  <c r="O2380" i="2"/>
  <c r="M2380" i="2"/>
  <c r="L2380" i="2"/>
  <c r="E2380" i="2"/>
  <c r="D2380" i="2"/>
  <c r="B2380" i="2"/>
  <c r="A2380" i="2"/>
  <c r="O2379" i="2"/>
  <c r="O2378" i="2"/>
  <c r="M2378" i="2"/>
  <c r="L2378" i="2"/>
  <c r="E2378" i="2"/>
  <c r="D2378" i="2"/>
  <c r="B2378" i="2"/>
  <c r="A2378" i="2"/>
  <c r="O2377" i="2"/>
  <c r="M2377" i="2"/>
  <c r="L2377" i="2"/>
  <c r="E2377" i="2"/>
  <c r="D2377" i="2"/>
  <c r="B2377" i="2"/>
  <c r="A2377" i="2"/>
  <c r="O2376" i="2"/>
  <c r="O2375" i="2"/>
  <c r="M2375" i="2"/>
  <c r="L2375" i="2"/>
  <c r="E2375" i="2"/>
  <c r="D2375" i="2"/>
  <c r="B2375" i="2"/>
  <c r="A2375" i="2"/>
  <c r="O2374" i="2"/>
  <c r="O2373" i="2"/>
  <c r="M2373" i="2"/>
  <c r="L2373" i="2"/>
  <c r="E2373" i="2"/>
  <c r="D2373" i="2"/>
  <c r="B2373" i="2"/>
  <c r="A2373" i="2"/>
  <c r="O2372" i="2"/>
  <c r="M2372" i="2"/>
  <c r="L2372" i="2"/>
  <c r="E2372" i="2"/>
  <c r="D2372" i="2"/>
  <c r="B2372" i="2"/>
  <c r="A2372" i="2"/>
  <c r="O2371" i="2"/>
  <c r="M2371" i="2"/>
  <c r="L2371" i="2"/>
  <c r="E2371" i="2"/>
  <c r="D2371" i="2"/>
  <c r="B2371" i="2"/>
  <c r="A2371" i="2"/>
  <c r="O2370" i="2"/>
  <c r="M2370" i="2"/>
  <c r="L2370" i="2"/>
  <c r="E2370" i="2"/>
  <c r="D2370" i="2"/>
  <c r="B2370" i="2"/>
  <c r="A2370" i="2"/>
  <c r="O2369" i="2"/>
  <c r="O2368" i="2"/>
  <c r="O2367" i="2"/>
  <c r="M2367" i="2"/>
  <c r="L2367" i="2"/>
  <c r="E2367" i="2"/>
  <c r="D2367" i="2"/>
  <c r="B2367" i="2"/>
  <c r="A2367" i="2"/>
  <c r="O2366" i="2"/>
  <c r="M2366" i="2"/>
  <c r="L2366" i="2"/>
  <c r="E2366" i="2"/>
  <c r="D2366" i="2"/>
  <c r="B2366" i="2"/>
  <c r="A2366" i="2"/>
  <c r="O2365" i="2"/>
  <c r="O2364" i="2"/>
  <c r="M2364" i="2"/>
  <c r="L2364" i="2"/>
  <c r="E2364" i="2"/>
  <c r="D2364" i="2"/>
  <c r="B2364" i="2"/>
  <c r="A2364" i="2"/>
  <c r="O2363" i="2"/>
  <c r="M2363" i="2"/>
  <c r="L2363" i="2"/>
  <c r="E2363" i="2"/>
  <c r="D2363" i="2"/>
  <c r="B2363" i="2"/>
  <c r="A2363" i="2"/>
  <c r="O2362" i="2"/>
  <c r="O2361" i="2"/>
  <c r="M2361" i="2"/>
  <c r="L2361" i="2"/>
  <c r="E2361" i="2"/>
  <c r="D2361" i="2"/>
  <c r="B2361" i="2"/>
  <c r="A2361" i="2"/>
  <c r="O2360" i="2"/>
  <c r="M2360" i="2"/>
  <c r="L2360" i="2"/>
  <c r="E2360" i="2"/>
  <c r="D2360" i="2"/>
  <c r="B2360" i="2"/>
  <c r="A2360" i="2"/>
  <c r="O2359" i="2"/>
  <c r="O2358" i="2"/>
  <c r="M2358" i="2"/>
  <c r="L2358" i="2"/>
  <c r="E2358" i="2"/>
  <c r="D2358" i="2"/>
  <c r="B2358" i="2"/>
  <c r="A2358" i="2"/>
  <c r="O2357" i="2"/>
  <c r="M2357" i="2"/>
  <c r="L2357" i="2"/>
  <c r="E2357" i="2"/>
  <c r="D2357" i="2"/>
  <c r="B2357" i="2"/>
  <c r="A2357" i="2"/>
  <c r="O2356" i="2"/>
  <c r="M2356" i="2"/>
  <c r="L2356" i="2"/>
  <c r="E2356" i="2"/>
  <c r="D2356" i="2"/>
  <c r="B2356" i="2"/>
  <c r="A2356" i="2"/>
  <c r="O2355" i="2"/>
  <c r="O2354" i="2"/>
  <c r="M2354" i="2"/>
  <c r="L2354" i="2"/>
  <c r="E2354" i="2"/>
  <c r="D2354" i="2"/>
  <c r="B2354" i="2"/>
  <c r="A2354" i="2"/>
  <c r="O2353" i="2"/>
  <c r="M2353" i="2"/>
  <c r="L2353" i="2"/>
  <c r="E2353" i="2"/>
  <c r="D2353" i="2"/>
  <c r="B2353" i="2"/>
  <c r="A2353" i="2"/>
  <c r="O2352" i="2"/>
  <c r="M2352" i="2"/>
  <c r="L2352" i="2"/>
  <c r="E2352" i="2"/>
  <c r="D2352" i="2"/>
  <c r="B2352" i="2"/>
  <c r="A2352" i="2"/>
  <c r="O2351" i="2"/>
  <c r="O2350" i="2"/>
  <c r="M2350" i="2"/>
  <c r="L2350" i="2"/>
  <c r="E2350" i="2"/>
  <c r="D2350" i="2"/>
  <c r="B2350" i="2"/>
  <c r="A2350" i="2"/>
  <c r="O2349" i="2"/>
  <c r="M2349" i="2"/>
  <c r="L2349" i="2"/>
  <c r="E2349" i="2"/>
  <c r="D2349" i="2"/>
  <c r="B2349" i="2"/>
  <c r="A2349" i="2"/>
  <c r="O2348" i="2"/>
  <c r="M2348" i="2"/>
  <c r="L2348" i="2"/>
  <c r="E2348" i="2"/>
  <c r="D2348" i="2"/>
  <c r="B2348" i="2"/>
  <c r="A2348" i="2"/>
  <c r="O2347" i="2"/>
  <c r="O2346" i="2"/>
  <c r="O2345" i="2"/>
  <c r="M2345" i="2"/>
  <c r="L2345" i="2"/>
  <c r="E2345" i="2"/>
  <c r="D2345" i="2"/>
  <c r="B2345" i="2"/>
  <c r="A2345" i="2"/>
  <c r="O2344" i="2"/>
  <c r="O2343" i="2"/>
  <c r="M2343" i="2"/>
  <c r="L2343" i="2"/>
  <c r="E2343" i="2"/>
  <c r="D2343" i="2"/>
  <c r="B2343" i="2"/>
  <c r="A2343" i="2"/>
  <c r="O2342" i="2"/>
  <c r="M2342" i="2"/>
  <c r="L2342" i="2"/>
  <c r="E2342" i="2"/>
  <c r="D2342" i="2"/>
  <c r="B2342" i="2"/>
  <c r="A2342" i="2"/>
  <c r="O2341" i="2"/>
  <c r="O2340" i="2"/>
  <c r="M2340" i="2"/>
  <c r="L2340" i="2"/>
  <c r="E2340" i="2"/>
  <c r="D2340" i="2"/>
  <c r="B2340" i="2"/>
  <c r="A2340" i="2"/>
  <c r="O2339" i="2"/>
  <c r="O2338" i="2"/>
  <c r="O2337" i="2"/>
  <c r="O2336" i="2"/>
  <c r="O2335" i="2"/>
  <c r="M2335" i="2"/>
  <c r="L2335" i="2"/>
  <c r="E2335" i="2"/>
  <c r="D2335" i="2"/>
  <c r="B2335" i="2"/>
  <c r="A2335" i="2"/>
  <c r="O2334" i="2"/>
  <c r="O2333" i="2"/>
  <c r="O2332" i="2"/>
  <c r="M2332" i="2"/>
  <c r="L2332" i="2"/>
  <c r="E2332" i="2"/>
  <c r="D2332" i="2"/>
  <c r="B2332" i="2"/>
  <c r="A2332" i="2"/>
  <c r="O2331" i="2"/>
  <c r="M2331" i="2"/>
  <c r="L2331" i="2"/>
  <c r="E2331" i="2"/>
  <c r="D2331" i="2"/>
  <c r="B2331" i="2"/>
  <c r="A2331" i="2"/>
  <c r="O2330" i="2"/>
  <c r="O2329" i="2"/>
  <c r="M2329" i="2"/>
  <c r="L2329" i="2"/>
  <c r="E2329" i="2"/>
  <c r="D2329" i="2"/>
  <c r="B2329" i="2"/>
  <c r="A2329" i="2"/>
  <c r="O2328" i="2"/>
  <c r="O2327" i="2"/>
  <c r="O2326" i="2"/>
  <c r="O2325" i="2"/>
  <c r="O2324" i="2"/>
  <c r="O2323" i="2"/>
  <c r="O2322" i="2"/>
  <c r="O2321" i="2"/>
  <c r="O2320" i="2"/>
  <c r="O2319" i="2"/>
  <c r="O2318" i="2"/>
  <c r="O2317" i="2"/>
  <c r="O2316" i="2"/>
  <c r="O2315" i="2"/>
  <c r="O2314" i="2"/>
  <c r="O2313" i="2"/>
  <c r="M2313" i="2"/>
  <c r="L2313" i="2"/>
  <c r="E2313" i="2"/>
  <c r="D2313" i="2"/>
  <c r="B2313" i="2"/>
  <c r="A2313" i="2"/>
  <c r="O2312" i="2"/>
  <c r="M2312" i="2"/>
  <c r="L2312" i="2"/>
  <c r="E2312" i="2"/>
  <c r="D2312" i="2"/>
  <c r="B2312" i="2"/>
  <c r="A2312" i="2"/>
  <c r="O2311" i="2"/>
  <c r="M2311" i="2"/>
  <c r="L2311" i="2"/>
  <c r="E2311" i="2"/>
  <c r="D2311" i="2"/>
  <c r="B2311" i="2"/>
  <c r="A2311" i="2"/>
  <c r="O2310" i="2"/>
  <c r="O2309" i="2"/>
  <c r="O2308" i="2"/>
  <c r="M2308" i="2"/>
  <c r="L2308" i="2"/>
  <c r="E2308" i="2"/>
  <c r="D2308" i="2"/>
  <c r="B2308" i="2"/>
  <c r="A2308" i="2"/>
  <c r="O2307" i="2"/>
  <c r="M2307" i="2"/>
  <c r="L2307" i="2"/>
  <c r="E2307" i="2"/>
  <c r="D2307" i="2"/>
  <c r="B2307" i="2"/>
  <c r="A2307" i="2"/>
  <c r="O2306" i="2"/>
  <c r="O2305" i="2"/>
  <c r="O2304" i="2"/>
  <c r="M2304" i="2"/>
  <c r="L2304" i="2"/>
  <c r="E2304" i="2"/>
  <c r="D2304" i="2"/>
  <c r="B2304" i="2"/>
  <c r="A2304" i="2"/>
  <c r="O2303" i="2"/>
  <c r="O2302" i="2"/>
  <c r="O2301" i="2"/>
  <c r="O2300" i="2"/>
  <c r="M2300" i="2"/>
  <c r="L2300" i="2"/>
  <c r="E2300" i="2"/>
  <c r="D2300" i="2"/>
  <c r="B2300" i="2"/>
  <c r="A2300" i="2"/>
  <c r="O2299" i="2"/>
  <c r="M2299" i="2"/>
  <c r="L2299" i="2"/>
  <c r="E2299" i="2"/>
  <c r="D2299" i="2"/>
  <c r="B2299" i="2"/>
  <c r="A2299" i="2"/>
  <c r="O2298" i="2"/>
  <c r="O2297" i="2"/>
  <c r="M2297" i="2"/>
  <c r="L2297" i="2"/>
  <c r="E2297" i="2"/>
  <c r="D2297" i="2"/>
  <c r="B2297" i="2"/>
  <c r="A2297" i="2"/>
  <c r="O2296" i="2"/>
  <c r="M2296" i="2"/>
  <c r="L2296" i="2"/>
  <c r="E2296" i="2"/>
  <c r="D2296" i="2"/>
  <c r="B2296" i="2"/>
  <c r="A2296" i="2"/>
  <c r="O2295" i="2"/>
  <c r="O2294" i="2"/>
  <c r="O2293" i="2"/>
  <c r="O2292" i="2"/>
  <c r="M2292" i="2"/>
  <c r="L2292" i="2"/>
  <c r="E2292" i="2"/>
  <c r="D2292" i="2"/>
  <c r="B2292" i="2"/>
  <c r="A2292" i="2"/>
  <c r="O2291" i="2"/>
  <c r="O2290" i="2"/>
  <c r="O2289" i="2"/>
  <c r="M2289" i="2"/>
  <c r="L2289" i="2"/>
  <c r="E2289" i="2"/>
  <c r="D2289" i="2"/>
  <c r="B2289" i="2"/>
  <c r="A2289" i="2"/>
  <c r="O2288" i="2"/>
  <c r="O2287" i="2"/>
  <c r="O2286" i="2"/>
  <c r="O2285" i="2"/>
  <c r="O2284" i="2"/>
  <c r="M2284" i="2"/>
  <c r="L2284" i="2"/>
  <c r="E2284" i="2"/>
  <c r="D2284" i="2"/>
  <c r="B2284" i="2"/>
  <c r="A2284" i="2"/>
  <c r="O2283" i="2"/>
  <c r="M2283" i="2"/>
  <c r="L2283" i="2"/>
  <c r="E2283" i="2"/>
  <c r="D2283" i="2"/>
  <c r="B2283" i="2"/>
  <c r="A2283" i="2"/>
  <c r="O2282" i="2"/>
  <c r="O2281" i="2"/>
  <c r="O2280" i="2"/>
  <c r="M2280" i="2"/>
  <c r="L2280" i="2"/>
  <c r="E2280" i="2"/>
  <c r="D2280" i="2"/>
  <c r="B2280" i="2"/>
  <c r="A2280" i="2"/>
  <c r="O2279" i="2"/>
  <c r="O2278" i="2"/>
  <c r="M2278" i="2"/>
  <c r="L2278" i="2"/>
  <c r="E2278" i="2"/>
  <c r="D2278" i="2"/>
  <c r="B2278" i="2"/>
  <c r="A2278" i="2"/>
  <c r="O2277" i="2"/>
  <c r="O2276" i="2"/>
  <c r="O2275" i="2"/>
  <c r="M2275" i="2"/>
  <c r="L2275" i="2"/>
  <c r="E2275" i="2"/>
  <c r="D2275" i="2"/>
  <c r="B2275" i="2"/>
  <c r="A2275" i="2"/>
  <c r="O2274" i="2"/>
  <c r="O2273" i="2"/>
  <c r="M2273" i="2"/>
  <c r="L2273" i="2"/>
  <c r="E2273" i="2"/>
  <c r="D2273" i="2"/>
  <c r="B2273" i="2"/>
  <c r="A2273" i="2"/>
  <c r="O2272" i="2"/>
  <c r="O2271" i="2"/>
  <c r="M2271" i="2"/>
  <c r="L2271" i="2"/>
  <c r="E2271" i="2"/>
  <c r="D2271" i="2"/>
  <c r="B2271" i="2"/>
  <c r="A2271" i="2"/>
  <c r="O2270" i="2"/>
  <c r="O2269" i="2"/>
  <c r="M2269" i="2"/>
  <c r="L2269" i="2"/>
  <c r="E2269" i="2"/>
  <c r="D2269" i="2"/>
  <c r="B2269" i="2"/>
  <c r="A2269" i="2"/>
  <c r="O2268" i="2"/>
  <c r="O2267" i="2"/>
  <c r="M2267" i="2"/>
  <c r="L2267" i="2"/>
  <c r="E2267" i="2"/>
  <c r="D2267" i="2"/>
  <c r="B2267" i="2"/>
  <c r="A2267" i="2"/>
  <c r="O2266" i="2"/>
  <c r="O2265" i="2"/>
  <c r="M2265" i="2"/>
  <c r="L2265" i="2"/>
  <c r="E2265" i="2"/>
  <c r="D2265" i="2"/>
  <c r="B2265" i="2"/>
  <c r="A2265" i="2"/>
  <c r="O2264" i="2"/>
  <c r="M2264" i="2"/>
  <c r="L2264" i="2"/>
  <c r="E2264" i="2"/>
  <c r="D2264" i="2"/>
  <c r="B2264" i="2"/>
  <c r="A2264" i="2"/>
  <c r="O2263" i="2"/>
  <c r="O2262" i="2"/>
  <c r="M2262" i="2"/>
  <c r="L2262" i="2"/>
  <c r="E2262" i="2"/>
  <c r="D2262" i="2"/>
  <c r="B2262" i="2"/>
  <c r="A2262" i="2"/>
  <c r="O2261" i="2"/>
  <c r="O2260" i="2"/>
  <c r="M2260" i="2"/>
  <c r="L2260" i="2"/>
  <c r="E2260" i="2"/>
  <c r="D2260" i="2"/>
  <c r="B2260" i="2"/>
  <c r="A2260" i="2"/>
  <c r="O2259" i="2"/>
  <c r="O2258" i="2"/>
  <c r="O2257" i="2"/>
  <c r="M2257" i="2"/>
  <c r="L2257" i="2"/>
  <c r="E2257" i="2"/>
  <c r="D2257" i="2"/>
  <c r="B2257" i="2"/>
  <c r="A2257" i="2"/>
  <c r="O2256" i="2"/>
  <c r="M2256" i="2"/>
  <c r="L2256" i="2"/>
  <c r="E2256" i="2"/>
  <c r="D2256" i="2"/>
  <c r="B2256" i="2"/>
  <c r="A2256" i="2"/>
  <c r="O2255" i="2"/>
  <c r="M2255" i="2"/>
  <c r="L2255" i="2"/>
  <c r="E2255" i="2"/>
  <c r="D2255" i="2"/>
  <c r="B2255" i="2"/>
  <c r="A2255" i="2"/>
  <c r="O2254" i="2"/>
  <c r="O2253" i="2"/>
  <c r="O2252" i="2"/>
  <c r="O2251" i="2"/>
  <c r="O2250" i="2"/>
  <c r="M2250" i="2"/>
  <c r="L2250" i="2"/>
  <c r="E2250" i="2"/>
  <c r="D2250" i="2"/>
  <c r="B2250" i="2"/>
  <c r="A2250" i="2"/>
  <c r="O2249" i="2"/>
  <c r="M2249" i="2"/>
  <c r="L2249" i="2"/>
  <c r="E2249" i="2"/>
  <c r="D2249" i="2"/>
  <c r="B2249" i="2"/>
  <c r="A2249" i="2"/>
  <c r="O2248" i="2"/>
  <c r="O2247" i="2"/>
  <c r="O2246" i="2"/>
  <c r="M2246" i="2"/>
  <c r="L2246" i="2"/>
  <c r="E2246" i="2"/>
  <c r="D2246" i="2"/>
  <c r="B2246" i="2"/>
  <c r="A2246" i="2"/>
  <c r="O2245" i="2"/>
  <c r="O2244" i="2"/>
  <c r="O2243" i="2"/>
  <c r="O2242" i="2"/>
  <c r="M2242" i="2"/>
  <c r="L2242" i="2"/>
  <c r="E2242" i="2"/>
  <c r="D2242" i="2"/>
  <c r="B2242" i="2"/>
  <c r="A2242" i="2"/>
  <c r="O2241" i="2"/>
  <c r="O2240" i="2"/>
  <c r="M2240" i="2"/>
  <c r="L2240" i="2"/>
  <c r="E2240" i="2"/>
  <c r="D2240" i="2"/>
  <c r="B2240" i="2"/>
  <c r="A2240" i="2"/>
  <c r="O2239" i="2"/>
  <c r="M2239" i="2"/>
  <c r="L2239" i="2"/>
  <c r="E2239" i="2"/>
  <c r="D2239" i="2"/>
  <c r="B2239" i="2"/>
  <c r="A2239" i="2"/>
  <c r="O2238" i="2"/>
  <c r="M2238" i="2"/>
  <c r="L2238" i="2"/>
  <c r="E2238" i="2"/>
  <c r="D2238" i="2"/>
  <c r="B2238" i="2"/>
  <c r="A2238" i="2"/>
  <c r="O2237" i="2"/>
  <c r="M2237" i="2"/>
  <c r="L2237" i="2"/>
  <c r="E2237" i="2"/>
  <c r="D2237" i="2"/>
  <c r="B2237" i="2"/>
  <c r="A2237" i="2"/>
  <c r="O2236" i="2"/>
  <c r="O2235" i="2"/>
  <c r="O2234" i="2"/>
  <c r="O2233" i="2"/>
  <c r="O2232" i="2"/>
  <c r="M2232" i="2"/>
  <c r="L2232" i="2"/>
  <c r="E2232" i="2"/>
  <c r="D2232" i="2"/>
  <c r="B2232" i="2"/>
  <c r="A2232" i="2"/>
  <c r="O2231" i="2"/>
  <c r="O2230" i="2"/>
  <c r="M2230" i="2"/>
  <c r="L2230" i="2"/>
  <c r="E2230" i="2"/>
  <c r="D2230" i="2"/>
  <c r="B2230" i="2"/>
  <c r="A2230" i="2"/>
  <c r="O2229" i="2"/>
  <c r="O2228" i="2"/>
  <c r="M2228" i="2"/>
  <c r="L2228" i="2"/>
  <c r="E2228" i="2"/>
  <c r="D2228" i="2"/>
  <c r="B2228" i="2"/>
  <c r="A2228" i="2"/>
  <c r="O2227" i="2"/>
  <c r="M2227" i="2"/>
  <c r="L2227" i="2"/>
  <c r="E2227" i="2"/>
  <c r="D2227" i="2"/>
  <c r="B2227" i="2"/>
  <c r="A2227" i="2"/>
  <c r="O2226" i="2"/>
  <c r="O2225" i="2"/>
  <c r="M2225" i="2"/>
  <c r="L2225" i="2"/>
  <c r="E2225" i="2"/>
  <c r="D2225" i="2"/>
  <c r="B2225" i="2"/>
  <c r="A2225" i="2"/>
  <c r="O2224" i="2"/>
  <c r="M2224" i="2"/>
  <c r="L2224" i="2"/>
  <c r="E2224" i="2"/>
  <c r="D2224" i="2"/>
  <c r="B2224" i="2"/>
  <c r="A2224" i="2"/>
  <c r="O2223" i="2"/>
  <c r="M2223" i="2"/>
  <c r="L2223" i="2"/>
  <c r="E2223" i="2"/>
  <c r="D2223" i="2"/>
  <c r="B2223" i="2"/>
  <c r="A2223" i="2"/>
  <c r="O2222" i="2"/>
  <c r="O2221" i="2"/>
  <c r="O2220" i="2"/>
  <c r="M2220" i="2"/>
  <c r="L2220" i="2"/>
  <c r="E2220" i="2"/>
  <c r="D2220" i="2"/>
  <c r="B2220" i="2"/>
  <c r="A2220" i="2"/>
  <c r="O2219" i="2"/>
  <c r="M2219" i="2"/>
  <c r="L2219" i="2"/>
  <c r="E2219" i="2"/>
  <c r="D2219" i="2"/>
  <c r="B2219" i="2"/>
  <c r="A2219" i="2"/>
  <c r="O2218" i="2"/>
  <c r="O2217" i="2"/>
  <c r="O2216" i="2"/>
  <c r="O2215" i="2"/>
  <c r="M2215" i="2"/>
  <c r="L2215" i="2"/>
  <c r="E2215" i="2"/>
  <c r="D2215" i="2"/>
  <c r="B2215" i="2"/>
  <c r="A2215" i="2"/>
  <c r="O2214" i="2"/>
  <c r="O2213" i="2"/>
  <c r="M2213" i="2"/>
  <c r="L2213" i="2"/>
  <c r="E2213" i="2"/>
  <c r="D2213" i="2"/>
  <c r="B2213" i="2"/>
  <c r="A2213" i="2"/>
  <c r="O2212" i="2"/>
  <c r="O2211" i="2"/>
  <c r="M2211" i="2"/>
  <c r="L2211" i="2"/>
  <c r="E2211" i="2"/>
  <c r="D2211" i="2"/>
  <c r="B2211" i="2"/>
  <c r="A2211" i="2"/>
  <c r="O2210" i="2"/>
  <c r="M2210" i="2"/>
  <c r="L2210" i="2"/>
  <c r="E2210" i="2"/>
  <c r="D2210" i="2"/>
  <c r="B2210" i="2"/>
  <c r="A2210" i="2"/>
  <c r="O2209" i="2"/>
  <c r="M2209" i="2"/>
  <c r="L2209" i="2"/>
  <c r="E2209" i="2"/>
  <c r="D2209" i="2"/>
  <c r="B2209" i="2"/>
  <c r="A2209" i="2"/>
  <c r="O2208" i="2"/>
  <c r="M2208" i="2"/>
  <c r="L2208" i="2"/>
  <c r="E2208" i="2"/>
  <c r="D2208" i="2"/>
  <c r="B2208" i="2"/>
  <c r="A2208" i="2"/>
  <c r="O2207" i="2"/>
  <c r="M2207" i="2"/>
  <c r="L2207" i="2"/>
  <c r="E2207" i="2"/>
  <c r="D2207" i="2"/>
  <c r="B2207" i="2"/>
  <c r="A2207" i="2"/>
  <c r="O2206" i="2"/>
  <c r="O2205" i="2"/>
  <c r="O2204" i="2"/>
  <c r="M2204" i="2"/>
  <c r="L2204" i="2"/>
  <c r="E2204" i="2"/>
  <c r="D2204" i="2"/>
  <c r="B2204" i="2"/>
  <c r="A2204" i="2"/>
  <c r="O2203" i="2"/>
  <c r="O2202" i="2"/>
  <c r="O2201" i="2"/>
  <c r="O2200" i="2"/>
  <c r="O2199" i="2"/>
  <c r="M2199" i="2"/>
  <c r="L2199" i="2"/>
  <c r="E2199" i="2"/>
  <c r="D2199" i="2"/>
  <c r="B2199" i="2"/>
  <c r="A2199" i="2"/>
  <c r="O2198" i="2"/>
  <c r="M2198" i="2"/>
  <c r="L2198" i="2"/>
  <c r="E2198" i="2"/>
  <c r="D2198" i="2"/>
  <c r="B2198" i="2"/>
  <c r="A2198" i="2"/>
  <c r="O2197" i="2"/>
  <c r="O2196" i="2"/>
  <c r="O2195" i="2"/>
  <c r="M2195" i="2"/>
  <c r="L2195" i="2"/>
  <c r="E2195" i="2"/>
  <c r="D2195" i="2"/>
  <c r="B2195" i="2"/>
  <c r="A2195" i="2"/>
  <c r="O2194" i="2"/>
  <c r="M2194" i="2"/>
  <c r="L2194" i="2"/>
  <c r="E2194" i="2"/>
  <c r="D2194" i="2"/>
  <c r="B2194" i="2"/>
  <c r="A2194" i="2"/>
  <c r="O2193" i="2"/>
  <c r="M2193" i="2"/>
  <c r="L2193" i="2"/>
  <c r="E2193" i="2"/>
  <c r="D2193" i="2"/>
  <c r="B2193" i="2"/>
  <c r="A2193" i="2"/>
  <c r="O2192" i="2"/>
  <c r="O2191" i="2"/>
  <c r="O2190" i="2"/>
  <c r="M2190" i="2"/>
  <c r="L2190" i="2"/>
  <c r="E2190" i="2"/>
  <c r="D2190" i="2"/>
  <c r="B2190" i="2"/>
  <c r="A2190" i="2"/>
  <c r="O2189" i="2"/>
  <c r="O2188" i="2"/>
  <c r="M2188" i="2"/>
  <c r="L2188" i="2"/>
  <c r="E2188" i="2"/>
  <c r="D2188" i="2"/>
  <c r="B2188" i="2"/>
  <c r="A2188" i="2"/>
  <c r="O2187" i="2"/>
  <c r="O2186" i="2"/>
  <c r="O2185" i="2"/>
  <c r="O2184" i="2"/>
  <c r="O2183" i="2"/>
  <c r="M2183" i="2"/>
  <c r="L2183" i="2"/>
  <c r="E2183" i="2"/>
  <c r="D2183" i="2"/>
  <c r="B2183" i="2"/>
  <c r="A2183" i="2"/>
  <c r="O2182" i="2"/>
  <c r="M2182" i="2"/>
  <c r="L2182" i="2"/>
  <c r="E2182" i="2"/>
  <c r="D2182" i="2"/>
  <c r="B2182" i="2"/>
  <c r="A2182" i="2"/>
  <c r="O2181" i="2"/>
  <c r="M2181" i="2"/>
  <c r="L2181" i="2"/>
  <c r="E2181" i="2"/>
  <c r="D2181" i="2"/>
  <c r="B2181" i="2"/>
  <c r="A2181" i="2"/>
  <c r="O2180" i="2"/>
  <c r="M2180" i="2"/>
  <c r="L2180" i="2"/>
  <c r="E2180" i="2"/>
  <c r="D2180" i="2"/>
  <c r="B2180" i="2"/>
  <c r="A2180" i="2"/>
  <c r="O2179" i="2"/>
  <c r="O2178" i="2"/>
  <c r="M2178" i="2"/>
  <c r="L2178" i="2"/>
  <c r="E2178" i="2"/>
  <c r="D2178" i="2"/>
  <c r="B2178" i="2"/>
  <c r="A2178" i="2"/>
  <c r="O2177" i="2"/>
  <c r="O2176" i="2"/>
  <c r="O2175" i="2"/>
  <c r="M2175" i="2"/>
  <c r="L2175" i="2"/>
  <c r="E2175" i="2"/>
  <c r="D2175" i="2"/>
  <c r="B2175" i="2"/>
  <c r="A2175" i="2"/>
  <c r="O2174" i="2"/>
  <c r="M2174" i="2"/>
  <c r="L2174" i="2"/>
  <c r="E2174" i="2"/>
  <c r="D2174" i="2"/>
  <c r="B2174" i="2"/>
  <c r="A2174" i="2"/>
  <c r="O2173" i="2"/>
  <c r="O2172" i="2"/>
  <c r="M2172" i="2"/>
  <c r="L2172" i="2"/>
  <c r="E2172" i="2"/>
  <c r="D2172" i="2"/>
  <c r="B2172" i="2"/>
  <c r="A2172" i="2"/>
  <c r="O2171" i="2"/>
  <c r="O2170" i="2"/>
  <c r="M2170" i="2"/>
  <c r="L2170" i="2"/>
  <c r="E2170" i="2"/>
  <c r="D2170" i="2"/>
  <c r="B2170" i="2"/>
  <c r="A2170" i="2"/>
  <c r="O2169" i="2"/>
  <c r="M2169" i="2"/>
  <c r="L2169" i="2"/>
  <c r="E2169" i="2"/>
  <c r="D2169" i="2"/>
  <c r="B2169" i="2"/>
  <c r="A2169" i="2"/>
  <c r="O2168" i="2"/>
  <c r="O2167" i="2"/>
  <c r="M2167" i="2"/>
  <c r="L2167" i="2"/>
  <c r="E2167" i="2"/>
  <c r="D2167" i="2"/>
  <c r="B2167" i="2"/>
  <c r="A2167" i="2"/>
  <c r="O2166" i="2"/>
  <c r="O2165" i="2"/>
  <c r="O2164" i="2"/>
  <c r="O2163" i="2"/>
  <c r="O2162" i="2"/>
  <c r="M2162" i="2"/>
  <c r="L2162" i="2"/>
  <c r="E2162" i="2"/>
  <c r="D2162" i="2"/>
  <c r="B2162" i="2"/>
  <c r="A2162" i="2"/>
  <c r="O2161" i="2"/>
  <c r="M2161" i="2"/>
  <c r="L2161" i="2"/>
  <c r="E2161" i="2"/>
  <c r="D2161" i="2"/>
  <c r="B2161" i="2"/>
  <c r="A2161" i="2"/>
  <c r="O2160" i="2"/>
  <c r="O2159" i="2"/>
  <c r="M2159" i="2"/>
  <c r="L2159" i="2"/>
  <c r="E2159" i="2"/>
  <c r="D2159" i="2"/>
  <c r="B2159" i="2"/>
  <c r="A2159" i="2"/>
  <c r="O2158" i="2"/>
  <c r="M2158" i="2"/>
  <c r="L2158" i="2"/>
  <c r="E2158" i="2"/>
  <c r="D2158" i="2"/>
  <c r="B2158" i="2"/>
  <c r="A2158" i="2"/>
  <c r="O2157" i="2"/>
  <c r="O2156" i="2"/>
  <c r="M2156" i="2"/>
  <c r="L2156" i="2"/>
  <c r="E2156" i="2"/>
  <c r="D2156" i="2"/>
  <c r="B2156" i="2"/>
  <c r="A2156" i="2"/>
  <c r="O2155" i="2"/>
  <c r="M2155" i="2"/>
  <c r="L2155" i="2"/>
  <c r="E2155" i="2"/>
  <c r="D2155" i="2"/>
  <c r="B2155" i="2"/>
  <c r="A2155" i="2"/>
  <c r="O2154" i="2"/>
  <c r="O2153" i="2"/>
  <c r="O2152" i="2"/>
  <c r="O2151" i="2"/>
  <c r="O2150" i="2"/>
  <c r="O2149" i="2"/>
  <c r="M2149" i="2"/>
  <c r="L2149" i="2"/>
  <c r="E2149" i="2"/>
  <c r="D2149" i="2"/>
  <c r="B2149" i="2"/>
  <c r="A2149" i="2"/>
  <c r="O2148" i="2"/>
  <c r="O2147" i="2"/>
  <c r="M2147" i="2"/>
  <c r="L2147" i="2"/>
  <c r="E2147" i="2"/>
  <c r="D2147" i="2"/>
  <c r="B2147" i="2"/>
  <c r="A2147" i="2"/>
  <c r="O2146" i="2"/>
  <c r="M2146" i="2"/>
  <c r="L2146" i="2"/>
  <c r="E2146" i="2"/>
  <c r="D2146" i="2"/>
  <c r="B2146" i="2"/>
  <c r="A2146" i="2"/>
  <c r="O2145" i="2"/>
  <c r="O2144" i="2"/>
  <c r="M2144" i="2"/>
  <c r="L2144" i="2"/>
  <c r="E2144" i="2"/>
  <c r="D2144" i="2"/>
  <c r="B2144" i="2"/>
  <c r="A2144" i="2"/>
  <c r="O2143" i="2"/>
  <c r="M2143" i="2"/>
  <c r="L2143" i="2"/>
  <c r="E2143" i="2"/>
  <c r="D2143" i="2"/>
  <c r="B2143" i="2"/>
  <c r="A2143" i="2"/>
  <c r="O2142" i="2"/>
  <c r="M2142" i="2"/>
  <c r="L2142" i="2"/>
  <c r="E2142" i="2"/>
  <c r="D2142" i="2"/>
  <c r="B2142" i="2"/>
  <c r="A2142" i="2"/>
  <c r="O2141" i="2"/>
  <c r="M2141" i="2"/>
  <c r="L2141" i="2"/>
  <c r="E2141" i="2"/>
  <c r="D2141" i="2"/>
  <c r="B2141" i="2"/>
  <c r="A2141" i="2"/>
  <c r="O2140" i="2"/>
  <c r="O2139" i="2"/>
  <c r="M2139" i="2"/>
  <c r="L2139" i="2"/>
  <c r="E2139" i="2"/>
  <c r="D2139" i="2"/>
  <c r="B2139" i="2"/>
  <c r="A2139" i="2"/>
  <c r="O2138" i="2"/>
  <c r="M2138" i="2"/>
  <c r="L2138" i="2"/>
  <c r="E2138" i="2"/>
  <c r="D2138" i="2"/>
  <c r="B2138" i="2"/>
  <c r="A2138" i="2"/>
  <c r="O2137" i="2"/>
  <c r="M2137" i="2"/>
  <c r="L2137" i="2"/>
  <c r="E2137" i="2"/>
  <c r="D2137" i="2"/>
  <c r="B2137" i="2"/>
  <c r="A2137" i="2"/>
  <c r="O2136" i="2"/>
  <c r="O2135" i="2"/>
  <c r="M2135" i="2"/>
  <c r="L2135" i="2"/>
  <c r="E2135" i="2"/>
  <c r="D2135" i="2"/>
  <c r="B2135" i="2"/>
  <c r="A2135" i="2"/>
  <c r="O2134" i="2"/>
  <c r="O2133" i="2"/>
  <c r="O2132" i="2"/>
  <c r="M2132" i="2"/>
  <c r="L2132" i="2"/>
  <c r="E2132" i="2"/>
  <c r="D2132" i="2"/>
  <c r="B2132" i="2"/>
  <c r="A2132" i="2"/>
  <c r="O2131" i="2"/>
  <c r="M2131" i="2"/>
  <c r="L2131" i="2"/>
  <c r="E2131" i="2"/>
  <c r="D2131" i="2"/>
  <c r="B2131" i="2"/>
  <c r="A2131" i="2"/>
  <c r="O2130" i="2"/>
  <c r="M2130" i="2"/>
  <c r="L2130" i="2"/>
  <c r="E2130" i="2"/>
  <c r="D2130" i="2"/>
  <c r="B2130" i="2"/>
  <c r="A2130" i="2"/>
  <c r="O2129" i="2"/>
  <c r="O2128" i="2"/>
  <c r="O2127" i="2"/>
  <c r="M2127" i="2"/>
  <c r="L2127" i="2"/>
  <c r="E2127" i="2"/>
  <c r="D2127" i="2"/>
  <c r="B2127" i="2"/>
  <c r="A2127" i="2"/>
  <c r="O2126" i="2"/>
  <c r="O2125" i="2"/>
  <c r="O2124" i="2"/>
  <c r="O2123" i="2"/>
  <c r="O2122" i="2"/>
  <c r="O2121" i="2"/>
  <c r="M2121" i="2"/>
  <c r="L2121" i="2"/>
  <c r="E2121" i="2"/>
  <c r="D2121" i="2"/>
  <c r="B2121" i="2"/>
  <c r="A2121" i="2"/>
  <c r="O2120" i="2"/>
  <c r="M2120" i="2"/>
  <c r="L2120" i="2"/>
  <c r="E2120" i="2"/>
  <c r="D2120" i="2"/>
  <c r="B2120" i="2"/>
  <c r="A2120" i="2"/>
  <c r="O2119" i="2"/>
  <c r="O2118" i="2"/>
  <c r="M2118" i="2"/>
  <c r="L2118" i="2"/>
  <c r="E2118" i="2"/>
  <c r="D2118" i="2"/>
  <c r="B2118" i="2"/>
  <c r="A2118" i="2"/>
  <c r="O2117" i="2"/>
  <c r="M2117" i="2"/>
  <c r="L2117" i="2"/>
  <c r="E2117" i="2"/>
  <c r="D2117" i="2"/>
  <c r="B2117" i="2"/>
  <c r="A2117" i="2"/>
  <c r="O2116" i="2"/>
  <c r="M2116" i="2"/>
  <c r="L2116" i="2"/>
  <c r="E2116" i="2"/>
  <c r="D2116" i="2"/>
  <c r="B2116" i="2"/>
  <c r="A2116" i="2"/>
  <c r="O2115" i="2"/>
  <c r="O2114" i="2"/>
  <c r="M2114" i="2"/>
  <c r="L2114" i="2"/>
  <c r="E2114" i="2"/>
  <c r="D2114" i="2"/>
  <c r="B2114" i="2"/>
  <c r="A2114" i="2"/>
  <c r="O2113" i="2"/>
  <c r="O2112" i="2"/>
  <c r="M2112" i="2"/>
  <c r="L2112" i="2"/>
  <c r="E2112" i="2"/>
  <c r="D2112" i="2"/>
  <c r="B2112" i="2"/>
  <c r="A2112" i="2"/>
  <c r="O2111" i="2"/>
  <c r="M2111" i="2"/>
  <c r="L2111" i="2"/>
  <c r="E2111" i="2"/>
  <c r="D2111" i="2"/>
  <c r="B2111" i="2"/>
  <c r="A2111" i="2"/>
  <c r="O2110" i="2"/>
  <c r="M2110" i="2"/>
  <c r="L2110" i="2"/>
  <c r="E2110" i="2"/>
  <c r="D2110" i="2"/>
  <c r="B2110" i="2"/>
  <c r="A2110" i="2"/>
  <c r="O2109" i="2"/>
  <c r="M2109" i="2"/>
  <c r="L2109" i="2"/>
  <c r="E2109" i="2"/>
  <c r="D2109" i="2"/>
  <c r="B2109" i="2"/>
  <c r="A2109" i="2"/>
  <c r="O2108" i="2"/>
  <c r="M2108" i="2"/>
  <c r="L2108" i="2"/>
  <c r="E2108" i="2"/>
  <c r="D2108" i="2"/>
  <c r="B2108" i="2"/>
  <c r="A2108" i="2"/>
  <c r="O2107" i="2"/>
  <c r="M2107" i="2"/>
  <c r="L2107" i="2"/>
  <c r="E2107" i="2"/>
  <c r="D2107" i="2"/>
  <c r="B2107" i="2"/>
  <c r="A2107" i="2"/>
  <c r="O2106" i="2"/>
  <c r="M2106" i="2"/>
  <c r="L2106" i="2"/>
  <c r="E2106" i="2"/>
  <c r="D2106" i="2"/>
  <c r="B2106" i="2"/>
  <c r="A2106" i="2"/>
  <c r="O2105" i="2"/>
  <c r="M2105" i="2"/>
  <c r="L2105" i="2"/>
  <c r="E2105" i="2"/>
  <c r="D2105" i="2"/>
  <c r="B2105" i="2"/>
  <c r="A2105" i="2"/>
  <c r="O2104" i="2"/>
  <c r="M2104" i="2"/>
  <c r="L2104" i="2"/>
  <c r="E2104" i="2"/>
  <c r="D2104" i="2"/>
  <c r="B2104" i="2"/>
  <c r="A2104" i="2"/>
  <c r="O2103" i="2"/>
  <c r="O2102" i="2"/>
  <c r="O2101" i="2"/>
  <c r="M2101" i="2"/>
  <c r="L2101" i="2"/>
  <c r="E2101" i="2"/>
  <c r="D2101" i="2"/>
  <c r="B2101" i="2"/>
  <c r="A2101" i="2"/>
  <c r="O2100" i="2"/>
  <c r="M2100" i="2"/>
  <c r="L2100" i="2"/>
  <c r="E2100" i="2"/>
  <c r="D2100" i="2"/>
  <c r="B2100" i="2"/>
  <c r="A2100" i="2"/>
  <c r="O2099" i="2"/>
  <c r="M2099" i="2"/>
  <c r="L2099" i="2"/>
  <c r="E2099" i="2"/>
  <c r="D2099" i="2"/>
  <c r="B2099" i="2"/>
  <c r="A2099" i="2"/>
  <c r="O2098" i="2"/>
  <c r="M2098" i="2"/>
  <c r="L2098" i="2"/>
  <c r="E2098" i="2"/>
  <c r="D2098" i="2"/>
  <c r="B2098" i="2"/>
  <c r="A2098" i="2"/>
  <c r="O2097" i="2"/>
  <c r="O2096" i="2"/>
  <c r="M2096" i="2"/>
  <c r="L2096" i="2"/>
  <c r="E2096" i="2"/>
  <c r="D2096" i="2"/>
  <c r="B2096" i="2"/>
  <c r="A2096" i="2"/>
  <c r="O2095" i="2"/>
  <c r="M2095" i="2"/>
  <c r="L2095" i="2"/>
  <c r="E2095" i="2"/>
  <c r="D2095" i="2"/>
  <c r="B2095" i="2"/>
  <c r="A2095" i="2"/>
  <c r="O2094" i="2"/>
  <c r="O2093" i="2"/>
  <c r="O2092" i="2"/>
  <c r="O2091" i="2"/>
  <c r="M2091" i="2"/>
  <c r="L2091" i="2"/>
  <c r="E2091" i="2"/>
  <c r="D2091" i="2"/>
  <c r="B2091" i="2"/>
  <c r="A2091" i="2"/>
  <c r="O2090" i="2"/>
  <c r="M2090" i="2"/>
  <c r="L2090" i="2"/>
  <c r="E2090" i="2"/>
  <c r="D2090" i="2"/>
  <c r="B2090" i="2"/>
  <c r="A2090" i="2"/>
  <c r="O2089" i="2"/>
  <c r="M2089" i="2"/>
  <c r="L2089" i="2"/>
  <c r="E2089" i="2"/>
  <c r="D2089" i="2"/>
  <c r="B2089" i="2"/>
  <c r="A2089" i="2"/>
  <c r="O2088" i="2"/>
  <c r="M2088" i="2"/>
  <c r="L2088" i="2"/>
  <c r="E2088" i="2"/>
  <c r="D2088" i="2"/>
  <c r="B2088" i="2"/>
  <c r="A2088" i="2"/>
  <c r="O2087" i="2"/>
  <c r="M2087" i="2"/>
  <c r="L2087" i="2"/>
  <c r="E2087" i="2"/>
  <c r="D2087" i="2"/>
  <c r="B2087" i="2"/>
  <c r="A2087" i="2"/>
  <c r="O2086" i="2"/>
  <c r="M2086" i="2"/>
  <c r="L2086" i="2"/>
  <c r="E2086" i="2"/>
  <c r="D2086" i="2"/>
  <c r="B2086" i="2"/>
  <c r="A2086" i="2"/>
  <c r="O2085" i="2"/>
  <c r="O2084" i="2"/>
  <c r="O2083" i="2"/>
  <c r="O2082" i="2"/>
  <c r="O2081" i="2"/>
  <c r="O2080" i="2"/>
  <c r="M2080" i="2"/>
  <c r="L2080" i="2"/>
  <c r="E2080" i="2"/>
  <c r="D2080" i="2"/>
  <c r="B2080" i="2"/>
  <c r="A2080" i="2"/>
  <c r="O2079" i="2"/>
  <c r="O2078" i="2"/>
  <c r="M2078" i="2"/>
  <c r="L2078" i="2"/>
  <c r="E2078" i="2"/>
  <c r="D2078" i="2"/>
  <c r="B2078" i="2"/>
  <c r="A2078" i="2"/>
  <c r="O2077" i="2"/>
  <c r="M2077" i="2"/>
  <c r="L2077" i="2"/>
  <c r="E2077" i="2"/>
  <c r="D2077" i="2"/>
  <c r="B2077" i="2"/>
  <c r="A2077" i="2"/>
  <c r="O2076" i="2"/>
  <c r="M2076" i="2"/>
  <c r="L2076" i="2"/>
  <c r="E2076" i="2"/>
  <c r="D2076" i="2"/>
  <c r="B2076" i="2"/>
  <c r="A2076" i="2"/>
  <c r="O2075" i="2"/>
  <c r="M2075" i="2"/>
  <c r="L2075" i="2"/>
  <c r="E2075" i="2"/>
  <c r="D2075" i="2"/>
  <c r="B2075" i="2"/>
  <c r="A2075" i="2"/>
  <c r="O2074" i="2"/>
  <c r="M2074" i="2"/>
  <c r="L2074" i="2"/>
  <c r="E2074" i="2"/>
  <c r="D2074" i="2"/>
  <c r="B2074" i="2"/>
  <c r="A2074" i="2"/>
  <c r="O2073" i="2"/>
  <c r="O2072" i="2"/>
  <c r="O2071" i="2"/>
  <c r="O2070" i="2"/>
  <c r="M2070" i="2"/>
  <c r="L2070" i="2"/>
  <c r="E2070" i="2"/>
  <c r="D2070" i="2"/>
  <c r="B2070" i="2"/>
  <c r="A2070" i="2"/>
  <c r="O2069" i="2"/>
  <c r="M2069" i="2"/>
  <c r="L2069" i="2"/>
  <c r="E2069" i="2"/>
  <c r="D2069" i="2"/>
  <c r="B2069" i="2"/>
  <c r="A2069" i="2"/>
  <c r="O2068" i="2"/>
  <c r="M2068" i="2"/>
  <c r="L2068" i="2"/>
  <c r="E2068" i="2"/>
  <c r="D2068" i="2"/>
  <c r="B2068" i="2"/>
  <c r="A2068" i="2"/>
  <c r="O2067" i="2"/>
  <c r="M2067" i="2"/>
  <c r="L2067" i="2"/>
  <c r="E2067" i="2"/>
  <c r="D2067" i="2"/>
  <c r="B2067" i="2"/>
  <c r="A2067" i="2"/>
  <c r="O2066" i="2"/>
  <c r="O2065" i="2"/>
  <c r="M2065" i="2"/>
  <c r="L2065" i="2"/>
  <c r="E2065" i="2"/>
  <c r="D2065" i="2"/>
  <c r="B2065" i="2"/>
  <c r="A2065" i="2"/>
  <c r="O2064" i="2"/>
  <c r="M2064" i="2"/>
  <c r="L2064" i="2"/>
  <c r="E2064" i="2"/>
  <c r="D2064" i="2"/>
  <c r="B2064" i="2"/>
  <c r="A2064" i="2"/>
  <c r="O2063" i="2"/>
  <c r="O2062" i="2"/>
  <c r="O2061" i="2"/>
  <c r="O2060" i="2"/>
  <c r="O2059" i="2"/>
  <c r="M2059" i="2"/>
  <c r="L2059" i="2"/>
  <c r="E2059" i="2"/>
  <c r="D2059" i="2"/>
  <c r="B2059" i="2"/>
  <c r="A2059" i="2"/>
  <c r="O2058" i="2"/>
  <c r="M2058" i="2"/>
  <c r="L2058" i="2"/>
  <c r="E2058" i="2"/>
  <c r="D2058" i="2"/>
  <c r="B2058" i="2"/>
  <c r="A2058" i="2"/>
  <c r="O2057" i="2"/>
  <c r="M2057" i="2"/>
  <c r="L2057" i="2"/>
  <c r="E2057" i="2"/>
  <c r="D2057" i="2"/>
  <c r="B2057" i="2"/>
  <c r="A2057" i="2"/>
  <c r="O2056" i="2"/>
  <c r="M2056" i="2"/>
  <c r="L2056" i="2"/>
  <c r="E2056" i="2"/>
  <c r="D2056" i="2"/>
  <c r="B2056" i="2"/>
  <c r="A2056" i="2"/>
  <c r="O2055" i="2"/>
  <c r="M2055" i="2"/>
  <c r="L2055" i="2"/>
  <c r="E2055" i="2"/>
  <c r="D2055" i="2"/>
  <c r="B2055" i="2"/>
  <c r="A2055" i="2"/>
  <c r="O2054" i="2"/>
  <c r="M2054" i="2"/>
  <c r="L2054" i="2"/>
  <c r="E2054" i="2"/>
  <c r="D2054" i="2"/>
  <c r="B2054" i="2"/>
  <c r="A2054" i="2"/>
  <c r="O2053" i="2"/>
  <c r="M2053" i="2"/>
  <c r="L2053" i="2"/>
  <c r="E2053" i="2"/>
  <c r="D2053" i="2"/>
  <c r="B2053" i="2"/>
  <c r="A2053" i="2"/>
  <c r="O2052" i="2"/>
  <c r="M2052" i="2"/>
  <c r="L2052" i="2"/>
  <c r="E2052" i="2"/>
  <c r="D2052" i="2"/>
  <c r="B2052" i="2"/>
  <c r="A2052" i="2"/>
  <c r="O2051" i="2"/>
  <c r="M2051" i="2"/>
  <c r="L2051" i="2"/>
  <c r="E2051" i="2"/>
  <c r="D2051" i="2"/>
  <c r="B2051" i="2"/>
  <c r="A2051" i="2"/>
  <c r="O2050" i="2"/>
  <c r="O2049" i="2"/>
  <c r="M2049" i="2"/>
  <c r="L2049" i="2"/>
  <c r="E2049" i="2"/>
  <c r="D2049" i="2"/>
  <c r="B2049" i="2"/>
  <c r="A2049" i="2"/>
  <c r="O2048" i="2"/>
  <c r="M2048" i="2"/>
  <c r="L2048" i="2"/>
  <c r="E2048" i="2"/>
  <c r="D2048" i="2"/>
  <c r="B2048" i="2"/>
  <c r="A2048" i="2"/>
  <c r="O2047" i="2"/>
  <c r="M2047" i="2"/>
  <c r="L2047" i="2"/>
  <c r="E2047" i="2"/>
  <c r="D2047" i="2"/>
  <c r="B2047" i="2"/>
  <c r="A2047" i="2"/>
  <c r="O2046" i="2"/>
  <c r="M2046" i="2"/>
  <c r="L2046" i="2"/>
  <c r="E2046" i="2"/>
  <c r="D2046" i="2"/>
  <c r="B2046" i="2"/>
  <c r="A2046" i="2"/>
  <c r="O2045" i="2"/>
  <c r="M2045" i="2"/>
  <c r="L2045" i="2"/>
  <c r="E2045" i="2"/>
  <c r="D2045" i="2"/>
  <c r="B2045" i="2"/>
  <c r="A2045" i="2"/>
  <c r="O2044" i="2"/>
  <c r="M2044" i="2"/>
  <c r="L2044" i="2"/>
  <c r="E2044" i="2"/>
  <c r="D2044" i="2"/>
  <c r="B2044" i="2"/>
  <c r="A2044" i="2"/>
  <c r="O2043" i="2"/>
  <c r="M2043" i="2"/>
  <c r="L2043" i="2"/>
  <c r="E2043" i="2"/>
  <c r="D2043" i="2"/>
  <c r="B2043" i="2"/>
  <c r="A2043" i="2"/>
  <c r="O2042" i="2"/>
  <c r="M2042" i="2"/>
  <c r="L2042" i="2"/>
  <c r="E2042" i="2"/>
  <c r="D2042" i="2"/>
  <c r="B2042" i="2"/>
  <c r="A2042" i="2"/>
  <c r="O2041" i="2"/>
  <c r="M2041" i="2"/>
  <c r="L2041" i="2"/>
  <c r="E2041" i="2"/>
  <c r="D2041" i="2"/>
  <c r="B2041" i="2"/>
  <c r="A2041" i="2"/>
  <c r="O2040" i="2"/>
  <c r="M2040" i="2"/>
  <c r="L2040" i="2"/>
  <c r="E2040" i="2"/>
  <c r="D2040" i="2"/>
  <c r="B2040" i="2"/>
  <c r="A2040" i="2"/>
  <c r="O2039" i="2"/>
  <c r="O2038" i="2"/>
  <c r="M2038" i="2"/>
  <c r="L2038" i="2"/>
  <c r="E2038" i="2"/>
  <c r="D2038" i="2"/>
  <c r="B2038" i="2"/>
  <c r="A2038" i="2"/>
  <c r="O2037" i="2"/>
  <c r="M2037" i="2"/>
  <c r="L2037" i="2"/>
  <c r="E2037" i="2"/>
  <c r="D2037" i="2"/>
  <c r="B2037" i="2"/>
  <c r="A2037" i="2"/>
  <c r="O2036" i="2"/>
  <c r="M2036" i="2"/>
  <c r="L2036" i="2"/>
  <c r="E2036" i="2"/>
  <c r="D2036" i="2"/>
  <c r="B2036" i="2"/>
  <c r="A2036" i="2"/>
  <c r="O2035" i="2"/>
  <c r="M2035" i="2"/>
  <c r="L2035" i="2"/>
  <c r="E2035" i="2"/>
  <c r="D2035" i="2"/>
  <c r="B2035" i="2"/>
  <c r="A2035" i="2"/>
  <c r="O2034" i="2"/>
  <c r="M2034" i="2"/>
  <c r="L2034" i="2"/>
  <c r="E2034" i="2"/>
  <c r="D2034" i="2"/>
  <c r="B2034" i="2"/>
  <c r="A2034" i="2"/>
  <c r="O2033" i="2"/>
  <c r="M2033" i="2"/>
  <c r="L2033" i="2"/>
  <c r="E2033" i="2"/>
  <c r="D2033" i="2"/>
  <c r="B2033" i="2"/>
  <c r="A2033" i="2"/>
  <c r="O2032" i="2"/>
  <c r="M2032" i="2"/>
  <c r="L2032" i="2"/>
  <c r="E2032" i="2"/>
  <c r="D2032" i="2"/>
  <c r="B2032" i="2"/>
  <c r="A2032" i="2"/>
  <c r="O2031" i="2"/>
  <c r="O2030" i="2"/>
  <c r="M2030" i="2"/>
  <c r="L2030" i="2"/>
  <c r="E2030" i="2"/>
  <c r="D2030" i="2"/>
  <c r="B2030" i="2"/>
  <c r="A2030" i="2"/>
  <c r="O2029" i="2"/>
  <c r="M2029" i="2"/>
  <c r="L2029" i="2"/>
  <c r="E2029" i="2"/>
  <c r="D2029" i="2"/>
  <c r="B2029" i="2"/>
  <c r="A2029" i="2"/>
  <c r="O2028" i="2"/>
  <c r="M2028" i="2"/>
  <c r="L2028" i="2"/>
  <c r="E2028" i="2"/>
  <c r="D2028" i="2"/>
  <c r="B2028" i="2"/>
  <c r="A2028" i="2"/>
  <c r="O2027" i="2"/>
  <c r="M2027" i="2"/>
  <c r="L2027" i="2"/>
  <c r="E2027" i="2"/>
  <c r="D2027" i="2"/>
  <c r="B2027" i="2"/>
  <c r="A2027" i="2"/>
  <c r="O2026" i="2"/>
  <c r="M2026" i="2"/>
  <c r="L2026" i="2"/>
  <c r="E2026" i="2"/>
  <c r="D2026" i="2"/>
  <c r="B2026" i="2"/>
  <c r="A2026" i="2"/>
  <c r="O2025" i="2"/>
  <c r="M2025" i="2"/>
  <c r="L2025" i="2"/>
  <c r="E2025" i="2"/>
  <c r="D2025" i="2"/>
  <c r="B2025" i="2"/>
  <c r="A2025" i="2"/>
  <c r="O2024" i="2"/>
  <c r="M2024" i="2"/>
  <c r="L2024" i="2"/>
  <c r="E2024" i="2"/>
  <c r="D2024" i="2"/>
  <c r="B2024" i="2"/>
  <c r="A2024" i="2"/>
  <c r="O2023" i="2"/>
  <c r="O2022" i="2"/>
  <c r="O2021" i="2"/>
  <c r="O2020" i="2"/>
  <c r="O2019" i="2"/>
  <c r="O2018" i="2"/>
  <c r="O2017" i="2"/>
  <c r="O2016" i="2"/>
  <c r="O2015" i="2"/>
  <c r="O2014" i="2"/>
  <c r="O2013" i="2"/>
  <c r="O2012" i="2"/>
  <c r="O2011" i="2"/>
  <c r="O2010" i="2"/>
  <c r="M2010" i="2"/>
  <c r="L2010" i="2"/>
  <c r="E2010" i="2"/>
  <c r="D2010" i="2"/>
  <c r="B2010" i="2"/>
  <c r="A2010" i="2"/>
  <c r="O2009" i="2"/>
  <c r="O2008" i="2"/>
  <c r="M2008" i="2"/>
  <c r="L2008" i="2"/>
  <c r="E2008" i="2"/>
  <c r="D2008" i="2"/>
  <c r="B2008" i="2"/>
  <c r="A2008" i="2"/>
  <c r="O2007" i="2"/>
  <c r="M2007" i="2"/>
  <c r="L2007" i="2"/>
  <c r="E2007" i="2"/>
  <c r="D2007" i="2"/>
  <c r="B2007" i="2"/>
  <c r="A2007" i="2"/>
  <c r="O2006" i="2"/>
  <c r="M2006" i="2"/>
  <c r="L2006" i="2"/>
  <c r="E2006" i="2"/>
  <c r="D2006" i="2"/>
  <c r="B2006" i="2"/>
  <c r="A2006" i="2"/>
  <c r="O2005" i="2"/>
  <c r="M2005" i="2"/>
  <c r="L2005" i="2"/>
  <c r="E2005" i="2"/>
  <c r="D2005" i="2"/>
  <c r="B2005" i="2"/>
  <c r="A2005" i="2"/>
  <c r="O2004" i="2"/>
  <c r="M2004" i="2"/>
  <c r="L2004" i="2"/>
  <c r="E2004" i="2"/>
  <c r="D2004" i="2"/>
  <c r="B2004" i="2"/>
  <c r="A2004" i="2"/>
  <c r="O2003" i="2"/>
  <c r="M2003" i="2"/>
  <c r="L2003" i="2"/>
  <c r="E2003" i="2"/>
  <c r="D2003" i="2"/>
  <c r="B2003" i="2"/>
  <c r="A2003" i="2"/>
  <c r="O2002" i="2"/>
  <c r="O2001" i="2"/>
  <c r="M2001" i="2"/>
  <c r="L2001" i="2"/>
  <c r="E2001" i="2"/>
  <c r="D2001" i="2"/>
  <c r="B2001" i="2"/>
  <c r="A2001" i="2"/>
  <c r="O2000" i="2"/>
  <c r="M2000" i="2"/>
  <c r="L2000" i="2"/>
  <c r="E2000" i="2"/>
  <c r="D2000" i="2"/>
  <c r="B2000" i="2"/>
  <c r="A2000" i="2"/>
  <c r="O1999" i="2"/>
  <c r="O1998" i="2"/>
  <c r="M1998" i="2"/>
  <c r="L1998" i="2"/>
  <c r="E1998" i="2"/>
  <c r="D1998" i="2"/>
  <c r="B1998" i="2"/>
  <c r="A1998" i="2"/>
  <c r="O1997" i="2"/>
  <c r="M1997" i="2"/>
  <c r="L1997" i="2"/>
  <c r="E1997" i="2"/>
  <c r="D1997" i="2"/>
  <c r="B1997" i="2"/>
  <c r="A1997" i="2"/>
  <c r="O1996" i="2"/>
  <c r="M1996" i="2"/>
  <c r="L1996" i="2"/>
  <c r="E1996" i="2"/>
  <c r="D1996" i="2"/>
  <c r="B1996" i="2"/>
  <c r="A1996" i="2"/>
  <c r="O1995" i="2"/>
  <c r="M1995" i="2"/>
  <c r="L1995" i="2"/>
  <c r="E1995" i="2"/>
  <c r="D1995" i="2"/>
  <c r="B1995" i="2"/>
  <c r="A1995" i="2"/>
  <c r="O1994" i="2"/>
  <c r="O1993" i="2"/>
  <c r="M1993" i="2"/>
  <c r="L1993" i="2"/>
  <c r="E1993" i="2"/>
  <c r="D1993" i="2"/>
  <c r="B1993" i="2"/>
  <c r="A1993" i="2"/>
  <c r="O1992" i="2"/>
  <c r="O1991" i="2"/>
  <c r="M1991" i="2"/>
  <c r="L1991" i="2"/>
  <c r="E1991" i="2"/>
  <c r="D1991" i="2"/>
  <c r="B1991" i="2"/>
  <c r="A1991" i="2"/>
  <c r="O1990" i="2"/>
  <c r="O1989" i="2"/>
  <c r="M1989" i="2"/>
  <c r="L1989" i="2"/>
  <c r="E1989" i="2"/>
  <c r="D1989" i="2"/>
  <c r="B1989" i="2"/>
  <c r="A1989" i="2"/>
  <c r="O1988" i="2"/>
  <c r="M1988" i="2"/>
  <c r="L1988" i="2"/>
  <c r="E1988" i="2"/>
  <c r="D1988" i="2"/>
  <c r="B1988" i="2"/>
  <c r="A1988" i="2"/>
  <c r="O1987" i="2"/>
  <c r="O1986" i="2"/>
  <c r="M1986" i="2"/>
  <c r="L1986" i="2"/>
  <c r="E1986" i="2"/>
  <c r="D1986" i="2"/>
  <c r="B1986" i="2"/>
  <c r="A1986" i="2"/>
  <c r="O1985" i="2"/>
  <c r="O1984" i="2"/>
  <c r="M1984" i="2"/>
  <c r="L1984" i="2"/>
  <c r="E1984" i="2"/>
  <c r="D1984" i="2"/>
  <c r="B1984" i="2"/>
  <c r="A1984" i="2"/>
  <c r="O1983" i="2"/>
  <c r="M1983" i="2"/>
  <c r="L1983" i="2"/>
  <c r="E1983" i="2"/>
  <c r="D1983" i="2"/>
  <c r="B1983" i="2"/>
  <c r="A1983" i="2"/>
  <c r="O1982" i="2"/>
  <c r="O1981" i="2"/>
  <c r="O1980" i="2"/>
  <c r="M1980" i="2"/>
  <c r="L1980" i="2"/>
  <c r="E1980" i="2"/>
  <c r="D1980" i="2"/>
  <c r="B1980" i="2"/>
  <c r="A1980" i="2"/>
  <c r="O1979" i="2"/>
  <c r="O1978" i="2"/>
  <c r="O1977" i="2"/>
  <c r="M1977" i="2"/>
  <c r="L1977" i="2"/>
  <c r="E1977" i="2"/>
  <c r="D1977" i="2"/>
  <c r="B1977" i="2"/>
  <c r="A1977" i="2"/>
  <c r="O1976" i="2"/>
  <c r="M1976" i="2"/>
  <c r="L1976" i="2"/>
  <c r="E1976" i="2"/>
  <c r="D1976" i="2"/>
  <c r="B1976" i="2"/>
  <c r="A1976" i="2"/>
  <c r="O1975" i="2"/>
  <c r="M1975" i="2"/>
  <c r="L1975" i="2"/>
  <c r="E1975" i="2"/>
  <c r="D1975" i="2"/>
  <c r="B1975" i="2"/>
  <c r="A1975" i="2"/>
  <c r="O1974" i="2"/>
  <c r="O1973" i="2"/>
  <c r="O1972" i="2"/>
  <c r="M1972" i="2"/>
  <c r="L1972" i="2"/>
  <c r="E1972" i="2"/>
  <c r="D1972" i="2"/>
  <c r="B1972" i="2"/>
  <c r="A1972" i="2"/>
  <c r="O1971" i="2"/>
  <c r="M1971" i="2"/>
  <c r="L1971" i="2"/>
  <c r="E1971" i="2"/>
  <c r="D1971" i="2"/>
  <c r="B1971" i="2"/>
  <c r="A1971" i="2"/>
  <c r="O1970" i="2"/>
  <c r="M1970" i="2"/>
  <c r="L1970" i="2"/>
  <c r="E1970" i="2"/>
  <c r="D1970" i="2"/>
  <c r="B1970" i="2"/>
  <c r="A1970" i="2"/>
  <c r="O1969" i="2"/>
  <c r="M1969" i="2"/>
  <c r="L1969" i="2"/>
  <c r="E1969" i="2"/>
  <c r="D1969" i="2"/>
  <c r="B1969" i="2"/>
  <c r="A1969" i="2"/>
  <c r="O1968" i="2"/>
  <c r="O1967" i="2"/>
  <c r="M1967" i="2"/>
  <c r="L1967" i="2"/>
  <c r="E1967" i="2"/>
  <c r="D1967" i="2"/>
  <c r="B1967" i="2"/>
  <c r="A1967" i="2"/>
  <c r="O1966" i="2"/>
  <c r="M1966" i="2"/>
  <c r="L1966" i="2"/>
  <c r="E1966" i="2"/>
  <c r="D1966" i="2"/>
  <c r="B1966" i="2"/>
  <c r="A1966" i="2"/>
  <c r="O1965" i="2"/>
  <c r="M1965" i="2"/>
  <c r="L1965" i="2"/>
  <c r="E1965" i="2"/>
  <c r="D1965" i="2"/>
  <c r="B1965" i="2"/>
  <c r="A1965" i="2"/>
  <c r="O1964" i="2"/>
  <c r="M1964" i="2"/>
  <c r="L1964" i="2"/>
  <c r="E1964" i="2"/>
  <c r="D1964" i="2"/>
  <c r="B1964" i="2"/>
  <c r="A1964" i="2"/>
  <c r="O1963" i="2"/>
  <c r="M1963" i="2"/>
  <c r="L1963" i="2"/>
  <c r="E1963" i="2"/>
  <c r="D1963" i="2"/>
  <c r="B1963" i="2"/>
  <c r="A1963" i="2"/>
  <c r="O1962" i="2"/>
  <c r="M1962" i="2"/>
  <c r="L1962" i="2"/>
  <c r="E1962" i="2"/>
  <c r="D1962" i="2"/>
  <c r="B1962" i="2"/>
  <c r="A1962" i="2"/>
  <c r="O1961" i="2"/>
  <c r="M1961" i="2"/>
  <c r="L1961" i="2"/>
  <c r="E1961" i="2"/>
  <c r="D1961" i="2"/>
  <c r="B1961" i="2"/>
  <c r="A1961" i="2"/>
  <c r="O1960" i="2"/>
  <c r="M1960" i="2"/>
  <c r="L1960" i="2"/>
  <c r="E1960" i="2"/>
  <c r="D1960" i="2"/>
  <c r="B1960" i="2"/>
  <c r="A1960" i="2"/>
  <c r="O1959" i="2"/>
  <c r="O1958" i="2"/>
  <c r="O1957" i="2"/>
  <c r="O1956" i="2"/>
  <c r="M1956" i="2"/>
  <c r="L1956" i="2"/>
  <c r="E1956" i="2"/>
  <c r="D1956" i="2"/>
  <c r="B1956" i="2"/>
  <c r="A1956" i="2"/>
  <c r="O1955" i="2"/>
  <c r="M1955" i="2"/>
  <c r="L1955" i="2"/>
  <c r="E1955" i="2"/>
  <c r="D1955" i="2"/>
  <c r="B1955" i="2"/>
  <c r="A1955" i="2"/>
  <c r="O1954" i="2"/>
  <c r="M1954" i="2"/>
  <c r="L1954" i="2"/>
  <c r="E1954" i="2"/>
  <c r="D1954" i="2"/>
  <c r="B1954" i="2"/>
  <c r="A1954" i="2"/>
  <c r="O1953" i="2"/>
  <c r="O1952" i="2"/>
  <c r="O1951" i="2"/>
  <c r="O1950" i="2"/>
  <c r="O1949" i="2"/>
  <c r="M1949" i="2"/>
  <c r="L1949" i="2"/>
  <c r="E1949" i="2"/>
  <c r="D1949" i="2"/>
  <c r="B1949" i="2"/>
  <c r="A1949" i="2"/>
  <c r="O1948" i="2"/>
  <c r="O1947" i="2"/>
  <c r="O1946" i="2"/>
  <c r="O1945" i="2"/>
  <c r="M1945" i="2"/>
  <c r="L1945" i="2"/>
  <c r="E1945" i="2"/>
  <c r="D1945" i="2"/>
  <c r="B1945" i="2"/>
  <c r="A1945" i="2"/>
  <c r="O1944" i="2"/>
  <c r="O1943" i="2"/>
  <c r="M1943" i="2"/>
  <c r="L1943" i="2"/>
  <c r="E1943" i="2"/>
  <c r="D1943" i="2"/>
  <c r="B1943" i="2"/>
  <c r="A1943" i="2"/>
  <c r="O1942" i="2"/>
  <c r="O1941" i="2"/>
  <c r="O1940" i="2"/>
  <c r="M1940" i="2"/>
  <c r="L1940" i="2"/>
  <c r="E1940" i="2"/>
  <c r="D1940" i="2"/>
  <c r="B1940" i="2"/>
  <c r="A1940" i="2"/>
  <c r="O1939" i="2"/>
  <c r="O1938" i="2"/>
  <c r="O1937" i="2"/>
  <c r="M1937" i="2"/>
  <c r="L1937" i="2"/>
  <c r="E1937" i="2"/>
  <c r="D1937" i="2"/>
  <c r="B1937" i="2"/>
  <c r="A1937" i="2"/>
  <c r="O1936" i="2"/>
  <c r="O1935" i="2"/>
  <c r="O1934" i="2"/>
  <c r="O1933" i="2"/>
  <c r="O1932" i="2"/>
  <c r="M1932" i="2"/>
  <c r="L1932" i="2"/>
  <c r="E1932" i="2"/>
  <c r="D1932" i="2"/>
  <c r="B1932" i="2"/>
  <c r="A1932" i="2"/>
  <c r="O1931" i="2"/>
  <c r="O1930" i="2"/>
  <c r="O1929" i="2"/>
  <c r="M1929" i="2"/>
  <c r="L1929" i="2"/>
  <c r="E1929" i="2"/>
  <c r="D1929" i="2"/>
  <c r="B1929" i="2"/>
  <c r="A1929" i="2"/>
  <c r="O1928" i="2"/>
  <c r="O1927" i="2"/>
  <c r="O1926" i="2"/>
  <c r="M1926" i="2"/>
  <c r="L1926" i="2"/>
  <c r="E1926" i="2"/>
  <c r="D1926" i="2"/>
  <c r="B1926" i="2"/>
  <c r="A1926" i="2"/>
  <c r="O1925" i="2"/>
  <c r="O1924" i="2"/>
  <c r="O1923" i="2"/>
  <c r="M1923" i="2"/>
  <c r="L1923" i="2"/>
  <c r="E1923" i="2"/>
  <c r="D1923" i="2"/>
  <c r="B1923" i="2"/>
  <c r="A1923" i="2"/>
  <c r="O1922" i="2"/>
  <c r="O1921" i="2"/>
  <c r="M1921" i="2"/>
  <c r="L1921" i="2"/>
  <c r="E1921" i="2"/>
  <c r="D1921" i="2"/>
  <c r="B1921" i="2"/>
  <c r="A1921" i="2"/>
  <c r="O1920" i="2"/>
  <c r="O1919" i="2"/>
  <c r="M1919" i="2"/>
  <c r="L1919" i="2"/>
  <c r="E1919" i="2"/>
  <c r="D1919" i="2"/>
  <c r="B1919" i="2"/>
  <c r="A1919" i="2"/>
  <c r="O1918" i="2"/>
  <c r="O1917" i="2"/>
  <c r="O1916" i="2"/>
  <c r="O1915" i="2"/>
  <c r="M1915" i="2"/>
  <c r="L1915" i="2"/>
  <c r="E1915" i="2"/>
  <c r="D1915" i="2"/>
  <c r="B1915" i="2"/>
  <c r="A1915" i="2"/>
  <c r="O1914" i="2"/>
  <c r="O1913" i="2"/>
  <c r="M1913" i="2"/>
  <c r="L1913" i="2"/>
  <c r="E1913" i="2"/>
  <c r="D1913" i="2"/>
  <c r="B1913" i="2"/>
  <c r="A1913" i="2"/>
  <c r="O1912" i="2"/>
  <c r="O1911" i="2"/>
  <c r="M1911" i="2"/>
  <c r="L1911" i="2"/>
  <c r="E1911" i="2"/>
  <c r="D1911" i="2"/>
  <c r="B1911" i="2"/>
  <c r="A1911" i="2"/>
  <c r="O1910" i="2"/>
  <c r="O1909" i="2"/>
  <c r="O1908" i="2"/>
  <c r="M1908" i="2"/>
  <c r="L1908" i="2"/>
  <c r="E1908" i="2"/>
  <c r="D1908" i="2"/>
  <c r="B1908" i="2"/>
  <c r="A1908" i="2"/>
  <c r="O1907" i="2"/>
  <c r="O1906" i="2"/>
  <c r="O1905" i="2"/>
  <c r="M1905" i="2"/>
  <c r="L1905" i="2"/>
  <c r="E1905" i="2"/>
  <c r="D1905" i="2"/>
  <c r="B1905" i="2"/>
  <c r="A1905" i="2"/>
  <c r="O1904" i="2"/>
  <c r="O1903" i="2"/>
  <c r="O1902" i="2"/>
  <c r="M1902" i="2"/>
  <c r="L1902" i="2"/>
  <c r="E1902" i="2"/>
  <c r="D1902" i="2"/>
  <c r="B1902" i="2"/>
  <c r="A1902" i="2"/>
  <c r="O1901" i="2"/>
  <c r="O1900" i="2"/>
  <c r="O1899" i="2"/>
  <c r="O1898" i="2"/>
  <c r="M1898" i="2"/>
  <c r="L1898" i="2"/>
  <c r="E1898" i="2"/>
  <c r="D1898" i="2"/>
  <c r="B1898" i="2"/>
  <c r="A1898" i="2"/>
  <c r="O1897" i="2"/>
  <c r="O1896" i="2"/>
  <c r="O1895" i="2"/>
  <c r="O1894" i="2"/>
  <c r="O1893" i="2"/>
  <c r="M1893" i="2"/>
  <c r="L1893" i="2"/>
  <c r="E1893" i="2"/>
  <c r="D1893" i="2"/>
  <c r="B1893" i="2"/>
  <c r="A1893" i="2"/>
  <c r="O1892" i="2"/>
  <c r="O1891" i="2"/>
  <c r="O1890" i="2"/>
  <c r="M1890" i="2"/>
  <c r="L1890" i="2"/>
  <c r="E1890" i="2"/>
  <c r="D1890" i="2"/>
  <c r="B1890" i="2"/>
  <c r="A1890" i="2"/>
  <c r="O1889" i="2"/>
  <c r="O1888" i="2"/>
  <c r="O1887" i="2"/>
  <c r="O1886" i="2"/>
  <c r="O1885" i="2"/>
  <c r="O1884" i="2"/>
  <c r="M1884" i="2"/>
  <c r="L1884" i="2"/>
  <c r="E1884" i="2"/>
  <c r="D1884" i="2"/>
  <c r="B1884" i="2"/>
  <c r="A1884" i="2"/>
  <c r="O1883" i="2"/>
  <c r="O1882" i="2"/>
  <c r="O1881" i="2"/>
  <c r="O1880" i="2"/>
  <c r="O1879" i="2"/>
  <c r="O1878" i="2"/>
  <c r="O1877" i="2"/>
  <c r="O1876" i="2"/>
  <c r="O1875" i="2"/>
  <c r="M1875" i="2"/>
  <c r="L1875" i="2"/>
  <c r="E1875" i="2"/>
  <c r="D1875" i="2"/>
  <c r="B1875" i="2"/>
  <c r="A1875" i="2"/>
  <c r="O1874" i="2"/>
  <c r="O1873" i="2"/>
  <c r="O1872" i="2"/>
  <c r="O1871" i="2"/>
  <c r="O1870" i="2"/>
  <c r="M1870" i="2"/>
  <c r="L1870" i="2"/>
  <c r="E1870" i="2"/>
  <c r="D1870" i="2"/>
  <c r="B1870" i="2"/>
  <c r="A1870" i="2"/>
  <c r="O1869" i="2"/>
  <c r="O1868" i="2"/>
  <c r="M1868" i="2"/>
  <c r="L1868" i="2"/>
  <c r="E1868" i="2"/>
  <c r="D1868" i="2"/>
  <c r="B1868" i="2"/>
  <c r="A1868" i="2"/>
  <c r="O1867" i="2"/>
  <c r="O1866" i="2"/>
  <c r="M1866" i="2"/>
  <c r="L1866" i="2"/>
  <c r="E1866" i="2"/>
  <c r="D1866" i="2"/>
  <c r="B1866" i="2"/>
  <c r="A1866" i="2"/>
  <c r="O1865" i="2"/>
  <c r="M1865" i="2"/>
  <c r="L1865" i="2"/>
  <c r="E1865" i="2"/>
  <c r="D1865" i="2"/>
  <c r="B1865" i="2"/>
  <c r="A1865" i="2"/>
  <c r="O1864" i="2"/>
  <c r="M1864" i="2"/>
  <c r="L1864" i="2"/>
  <c r="E1864" i="2"/>
  <c r="D1864" i="2"/>
  <c r="B1864" i="2"/>
  <c r="A1864" i="2"/>
  <c r="O1863" i="2"/>
  <c r="O1862" i="2"/>
  <c r="O1861" i="2"/>
  <c r="O1860" i="2"/>
  <c r="O1859" i="2"/>
  <c r="O1858" i="2"/>
  <c r="O1857" i="2"/>
  <c r="O1856" i="2"/>
  <c r="O1855" i="2"/>
  <c r="M1855" i="2"/>
  <c r="L1855" i="2"/>
  <c r="E1855" i="2"/>
  <c r="D1855" i="2"/>
  <c r="B1855" i="2"/>
  <c r="A1855" i="2"/>
  <c r="O1854" i="2"/>
  <c r="M1854" i="2"/>
  <c r="L1854" i="2"/>
  <c r="E1854" i="2"/>
  <c r="D1854" i="2"/>
  <c r="B1854" i="2"/>
  <c r="A1854" i="2"/>
  <c r="O1853" i="2"/>
  <c r="O1852" i="2"/>
  <c r="O1851" i="2"/>
  <c r="M1851" i="2"/>
  <c r="L1851" i="2"/>
  <c r="E1851" i="2"/>
  <c r="D1851" i="2"/>
  <c r="B1851" i="2"/>
  <c r="A1851" i="2"/>
  <c r="O1850" i="2"/>
  <c r="M1850" i="2"/>
  <c r="L1850" i="2"/>
  <c r="E1850" i="2"/>
  <c r="D1850" i="2"/>
  <c r="B1850" i="2"/>
  <c r="A1850" i="2"/>
  <c r="O1849" i="2"/>
  <c r="O1848" i="2"/>
  <c r="O1847" i="2"/>
  <c r="M1847" i="2"/>
  <c r="L1847" i="2"/>
  <c r="E1847" i="2"/>
  <c r="D1847" i="2"/>
  <c r="B1847" i="2"/>
  <c r="A1847" i="2"/>
  <c r="O1846" i="2"/>
  <c r="O1845" i="2"/>
  <c r="O1844" i="2"/>
  <c r="M1844" i="2"/>
  <c r="L1844" i="2"/>
  <c r="E1844" i="2"/>
  <c r="D1844" i="2"/>
  <c r="B1844" i="2"/>
  <c r="A1844" i="2"/>
  <c r="O1843" i="2"/>
  <c r="M1843" i="2"/>
  <c r="L1843" i="2"/>
  <c r="E1843" i="2"/>
  <c r="D1843" i="2"/>
  <c r="B1843" i="2"/>
  <c r="A1843" i="2"/>
  <c r="O1842" i="2"/>
  <c r="O1841" i="2"/>
  <c r="M1841" i="2"/>
  <c r="L1841" i="2"/>
  <c r="E1841" i="2"/>
  <c r="D1841" i="2"/>
  <c r="B1841" i="2"/>
  <c r="A1841" i="2"/>
  <c r="O1840" i="2"/>
  <c r="O1839" i="2"/>
  <c r="M1839" i="2"/>
  <c r="L1839" i="2"/>
  <c r="E1839" i="2"/>
  <c r="D1839" i="2"/>
  <c r="B1839" i="2"/>
  <c r="A1839" i="2"/>
  <c r="O1838" i="2"/>
  <c r="M1838" i="2"/>
  <c r="L1838" i="2"/>
  <c r="E1838" i="2"/>
  <c r="D1838" i="2"/>
  <c r="B1838" i="2"/>
  <c r="A1838" i="2"/>
  <c r="O1837" i="2"/>
  <c r="O1836" i="2"/>
  <c r="O1835" i="2"/>
  <c r="O1834" i="2"/>
  <c r="O1833" i="2"/>
  <c r="O1832" i="2"/>
  <c r="O1831" i="2"/>
  <c r="O1830" i="2"/>
  <c r="M1830" i="2"/>
  <c r="L1830" i="2"/>
  <c r="E1830" i="2"/>
  <c r="D1830" i="2"/>
  <c r="B1830" i="2"/>
  <c r="A1830" i="2"/>
  <c r="O1829" i="2"/>
  <c r="O1828" i="2"/>
  <c r="O1827" i="2"/>
  <c r="O1826" i="2"/>
  <c r="M1826" i="2"/>
  <c r="L1826" i="2"/>
  <c r="E1826" i="2"/>
  <c r="D1826" i="2"/>
  <c r="B1826" i="2"/>
  <c r="A1826" i="2"/>
  <c r="O1825" i="2"/>
  <c r="M1825" i="2"/>
  <c r="L1825" i="2"/>
  <c r="E1825" i="2"/>
  <c r="D1825" i="2"/>
  <c r="B1825" i="2"/>
  <c r="A1825" i="2"/>
  <c r="O1824" i="2"/>
  <c r="M1824" i="2"/>
  <c r="L1824" i="2"/>
  <c r="E1824" i="2"/>
  <c r="D1824" i="2"/>
  <c r="B1824" i="2"/>
  <c r="A1824" i="2"/>
  <c r="O1823" i="2"/>
  <c r="M1823" i="2"/>
  <c r="L1823" i="2"/>
  <c r="E1823" i="2"/>
  <c r="D1823" i="2"/>
  <c r="B1823" i="2"/>
  <c r="A1823" i="2"/>
  <c r="O1822" i="2"/>
  <c r="M1822" i="2"/>
  <c r="L1822" i="2"/>
  <c r="E1822" i="2"/>
  <c r="D1822" i="2"/>
  <c r="B1822" i="2"/>
  <c r="A1822" i="2"/>
  <c r="O1821" i="2"/>
  <c r="M1821" i="2"/>
  <c r="L1821" i="2"/>
  <c r="E1821" i="2"/>
  <c r="D1821" i="2"/>
  <c r="B1821" i="2"/>
  <c r="A1821" i="2"/>
  <c r="O1820" i="2"/>
  <c r="M1820" i="2"/>
  <c r="L1820" i="2"/>
  <c r="E1820" i="2"/>
  <c r="D1820" i="2"/>
  <c r="B1820" i="2"/>
  <c r="A1820" i="2"/>
  <c r="O1819" i="2"/>
  <c r="O1818" i="2"/>
  <c r="O1817" i="2"/>
  <c r="M1817" i="2"/>
  <c r="L1817" i="2"/>
  <c r="E1817" i="2"/>
  <c r="D1817" i="2"/>
  <c r="B1817" i="2"/>
  <c r="A1817" i="2"/>
  <c r="O1816" i="2"/>
  <c r="M1816" i="2"/>
  <c r="L1816" i="2"/>
  <c r="E1816" i="2"/>
  <c r="D1816" i="2"/>
  <c r="B1816" i="2"/>
  <c r="A1816" i="2"/>
  <c r="O1815" i="2"/>
  <c r="M1815" i="2"/>
  <c r="L1815" i="2"/>
  <c r="E1815" i="2"/>
  <c r="D1815" i="2"/>
  <c r="B1815" i="2"/>
  <c r="A1815" i="2"/>
  <c r="O1814" i="2"/>
  <c r="M1814" i="2"/>
  <c r="L1814" i="2"/>
  <c r="E1814" i="2"/>
  <c r="D1814" i="2"/>
  <c r="B1814" i="2"/>
  <c r="A1814" i="2"/>
  <c r="O1813" i="2"/>
  <c r="M1813" i="2"/>
  <c r="L1813" i="2"/>
  <c r="E1813" i="2"/>
  <c r="D1813" i="2"/>
  <c r="B1813" i="2"/>
  <c r="A1813" i="2"/>
  <c r="O1812" i="2"/>
  <c r="M1812" i="2"/>
  <c r="L1812" i="2"/>
  <c r="E1812" i="2"/>
  <c r="D1812" i="2"/>
  <c r="B1812" i="2"/>
  <c r="A1812" i="2"/>
  <c r="O1811" i="2"/>
  <c r="O1810" i="2"/>
  <c r="O1809" i="2"/>
  <c r="M1809" i="2"/>
  <c r="L1809" i="2"/>
  <c r="E1809" i="2"/>
  <c r="D1809" i="2"/>
  <c r="B1809" i="2"/>
  <c r="A1809" i="2"/>
  <c r="O1808" i="2"/>
  <c r="O1807" i="2"/>
  <c r="O1806" i="2"/>
  <c r="O1805" i="2"/>
  <c r="O1804" i="2"/>
  <c r="O1803" i="2"/>
  <c r="M1803" i="2"/>
  <c r="L1803" i="2"/>
  <c r="E1803" i="2"/>
  <c r="D1803" i="2"/>
  <c r="B1803" i="2"/>
  <c r="A1803" i="2"/>
  <c r="O1802" i="2"/>
  <c r="O1801" i="2"/>
  <c r="O1800" i="2"/>
  <c r="O1799" i="2"/>
  <c r="O1798" i="2"/>
  <c r="M1798" i="2"/>
  <c r="L1798" i="2"/>
  <c r="E1798" i="2"/>
  <c r="D1798" i="2"/>
  <c r="B1798" i="2"/>
  <c r="A1798" i="2"/>
  <c r="O1797" i="2"/>
  <c r="M1797" i="2"/>
  <c r="L1797" i="2"/>
  <c r="E1797" i="2"/>
  <c r="D1797" i="2"/>
  <c r="B1797" i="2"/>
  <c r="A1797" i="2"/>
  <c r="O1796" i="2"/>
  <c r="M1796" i="2"/>
  <c r="L1796" i="2"/>
  <c r="E1796" i="2"/>
  <c r="D1796" i="2"/>
  <c r="B1796" i="2"/>
  <c r="A1796" i="2"/>
  <c r="O1795" i="2"/>
  <c r="O1794" i="2"/>
  <c r="O1793" i="2"/>
  <c r="M1793" i="2"/>
  <c r="L1793" i="2"/>
  <c r="E1793" i="2"/>
  <c r="D1793" i="2"/>
  <c r="B1793" i="2"/>
  <c r="A1793" i="2"/>
  <c r="O1792" i="2"/>
  <c r="O1791" i="2"/>
  <c r="M1791" i="2"/>
  <c r="L1791" i="2"/>
  <c r="E1791" i="2"/>
  <c r="D1791" i="2"/>
  <c r="B1791" i="2"/>
  <c r="A1791" i="2"/>
  <c r="O1790" i="2"/>
  <c r="O1789" i="2"/>
  <c r="O1788" i="2"/>
  <c r="M1788" i="2"/>
  <c r="L1788" i="2"/>
  <c r="E1788" i="2"/>
  <c r="D1788" i="2"/>
  <c r="B1788" i="2"/>
  <c r="A1788" i="2"/>
  <c r="O1787" i="2"/>
  <c r="M1787" i="2"/>
  <c r="L1787" i="2"/>
  <c r="E1787" i="2"/>
  <c r="D1787" i="2"/>
  <c r="B1787" i="2"/>
  <c r="A1787" i="2"/>
  <c r="O1786" i="2"/>
  <c r="M1786" i="2"/>
  <c r="L1786" i="2"/>
  <c r="E1786" i="2"/>
  <c r="D1786" i="2"/>
  <c r="B1786" i="2"/>
  <c r="A1786" i="2"/>
  <c r="O1785" i="2"/>
  <c r="M1785" i="2"/>
  <c r="L1785" i="2"/>
  <c r="E1785" i="2"/>
  <c r="D1785" i="2"/>
  <c r="B1785" i="2"/>
  <c r="A1785" i="2"/>
  <c r="O1784" i="2"/>
  <c r="M1784" i="2"/>
  <c r="L1784" i="2"/>
  <c r="E1784" i="2"/>
  <c r="D1784" i="2"/>
  <c r="B1784" i="2"/>
  <c r="A1784" i="2"/>
  <c r="O1783" i="2"/>
  <c r="O1782" i="2"/>
  <c r="O1781" i="2"/>
  <c r="O1780" i="2"/>
  <c r="O1779" i="2"/>
  <c r="M1779" i="2"/>
  <c r="L1779" i="2"/>
  <c r="E1779" i="2"/>
  <c r="D1779" i="2"/>
  <c r="B1779" i="2"/>
  <c r="A1779" i="2"/>
  <c r="O1778" i="2"/>
  <c r="M1778" i="2"/>
  <c r="L1778" i="2"/>
  <c r="E1778" i="2"/>
  <c r="D1778" i="2"/>
  <c r="B1778" i="2"/>
  <c r="A1778" i="2"/>
  <c r="O1777" i="2"/>
  <c r="O1776" i="2"/>
  <c r="O1775" i="2"/>
  <c r="O1774" i="2"/>
  <c r="O1773" i="2"/>
  <c r="O1772" i="2"/>
  <c r="O1771" i="2"/>
  <c r="M1771" i="2"/>
  <c r="L1771" i="2"/>
  <c r="E1771" i="2"/>
  <c r="D1771" i="2"/>
  <c r="B1771" i="2"/>
  <c r="A1771" i="2"/>
  <c r="O1770" i="2"/>
  <c r="O1769" i="2"/>
  <c r="O1768" i="2"/>
  <c r="M1768" i="2"/>
  <c r="L1768" i="2"/>
  <c r="E1768" i="2"/>
  <c r="D1768" i="2"/>
  <c r="B1768" i="2"/>
  <c r="A1768" i="2"/>
  <c r="O1767" i="2"/>
  <c r="O1766" i="2"/>
  <c r="O1765" i="2"/>
  <c r="M1765" i="2"/>
  <c r="L1765" i="2"/>
  <c r="E1765" i="2"/>
  <c r="D1765" i="2"/>
  <c r="B1765" i="2"/>
  <c r="A1765" i="2"/>
  <c r="O1764" i="2"/>
  <c r="M1764" i="2"/>
  <c r="L1764" i="2"/>
  <c r="E1764" i="2"/>
  <c r="D1764" i="2"/>
  <c r="B1764" i="2"/>
  <c r="A1764" i="2"/>
  <c r="O1763" i="2"/>
  <c r="O1762" i="2"/>
  <c r="O1761" i="2"/>
  <c r="O1760" i="2"/>
  <c r="O1759" i="2"/>
  <c r="O1758" i="2"/>
  <c r="M1758" i="2"/>
  <c r="L1758" i="2"/>
  <c r="E1758" i="2"/>
  <c r="D1758" i="2"/>
  <c r="B1758" i="2"/>
  <c r="A1758" i="2"/>
  <c r="O1757" i="2"/>
  <c r="O1756" i="2"/>
  <c r="O1755" i="2"/>
  <c r="O1754" i="2"/>
  <c r="M1754" i="2"/>
  <c r="L1754" i="2"/>
  <c r="E1754" i="2"/>
  <c r="D1754" i="2"/>
  <c r="B1754" i="2"/>
  <c r="A1754" i="2"/>
  <c r="O1753" i="2"/>
  <c r="O1752" i="2"/>
  <c r="M1752" i="2"/>
  <c r="L1752" i="2"/>
  <c r="E1752" i="2"/>
  <c r="D1752" i="2"/>
  <c r="B1752" i="2"/>
  <c r="A1752" i="2"/>
  <c r="O1751" i="2"/>
  <c r="O1750" i="2"/>
  <c r="M1750" i="2"/>
  <c r="L1750" i="2"/>
  <c r="E1750" i="2"/>
  <c r="D1750" i="2"/>
  <c r="B1750" i="2"/>
  <c r="A1750" i="2"/>
  <c r="O1749" i="2"/>
  <c r="O1748" i="2"/>
  <c r="O1747" i="2"/>
  <c r="M1747" i="2"/>
  <c r="L1747" i="2"/>
  <c r="E1747" i="2"/>
  <c r="D1747" i="2"/>
  <c r="B1747" i="2"/>
  <c r="A1747" i="2"/>
  <c r="O1746" i="2"/>
  <c r="M1746" i="2"/>
  <c r="L1746" i="2"/>
  <c r="E1746" i="2"/>
  <c r="D1746" i="2"/>
  <c r="B1746" i="2"/>
  <c r="A1746" i="2"/>
  <c r="O1745" i="2"/>
  <c r="O1744" i="2"/>
  <c r="M1744" i="2"/>
  <c r="L1744" i="2"/>
  <c r="E1744" i="2"/>
  <c r="D1744" i="2"/>
  <c r="B1744" i="2"/>
  <c r="A1744" i="2"/>
  <c r="O1743" i="2"/>
  <c r="M1743" i="2"/>
  <c r="L1743" i="2"/>
  <c r="E1743" i="2"/>
  <c r="D1743" i="2"/>
  <c r="B1743" i="2"/>
  <c r="A1743" i="2"/>
  <c r="O1742" i="2"/>
  <c r="M1742" i="2"/>
  <c r="L1742" i="2"/>
  <c r="E1742" i="2"/>
  <c r="D1742" i="2"/>
  <c r="B1742" i="2"/>
  <c r="A1742" i="2"/>
  <c r="O1741" i="2"/>
  <c r="O1740" i="2"/>
  <c r="O1739" i="2"/>
  <c r="M1739" i="2"/>
  <c r="L1739" i="2"/>
  <c r="E1739" i="2"/>
  <c r="D1739" i="2"/>
  <c r="B1739" i="2"/>
  <c r="A1739" i="2"/>
  <c r="O1738" i="2"/>
  <c r="O1737" i="2"/>
  <c r="M1737" i="2"/>
  <c r="L1737" i="2"/>
  <c r="E1737" i="2"/>
  <c r="D1737" i="2"/>
  <c r="B1737" i="2"/>
  <c r="A1737" i="2"/>
  <c r="O1736" i="2"/>
  <c r="M1736" i="2"/>
  <c r="L1736" i="2"/>
  <c r="E1736" i="2"/>
  <c r="D1736" i="2"/>
  <c r="B1736" i="2"/>
  <c r="A1736" i="2"/>
  <c r="O1735" i="2"/>
  <c r="M1735" i="2"/>
  <c r="L1735" i="2"/>
  <c r="E1735" i="2"/>
  <c r="D1735" i="2"/>
  <c r="B1735" i="2"/>
  <c r="A1735" i="2"/>
  <c r="O1734" i="2"/>
  <c r="M1734" i="2"/>
  <c r="L1734" i="2"/>
  <c r="E1734" i="2"/>
  <c r="D1734" i="2"/>
  <c r="B1734" i="2"/>
  <c r="A1734" i="2"/>
  <c r="O1733" i="2"/>
  <c r="M1733" i="2"/>
  <c r="L1733" i="2"/>
  <c r="E1733" i="2"/>
  <c r="D1733" i="2"/>
  <c r="B1733" i="2"/>
  <c r="A1733" i="2"/>
  <c r="O1732" i="2"/>
  <c r="M1732" i="2"/>
  <c r="L1732" i="2"/>
  <c r="E1732" i="2"/>
  <c r="D1732" i="2"/>
  <c r="B1732" i="2"/>
  <c r="A1732" i="2"/>
  <c r="O1731" i="2"/>
  <c r="O1730" i="2"/>
  <c r="O1729" i="2"/>
  <c r="M1729" i="2"/>
  <c r="L1729" i="2"/>
  <c r="E1729" i="2"/>
  <c r="D1729" i="2"/>
  <c r="B1729" i="2"/>
  <c r="A1729" i="2"/>
  <c r="O1728" i="2"/>
  <c r="O1727" i="2"/>
  <c r="M1727" i="2"/>
  <c r="L1727" i="2"/>
  <c r="E1727" i="2"/>
  <c r="D1727" i="2"/>
  <c r="B1727" i="2"/>
  <c r="A1727" i="2"/>
  <c r="O1726" i="2"/>
  <c r="M1726" i="2"/>
  <c r="L1726" i="2"/>
  <c r="E1726" i="2"/>
  <c r="D1726" i="2"/>
  <c r="B1726" i="2"/>
  <c r="A1726" i="2"/>
  <c r="O1725" i="2"/>
  <c r="M1725" i="2"/>
  <c r="L1725" i="2"/>
  <c r="E1725" i="2"/>
  <c r="D1725" i="2"/>
  <c r="B1725" i="2"/>
  <c r="A1725" i="2"/>
  <c r="O1724" i="2"/>
  <c r="M1724" i="2"/>
  <c r="L1724" i="2"/>
  <c r="E1724" i="2"/>
  <c r="D1724" i="2"/>
  <c r="B1724" i="2"/>
  <c r="A1724" i="2"/>
  <c r="O1723" i="2"/>
  <c r="O1722" i="2"/>
  <c r="M1722" i="2"/>
  <c r="L1722" i="2"/>
  <c r="E1722" i="2"/>
  <c r="D1722" i="2"/>
  <c r="B1722" i="2"/>
  <c r="A1722" i="2"/>
  <c r="O1721" i="2"/>
  <c r="O1720" i="2"/>
  <c r="O1719" i="2"/>
  <c r="O1718" i="2"/>
  <c r="M1718" i="2"/>
  <c r="L1718" i="2"/>
  <c r="E1718" i="2"/>
  <c r="D1718" i="2"/>
  <c r="B1718" i="2"/>
  <c r="A1718" i="2"/>
  <c r="O1717" i="2"/>
  <c r="M1717" i="2"/>
  <c r="L1717" i="2"/>
  <c r="E1717" i="2"/>
  <c r="D1717" i="2"/>
  <c r="B1717" i="2"/>
  <c r="A1717" i="2"/>
  <c r="O1716" i="2"/>
  <c r="O1715" i="2"/>
  <c r="M1715" i="2"/>
  <c r="L1715" i="2"/>
  <c r="E1715" i="2"/>
  <c r="D1715" i="2"/>
  <c r="B1715" i="2"/>
  <c r="A1715" i="2"/>
  <c r="O1714" i="2"/>
  <c r="M1714" i="2"/>
  <c r="L1714" i="2"/>
  <c r="E1714" i="2"/>
  <c r="D1714" i="2"/>
  <c r="B1714" i="2"/>
  <c r="A1714" i="2"/>
  <c r="O1713" i="2"/>
  <c r="M1713" i="2"/>
  <c r="L1713" i="2"/>
  <c r="E1713" i="2"/>
  <c r="D1713" i="2"/>
  <c r="B1713" i="2"/>
  <c r="A1713" i="2"/>
  <c r="O1712" i="2"/>
  <c r="M1712" i="2"/>
  <c r="L1712" i="2"/>
  <c r="E1712" i="2"/>
  <c r="D1712" i="2"/>
  <c r="B1712" i="2"/>
  <c r="A1712" i="2"/>
  <c r="O1711" i="2"/>
  <c r="M1711" i="2"/>
  <c r="L1711" i="2"/>
  <c r="E1711" i="2"/>
  <c r="D1711" i="2"/>
  <c r="B1711" i="2"/>
  <c r="A1711" i="2"/>
  <c r="O1710" i="2"/>
  <c r="O1709" i="2"/>
  <c r="O1708" i="2"/>
  <c r="M1708" i="2"/>
  <c r="L1708" i="2"/>
  <c r="E1708" i="2"/>
  <c r="D1708" i="2"/>
  <c r="B1708" i="2"/>
  <c r="A1708" i="2"/>
  <c r="O1707" i="2"/>
  <c r="M1707" i="2"/>
  <c r="L1707" i="2"/>
  <c r="E1707" i="2"/>
  <c r="D1707" i="2"/>
  <c r="B1707" i="2"/>
  <c r="A1707" i="2"/>
  <c r="O1706" i="2"/>
  <c r="O1705" i="2"/>
  <c r="O1704" i="2"/>
  <c r="M1704" i="2"/>
  <c r="L1704" i="2"/>
  <c r="E1704" i="2"/>
  <c r="D1704" i="2"/>
  <c r="B1704" i="2"/>
  <c r="A1704" i="2"/>
  <c r="O1703" i="2"/>
  <c r="M1703" i="2"/>
  <c r="L1703" i="2"/>
  <c r="E1703" i="2"/>
  <c r="D1703" i="2"/>
  <c r="B1703" i="2"/>
  <c r="A1703" i="2"/>
  <c r="O1702" i="2"/>
  <c r="O1701" i="2"/>
  <c r="M1701" i="2"/>
  <c r="L1701" i="2"/>
  <c r="E1701" i="2"/>
  <c r="D1701" i="2"/>
  <c r="B1701" i="2"/>
  <c r="A1701" i="2"/>
  <c r="O1700" i="2"/>
  <c r="O1699" i="2"/>
  <c r="M1699" i="2"/>
  <c r="L1699" i="2"/>
  <c r="E1699" i="2"/>
  <c r="D1699" i="2"/>
  <c r="B1699" i="2"/>
  <c r="A1699" i="2"/>
  <c r="O1698" i="2"/>
  <c r="M1698" i="2"/>
  <c r="L1698" i="2"/>
  <c r="E1698" i="2"/>
  <c r="D1698" i="2"/>
  <c r="B1698" i="2"/>
  <c r="A1698" i="2"/>
  <c r="O1697" i="2"/>
  <c r="O1696" i="2"/>
  <c r="O1695" i="2"/>
  <c r="M1695" i="2"/>
  <c r="L1695" i="2"/>
  <c r="E1695" i="2"/>
  <c r="D1695" i="2"/>
  <c r="B1695" i="2"/>
  <c r="A1695" i="2"/>
  <c r="O1694" i="2"/>
  <c r="M1694" i="2"/>
  <c r="L1694" i="2"/>
  <c r="E1694" i="2"/>
  <c r="D1694" i="2"/>
  <c r="B1694" i="2"/>
  <c r="A1694" i="2"/>
  <c r="O1693" i="2"/>
  <c r="O1692" i="2"/>
  <c r="O1691" i="2"/>
  <c r="M1691" i="2"/>
  <c r="L1691" i="2"/>
  <c r="E1691" i="2"/>
  <c r="D1691" i="2"/>
  <c r="B1691" i="2"/>
  <c r="A1691" i="2"/>
  <c r="O1690" i="2"/>
  <c r="M1690" i="2"/>
  <c r="L1690" i="2"/>
  <c r="E1690" i="2"/>
  <c r="D1690" i="2"/>
  <c r="B1690" i="2"/>
  <c r="A1690" i="2"/>
  <c r="O1689" i="2"/>
  <c r="O1688" i="2"/>
  <c r="O1687" i="2"/>
  <c r="O1686" i="2"/>
  <c r="M1686" i="2"/>
  <c r="L1686" i="2"/>
  <c r="E1686" i="2"/>
  <c r="D1686" i="2"/>
  <c r="B1686" i="2"/>
  <c r="A1686" i="2"/>
  <c r="O1685" i="2"/>
  <c r="M1685" i="2"/>
  <c r="L1685" i="2"/>
  <c r="E1685" i="2"/>
  <c r="D1685" i="2"/>
  <c r="B1685" i="2"/>
  <c r="A1685" i="2"/>
  <c r="O1684" i="2"/>
  <c r="M1684" i="2"/>
  <c r="L1684" i="2"/>
  <c r="E1684" i="2"/>
  <c r="D1684" i="2"/>
  <c r="B1684" i="2"/>
  <c r="A1684" i="2"/>
  <c r="O1683" i="2"/>
  <c r="M1683" i="2"/>
  <c r="L1683" i="2"/>
  <c r="E1683" i="2"/>
  <c r="D1683" i="2"/>
  <c r="B1683" i="2"/>
  <c r="A1683" i="2"/>
  <c r="O1682" i="2"/>
  <c r="O1681" i="2"/>
  <c r="O1680" i="2"/>
  <c r="O1679" i="2"/>
  <c r="O1678" i="2"/>
  <c r="M1678" i="2"/>
  <c r="L1678" i="2"/>
  <c r="E1678" i="2"/>
  <c r="D1678" i="2"/>
  <c r="B1678" i="2"/>
  <c r="A1678" i="2"/>
  <c r="O1677" i="2"/>
  <c r="M1677" i="2"/>
  <c r="L1677" i="2"/>
  <c r="E1677" i="2"/>
  <c r="D1677" i="2"/>
  <c r="B1677" i="2"/>
  <c r="A1677" i="2"/>
  <c r="O1676" i="2"/>
  <c r="M1676" i="2"/>
  <c r="L1676" i="2"/>
  <c r="E1676" i="2"/>
  <c r="D1676" i="2"/>
  <c r="B1676" i="2"/>
  <c r="A1676" i="2"/>
  <c r="O1675" i="2"/>
  <c r="M1675" i="2"/>
  <c r="L1675" i="2"/>
  <c r="E1675" i="2"/>
  <c r="D1675" i="2"/>
  <c r="B1675" i="2"/>
  <c r="A1675" i="2"/>
  <c r="O1674" i="2"/>
  <c r="O1673" i="2"/>
  <c r="O1672" i="2"/>
  <c r="M1672" i="2"/>
  <c r="L1672" i="2"/>
  <c r="E1672" i="2"/>
  <c r="D1672" i="2"/>
  <c r="B1672" i="2"/>
  <c r="A1672" i="2"/>
  <c r="O1671" i="2"/>
  <c r="M1671" i="2"/>
  <c r="L1671" i="2"/>
  <c r="E1671" i="2"/>
  <c r="D1671" i="2"/>
  <c r="B1671" i="2"/>
  <c r="A1671" i="2"/>
  <c r="O1670" i="2"/>
  <c r="M1670" i="2"/>
  <c r="L1670" i="2"/>
  <c r="E1670" i="2"/>
  <c r="D1670" i="2"/>
  <c r="B1670" i="2"/>
  <c r="A1670" i="2"/>
  <c r="O1669" i="2"/>
  <c r="M1669" i="2"/>
  <c r="L1669" i="2"/>
  <c r="E1669" i="2"/>
  <c r="D1669" i="2"/>
  <c r="B1669" i="2"/>
  <c r="A1669" i="2"/>
  <c r="O1668" i="2"/>
  <c r="O1667" i="2"/>
  <c r="O1666" i="2"/>
  <c r="M1666" i="2"/>
  <c r="L1666" i="2"/>
  <c r="E1666" i="2"/>
  <c r="D1666" i="2"/>
  <c r="B1666" i="2"/>
  <c r="A1666" i="2"/>
  <c r="O1665" i="2"/>
  <c r="M1665" i="2"/>
  <c r="L1665" i="2"/>
  <c r="E1665" i="2"/>
  <c r="D1665" i="2"/>
  <c r="B1665" i="2"/>
  <c r="A1665" i="2"/>
  <c r="O1664" i="2"/>
  <c r="O1663" i="2"/>
  <c r="M1663" i="2"/>
  <c r="L1663" i="2"/>
  <c r="E1663" i="2"/>
  <c r="D1663" i="2"/>
  <c r="B1663" i="2"/>
  <c r="A1663" i="2"/>
  <c r="O1662" i="2"/>
  <c r="O1661" i="2"/>
  <c r="O1660" i="2"/>
  <c r="M1660" i="2"/>
  <c r="L1660" i="2"/>
  <c r="E1660" i="2"/>
  <c r="D1660" i="2"/>
  <c r="B1660" i="2"/>
  <c r="A1660" i="2"/>
  <c r="O1659" i="2"/>
  <c r="O1658" i="2"/>
  <c r="O1657" i="2"/>
  <c r="M1657" i="2"/>
  <c r="L1657" i="2"/>
  <c r="E1657" i="2"/>
  <c r="D1657" i="2"/>
  <c r="B1657" i="2"/>
  <c r="A1657" i="2"/>
  <c r="O1656" i="2"/>
  <c r="M1656" i="2"/>
  <c r="L1656" i="2"/>
  <c r="E1656" i="2"/>
  <c r="D1656" i="2"/>
  <c r="B1656" i="2"/>
  <c r="A1656" i="2"/>
  <c r="O1655" i="2"/>
  <c r="M1655" i="2"/>
  <c r="L1655" i="2"/>
  <c r="E1655" i="2"/>
  <c r="D1655" i="2"/>
  <c r="B1655" i="2"/>
  <c r="A1655" i="2"/>
  <c r="O1654" i="2"/>
  <c r="M1654" i="2"/>
  <c r="L1654" i="2"/>
  <c r="E1654" i="2"/>
  <c r="D1654" i="2"/>
  <c r="B1654" i="2"/>
  <c r="A1654" i="2"/>
  <c r="O1653" i="2"/>
  <c r="M1653" i="2"/>
  <c r="L1653" i="2"/>
  <c r="E1653" i="2"/>
  <c r="D1653" i="2"/>
  <c r="B1653" i="2"/>
  <c r="A1653" i="2"/>
  <c r="O1652" i="2"/>
  <c r="M1652" i="2"/>
  <c r="L1652" i="2"/>
  <c r="E1652" i="2"/>
  <c r="D1652" i="2"/>
  <c r="B1652" i="2"/>
  <c r="A1652" i="2"/>
  <c r="O1651" i="2"/>
  <c r="O1650" i="2"/>
  <c r="M1650" i="2"/>
  <c r="L1650" i="2"/>
  <c r="E1650" i="2"/>
  <c r="D1650" i="2"/>
  <c r="B1650" i="2"/>
  <c r="A1650" i="2"/>
  <c r="O1649" i="2"/>
  <c r="M1649" i="2"/>
  <c r="L1649" i="2"/>
  <c r="E1649" i="2"/>
  <c r="D1649" i="2"/>
  <c r="B1649" i="2"/>
  <c r="A1649" i="2"/>
  <c r="O1648" i="2"/>
  <c r="O1647" i="2"/>
  <c r="M1647" i="2"/>
  <c r="L1647" i="2"/>
  <c r="E1647" i="2"/>
  <c r="D1647" i="2"/>
  <c r="B1647" i="2"/>
  <c r="A1647" i="2"/>
  <c r="O1646" i="2"/>
  <c r="M1646" i="2"/>
  <c r="L1646" i="2"/>
  <c r="E1646" i="2"/>
  <c r="D1646" i="2"/>
  <c r="B1646" i="2"/>
  <c r="A1646" i="2"/>
  <c r="O1645" i="2"/>
  <c r="O1644" i="2"/>
  <c r="M1644" i="2"/>
  <c r="L1644" i="2"/>
  <c r="E1644" i="2"/>
  <c r="D1644" i="2"/>
  <c r="B1644" i="2"/>
  <c r="A1644" i="2"/>
  <c r="O1643" i="2"/>
  <c r="O1642" i="2"/>
  <c r="O1641" i="2"/>
  <c r="M1641" i="2"/>
  <c r="L1641" i="2"/>
  <c r="E1641" i="2"/>
  <c r="D1641" i="2"/>
  <c r="B1641" i="2"/>
  <c r="A1641" i="2"/>
  <c r="O1640" i="2"/>
  <c r="M1640" i="2"/>
  <c r="L1640" i="2"/>
  <c r="E1640" i="2"/>
  <c r="D1640" i="2"/>
  <c r="B1640" i="2"/>
  <c r="A1640" i="2"/>
  <c r="O1639" i="2"/>
  <c r="O1638" i="2"/>
  <c r="M1638" i="2"/>
  <c r="L1638" i="2"/>
  <c r="E1638" i="2"/>
  <c r="D1638" i="2"/>
  <c r="B1638" i="2"/>
  <c r="A1638" i="2"/>
  <c r="O1637" i="2"/>
  <c r="O1636" i="2"/>
  <c r="M1636" i="2"/>
  <c r="L1636" i="2"/>
  <c r="E1636" i="2"/>
  <c r="D1636" i="2"/>
  <c r="B1636" i="2"/>
  <c r="A1636" i="2"/>
  <c r="O1635" i="2"/>
  <c r="O1634" i="2"/>
  <c r="O1633" i="2"/>
  <c r="M1633" i="2"/>
  <c r="L1633" i="2"/>
  <c r="E1633" i="2"/>
  <c r="D1633" i="2"/>
  <c r="B1633" i="2"/>
  <c r="A1633" i="2"/>
  <c r="O1632" i="2"/>
  <c r="M1632" i="2"/>
  <c r="L1632" i="2"/>
  <c r="E1632" i="2"/>
  <c r="D1632" i="2"/>
  <c r="B1632" i="2"/>
  <c r="A1632" i="2"/>
  <c r="O1631" i="2"/>
  <c r="M1631" i="2"/>
  <c r="L1631" i="2"/>
  <c r="E1631" i="2"/>
  <c r="D1631" i="2"/>
  <c r="B1631" i="2"/>
  <c r="A1631" i="2"/>
  <c r="O1630" i="2"/>
  <c r="M1630" i="2"/>
  <c r="L1630" i="2"/>
  <c r="E1630" i="2"/>
  <c r="D1630" i="2"/>
  <c r="B1630" i="2"/>
  <c r="A1630" i="2"/>
  <c r="O1629" i="2"/>
  <c r="O1628" i="2"/>
  <c r="O1627" i="2"/>
  <c r="O1626" i="2"/>
  <c r="O1625" i="2"/>
  <c r="O1624" i="2"/>
  <c r="O1623" i="2"/>
  <c r="M1623" i="2"/>
  <c r="L1623" i="2"/>
  <c r="E1623" i="2"/>
  <c r="D1623" i="2"/>
  <c r="B1623" i="2"/>
  <c r="A1623" i="2"/>
  <c r="O1622" i="2"/>
  <c r="O1621" i="2"/>
  <c r="M1621" i="2"/>
  <c r="L1621" i="2"/>
  <c r="E1621" i="2"/>
  <c r="D1621" i="2"/>
  <c r="B1621" i="2"/>
  <c r="A1621" i="2"/>
  <c r="O1620" i="2"/>
  <c r="M1620" i="2"/>
  <c r="L1620" i="2"/>
  <c r="E1620" i="2"/>
  <c r="D1620" i="2"/>
  <c r="B1620" i="2"/>
  <c r="A1620" i="2"/>
  <c r="O1619" i="2"/>
  <c r="O1618" i="2"/>
  <c r="O1617" i="2"/>
  <c r="O1616" i="2"/>
  <c r="M1616" i="2"/>
  <c r="L1616" i="2"/>
  <c r="E1616" i="2"/>
  <c r="D1616" i="2"/>
  <c r="B1616" i="2"/>
  <c r="A1616" i="2"/>
  <c r="O1615" i="2"/>
  <c r="O1614" i="2"/>
  <c r="M1614" i="2"/>
  <c r="L1614" i="2"/>
  <c r="E1614" i="2"/>
  <c r="D1614" i="2"/>
  <c r="B1614" i="2"/>
  <c r="A1614" i="2"/>
  <c r="O1613" i="2"/>
  <c r="O1612" i="2"/>
  <c r="M1612" i="2"/>
  <c r="L1612" i="2"/>
  <c r="E1612" i="2"/>
  <c r="D1612" i="2"/>
  <c r="B1612" i="2"/>
  <c r="A1612" i="2"/>
  <c r="O1611" i="2"/>
  <c r="O1610" i="2"/>
  <c r="O1609" i="2"/>
  <c r="M1609" i="2"/>
  <c r="L1609" i="2"/>
  <c r="E1609" i="2"/>
  <c r="D1609" i="2"/>
  <c r="B1609" i="2"/>
  <c r="A1609" i="2"/>
  <c r="O1608" i="2"/>
  <c r="M1608" i="2"/>
  <c r="L1608" i="2"/>
  <c r="E1608" i="2"/>
  <c r="D1608" i="2"/>
  <c r="B1608" i="2"/>
  <c r="A1608" i="2"/>
  <c r="O1607" i="2"/>
  <c r="M1607" i="2"/>
  <c r="L1607" i="2"/>
  <c r="E1607" i="2"/>
  <c r="D1607" i="2"/>
  <c r="B1607" i="2"/>
  <c r="A1607" i="2"/>
  <c r="O1606" i="2"/>
  <c r="O1605" i="2"/>
  <c r="M1605" i="2"/>
  <c r="L1605" i="2"/>
  <c r="E1605" i="2"/>
  <c r="D1605" i="2"/>
  <c r="B1605" i="2"/>
  <c r="A1605" i="2"/>
  <c r="O1604" i="2"/>
  <c r="O1603" i="2"/>
  <c r="O1602" i="2"/>
  <c r="O1601" i="2"/>
  <c r="M1601" i="2"/>
  <c r="L1601" i="2"/>
  <c r="E1601" i="2"/>
  <c r="D1601" i="2"/>
  <c r="B1601" i="2"/>
  <c r="A1601" i="2"/>
  <c r="O1600" i="2"/>
  <c r="O1599" i="2"/>
  <c r="O1598" i="2"/>
  <c r="M1598" i="2"/>
  <c r="L1598" i="2"/>
  <c r="E1598" i="2"/>
  <c r="D1598" i="2"/>
  <c r="B1598" i="2"/>
  <c r="A1598" i="2"/>
  <c r="O1597" i="2"/>
  <c r="M1597" i="2"/>
  <c r="L1597" i="2"/>
  <c r="E1597" i="2"/>
  <c r="D1597" i="2"/>
  <c r="B1597" i="2"/>
  <c r="A1597" i="2"/>
  <c r="O1596" i="2"/>
  <c r="M1596" i="2"/>
  <c r="L1596" i="2"/>
  <c r="E1596" i="2"/>
  <c r="D1596" i="2"/>
  <c r="B1596" i="2"/>
  <c r="A1596" i="2"/>
  <c r="O1595" i="2"/>
  <c r="O1594" i="2"/>
  <c r="O1593" i="2"/>
  <c r="O1592" i="2"/>
  <c r="M1592" i="2"/>
  <c r="L1592" i="2"/>
  <c r="E1592" i="2"/>
  <c r="D1592" i="2"/>
  <c r="B1592" i="2"/>
  <c r="A1592" i="2"/>
  <c r="O1591" i="2"/>
  <c r="O1590" i="2"/>
  <c r="M1590" i="2"/>
  <c r="L1590" i="2"/>
  <c r="E1590" i="2"/>
  <c r="D1590" i="2"/>
  <c r="B1590" i="2"/>
  <c r="A1590" i="2"/>
  <c r="O1589" i="2"/>
  <c r="O1588" i="2"/>
  <c r="O1587" i="2"/>
  <c r="M1587" i="2"/>
  <c r="L1587" i="2"/>
  <c r="E1587" i="2"/>
  <c r="D1587" i="2"/>
  <c r="B1587" i="2"/>
  <c r="A1587" i="2"/>
  <c r="O1586" i="2"/>
  <c r="O1585" i="2"/>
  <c r="O1584" i="2"/>
  <c r="O1583" i="2"/>
  <c r="O1582" i="2"/>
  <c r="O1581" i="2"/>
  <c r="O1580" i="2"/>
  <c r="O1579" i="2"/>
  <c r="O1578" i="2"/>
  <c r="O1577" i="2"/>
  <c r="O1576" i="2"/>
  <c r="O1575" i="2"/>
  <c r="O1574" i="2"/>
  <c r="O1573" i="2"/>
  <c r="O1572" i="2"/>
  <c r="O1571" i="2"/>
  <c r="O1570" i="2"/>
  <c r="M1570" i="2"/>
  <c r="L1570" i="2"/>
  <c r="E1570" i="2"/>
  <c r="D1570" i="2"/>
  <c r="B1570" i="2"/>
  <c r="A1570" i="2"/>
  <c r="O1569" i="2"/>
  <c r="M1569" i="2"/>
  <c r="L1569" i="2"/>
  <c r="E1569" i="2"/>
  <c r="D1569" i="2"/>
  <c r="B1569" i="2"/>
  <c r="A1569" i="2"/>
  <c r="O1568" i="2"/>
  <c r="O1567" i="2"/>
  <c r="O1566" i="2"/>
  <c r="O1565" i="2"/>
  <c r="M1565" i="2"/>
  <c r="L1565" i="2"/>
  <c r="E1565" i="2"/>
  <c r="D1565" i="2"/>
  <c r="B1565" i="2"/>
  <c r="A1565" i="2"/>
  <c r="O1564" i="2"/>
  <c r="O1563" i="2"/>
  <c r="M1563" i="2"/>
  <c r="L1563" i="2"/>
  <c r="E1563" i="2"/>
  <c r="D1563" i="2"/>
  <c r="B1563" i="2"/>
  <c r="A1563" i="2"/>
  <c r="O1562" i="2"/>
  <c r="M1562" i="2"/>
  <c r="L1562" i="2"/>
  <c r="E1562" i="2"/>
  <c r="D1562" i="2"/>
  <c r="B1562" i="2"/>
  <c r="A1562" i="2"/>
  <c r="O1561" i="2"/>
  <c r="M1561" i="2"/>
  <c r="L1561" i="2"/>
  <c r="E1561" i="2"/>
  <c r="D1561" i="2"/>
  <c r="B1561" i="2"/>
  <c r="A1561" i="2"/>
  <c r="O1560" i="2"/>
  <c r="O1559" i="2"/>
  <c r="O1558" i="2"/>
  <c r="O1557" i="2"/>
  <c r="O1556" i="2"/>
  <c r="O1555" i="2"/>
  <c r="O1554" i="2"/>
  <c r="O1553" i="2"/>
  <c r="M1553" i="2"/>
  <c r="L1553" i="2"/>
  <c r="E1553" i="2"/>
  <c r="D1553" i="2"/>
  <c r="B1553" i="2"/>
  <c r="A1553" i="2"/>
  <c r="O1552" i="2"/>
  <c r="O1551" i="2"/>
  <c r="O1550" i="2"/>
  <c r="O1549" i="2"/>
  <c r="O1548" i="2"/>
  <c r="M1548" i="2"/>
  <c r="L1548" i="2"/>
  <c r="E1548" i="2"/>
  <c r="D1548" i="2"/>
  <c r="B1548" i="2"/>
  <c r="A1548" i="2"/>
  <c r="O1547" i="2"/>
  <c r="M1547" i="2"/>
  <c r="L1547" i="2"/>
  <c r="E1547" i="2"/>
  <c r="D1547" i="2"/>
  <c r="B1547" i="2"/>
  <c r="A1547" i="2"/>
  <c r="O1546" i="2"/>
  <c r="O1545" i="2"/>
  <c r="M1545" i="2"/>
  <c r="L1545" i="2"/>
  <c r="E1545" i="2"/>
  <c r="D1545" i="2"/>
  <c r="B1545" i="2"/>
  <c r="A1545" i="2"/>
  <c r="O1544" i="2"/>
  <c r="O1543" i="2"/>
  <c r="O1542" i="2"/>
  <c r="M1542" i="2"/>
  <c r="L1542" i="2"/>
  <c r="E1542" i="2"/>
  <c r="D1542" i="2"/>
  <c r="B1542" i="2"/>
  <c r="A1542" i="2"/>
  <c r="O1541" i="2"/>
  <c r="O1540" i="2"/>
  <c r="M1540" i="2"/>
  <c r="L1540" i="2"/>
  <c r="E1540" i="2"/>
  <c r="D1540" i="2"/>
  <c r="B1540" i="2"/>
  <c r="A1540" i="2"/>
  <c r="O1539" i="2"/>
  <c r="O1538" i="2"/>
  <c r="M1538" i="2"/>
  <c r="L1538" i="2"/>
  <c r="E1538" i="2"/>
  <c r="D1538" i="2"/>
  <c r="B1538" i="2"/>
  <c r="A1538" i="2"/>
  <c r="O1537" i="2"/>
  <c r="O1536" i="2"/>
  <c r="M1536" i="2"/>
  <c r="L1536" i="2"/>
  <c r="E1536" i="2"/>
  <c r="D1536" i="2"/>
  <c r="B1536" i="2"/>
  <c r="A1536" i="2"/>
  <c r="O1535" i="2"/>
  <c r="O1534" i="2"/>
  <c r="O1533" i="2"/>
  <c r="M1533" i="2"/>
  <c r="L1533" i="2"/>
  <c r="E1533" i="2"/>
  <c r="D1533" i="2"/>
  <c r="B1533" i="2"/>
  <c r="A1533" i="2"/>
  <c r="O1532" i="2"/>
  <c r="O1531" i="2"/>
  <c r="O1530" i="2"/>
  <c r="M1530" i="2"/>
  <c r="L1530" i="2"/>
  <c r="E1530" i="2"/>
  <c r="D1530" i="2"/>
  <c r="B1530" i="2"/>
  <c r="A1530" i="2"/>
  <c r="O1529" i="2"/>
  <c r="O1528" i="2"/>
  <c r="O1527" i="2"/>
  <c r="O1526" i="2"/>
  <c r="M1526" i="2"/>
  <c r="L1526" i="2"/>
  <c r="E1526" i="2"/>
  <c r="D1526" i="2"/>
  <c r="B1526" i="2"/>
  <c r="A1526" i="2"/>
  <c r="O1525" i="2"/>
  <c r="M1525" i="2"/>
  <c r="L1525" i="2"/>
  <c r="E1525" i="2"/>
  <c r="D1525" i="2"/>
  <c r="B1525" i="2"/>
  <c r="A1525" i="2"/>
  <c r="O1524" i="2"/>
  <c r="O1523" i="2"/>
  <c r="O1522" i="2"/>
  <c r="O1521" i="2"/>
  <c r="O1520" i="2"/>
  <c r="M1520" i="2"/>
  <c r="L1520" i="2"/>
  <c r="E1520" i="2"/>
  <c r="D1520" i="2"/>
  <c r="B1520" i="2"/>
  <c r="A1520" i="2"/>
  <c r="O1519" i="2"/>
  <c r="O1518" i="2"/>
  <c r="M1518" i="2"/>
  <c r="L1518" i="2"/>
  <c r="E1518" i="2"/>
  <c r="D1518" i="2"/>
  <c r="B1518" i="2"/>
  <c r="A1518" i="2"/>
  <c r="O1517" i="2"/>
  <c r="M1517" i="2"/>
  <c r="L1517" i="2"/>
  <c r="E1517" i="2"/>
  <c r="D1517" i="2"/>
  <c r="B1517" i="2"/>
  <c r="A1517" i="2"/>
  <c r="O1516" i="2"/>
  <c r="O1515" i="2"/>
  <c r="O1514" i="2"/>
  <c r="M1514" i="2"/>
  <c r="L1514" i="2"/>
  <c r="E1514" i="2"/>
  <c r="D1514" i="2"/>
  <c r="B1514" i="2"/>
  <c r="A1514" i="2"/>
  <c r="O1513" i="2"/>
  <c r="O1512" i="2"/>
  <c r="M1512" i="2"/>
  <c r="L1512" i="2"/>
  <c r="E1512" i="2"/>
  <c r="D1512" i="2"/>
  <c r="B1512" i="2"/>
  <c r="A1512" i="2"/>
  <c r="O1511" i="2"/>
  <c r="M1511" i="2"/>
  <c r="L1511" i="2"/>
  <c r="E1511" i="2"/>
  <c r="D1511" i="2"/>
  <c r="B1511" i="2"/>
  <c r="A1511" i="2"/>
  <c r="O1510" i="2"/>
  <c r="O1509" i="2"/>
  <c r="M1509" i="2"/>
  <c r="L1509" i="2"/>
  <c r="E1509" i="2"/>
  <c r="D1509" i="2"/>
  <c r="B1509" i="2"/>
  <c r="A1509" i="2"/>
  <c r="O1508" i="2"/>
  <c r="M1508" i="2"/>
  <c r="L1508" i="2"/>
  <c r="E1508" i="2"/>
  <c r="D1508" i="2"/>
  <c r="B1508" i="2"/>
  <c r="A1508" i="2"/>
  <c r="O1507" i="2"/>
  <c r="M1507" i="2"/>
  <c r="L1507" i="2"/>
  <c r="E1507" i="2"/>
  <c r="D1507" i="2"/>
  <c r="B1507" i="2"/>
  <c r="A1507" i="2"/>
  <c r="O1506" i="2"/>
  <c r="O1505" i="2"/>
  <c r="M1505" i="2"/>
  <c r="L1505" i="2"/>
  <c r="E1505" i="2"/>
  <c r="D1505" i="2"/>
  <c r="B1505" i="2"/>
  <c r="A1505" i="2"/>
  <c r="O1504" i="2"/>
  <c r="O1503" i="2"/>
  <c r="O1502" i="2"/>
  <c r="O1501" i="2"/>
  <c r="O1500" i="2"/>
  <c r="O1499" i="2"/>
  <c r="O1498" i="2"/>
  <c r="O1497" i="2"/>
  <c r="O1496" i="2"/>
  <c r="O1495" i="2"/>
  <c r="O1494" i="2"/>
  <c r="O1493" i="2"/>
  <c r="O1492" i="2"/>
  <c r="O1491" i="2"/>
  <c r="O1490" i="2"/>
  <c r="M1490" i="2"/>
  <c r="L1490" i="2"/>
  <c r="E1490" i="2"/>
  <c r="D1490" i="2"/>
  <c r="B1490" i="2"/>
  <c r="A1490" i="2"/>
  <c r="O1489" i="2"/>
  <c r="O1488" i="2"/>
  <c r="O1487" i="2"/>
  <c r="M1487" i="2"/>
  <c r="L1487" i="2"/>
  <c r="E1487" i="2"/>
  <c r="D1487" i="2"/>
  <c r="B1487" i="2"/>
  <c r="A1487" i="2"/>
  <c r="O1486" i="2"/>
  <c r="M1486" i="2"/>
  <c r="L1486" i="2"/>
  <c r="E1486" i="2"/>
  <c r="D1486" i="2"/>
  <c r="B1486" i="2"/>
  <c r="A1486" i="2"/>
  <c r="O1485" i="2"/>
  <c r="M1485" i="2"/>
  <c r="L1485" i="2"/>
  <c r="E1485" i="2"/>
  <c r="D1485" i="2"/>
  <c r="B1485" i="2"/>
  <c r="A1485" i="2"/>
  <c r="O1484" i="2"/>
  <c r="M1484" i="2"/>
  <c r="L1484" i="2"/>
  <c r="E1484" i="2"/>
  <c r="D1484" i="2"/>
  <c r="B1484" i="2"/>
  <c r="A1484" i="2"/>
  <c r="O1483" i="2"/>
  <c r="O1482" i="2"/>
  <c r="M1482" i="2"/>
  <c r="L1482" i="2"/>
  <c r="E1482" i="2"/>
  <c r="D1482" i="2"/>
  <c r="B1482" i="2"/>
  <c r="A1482" i="2"/>
  <c r="O1481" i="2"/>
  <c r="M1481" i="2"/>
  <c r="L1481" i="2"/>
  <c r="E1481" i="2"/>
  <c r="D1481" i="2"/>
  <c r="B1481" i="2"/>
  <c r="A1481" i="2"/>
  <c r="O1480" i="2"/>
  <c r="M1480" i="2"/>
  <c r="L1480" i="2"/>
  <c r="E1480" i="2"/>
  <c r="D1480" i="2"/>
  <c r="B1480" i="2"/>
  <c r="A1480" i="2"/>
  <c r="O1479" i="2"/>
  <c r="M1479" i="2"/>
  <c r="L1479" i="2"/>
  <c r="E1479" i="2"/>
  <c r="D1479" i="2"/>
  <c r="B1479" i="2"/>
  <c r="A1479" i="2"/>
  <c r="O1478" i="2"/>
  <c r="M1478" i="2"/>
  <c r="L1478" i="2"/>
  <c r="E1478" i="2"/>
  <c r="D1478" i="2"/>
  <c r="B1478" i="2"/>
  <c r="A1478" i="2"/>
  <c r="O1477" i="2"/>
  <c r="O1476" i="2"/>
  <c r="O1475" i="2"/>
  <c r="M1475" i="2"/>
  <c r="L1475" i="2"/>
  <c r="E1475" i="2"/>
  <c r="D1475" i="2"/>
  <c r="B1475" i="2"/>
  <c r="A1475" i="2"/>
  <c r="O1474" i="2"/>
  <c r="O1473" i="2"/>
  <c r="O1472" i="2"/>
  <c r="M1472" i="2"/>
  <c r="L1472" i="2"/>
  <c r="E1472" i="2"/>
  <c r="D1472" i="2"/>
  <c r="B1472" i="2"/>
  <c r="A1472" i="2"/>
  <c r="O1471" i="2"/>
  <c r="O1470" i="2"/>
  <c r="O1469" i="2"/>
  <c r="M1469" i="2"/>
  <c r="L1469" i="2"/>
  <c r="E1469" i="2"/>
  <c r="D1469" i="2"/>
  <c r="B1469" i="2"/>
  <c r="A1469" i="2"/>
  <c r="O1468" i="2"/>
  <c r="M1468" i="2"/>
  <c r="L1468" i="2"/>
  <c r="E1468" i="2"/>
  <c r="D1468" i="2"/>
  <c r="B1468" i="2"/>
  <c r="A1468" i="2"/>
  <c r="O1467" i="2"/>
  <c r="O1466" i="2"/>
  <c r="M1466" i="2"/>
  <c r="L1466" i="2"/>
  <c r="E1466" i="2"/>
  <c r="D1466" i="2"/>
  <c r="B1466" i="2"/>
  <c r="A1466" i="2"/>
  <c r="O1465" i="2"/>
  <c r="O1464" i="2"/>
  <c r="O1463" i="2"/>
  <c r="M1463" i="2"/>
  <c r="L1463" i="2"/>
  <c r="E1463" i="2"/>
  <c r="D1463" i="2"/>
  <c r="B1463" i="2"/>
  <c r="A1463" i="2"/>
  <c r="O1462" i="2"/>
  <c r="O1461" i="2"/>
  <c r="O1460" i="2"/>
  <c r="M1460" i="2"/>
  <c r="L1460" i="2"/>
  <c r="E1460" i="2"/>
  <c r="D1460" i="2"/>
  <c r="B1460" i="2"/>
  <c r="A1460" i="2"/>
  <c r="O1459" i="2"/>
  <c r="M1459" i="2"/>
  <c r="L1459" i="2"/>
  <c r="E1459" i="2"/>
  <c r="D1459" i="2"/>
  <c r="B1459" i="2"/>
  <c r="A1459" i="2"/>
  <c r="O1458" i="2"/>
  <c r="M1458" i="2"/>
  <c r="L1458" i="2"/>
  <c r="E1458" i="2"/>
  <c r="D1458" i="2"/>
  <c r="B1458" i="2"/>
  <c r="A1458" i="2"/>
  <c r="O1457" i="2"/>
  <c r="M1457" i="2"/>
  <c r="L1457" i="2"/>
  <c r="E1457" i="2"/>
  <c r="D1457" i="2"/>
  <c r="B1457" i="2"/>
  <c r="A1457" i="2"/>
  <c r="O1456" i="2"/>
  <c r="M1456" i="2"/>
  <c r="L1456" i="2"/>
  <c r="E1456" i="2"/>
  <c r="D1456" i="2"/>
  <c r="B1456" i="2"/>
  <c r="A1456" i="2"/>
  <c r="O1455" i="2"/>
  <c r="O1454" i="2"/>
  <c r="O1453" i="2"/>
  <c r="O1452" i="2"/>
  <c r="M1452" i="2"/>
  <c r="L1452" i="2"/>
  <c r="E1452" i="2"/>
  <c r="D1452" i="2"/>
  <c r="B1452" i="2"/>
  <c r="A1452" i="2"/>
  <c r="O1451" i="2"/>
  <c r="O1450" i="2"/>
  <c r="O1449" i="2"/>
  <c r="O1448" i="2"/>
  <c r="M1448" i="2"/>
  <c r="L1448" i="2"/>
  <c r="E1448" i="2"/>
  <c r="D1448" i="2"/>
  <c r="B1448" i="2"/>
  <c r="A1448" i="2"/>
  <c r="O1447" i="2"/>
  <c r="M1447" i="2"/>
  <c r="L1447" i="2"/>
  <c r="E1447" i="2"/>
  <c r="D1447" i="2"/>
  <c r="B1447" i="2"/>
  <c r="A1447" i="2"/>
  <c r="O1446" i="2"/>
  <c r="M1446" i="2"/>
  <c r="L1446" i="2"/>
  <c r="E1446" i="2"/>
  <c r="D1446" i="2"/>
  <c r="B1446" i="2"/>
  <c r="A1446" i="2"/>
  <c r="O1445" i="2"/>
  <c r="M1445" i="2"/>
  <c r="L1445" i="2"/>
  <c r="E1445" i="2"/>
  <c r="D1445" i="2"/>
  <c r="B1445" i="2"/>
  <c r="A1445" i="2"/>
  <c r="O1444" i="2"/>
  <c r="O1443" i="2"/>
  <c r="M1443" i="2"/>
  <c r="L1443" i="2"/>
  <c r="E1443" i="2"/>
  <c r="D1443" i="2"/>
  <c r="B1443" i="2"/>
  <c r="A1443" i="2"/>
  <c r="O1442" i="2"/>
  <c r="M1442" i="2"/>
  <c r="L1442" i="2"/>
  <c r="E1442" i="2"/>
  <c r="D1442" i="2"/>
  <c r="B1442" i="2"/>
  <c r="A1442" i="2"/>
  <c r="O1441" i="2"/>
  <c r="O1440" i="2"/>
  <c r="M1440" i="2"/>
  <c r="L1440" i="2"/>
  <c r="E1440" i="2"/>
  <c r="D1440" i="2"/>
  <c r="B1440" i="2"/>
  <c r="A1440" i="2"/>
  <c r="O1439" i="2"/>
  <c r="M1439" i="2"/>
  <c r="L1439" i="2"/>
  <c r="E1439" i="2"/>
  <c r="D1439" i="2"/>
  <c r="B1439" i="2"/>
  <c r="A1439" i="2"/>
  <c r="O1438" i="2"/>
  <c r="M1438" i="2"/>
  <c r="L1438" i="2"/>
  <c r="E1438" i="2"/>
  <c r="D1438" i="2"/>
  <c r="B1438" i="2"/>
  <c r="A1438" i="2"/>
  <c r="O1437" i="2"/>
  <c r="M1437" i="2"/>
  <c r="L1437" i="2"/>
  <c r="E1437" i="2"/>
  <c r="D1437" i="2"/>
  <c r="B1437" i="2"/>
  <c r="A1437" i="2"/>
  <c r="O1436" i="2"/>
  <c r="O1435" i="2"/>
  <c r="M1435" i="2"/>
  <c r="L1435" i="2"/>
  <c r="E1435" i="2"/>
  <c r="D1435" i="2"/>
  <c r="B1435" i="2"/>
  <c r="A1435" i="2"/>
  <c r="O1434" i="2"/>
  <c r="M1434" i="2"/>
  <c r="L1434" i="2"/>
  <c r="E1434" i="2"/>
  <c r="D1434" i="2"/>
  <c r="B1434" i="2"/>
  <c r="A1434" i="2"/>
  <c r="O1433" i="2"/>
  <c r="O1432" i="2"/>
  <c r="M1432" i="2"/>
  <c r="L1432" i="2"/>
  <c r="E1432" i="2"/>
  <c r="D1432" i="2"/>
  <c r="B1432" i="2"/>
  <c r="A1432" i="2"/>
  <c r="O1431" i="2"/>
  <c r="M1431" i="2"/>
  <c r="L1431" i="2"/>
  <c r="E1431" i="2"/>
  <c r="D1431" i="2"/>
  <c r="B1431" i="2"/>
  <c r="A1431" i="2"/>
  <c r="O1430" i="2"/>
  <c r="O1429" i="2"/>
  <c r="M1429" i="2"/>
  <c r="L1429" i="2"/>
  <c r="E1429" i="2"/>
  <c r="D1429" i="2"/>
  <c r="B1429" i="2"/>
  <c r="A1429" i="2"/>
  <c r="O1428" i="2"/>
  <c r="O1427" i="2"/>
  <c r="O1426" i="2"/>
  <c r="O1425" i="2"/>
  <c r="M1425" i="2"/>
  <c r="L1425" i="2"/>
  <c r="E1425" i="2"/>
  <c r="D1425" i="2"/>
  <c r="B1425" i="2"/>
  <c r="A1425" i="2"/>
  <c r="O1424" i="2"/>
  <c r="M1424" i="2"/>
  <c r="L1424" i="2"/>
  <c r="E1424" i="2"/>
  <c r="D1424" i="2"/>
  <c r="B1424" i="2"/>
  <c r="A1424" i="2"/>
  <c r="O1423" i="2"/>
  <c r="M1423" i="2"/>
  <c r="L1423" i="2"/>
  <c r="E1423" i="2"/>
  <c r="D1423" i="2"/>
  <c r="B1423" i="2"/>
  <c r="A1423" i="2"/>
  <c r="O1422" i="2"/>
  <c r="M1422" i="2"/>
  <c r="L1422" i="2"/>
  <c r="E1422" i="2"/>
  <c r="D1422" i="2"/>
  <c r="B1422" i="2"/>
  <c r="A1422" i="2"/>
  <c r="O1421" i="2"/>
  <c r="M1421" i="2"/>
  <c r="L1421" i="2"/>
  <c r="E1421" i="2"/>
  <c r="D1421" i="2"/>
  <c r="B1421" i="2"/>
  <c r="A1421" i="2"/>
  <c r="O1420" i="2"/>
  <c r="O1419" i="2"/>
  <c r="O1418" i="2"/>
  <c r="O1417" i="2"/>
  <c r="M1417" i="2"/>
  <c r="L1417" i="2"/>
  <c r="E1417" i="2"/>
  <c r="D1417" i="2"/>
  <c r="B1417" i="2"/>
  <c r="A1417" i="2"/>
  <c r="O1416" i="2"/>
  <c r="M1416" i="2"/>
  <c r="L1416" i="2"/>
  <c r="E1416" i="2"/>
  <c r="D1416" i="2"/>
  <c r="B1416" i="2"/>
  <c r="A1416" i="2"/>
  <c r="O1415" i="2"/>
  <c r="O1414" i="2"/>
  <c r="M1414" i="2"/>
  <c r="L1414" i="2"/>
  <c r="E1414" i="2"/>
  <c r="D1414" i="2"/>
  <c r="B1414" i="2"/>
  <c r="A1414" i="2"/>
  <c r="O1413" i="2"/>
  <c r="O1412" i="2"/>
  <c r="O1411" i="2"/>
  <c r="M1411" i="2"/>
  <c r="L1411" i="2"/>
  <c r="E1411" i="2"/>
  <c r="D1411" i="2"/>
  <c r="B1411" i="2"/>
  <c r="A1411" i="2"/>
  <c r="O1410" i="2"/>
  <c r="M1410" i="2"/>
  <c r="L1410" i="2"/>
  <c r="E1410" i="2"/>
  <c r="D1410" i="2"/>
  <c r="B1410" i="2"/>
  <c r="A1410" i="2"/>
  <c r="O1409" i="2"/>
  <c r="O1408" i="2"/>
  <c r="M1408" i="2"/>
  <c r="L1408" i="2"/>
  <c r="E1408" i="2"/>
  <c r="D1408" i="2"/>
  <c r="B1408" i="2"/>
  <c r="A1408" i="2"/>
  <c r="O1407" i="2"/>
  <c r="M1407" i="2"/>
  <c r="L1407" i="2"/>
  <c r="E1407" i="2"/>
  <c r="D1407" i="2"/>
  <c r="B1407" i="2"/>
  <c r="A1407" i="2"/>
  <c r="O1406" i="2"/>
  <c r="O1405" i="2"/>
  <c r="M1405" i="2"/>
  <c r="L1405" i="2"/>
  <c r="E1405" i="2"/>
  <c r="D1405" i="2"/>
  <c r="B1405" i="2"/>
  <c r="A1405" i="2"/>
  <c r="O1404" i="2"/>
  <c r="O1403" i="2"/>
  <c r="O1402" i="2"/>
  <c r="M1402" i="2"/>
  <c r="L1402" i="2"/>
  <c r="E1402" i="2"/>
  <c r="D1402" i="2"/>
  <c r="B1402" i="2"/>
  <c r="A1402" i="2"/>
  <c r="O1401" i="2"/>
  <c r="M1401" i="2"/>
  <c r="L1401" i="2"/>
  <c r="E1401" i="2"/>
  <c r="D1401" i="2"/>
  <c r="B1401" i="2"/>
  <c r="A1401" i="2"/>
  <c r="O1400" i="2"/>
  <c r="M1400" i="2"/>
  <c r="L1400" i="2"/>
  <c r="E1400" i="2"/>
  <c r="D1400" i="2"/>
  <c r="B1400" i="2"/>
  <c r="A1400" i="2"/>
  <c r="O1399" i="2"/>
  <c r="O1398" i="2"/>
  <c r="O1397" i="2"/>
  <c r="M1397" i="2"/>
  <c r="L1397" i="2"/>
  <c r="E1397" i="2"/>
  <c r="D1397" i="2"/>
  <c r="B1397" i="2"/>
  <c r="A1397" i="2"/>
  <c r="O1396" i="2"/>
  <c r="O1395" i="2"/>
  <c r="O1394" i="2"/>
  <c r="M1394" i="2"/>
  <c r="L1394" i="2"/>
  <c r="E1394" i="2"/>
  <c r="D1394" i="2"/>
  <c r="B1394" i="2"/>
  <c r="A1394" i="2"/>
  <c r="O1393" i="2"/>
  <c r="O1392" i="2"/>
  <c r="M1392" i="2"/>
  <c r="L1392" i="2"/>
  <c r="E1392" i="2"/>
  <c r="D1392" i="2"/>
  <c r="B1392" i="2"/>
  <c r="A1392" i="2"/>
  <c r="O1391" i="2"/>
  <c r="O1390" i="2"/>
  <c r="M1390" i="2"/>
  <c r="L1390" i="2"/>
  <c r="E1390" i="2"/>
  <c r="D1390" i="2"/>
  <c r="B1390" i="2"/>
  <c r="A1390" i="2"/>
  <c r="O1389" i="2"/>
  <c r="M1389" i="2"/>
  <c r="L1389" i="2"/>
  <c r="E1389" i="2"/>
  <c r="D1389" i="2"/>
  <c r="B1389" i="2"/>
  <c r="A1389" i="2"/>
  <c r="O1388" i="2"/>
  <c r="M1388" i="2"/>
  <c r="L1388" i="2"/>
  <c r="E1388" i="2"/>
  <c r="D1388" i="2"/>
  <c r="B1388" i="2"/>
  <c r="A1388" i="2"/>
  <c r="O1387" i="2"/>
  <c r="M1387" i="2"/>
  <c r="L1387" i="2"/>
  <c r="E1387" i="2"/>
  <c r="D1387" i="2"/>
  <c r="B1387" i="2"/>
  <c r="A1387" i="2"/>
  <c r="O1386" i="2"/>
  <c r="M1386" i="2"/>
  <c r="L1386" i="2"/>
  <c r="E1386" i="2"/>
  <c r="D1386" i="2"/>
  <c r="B1386" i="2"/>
  <c r="A1386" i="2"/>
  <c r="O1385" i="2"/>
  <c r="O1384" i="2"/>
  <c r="M1384" i="2"/>
  <c r="L1384" i="2"/>
  <c r="E1384" i="2"/>
  <c r="D1384" i="2"/>
  <c r="B1384" i="2"/>
  <c r="A1384" i="2"/>
  <c r="O1383" i="2"/>
  <c r="O1382" i="2"/>
  <c r="O1381" i="2"/>
  <c r="O1380" i="2"/>
  <c r="O1379" i="2"/>
  <c r="O1378" i="2"/>
  <c r="M1378" i="2"/>
  <c r="L1378" i="2"/>
  <c r="E1378" i="2"/>
  <c r="D1378" i="2"/>
  <c r="B1378" i="2"/>
  <c r="A1378" i="2"/>
  <c r="O1377" i="2"/>
  <c r="O1376" i="2"/>
  <c r="M1376" i="2"/>
  <c r="L1376" i="2"/>
  <c r="E1376" i="2"/>
  <c r="D1376" i="2"/>
  <c r="B1376" i="2"/>
  <c r="A1376" i="2"/>
  <c r="O1375" i="2"/>
  <c r="O1374" i="2"/>
  <c r="M1374" i="2"/>
  <c r="L1374" i="2"/>
  <c r="E1374" i="2"/>
  <c r="D1374" i="2"/>
  <c r="B1374" i="2"/>
  <c r="A1374" i="2"/>
  <c r="O1373" i="2"/>
  <c r="O1372" i="2"/>
  <c r="O1371" i="2"/>
  <c r="O1370" i="2"/>
  <c r="M1370" i="2"/>
  <c r="L1370" i="2"/>
  <c r="E1370" i="2"/>
  <c r="D1370" i="2"/>
  <c r="B1370" i="2"/>
  <c r="A1370" i="2"/>
  <c r="O1369" i="2"/>
  <c r="M1369" i="2"/>
  <c r="L1369" i="2"/>
  <c r="E1369" i="2"/>
  <c r="D1369" i="2"/>
  <c r="B1369" i="2"/>
  <c r="A1369" i="2"/>
  <c r="O1368" i="2"/>
  <c r="M1368" i="2"/>
  <c r="L1368" i="2"/>
  <c r="E1368" i="2"/>
  <c r="D1368" i="2"/>
  <c r="B1368" i="2"/>
  <c r="A1368" i="2"/>
  <c r="O1367" i="2"/>
  <c r="O1366" i="2"/>
  <c r="M1366" i="2"/>
  <c r="L1366" i="2"/>
  <c r="E1366" i="2"/>
  <c r="D1366" i="2"/>
  <c r="B1366" i="2"/>
  <c r="A1366" i="2"/>
  <c r="O1365" i="2"/>
  <c r="M1365" i="2"/>
  <c r="L1365" i="2"/>
  <c r="E1365" i="2"/>
  <c r="D1365" i="2"/>
  <c r="B1365" i="2"/>
  <c r="A1365" i="2"/>
  <c r="O1364" i="2"/>
  <c r="M1364" i="2"/>
  <c r="L1364" i="2"/>
  <c r="E1364" i="2"/>
  <c r="D1364" i="2"/>
  <c r="B1364" i="2"/>
  <c r="A1364" i="2"/>
  <c r="O1363" i="2"/>
  <c r="O1362" i="2"/>
  <c r="O1361" i="2"/>
  <c r="O1360" i="2"/>
  <c r="O1359" i="2"/>
  <c r="O1358" i="2"/>
  <c r="O1357" i="2"/>
  <c r="M1357" i="2"/>
  <c r="L1357" i="2"/>
  <c r="E1357" i="2"/>
  <c r="D1357" i="2"/>
  <c r="B1357" i="2"/>
  <c r="A1357" i="2"/>
  <c r="O1356" i="2"/>
  <c r="O1355" i="2"/>
  <c r="M1355" i="2"/>
  <c r="L1355" i="2"/>
  <c r="E1355" i="2"/>
  <c r="D1355" i="2"/>
  <c r="B1355" i="2"/>
  <c r="A1355" i="2"/>
  <c r="O1354" i="2"/>
  <c r="M1354" i="2"/>
  <c r="L1354" i="2"/>
  <c r="E1354" i="2"/>
  <c r="D1354" i="2"/>
  <c r="B1354" i="2"/>
  <c r="A1354" i="2"/>
  <c r="O1353" i="2"/>
  <c r="O1352" i="2"/>
  <c r="O1351" i="2"/>
  <c r="M1351" i="2"/>
  <c r="L1351" i="2"/>
  <c r="E1351" i="2"/>
  <c r="D1351" i="2"/>
  <c r="B1351" i="2"/>
  <c r="A1351" i="2"/>
  <c r="O1350" i="2"/>
  <c r="M1350" i="2"/>
  <c r="L1350" i="2"/>
  <c r="E1350" i="2"/>
  <c r="D1350" i="2"/>
  <c r="B1350" i="2"/>
  <c r="A1350" i="2"/>
  <c r="O1349" i="2"/>
  <c r="M1349" i="2"/>
  <c r="L1349" i="2"/>
  <c r="E1349" i="2"/>
  <c r="D1349" i="2"/>
  <c r="B1349" i="2"/>
  <c r="A1349" i="2"/>
  <c r="O1348" i="2"/>
  <c r="O1347" i="2"/>
  <c r="M1347" i="2"/>
  <c r="L1347" i="2"/>
  <c r="E1347" i="2"/>
  <c r="D1347" i="2"/>
  <c r="B1347" i="2"/>
  <c r="A1347" i="2"/>
  <c r="O1346" i="2"/>
  <c r="M1346" i="2"/>
  <c r="L1346" i="2"/>
  <c r="E1346" i="2"/>
  <c r="D1346" i="2"/>
  <c r="B1346" i="2"/>
  <c r="A1346" i="2"/>
  <c r="O1345" i="2"/>
  <c r="O1344" i="2"/>
  <c r="M1344" i="2"/>
  <c r="L1344" i="2"/>
  <c r="E1344" i="2"/>
  <c r="D1344" i="2"/>
  <c r="B1344" i="2"/>
  <c r="A1344" i="2"/>
  <c r="O1343" i="2"/>
  <c r="M1343" i="2"/>
  <c r="L1343" i="2"/>
  <c r="E1343" i="2"/>
  <c r="D1343" i="2"/>
  <c r="B1343" i="2"/>
  <c r="A1343" i="2"/>
  <c r="O1342" i="2"/>
  <c r="O1341" i="2"/>
  <c r="O1340" i="2"/>
  <c r="O1339" i="2"/>
  <c r="O1338" i="2"/>
  <c r="O1337" i="2"/>
  <c r="O1336" i="2"/>
  <c r="O1335" i="2"/>
  <c r="M1335" i="2"/>
  <c r="L1335" i="2"/>
  <c r="E1335" i="2"/>
  <c r="D1335" i="2"/>
  <c r="B1335" i="2"/>
  <c r="A1335" i="2"/>
  <c r="O1334" i="2"/>
  <c r="M1334" i="2"/>
  <c r="L1334" i="2"/>
  <c r="E1334" i="2"/>
  <c r="D1334" i="2"/>
  <c r="B1334" i="2"/>
  <c r="A1334" i="2"/>
  <c r="O1333" i="2"/>
  <c r="O1332" i="2"/>
  <c r="O1331" i="2"/>
  <c r="M1331" i="2"/>
  <c r="L1331" i="2"/>
  <c r="E1331" i="2"/>
  <c r="D1331" i="2"/>
  <c r="B1331" i="2"/>
  <c r="A1331" i="2"/>
  <c r="O1330" i="2"/>
  <c r="M1330" i="2"/>
  <c r="L1330" i="2"/>
  <c r="E1330" i="2"/>
  <c r="D1330" i="2"/>
  <c r="B1330" i="2"/>
  <c r="A1330" i="2"/>
  <c r="O1329" i="2"/>
  <c r="M1329" i="2"/>
  <c r="L1329" i="2"/>
  <c r="E1329" i="2"/>
  <c r="D1329" i="2"/>
  <c r="B1329" i="2"/>
  <c r="A1329" i="2"/>
  <c r="O1328" i="2"/>
  <c r="M1328" i="2"/>
  <c r="L1328" i="2"/>
  <c r="E1328" i="2"/>
  <c r="D1328" i="2"/>
  <c r="B1328" i="2"/>
  <c r="A1328" i="2"/>
  <c r="O1327" i="2"/>
  <c r="M1327" i="2"/>
  <c r="L1327" i="2"/>
  <c r="E1327" i="2"/>
  <c r="D1327" i="2"/>
  <c r="B1327" i="2"/>
  <c r="A1327" i="2"/>
  <c r="O1326" i="2"/>
  <c r="O1325" i="2"/>
  <c r="M1325" i="2"/>
  <c r="L1325" i="2"/>
  <c r="E1325" i="2"/>
  <c r="D1325" i="2"/>
  <c r="B1325" i="2"/>
  <c r="A1325" i="2"/>
  <c r="O1324" i="2"/>
  <c r="M1324" i="2"/>
  <c r="L1324" i="2"/>
  <c r="E1324" i="2"/>
  <c r="D1324" i="2"/>
  <c r="B1324" i="2"/>
  <c r="A1324" i="2"/>
  <c r="O1323" i="2"/>
  <c r="O1322" i="2"/>
  <c r="O1321" i="2"/>
  <c r="M1321" i="2"/>
  <c r="L1321" i="2"/>
  <c r="E1321" i="2"/>
  <c r="D1321" i="2"/>
  <c r="B1321" i="2"/>
  <c r="A1321" i="2"/>
  <c r="O1320" i="2"/>
  <c r="O1319" i="2"/>
  <c r="O1318" i="2"/>
  <c r="O1317" i="2"/>
  <c r="M1317" i="2"/>
  <c r="L1317" i="2"/>
  <c r="E1317" i="2"/>
  <c r="D1317" i="2"/>
  <c r="B1317" i="2"/>
  <c r="A1317" i="2"/>
  <c r="O1316" i="2"/>
  <c r="M1316" i="2"/>
  <c r="L1316" i="2"/>
  <c r="E1316" i="2"/>
  <c r="D1316" i="2"/>
  <c r="B1316" i="2"/>
  <c r="A1316" i="2"/>
  <c r="O1315" i="2"/>
  <c r="O1314" i="2"/>
  <c r="M1314" i="2"/>
  <c r="L1314" i="2"/>
  <c r="E1314" i="2"/>
  <c r="D1314" i="2"/>
  <c r="B1314" i="2"/>
  <c r="A1314" i="2"/>
  <c r="O1313" i="2"/>
  <c r="M1313" i="2"/>
  <c r="L1313" i="2"/>
  <c r="E1313" i="2"/>
  <c r="D1313" i="2"/>
  <c r="B1313" i="2"/>
  <c r="A1313" i="2"/>
  <c r="O1312" i="2"/>
  <c r="M1312" i="2"/>
  <c r="L1312" i="2"/>
  <c r="E1312" i="2"/>
  <c r="D1312" i="2"/>
  <c r="B1312" i="2"/>
  <c r="A1312" i="2"/>
  <c r="O1311" i="2"/>
  <c r="O1310" i="2"/>
  <c r="O1309" i="2"/>
  <c r="M1309" i="2"/>
  <c r="L1309" i="2"/>
  <c r="E1309" i="2"/>
  <c r="D1309" i="2"/>
  <c r="B1309" i="2"/>
  <c r="A1309" i="2"/>
  <c r="O1308" i="2"/>
  <c r="M1308" i="2"/>
  <c r="L1308" i="2"/>
  <c r="E1308" i="2"/>
  <c r="D1308" i="2"/>
  <c r="B1308" i="2"/>
  <c r="A1308" i="2"/>
  <c r="O1307" i="2"/>
  <c r="M1307" i="2"/>
  <c r="L1307" i="2"/>
  <c r="E1307" i="2"/>
  <c r="D1307" i="2"/>
  <c r="B1307" i="2"/>
  <c r="A1307" i="2"/>
  <c r="O1306" i="2"/>
  <c r="M1306" i="2"/>
  <c r="L1306" i="2"/>
  <c r="E1306" i="2"/>
  <c r="D1306" i="2"/>
  <c r="B1306" i="2"/>
  <c r="A1306" i="2"/>
  <c r="O1305" i="2"/>
  <c r="O1304" i="2"/>
  <c r="M1304" i="2"/>
  <c r="L1304" i="2"/>
  <c r="E1304" i="2"/>
  <c r="D1304" i="2"/>
  <c r="B1304" i="2"/>
  <c r="A1304" i="2"/>
  <c r="O1303" i="2"/>
  <c r="M1303" i="2"/>
  <c r="L1303" i="2"/>
  <c r="E1303" i="2"/>
  <c r="D1303" i="2"/>
  <c r="B1303" i="2"/>
  <c r="A1303" i="2"/>
  <c r="O1302" i="2"/>
  <c r="O1301" i="2"/>
  <c r="O1300" i="2"/>
  <c r="M1300" i="2"/>
  <c r="L1300" i="2"/>
  <c r="E1300" i="2"/>
  <c r="D1300" i="2"/>
  <c r="B1300" i="2"/>
  <c r="A1300" i="2"/>
  <c r="O1299" i="2"/>
  <c r="O1298" i="2"/>
  <c r="M1298" i="2"/>
  <c r="L1298" i="2"/>
  <c r="E1298" i="2"/>
  <c r="D1298" i="2"/>
  <c r="B1298" i="2"/>
  <c r="A1298" i="2"/>
  <c r="O1297" i="2"/>
  <c r="O1296" i="2"/>
  <c r="O1295" i="2"/>
  <c r="O1294" i="2"/>
  <c r="M1294" i="2"/>
  <c r="L1294" i="2"/>
  <c r="E1294" i="2"/>
  <c r="D1294" i="2"/>
  <c r="B1294" i="2"/>
  <c r="A1294" i="2"/>
  <c r="O1293" i="2"/>
  <c r="O1292" i="2"/>
  <c r="O1291" i="2"/>
  <c r="M1291" i="2"/>
  <c r="L1291" i="2"/>
  <c r="E1291" i="2"/>
  <c r="D1291" i="2"/>
  <c r="B1291" i="2"/>
  <c r="A1291" i="2"/>
  <c r="O1290" i="2"/>
  <c r="O1289" i="2"/>
  <c r="O1288" i="2"/>
  <c r="M1288" i="2"/>
  <c r="L1288" i="2"/>
  <c r="E1288" i="2"/>
  <c r="D1288" i="2"/>
  <c r="B1288" i="2"/>
  <c r="A1288" i="2"/>
  <c r="O1287" i="2"/>
  <c r="O1286" i="2"/>
  <c r="O1285" i="2"/>
  <c r="M1285" i="2"/>
  <c r="L1285" i="2"/>
  <c r="E1285" i="2"/>
  <c r="D1285" i="2"/>
  <c r="B1285" i="2"/>
  <c r="A1285" i="2"/>
  <c r="O1284" i="2"/>
  <c r="M1284" i="2"/>
  <c r="L1284" i="2"/>
  <c r="E1284" i="2"/>
  <c r="D1284" i="2"/>
  <c r="B1284" i="2"/>
  <c r="A1284" i="2"/>
  <c r="O1283" i="2"/>
  <c r="M1283" i="2"/>
  <c r="L1283" i="2"/>
  <c r="E1283" i="2"/>
  <c r="D1283" i="2"/>
  <c r="B1283" i="2"/>
  <c r="A1283" i="2"/>
  <c r="O1282" i="2"/>
  <c r="M1282" i="2"/>
  <c r="L1282" i="2"/>
  <c r="E1282" i="2"/>
  <c r="D1282" i="2"/>
  <c r="B1282" i="2"/>
  <c r="A1282" i="2"/>
  <c r="O1281" i="2"/>
  <c r="O1280" i="2"/>
  <c r="O1279" i="2"/>
  <c r="O1278" i="2"/>
  <c r="O1277" i="2"/>
  <c r="M1277" i="2"/>
  <c r="L1277" i="2"/>
  <c r="E1277" i="2"/>
  <c r="D1277" i="2"/>
  <c r="B1277" i="2"/>
  <c r="A1277" i="2"/>
  <c r="O1276" i="2"/>
  <c r="O1275" i="2"/>
  <c r="O1274" i="2"/>
  <c r="O1273" i="2"/>
  <c r="O1272" i="2"/>
  <c r="O1271" i="2"/>
  <c r="O1270" i="2"/>
  <c r="O1269" i="2"/>
  <c r="M1269" i="2"/>
  <c r="L1269" i="2"/>
  <c r="E1269" i="2"/>
  <c r="D1269" i="2"/>
  <c r="B1269" i="2"/>
  <c r="A1269" i="2"/>
  <c r="O1268" i="2"/>
  <c r="O1267" i="2"/>
  <c r="O1266" i="2"/>
  <c r="M1266" i="2"/>
  <c r="L1266" i="2"/>
  <c r="E1266" i="2"/>
  <c r="D1266" i="2"/>
  <c r="B1266" i="2"/>
  <c r="A1266" i="2"/>
  <c r="O1265" i="2"/>
  <c r="M1265" i="2"/>
  <c r="L1265" i="2"/>
  <c r="E1265" i="2"/>
  <c r="D1265" i="2"/>
  <c r="B1265" i="2"/>
  <c r="A1265" i="2"/>
  <c r="O1264" i="2"/>
  <c r="M1264" i="2"/>
  <c r="L1264" i="2"/>
  <c r="E1264" i="2"/>
  <c r="D1264" i="2"/>
  <c r="B1264" i="2"/>
  <c r="A1264" i="2"/>
  <c r="O1263" i="2"/>
  <c r="M1263" i="2"/>
  <c r="L1263" i="2"/>
  <c r="E1263" i="2"/>
  <c r="D1263" i="2"/>
  <c r="B1263" i="2"/>
  <c r="A1263" i="2"/>
  <c r="O1262" i="2"/>
  <c r="O1261" i="2"/>
  <c r="M1261" i="2"/>
  <c r="L1261" i="2"/>
  <c r="E1261" i="2"/>
  <c r="D1261" i="2"/>
  <c r="B1261" i="2"/>
  <c r="A1261" i="2"/>
  <c r="O1260" i="2"/>
  <c r="M1260" i="2"/>
  <c r="L1260" i="2"/>
  <c r="E1260" i="2"/>
  <c r="D1260" i="2"/>
  <c r="B1260" i="2"/>
  <c r="A1260" i="2"/>
  <c r="O1259" i="2"/>
  <c r="M1259" i="2"/>
  <c r="L1259" i="2"/>
  <c r="E1259" i="2"/>
  <c r="D1259" i="2"/>
  <c r="B1259" i="2"/>
  <c r="A1259" i="2"/>
  <c r="O1258" i="2"/>
  <c r="M1258" i="2"/>
  <c r="L1258" i="2"/>
  <c r="E1258" i="2"/>
  <c r="D1258" i="2"/>
  <c r="B1258" i="2"/>
  <c r="A1258" i="2"/>
  <c r="O1257" i="2"/>
  <c r="O1256" i="2"/>
  <c r="M1256" i="2"/>
  <c r="L1256" i="2"/>
  <c r="E1256" i="2"/>
  <c r="D1256" i="2"/>
  <c r="B1256" i="2"/>
  <c r="A1256" i="2"/>
  <c r="O1255" i="2"/>
  <c r="O1254" i="2"/>
  <c r="M1254" i="2"/>
  <c r="L1254" i="2"/>
  <c r="E1254" i="2"/>
  <c r="D1254" i="2"/>
  <c r="B1254" i="2"/>
  <c r="A1254" i="2"/>
  <c r="O1253" i="2"/>
  <c r="O1252" i="2"/>
  <c r="M1252" i="2"/>
  <c r="L1252" i="2"/>
  <c r="E1252" i="2"/>
  <c r="D1252" i="2"/>
  <c r="B1252" i="2"/>
  <c r="A1252" i="2"/>
  <c r="O1251" i="2"/>
  <c r="O1250" i="2"/>
  <c r="M1250" i="2"/>
  <c r="L1250" i="2"/>
  <c r="E1250" i="2"/>
  <c r="D1250" i="2"/>
  <c r="B1250" i="2"/>
  <c r="A1250" i="2"/>
  <c r="O1249" i="2"/>
  <c r="O1248" i="2"/>
  <c r="O1247" i="2"/>
  <c r="O1246" i="2"/>
  <c r="O1245" i="2"/>
  <c r="O1244" i="2"/>
  <c r="M1244" i="2"/>
  <c r="L1244" i="2"/>
  <c r="E1244" i="2"/>
  <c r="D1244" i="2"/>
  <c r="B1244" i="2"/>
  <c r="A1244" i="2"/>
  <c r="O1243" i="2"/>
  <c r="M1243" i="2"/>
  <c r="L1243" i="2"/>
  <c r="E1243" i="2"/>
  <c r="D1243" i="2"/>
  <c r="B1243" i="2"/>
  <c r="A1243" i="2"/>
  <c r="O1242" i="2"/>
  <c r="M1242" i="2"/>
  <c r="L1242" i="2"/>
  <c r="E1242" i="2"/>
  <c r="D1242" i="2"/>
  <c r="B1242" i="2"/>
  <c r="A1242" i="2"/>
  <c r="O1241" i="2"/>
  <c r="O1240" i="2"/>
  <c r="M1240" i="2"/>
  <c r="L1240" i="2"/>
  <c r="E1240" i="2"/>
  <c r="D1240" i="2"/>
  <c r="B1240" i="2"/>
  <c r="A1240" i="2"/>
  <c r="O1239" i="2"/>
  <c r="O1238" i="2"/>
  <c r="O1237" i="2"/>
  <c r="O1236" i="2"/>
  <c r="O1235" i="2"/>
  <c r="O1234" i="2"/>
  <c r="M1234" i="2"/>
  <c r="L1234" i="2"/>
  <c r="E1234" i="2"/>
  <c r="D1234" i="2"/>
  <c r="B1234" i="2"/>
  <c r="A1234" i="2"/>
  <c r="O1233" i="2"/>
  <c r="M1233" i="2"/>
  <c r="L1233" i="2"/>
  <c r="E1233" i="2"/>
  <c r="D1233" i="2"/>
  <c r="B1233" i="2"/>
  <c r="A1233" i="2"/>
  <c r="O1232" i="2"/>
  <c r="O1231" i="2"/>
  <c r="M1231" i="2"/>
  <c r="L1231" i="2"/>
  <c r="E1231" i="2"/>
  <c r="D1231" i="2"/>
  <c r="B1231" i="2"/>
  <c r="A1231" i="2"/>
  <c r="O1230" i="2"/>
  <c r="M1230" i="2"/>
  <c r="L1230" i="2"/>
  <c r="E1230" i="2"/>
  <c r="D1230" i="2"/>
  <c r="B1230" i="2"/>
  <c r="A1230" i="2"/>
  <c r="O1229" i="2"/>
  <c r="O1228" i="2"/>
  <c r="M1228" i="2"/>
  <c r="L1228" i="2"/>
  <c r="E1228" i="2"/>
  <c r="D1228" i="2"/>
  <c r="B1228" i="2"/>
  <c r="A1228" i="2"/>
  <c r="O1227" i="2"/>
  <c r="M1227" i="2"/>
  <c r="L1227" i="2"/>
  <c r="E1227" i="2"/>
  <c r="D1227" i="2"/>
  <c r="B1227" i="2"/>
  <c r="A1227" i="2"/>
  <c r="O1226" i="2"/>
  <c r="M1226" i="2"/>
  <c r="L1226" i="2"/>
  <c r="E1226" i="2"/>
  <c r="D1226" i="2"/>
  <c r="B1226" i="2"/>
  <c r="A1226" i="2"/>
  <c r="O1225" i="2"/>
  <c r="O1224" i="2"/>
  <c r="M1224" i="2"/>
  <c r="L1224" i="2"/>
  <c r="E1224" i="2"/>
  <c r="D1224" i="2"/>
  <c r="B1224" i="2"/>
  <c r="A1224" i="2"/>
  <c r="O1223" i="2"/>
  <c r="O1222" i="2"/>
  <c r="O1221" i="2"/>
  <c r="O1220" i="2"/>
  <c r="O1219" i="2"/>
  <c r="M1219" i="2"/>
  <c r="L1219" i="2"/>
  <c r="E1219" i="2"/>
  <c r="D1219" i="2"/>
  <c r="B1219" i="2"/>
  <c r="A1219" i="2"/>
  <c r="O1218" i="2"/>
  <c r="M1218" i="2"/>
  <c r="L1218" i="2"/>
  <c r="E1218" i="2"/>
  <c r="D1218" i="2"/>
  <c r="B1218" i="2"/>
  <c r="A1218" i="2"/>
  <c r="O1217" i="2"/>
  <c r="M1217" i="2"/>
  <c r="L1217" i="2"/>
  <c r="E1217" i="2"/>
  <c r="D1217" i="2"/>
  <c r="B1217" i="2"/>
  <c r="A1217" i="2"/>
  <c r="O1216" i="2"/>
  <c r="O1215" i="2"/>
  <c r="O1214" i="2"/>
  <c r="M1214" i="2"/>
  <c r="L1214" i="2"/>
  <c r="E1214" i="2"/>
  <c r="D1214" i="2"/>
  <c r="B1214" i="2"/>
  <c r="A1214" i="2"/>
  <c r="O1213" i="2"/>
  <c r="M1213" i="2"/>
  <c r="L1213" i="2"/>
  <c r="E1213" i="2"/>
  <c r="D1213" i="2"/>
  <c r="B1213" i="2"/>
  <c r="A1213" i="2"/>
  <c r="O1212" i="2"/>
  <c r="M1212" i="2"/>
  <c r="L1212" i="2"/>
  <c r="E1212" i="2"/>
  <c r="D1212" i="2"/>
  <c r="B1212" i="2"/>
  <c r="A1212" i="2"/>
  <c r="O1211" i="2"/>
  <c r="M1211" i="2"/>
  <c r="L1211" i="2"/>
  <c r="E1211" i="2"/>
  <c r="D1211" i="2"/>
  <c r="B1211" i="2"/>
  <c r="A1211" i="2"/>
  <c r="O1210" i="2"/>
  <c r="M1210" i="2"/>
  <c r="L1210" i="2"/>
  <c r="E1210" i="2"/>
  <c r="D1210" i="2"/>
  <c r="B1210" i="2"/>
  <c r="A1210" i="2"/>
  <c r="O1209" i="2"/>
  <c r="M1209" i="2"/>
  <c r="L1209" i="2"/>
  <c r="E1209" i="2"/>
  <c r="D1209" i="2"/>
  <c r="B1209" i="2"/>
  <c r="A1209" i="2"/>
  <c r="O1208" i="2"/>
  <c r="M1208" i="2"/>
  <c r="L1208" i="2"/>
  <c r="E1208" i="2"/>
  <c r="D1208" i="2"/>
  <c r="B1208" i="2"/>
  <c r="A1208" i="2"/>
  <c r="O1207" i="2"/>
  <c r="O1206" i="2"/>
  <c r="O1205" i="2"/>
  <c r="M1205" i="2"/>
  <c r="L1205" i="2"/>
  <c r="E1205" i="2"/>
  <c r="D1205" i="2"/>
  <c r="B1205" i="2"/>
  <c r="A1205" i="2"/>
  <c r="O1204" i="2"/>
  <c r="M1204" i="2"/>
  <c r="L1204" i="2"/>
  <c r="E1204" i="2"/>
  <c r="D1204" i="2"/>
  <c r="B1204" i="2"/>
  <c r="A1204" i="2"/>
  <c r="O1203" i="2"/>
  <c r="O1202" i="2"/>
  <c r="M1202" i="2"/>
  <c r="L1202" i="2"/>
  <c r="E1202" i="2"/>
  <c r="D1202" i="2"/>
  <c r="B1202" i="2"/>
  <c r="A1202" i="2"/>
  <c r="O1201" i="2"/>
  <c r="O1200" i="2"/>
  <c r="M1200" i="2"/>
  <c r="L1200" i="2"/>
  <c r="E1200" i="2"/>
  <c r="D1200" i="2"/>
  <c r="B1200" i="2"/>
  <c r="A1200" i="2"/>
  <c r="O1199" i="2"/>
  <c r="M1199" i="2"/>
  <c r="L1199" i="2"/>
  <c r="E1199" i="2"/>
  <c r="D1199" i="2"/>
  <c r="B1199" i="2"/>
  <c r="A1199" i="2"/>
  <c r="O1198" i="2"/>
  <c r="O1197" i="2"/>
  <c r="M1197" i="2"/>
  <c r="L1197" i="2"/>
  <c r="E1197" i="2"/>
  <c r="D1197" i="2"/>
  <c r="B1197" i="2"/>
  <c r="A1197" i="2"/>
  <c r="O1196" i="2"/>
  <c r="M1196" i="2"/>
  <c r="L1196" i="2"/>
  <c r="E1196" i="2"/>
  <c r="D1196" i="2"/>
  <c r="B1196" i="2"/>
  <c r="A1196" i="2"/>
  <c r="O1195" i="2"/>
  <c r="O1194" i="2"/>
  <c r="M1194" i="2"/>
  <c r="L1194" i="2"/>
  <c r="E1194" i="2"/>
  <c r="D1194" i="2"/>
  <c r="B1194" i="2"/>
  <c r="A1194" i="2"/>
  <c r="O1193" i="2"/>
  <c r="M1193" i="2"/>
  <c r="L1193" i="2"/>
  <c r="E1193" i="2"/>
  <c r="D1193" i="2"/>
  <c r="B1193" i="2"/>
  <c r="A1193" i="2"/>
  <c r="O1192" i="2"/>
  <c r="O1191" i="2"/>
  <c r="M1191" i="2"/>
  <c r="L1191" i="2"/>
  <c r="E1191" i="2"/>
  <c r="D1191" i="2"/>
  <c r="B1191" i="2"/>
  <c r="A1191" i="2"/>
  <c r="O1190" i="2"/>
  <c r="M1190" i="2"/>
  <c r="L1190" i="2"/>
  <c r="E1190" i="2"/>
  <c r="D1190" i="2"/>
  <c r="B1190" i="2"/>
  <c r="A1190" i="2"/>
  <c r="O1189" i="2"/>
  <c r="O1188" i="2"/>
  <c r="O1187" i="2"/>
  <c r="O1186" i="2"/>
  <c r="M1186" i="2"/>
  <c r="L1186" i="2"/>
  <c r="E1186" i="2"/>
  <c r="D1186" i="2"/>
  <c r="B1186" i="2"/>
  <c r="A1186" i="2"/>
  <c r="O1185" i="2"/>
  <c r="M1185" i="2"/>
  <c r="L1185" i="2"/>
  <c r="E1185" i="2"/>
  <c r="D1185" i="2"/>
  <c r="B1185" i="2"/>
  <c r="A1185" i="2"/>
  <c r="O1184" i="2"/>
  <c r="M1184" i="2"/>
  <c r="L1184" i="2"/>
  <c r="E1184" i="2"/>
  <c r="D1184" i="2"/>
  <c r="B1184" i="2"/>
  <c r="A1184" i="2"/>
  <c r="O1183" i="2"/>
  <c r="O1182" i="2"/>
  <c r="O1181" i="2"/>
  <c r="O1180" i="2"/>
  <c r="M1180" i="2"/>
  <c r="L1180" i="2"/>
  <c r="E1180" i="2"/>
  <c r="D1180" i="2"/>
  <c r="B1180" i="2"/>
  <c r="A1180" i="2"/>
  <c r="O1179" i="2"/>
  <c r="M1179" i="2"/>
  <c r="L1179" i="2"/>
  <c r="E1179" i="2"/>
  <c r="D1179" i="2"/>
  <c r="B1179" i="2"/>
  <c r="A1179" i="2"/>
  <c r="O1178" i="2"/>
  <c r="O1177" i="2"/>
  <c r="O1176" i="2"/>
  <c r="M1176" i="2"/>
  <c r="L1176" i="2"/>
  <c r="E1176" i="2"/>
  <c r="D1176" i="2"/>
  <c r="B1176" i="2"/>
  <c r="A1176" i="2"/>
  <c r="O1175" i="2"/>
  <c r="M1175" i="2"/>
  <c r="L1175" i="2"/>
  <c r="E1175" i="2"/>
  <c r="D1175" i="2"/>
  <c r="B1175" i="2"/>
  <c r="A1175" i="2"/>
  <c r="O1174" i="2"/>
  <c r="M1174" i="2"/>
  <c r="L1174" i="2"/>
  <c r="E1174" i="2"/>
  <c r="D1174" i="2"/>
  <c r="B1174" i="2"/>
  <c r="A1174" i="2"/>
  <c r="O1173" i="2"/>
  <c r="O1172" i="2"/>
  <c r="M1172" i="2"/>
  <c r="L1172" i="2"/>
  <c r="E1172" i="2"/>
  <c r="D1172" i="2"/>
  <c r="B1172" i="2"/>
  <c r="A1172" i="2"/>
  <c r="O1171" i="2"/>
  <c r="M1171" i="2"/>
  <c r="L1171" i="2"/>
  <c r="E1171" i="2"/>
  <c r="D1171" i="2"/>
  <c r="B1171" i="2"/>
  <c r="A1171" i="2"/>
  <c r="O1170" i="2"/>
  <c r="O1169" i="2"/>
  <c r="O1168" i="2"/>
  <c r="M1168" i="2"/>
  <c r="L1168" i="2"/>
  <c r="E1168" i="2"/>
  <c r="D1168" i="2"/>
  <c r="B1168" i="2"/>
  <c r="A1168" i="2"/>
  <c r="O1167" i="2"/>
  <c r="M1167" i="2"/>
  <c r="L1167" i="2"/>
  <c r="E1167" i="2"/>
  <c r="D1167" i="2"/>
  <c r="B1167" i="2"/>
  <c r="A1167" i="2"/>
  <c r="O1166" i="2"/>
  <c r="O1165" i="2"/>
  <c r="M1165" i="2"/>
  <c r="L1165" i="2"/>
  <c r="E1165" i="2"/>
  <c r="D1165" i="2"/>
  <c r="B1165" i="2"/>
  <c r="A1165" i="2"/>
  <c r="O1164" i="2"/>
  <c r="O1163" i="2"/>
  <c r="M1163" i="2"/>
  <c r="L1163" i="2"/>
  <c r="E1163" i="2"/>
  <c r="D1163" i="2"/>
  <c r="B1163" i="2"/>
  <c r="A1163" i="2"/>
  <c r="O1162" i="2"/>
  <c r="M1162" i="2"/>
  <c r="L1162" i="2"/>
  <c r="E1162" i="2"/>
  <c r="D1162" i="2"/>
  <c r="B1162" i="2"/>
  <c r="A1162" i="2"/>
  <c r="O1161" i="2"/>
  <c r="M1161" i="2"/>
  <c r="L1161" i="2"/>
  <c r="E1161" i="2"/>
  <c r="D1161" i="2"/>
  <c r="B1161" i="2"/>
  <c r="A1161" i="2"/>
  <c r="O1160" i="2"/>
  <c r="O1159" i="2"/>
  <c r="M1159" i="2"/>
  <c r="L1159" i="2"/>
  <c r="E1159" i="2"/>
  <c r="D1159" i="2"/>
  <c r="B1159" i="2"/>
  <c r="A1159" i="2"/>
  <c r="O1158" i="2"/>
  <c r="M1158" i="2"/>
  <c r="L1158" i="2"/>
  <c r="E1158" i="2"/>
  <c r="D1158" i="2"/>
  <c r="B1158" i="2"/>
  <c r="A1158" i="2"/>
  <c r="O1157" i="2"/>
  <c r="O1156" i="2"/>
  <c r="M1156" i="2"/>
  <c r="L1156" i="2"/>
  <c r="E1156" i="2"/>
  <c r="D1156" i="2"/>
  <c r="B1156" i="2"/>
  <c r="A1156" i="2"/>
  <c r="O1155" i="2"/>
  <c r="O1154" i="2"/>
  <c r="M1154" i="2"/>
  <c r="L1154" i="2"/>
  <c r="E1154" i="2"/>
  <c r="D1154" i="2"/>
  <c r="B1154" i="2"/>
  <c r="A1154" i="2"/>
  <c r="O1153" i="2"/>
  <c r="O1152" i="2"/>
  <c r="M1152" i="2"/>
  <c r="L1152" i="2"/>
  <c r="E1152" i="2"/>
  <c r="D1152" i="2"/>
  <c r="B1152" i="2"/>
  <c r="A1152" i="2"/>
  <c r="O1151" i="2"/>
  <c r="O1150" i="2"/>
  <c r="M1150" i="2"/>
  <c r="L1150" i="2"/>
  <c r="E1150" i="2"/>
  <c r="D1150" i="2"/>
  <c r="B1150" i="2"/>
  <c r="A1150" i="2"/>
  <c r="O1149" i="2"/>
  <c r="O1148" i="2"/>
  <c r="M1148" i="2"/>
  <c r="L1148" i="2"/>
  <c r="E1148" i="2"/>
  <c r="D1148" i="2"/>
  <c r="B1148" i="2"/>
  <c r="A1148" i="2"/>
  <c r="O1147" i="2"/>
  <c r="O1146" i="2"/>
  <c r="M1146" i="2"/>
  <c r="L1146" i="2"/>
  <c r="E1146" i="2"/>
  <c r="D1146" i="2"/>
  <c r="B1146" i="2"/>
  <c r="A1146" i="2"/>
  <c r="O1145" i="2"/>
  <c r="M1145" i="2"/>
  <c r="L1145" i="2"/>
  <c r="E1145" i="2"/>
  <c r="D1145" i="2"/>
  <c r="B1145" i="2"/>
  <c r="A1145" i="2"/>
  <c r="O1144" i="2"/>
  <c r="O1143" i="2"/>
  <c r="O1142" i="2"/>
  <c r="M1142" i="2"/>
  <c r="L1142" i="2"/>
  <c r="E1142" i="2"/>
  <c r="D1142" i="2"/>
  <c r="B1142" i="2"/>
  <c r="A1142" i="2"/>
  <c r="O1141" i="2"/>
  <c r="O1140" i="2"/>
  <c r="M1140" i="2"/>
  <c r="L1140" i="2"/>
  <c r="E1140" i="2"/>
  <c r="D1140" i="2"/>
  <c r="B1140" i="2"/>
  <c r="A1140" i="2"/>
  <c r="O1139" i="2"/>
  <c r="M1139" i="2"/>
  <c r="L1139" i="2"/>
  <c r="E1139" i="2"/>
  <c r="D1139" i="2"/>
  <c r="B1139" i="2"/>
  <c r="A1139" i="2"/>
  <c r="O1138" i="2"/>
  <c r="O1137" i="2"/>
  <c r="M1137" i="2"/>
  <c r="L1137" i="2"/>
  <c r="E1137" i="2"/>
  <c r="D1137" i="2"/>
  <c r="B1137" i="2"/>
  <c r="A1137" i="2"/>
  <c r="O1136" i="2"/>
  <c r="O1135" i="2"/>
  <c r="M1135" i="2"/>
  <c r="L1135" i="2"/>
  <c r="E1135" i="2"/>
  <c r="D1135" i="2"/>
  <c r="B1135" i="2"/>
  <c r="A1135" i="2"/>
  <c r="O1134" i="2"/>
  <c r="M1134" i="2"/>
  <c r="L1134" i="2"/>
  <c r="E1134" i="2"/>
  <c r="D1134" i="2"/>
  <c r="B1134" i="2"/>
  <c r="A1134" i="2"/>
  <c r="O1133" i="2"/>
  <c r="M1133" i="2"/>
  <c r="L1133" i="2"/>
  <c r="E1133" i="2"/>
  <c r="D1133" i="2"/>
  <c r="B1133" i="2"/>
  <c r="A1133" i="2"/>
  <c r="O1132" i="2"/>
  <c r="O1131" i="2"/>
  <c r="M1131" i="2"/>
  <c r="L1131" i="2"/>
  <c r="E1131" i="2"/>
  <c r="D1131" i="2"/>
  <c r="B1131" i="2"/>
  <c r="A1131" i="2"/>
  <c r="O1130" i="2"/>
  <c r="M1130" i="2"/>
  <c r="L1130" i="2"/>
  <c r="E1130" i="2"/>
  <c r="D1130" i="2"/>
  <c r="B1130" i="2"/>
  <c r="A1130" i="2"/>
  <c r="O1129" i="2"/>
  <c r="M1129" i="2"/>
  <c r="L1129" i="2"/>
  <c r="E1129" i="2"/>
  <c r="D1129" i="2"/>
  <c r="B1129" i="2"/>
  <c r="A1129" i="2"/>
  <c r="O1128" i="2"/>
  <c r="O1127" i="2"/>
  <c r="M1127" i="2"/>
  <c r="L1127" i="2"/>
  <c r="E1127" i="2"/>
  <c r="D1127" i="2"/>
  <c r="B1127" i="2"/>
  <c r="A1127" i="2"/>
  <c r="O1126" i="2"/>
  <c r="M1126" i="2"/>
  <c r="L1126" i="2"/>
  <c r="E1126" i="2"/>
  <c r="D1126" i="2"/>
  <c r="B1126" i="2"/>
  <c r="A1126" i="2"/>
  <c r="O1125" i="2"/>
  <c r="M1125" i="2"/>
  <c r="L1125" i="2"/>
  <c r="E1125" i="2"/>
  <c r="D1125" i="2"/>
  <c r="B1125" i="2"/>
  <c r="A1125" i="2"/>
  <c r="O1124" i="2"/>
  <c r="O1123" i="2"/>
  <c r="O1122" i="2"/>
  <c r="M1122" i="2"/>
  <c r="L1122" i="2"/>
  <c r="E1122" i="2"/>
  <c r="D1122" i="2"/>
  <c r="B1122" i="2"/>
  <c r="A1122" i="2"/>
  <c r="O1121" i="2"/>
  <c r="M1121" i="2"/>
  <c r="L1121" i="2"/>
  <c r="E1121" i="2"/>
  <c r="D1121" i="2"/>
  <c r="B1121" i="2"/>
  <c r="A1121" i="2"/>
  <c r="O1120" i="2"/>
  <c r="O1119" i="2"/>
  <c r="M1119" i="2"/>
  <c r="L1119" i="2"/>
  <c r="E1119" i="2"/>
  <c r="D1119" i="2"/>
  <c r="B1119" i="2"/>
  <c r="A1119" i="2"/>
  <c r="O1118" i="2"/>
  <c r="M1118" i="2"/>
  <c r="L1118" i="2"/>
  <c r="E1118" i="2"/>
  <c r="D1118" i="2"/>
  <c r="B1118" i="2"/>
  <c r="A1118" i="2"/>
  <c r="O1117" i="2"/>
  <c r="O1116" i="2"/>
  <c r="O1115" i="2"/>
  <c r="O1114" i="2"/>
  <c r="O1113" i="2"/>
  <c r="O1112" i="2"/>
  <c r="O1111" i="2"/>
  <c r="M1111" i="2"/>
  <c r="L1111" i="2"/>
  <c r="E1111" i="2"/>
  <c r="D1111" i="2"/>
  <c r="B1111" i="2"/>
  <c r="A1111" i="2"/>
  <c r="O1110" i="2"/>
  <c r="O1109" i="2"/>
  <c r="O1108" i="2"/>
  <c r="M1108" i="2"/>
  <c r="L1108" i="2"/>
  <c r="E1108" i="2"/>
  <c r="D1108" i="2"/>
  <c r="B1108" i="2"/>
  <c r="A1108" i="2"/>
  <c r="O1107" i="2"/>
  <c r="M1107" i="2"/>
  <c r="L1107" i="2"/>
  <c r="E1107" i="2"/>
  <c r="D1107" i="2"/>
  <c r="B1107" i="2"/>
  <c r="A1107" i="2"/>
  <c r="O1106" i="2"/>
  <c r="M1106" i="2"/>
  <c r="L1106" i="2"/>
  <c r="E1106" i="2"/>
  <c r="D1106" i="2"/>
  <c r="B1106" i="2"/>
  <c r="A1106" i="2"/>
  <c r="O1105" i="2"/>
  <c r="O1104" i="2"/>
  <c r="M1104" i="2"/>
  <c r="L1104" i="2"/>
  <c r="E1104" i="2"/>
  <c r="D1104" i="2"/>
  <c r="B1104" i="2"/>
  <c r="A1104" i="2"/>
  <c r="O1103" i="2"/>
  <c r="O1102" i="2"/>
  <c r="O1101" i="2"/>
  <c r="O1100" i="2"/>
  <c r="M1100" i="2"/>
  <c r="L1100" i="2"/>
  <c r="E1100" i="2"/>
  <c r="D1100" i="2"/>
  <c r="B1100" i="2"/>
  <c r="A1100" i="2"/>
  <c r="O1099" i="2"/>
  <c r="O1098" i="2"/>
  <c r="M1098" i="2"/>
  <c r="L1098" i="2"/>
  <c r="E1098" i="2"/>
  <c r="D1098" i="2"/>
  <c r="B1098" i="2"/>
  <c r="A1098" i="2"/>
  <c r="O1097" i="2"/>
  <c r="O1096" i="2"/>
  <c r="O1095" i="2"/>
  <c r="M1095" i="2"/>
  <c r="L1095" i="2"/>
  <c r="E1095" i="2"/>
  <c r="D1095" i="2"/>
  <c r="B1095" i="2"/>
  <c r="A1095" i="2"/>
  <c r="O1094" i="2"/>
  <c r="M1094" i="2"/>
  <c r="L1094" i="2"/>
  <c r="E1094" i="2"/>
  <c r="D1094" i="2"/>
  <c r="B1094" i="2"/>
  <c r="A1094" i="2"/>
  <c r="O1093" i="2"/>
  <c r="M1093" i="2"/>
  <c r="L1093" i="2"/>
  <c r="E1093" i="2"/>
  <c r="D1093" i="2"/>
  <c r="B1093" i="2"/>
  <c r="A1093" i="2"/>
  <c r="O1092" i="2"/>
  <c r="M1092" i="2"/>
  <c r="L1092" i="2"/>
  <c r="E1092" i="2"/>
  <c r="D1092" i="2"/>
  <c r="B1092" i="2"/>
  <c r="A1092" i="2"/>
  <c r="O1091" i="2"/>
  <c r="M1091" i="2"/>
  <c r="L1091" i="2"/>
  <c r="E1091" i="2"/>
  <c r="D1091" i="2"/>
  <c r="B1091" i="2"/>
  <c r="A1091" i="2"/>
  <c r="O1090" i="2"/>
  <c r="O1089" i="2"/>
  <c r="O1088" i="2"/>
  <c r="O1087" i="2"/>
  <c r="M1087" i="2"/>
  <c r="L1087" i="2"/>
  <c r="E1087" i="2"/>
  <c r="D1087" i="2"/>
  <c r="B1087" i="2"/>
  <c r="A1087" i="2"/>
  <c r="O1086" i="2"/>
  <c r="M1086" i="2"/>
  <c r="L1086" i="2"/>
  <c r="E1086" i="2"/>
  <c r="D1086" i="2"/>
  <c r="B1086" i="2"/>
  <c r="A1086" i="2"/>
  <c r="O1085" i="2"/>
  <c r="O1084" i="2"/>
  <c r="O1083" i="2"/>
  <c r="O1082" i="2"/>
  <c r="M1082" i="2"/>
  <c r="L1082" i="2"/>
  <c r="E1082" i="2"/>
  <c r="D1082" i="2"/>
  <c r="B1082" i="2"/>
  <c r="A1082" i="2"/>
  <c r="O1081" i="2"/>
  <c r="O1080" i="2"/>
  <c r="M1080" i="2"/>
  <c r="L1080" i="2"/>
  <c r="E1080" i="2"/>
  <c r="D1080" i="2"/>
  <c r="B1080" i="2"/>
  <c r="A1080" i="2"/>
  <c r="O1079" i="2"/>
  <c r="O1078" i="2"/>
  <c r="O1077" i="2"/>
  <c r="O1076" i="2"/>
  <c r="M1076" i="2"/>
  <c r="L1076" i="2"/>
  <c r="E1076" i="2"/>
  <c r="D1076" i="2"/>
  <c r="B1076" i="2"/>
  <c r="A1076" i="2"/>
  <c r="O1075" i="2"/>
  <c r="O1074" i="2"/>
  <c r="M1074" i="2"/>
  <c r="L1074" i="2"/>
  <c r="E1074" i="2"/>
  <c r="D1074" i="2"/>
  <c r="B1074" i="2"/>
  <c r="A1074" i="2"/>
  <c r="O1073" i="2"/>
  <c r="M1073" i="2"/>
  <c r="L1073" i="2"/>
  <c r="E1073" i="2"/>
  <c r="D1073" i="2"/>
  <c r="B1073" i="2"/>
  <c r="A1073" i="2"/>
  <c r="O1072" i="2"/>
  <c r="M1072" i="2"/>
  <c r="L1072" i="2"/>
  <c r="E1072" i="2"/>
  <c r="D1072" i="2"/>
  <c r="B1072" i="2"/>
  <c r="A1072" i="2"/>
  <c r="O1071" i="2"/>
  <c r="M1071" i="2"/>
  <c r="L1071" i="2"/>
  <c r="E1071" i="2"/>
  <c r="D1071" i="2"/>
  <c r="B1071" i="2"/>
  <c r="A1071" i="2"/>
  <c r="O1070" i="2"/>
  <c r="M1070" i="2"/>
  <c r="L1070" i="2"/>
  <c r="E1070" i="2"/>
  <c r="D1070" i="2"/>
  <c r="B1070" i="2"/>
  <c r="A1070" i="2"/>
  <c r="O1069" i="2"/>
  <c r="M1069" i="2"/>
  <c r="L1069" i="2"/>
  <c r="E1069" i="2"/>
  <c r="D1069" i="2"/>
  <c r="B1069" i="2"/>
  <c r="A1069" i="2"/>
  <c r="O1068" i="2"/>
  <c r="O1067" i="2"/>
  <c r="M1067" i="2"/>
  <c r="L1067" i="2"/>
  <c r="E1067" i="2"/>
  <c r="D1067" i="2"/>
  <c r="B1067" i="2"/>
  <c r="A1067" i="2"/>
  <c r="O1066" i="2"/>
  <c r="O1065" i="2"/>
  <c r="O1064" i="2"/>
  <c r="M1064" i="2"/>
  <c r="L1064" i="2"/>
  <c r="E1064" i="2"/>
  <c r="D1064" i="2"/>
  <c r="B1064" i="2"/>
  <c r="A1064" i="2"/>
  <c r="O1063" i="2"/>
  <c r="O1062" i="2"/>
  <c r="O1061" i="2"/>
  <c r="M1061" i="2"/>
  <c r="L1061" i="2"/>
  <c r="E1061" i="2"/>
  <c r="D1061" i="2"/>
  <c r="B1061" i="2"/>
  <c r="A1061" i="2"/>
  <c r="O1060" i="2"/>
  <c r="O1059" i="2"/>
  <c r="M1059" i="2"/>
  <c r="L1059" i="2"/>
  <c r="E1059" i="2"/>
  <c r="D1059" i="2"/>
  <c r="B1059" i="2"/>
  <c r="A1059" i="2"/>
  <c r="O1058" i="2"/>
  <c r="M1058" i="2"/>
  <c r="L1058" i="2"/>
  <c r="E1058" i="2"/>
  <c r="D1058" i="2"/>
  <c r="B1058" i="2"/>
  <c r="A1058" i="2"/>
  <c r="O1057" i="2"/>
  <c r="M1057" i="2"/>
  <c r="L1057" i="2"/>
  <c r="E1057" i="2"/>
  <c r="D1057" i="2"/>
  <c r="B1057" i="2"/>
  <c r="A1057" i="2"/>
  <c r="O1056" i="2"/>
  <c r="M1056" i="2"/>
  <c r="L1056" i="2"/>
  <c r="E1056" i="2"/>
  <c r="D1056" i="2"/>
  <c r="B1056" i="2"/>
  <c r="A1056" i="2"/>
  <c r="O1055" i="2"/>
  <c r="M1055" i="2"/>
  <c r="L1055" i="2"/>
  <c r="E1055" i="2"/>
  <c r="D1055" i="2"/>
  <c r="B1055" i="2"/>
  <c r="A1055" i="2"/>
  <c r="O1054" i="2"/>
  <c r="M1054" i="2"/>
  <c r="L1054" i="2"/>
  <c r="E1054" i="2"/>
  <c r="D1054" i="2"/>
  <c r="B1054" i="2"/>
  <c r="A1054" i="2"/>
  <c r="O1053" i="2"/>
  <c r="O1052" i="2"/>
  <c r="M1052" i="2"/>
  <c r="L1052" i="2"/>
  <c r="E1052" i="2"/>
  <c r="D1052" i="2"/>
  <c r="B1052" i="2"/>
  <c r="A1052" i="2"/>
  <c r="O1051" i="2"/>
  <c r="O1050" i="2"/>
  <c r="O1049" i="2"/>
  <c r="M1049" i="2"/>
  <c r="L1049" i="2"/>
  <c r="E1049" i="2"/>
  <c r="D1049" i="2"/>
  <c r="B1049" i="2"/>
  <c r="A1049" i="2"/>
  <c r="O1048" i="2"/>
  <c r="O1047" i="2"/>
  <c r="M1047" i="2"/>
  <c r="L1047" i="2"/>
  <c r="E1047" i="2"/>
  <c r="D1047" i="2"/>
  <c r="B1047" i="2"/>
  <c r="A1047" i="2"/>
  <c r="O1046" i="2"/>
  <c r="O1045" i="2"/>
  <c r="M1045" i="2"/>
  <c r="L1045" i="2"/>
  <c r="E1045" i="2"/>
  <c r="D1045" i="2"/>
  <c r="B1045" i="2"/>
  <c r="A1045" i="2"/>
  <c r="O1044" i="2"/>
  <c r="O1043" i="2"/>
  <c r="O1042" i="2"/>
  <c r="M1042" i="2"/>
  <c r="L1042" i="2"/>
  <c r="E1042" i="2"/>
  <c r="D1042" i="2"/>
  <c r="B1042" i="2"/>
  <c r="A1042" i="2"/>
  <c r="O1041" i="2"/>
  <c r="O1040" i="2"/>
  <c r="O1039" i="2"/>
  <c r="O1038" i="2"/>
  <c r="M1038" i="2"/>
  <c r="L1038" i="2"/>
  <c r="E1038" i="2"/>
  <c r="D1038" i="2"/>
  <c r="B1038" i="2"/>
  <c r="A1038" i="2"/>
  <c r="O1037" i="2"/>
  <c r="O1036" i="2"/>
  <c r="M1036" i="2"/>
  <c r="L1036" i="2"/>
  <c r="E1036" i="2"/>
  <c r="D1036" i="2"/>
  <c r="B1036" i="2"/>
  <c r="A1036" i="2"/>
  <c r="O1035" i="2"/>
  <c r="O1034" i="2"/>
  <c r="M1034" i="2"/>
  <c r="L1034" i="2"/>
  <c r="E1034" i="2"/>
  <c r="D1034" i="2"/>
  <c r="B1034" i="2"/>
  <c r="A1034" i="2"/>
  <c r="O1033" i="2"/>
  <c r="M1033" i="2"/>
  <c r="L1033" i="2"/>
  <c r="E1033" i="2"/>
  <c r="D1033" i="2"/>
  <c r="B1033" i="2"/>
  <c r="A1033" i="2"/>
  <c r="O1032" i="2"/>
  <c r="M1032" i="2"/>
  <c r="L1032" i="2"/>
  <c r="E1032" i="2"/>
  <c r="D1032" i="2"/>
  <c r="B1032" i="2"/>
  <c r="A1032" i="2"/>
  <c r="O1031" i="2"/>
  <c r="O1030" i="2"/>
  <c r="M1030" i="2"/>
  <c r="L1030" i="2"/>
  <c r="E1030" i="2"/>
  <c r="D1030" i="2"/>
  <c r="B1030" i="2"/>
  <c r="A1030" i="2"/>
  <c r="O1029" i="2"/>
  <c r="O1028" i="2"/>
  <c r="M1028" i="2"/>
  <c r="L1028" i="2"/>
  <c r="E1028" i="2"/>
  <c r="D1028" i="2"/>
  <c r="B1028" i="2"/>
  <c r="A1028" i="2"/>
  <c r="O1027" i="2"/>
  <c r="M1027" i="2"/>
  <c r="L1027" i="2"/>
  <c r="E1027" i="2"/>
  <c r="D1027" i="2"/>
  <c r="B1027" i="2"/>
  <c r="A1027" i="2"/>
  <c r="O1026" i="2"/>
  <c r="M1026" i="2"/>
  <c r="L1026" i="2"/>
  <c r="E1026" i="2"/>
  <c r="D1026" i="2"/>
  <c r="B1026" i="2"/>
  <c r="A1026" i="2"/>
  <c r="O1025" i="2"/>
  <c r="O1024" i="2"/>
  <c r="M1024" i="2"/>
  <c r="L1024" i="2"/>
  <c r="E1024" i="2"/>
  <c r="D1024" i="2"/>
  <c r="B1024" i="2"/>
  <c r="A1024" i="2"/>
  <c r="O1023" i="2"/>
  <c r="O1022" i="2"/>
  <c r="O1021" i="2"/>
  <c r="O1020" i="2"/>
  <c r="M1020" i="2"/>
  <c r="L1020" i="2"/>
  <c r="E1020" i="2"/>
  <c r="D1020" i="2"/>
  <c r="B1020" i="2"/>
  <c r="A1020" i="2"/>
  <c r="O1019" i="2"/>
  <c r="M1019" i="2"/>
  <c r="L1019" i="2"/>
  <c r="E1019" i="2"/>
  <c r="D1019" i="2"/>
  <c r="B1019" i="2"/>
  <c r="A1019" i="2"/>
  <c r="O1018" i="2"/>
  <c r="O1017" i="2"/>
  <c r="O1016" i="2"/>
  <c r="M1016" i="2"/>
  <c r="L1016" i="2"/>
  <c r="E1016" i="2"/>
  <c r="D1016" i="2"/>
  <c r="B1016" i="2"/>
  <c r="A1016" i="2"/>
  <c r="O1015" i="2"/>
  <c r="M1015" i="2"/>
  <c r="L1015" i="2"/>
  <c r="E1015" i="2"/>
  <c r="D1015" i="2"/>
  <c r="B1015" i="2"/>
  <c r="A1015" i="2"/>
  <c r="O1014" i="2"/>
  <c r="M1014" i="2"/>
  <c r="L1014" i="2"/>
  <c r="E1014" i="2"/>
  <c r="D1014" i="2"/>
  <c r="B1014" i="2"/>
  <c r="A1014" i="2"/>
  <c r="O1013" i="2"/>
  <c r="M1013" i="2"/>
  <c r="L1013" i="2"/>
  <c r="E1013" i="2"/>
  <c r="D1013" i="2"/>
  <c r="B1013" i="2"/>
  <c r="A1013" i="2"/>
  <c r="O1012" i="2"/>
  <c r="M1012" i="2"/>
  <c r="L1012" i="2"/>
  <c r="E1012" i="2"/>
  <c r="D1012" i="2"/>
  <c r="B1012" i="2"/>
  <c r="A1012" i="2"/>
  <c r="O1011" i="2"/>
  <c r="M1011" i="2"/>
  <c r="L1011" i="2"/>
  <c r="E1011" i="2"/>
  <c r="D1011" i="2"/>
  <c r="B1011" i="2"/>
  <c r="A1011" i="2"/>
  <c r="O1010" i="2"/>
  <c r="O1009" i="2"/>
  <c r="O1008" i="2"/>
  <c r="O1007" i="2"/>
  <c r="M1007" i="2"/>
  <c r="L1007" i="2"/>
  <c r="E1007" i="2"/>
  <c r="D1007" i="2"/>
  <c r="B1007" i="2"/>
  <c r="A1007" i="2"/>
  <c r="O1006" i="2"/>
  <c r="O1005" i="2"/>
  <c r="M1005" i="2"/>
  <c r="L1005" i="2"/>
  <c r="E1005" i="2"/>
  <c r="D1005" i="2"/>
  <c r="B1005" i="2"/>
  <c r="A1005" i="2"/>
  <c r="O1004" i="2"/>
  <c r="O1003" i="2"/>
  <c r="M1003" i="2"/>
  <c r="L1003" i="2"/>
  <c r="E1003" i="2"/>
  <c r="D1003" i="2"/>
  <c r="B1003" i="2"/>
  <c r="A1003" i="2"/>
  <c r="O1002" i="2"/>
  <c r="O1001" i="2"/>
  <c r="M1001" i="2"/>
  <c r="L1001" i="2"/>
  <c r="E1001" i="2"/>
  <c r="D1001" i="2"/>
  <c r="B1001" i="2"/>
  <c r="A1001" i="2"/>
  <c r="O1000" i="2"/>
  <c r="O999" i="2"/>
  <c r="M999" i="2"/>
  <c r="L999" i="2"/>
  <c r="E999" i="2"/>
  <c r="D999" i="2"/>
  <c r="B999" i="2"/>
  <c r="A999" i="2"/>
  <c r="O998" i="2"/>
  <c r="M998" i="2"/>
  <c r="L998" i="2"/>
  <c r="E998" i="2"/>
  <c r="D998" i="2"/>
  <c r="B998" i="2"/>
  <c r="A998" i="2"/>
  <c r="O997" i="2"/>
  <c r="M997" i="2"/>
  <c r="L997" i="2"/>
  <c r="E997" i="2"/>
  <c r="D997" i="2"/>
  <c r="B997" i="2"/>
  <c r="A997" i="2"/>
  <c r="O996" i="2"/>
  <c r="O995" i="2"/>
  <c r="M995" i="2"/>
  <c r="L995" i="2"/>
  <c r="E995" i="2"/>
  <c r="D995" i="2"/>
  <c r="B995" i="2"/>
  <c r="A995" i="2"/>
  <c r="O994" i="2"/>
  <c r="O993" i="2"/>
  <c r="O992" i="2"/>
  <c r="O991" i="2"/>
  <c r="O990" i="2"/>
  <c r="O989" i="2"/>
  <c r="O988" i="2"/>
  <c r="O987" i="2"/>
  <c r="O986" i="2"/>
  <c r="O985" i="2"/>
  <c r="O984" i="2"/>
  <c r="M984" i="2"/>
  <c r="L984" i="2"/>
  <c r="E984" i="2"/>
  <c r="D984" i="2"/>
  <c r="B984" i="2"/>
  <c r="A984" i="2"/>
  <c r="O983" i="2"/>
  <c r="M983" i="2"/>
  <c r="L983" i="2"/>
  <c r="E983" i="2"/>
  <c r="D983" i="2"/>
  <c r="B983" i="2"/>
  <c r="A983" i="2"/>
  <c r="O982" i="2"/>
  <c r="M982" i="2"/>
  <c r="L982" i="2"/>
  <c r="E982" i="2"/>
  <c r="D982" i="2"/>
  <c r="B982" i="2"/>
  <c r="A982" i="2"/>
  <c r="O981" i="2"/>
  <c r="M981" i="2"/>
  <c r="L981" i="2"/>
  <c r="E981" i="2"/>
  <c r="D981" i="2"/>
  <c r="B981" i="2"/>
  <c r="A981" i="2"/>
  <c r="O980" i="2"/>
  <c r="M980" i="2"/>
  <c r="L980" i="2"/>
  <c r="E980" i="2"/>
  <c r="D980" i="2"/>
  <c r="B980" i="2"/>
  <c r="A980" i="2"/>
  <c r="O979" i="2"/>
  <c r="M979" i="2"/>
  <c r="L979" i="2"/>
  <c r="E979" i="2"/>
  <c r="D979" i="2"/>
  <c r="B979" i="2"/>
  <c r="A979" i="2"/>
  <c r="O978" i="2"/>
  <c r="O977" i="2"/>
  <c r="M977" i="2"/>
  <c r="L977" i="2"/>
  <c r="E977" i="2"/>
  <c r="D977" i="2"/>
  <c r="B977" i="2"/>
  <c r="A977" i="2"/>
  <c r="O976" i="2"/>
  <c r="O975" i="2"/>
  <c r="M975" i="2"/>
  <c r="L975" i="2"/>
  <c r="E975" i="2"/>
  <c r="D975" i="2"/>
  <c r="B975" i="2"/>
  <c r="A975" i="2"/>
  <c r="O974" i="2"/>
  <c r="O973" i="2"/>
  <c r="M973" i="2"/>
  <c r="L973" i="2"/>
  <c r="E973" i="2"/>
  <c r="D973" i="2"/>
  <c r="B973" i="2"/>
  <c r="A973" i="2"/>
  <c r="O972" i="2"/>
  <c r="O971" i="2"/>
  <c r="M971" i="2"/>
  <c r="L971" i="2"/>
  <c r="E971" i="2"/>
  <c r="D971" i="2"/>
  <c r="B971" i="2"/>
  <c r="A971" i="2"/>
  <c r="O970" i="2"/>
  <c r="M970" i="2"/>
  <c r="L970" i="2"/>
  <c r="E970" i="2"/>
  <c r="D970" i="2"/>
  <c r="B970" i="2"/>
  <c r="A970" i="2"/>
  <c r="O969" i="2"/>
  <c r="M969" i="2"/>
  <c r="L969" i="2"/>
  <c r="E969" i="2"/>
  <c r="D969" i="2"/>
  <c r="B969" i="2"/>
  <c r="A969" i="2"/>
  <c r="O968" i="2"/>
  <c r="O967" i="2"/>
  <c r="O966" i="2"/>
  <c r="O965" i="2"/>
  <c r="M965" i="2"/>
  <c r="L965" i="2"/>
  <c r="E965" i="2"/>
  <c r="D965" i="2"/>
  <c r="B965" i="2"/>
  <c r="A965" i="2"/>
  <c r="O964" i="2"/>
  <c r="O963" i="2"/>
  <c r="O962" i="2"/>
  <c r="M962" i="2"/>
  <c r="L962" i="2"/>
  <c r="E962" i="2"/>
  <c r="D962" i="2"/>
  <c r="B962" i="2"/>
  <c r="A962" i="2"/>
  <c r="O961" i="2"/>
  <c r="O960" i="2"/>
  <c r="M960" i="2"/>
  <c r="L960" i="2"/>
  <c r="E960" i="2"/>
  <c r="D960" i="2"/>
  <c r="B960" i="2"/>
  <c r="A960" i="2"/>
  <c r="O959" i="2"/>
  <c r="M959" i="2"/>
  <c r="L959" i="2"/>
  <c r="E959" i="2"/>
  <c r="D959" i="2"/>
  <c r="B959" i="2"/>
  <c r="A959" i="2"/>
  <c r="O958" i="2"/>
  <c r="O957" i="2"/>
  <c r="M957" i="2"/>
  <c r="L957" i="2"/>
  <c r="E957" i="2"/>
  <c r="D957" i="2"/>
  <c r="B957" i="2"/>
  <c r="A957" i="2"/>
  <c r="O956" i="2"/>
  <c r="O955" i="2"/>
  <c r="M955" i="2"/>
  <c r="L955" i="2"/>
  <c r="E955" i="2"/>
  <c r="D955" i="2"/>
  <c r="B955" i="2"/>
  <c r="A955" i="2"/>
  <c r="O954" i="2"/>
  <c r="O953" i="2"/>
  <c r="M953" i="2"/>
  <c r="L953" i="2"/>
  <c r="E953" i="2"/>
  <c r="D953" i="2"/>
  <c r="B953" i="2"/>
  <c r="A953" i="2"/>
  <c r="O952" i="2"/>
  <c r="M952" i="2"/>
  <c r="L952" i="2"/>
  <c r="E952" i="2"/>
  <c r="D952" i="2"/>
  <c r="B952" i="2"/>
  <c r="A952" i="2"/>
  <c r="O951" i="2"/>
  <c r="M951" i="2"/>
  <c r="L951" i="2"/>
  <c r="E951" i="2"/>
  <c r="D951" i="2"/>
  <c r="B951" i="2"/>
  <c r="A951" i="2"/>
  <c r="O950" i="2"/>
  <c r="M950" i="2"/>
  <c r="L950" i="2"/>
  <c r="E950" i="2"/>
  <c r="D950" i="2"/>
  <c r="B950" i="2"/>
  <c r="A950" i="2"/>
  <c r="O949" i="2"/>
  <c r="M949" i="2"/>
  <c r="L949" i="2"/>
  <c r="E949" i="2"/>
  <c r="D949" i="2"/>
  <c r="B949" i="2"/>
  <c r="A949" i="2"/>
  <c r="O948" i="2"/>
  <c r="M948" i="2"/>
  <c r="L948" i="2"/>
  <c r="E948" i="2"/>
  <c r="D948" i="2"/>
  <c r="B948" i="2"/>
  <c r="A948" i="2"/>
  <c r="O947" i="2"/>
  <c r="M947" i="2"/>
  <c r="L947" i="2"/>
  <c r="E947" i="2"/>
  <c r="D947" i="2"/>
  <c r="B947" i="2"/>
  <c r="A947" i="2"/>
  <c r="O946" i="2"/>
  <c r="M946" i="2"/>
  <c r="L946" i="2"/>
  <c r="E946" i="2"/>
  <c r="D946" i="2"/>
  <c r="B946" i="2"/>
  <c r="A946" i="2"/>
  <c r="O945" i="2"/>
  <c r="M945" i="2"/>
  <c r="L945" i="2"/>
  <c r="E945" i="2"/>
  <c r="D945" i="2"/>
  <c r="B945" i="2"/>
  <c r="A945" i="2"/>
  <c r="O944" i="2"/>
  <c r="M944" i="2"/>
  <c r="L944" i="2"/>
  <c r="E944" i="2"/>
  <c r="D944" i="2"/>
  <c r="B944" i="2"/>
  <c r="A944" i="2"/>
  <c r="O943" i="2"/>
  <c r="M943" i="2"/>
  <c r="L943" i="2"/>
  <c r="E943" i="2"/>
  <c r="D943" i="2"/>
  <c r="B943" i="2"/>
  <c r="A943" i="2"/>
  <c r="O942" i="2"/>
  <c r="M942" i="2"/>
  <c r="L942" i="2"/>
  <c r="E942" i="2"/>
  <c r="D942" i="2"/>
  <c r="B942" i="2"/>
  <c r="A942" i="2"/>
  <c r="O941" i="2"/>
  <c r="M941" i="2"/>
  <c r="L941" i="2"/>
  <c r="E941" i="2"/>
  <c r="D941" i="2"/>
  <c r="B941" i="2"/>
  <c r="A941" i="2"/>
  <c r="O940" i="2"/>
  <c r="M940" i="2"/>
  <c r="L940" i="2"/>
  <c r="E940" i="2"/>
  <c r="D940" i="2"/>
  <c r="B940" i="2"/>
  <c r="A940" i="2"/>
  <c r="O939" i="2"/>
  <c r="M939" i="2"/>
  <c r="L939" i="2"/>
  <c r="E939" i="2"/>
  <c r="D939" i="2"/>
  <c r="B939" i="2"/>
  <c r="A939" i="2"/>
  <c r="O938" i="2"/>
  <c r="M938" i="2"/>
  <c r="L938" i="2"/>
  <c r="E938" i="2"/>
  <c r="D938" i="2"/>
  <c r="B938" i="2"/>
  <c r="A938" i="2"/>
  <c r="O937" i="2"/>
  <c r="M937" i="2"/>
  <c r="L937" i="2"/>
  <c r="E937" i="2"/>
  <c r="D937" i="2"/>
  <c r="B937" i="2"/>
  <c r="A937" i="2"/>
  <c r="O936" i="2"/>
  <c r="M936" i="2"/>
  <c r="L936" i="2"/>
  <c r="E936" i="2"/>
  <c r="D936" i="2"/>
  <c r="B936" i="2"/>
  <c r="A936" i="2"/>
  <c r="O935" i="2"/>
  <c r="M935" i="2"/>
  <c r="L935" i="2"/>
  <c r="E935" i="2"/>
  <c r="D935" i="2"/>
  <c r="B935" i="2"/>
  <c r="A935" i="2"/>
  <c r="O934" i="2"/>
  <c r="O933" i="2"/>
  <c r="O932" i="2"/>
  <c r="O931" i="2"/>
  <c r="O930" i="2"/>
  <c r="M930" i="2"/>
  <c r="L930" i="2"/>
  <c r="E930" i="2"/>
  <c r="D930" i="2"/>
  <c r="B930" i="2"/>
  <c r="A930" i="2"/>
  <c r="O929" i="2"/>
  <c r="O928" i="2"/>
  <c r="O927" i="2"/>
  <c r="O926" i="2"/>
  <c r="O925" i="2"/>
  <c r="M925" i="2"/>
  <c r="L925" i="2"/>
  <c r="E925" i="2"/>
  <c r="D925" i="2"/>
  <c r="B925" i="2"/>
  <c r="A925" i="2"/>
  <c r="O924" i="2"/>
  <c r="O923" i="2"/>
  <c r="O922" i="2"/>
  <c r="O921" i="2"/>
  <c r="O920" i="2"/>
  <c r="M920" i="2"/>
  <c r="L920" i="2"/>
  <c r="E920" i="2"/>
  <c r="D920" i="2"/>
  <c r="B920" i="2"/>
  <c r="A920" i="2"/>
  <c r="O919" i="2"/>
  <c r="O918" i="2"/>
  <c r="O917" i="2"/>
  <c r="O916" i="2"/>
  <c r="M916" i="2"/>
  <c r="L916" i="2"/>
  <c r="E916" i="2"/>
  <c r="D916" i="2"/>
  <c r="B916" i="2"/>
  <c r="A916" i="2"/>
  <c r="O915" i="2"/>
  <c r="M915" i="2"/>
  <c r="L915" i="2"/>
  <c r="E915" i="2"/>
  <c r="D915" i="2"/>
  <c r="B915" i="2"/>
  <c r="A915" i="2"/>
  <c r="O914" i="2"/>
  <c r="M914" i="2"/>
  <c r="L914" i="2"/>
  <c r="E914" i="2"/>
  <c r="D914" i="2"/>
  <c r="B914" i="2"/>
  <c r="A914" i="2"/>
  <c r="O913" i="2"/>
  <c r="O912" i="2"/>
  <c r="M912" i="2"/>
  <c r="L912" i="2"/>
  <c r="E912" i="2"/>
  <c r="D912" i="2"/>
  <c r="B912" i="2"/>
  <c r="A912" i="2"/>
  <c r="O911" i="2"/>
  <c r="O910" i="2"/>
  <c r="O909" i="2"/>
  <c r="M909" i="2"/>
  <c r="L909" i="2"/>
  <c r="E909" i="2"/>
  <c r="D909" i="2"/>
  <c r="B909" i="2"/>
  <c r="A909" i="2"/>
  <c r="O908" i="2"/>
  <c r="O907" i="2"/>
  <c r="O906" i="2"/>
  <c r="M906" i="2"/>
  <c r="L906" i="2"/>
  <c r="E906" i="2"/>
  <c r="D906" i="2"/>
  <c r="B906" i="2"/>
  <c r="A906" i="2"/>
  <c r="O905" i="2"/>
  <c r="M905" i="2"/>
  <c r="L905" i="2"/>
  <c r="E905" i="2"/>
  <c r="D905" i="2"/>
  <c r="B905" i="2"/>
  <c r="A905" i="2"/>
  <c r="O904" i="2"/>
  <c r="O903" i="2"/>
  <c r="M903" i="2"/>
  <c r="L903" i="2"/>
  <c r="E903" i="2"/>
  <c r="D903" i="2"/>
  <c r="B903" i="2"/>
  <c r="A903" i="2"/>
  <c r="O902" i="2"/>
  <c r="M902" i="2"/>
  <c r="L902" i="2"/>
  <c r="E902" i="2"/>
  <c r="D902" i="2"/>
  <c r="B902" i="2"/>
  <c r="A902" i="2"/>
  <c r="O901" i="2"/>
  <c r="O900" i="2"/>
  <c r="O899" i="2"/>
  <c r="M899" i="2"/>
  <c r="L899" i="2"/>
  <c r="E899" i="2"/>
  <c r="D899" i="2"/>
  <c r="B899" i="2"/>
  <c r="A899" i="2"/>
  <c r="O898" i="2"/>
  <c r="M898" i="2"/>
  <c r="L898" i="2"/>
  <c r="E898" i="2"/>
  <c r="D898" i="2"/>
  <c r="B898" i="2"/>
  <c r="A898" i="2"/>
  <c r="O897" i="2"/>
  <c r="M897" i="2"/>
  <c r="L897" i="2"/>
  <c r="E897" i="2"/>
  <c r="D897" i="2"/>
  <c r="B897" i="2"/>
  <c r="A897" i="2"/>
  <c r="O896" i="2"/>
  <c r="M896" i="2"/>
  <c r="L896" i="2"/>
  <c r="E896" i="2"/>
  <c r="D896" i="2"/>
  <c r="B896" i="2"/>
  <c r="A896" i="2"/>
  <c r="O895" i="2"/>
  <c r="O894" i="2"/>
  <c r="M894" i="2"/>
  <c r="L894" i="2"/>
  <c r="E894" i="2"/>
  <c r="D894" i="2"/>
  <c r="B894" i="2"/>
  <c r="A894" i="2"/>
  <c r="O893" i="2"/>
  <c r="M893" i="2"/>
  <c r="L893" i="2"/>
  <c r="E893" i="2"/>
  <c r="D893" i="2"/>
  <c r="B893" i="2"/>
  <c r="A893" i="2"/>
  <c r="O892" i="2"/>
  <c r="M892" i="2"/>
  <c r="L892" i="2"/>
  <c r="E892" i="2"/>
  <c r="D892" i="2"/>
  <c r="B892" i="2"/>
  <c r="A892" i="2"/>
  <c r="O891" i="2"/>
  <c r="O890" i="2"/>
  <c r="M890" i="2"/>
  <c r="L890" i="2"/>
  <c r="E890" i="2"/>
  <c r="D890" i="2"/>
  <c r="B890" i="2"/>
  <c r="A890" i="2"/>
  <c r="O889" i="2"/>
  <c r="M889" i="2"/>
  <c r="L889" i="2"/>
  <c r="E889" i="2"/>
  <c r="D889" i="2"/>
  <c r="B889" i="2"/>
  <c r="A889" i="2"/>
  <c r="O888" i="2"/>
  <c r="M888" i="2"/>
  <c r="L888" i="2"/>
  <c r="E888" i="2"/>
  <c r="D888" i="2"/>
  <c r="B888" i="2"/>
  <c r="A888" i="2"/>
  <c r="O887" i="2"/>
  <c r="M887" i="2"/>
  <c r="L887" i="2"/>
  <c r="E887" i="2"/>
  <c r="D887" i="2"/>
  <c r="B887" i="2"/>
  <c r="A887" i="2"/>
  <c r="O886" i="2"/>
  <c r="O885" i="2"/>
  <c r="M885" i="2"/>
  <c r="L885" i="2"/>
  <c r="E885" i="2"/>
  <c r="D885" i="2"/>
  <c r="B885" i="2"/>
  <c r="A885" i="2"/>
  <c r="O884" i="2"/>
  <c r="M884" i="2"/>
  <c r="L884" i="2"/>
  <c r="E884" i="2"/>
  <c r="D884" i="2"/>
  <c r="B884" i="2"/>
  <c r="A884" i="2"/>
  <c r="O883" i="2"/>
  <c r="O882" i="2"/>
  <c r="O881" i="2"/>
  <c r="M881" i="2"/>
  <c r="L881" i="2"/>
  <c r="E881" i="2"/>
  <c r="D881" i="2"/>
  <c r="B881" i="2"/>
  <c r="A881" i="2"/>
  <c r="O880" i="2"/>
  <c r="O879" i="2"/>
  <c r="O878" i="2"/>
  <c r="M878" i="2"/>
  <c r="L878" i="2"/>
  <c r="E878" i="2"/>
  <c r="D878" i="2"/>
  <c r="B878" i="2"/>
  <c r="A878" i="2"/>
  <c r="O877" i="2"/>
  <c r="M877" i="2"/>
  <c r="L877" i="2"/>
  <c r="E877" i="2"/>
  <c r="D877" i="2"/>
  <c r="B877" i="2"/>
  <c r="A877" i="2"/>
  <c r="O876" i="2"/>
  <c r="M876" i="2"/>
  <c r="L876" i="2"/>
  <c r="E876" i="2"/>
  <c r="D876" i="2"/>
  <c r="B876" i="2"/>
  <c r="A876" i="2"/>
  <c r="O875" i="2"/>
  <c r="O874" i="2"/>
  <c r="O873" i="2"/>
  <c r="O872" i="2"/>
  <c r="O871" i="2"/>
  <c r="O870" i="2"/>
  <c r="O869" i="2"/>
  <c r="O868" i="2"/>
  <c r="O867" i="2"/>
  <c r="M867" i="2"/>
  <c r="L867" i="2"/>
  <c r="E867" i="2"/>
  <c r="D867" i="2"/>
  <c r="B867" i="2"/>
  <c r="A867" i="2"/>
  <c r="O866" i="2"/>
  <c r="O865" i="2"/>
  <c r="M865" i="2"/>
  <c r="L865" i="2"/>
  <c r="E865" i="2"/>
  <c r="D865" i="2"/>
  <c r="B865" i="2"/>
  <c r="A865" i="2"/>
  <c r="O864" i="2"/>
  <c r="M864" i="2"/>
  <c r="L864" i="2"/>
  <c r="E864" i="2"/>
  <c r="D864" i="2"/>
  <c r="B864" i="2"/>
  <c r="A864" i="2"/>
  <c r="O863" i="2"/>
  <c r="O862" i="2"/>
  <c r="M862" i="2"/>
  <c r="L862" i="2"/>
  <c r="E862" i="2"/>
  <c r="D862" i="2"/>
  <c r="B862" i="2"/>
  <c r="A862" i="2"/>
  <c r="O861" i="2"/>
  <c r="O860" i="2"/>
  <c r="M860" i="2"/>
  <c r="L860" i="2"/>
  <c r="E860" i="2"/>
  <c r="D860" i="2"/>
  <c r="B860" i="2"/>
  <c r="A860" i="2"/>
  <c r="O859" i="2"/>
  <c r="M859" i="2"/>
  <c r="L859" i="2"/>
  <c r="E859" i="2"/>
  <c r="D859" i="2"/>
  <c r="B859" i="2"/>
  <c r="A859" i="2"/>
  <c r="O858" i="2"/>
  <c r="O857" i="2"/>
  <c r="M857" i="2"/>
  <c r="L857" i="2"/>
  <c r="E857" i="2"/>
  <c r="D857" i="2"/>
  <c r="B857" i="2"/>
  <c r="A857" i="2"/>
  <c r="O856" i="2"/>
  <c r="M856" i="2"/>
  <c r="L856" i="2"/>
  <c r="E856" i="2"/>
  <c r="D856" i="2"/>
  <c r="B856" i="2"/>
  <c r="A856" i="2"/>
  <c r="O855" i="2"/>
  <c r="M855" i="2"/>
  <c r="L855" i="2"/>
  <c r="E855" i="2"/>
  <c r="D855" i="2"/>
  <c r="B855" i="2"/>
  <c r="A855" i="2"/>
  <c r="O854" i="2"/>
  <c r="M854" i="2"/>
  <c r="L854" i="2"/>
  <c r="E854" i="2"/>
  <c r="D854" i="2"/>
  <c r="B854" i="2"/>
  <c r="A854" i="2"/>
  <c r="O853" i="2"/>
  <c r="O852" i="2"/>
  <c r="O851" i="2"/>
  <c r="O850" i="2"/>
  <c r="M850" i="2"/>
  <c r="L850" i="2"/>
  <c r="E850" i="2"/>
  <c r="D850" i="2"/>
  <c r="B850" i="2"/>
  <c r="A850" i="2"/>
  <c r="O849" i="2"/>
  <c r="M849" i="2"/>
  <c r="L849" i="2"/>
  <c r="E849" i="2"/>
  <c r="D849" i="2"/>
  <c r="B849" i="2"/>
  <c r="A849" i="2"/>
  <c r="O848" i="2"/>
  <c r="O847" i="2"/>
  <c r="O846" i="2"/>
  <c r="M846" i="2"/>
  <c r="L846" i="2"/>
  <c r="E846" i="2"/>
  <c r="D846" i="2"/>
  <c r="B846" i="2"/>
  <c r="A846" i="2"/>
  <c r="O845" i="2"/>
  <c r="O844" i="2"/>
  <c r="O843" i="2"/>
  <c r="O842" i="2"/>
  <c r="M842" i="2"/>
  <c r="L842" i="2"/>
  <c r="E842" i="2"/>
  <c r="D842" i="2"/>
  <c r="B842" i="2"/>
  <c r="A842" i="2"/>
  <c r="O841" i="2"/>
  <c r="M841" i="2"/>
  <c r="L841" i="2"/>
  <c r="E841" i="2"/>
  <c r="D841" i="2"/>
  <c r="B841" i="2"/>
  <c r="A841" i="2"/>
  <c r="O840" i="2"/>
  <c r="M840" i="2"/>
  <c r="L840" i="2"/>
  <c r="E840" i="2"/>
  <c r="D840" i="2"/>
  <c r="B840" i="2"/>
  <c r="A840" i="2"/>
  <c r="O839" i="2"/>
  <c r="O838" i="2"/>
  <c r="M838" i="2"/>
  <c r="L838" i="2"/>
  <c r="E838" i="2"/>
  <c r="D838" i="2"/>
  <c r="B838" i="2"/>
  <c r="A838" i="2"/>
  <c r="O837" i="2"/>
  <c r="O836" i="2"/>
  <c r="O835" i="2"/>
  <c r="M835" i="2"/>
  <c r="L835" i="2"/>
  <c r="E835" i="2"/>
  <c r="D835" i="2"/>
  <c r="B835" i="2"/>
  <c r="A835" i="2"/>
  <c r="O834" i="2"/>
  <c r="O833" i="2"/>
  <c r="O832" i="2"/>
  <c r="O831" i="2"/>
  <c r="O830" i="2"/>
  <c r="O829" i="2"/>
  <c r="O828" i="2"/>
  <c r="M828" i="2"/>
  <c r="L828" i="2"/>
  <c r="E828" i="2"/>
  <c r="D828" i="2"/>
  <c r="B828" i="2"/>
  <c r="A828" i="2"/>
  <c r="O827" i="2"/>
  <c r="M827" i="2"/>
  <c r="L827" i="2"/>
  <c r="E827" i="2"/>
  <c r="D827" i="2"/>
  <c r="B827" i="2"/>
  <c r="A827" i="2"/>
  <c r="O826" i="2"/>
  <c r="M826" i="2"/>
  <c r="L826" i="2"/>
  <c r="E826" i="2"/>
  <c r="D826" i="2"/>
  <c r="B826" i="2"/>
  <c r="A826" i="2"/>
  <c r="O825" i="2"/>
  <c r="M825" i="2"/>
  <c r="L825" i="2"/>
  <c r="E825" i="2"/>
  <c r="D825" i="2"/>
  <c r="B825" i="2"/>
  <c r="A825" i="2"/>
  <c r="O824" i="2"/>
  <c r="O823" i="2"/>
  <c r="M823" i="2"/>
  <c r="L823" i="2"/>
  <c r="E823" i="2"/>
  <c r="D823" i="2"/>
  <c r="B823" i="2"/>
  <c r="A823" i="2"/>
  <c r="O822" i="2"/>
  <c r="M822" i="2"/>
  <c r="L822" i="2"/>
  <c r="E822" i="2"/>
  <c r="D822" i="2"/>
  <c r="B822" i="2"/>
  <c r="A822" i="2"/>
  <c r="O821" i="2"/>
  <c r="M821" i="2"/>
  <c r="L821" i="2"/>
  <c r="E821" i="2"/>
  <c r="D821" i="2"/>
  <c r="B821" i="2"/>
  <c r="A821" i="2"/>
  <c r="O820" i="2"/>
  <c r="O819" i="2"/>
  <c r="O818" i="2"/>
  <c r="O817" i="2"/>
  <c r="O816" i="2"/>
  <c r="M816" i="2"/>
  <c r="L816" i="2"/>
  <c r="E816" i="2"/>
  <c r="D816" i="2"/>
  <c r="B816" i="2"/>
  <c r="A816" i="2"/>
  <c r="O815" i="2"/>
  <c r="O814" i="2"/>
  <c r="M814" i="2"/>
  <c r="L814" i="2"/>
  <c r="E814" i="2"/>
  <c r="D814" i="2"/>
  <c r="B814" i="2"/>
  <c r="A814" i="2"/>
  <c r="O813" i="2"/>
  <c r="O812" i="2"/>
  <c r="M812" i="2"/>
  <c r="L812" i="2"/>
  <c r="E812" i="2"/>
  <c r="D812" i="2"/>
  <c r="B812" i="2"/>
  <c r="A812" i="2"/>
  <c r="O811" i="2"/>
  <c r="M811" i="2"/>
  <c r="L811" i="2"/>
  <c r="E811" i="2"/>
  <c r="D811" i="2"/>
  <c r="B811" i="2"/>
  <c r="A811" i="2"/>
  <c r="O810" i="2"/>
  <c r="M810" i="2"/>
  <c r="L810" i="2"/>
  <c r="E810" i="2"/>
  <c r="D810" i="2"/>
  <c r="B810" i="2"/>
  <c r="A810" i="2"/>
  <c r="O809" i="2"/>
  <c r="M809" i="2"/>
  <c r="L809" i="2"/>
  <c r="E809" i="2"/>
  <c r="D809" i="2"/>
  <c r="B809" i="2"/>
  <c r="A809" i="2"/>
  <c r="O808" i="2"/>
  <c r="O807" i="2"/>
  <c r="O806" i="2"/>
  <c r="M806" i="2"/>
  <c r="L806" i="2"/>
  <c r="E806" i="2"/>
  <c r="D806" i="2"/>
  <c r="B806" i="2"/>
  <c r="A806" i="2"/>
  <c r="O805" i="2"/>
  <c r="O804" i="2"/>
  <c r="O803" i="2"/>
  <c r="M803" i="2"/>
  <c r="L803" i="2"/>
  <c r="E803" i="2"/>
  <c r="D803" i="2"/>
  <c r="B803" i="2"/>
  <c r="A803" i="2"/>
  <c r="O802" i="2"/>
  <c r="O801" i="2"/>
  <c r="M801" i="2"/>
  <c r="L801" i="2"/>
  <c r="E801" i="2"/>
  <c r="D801" i="2"/>
  <c r="B801" i="2"/>
  <c r="A801" i="2"/>
  <c r="O800" i="2"/>
  <c r="O799" i="2"/>
  <c r="M799" i="2"/>
  <c r="L799" i="2"/>
  <c r="E799" i="2"/>
  <c r="D799" i="2"/>
  <c r="B799" i="2"/>
  <c r="A799" i="2"/>
  <c r="O798" i="2"/>
  <c r="M798" i="2"/>
  <c r="L798" i="2"/>
  <c r="E798" i="2"/>
  <c r="D798" i="2"/>
  <c r="B798" i="2"/>
  <c r="A798" i="2"/>
  <c r="O797" i="2"/>
  <c r="O796" i="2"/>
  <c r="O795" i="2"/>
  <c r="O794" i="2"/>
  <c r="O793" i="2"/>
  <c r="O792" i="2"/>
  <c r="M792" i="2"/>
  <c r="L792" i="2"/>
  <c r="E792" i="2"/>
  <c r="D792" i="2"/>
  <c r="B792" i="2"/>
  <c r="A792" i="2"/>
  <c r="O791" i="2"/>
  <c r="O790" i="2"/>
  <c r="O789" i="2"/>
  <c r="O788" i="2"/>
  <c r="O787" i="2"/>
  <c r="M787" i="2"/>
  <c r="L787" i="2"/>
  <c r="E787" i="2"/>
  <c r="D787" i="2"/>
  <c r="B787" i="2"/>
  <c r="A787" i="2"/>
  <c r="O786" i="2"/>
  <c r="O785" i="2"/>
  <c r="O784" i="2"/>
  <c r="O783" i="2"/>
  <c r="O782" i="2"/>
  <c r="O781" i="2"/>
  <c r="O780" i="2"/>
  <c r="O779" i="2"/>
  <c r="O778" i="2"/>
  <c r="O777" i="2"/>
  <c r="O776" i="2"/>
  <c r="O775" i="2"/>
  <c r="O774" i="2"/>
  <c r="O773" i="2"/>
  <c r="M773" i="2"/>
  <c r="L773" i="2"/>
  <c r="E773" i="2"/>
  <c r="D773" i="2"/>
  <c r="B773" i="2"/>
  <c r="A773" i="2"/>
  <c r="O772" i="2"/>
  <c r="O771" i="2"/>
  <c r="O770" i="2"/>
  <c r="O769" i="2"/>
  <c r="M769" i="2"/>
  <c r="L769" i="2"/>
  <c r="E769" i="2"/>
  <c r="D769" i="2"/>
  <c r="B769" i="2"/>
  <c r="A769" i="2"/>
  <c r="O768" i="2"/>
  <c r="O767" i="2"/>
  <c r="O766" i="2"/>
  <c r="M766" i="2"/>
  <c r="L766" i="2"/>
  <c r="E766" i="2"/>
  <c r="D766" i="2"/>
  <c r="B766" i="2"/>
  <c r="A766" i="2"/>
  <c r="O765" i="2"/>
  <c r="O764" i="2"/>
  <c r="O763" i="2"/>
  <c r="O762" i="2"/>
  <c r="M762" i="2"/>
  <c r="L762" i="2"/>
  <c r="E762" i="2"/>
  <c r="D762" i="2"/>
  <c r="B762" i="2"/>
  <c r="A762" i="2"/>
  <c r="O761" i="2"/>
  <c r="O760" i="2"/>
  <c r="M760" i="2"/>
  <c r="L760" i="2"/>
  <c r="E760" i="2"/>
  <c r="D760" i="2"/>
  <c r="B760" i="2"/>
  <c r="A760" i="2"/>
  <c r="O759" i="2"/>
  <c r="O758" i="2"/>
  <c r="O757" i="2"/>
  <c r="O756" i="2"/>
  <c r="O755" i="2"/>
  <c r="O754" i="2"/>
  <c r="O753" i="2"/>
  <c r="O752" i="2"/>
  <c r="M752" i="2"/>
  <c r="L752" i="2"/>
  <c r="E752" i="2"/>
  <c r="D752" i="2"/>
  <c r="B752" i="2"/>
  <c r="A752" i="2"/>
  <c r="O751" i="2"/>
  <c r="O750" i="2"/>
  <c r="O749" i="2"/>
  <c r="O748" i="2"/>
  <c r="O747" i="2"/>
  <c r="O746" i="2"/>
  <c r="O745" i="2"/>
  <c r="O744" i="2"/>
  <c r="O743" i="2"/>
  <c r="O742" i="2"/>
  <c r="O741" i="2"/>
  <c r="O740" i="2"/>
  <c r="O739" i="2"/>
  <c r="O738" i="2"/>
  <c r="O737" i="2"/>
  <c r="O736" i="2"/>
  <c r="O735" i="2"/>
  <c r="O734" i="2"/>
  <c r="O733" i="2"/>
  <c r="O732" i="2"/>
  <c r="O731" i="2"/>
  <c r="O730" i="2"/>
  <c r="O729" i="2"/>
  <c r="O728" i="2"/>
  <c r="O727" i="2"/>
  <c r="M727" i="2"/>
  <c r="L727" i="2"/>
  <c r="E727" i="2"/>
  <c r="D727" i="2"/>
  <c r="B727" i="2"/>
  <c r="A727" i="2"/>
  <c r="O726" i="2"/>
  <c r="M726" i="2"/>
  <c r="L726" i="2"/>
  <c r="E726" i="2"/>
  <c r="D726" i="2"/>
  <c r="B726" i="2"/>
  <c r="A726" i="2"/>
  <c r="O725" i="2"/>
  <c r="O724" i="2"/>
  <c r="M724" i="2"/>
  <c r="L724" i="2"/>
  <c r="E724" i="2"/>
  <c r="D724" i="2"/>
  <c r="B724" i="2"/>
  <c r="A724" i="2"/>
  <c r="O723" i="2"/>
  <c r="M723" i="2"/>
  <c r="L723" i="2"/>
  <c r="E723" i="2"/>
  <c r="D723" i="2"/>
  <c r="B723" i="2"/>
  <c r="A723" i="2"/>
  <c r="O722" i="2"/>
  <c r="O721" i="2"/>
  <c r="O720" i="2"/>
  <c r="O719" i="2"/>
  <c r="M719" i="2"/>
  <c r="L719" i="2"/>
  <c r="E719" i="2"/>
  <c r="D719" i="2"/>
  <c r="B719" i="2"/>
  <c r="A719" i="2"/>
  <c r="O718" i="2"/>
  <c r="O717" i="2"/>
  <c r="O716" i="2"/>
  <c r="O715" i="2"/>
  <c r="O714" i="2"/>
  <c r="O713" i="2"/>
  <c r="O712" i="2"/>
  <c r="O711" i="2"/>
  <c r="O710" i="2"/>
  <c r="M710" i="2"/>
  <c r="L710" i="2"/>
  <c r="E710" i="2"/>
  <c r="D710" i="2"/>
  <c r="B710" i="2"/>
  <c r="A710" i="2"/>
  <c r="O709" i="2"/>
  <c r="O708" i="2"/>
  <c r="O707" i="2"/>
  <c r="M707" i="2"/>
  <c r="L707" i="2"/>
  <c r="E707" i="2"/>
  <c r="D707" i="2"/>
  <c r="B707" i="2"/>
  <c r="A707" i="2"/>
  <c r="O706" i="2"/>
  <c r="O705" i="2"/>
  <c r="O704" i="2"/>
  <c r="O703" i="2"/>
  <c r="O702" i="2"/>
  <c r="O701" i="2"/>
  <c r="O700" i="2"/>
  <c r="O699" i="2"/>
  <c r="O698" i="2"/>
  <c r="O697" i="2"/>
  <c r="O696" i="2"/>
  <c r="O695" i="2"/>
  <c r="O694" i="2"/>
  <c r="O693" i="2"/>
  <c r="M693" i="2"/>
  <c r="L693" i="2"/>
  <c r="E693" i="2"/>
  <c r="D693" i="2"/>
  <c r="B693" i="2"/>
  <c r="A693" i="2"/>
  <c r="O692" i="2"/>
  <c r="M692" i="2"/>
  <c r="L692" i="2"/>
  <c r="E692" i="2"/>
  <c r="D692" i="2"/>
  <c r="B692" i="2"/>
  <c r="A692" i="2"/>
  <c r="O691" i="2"/>
  <c r="O690" i="2"/>
  <c r="O689" i="2"/>
  <c r="O688" i="2"/>
  <c r="O687" i="2"/>
  <c r="O686" i="2"/>
  <c r="O685" i="2"/>
  <c r="O684" i="2"/>
  <c r="O683" i="2"/>
  <c r="O682" i="2"/>
  <c r="O681" i="2"/>
  <c r="O680" i="2"/>
  <c r="M680" i="2"/>
  <c r="L680" i="2"/>
  <c r="E680" i="2"/>
  <c r="D680" i="2"/>
  <c r="B680" i="2"/>
  <c r="A680" i="2"/>
  <c r="O679" i="2"/>
  <c r="O678" i="2"/>
  <c r="M678" i="2"/>
  <c r="L678" i="2"/>
  <c r="E678" i="2"/>
  <c r="D678" i="2"/>
  <c r="B678" i="2"/>
  <c r="A678" i="2"/>
  <c r="O677" i="2"/>
  <c r="O676" i="2"/>
  <c r="O675" i="2"/>
  <c r="O674" i="2"/>
  <c r="O673" i="2"/>
  <c r="O672" i="2"/>
  <c r="O671" i="2"/>
  <c r="O670" i="2"/>
  <c r="O669" i="2"/>
  <c r="M669" i="2"/>
  <c r="L669" i="2"/>
  <c r="E669" i="2"/>
  <c r="D669" i="2"/>
  <c r="B669" i="2"/>
  <c r="A669" i="2"/>
  <c r="O668" i="2"/>
  <c r="O667" i="2"/>
  <c r="M667" i="2"/>
  <c r="L667" i="2"/>
  <c r="E667" i="2"/>
  <c r="D667" i="2"/>
  <c r="B667" i="2"/>
  <c r="A667" i="2"/>
  <c r="O666" i="2"/>
  <c r="O665" i="2"/>
  <c r="M665" i="2"/>
  <c r="L665" i="2"/>
  <c r="E665" i="2"/>
  <c r="D665" i="2"/>
  <c r="B665" i="2"/>
  <c r="A665" i="2"/>
  <c r="O664" i="2"/>
  <c r="O663" i="2"/>
  <c r="M663" i="2"/>
  <c r="L663" i="2"/>
  <c r="E663" i="2"/>
  <c r="D663" i="2"/>
  <c r="B663" i="2"/>
  <c r="A663" i="2"/>
  <c r="O662" i="2"/>
  <c r="O661" i="2"/>
  <c r="M661" i="2"/>
  <c r="L661" i="2"/>
  <c r="E661" i="2"/>
  <c r="D661" i="2"/>
  <c r="B661" i="2"/>
  <c r="A661" i="2"/>
  <c r="O660" i="2"/>
  <c r="M660" i="2"/>
  <c r="L660" i="2"/>
  <c r="E660" i="2"/>
  <c r="D660" i="2"/>
  <c r="B660" i="2"/>
  <c r="A660" i="2"/>
  <c r="O659" i="2"/>
  <c r="O658" i="2"/>
  <c r="O657" i="2"/>
  <c r="M657" i="2"/>
  <c r="L657" i="2"/>
  <c r="E657" i="2"/>
  <c r="D657" i="2"/>
  <c r="B657" i="2"/>
  <c r="A657" i="2"/>
  <c r="O656" i="2"/>
  <c r="M656" i="2"/>
  <c r="L656" i="2"/>
  <c r="E656" i="2"/>
  <c r="D656" i="2"/>
  <c r="B656" i="2"/>
  <c r="A656" i="2"/>
  <c r="O655" i="2"/>
  <c r="M655" i="2"/>
  <c r="L655" i="2"/>
  <c r="E655" i="2"/>
  <c r="D655" i="2"/>
  <c r="B655" i="2"/>
  <c r="A655" i="2"/>
  <c r="O654" i="2"/>
  <c r="O653" i="2"/>
  <c r="M653" i="2"/>
  <c r="L653" i="2"/>
  <c r="E653" i="2"/>
  <c r="D653" i="2"/>
  <c r="B653" i="2"/>
  <c r="A653" i="2"/>
  <c r="O652" i="2"/>
  <c r="M652" i="2"/>
  <c r="L652" i="2"/>
  <c r="E652" i="2"/>
  <c r="D652" i="2"/>
  <c r="B652" i="2"/>
  <c r="A652" i="2"/>
  <c r="O651" i="2"/>
  <c r="M651" i="2"/>
  <c r="L651" i="2"/>
  <c r="E651" i="2"/>
  <c r="D651" i="2"/>
  <c r="B651" i="2"/>
  <c r="A651" i="2"/>
  <c r="O650" i="2"/>
  <c r="M650" i="2"/>
  <c r="L650" i="2"/>
  <c r="E650" i="2"/>
  <c r="D650" i="2"/>
  <c r="B650" i="2"/>
  <c r="A650" i="2"/>
  <c r="O649" i="2"/>
  <c r="M649" i="2"/>
  <c r="L649" i="2"/>
  <c r="E649" i="2"/>
  <c r="D649" i="2"/>
  <c r="B649" i="2"/>
  <c r="A649" i="2"/>
  <c r="O648" i="2"/>
  <c r="O647" i="2"/>
  <c r="O646" i="2"/>
  <c r="O645" i="2"/>
  <c r="M645" i="2"/>
  <c r="L645" i="2"/>
  <c r="E645" i="2"/>
  <c r="D645" i="2"/>
  <c r="B645" i="2"/>
  <c r="A645" i="2"/>
  <c r="O644" i="2"/>
  <c r="O643" i="2"/>
  <c r="M643" i="2"/>
  <c r="L643" i="2"/>
  <c r="E643" i="2"/>
  <c r="D643" i="2"/>
  <c r="B643" i="2"/>
  <c r="A643" i="2"/>
  <c r="O642" i="2"/>
  <c r="M642" i="2"/>
  <c r="L642" i="2"/>
  <c r="E642" i="2"/>
  <c r="D642" i="2"/>
  <c r="B642" i="2"/>
  <c r="A642" i="2"/>
  <c r="O641" i="2"/>
  <c r="O640" i="2"/>
  <c r="M640" i="2"/>
  <c r="L640" i="2"/>
  <c r="E640" i="2"/>
  <c r="D640" i="2"/>
  <c r="B640" i="2"/>
  <c r="A640" i="2"/>
  <c r="O639" i="2"/>
  <c r="M639" i="2"/>
  <c r="L639" i="2"/>
  <c r="E639" i="2"/>
  <c r="D639" i="2"/>
  <c r="B639" i="2"/>
  <c r="A639" i="2"/>
  <c r="O638" i="2"/>
  <c r="M638" i="2"/>
  <c r="L638" i="2"/>
  <c r="E638" i="2"/>
  <c r="D638" i="2"/>
  <c r="B638" i="2"/>
  <c r="A638" i="2"/>
  <c r="O637" i="2"/>
  <c r="M637" i="2"/>
  <c r="L637" i="2"/>
  <c r="E637" i="2"/>
  <c r="D637" i="2"/>
  <c r="B637" i="2"/>
  <c r="A637" i="2"/>
  <c r="O636" i="2"/>
  <c r="O635" i="2"/>
  <c r="O634" i="2"/>
  <c r="O633" i="2"/>
  <c r="O632" i="2"/>
  <c r="O631" i="2"/>
  <c r="O630" i="2"/>
  <c r="O629" i="2"/>
  <c r="O628" i="2"/>
  <c r="O627" i="2"/>
  <c r="O626" i="2"/>
  <c r="M626" i="2"/>
  <c r="L626" i="2"/>
  <c r="E626" i="2"/>
  <c r="D626" i="2"/>
  <c r="B626" i="2"/>
  <c r="A626" i="2"/>
  <c r="O625" i="2"/>
  <c r="M625" i="2"/>
  <c r="L625" i="2"/>
  <c r="E625" i="2"/>
  <c r="D625" i="2"/>
  <c r="B625" i="2"/>
  <c r="A625" i="2"/>
  <c r="O624" i="2"/>
  <c r="M624" i="2"/>
  <c r="L624" i="2"/>
  <c r="E624" i="2"/>
  <c r="D624" i="2"/>
  <c r="B624" i="2"/>
  <c r="A624" i="2"/>
  <c r="O623" i="2"/>
  <c r="O622" i="2"/>
  <c r="O621" i="2"/>
  <c r="O620" i="2"/>
  <c r="O619" i="2"/>
  <c r="O618" i="2"/>
  <c r="O617" i="2"/>
  <c r="M617" i="2"/>
  <c r="L617" i="2"/>
  <c r="E617" i="2"/>
  <c r="D617" i="2"/>
  <c r="B617" i="2"/>
  <c r="A617" i="2"/>
  <c r="O616" i="2"/>
  <c r="O615" i="2"/>
  <c r="O614" i="2"/>
  <c r="O613" i="2"/>
  <c r="M613" i="2"/>
  <c r="L613" i="2"/>
  <c r="E613" i="2"/>
  <c r="D613" i="2"/>
  <c r="B613" i="2"/>
  <c r="A613" i="2"/>
  <c r="O612" i="2"/>
  <c r="O611" i="2"/>
  <c r="O610" i="2"/>
  <c r="O609" i="2"/>
  <c r="O608" i="2"/>
  <c r="M608" i="2"/>
  <c r="L608" i="2"/>
  <c r="E608" i="2"/>
  <c r="D608" i="2"/>
  <c r="B608" i="2"/>
  <c r="A608" i="2"/>
  <c r="O607" i="2"/>
  <c r="M607" i="2"/>
  <c r="L607" i="2"/>
  <c r="E607" i="2"/>
  <c r="D607" i="2"/>
  <c r="B607" i="2"/>
  <c r="A607" i="2"/>
  <c r="O606" i="2"/>
  <c r="M606" i="2"/>
  <c r="L606" i="2"/>
  <c r="E606" i="2"/>
  <c r="D606" i="2"/>
  <c r="B606" i="2"/>
  <c r="A606" i="2"/>
  <c r="O605" i="2"/>
  <c r="O604" i="2"/>
  <c r="O603" i="2"/>
  <c r="O602" i="2"/>
  <c r="M602" i="2"/>
  <c r="L602" i="2"/>
  <c r="E602" i="2"/>
  <c r="D602" i="2"/>
  <c r="B602" i="2"/>
  <c r="A602" i="2"/>
  <c r="O601" i="2"/>
  <c r="O600" i="2"/>
  <c r="O599" i="2"/>
  <c r="O598" i="2"/>
  <c r="O597" i="2"/>
  <c r="O596" i="2"/>
  <c r="M596" i="2"/>
  <c r="L596" i="2"/>
  <c r="E596" i="2"/>
  <c r="D596" i="2"/>
  <c r="B596" i="2"/>
  <c r="A596" i="2"/>
  <c r="O595" i="2"/>
  <c r="M595" i="2"/>
  <c r="L595" i="2"/>
  <c r="E595" i="2"/>
  <c r="D595" i="2"/>
  <c r="B595" i="2"/>
  <c r="A595" i="2"/>
  <c r="O594" i="2"/>
  <c r="M594" i="2"/>
  <c r="L594" i="2"/>
  <c r="E594" i="2"/>
  <c r="D594" i="2"/>
  <c r="B594" i="2"/>
  <c r="A594" i="2"/>
  <c r="O593" i="2"/>
  <c r="M593" i="2"/>
  <c r="L593" i="2"/>
  <c r="E593" i="2"/>
  <c r="D593" i="2"/>
  <c r="B593" i="2"/>
  <c r="A593" i="2"/>
  <c r="O592" i="2"/>
  <c r="O591" i="2"/>
  <c r="O590" i="2"/>
  <c r="M590" i="2"/>
  <c r="L590" i="2"/>
  <c r="E590" i="2"/>
  <c r="D590" i="2"/>
  <c r="B590" i="2"/>
  <c r="A590" i="2"/>
  <c r="O589" i="2"/>
  <c r="M589" i="2"/>
  <c r="L589" i="2"/>
  <c r="E589" i="2"/>
  <c r="D589" i="2"/>
  <c r="B589" i="2"/>
  <c r="A589" i="2"/>
  <c r="O588" i="2"/>
  <c r="M588" i="2"/>
  <c r="L588" i="2"/>
  <c r="E588" i="2"/>
  <c r="D588" i="2"/>
  <c r="B588" i="2"/>
  <c r="A588" i="2"/>
  <c r="O587" i="2"/>
  <c r="M587" i="2"/>
  <c r="L587" i="2"/>
  <c r="E587" i="2"/>
  <c r="D587" i="2"/>
  <c r="B587" i="2"/>
  <c r="A587" i="2"/>
  <c r="O586" i="2"/>
  <c r="O585" i="2"/>
  <c r="M585" i="2"/>
  <c r="L585" i="2"/>
  <c r="E585" i="2"/>
  <c r="D585" i="2"/>
  <c r="B585" i="2"/>
  <c r="A585" i="2"/>
  <c r="O584" i="2"/>
  <c r="O583" i="2"/>
  <c r="M583" i="2"/>
  <c r="L583" i="2"/>
  <c r="E583" i="2"/>
  <c r="D583" i="2"/>
  <c r="B583" i="2"/>
  <c r="A583" i="2"/>
  <c r="O582" i="2"/>
  <c r="M582" i="2"/>
  <c r="L582" i="2"/>
  <c r="E582" i="2"/>
  <c r="D582" i="2"/>
  <c r="B582" i="2"/>
  <c r="A582" i="2"/>
  <c r="O581" i="2"/>
  <c r="O580" i="2"/>
  <c r="M580" i="2"/>
  <c r="L580" i="2"/>
  <c r="E580" i="2"/>
  <c r="D580" i="2"/>
  <c r="B580" i="2"/>
  <c r="A580" i="2"/>
  <c r="O579" i="2"/>
  <c r="O578" i="2"/>
  <c r="O577" i="2"/>
  <c r="M577" i="2"/>
  <c r="L577" i="2"/>
  <c r="E577" i="2"/>
  <c r="D577" i="2"/>
  <c r="B577" i="2"/>
  <c r="A577" i="2"/>
  <c r="O576" i="2"/>
  <c r="O575" i="2"/>
  <c r="O574" i="2"/>
  <c r="M574" i="2"/>
  <c r="L574" i="2"/>
  <c r="E574" i="2"/>
  <c r="D574" i="2"/>
  <c r="B574" i="2"/>
  <c r="A574" i="2"/>
  <c r="O573" i="2"/>
  <c r="M573" i="2"/>
  <c r="L573" i="2"/>
  <c r="E573" i="2"/>
  <c r="D573" i="2"/>
  <c r="B573" i="2"/>
  <c r="A573" i="2"/>
  <c r="O572" i="2"/>
  <c r="O571" i="2"/>
  <c r="M571" i="2"/>
  <c r="L571" i="2"/>
  <c r="E571" i="2"/>
  <c r="D571" i="2"/>
  <c r="B571" i="2"/>
  <c r="A571" i="2"/>
  <c r="O570" i="2"/>
  <c r="M570" i="2"/>
  <c r="L570" i="2"/>
  <c r="E570" i="2"/>
  <c r="D570" i="2"/>
  <c r="B570" i="2"/>
  <c r="A570" i="2"/>
  <c r="O569" i="2"/>
  <c r="M569" i="2"/>
  <c r="L569" i="2"/>
  <c r="E569" i="2"/>
  <c r="D569" i="2"/>
  <c r="B569" i="2"/>
  <c r="A569" i="2"/>
  <c r="O568" i="2"/>
  <c r="M568" i="2"/>
  <c r="L568" i="2"/>
  <c r="E568" i="2"/>
  <c r="D568" i="2"/>
  <c r="B568" i="2"/>
  <c r="A568" i="2"/>
  <c r="O567" i="2"/>
  <c r="O566" i="2"/>
  <c r="O565" i="2"/>
  <c r="O564" i="2"/>
  <c r="O563" i="2"/>
  <c r="M563" i="2"/>
  <c r="L563" i="2"/>
  <c r="E563" i="2"/>
  <c r="D563" i="2"/>
  <c r="B563" i="2"/>
  <c r="A563" i="2"/>
  <c r="O562" i="2"/>
  <c r="M562" i="2"/>
  <c r="L562" i="2"/>
  <c r="E562" i="2"/>
  <c r="D562" i="2"/>
  <c r="B562" i="2"/>
  <c r="A562" i="2"/>
  <c r="O561" i="2"/>
  <c r="M561" i="2"/>
  <c r="L561" i="2"/>
  <c r="E561" i="2"/>
  <c r="D561" i="2"/>
  <c r="B561" i="2"/>
  <c r="A561" i="2"/>
  <c r="O560" i="2"/>
  <c r="M560" i="2"/>
  <c r="L560" i="2"/>
  <c r="E560" i="2"/>
  <c r="D560" i="2"/>
  <c r="B560" i="2"/>
  <c r="A560" i="2"/>
  <c r="O559" i="2"/>
  <c r="O558" i="2"/>
  <c r="O557" i="2"/>
  <c r="M557" i="2"/>
  <c r="L557" i="2"/>
  <c r="E557" i="2"/>
  <c r="D557" i="2"/>
  <c r="B557" i="2"/>
  <c r="A557" i="2"/>
  <c r="O556" i="2"/>
  <c r="M556" i="2"/>
  <c r="L556" i="2"/>
  <c r="E556" i="2"/>
  <c r="D556" i="2"/>
  <c r="B556" i="2"/>
  <c r="A556" i="2"/>
  <c r="O555" i="2"/>
  <c r="M555" i="2"/>
  <c r="L555" i="2"/>
  <c r="E555" i="2"/>
  <c r="D555" i="2"/>
  <c r="B555" i="2"/>
  <c r="A555" i="2"/>
  <c r="O554" i="2"/>
  <c r="M554" i="2"/>
  <c r="L554" i="2"/>
  <c r="E554" i="2"/>
  <c r="D554" i="2"/>
  <c r="B554" i="2"/>
  <c r="A554" i="2"/>
  <c r="O553" i="2"/>
  <c r="O552" i="2"/>
  <c r="M552" i="2"/>
  <c r="L552" i="2"/>
  <c r="E552" i="2"/>
  <c r="D552" i="2"/>
  <c r="B552" i="2"/>
  <c r="A552" i="2"/>
  <c r="O551" i="2"/>
  <c r="O550" i="2"/>
  <c r="M550" i="2"/>
  <c r="L550" i="2"/>
  <c r="E550" i="2"/>
  <c r="D550" i="2"/>
  <c r="B550" i="2"/>
  <c r="A550" i="2"/>
  <c r="O549" i="2"/>
  <c r="O548" i="2"/>
  <c r="M548" i="2"/>
  <c r="L548" i="2"/>
  <c r="E548" i="2"/>
  <c r="D548" i="2"/>
  <c r="B548" i="2"/>
  <c r="A548" i="2"/>
  <c r="O547" i="2"/>
  <c r="M547" i="2"/>
  <c r="L547" i="2"/>
  <c r="E547" i="2"/>
  <c r="D547" i="2"/>
  <c r="B547" i="2"/>
  <c r="A547" i="2"/>
  <c r="O546" i="2"/>
  <c r="O545" i="2"/>
  <c r="O544" i="2"/>
  <c r="M544" i="2"/>
  <c r="L544" i="2"/>
  <c r="E544" i="2"/>
  <c r="D544" i="2"/>
  <c r="B544" i="2"/>
  <c r="A544" i="2"/>
  <c r="O543" i="2"/>
  <c r="M543" i="2"/>
  <c r="L543" i="2"/>
  <c r="E543" i="2"/>
  <c r="D543" i="2"/>
  <c r="B543" i="2"/>
  <c r="A543" i="2"/>
  <c r="O542" i="2"/>
  <c r="M542" i="2"/>
  <c r="L542" i="2"/>
  <c r="E542" i="2"/>
  <c r="D542" i="2"/>
  <c r="B542" i="2"/>
  <c r="A542" i="2"/>
  <c r="O541" i="2"/>
  <c r="M541" i="2"/>
  <c r="L541" i="2"/>
  <c r="E541" i="2"/>
  <c r="D541" i="2"/>
  <c r="B541" i="2"/>
  <c r="A541" i="2"/>
  <c r="O540" i="2"/>
  <c r="O539" i="2"/>
  <c r="M539" i="2"/>
  <c r="L539" i="2"/>
  <c r="E539" i="2"/>
  <c r="D539" i="2"/>
  <c r="B539" i="2"/>
  <c r="A539" i="2"/>
  <c r="O538" i="2"/>
  <c r="M538" i="2"/>
  <c r="L538" i="2"/>
  <c r="E538" i="2"/>
  <c r="D538" i="2"/>
  <c r="B538" i="2"/>
  <c r="A538" i="2"/>
  <c r="O537" i="2"/>
  <c r="O536" i="2"/>
  <c r="M536" i="2"/>
  <c r="L536" i="2"/>
  <c r="E536" i="2"/>
  <c r="D536" i="2"/>
  <c r="B536" i="2"/>
  <c r="A536" i="2"/>
  <c r="O535" i="2"/>
  <c r="M535" i="2"/>
  <c r="L535" i="2"/>
  <c r="E535" i="2"/>
  <c r="D535" i="2"/>
  <c r="B535" i="2"/>
  <c r="A535" i="2"/>
  <c r="O534" i="2"/>
  <c r="O533" i="2"/>
  <c r="O532" i="2"/>
  <c r="O531" i="2"/>
  <c r="O530" i="2"/>
  <c r="M530" i="2"/>
  <c r="L530" i="2"/>
  <c r="E530" i="2"/>
  <c r="D530" i="2"/>
  <c r="B530" i="2"/>
  <c r="A530" i="2"/>
  <c r="O529" i="2"/>
  <c r="M529" i="2"/>
  <c r="L529" i="2"/>
  <c r="E529" i="2"/>
  <c r="D529" i="2"/>
  <c r="B529" i="2"/>
  <c r="A529" i="2"/>
  <c r="O528" i="2"/>
  <c r="O527" i="2"/>
  <c r="O526" i="2"/>
  <c r="M526" i="2"/>
  <c r="L526" i="2"/>
  <c r="E526" i="2"/>
  <c r="D526" i="2"/>
  <c r="B526" i="2"/>
  <c r="A526" i="2"/>
  <c r="O525" i="2"/>
  <c r="M525" i="2"/>
  <c r="L525" i="2"/>
  <c r="E525" i="2"/>
  <c r="D525" i="2"/>
  <c r="B525" i="2"/>
  <c r="A525" i="2"/>
  <c r="O524" i="2"/>
  <c r="M524" i="2"/>
  <c r="L524" i="2"/>
  <c r="E524" i="2"/>
  <c r="D524" i="2"/>
  <c r="B524" i="2"/>
  <c r="A524" i="2"/>
  <c r="O523" i="2"/>
  <c r="O522" i="2"/>
  <c r="M522" i="2"/>
  <c r="L522" i="2"/>
  <c r="E522" i="2"/>
  <c r="D522" i="2"/>
  <c r="B522" i="2"/>
  <c r="A522" i="2"/>
  <c r="O521" i="2"/>
  <c r="O520" i="2"/>
  <c r="M520" i="2"/>
  <c r="L520" i="2"/>
  <c r="E520" i="2"/>
  <c r="D520" i="2"/>
  <c r="B520" i="2"/>
  <c r="A520" i="2"/>
  <c r="O519" i="2"/>
  <c r="M519" i="2"/>
  <c r="L519" i="2"/>
  <c r="E519" i="2"/>
  <c r="D519" i="2"/>
  <c r="B519" i="2"/>
  <c r="A519" i="2"/>
  <c r="O518" i="2"/>
  <c r="O517" i="2"/>
  <c r="O516" i="2"/>
  <c r="M516" i="2"/>
  <c r="L516" i="2"/>
  <c r="E516" i="2"/>
  <c r="D516" i="2"/>
  <c r="B516" i="2"/>
  <c r="A516" i="2"/>
  <c r="O515" i="2"/>
  <c r="M515" i="2"/>
  <c r="L515" i="2"/>
  <c r="E515" i="2"/>
  <c r="D515" i="2"/>
  <c r="B515" i="2"/>
  <c r="A515" i="2"/>
  <c r="O514" i="2"/>
  <c r="M514" i="2"/>
  <c r="L514" i="2"/>
  <c r="E514" i="2"/>
  <c r="D514" i="2"/>
  <c r="B514" i="2"/>
  <c r="A514" i="2"/>
  <c r="O513" i="2"/>
  <c r="O512" i="2"/>
  <c r="O511" i="2"/>
  <c r="M511" i="2"/>
  <c r="L511" i="2"/>
  <c r="E511" i="2"/>
  <c r="D511" i="2"/>
  <c r="B511" i="2"/>
  <c r="A511" i="2"/>
  <c r="O510" i="2"/>
  <c r="O509" i="2"/>
  <c r="O508" i="2"/>
  <c r="M508" i="2"/>
  <c r="L508" i="2"/>
  <c r="E508" i="2"/>
  <c r="D508" i="2"/>
  <c r="B508" i="2"/>
  <c r="A508" i="2"/>
  <c r="O507" i="2"/>
  <c r="O506" i="2"/>
  <c r="O505" i="2"/>
  <c r="O504" i="2"/>
  <c r="M504" i="2"/>
  <c r="L504" i="2"/>
  <c r="E504" i="2"/>
  <c r="D504" i="2"/>
  <c r="B504" i="2"/>
  <c r="A504" i="2"/>
  <c r="O503" i="2"/>
  <c r="O502" i="2"/>
  <c r="O501" i="2"/>
  <c r="M501" i="2"/>
  <c r="L501" i="2"/>
  <c r="E501" i="2"/>
  <c r="D501" i="2"/>
  <c r="B501" i="2"/>
  <c r="A501" i="2"/>
  <c r="O500" i="2"/>
  <c r="O499" i="2"/>
  <c r="O498" i="2"/>
  <c r="O497" i="2"/>
  <c r="O496" i="2"/>
  <c r="M496" i="2"/>
  <c r="L496" i="2"/>
  <c r="E496" i="2"/>
  <c r="D496" i="2"/>
  <c r="B496" i="2"/>
  <c r="A496" i="2"/>
  <c r="O495" i="2"/>
  <c r="M495" i="2"/>
  <c r="L495" i="2"/>
  <c r="E495" i="2"/>
  <c r="D495" i="2"/>
  <c r="B495" i="2"/>
  <c r="A495" i="2"/>
  <c r="O494" i="2"/>
  <c r="O493" i="2"/>
  <c r="M493" i="2"/>
  <c r="L493" i="2"/>
  <c r="E493" i="2"/>
  <c r="D493" i="2"/>
  <c r="B493" i="2"/>
  <c r="A493" i="2"/>
  <c r="O492" i="2"/>
  <c r="M492" i="2"/>
  <c r="L492" i="2"/>
  <c r="E492" i="2"/>
  <c r="D492" i="2"/>
  <c r="B492" i="2"/>
  <c r="A492" i="2"/>
  <c r="O491" i="2"/>
  <c r="O490" i="2"/>
  <c r="O489" i="2"/>
  <c r="M489" i="2"/>
  <c r="L489" i="2"/>
  <c r="E489" i="2"/>
  <c r="D489" i="2"/>
  <c r="B489" i="2"/>
  <c r="A489" i="2"/>
  <c r="O488" i="2"/>
  <c r="O487" i="2"/>
  <c r="M487" i="2"/>
  <c r="L487" i="2"/>
  <c r="E487" i="2"/>
  <c r="D487" i="2"/>
  <c r="B487" i="2"/>
  <c r="A487" i="2"/>
  <c r="O486" i="2"/>
  <c r="O485" i="2"/>
  <c r="O484" i="2"/>
  <c r="M484" i="2"/>
  <c r="L484" i="2"/>
  <c r="E484" i="2"/>
  <c r="D484" i="2"/>
  <c r="B484" i="2"/>
  <c r="A484" i="2"/>
  <c r="O483" i="2"/>
  <c r="O482" i="2"/>
  <c r="O481" i="2"/>
  <c r="O480" i="2"/>
  <c r="O479" i="2"/>
  <c r="O478" i="2"/>
  <c r="O477" i="2"/>
  <c r="M477" i="2"/>
  <c r="L477" i="2"/>
  <c r="E477" i="2"/>
  <c r="D477" i="2"/>
  <c r="B477" i="2"/>
  <c r="A477" i="2"/>
  <c r="O476" i="2"/>
  <c r="O475" i="2"/>
  <c r="O474" i="2"/>
  <c r="O473" i="2"/>
  <c r="O472" i="2"/>
  <c r="M472" i="2"/>
  <c r="L472" i="2"/>
  <c r="E472" i="2"/>
  <c r="D472" i="2"/>
  <c r="B472" i="2"/>
  <c r="A472" i="2"/>
  <c r="O471" i="2"/>
  <c r="M471" i="2"/>
  <c r="L471" i="2"/>
  <c r="E471" i="2"/>
  <c r="D471" i="2"/>
  <c r="B471" i="2"/>
  <c r="A471" i="2"/>
  <c r="O470" i="2"/>
  <c r="M470" i="2"/>
  <c r="L470" i="2"/>
  <c r="E470" i="2"/>
  <c r="D470" i="2"/>
  <c r="B470" i="2"/>
  <c r="A470" i="2"/>
  <c r="O469" i="2"/>
  <c r="O468" i="2"/>
  <c r="O467" i="2"/>
  <c r="M467" i="2"/>
  <c r="L467" i="2"/>
  <c r="E467" i="2"/>
  <c r="D467" i="2"/>
  <c r="B467" i="2"/>
  <c r="A467" i="2"/>
  <c r="O466" i="2"/>
  <c r="O465" i="2"/>
  <c r="O464" i="2"/>
  <c r="M464" i="2"/>
  <c r="L464" i="2"/>
  <c r="E464" i="2"/>
  <c r="D464" i="2"/>
  <c r="B464" i="2"/>
  <c r="A464" i="2"/>
  <c r="O463" i="2"/>
  <c r="O462" i="2"/>
  <c r="O461" i="2"/>
  <c r="O460" i="2"/>
  <c r="O459" i="2"/>
  <c r="O458" i="2"/>
  <c r="O457" i="2"/>
  <c r="O456" i="2"/>
  <c r="O455" i="2"/>
  <c r="O454" i="2"/>
  <c r="O453" i="2"/>
  <c r="O452" i="2"/>
  <c r="M452" i="2"/>
  <c r="L452" i="2"/>
  <c r="E452" i="2"/>
  <c r="D452" i="2"/>
  <c r="B452" i="2"/>
  <c r="A452" i="2"/>
  <c r="O451" i="2"/>
  <c r="M451" i="2"/>
  <c r="L451" i="2"/>
  <c r="E451" i="2"/>
  <c r="D451" i="2"/>
  <c r="B451" i="2"/>
  <c r="A451" i="2"/>
  <c r="O450" i="2"/>
  <c r="M450" i="2"/>
  <c r="L450" i="2"/>
  <c r="E450" i="2"/>
  <c r="D450" i="2"/>
  <c r="B450" i="2"/>
  <c r="A450" i="2"/>
  <c r="O449" i="2"/>
  <c r="O448" i="2"/>
  <c r="O447" i="2"/>
  <c r="O446" i="2"/>
  <c r="O445" i="2"/>
  <c r="O444" i="2"/>
  <c r="M444" i="2"/>
  <c r="L444" i="2"/>
  <c r="E444" i="2"/>
  <c r="D444" i="2"/>
  <c r="B444" i="2"/>
  <c r="A444" i="2"/>
  <c r="O443" i="2"/>
  <c r="M443" i="2"/>
  <c r="L443" i="2"/>
  <c r="E443" i="2"/>
  <c r="D443" i="2"/>
  <c r="B443" i="2"/>
  <c r="A443" i="2"/>
  <c r="O442" i="2"/>
  <c r="O441" i="2"/>
  <c r="O440" i="2"/>
  <c r="M440" i="2"/>
  <c r="L440" i="2"/>
  <c r="E440" i="2"/>
  <c r="D440" i="2"/>
  <c r="B440" i="2"/>
  <c r="A440" i="2"/>
  <c r="O439" i="2"/>
  <c r="O438" i="2"/>
  <c r="O437" i="2"/>
  <c r="O436" i="2"/>
  <c r="M436" i="2"/>
  <c r="L436" i="2"/>
  <c r="E436" i="2"/>
  <c r="D436" i="2"/>
  <c r="B436" i="2"/>
  <c r="A436" i="2"/>
  <c r="O435" i="2"/>
  <c r="O434" i="2"/>
  <c r="O433" i="2"/>
  <c r="O432" i="2"/>
  <c r="O431" i="2"/>
  <c r="M431" i="2"/>
  <c r="L431" i="2"/>
  <c r="E431" i="2"/>
  <c r="D431" i="2"/>
  <c r="B431" i="2"/>
  <c r="A431" i="2"/>
  <c r="O430" i="2"/>
  <c r="O429" i="2"/>
  <c r="O428" i="2"/>
  <c r="M428" i="2"/>
  <c r="L428" i="2"/>
  <c r="E428" i="2"/>
  <c r="D428" i="2"/>
  <c r="B428" i="2"/>
  <c r="A428" i="2"/>
  <c r="O427" i="2"/>
  <c r="M427" i="2"/>
  <c r="L427" i="2"/>
  <c r="E427" i="2"/>
  <c r="D427" i="2"/>
  <c r="B427" i="2"/>
  <c r="A427" i="2"/>
  <c r="O426" i="2"/>
  <c r="O425" i="2"/>
  <c r="M425" i="2"/>
  <c r="L425" i="2"/>
  <c r="E425" i="2"/>
  <c r="D425" i="2"/>
  <c r="B425" i="2"/>
  <c r="A425" i="2"/>
  <c r="O424" i="2"/>
  <c r="O423" i="2"/>
  <c r="M423" i="2"/>
  <c r="L423" i="2"/>
  <c r="E423" i="2"/>
  <c r="D423" i="2"/>
  <c r="B423" i="2"/>
  <c r="A423" i="2"/>
  <c r="O422" i="2"/>
  <c r="M422" i="2"/>
  <c r="L422" i="2"/>
  <c r="E422" i="2"/>
  <c r="D422" i="2"/>
  <c r="B422" i="2"/>
  <c r="A422" i="2"/>
  <c r="O421" i="2"/>
  <c r="O420" i="2"/>
  <c r="M420" i="2"/>
  <c r="L420" i="2"/>
  <c r="E420" i="2"/>
  <c r="D420" i="2"/>
  <c r="B420" i="2"/>
  <c r="A420" i="2"/>
  <c r="O419" i="2"/>
  <c r="M419" i="2"/>
  <c r="L419" i="2"/>
  <c r="E419" i="2"/>
  <c r="D419" i="2"/>
  <c r="B419" i="2"/>
  <c r="A419" i="2"/>
  <c r="O418" i="2"/>
  <c r="M418" i="2"/>
  <c r="L418" i="2"/>
  <c r="E418" i="2"/>
  <c r="D418" i="2"/>
  <c r="B418" i="2"/>
  <c r="A418" i="2"/>
  <c r="O417" i="2"/>
  <c r="M417" i="2"/>
  <c r="L417" i="2"/>
  <c r="E417" i="2"/>
  <c r="D417" i="2"/>
  <c r="B417" i="2"/>
  <c r="A417" i="2"/>
  <c r="O416" i="2"/>
  <c r="M416" i="2"/>
  <c r="L416" i="2"/>
  <c r="E416" i="2"/>
  <c r="D416" i="2"/>
  <c r="B416" i="2"/>
  <c r="A416" i="2"/>
  <c r="O415" i="2"/>
  <c r="M415" i="2"/>
  <c r="L415" i="2"/>
  <c r="E415" i="2"/>
  <c r="D415" i="2"/>
  <c r="B415" i="2"/>
  <c r="A415" i="2"/>
  <c r="O414" i="2"/>
  <c r="O413" i="2"/>
  <c r="M413" i="2"/>
  <c r="L413" i="2"/>
  <c r="E413" i="2"/>
  <c r="D413" i="2"/>
  <c r="B413" i="2"/>
  <c r="A413" i="2"/>
  <c r="O412" i="2"/>
  <c r="O411" i="2"/>
  <c r="O410" i="2"/>
  <c r="O409" i="2"/>
  <c r="O408" i="2"/>
  <c r="M408" i="2"/>
  <c r="L408" i="2"/>
  <c r="E408" i="2"/>
  <c r="D408" i="2"/>
  <c r="B408" i="2"/>
  <c r="A408" i="2"/>
  <c r="O407" i="2"/>
  <c r="O406" i="2"/>
  <c r="O405" i="2"/>
  <c r="M405" i="2"/>
  <c r="L405" i="2"/>
  <c r="E405" i="2"/>
  <c r="D405" i="2"/>
  <c r="B405" i="2"/>
  <c r="A405" i="2"/>
  <c r="O404" i="2"/>
  <c r="O403" i="2"/>
  <c r="O402" i="2"/>
  <c r="O401" i="2"/>
  <c r="O400" i="2"/>
  <c r="M400" i="2"/>
  <c r="L400" i="2"/>
  <c r="E400" i="2"/>
  <c r="D400" i="2"/>
  <c r="B400" i="2"/>
  <c r="A400" i="2"/>
  <c r="O399" i="2"/>
  <c r="M399" i="2"/>
  <c r="L399" i="2"/>
  <c r="E399" i="2"/>
  <c r="D399" i="2"/>
  <c r="B399" i="2"/>
  <c r="A399" i="2"/>
  <c r="O398" i="2"/>
  <c r="O397" i="2"/>
  <c r="O396" i="2"/>
  <c r="O395" i="2"/>
  <c r="O394" i="2"/>
  <c r="O393" i="2"/>
  <c r="M393" i="2"/>
  <c r="L393" i="2"/>
  <c r="E393" i="2"/>
  <c r="D393" i="2"/>
  <c r="B393" i="2"/>
  <c r="A393" i="2"/>
  <c r="O392" i="2"/>
  <c r="M392" i="2"/>
  <c r="L392" i="2"/>
  <c r="E392" i="2"/>
  <c r="D392" i="2"/>
  <c r="B392" i="2"/>
  <c r="A392" i="2"/>
  <c r="O391" i="2"/>
  <c r="M391" i="2"/>
  <c r="L391" i="2"/>
  <c r="E391" i="2"/>
  <c r="D391" i="2"/>
  <c r="B391" i="2"/>
  <c r="A391" i="2"/>
  <c r="O390" i="2"/>
  <c r="M390" i="2"/>
  <c r="L390" i="2"/>
  <c r="E390" i="2"/>
  <c r="D390" i="2"/>
  <c r="B390" i="2"/>
  <c r="A390" i="2"/>
  <c r="O389" i="2"/>
  <c r="M389" i="2"/>
  <c r="L389" i="2"/>
  <c r="E389" i="2"/>
  <c r="D389" i="2"/>
  <c r="B389" i="2"/>
  <c r="A389" i="2"/>
  <c r="O388" i="2"/>
  <c r="O387" i="2"/>
  <c r="O386" i="2"/>
  <c r="O385" i="2"/>
  <c r="O384" i="2"/>
  <c r="O383" i="2"/>
  <c r="M383" i="2"/>
  <c r="L383" i="2"/>
  <c r="E383" i="2"/>
  <c r="D383" i="2"/>
  <c r="B383" i="2"/>
  <c r="A383" i="2"/>
  <c r="O382" i="2"/>
  <c r="O381" i="2"/>
  <c r="O380" i="2"/>
  <c r="O379" i="2"/>
  <c r="O378" i="2"/>
  <c r="M378" i="2"/>
  <c r="L378" i="2"/>
  <c r="E378" i="2"/>
  <c r="D378" i="2"/>
  <c r="B378" i="2"/>
  <c r="A378" i="2"/>
  <c r="O377" i="2"/>
  <c r="O376" i="2"/>
  <c r="O375" i="2"/>
  <c r="M375" i="2"/>
  <c r="L375" i="2"/>
  <c r="E375" i="2"/>
  <c r="D375" i="2"/>
  <c r="B375" i="2"/>
  <c r="A375" i="2"/>
  <c r="O374" i="2"/>
  <c r="O373" i="2"/>
  <c r="O372" i="2"/>
  <c r="M372" i="2"/>
  <c r="L372" i="2"/>
  <c r="E372" i="2"/>
  <c r="D372" i="2"/>
  <c r="B372" i="2"/>
  <c r="A372" i="2"/>
  <c r="O371" i="2"/>
  <c r="O370" i="2"/>
  <c r="O369" i="2"/>
  <c r="M369" i="2"/>
  <c r="L369" i="2"/>
  <c r="E369" i="2"/>
  <c r="D369" i="2"/>
  <c r="B369" i="2"/>
  <c r="A369" i="2"/>
  <c r="O368" i="2"/>
  <c r="M368" i="2"/>
  <c r="L368" i="2"/>
  <c r="E368" i="2"/>
  <c r="D368" i="2"/>
  <c r="B368" i="2"/>
  <c r="A368" i="2"/>
  <c r="O367" i="2"/>
  <c r="O366" i="2"/>
  <c r="M366" i="2"/>
  <c r="L366" i="2"/>
  <c r="E366" i="2"/>
  <c r="D366" i="2"/>
  <c r="B366" i="2"/>
  <c r="A366" i="2"/>
  <c r="O365" i="2"/>
  <c r="O364" i="2"/>
  <c r="O363" i="2"/>
  <c r="O362" i="2"/>
  <c r="O361" i="2"/>
  <c r="O360" i="2"/>
  <c r="O359" i="2"/>
  <c r="O358" i="2"/>
  <c r="O357" i="2"/>
  <c r="O356" i="2"/>
  <c r="M356" i="2"/>
  <c r="L356" i="2"/>
  <c r="E356" i="2"/>
  <c r="D356" i="2"/>
  <c r="B356" i="2"/>
  <c r="A356" i="2"/>
  <c r="O355" i="2"/>
  <c r="O354" i="2"/>
  <c r="O353" i="2"/>
  <c r="M353" i="2"/>
  <c r="L353" i="2"/>
  <c r="E353" i="2"/>
  <c r="D353" i="2"/>
  <c r="B353" i="2"/>
  <c r="A353" i="2"/>
  <c r="O352" i="2"/>
  <c r="O351" i="2"/>
  <c r="M351" i="2"/>
  <c r="L351" i="2"/>
  <c r="E351" i="2"/>
  <c r="D351" i="2"/>
  <c r="B351" i="2"/>
  <c r="A351" i="2"/>
  <c r="O350" i="2"/>
  <c r="M350" i="2"/>
  <c r="L350" i="2"/>
  <c r="E350" i="2"/>
  <c r="D350" i="2"/>
  <c r="B350" i="2"/>
  <c r="A350" i="2"/>
  <c r="O349" i="2"/>
  <c r="M349" i="2"/>
  <c r="L349" i="2"/>
  <c r="E349" i="2"/>
  <c r="D349" i="2"/>
  <c r="B349" i="2"/>
  <c r="A349" i="2"/>
  <c r="O348" i="2"/>
  <c r="O347" i="2"/>
  <c r="M347" i="2"/>
  <c r="L347" i="2"/>
  <c r="E347" i="2"/>
  <c r="D347" i="2"/>
  <c r="B347" i="2"/>
  <c r="A347" i="2"/>
  <c r="O346" i="2"/>
  <c r="O345" i="2"/>
  <c r="O344" i="2"/>
  <c r="O343" i="2"/>
  <c r="M343" i="2"/>
  <c r="L343" i="2"/>
  <c r="E343" i="2"/>
  <c r="D343" i="2"/>
  <c r="B343" i="2"/>
  <c r="A343" i="2"/>
  <c r="O342" i="2"/>
  <c r="O341" i="2"/>
  <c r="M341" i="2"/>
  <c r="L341" i="2"/>
  <c r="E341" i="2"/>
  <c r="D341" i="2"/>
  <c r="B341" i="2"/>
  <c r="A341" i="2"/>
  <c r="O340" i="2"/>
  <c r="O339" i="2"/>
  <c r="O338" i="2"/>
  <c r="O337" i="2"/>
  <c r="O336" i="2"/>
  <c r="O335" i="2"/>
  <c r="M335" i="2"/>
  <c r="L335" i="2"/>
  <c r="E335" i="2"/>
  <c r="D335" i="2"/>
  <c r="B335" i="2"/>
  <c r="A335" i="2"/>
  <c r="O334" i="2"/>
  <c r="O333" i="2"/>
  <c r="M333" i="2"/>
  <c r="L333" i="2"/>
  <c r="E333" i="2"/>
  <c r="D333" i="2"/>
  <c r="B333" i="2"/>
  <c r="A333" i="2"/>
  <c r="O332" i="2"/>
  <c r="M332" i="2"/>
  <c r="L332" i="2"/>
  <c r="E332" i="2"/>
  <c r="D332" i="2"/>
  <c r="B332" i="2"/>
  <c r="A332" i="2"/>
  <c r="O331" i="2"/>
  <c r="M331" i="2"/>
  <c r="L331" i="2"/>
  <c r="E331" i="2"/>
  <c r="D331" i="2"/>
  <c r="B331" i="2"/>
  <c r="A331" i="2"/>
  <c r="O330" i="2"/>
  <c r="O329" i="2"/>
  <c r="O328" i="2"/>
  <c r="M328" i="2"/>
  <c r="L328" i="2"/>
  <c r="E328" i="2"/>
  <c r="D328" i="2"/>
  <c r="B328" i="2"/>
  <c r="A328" i="2"/>
  <c r="O327" i="2"/>
  <c r="O326" i="2"/>
  <c r="O325" i="2"/>
  <c r="M325" i="2"/>
  <c r="L325" i="2"/>
  <c r="E325" i="2"/>
  <c r="D325" i="2"/>
  <c r="B325" i="2"/>
  <c r="A325" i="2"/>
  <c r="O324" i="2"/>
  <c r="M324" i="2"/>
  <c r="L324" i="2"/>
  <c r="E324" i="2"/>
  <c r="D324" i="2"/>
  <c r="B324" i="2"/>
  <c r="A324" i="2"/>
  <c r="O323" i="2"/>
  <c r="O322" i="2"/>
  <c r="M322" i="2"/>
  <c r="L322" i="2"/>
  <c r="E322" i="2"/>
  <c r="D322" i="2"/>
  <c r="B322" i="2"/>
  <c r="A322" i="2"/>
  <c r="O321" i="2"/>
  <c r="M321" i="2"/>
  <c r="L321" i="2"/>
  <c r="E321" i="2"/>
  <c r="D321" i="2"/>
  <c r="B321" i="2"/>
  <c r="A321" i="2"/>
  <c r="O320" i="2"/>
  <c r="O319" i="2"/>
  <c r="O318" i="2"/>
  <c r="O317" i="2"/>
  <c r="M317" i="2"/>
  <c r="L317" i="2"/>
  <c r="E317" i="2"/>
  <c r="D317" i="2"/>
  <c r="B317" i="2"/>
  <c r="A317" i="2"/>
  <c r="O316" i="2"/>
  <c r="M316" i="2"/>
  <c r="L316" i="2"/>
  <c r="E316" i="2"/>
  <c r="D316" i="2"/>
  <c r="B316" i="2"/>
  <c r="A316" i="2"/>
  <c r="O315" i="2"/>
  <c r="O314" i="2"/>
  <c r="M314" i="2"/>
  <c r="L314" i="2"/>
  <c r="E314" i="2"/>
  <c r="D314" i="2"/>
  <c r="B314" i="2"/>
  <c r="A314" i="2"/>
  <c r="O313" i="2"/>
  <c r="O312" i="2"/>
  <c r="M312" i="2"/>
  <c r="L312" i="2"/>
  <c r="E312" i="2"/>
  <c r="D312" i="2"/>
  <c r="B312" i="2"/>
  <c r="A312" i="2"/>
  <c r="O311" i="2"/>
  <c r="M311" i="2"/>
  <c r="L311" i="2"/>
  <c r="E311" i="2"/>
  <c r="D311" i="2"/>
  <c r="B311" i="2"/>
  <c r="A311" i="2"/>
  <c r="O310" i="2"/>
  <c r="O309" i="2"/>
  <c r="M309" i="2"/>
  <c r="L309" i="2"/>
  <c r="E309" i="2"/>
  <c r="D309" i="2"/>
  <c r="B309" i="2"/>
  <c r="A309" i="2"/>
  <c r="O308" i="2"/>
  <c r="M308" i="2"/>
  <c r="L308" i="2"/>
  <c r="E308" i="2"/>
  <c r="D308" i="2"/>
  <c r="B308" i="2"/>
  <c r="A308" i="2"/>
  <c r="O307" i="2"/>
  <c r="O306" i="2"/>
  <c r="O305" i="2"/>
  <c r="M305" i="2"/>
  <c r="L305" i="2"/>
  <c r="E305" i="2"/>
  <c r="D305" i="2"/>
  <c r="B305" i="2"/>
  <c r="A305" i="2"/>
  <c r="O304" i="2"/>
  <c r="M304" i="2"/>
  <c r="L304" i="2"/>
  <c r="E304" i="2"/>
  <c r="D304" i="2"/>
  <c r="B304" i="2"/>
  <c r="A304" i="2"/>
  <c r="O303" i="2"/>
  <c r="O302" i="2"/>
  <c r="M302" i="2"/>
  <c r="L302" i="2"/>
  <c r="E302" i="2"/>
  <c r="D302" i="2"/>
  <c r="B302" i="2"/>
  <c r="A302" i="2"/>
  <c r="O301" i="2"/>
  <c r="M301" i="2"/>
  <c r="L301" i="2"/>
  <c r="E301" i="2"/>
  <c r="D301" i="2"/>
  <c r="B301" i="2"/>
  <c r="A301" i="2"/>
  <c r="O300" i="2"/>
  <c r="O299" i="2"/>
  <c r="M299" i="2"/>
  <c r="L299" i="2"/>
  <c r="E299" i="2"/>
  <c r="D299" i="2"/>
  <c r="B299" i="2"/>
  <c r="A299" i="2"/>
  <c r="O298" i="2"/>
  <c r="O297" i="2"/>
  <c r="M297" i="2"/>
  <c r="L297" i="2"/>
  <c r="E297" i="2"/>
  <c r="D297" i="2"/>
  <c r="B297" i="2"/>
  <c r="A297" i="2"/>
  <c r="O296" i="2"/>
  <c r="M296" i="2"/>
  <c r="L296" i="2"/>
  <c r="E296" i="2"/>
  <c r="D296" i="2"/>
  <c r="B296" i="2"/>
  <c r="A296" i="2"/>
  <c r="O295" i="2"/>
  <c r="M295" i="2"/>
  <c r="L295" i="2"/>
  <c r="E295" i="2"/>
  <c r="D295" i="2"/>
  <c r="B295" i="2"/>
  <c r="A295" i="2"/>
  <c r="O294" i="2"/>
  <c r="M294" i="2"/>
  <c r="L294" i="2"/>
  <c r="E294" i="2"/>
  <c r="D294" i="2"/>
  <c r="B294" i="2"/>
  <c r="A294" i="2"/>
  <c r="O293" i="2"/>
  <c r="M293" i="2"/>
  <c r="L293" i="2"/>
  <c r="E293" i="2"/>
  <c r="D293" i="2"/>
  <c r="B293" i="2"/>
  <c r="A293" i="2"/>
  <c r="O292" i="2"/>
  <c r="M292" i="2"/>
  <c r="L292" i="2"/>
  <c r="E292" i="2"/>
  <c r="D292" i="2"/>
  <c r="B292" i="2"/>
  <c r="A292" i="2"/>
  <c r="O291" i="2"/>
  <c r="M291" i="2"/>
  <c r="L291" i="2"/>
  <c r="E291" i="2"/>
  <c r="D291" i="2"/>
  <c r="B291" i="2"/>
  <c r="A291" i="2"/>
  <c r="O290" i="2"/>
  <c r="O289" i="2"/>
  <c r="M289" i="2"/>
  <c r="L289" i="2"/>
  <c r="E289" i="2"/>
  <c r="D289" i="2"/>
  <c r="B289" i="2"/>
  <c r="A289" i="2"/>
  <c r="O288" i="2"/>
  <c r="M288" i="2"/>
  <c r="L288" i="2"/>
  <c r="E288" i="2"/>
  <c r="D288" i="2"/>
  <c r="B288" i="2"/>
  <c r="A288" i="2"/>
  <c r="O287" i="2"/>
  <c r="M287" i="2"/>
  <c r="L287" i="2"/>
  <c r="E287" i="2"/>
  <c r="D287" i="2"/>
  <c r="B287" i="2"/>
  <c r="A287" i="2"/>
  <c r="O286" i="2"/>
  <c r="M286" i="2"/>
  <c r="L286" i="2"/>
  <c r="E286" i="2"/>
  <c r="D286" i="2"/>
  <c r="B286" i="2"/>
  <c r="A286" i="2"/>
  <c r="O285" i="2"/>
  <c r="M285" i="2"/>
  <c r="L285" i="2"/>
  <c r="E285" i="2"/>
  <c r="D285" i="2"/>
  <c r="B285" i="2"/>
  <c r="A285" i="2"/>
  <c r="O284" i="2"/>
  <c r="M284" i="2"/>
  <c r="L284" i="2"/>
  <c r="E284" i="2"/>
  <c r="D284" i="2"/>
  <c r="B284" i="2"/>
  <c r="A284" i="2"/>
  <c r="O283" i="2"/>
  <c r="O282" i="2"/>
  <c r="M282" i="2"/>
  <c r="L282" i="2"/>
  <c r="E282" i="2"/>
  <c r="D282" i="2"/>
  <c r="B282" i="2"/>
  <c r="A282" i="2"/>
  <c r="O281" i="2"/>
  <c r="M281" i="2"/>
  <c r="L281" i="2"/>
  <c r="E281" i="2"/>
  <c r="D281" i="2"/>
  <c r="B281" i="2"/>
  <c r="A281" i="2"/>
  <c r="O280" i="2"/>
  <c r="O279" i="2"/>
  <c r="M279" i="2"/>
  <c r="L279" i="2"/>
  <c r="E279" i="2"/>
  <c r="D279" i="2"/>
  <c r="B279" i="2"/>
  <c r="A279" i="2"/>
  <c r="O278" i="2"/>
  <c r="M278" i="2"/>
  <c r="L278" i="2"/>
  <c r="E278" i="2"/>
  <c r="D278" i="2"/>
  <c r="B278" i="2"/>
  <c r="A278" i="2"/>
  <c r="O277" i="2"/>
  <c r="O276" i="2"/>
  <c r="M276" i="2"/>
  <c r="L276" i="2"/>
  <c r="E276" i="2"/>
  <c r="D276" i="2"/>
  <c r="B276" i="2"/>
  <c r="A276" i="2"/>
  <c r="O275" i="2"/>
  <c r="O274" i="2"/>
  <c r="O273" i="2"/>
  <c r="O272" i="2"/>
  <c r="O271" i="2"/>
  <c r="M271" i="2"/>
  <c r="L271" i="2"/>
  <c r="E271" i="2"/>
  <c r="D271" i="2"/>
  <c r="B271" i="2"/>
  <c r="A271" i="2"/>
  <c r="O270" i="2"/>
  <c r="M270" i="2"/>
  <c r="L270" i="2"/>
  <c r="E270" i="2"/>
  <c r="D270" i="2"/>
  <c r="B270" i="2"/>
  <c r="A270" i="2"/>
  <c r="O269" i="2"/>
  <c r="M269" i="2"/>
  <c r="L269" i="2"/>
  <c r="E269" i="2"/>
  <c r="D269" i="2"/>
  <c r="B269" i="2"/>
  <c r="A269" i="2"/>
  <c r="O268" i="2"/>
  <c r="M268" i="2"/>
  <c r="L268" i="2"/>
  <c r="E268" i="2"/>
  <c r="D268" i="2"/>
  <c r="B268" i="2"/>
  <c r="A268" i="2"/>
  <c r="O267" i="2"/>
  <c r="O266" i="2"/>
  <c r="M266" i="2"/>
  <c r="L266" i="2"/>
  <c r="E266" i="2"/>
  <c r="D266" i="2"/>
  <c r="B266" i="2"/>
  <c r="A266" i="2"/>
  <c r="O265" i="2"/>
  <c r="M265" i="2"/>
  <c r="L265" i="2"/>
  <c r="E265" i="2"/>
  <c r="D265" i="2"/>
  <c r="B265" i="2"/>
  <c r="A265" i="2"/>
  <c r="O264" i="2"/>
  <c r="O263" i="2"/>
  <c r="O262" i="2"/>
  <c r="M262" i="2"/>
  <c r="L262" i="2"/>
  <c r="E262" i="2"/>
  <c r="D262" i="2"/>
  <c r="B262" i="2"/>
  <c r="A262" i="2"/>
  <c r="O261" i="2"/>
  <c r="M261" i="2"/>
  <c r="L261" i="2"/>
  <c r="E261" i="2"/>
  <c r="D261" i="2"/>
  <c r="B261" i="2"/>
  <c r="A261" i="2"/>
  <c r="O260" i="2"/>
  <c r="O259" i="2"/>
  <c r="M259" i="2"/>
  <c r="L259" i="2"/>
  <c r="E259" i="2"/>
  <c r="D259" i="2"/>
  <c r="B259" i="2"/>
  <c r="A259" i="2"/>
  <c r="O258" i="2"/>
  <c r="O257" i="2"/>
  <c r="O256" i="2"/>
  <c r="O255" i="2"/>
  <c r="M255" i="2"/>
  <c r="L255" i="2"/>
  <c r="E255" i="2"/>
  <c r="D255" i="2"/>
  <c r="B255" i="2"/>
  <c r="A255" i="2"/>
  <c r="O254" i="2"/>
  <c r="M254" i="2"/>
  <c r="L254" i="2"/>
  <c r="E254" i="2"/>
  <c r="D254" i="2"/>
  <c r="B254" i="2"/>
  <c r="A254" i="2"/>
  <c r="O253" i="2"/>
  <c r="O252" i="2"/>
  <c r="M252" i="2"/>
  <c r="L252" i="2"/>
  <c r="E252" i="2"/>
  <c r="D252" i="2"/>
  <c r="B252" i="2"/>
  <c r="A252" i="2"/>
  <c r="O251" i="2"/>
  <c r="O250" i="2"/>
  <c r="O249" i="2"/>
  <c r="O248" i="2"/>
  <c r="M248" i="2"/>
  <c r="L248" i="2"/>
  <c r="E248" i="2"/>
  <c r="D248" i="2"/>
  <c r="B248" i="2"/>
  <c r="A248" i="2"/>
  <c r="O247" i="2"/>
  <c r="M247" i="2"/>
  <c r="L247" i="2"/>
  <c r="E247" i="2"/>
  <c r="D247" i="2"/>
  <c r="B247" i="2"/>
  <c r="A247" i="2"/>
  <c r="O246" i="2"/>
  <c r="O245" i="2"/>
  <c r="O244" i="2"/>
  <c r="O243" i="2"/>
  <c r="M243" i="2"/>
  <c r="L243" i="2"/>
  <c r="E243" i="2"/>
  <c r="D243" i="2"/>
  <c r="B243" i="2"/>
  <c r="A243" i="2"/>
  <c r="O242" i="2"/>
  <c r="O241" i="2"/>
  <c r="O240" i="2"/>
  <c r="O239" i="2"/>
  <c r="M239" i="2"/>
  <c r="L239" i="2"/>
  <c r="E239" i="2"/>
  <c r="D239" i="2"/>
  <c r="B239" i="2"/>
  <c r="A239" i="2"/>
  <c r="O238" i="2"/>
  <c r="O237" i="2"/>
  <c r="O236" i="2"/>
  <c r="M236" i="2"/>
  <c r="L236" i="2"/>
  <c r="E236" i="2"/>
  <c r="D236" i="2"/>
  <c r="B236" i="2"/>
  <c r="A236" i="2"/>
  <c r="O235" i="2"/>
  <c r="M235" i="2"/>
  <c r="L235" i="2"/>
  <c r="E235" i="2"/>
  <c r="D235" i="2"/>
  <c r="B235" i="2"/>
  <c r="A235" i="2"/>
  <c r="O234" i="2"/>
  <c r="M234" i="2"/>
  <c r="L234" i="2"/>
  <c r="E234" i="2"/>
  <c r="D234" i="2"/>
  <c r="B234" i="2"/>
  <c r="A234" i="2"/>
  <c r="O233" i="2"/>
  <c r="M233" i="2"/>
  <c r="L233" i="2"/>
  <c r="E233" i="2"/>
  <c r="D233" i="2"/>
  <c r="B233" i="2"/>
  <c r="A233" i="2"/>
  <c r="O232" i="2"/>
  <c r="M232" i="2"/>
  <c r="L232" i="2"/>
  <c r="E232" i="2"/>
  <c r="D232" i="2"/>
  <c r="B232" i="2"/>
  <c r="A232" i="2"/>
  <c r="O231" i="2"/>
  <c r="M231" i="2"/>
  <c r="L231" i="2"/>
  <c r="E231" i="2"/>
  <c r="D231" i="2"/>
  <c r="B231" i="2"/>
  <c r="A231" i="2"/>
  <c r="O230" i="2"/>
  <c r="M230" i="2"/>
  <c r="L230" i="2"/>
  <c r="E230" i="2"/>
  <c r="D230" i="2"/>
  <c r="B230" i="2"/>
  <c r="A230" i="2"/>
  <c r="O229" i="2"/>
  <c r="M229" i="2"/>
  <c r="L229" i="2"/>
  <c r="E229" i="2"/>
  <c r="D229" i="2"/>
  <c r="B229" i="2"/>
  <c r="A229" i="2"/>
  <c r="O228" i="2"/>
  <c r="M228" i="2"/>
  <c r="L228" i="2"/>
  <c r="E228" i="2"/>
  <c r="D228" i="2"/>
  <c r="B228" i="2"/>
  <c r="A228" i="2"/>
  <c r="O227" i="2"/>
  <c r="M227" i="2"/>
  <c r="L227" i="2"/>
  <c r="E227" i="2"/>
  <c r="D227" i="2"/>
  <c r="B227" i="2"/>
  <c r="A227" i="2"/>
  <c r="O226" i="2"/>
  <c r="O225" i="2"/>
  <c r="O224" i="2"/>
  <c r="M224" i="2"/>
  <c r="L224" i="2"/>
  <c r="E224" i="2"/>
  <c r="D224" i="2"/>
  <c r="B224" i="2"/>
  <c r="A224" i="2"/>
  <c r="O223" i="2"/>
  <c r="M223" i="2"/>
  <c r="L223" i="2"/>
  <c r="E223" i="2"/>
  <c r="D223" i="2"/>
  <c r="B223" i="2"/>
  <c r="A223" i="2"/>
  <c r="O222" i="2"/>
  <c r="M222" i="2"/>
  <c r="L222" i="2"/>
  <c r="E222" i="2"/>
  <c r="D222" i="2"/>
  <c r="B222" i="2"/>
  <c r="A222" i="2"/>
  <c r="O221" i="2"/>
  <c r="M221" i="2"/>
  <c r="L221" i="2"/>
  <c r="E221" i="2"/>
  <c r="D221" i="2"/>
  <c r="B221" i="2"/>
  <c r="A221" i="2"/>
  <c r="O220" i="2"/>
  <c r="O219" i="2"/>
  <c r="O218" i="2"/>
  <c r="M218" i="2"/>
  <c r="L218" i="2"/>
  <c r="E218" i="2"/>
  <c r="D218" i="2"/>
  <c r="B218" i="2"/>
  <c r="A218" i="2"/>
  <c r="O217" i="2"/>
  <c r="O216" i="2"/>
  <c r="M216" i="2"/>
  <c r="L216" i="2"/>
  <c r="E216" i="2"/>
  <c r="D216" i="2"/>
  <c r="B216" i="2"/>
  <c r="A216" i="2"/>
  <c r="O215" i="2"/>
  <c r="M215" i="2"/>
  <c r="L215" i="2"/>
  <c r="E215" i="2"/>
  <c r="D215" i="2"/>
  <c r="B215" i="2"/>
  <c r="A215" i="2"/>
  <c r="O214" i="2"/>
  <c r="O213" i="2"/>
  <c r="O212" i="2"/>
  <c r="O211" i="2"/>
  <c r="O210" i="2"/>
  <c r="O209" i="2"/>
  <c r="M209" i="2"/>
  <c r="L209" i="2"/>
  <c r="E209" i="2"/>
  <c r="D209" i="2"/>
  <c r="B209" i="2"/>
  <c r="A209" i="2"/>
  <c r="O208" i="2"/>
  <c r="O207" i="2"/>
  <c r="M207" i="2"/>
  <c r="L207" i="2"/>
  <c r="E207" i="2"/>
  <c r="D207" i="2"/>
  <c r="B207" i="2"/>
  <c r="A207" i="2"/>
  <c r="O206" i="2"/>
  <c r="O205" i="2"/>
  <c r="M205" i="2"/>
  <c r="L205" i="2"/>
  <c r="E205" i="2"/>
  <c r="D205" i="2"/>
  <c r="B205" i="2"/>
  <c r="A205" i="2"/>
  <c r="O204" i="2"/>
  <c r="M204" i="2"/>
  <c r="L204" i="2"/>
  <c r="E204" i="2"/>
  <c r="D204" i="2"/>
  <c r="B204" i="2"/>
  <c r="A204" i="2"/>
  <c r="O203" i="2"/>
  <c r="O202" i="2"/>
  <c r="M202" i="2"/>
  <c r="L202" i="2"/>
  <c r="E202" i="2"/>
  <c r="D202" i="2"/>
  <c r="B202" i="2"/>
  <c r="A202" i="2"/>
  <c r="O201" i="2"/>
  <c r="O200" i="2"/>
  <c r="M200" i="2"/>
  <c r="L200" i="2"/>
  <c r="E200" i="2"/>
  <c r="D200" i="2"/>
  <c r="B200" i="2"/>
  <c r="A200" i="2"/>
  <c r="O199" i="2"/>
  <c r="O198" i="2"/>
  <c r="O197" i="2"/>
  <c r="M197" i="2"/>
  <c r="L197" i="2"/>
  <c r="E197" i="2"/>
  <c r="D197" i="2"/>
  <c r="B197" i="2"/>
  <c r="A197" i="2"/>
  <c r="O196" i="2"/>
  <c r="O195" i="2"/>
  <c r="M195" i="2"/>
  <c r="L195" i="2"/>
  <c r="E195" i="2"/>
  <c r="D195" i="2"/>
  <c r="B195" i="2"/>
  <c r="A195" i="2"/>
  <c r="O194" i="2"/>
  <c r="M194" i="2"/>
  <c r="L194" i="2"/>
  <c r="E194" i="2"/>
  <c r="D194" i="2"/>
  <c r="B194" i="2"/>
  <c r="A194" i="2"/>
  <c r="O193" i="2"/>
  <c r="M193" i="2"/>
  <c r="L193" i="2"/>
  <c r="E193" i="2"/>
  <c r="D193" i="2"/>
  <c r="B193" i="2"/>
  <c r="A193" i="2"/>
  <c r="O192" i="2"/>
  <c r="M192" i="2"/>
  <c r="L192" i="2"/>
  <c r="E192" i="2"/>
  <c r="D192" i="2"/>
  <c r="B192" i="2"/>
  <c r="A192" i="2"/>
  <c r="O191" i="2"/>
  <c r="M191" i="2"/>
  <c r="L191" i="2"/>
  <c r="E191" i="2"/>
  <c r="D191" i="2"/>
  <c r="B191" i="2"/>
  <c r="A191" i="2"/>
  <c r="O190" i="2"/>
  <c r="M190" i="2"/>
  <c r="L190" i="2"/>
  <c r="E190" i="2"/>
  <c r="D190" i="2"/>
  <c r="B190" i="2"/>
  <c r="A190" i="2"/>
  <c r="O189" i="2"/>
  <c r="O188" i="2"/>
  <c r="O187" i="2"/>
  <c r="O186" i="2"/>
  <c r="M186" i="2"/>
  <c r="L186" i="2"/>
  <c r="E186" i="2"/>
  <c r="D186" i="2"/>
  <c r="B186" i="2"/>
  <c r="A186" i="2"/>
  <c r="O185" i="2"/>
  <c r="M185" i="2"/>
  <c r="L185" i="2"/>
  <c r="E185" i="2"/>
  <c r="D185" i="2"/>
  <c r="B185" i="2"/>
  <c r="A185" i="2"/>
  <c r="O184" i="2"/>
  <c r="O183" i="2"/>
  <c r="O182" i="2"/>
  <c r="O181" i="2"/>
  <c r="O180" i="2"/>
  <c r="O179" i="2"/>
  <c r="O178" i="2"/>
  <c r="O177" i="2"/>
  <c r="O176" i="2"/>
  <c r="O175" i="2"/>
  <c r="M175" i="2"/>
  <c r="L175" i="2"/>
  <c r="E175" i="2"/>
  <c r="D175" i="2"/>
  <c r="B175" i="2"/>
  <c r="A175" i="2"/>
  <c r="O174" i="2"/>
  <c r="M174" i="2"/>
  <c r="L174" i="2"/>
  <c r="E174" i="2"/>
  <c r="D174" i="2"/>
  <c r="B174" i="2"/>
  <c r="A174" i="2"/>
  <c r="O173" i="2"/>
  <c r="O172" i="2"/>
  <c r="M172" i="2"/>
  <c r="L172" i="2"/>
  <c r="E172" i="2"/>
  <c r="D172" i="2"/>
  <c r="B172" i="2"/>
  <c r="A172" i="2"/>
  <c r="O171" i="2"/>
  <c r="O170" i="2"/>
  <c r="M170" i="2"/>
  <c r="L170" i="2"/>
  <c r="E170" i="2"/>
  <c r="D170" i="2"/>
  <c r="B170" i="2"/>
  <c r="A170" i="2"/>
  <c r="O169" i="2"/>
  <c r="O168" i="2"/>
  <c r="M168" i="2"/>
  <c r="L168" i="2"/>
  <c r="E168" i="2"/>
  <c r="D168" i="2"/>
  <c r="B168" i="2"/>
  <c r="A168" i="2"/>
  <c r="O167" i="2"/>
  <c r="M167" i="2"/>
  <c r="L167" i="2"/>
  <c r="E167" i="2"/>
  <c r="D167" i="2"/>
  <c r="B167" i="2"/>
  <c r="A167" i="2"/>
  <c r="O166" i="2"/>
  <c r="M166" i="2"/>
  <c r="L166" i="2"/>
  <c r="E166" i="2"/>
  <c r="D166" i="2"/>
  <c r="B166" i="2"/>
  <c r="A166" i="2"/>
  <c r="O165" i="2"/>
  <c r="O164" i="2"/>
  <c r="O163" i="2"/>
  <c r="O162" i="2"/>
  <c r="M162" i="2"/>
  <c r="L162" i="2"/>
  <c r="E162" i="2"/>
  <c r="D162" i="2"/>
  <c r="B162" i="2"/>
  <c r="A162" i="2"/>
  <c r="O161" i="2"/>
  <c r="O160" i="2"/>
  <c r="O159" i="2"/>
  <c r="O158" i="2"/>
  <c r="O157" i="2"/>
  <c r="M157" i="2"/>
  <c r="L157" i="2"/>
  <c r="E157" i="2"/>
  <c r="D157" i="2"/>
  <c r="B157" i="2"/>
  <c r="A157" i="2"/>
  <c r="O156" i="2"/>
  <c r="M156" i="2"/>
  <c r="L156" i="2"/>
  <c r="E156" i="2"/>
  <c r="D156" i="2"/>
  <c r="B156" i="2"/>
  <c r="A156" i="2"/>
  <c r="O155" i="2"/>
  <c r="O154" i="2"/>
  <c r="M154" i="2"/>
  <c r="L154" i="2"/>
  <c r="E154" i="2"/>
  <c r="D154" i="2"/>
  <c r="B154" i="2"/>
  <c r="A154" i="2"/>
  <c r="O153" i="2"/>
  <c r="M153" i="2"/>
  <c r="L153" i="2"/>
  <c r="E153" i="2"/>
  <c r="D153" i="2"/>
  <c r="B153" i="2"/>
  <c r="A153" i="2"/>
  <c r="O152" i="2"/>
  <c r="O151" i="2"/>
  <c r="M151" i="2"/>
  <c r="L151" i="2"/>
  <c r="E151" i="2"/>
  <c r="D151" i="2"/>
  <c r="B151" i="2"/>
  <c r="A151" i="2"/>
  <c r="O150" i="2"/>
  <c r="M150" i="2"/>
  <c r="L150" i="2"/>
  <c r="E150" i="2"/>
  <c r="D150" i="2"/>
  <c r="B150" i="2"/>
  <c r="A150" i="2"/>
  <c r="O149" i="2"/>
  <c r="M149" i="2"/>
  <c r="L149" i="2"/>
  <c r="E149" i="2"/>
  <c r="D149" i="2"/>
  <c r="B149" i="2"/>
  <c r="A149" i="2"/>
  <c r="O148" i="2"/>
  <c r="M148" i="2"/>
  <c r="L148" i="2"/>
  <c r="E148" i="2"/>
  <c r="D148" i="2"/>
  <c r="B148" i="2"/>
  <c r="A148" i="2"/>
  <c r="O147" i="2"/>
  <c r="M147" i="2"/>
  <c r="L147" i="2"/>
  <c r="E147" i="2"/>
  <c r="D147" i="2"/>
  <c r="B147" i="2"/>
  <c r="A147" i="2"/>
  <c r="O146" i="2"/>
  <c r="M146" i="2"/>
  <c r="L146" i="2"/>
  <c r="E146" i="2"/>
  <c r="D146" i="2"/>
  <c r="B146" i="2"/>
  <c r="A146" i="2"/>
  <c r="O145" i="2"/>
  <c r="M145" i="2"/>
  <c r="L145" i="2"/>
  <c r="E145" i="2"/>
  <c r="D145" i="2"/>
  <c r="B145" i="2"/>
  <c r="A145" i="2"/>
  <c r="O144" i="2"/>
  <c r="M144" i="2"/>
  <c r="L144" i="2"/>
  <c r="E144" i="2"/>
  <c r="D144" i="2"/>
  <c r="B144" i="2"/>
  <c r="A144" i="2"/>
  <c r="O143" i="2"/>
  <c r="O142" i="2"/>
  <c r="O141" i="2"/>
  <c r="M141" i="2"/>
  <c r="L141" i="2"/>
  <c r="E141" i="2"/>
  <c r="D141" i="2"/>
  <c r="B141" i="2"/>
  <c r="A141" i="2"/>
  <c r="O140" i="2"/>
  <c r="O139" i="2"/>
  <c r="O138" i="2"/>
  <c r="O137" i="2"/>
  <c r="O136" i="2"/>
  <c r="O135" i="2"/>
  <c r="M135" i="2"/>
  <c r="L135" i="2"/>
  <c r="E135" i="2"/>
  <c r="D135" i="2"/>
  <c r="B135" i="2"/>
  <c r="A135" i="2"/>
  <c r="O134" i="2"/>
  <c r="M134" i="2"/>
  <c r="L134" i="2"/>
  <c r="E134" i="2"/>
  <c r="D134" i="2"/>
  <c r="B134" i="2"/>
  <c r="A134" i="2"/>
  <c r="O133" i="2"/>
  <c r="M133" i="2"/>
  <c r="L133" i="2"/>
  <c r="E133" i="2"/>
  <c r="D133" i="2"/>
  <c r="B133" i="2"/>
  <c r="A133" i="2"/>
  <c r="O132" i="2"/>
  <c r="M132" i="2"/>
  <c r="L132" i="2"/>
  <c r="E132" i="2"/>
  <c r="D132" i="2"/>
  <c r="B132" i="2"/>
  <c r="A132" i="2"/>
  <c r="O131" i="2"/>
  <c r="O130" i="2"/>
  <c r="O129" i="2"/>
  <c r="M129" i="2"/>
  <c r="L129" i="2"/>
  <c r="E129" i="2"/>
  <c r="D129" i="2"/>
  <c r="B129" i="2"/>
  <c r="A129" i="2"/>
  <c r="O128" i="2"/>
  <c r="O127" i="2"/>
  <c r="M127" i="2"/>
  <c r="L127" i="2"/>
  <c r="E127" i="2"/>
  <c r="D127" i="2"/>
  <c r="B127" i="2"/>
  <c r="A127" i="2"/>
  <c r="O126" i="2"/>
  <c r="M126" i="2"/>
  <c r="L126" i="2"/>
  <c r="E126" i="2"/>
  <c r="D126" i="2"/>
  <c r="B126" i="2"/>
  <c r="A126" i="2"/>
  <c r="O125" i="2"/>
  <c r="M125" i="2"/>
  <c r="L125" i="2"/>
  <c r="E125" i="2"/>
  <c r="D125" i="2"/>
  <c r="B125" i="2"/>
  <c r="A125" i="2"/>
  <c r="O124" i="2"/>
  <c r="O123" i="2"/>
  <c r="M123" i="2"/>
  <c r="L123" i="2"/>
  <c r="E123" i="2"/>
  <c r="D123" i="2"/>
  <c r="B123" i="2"/>
  <c r="A123" i="2"/>
  <c r="O122" i="2"/>
  <c r="M122" i="2"/>
  <c r="L122" i="2"/>
  <c r="E122" i="2"/>
  <c r="D122" i="2"/>
  <c r="B122" i="2"/>
  <c r="A122" i="2"/>
  <c r="O121" i="2"/>
  <c r="O120" i="2"/>
  <c r="O119" i="2"/>
  <c r="M119" i="2"/>
  <c r="L119" i="2"/>
  <c r="E119" i="2"/>
  <c r="D119" i="2"/>
  <c r="B119" i="2"/>
  <c r="A119" i="2"/>
  <c r="O118" i="2"/>
  <c r="O117" i="2"/>
  <c r="O116" i="2"/>
  <c r="M116" i="2"/>
  <c r="L116" i="2"/>
  <c r="E116" i="2"/>
  <c r="D116" i="2"/>
  <c r="B116" i="2"/>
  <c r="A116" i="2"/>
  <c r="O115" i="2"/>
  <c r="M115" i="2"/>
  <c r="L115" i="2"/>
  <c r="E115" i="2"/>
  <c r="D115" i="2"/>
  <c r="B115" i="2"/>
  <c r="A115" i="2"/>
  <c r="O114" i="2"/>
  <c r="M114" i="2"/>
  <c r="L114" i="2"/>
  <c r="E114" i="2"/>
  <c r="D114" i="2"/>
  <c r="B114" i="2"/>
  <c r="A114" i="2"/>
  <c r="O113" i="2"/>
  <c r="M113" i="2"/>
  <c r="L113" i="2"/>
  <c r="E113" i="2"/>
  <c r="D113" i="2"/>
  <c r="B113" i="2"/>
  <c r="A113" i="2"/>
  <c r="O112" i="2"/>
  <c r="O111" i="2"/>
  <c r="O110" i="2"/>
  <c r="O109" i="2"/>
  <c r="M109" i="2"/>
  <c r="L109" i="2"/>
  <c r="E109" i="2"/>
  <c r="D109" i="2"/>
  <c r="B109" i="2"/>
  <c r="A109" i="2"/>
  <c r="O108" i="2"/>
  <c r="O107" i="2"/>
  <c r="O106" i="2"/>
  <c r="O105" i="2"/>
  <c r="O104" i="2"/>
  <c r="M104" i="2"/>
  <c r="L104" i="2"/>
  <c r="E104" i="2"/>
  <c r="D104" i="2"/>
  <c r="B104" i="2"/>
  <c r="A104" i="2"/>
  <c r="O103" i="2"/>
  <c r="O102" i="2"/>
  <c r="M102" i="2"/>
  <c r="L102" i="2"/>
  <c r="E102" i="2"/>
  <c r="D102" i="2"/>
  <c r="B102" i="2"/>
  <c r="A102" i="2"/>
  <c r="O101" i="2"/>
  <c r="M101" i="2"/>
  <c r="L101" i="2"/>
  <c r="E101" i="2"/>
  <c r="D101" i="2"/>
  <c r="B101" i="2"/>
  <c r="A101" i="2"/>
  <c r="O100" i="2"/>
  <c r="O99" i="2"/>
  <c r="M99" i="2"/>
  <c r="L99" i="2"/>
  <c r="E99" i="2"/>
  <c r="D99" i="2"/>
  <c r="B99" i="2"/>
  <c r="A99" i="2"/>
  <c r="O98" i="2"/>
  <c r="M98" i="2"/>
  <c r="L98" i="2"/>
  <c r="E98" i="2"/>
  <c r="D98" i="2"/>
  <c r="B98" i="2"/>
  <c r="A98" i="2"/>
  <c r="O97" i="2"/>
  <c r="O96" i="2"/>
  <c r="M96" i="2"/>
  <c r="L96" i="2"/>
  <c r="E96" i="2"/>
  <c r="D96" i="2"/>
  <c r="B96" i="2"/>
  <c r="A96" i="2"/>
  <c r="O95" i="2"/>
  <c r="M95" i="2"/>
  <c r="L95" i="2"/>
  <c r="E95" i="2"/>
  <c r="D95" i="2"/>
  <c r="B95" i="2"/>
  <c r="A95" i="2"/>
  <c r="O94" i="2"/>
  <c r="M94" i="2"/>
  <c r="L94" i="2"/>
  <c r="E94" i="2"/>
  <c r="D94" i="2"/>
  <c r="B94" i="2"/>
  <c r="A94" i="2"/>
  <c r="O93" i="2"/>
  <c r="O92" i="2"/>
  <c r="O91" i="2"/>
  <c r="O90" i="2"/>
  <c r="M90" i="2"/>
  <c r="L90" i="2"/>
  <c r="E90" i="2"/>
  <c r="D90" i="2"/>
  <c r="B90" i="2"/>
  <c r="A90" i="2"/>
  <c r="O89" i="2"/>
  <c r="M89" i="2"/>
  <c r="L89" i="2"/>
  <c r="E89" i="2"/>
  <c r="D89" i="2"/>
  <c r="B89" i="2"/>
  <c r="A89" i="2"/>
  <c r="O88" i="2"/>
  <c r="M88" i="2"/>
  <c r="L88" i="2"/>
  <c r="E88" i="2"/>
  <c r="D88" i="2"/>
  <c r="B88" i="2"/>
  <c r="A88" i="2"/>
  <c r="O87" i="2"/>
  <c r="M87" i="2"/>
  <c r="L87" i="2"/>
  <c r="E87" i="2"/>
  <c r="D87" i="2"/>
  <c r="B87" i="2"/>
  <c r="A87" i="2"/>
  <c r="O86" i="2"/>
  <c r="O85" i="2"/>
  <c r="M85" i="2"/>
  <c r="L85" i="2"/>
  <c r="E85" i="2"/>
  <c r="D85" i="2"/>
  <c r="B85" i="2"/>
  <c r="A85" i="2"/>
  <c r="O84" i="2"/>
  <c r="M84" i="2"/>
  <c r="L84" i="2"/>
  <c r="E84" i="2"/>
  <c r="D84" i="2"/>
  <c r="B84" i="2"/>
  <c r="A84" i="2"/>
  <c r="O83" i="2"/>
  <c r="M83" i="2"/>
  <c r="L83" i="2"/>
  <c r="E83" i="2"/>
  <c r="D83" i="2"/>
  <c r="B83" i="2"/>
  <c r="A83" i="2"/>
  <c r="O82" i="2"/>
  <c r="O81" i="2"/>
  <c r="M81" i="2"/>
  <c r="L81" i="2"/>
  <c r="E81" i="2"/>
  <c r="D81" i="2"/>
  <c r="B81" i="2"/>
  <c r="A81" i="2"/>
  <c r="O80" i="2"/>
  <c r="M80" i="2"/>
  <c r="L80" i="2"/>
  <c r="E80" i="2"/>
  <c r="D80" i="2"/>
  <c r="B80" i="2"/>
  <c r="A80" i="2"/>
  <c r="O79" i="2"/>
  <c r="O78" i="2"/>
  <c r="M78" i="2"/>
  <c r="L78" i="2"/>
  <c r="E78" i="2"/>
  <c r="D78" i="2"/>
  <c r="B78" i="2"/>
  <c r="A78" i="2"/>
  <c r="O77" i="2"/>
  <c r="O76" i="2"/>
  <c r="O75" i="2"/>
  <c r="O74" i="2"/>
  <c r="M74" i="2"/>
  <c r="L74" i="2"/>
  <c r="E74" i="2"/>
  <c r="D74" i="2"/>
  <c r="B74" i="2"/>
  <c r="A74" i="2"/>
  <c r="O73" i="2"/>
  <c r="M73" i="2"/>
  <c r="L73" i="2"/>
  <c r="E73" i="2"/>
  <c r="D73" i="2"/>
  <c r="B73" i="2"/>
  <c r="A73" i="2"/>
  <c r="O72" i="2"/>
  <c r="O71" i="2"/>
  <c r="O70" i="2"/>
  <c r="O69" i="2"/>
  <c r="M69" i="2"/>
  <c r="L69" i="2"/>
  <c r="E69" i="2"/>
  <c r="D69" i="2"/>
  <c r="B69" i="2"/>
  <c r="A69" i="2"/>
  <c r="O68" i="2"/>
  <c r="M68" i="2"/>
  <c r="L68" i="2"/>
  <c r="E68" i="2"/>
  <c r="D68" i="2"/>
  <c r="B68" i="2"/>
  <c r="A68" i="2"/>
  <c r="O67" i="2"/>
  <c r="O66" i="2"/>
  <c r="M66" i="2"/>
  <c r="L66" i="2"/>
  <c r="E66" i="2"/>
  <c r="D66" i="2"/>
  <c r="B66" i="2"/>
  <c r="A66" i="2"/>
  <c r="O65" i="2"/>
  <c r="M65" i="2"/>
  <c r="L65" i="2"/>
  <c r="E65" i="2"/>
  <c r="D65" i="2"/>
  <c r="B65" i="2"/>
  <c r="A65" i="2"/>
  <c r="O64" i="2"/>
  <c r="M64" i="2"/>
  <c r="L64" i="2"/>
  <c r="E64" i="2"/>
  <c r="D64" i="2"/>
  <c r="B64" i="2"/>
  <c r="A64" i="2"/>
  <c r="O63" i="2"/>
  <c r="O62" i="2"/>
  <c r="M62" i="2"/>
  <c r="L62" i="2"/>
  <c r="E62" i="2"/>
  <c r="D62" i="2"/>
  <c r="B62" i="2"/>
  <c r="A62" i="2"/>
  <c r="O61" i="2"/>
  <c r="O60" i="2"/>
  <c r="M60" i="2"/>
  <c r="L60" i="2"/>
  <c r="E60" i="2"/>
  <c r="D60" i="2"/>
  <c r="B60" i="2"/>
  <c r="A60" i="2"/>
  <c r="O59" i="2"/>
  <c r="M59" i="2"/>
  <c r="L59" i="2"/>
  <c r="E59" i="2"/>
  <c r="D59" i="2"/>
  <c r="B59" i="2"/>
  <c r="A59" i="2"/>
  <c r="O58" i="2"/>
  <c r="O57" i="2"/>
  <c r="O56" i="2"/>
  <c r="O55" i="2"/>
  <c r="M55" i="2"/>
  <c r="L55" i="2"/>
  <c r="E55" i="2"/>
  <c r="D55" i="2"/>
  <c r="B55" i="2"/>
  <c r="A55" i="2"/>
  <c r="O54" i="2"/>
  <c r="M54" i="2"/>
  <c r="L54" i="2"/>
  <c r="E54" i="2"/>
  <c r="D54" i="2"/>
  <c r="B54" i="2"/>
  <c r="A54" i="2"/>
  <c r="O53" i="2"/>
  <c r="M53" i="2"/>
  <c r="L53" i="2"/>
  <c r="E53" i="2"/>
  <c r="D53" i="2"/>
  <c r="B53" i="2"/>
  <c r="A53" i="2"/>
  <c r="O52" i="2"/>
  <c r="M52" i="2"/>
  <c r="L52" i="2"/>
  <c r="E52" i="2"/>
  <c r="D52" i="2"/>
  <c r="B52" i="2"/>
  <c r="A52" i="2"/>
  <c r="O51" i="2"/>
  <c r="M51" i="2"/>
  <c r="L51" i="2"/>
  <c r="E51" i="2"/>
  <c r="D51" i="2"/>
  <c r="B51" i="2"/>
  <c r="A51" i="2"/>
  <c r="O50" i="2"/>
  <c r="M50" i="2"/>
  <c r="L50" i="2"/>
  <c r="E50" i="2"/>
  <c r="D50" i="2"/>
  <c r="B50" i="2"/>
  <c r="A50" i="2"/>
  <c r="O49" i="2"/>
  <c r="M49" i="2"/>
  <c r="L49" i="2"/>
  <c r="E49" i="2"/>
  <c r="D49" i="2"/>
  <c r="B49" i="2"/>
  <c r="A49" i="2"/>
  <c r="O48" i="2"/>
  <c r="M48" i="2"/>
  <c r="L48" i="2"/>
  <c r="E48" i="2"/>
  <c r="D48" i="2"/>
  <c r="B48" i="2"/>
  <c r="A48" i="2"/>
  <c r="O47" i="2"/>
  <c r="M47" i="2"/>
  <c r="L47" i="2"/>
  <c r="E47" i="2"/>
  <c r="D47" i="2"/>
  <c r="B47" i="2"/>
  <c r="A47" i="2"/>
  <c r="O46" i="2"/>
  <c r="O45" i="2"/>
  <c r="M45" i="2"/>
  <c r="L45" i="2"/>
  <c r="E45" i="2"/>
  <c r="D45" i="2"/>
  <c r="B45" i="2"/>
  <c r="A45" i="2"/>
  <c r="O44" i="2"/>
  <c r="M44" i="2"/>
  <c r="L44" i="2"/>
  <c r="E44" i="2"/>
  <c r="D44" i="2"/>
  <c r="B44" i="2"/>
  <c r="A44" i="2"/>
  <c r="O43" i="2"/>
  <c r="M43" i="2"/>
  <c r="L43" i="2"/>
  <c r="E43" i="2"/>
  <c r="D43" i="2"/>
  <c r="B43" i="2"/>
  <c r="A43" i="2"/>
  <c r="O42" i="2"/>
  <c r="M42" i="2"/>
  <c r="L42" i="2"/>
  <c r="E42" i="2"/>
  <c r="D42" i="2"/>
  <c r="B42" i="2"/>
  <c r="A42" i="2"/>
  <c r="O41" i="2"/>
  <c r="O40" i="2"/>
  <c r="O39" i="2"/>
  <c r="O38" i="2"/>
  <c r="O37" i="2"/>
  <c r="O36" i="2"/>
  <c r="O35" i="2"/>
  <c r="O34" i="2"/>
  <c r="O33" i="2"/>
  <c r="O32" i="2"/>
  <c r="O31" i="2"/>
  <c r="O30" i="2"/>
  <c r="M30" i="2"/>
  <c r="L30" i="2"/>
  <c r="E30" i="2"/>
  <c r="D30" i="2"/>
  <c r="B30" i="2"/>
  <c r="A30" i="2"/>
  <c r="O29" i="2"/>
  <c r="O28" i="2"/>
  <c r="M28" i="2"/>
  <c r="L28" i="2"/>
  <c r="E28" i="2"/>
  <c r="D28" i="2"/>
  <c r="B28" i="2"/>
  <c r="A28" i="2"/>
  <c r="O27" i="2"/>
  <c r="O26" i="2"/>
  <c r="M26" i="2"/>
  <c r="L26" i="2"/>
  <c r="E26" i="2"/>
  <c r="D26" i="2"/>
  <c r="B26" i="2"/>
  <c r="A26" i="2"/>
  <c r="O25" i="2"/>
  <c r="M25" i="2"/>
  <c r="L25" i="2"/>
  <c r="E25" i="2"/>
  <c r="D25" i="2"/>
  <c r="B25" i="2"/>
  <c r="A25" i="2"/>
  <c r="O24" i="2"/>
  <c r="O23" i="2"/>
  <c r="M23" i="2"/>
  <c r="L23" i="2"/>
  <c r="E23" i="2"/>
  <c r="D23" i="2"/>
  <c r="B23" i="2"/>
  <c r="A23" i="2"/>
  <c r="O22" i="2"/>
  <c r="M22" i="2"/>
  <c r="L22" i="2"/>
  <c r="E22" i="2"/>
  <c r="D22" i="2"/>
  <c r="B22" i="2"/>
  <c r="A22" i="2"/>
  <c r="O21" i="2"/>
  <c r="M21" i="2"/>
  <c r="L21" i="2"/>
  <c r="E21" i="2"/>
  <c r="D21" i="2"/>
  <c r="B21" i="2"/>
  <c r="A21" i="2"/>
  <c r="O20" i="2"/>
  <c r="M20" i="2"/>
  <c r="L20" i="2"/>
  <c r="E20" i="2"/>
  <c r="D20" i="2"/>
  <c r="B20" i="2"/>
  <c r="A20" i="2"/>
  <c r="O19" i="2"/>
  <c r="O18" i="2"/>
  <c r="M18" i="2"/>
  <c r="L18" i="2"/>
  <c r="E18" i="2"/>
  <c r="D18" i="2"/>
  <c r="B18" i="2"/>
  <c r="A18" i="2"/>
  <c r="O17" i="2"/>
  <c r="O16" i="2"/>
  <c r="M16" i="2"/>
  <c r="L16" i="2"/>
  <c r="E16" i="2"/>
  <c r="D16" i="2"/>
  <c r="B16" i="2"/>
  <c r="A16" i="2"/>
  <c r="O15" i="2"/>
  <c r="O14" i="2"/>
  <c r="O13" i="2"/>
  <c r="O12" i="2"/>
  <c r="O11" i="2"/>
  <c r="M11" i="2"/>
  <c r="L11" i="2"/>
  <c r="E11" i="2"/>
  <c r="D11" i="2"/>
  <c r="B11" i="2"/>
  <c r="A11" i="2"/>
  <c r="O10" i="2"/>
  <c r="M10" i="2"/>
  <c r="L10" i="2"/>
  <c r="E10" i="2"/>
  <c r="D10" i="2"/>
  <c r="B10" i="2"/>
  <c r="A10" i="2"/>
  <c r="O9" i="2"/>
  <c r="M9" i="2"/>
  <c r="L9" i="2"/>
  <c r="E9" i="2"/>
  <c r="D9" i="2"/>
  <c r="B9" i="2"/>
  <c r="A9" i="2"/>
  <c r="O8" i="2"/>
  <c r="O7" i="2"/>
  <c r="O6" i="2"/>
  <c r="M6" i="2"/>
  <c r="L6" i="2"/>
  <c r="E6" i="2"/>
  <c r="D6" i="2"/>
  <c r="B6" i="2"/>
  <c r="A6" i="2"/>
  <c r="O5" i="2"/>
  <c r="O4" i="2"/>
  <c r="M4" i="2"/>
  <c r="L4" i="2"/>
  <c r="E4" i="2"/>
  <c r="D4" i="2"/>
  <c r="B4" i="2"/>
  <c r="A4" i="2"/>
  <c r="O3" i="2"/>
  <c r="M3" i="2"/>
  <c r="L3" i="2"/>
  <c r="E3" i="2"/>
  <c r="D3" i="2"/>
  <c r="B3" i="2"/>
  <c r="A3" i="2"/>
</calcChain>
</file>

<file path=xl/sharedStrings.xml><?xml version="1.0" encoding="utf-8"?>
<sst xmlns="http://schemas.openxmlformats.org/spreadsheetml/2006/main" count="4477" uniqueCount="48">
  <si>
    <t>Report Name:</t>
  </si>
  <si>
    <t>Email Open and Click Rates</t>
  </si>
  <si>
    <t>Export Date Time:</t>
  </si>
  <si>
    <t>05 Aug 2026 13:08 BST</t>
  </si>
  <si>
    <t>Last Ran Date:</t>
  </si>
  <si>
    <t>05 Aug 2026 13:07 BST</t>
  </si>
  <si>
    <t>Description:</t>
  </si>
  <si>
    <t/>
  </si>
  <si>
    <t>Export By:</t>
  </si>
  <si>
    <t>sfeck@otsuka-europe.com</t>
  </si>
  <si>
    <t>Report Type:</t>
  </si>
  <si>
    <t>Sent Email with Account and Approved Document and Email Activity</t>
  </si>
  <si>
    <t>Filters:</t>
  </si>
  <si>
    <t>Sent Email &gt; Sent Date is in the range "01 Jul 2026 to 31 Jul 2026"</t>
  </si>
  <si>
    <t>Tags:</t>
  </si>
  <si>
    <t>Admin</t>
  </si>
  <si>
    <t>Vault Name:</t>
  </si>
  <si>
    <t>Otsuka Europe Vault CRM</t>
  </si>
  <si>
    <t>Domain Name:</t>
  </si>
  <si>
    <t>otsuka-europe</t>
  </si>
  <si>
    <t>Account (4438)</t>
  </si>
  <si>
    <t>Approved Document (4438)</t>
  </si>
  <si>
    <t>Sent Email (4438)</t>
  </si>
  <si>
    <t>Email Activity (9433)</t>
  </si>
  <si>
    <t>Name [*]</t>
  </si>
  <si>
    <t>Country [*]</t>
  </si>
  <si>
    <t>Primary Country [**]</t>
  </si>
  <si>
    <t>Approved Document Name</t>
  </si>
  <si>
    <t>Sent Email Name▴</t>
  </si>
  <si>
    <t>Last Open</t>
  </si>
  <si>
    <t>Opened</t>
  </si>
  <si>
    <t>Total Opens</t>
  </si>
  <si>
    <t>Clicked</t>
  </si>
  <si>
    <t>Last Click</t>
  </si>
  <si>
    <t>Total Clicks</t>
  </si>
  <si>
    <t>Email Template</t>
  </si>
  <si>
    <t>From Address</t>
  </si>
  <si>
    <t>Sent Date</t>
  </si>
  <si>
    <t>Email Activity Name</t>
  </si>
  <si>
    <t>ES</t>
  </si>
  <si>
    <t>FR</t>
  </si>
  <si>
    <t>GB</t>
  </si>
  <si>
    <t>IT</t>
  </si>
  <si>
    <t>DE</t>
  </si>
  <si>
    <t>NL</t>
  </si>
  <si>
    <t>CH</t>
  </si>
  <si>
    <t>TR</t>
  </si>
  <si>
    <t>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</si>
</sst>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\ yyyy\ hh:mm\ &quot;BST&quot;;@"/>
  </numFmts>
  <fonts count="5" x14ac:knownFonts="1">
    <font>
      <sz val="11"/>
      <color indexed="8"/>
      <name val="Aptos Narrow"/>
      <family val="2"/>
      <scheme val="minor"/>
    </font>
    <font>
      <b/>
      <sz val="10.5"/>
      <color rgb="FF303030"/>
      <name val="Calibri"/>
      <family val="2"/>
    </font>
    <font>
      <b/>
      <sz val="10.5"/>
      <color rgb="FFFFFFFF"/>
      <name val="Calibri"/>
      <family val="2"/>
    </font>
    <font>
      <sz val="10.5"/>
      <color rgb="FF0066CC"/>
      <name val="Calibri"/>
      <family val="2"/>
    </font>
    <font>
      <sz val="10.5"/>
      <color rgb="FF30303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EEEEEE"/>
      </patternFill>
    </fill>
    <fill>
      <patternFill patternType="solid">
        <fgColor rgb="FFF8972B"/>
      </patternFill>
    </fill>
    <fill>
      <patternFill patternType="solid">
        <fgColor rgb="FF1453B8"/>
      </patternFill>
    </fill>
    <fill>
      <patternFill patternType="solid">
        <fgColor rgb="FF539137"/>
      </patternFill>
    </fill>
    <fill>
      <patternFill patternType="solid">
        <fgColor rgb="FFDADADA"/>
      </patternFill>
    </fill>
    <fill>
      <patternFill patternType="solid">
        <fgColor rgb="FFFAB463"/>
      </patternFill>
    </fill>
    <fill>
      <patternFill patternType="solid">
        <fgColor rgb="FFACC8F6"/>
      </patternFill>
    </fill>
    <fill>
      <patternFill patternType="solid">
        <fgColor rgb="FF82B16F"/>
      </patternFill>
    </fill>
    <fill>
      <patternFill patternType="solid">
        <fgColor rgb="FFF8F8F8"/>
      </patternFill>
    </fill>
    <fill>
      <patternFill patternType="solid">
        <fgColor rgb="FFFFEFD5"/>
      </patternFill>
    </fill>
    <fill>
      <patternFill patternType="solid">
        <fgColor rgb="FFE3EDFC"/>
      </patternFill>
    </fill>
    <fill>
      <patternFill patternType="solid">
        <fgColor rgb="FFE0F3E0"/>
      </patternFill>
    </fill>
    <fill>
      <patternFill patternType="none">
        <bgColor indexed="64"/>
      </patternFill>
    </fill>
  </fills>
  <borders count="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n">
        <color indexed="9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3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0" fontId="1" fillId="6" borderId="1" xfId="0" applyFont="1" applyFill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 wrapText="1"/>
    </xf>
    <xf numFmtId="0" fontId="1" fillId="9" borderId="1" xfId="0" applyFont="1" applyFill="1" applyBorder="1" applyAlignment="1">
      <alignment horizontal="left" wrapText="1"/>
    </xf>
    <xf numFmtId="0" fontId="3" fillId="10" borderId="1" xfId="0" applyFont="1" applyFill="1" applyBorder="1" applyAlignment="1">
      <alignment horizontal="left" vertical="center" wrapText="1"/>
    </xf>
    <xf numFmtId="0" fontId="4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3" fontId="4" fillId="12" borderId="1" xfId="0" applyNumberFormat="1" applyFont="1" applyFill="1" applyBorder="1" applyAlignment="1">
      <alignment horizontal="right" vertical="center" wrapText="1"/>
    </xf>
    <xf numFmtId="164" fontId="4" fillId="12" borderId="1" xfId="0" applyNumberFormat="1" applyFont="1" applyFill="1" applyBorder="1" applyAlignment="1">
      <alignment horizontal="left" vertical="center" wrapText="1"/>
    </xf>
    <xf numFmtId="0" fontId="3" fillId="13" borderId="1" xfId="0" applyFont="1" applyFill="1" applyBorder="1" applyAlignment="1">
      <alignment horizontal="left" vertical="top" wrapText="1"/>
    </xf>
    <xf numFmtId="0" fontId="0" fillId="14" borderId="3" xfId="0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wrapText="1"/>
    </xf>
    <xf numFmtId="0" fontId="3" fillId="10" borderId="1" xfId="0" applyFont="1" applyFill="1" applyBorder="1" applyAlignment="1">
      <alignment horizontal="left" vertical="center" wrapText="1"/>
    </xf>
    <xf numFmtId="0" fontId="0" fillId="14" borderId="2" xfId="0" applyFill="1" applyBorder="1"/>
    <xf numFmtId="0" fontId="4" fillId="10" borderId="1" xfId="0" applyFont="1" applyFill="1" applyBorder="1" applyAlignment="1">
      <alignment horizontal="left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3" fillId="12" borderId="1" xfId="0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left" vertical="center" wrapText="1"/>
    </xf>
    <xf numFmtId="3" fontId="4" fillId="12" borderId="1" xfId="0" applyNumberFormat="1" applyFont="1" applyFill="1" applyBorder="1" applyAlignment="1">
      <alignment horizontal="right" vertical="center" wrapText="1"/>
    </xf>
    <xf numFmtId="164" fontId="4" fillId="12" borderId="1" xfId="0" applyNumberFormat="1" applyFont="1" applyFill="1" applyBorder="1" applyAlignment="1">
      <alignment horizontal="left" vertic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1"/>
  <sheetViews>
    <sheetView tabSelected="1" workbookViewId="0">
      <selection activeCell="C17" sqref="C17"/>
    </sheetView>
  </sheetViews>
  <sheetFormatPr baseColWidth="10" defaultColWidth="8.83203125" defaultRowHeight="15" x14ac:dyDescent="0.2"/>
  <cols>
    <col min="2" max="2" width="17.6640625" customWidth="1"/>
    <col min="3" max="3" width="64" customWidth="1"/>
  </cols>
  <sheetData>
    <row r="2" spans="2:3" x14ac:dyDescent="0.2">
      <c r="B2" t="s">
        <v>0</v>
      </c>
      <c r="C2" t="s">
        <v>1</v>
      </c>
    </row>
    <row r="3" spans="2:3" x14ac:dyDescent="0.2">
      <c r="B3" t="s">
        <v>2</v>
      </c>
      <c r="C3" t="s">
        <v>3</v>
      </c>
    </row>
    <row r="4" spans="2:3" x14ac:dyDescent="0.2">
      <c r="B4" t="s">
        <v>4</v>
      </c>
      <c r="C4" t="s">
        <v>5</v>
      </c>
    </row>
    <row r="5" spans="2:3" x14ac:dyDescent="0.2">
      <c r="B5" t="s">
        <v>6</v>
      </c>
      <c r="C5" t="s">
        <v>7</v>
      </c>
    </row>
    <row r="6" spans="2:3" x14ac:dyDescent="0.2">
      <c r="B6" t="s">
        <v>8</v>
      </c>
      <c r="C6" t="s">
        <v>9</v>
      </c>
    </row>
    <row r="7" spans="2:3" x14ac:dyDescent="0.2">
      <c r="B7" t="s">
        <v>10</v>
      </c>
      <c r="C7" t="s">
        <v>11</v>
      </c>
    </row>
    <row r="8" spans="2:3" ht="16" x14ac:dyDescent="0.2">
      <c r="B8" t="s">
        <v>12</v>
      </c>
      <c r="C8" s="15" t="s">
        <v>13</v>
      </c>
    </row>
    <row r="9" spans="2:3" x14ac:dyDescent="0.2">
      <c r="B9" t="s">
        <v>14</v>
      </c>
      <c r="C9" t="s">
        <v>15</v>
      </c>
    </row>
    <row r="10" spans="2:3" x14ac:dyDescent="0.2">
      <c r="B10" t="s">
        <v>16</v>
      </c>
      <c r="C10" t="s">
        <v>17</v>
      </c>
    </row>
    <row r="11" spans="2:3" x14ac:dyDescent="0.2">
      <c r="B11" t="s">
        <v>18</v>
      </c>
      <c r="C11" t="s">
        <v>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9435"/>
  <sheetViews>
    <sheetView workbookViewId="0">
      <pane ySplit="2" topLeftCell="A3" activePane="bottomLeft" state="frozen"/>
      <selection pane="bottomLeft"/>
    </sheetView>
  </sheetViews>
  <sheetFormatPr baseColWidth="10" defaultColWidth="8.83203125" defaultRowHeight="15" x14ac:dyDescent="0.2"/>
  <cols>
    <col min="1" max="1" width="28" customWidth="1"/>
    <col min="2" max="3" width="22" customWidth="1"/>
    <col min="4" max="5" width="28" customWidth="1"/>
    <col min="6" max="14" width="22" customWidth="1"/>
    <col min="15" max="15" width="28" customWidth="1"/>
  </cols>
  <sheetData>
    <row r="1" spans="1:15" ht="16" x14ac:dyDescent="0.2">
      <c r="A1" s="16" t="s">
        <v>20</v>
      </c>
      <c r="B1" s="16"/>
      <c r="C1" s="16"/>
      <c r="D1" s="1" t="s">
        <v>21</v>
      </c>
      <c r="E1" s="17" t="s">
        <v>22</v>
      </c>
      <c r="F1" s="17"/>
      <c r="G1" s="17"/>
      <c r="H1" s="17"/>
      <c r="I1" s="17"/>
      <c r="J1" s="17"/>
      <c r="K1" s="17"/>
      <c r="L1" s="17"/>
      <c r="M1" s="17"/>
      <c r="N1" s="17"/>
      <c r="O1" s="2" t="s">
        <v>23</v>
      </c>
    </row>
    <row r="2" spans="1:15" ht="16" x14ac:dyDescent="0.2">
      <c r="A2" s="3" t="s">
        <v>24</v>
      </c>
      <c r="B2" s="3" t="s">
        <v>25</v>
      </c>
      <c r="C2" s="3" t="s">
        <v>26</v>
      </c>
      <c r="D2" s="4" t="s">
        <v>27</v>
      </c>
      <c r="E2" s="5" t="s">
        <v>28</v>
      </c>
      <c r="F2" s="5" t="s">
        <v>29</v>
      </c>
      <c r="G2" s="5" t="s">
        <v>30</v>
      </c>
      <c r="H2" s="5" t="s">
        <v>31</v>
      </c>
      <c r="I2" s="5" t="s">
        <v>32</v>
      </c>
      <c r="J2" s="5" t="s">
        <v>33</v>
      </c>
      <c r="K2" s="5" t="s">
        <v>34</v>
      </c>
      <c r="L2" s="5" t="s">
        <v>35</v>
      </c>
      <c r="M2" s="5" t="s">
        <v>36</v>
      </c>
      <c r="N2" s="5" t="s">
        <v>37</v>
      </c>
      <c r="O2" s="6" t="s">
        <v>38</v>
      </c>
    </row>
    <row r="3" spans="1:15" ht="32" x14ac:dyDescent="0.2">
      <c r="A3" s="7" t="str">
        <f>HYPERLINK("https://otsuka-europe-crm.veevavault.com/ui/#object/account__v/V4TZ025E86NQR2C", "SARA BERMEJO CRUZ")</f>
        <v>SARA BERMEJO CRUZ</v>
      </c>
      <c r="B3" s="7" t="str">
        <f>HYPERLINK("https://otsuka-europe-crm.veevavault.com/ui/#object/vcountry__v/VENZ000004SONF5", "ES")</f>
        <v>ES</v>
      </c>
      <c r="C3" s="8" t="s">
        <v>39</v>
      </c>
      <c r="D3" s="9" t="str">
        <f>HYPERLINK("https://otsuka-europe-crm.veevavault.com/ui/#object/approved_document__v/V5O00000000I030", "ENFERMERíA - PODCAST: Ep5 Autoestima")</f>
        <v>ENFERMERíA - PODCAST: Ep5 Autoestima</v>
      </c>
      <c r="E3" s="10" t="str">
        <f>HYPERLINK("https://otsuka-europe-crm.veevavault.com/ui/#object/sent_email__v/VBL00000002W077", "SE-001437601")</f>
        <v>SE-001437601</v>
      </c>
      <c r="F3" s="11"/>
      <c r="G3" s="12">
        <v>0</v>
      </c>
      <c r="H3" s="12">
        <v>0</v>
      </c>
      <c r="I3" s="12">
        <v>0</v>
      </c>
      <c r="J3" s="11"/>
      <c r="K3" s="12">
        <v>0</v>
      </c>
      <c r="L3" s="10" t="str">
        <f>HYPERLINK("https://otsuka-europe-crm.veevavault.com/ui/#object/approved_document__v/V5O00000000I030", "ENFERMERíA - PODCAST: Ep5 Autoestima")</f>
        <v>ENFERMERíA - PODCAST: Ep5 Autoestima</v>
      </c>
      <c r="M3" s="10" t="str">
        <f>HYPERLINK("mailto:mgravan@crm.otsuka-europe.com", "mgravan@crm.otsuka-europe.com")</f>
        <v>mgravan@crm.otsuka-europe.com</v>
      </c>
      <c r="N3" s="13">
        <v>46210.393240740741</v>
      </c>
      <c r="O3" s="14" t="str">
        <f>HYPERLINK("https://otsuka-europe-crm.veevavault.com/ui/#object/email_activity__v/V8C000000044568", "EN-002102700")</f>
        <v>EN-002102700</v>
      </c>
    </row>
    <row r="4" spans="1:15" ht="16" x14ac:dyDescent="0.2">
      <c r="A4" s="18" t="str">
        <f>HYPERLINK("https://otsuka-europe-crm.veevavault.com/ui/#object/account__v/V4TZ06G6OB4A7GX", "AMELIA RODRIGUEZ HERNANDEZ")</f>
        <v>AMELIA RODRIGUEZ HERNANDEZ</v>
      </c>
      <c r="B4" s="18" t="str">
        <f>HYPERLINK("https://otsuka-europe-crm.veevavault.com/ui/#object/vcountry__v/VENZ000004SONF5", "ES")</f>
        <v>ES</v>
      </c>
      <c r="C4" s="20" t="s">
        <v>39</v>
      </c>
      <c r="D4" s="21" t="str">
        <f>HYPERLINK("https://otsuka-europe-crm.veevavault.com/ui/#object/approved_document__v/V5O00000000I030", "ENFERMERíA - PODCAST: Ep5 Autoestima")</f>
        <v>ENFERMERíA - PODCAST: Ep5 Autoestima</v>
      </c>
      <c r="E4" s="22" t="str">
        <f>HYPERLINK("https://otsuka-europe-crm.veevavault.com/ui/#object/sent_email__v/VBL00000002W078", "SE-001437602")</f>
        <v>SE-001437602</v>
      </c>
      <c r="F4" s="23"/>
      <c r="G4" s="24">
        <v>0</v>
      </c>
      <c r="H4" s="24">
        <v>0</v>
      </c>
      <c r="I4" s="24">
        <v>0</v>
      </c>
      <c r="J4" s="23"/>
      <c r="K4" s="24">
        <v>0</v>
      </c>
      <c r="L4" s="22" t="str">
        <f>HYPERLINK("https://otsuka-europe-crm.veevavault.com/ui/#object/approved_document__v/V5O00000000I030", "ENFERMERíA - PODCAST: Ep5 Autoestima")</f>
        <v>ENFERMERíA - PODCAST: Ep5 Autoestima</v>
      </c>
      <c r="M4" s="22" t="str">
        <f>HYPERLINK("mailto:mgravan@crm.otsuka-europe.com", "mgravan@crm.otsuka-europe.com")</f>
        <v>mgravan@crm.otsuka-europe.com</v>
      </c>
      <c r="N4" s="25">
        <v>46210.393240740741</v>
      </c>
      <c r="O4" s="14" t="str">
        <f>HYPERLINK("https://otsuka-europe-crm.veevavault.com/ui/#object/email_activity__v/V8C000000043790", "EN-002103105")</f>
        <v>EN-002103105</v>
      </c>
    </row>
    <row r="5" spans="1:15" ht="16" x14ac:dyDescent="0.2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4" t="str">
        <f>HYPERLINK("https://otsuka-europe-crm.veevavault.com/ui/#object/email_activity__v/V8C000000044589", "EN-002102740")</f>
        <v>EN-002102740</v>
      </c>
    </row>
    <row r="6" spans="1:15" ht="16" x14ac:dyDescent="0.2">
      <c r="A6" s="18" t="str">
        <f>HYPERLINK("https://otsuka-europe-crm.veevavault.com/ui/#object/account__v/V4TZ04ASGGARY9Q", "ANA ISABEL HORMIGO DOMINGUEZ")</f>
        <v>ANA ISABEL HORMIGO DOMINGUEZ</v>
      </c>
      <c r="B6" s="18" t="str">
        <f>HYPERLINK("https://otsuka-europe-crm.veevavault.com/ui/#object/vcountry__v/VENZ000004SONF5", "ES")</f>
        <v>ES</v>
      </c>
      <c r="C6" s="20" t="s">
        <v>39</v>
      </c>
      <c r="D6" s="21" t="str">
        <f>HYPERLINK("https://otsuka-europe-crm.veevavault.com/ui/#object/approved_document__v/V5O00000000I030", "ENFERMERíA - PODCAST: Ep5 Autoestima")</f>
        <v>ENFERMERíA - PODCAST: Ep5 Autoestima</v>
      </c>
      <c r="E6" s="22" t="str">
        <f>HYPERLINK("https://otsuka-europe-crm.veevavault.com/ui/#object/sent_email__v/VBL00000002W079", "SE-001437603")</f>
        <v>SE-001437603</v>
      </c>
      <c r="F6" s="25">
        <v>46214.344965277778</v>
      </c>
      <c r="G6" s="24">
        <v>1</v>
      </c>
      <c r="H6" s="24">
        <v>2</v>
      </c>
      <c r="I6" s="24">
        <v>0</v>
      </c>
      <c r="J6" s="23"/>
      <c r="K6" s="24">
        <v>0</v>
      </c>
      <c r="L6" s="22" t="str">
        <f>HYPERLINK("https://otsuka-europe-crm.veevavault.com/ui/#object/approved_document__v/V5O00000000I030", "ENFERMERíA - PODCAST: Ep5 Autoestima")</f>
        <v>ENFERMERíA - PODCAST: Ep5 Autoestima</v>
      </c>
      <c r="M6" s="22" t="str">
        <f>HYPERLINK("mailto:mgravan@crm.otsuka-europe.com", "mgravan@crm.otsuka-europe.com")</f>
        <v>mgravan@crm.otsuka-europe.com</v>
      </c>
      <c r="N6" s="25">
        <v>46210.393240740741</v>
      </c>
      <c r="O6" s="14" t="str">
        <f>HYPERLINK("https://otsuka-europe-crm.veevavault.com/ui/#object/email_activity__v/V8C000000044588", "EN-002102739")</f>
        <v>EN-002102739</v>
      </c>
    </row>
    <row r="7" spans="1:15" ht="16" x14ac:dyDescent="0.2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14" t="str">
        <f>HYPERLINK("https://otsuka-europe-crm.veevavault.com/ui/#object/email_activity__v/V8C000000045348", "EN-002103978")</f>
        <v>EN-002103978</v>
      </c>
    </row>
    <row r="8" spans="1:15" ht="16" x14ac:dyDescent="0.2">
      <c r="A8" s="19"/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4" t="str">
        <f>HYPERLINK("https://otsuka-europe-crm.veevavault.com/ui/#object/email_activity__v/V8C000000049009", "EN-002104885")</f>
        <v>EN-002104885</v>
      </c>
    </row>
    <row r="9" spans="1:15" ht="32" x14ac:dyDescent="0.2">
      <c r="A9" s="7" t="str">
        <f>HYPERLINK("https://otsuka-europe-crm.veevavault.com/ui/#object/account__v/V4T000000020084", "LUISA ROSADO TEJERO")</f>
        <v>LUISA ROSADO TEJERO</v>
      </c>
      <c r="B9" s="7" t="str">
        <f>HYPERLINK("https://otsuka-europe-crm.veevavault.com/ui/#object/vcountry__v/VENZ000004SONF5", "ES")</f>
        <v>ES</v>
      </c>
      <c r="C9" s="8" t="s">
        <v>39</v>
      </c>
      <c r="D9" s="9" t="str">
        <f>HYPERLINK("https://otsuka-europe-crm.veevavault.com/ui/#object/approved_document__v/V5O00000000I030", "ENFERMERíA - PODCAST: Ep5 Autoestima")</f>
        <v>ENFERMERíA - PODCAST: Ep5 Autoestima</v>
      </c>
      <c r="E9" s="10" t="str">
        <f>HYPERLINK("https://otsuka-europe-crm.veevavault.com/ui/#object/sent_email__v/VBL00000002W080", "SE-001437604")</f>
        <v>SE-001437604</v>
      </c>
      <c r="F9" s="11"/>
      <c r="G9" s="12">
        <v>0</v>
      </c>
      <c r="H9" s="12">
        <v>0</v>
      </c>
      <c r="I9" s="12">
        <v>0</v>
      </c>
      <c r="J9" s="11"/>
      <c r="K9" s="12">
        <v>0</v>
      </c>
      <c r="L9" s="10" t="str">
        <f>HYPERLINK("https://otsuka-europe-crm.veevavault.com/ui/#object/approved_document__v/V5O00000000I030", "ENFERMERíA - PODCAST: Ep5 Autoestima")</f>
        <v>ENFERMERíA - PODCAST: Ep5 Autoestima</v>
      </c>
      <c r="M9" s="10" t="str">
        <f>HYPERLINK("mailto:mgravan@crm.otsuka-europe.com", "mgravan@crm.otsuka-europe.com")</f>
        <v>mgravan@crm.otsuka-europe.com</v>
      </c>
      <c r="N9" s="13">
        <v>46210.393252314818</v>
      </c>
      <c r="O9" s="14" t="str">
        <f>HYPERLINK("https://otsuka-europe-crm.veevavault.com/ui/#object/email_activity__v/V8C000000043587", "EN-002102724")</f>
        <v>EN-002102724</v>
      </c>
    </row>
    <row r="10" spans="1:15" ht="32" x14ac:dyDescent="0.2">
      <c r="A10" s="7" t="str">
        <f>HYPERLINK("https://otsuka-europe-crm.veevavault.com/ui/#object/account__v/V4TZ06G6O8KXZY7", "NOELIA BENITEZ DIAZ")</f>
        <v>NOELIA BENITEZ DIAZ</v>
      </c>
      <c r="B10" s="7" t="str">
        <f>HYPERLINK("https://otsuka-europe-crm.veevavault.com/ui/#object/vcountry__v/VENZ000004SONF5", "ES")</f>
        <v>ES</v>
      </c>
      <c r="C10" s="8" t="s">
        <v>39</v>
      </c>
      <c r="D10" s="9" t="str">
        <f>HYPERLINK("https://otsuka-europe-crm.veevavault.com/ui/#object/approved_document__v/V5O00000000I030", "ENFERMERíA - PODCAST: Ep5 Autoestima")</f>
        <v>ENFERMERíA - PODCAST: Ep5 Autoestima</v>
      </c>
      <c r="E10" s="10" t="str">
        <f>HYPERLINK("https://otsuka-europe-crm.veevavault.com/ui/#object/sent_email__v/VBL00000002W081", "SE-001437605")</f>
        <v>SE-001437605</v>
      </c>
      <c r="F10" s="11"/>
      <c r="G10" s="12">
        <v>0</v>
      </c>
      <c r="H10" s="12">
        <v>0</v>
      </c>
      <c r="I10" s="12">
        <v>0</v>
      </c>
      <c r="J10" s="11"/>
      <c r="K10" s="12">
        <v>0</v>
      </c>
      <c r="L10" s="10" t="str">
        <f>HYPERLINK("https://otsuka-europe-crm.veevavault.com/ui/#object/approved_document__v/V5O00000000I030", "ENFERMERíA - PODCAST: Ep5 Autoestima")</f>
        <v>ENFERMERíA - PODCAST: Ep5 Autoestima</v>
      </c>
      <c r="M10" s="10" t="str">
        <f>HYPERLINK("mailto:mgravan@crm.otsuka-europe.com", "mgravan@crm.otsuka-europe.com")</f>
        <v>mgravan@crm.otsuka-europe.com</v>
      </c>
      <c r="N10" s="13">
        <v>46210.393252314818</v>
      </c>
      <c r="O10" s="14" t="str">
        <f>HYPERLINK("https://otsuka-europe-crm.veevavault.com/ui/#object/email_activity__v/V8C000000044582", "EN-002102733")</f>
        <v>EN-002102733</v>
      </c>
    </row>
    <row r="11" spans="1:15" ht="16" x14ac:dyDescent="0.2">
      <c r="A11" s="18" t="str">
        <f>HYPERLINK("https://otsuka-europe-crm.veevavault.com/ui/#object/account__v/V4TZ025E87R4INA", "MARIA VICTORIA INFANTE SANCHEZ")</f>
        <v>MARIA VICTORIA INFANTE SANCHEZ</v>
      </c>
      <c r="B11" s="18" t="str">
        <f>HYPERLINK("https://otsuka-europe-crm.veevavault.com/ui/#object/vcountry__v/VENZ000004SONF5", "ES")</f>
        <v>ES</v>
      </c>
      <c r="C11" s="20" t="s">
        <v>39</v>
      </c>
      <c r="D11" s="21" t="str">
        <f>HYPERLINK("https://otsuka-europe-crm.veevavault.com/ui/#object/approved_document__v/V5O00000000I030", "ENFERMERíA - PODCAST: Ep5 Autoestima")</f>
        <v>ENFERMERíA - PODCAST: Ep5 Autoestima</v>
      </c>
      <c r="E11" s="22" t="str">
        <f>HYPERLINK("https://otsuka-europe-crm.veevavault.com/ui/#object/sent_email__v/VBL00000002W082", "SE-001437606")</f>
        <v>SE-001437606</v>
      </c>
      <c r="F11" s="25">
        <v>46211.433333333334</v>
      </c>
      <c r="G11" s="24">
        <v>1</v>
      </c>
      <c r="H11" s="24">
        <v>4</v>
      </c>
      <c r="I11" s="24">
        <v>0</v>
      </c>
      <c r="J11" s="23"/>
      <c r="K11" s="24">
        <v>0</v>
      </c>
      <c r="L11" s="22" t="str">
        <f>HYPERLINK("https://otsuka-europe-crm.veevavault.com/ui/#object/approved_document__v/V5O00000000I030", "ENFERMERíA - PODCAST: Ep5 Autoestima")</f>
        <v>ENFERMERíA - PODCAST: Ep5 Autoestima</v>
      </c>
      <c r="M11" s="22" t="str">
        <f>HYPERLINK("mailto:mgravan@crm.otsuka-europe.com", "mgravan@crm.otsuka-europe.com")</f>
        <v>mgravan@crm.otsuka-europe.com</v>
      </c>
      <c r="N11" s="25">
        <v>46210.393275462964</v>
      </c>
      <c r="O11" s="14" t="str">
        <f>HYPERLINK("https://otsuka-europe-crm.veevavault.com/ui/#object/email_activity__v/V8C000000043836", "EN-002103202")</f>
        <v>EN-002103202</v>
      </c>
    </row>
    <row r="12" spans="1:15" ht="16" x14ac:dyDescent="0.2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14" t="str">
        <f>HYPERLINK("https://otsuka-europe-crm.veevavault.com/ui/#object/email_activity__v/V8C000000043837", "EN-002103203")</f>
        <v>EN-002103203</v>
      </c>
    </row>
    <row r="13" spans="1:15" ht="16" x14ac:dyDescent="0.2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14" t="str">
        <f>HYPERLINK("https://otsuka-europe-crm.veevavault.com/ui/#object/email_activity__v/V8C000000044563", "EN-002102695")</f>
        <v>EN-002102695</v>
      </c>
    </row>
    <row r="14" spans="1:15" ht="16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14" t="str">
        <f>HYPERLINK("https://otsuka-europe-crm.veevavault.com/ui/#object/email_activity__v/V8C000000044757", "EN-002103096")</f>
        <v>EN-002103096</v>
      </c>
    </row>
    <row r="15" spans="1:15" ht="16" x14ac:dyDescent="0.2">
      <c r="A15" s="19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4" t="str">
        <f>HYPERLINK("https://otsuka-europe-crm.veevavault.com/ui/#object/email_activity__v/V8C000000044811", "EN-002103201")</f>
        <v>EN-002103201</v>
      </c>
    </row>
    <row r="16" spans="1:15" ht="16" x14ac:dyDescent="0.2">
      <c r="A16" s="18" t="str">
        <f>HYPERLINK("https://otsuka-europe-crm.veevavault.com/ui/#object/account__v/V4TZ06G6O71TDD7", "MALIKA BENAISA MOHAMED")</f>
        <v>MALIKA BENAISA MOHAMED</v>
      </c>
      <c r="B16" s="18" t="str">
        <f>HYPERLINK("https://otsuka-europe-crm.veevavault.com/ui/#object/vcountry__v/VENZ000004SONF5", "ES")</f>
        <v>ES</v>
      </c>
      <c r="C16" s="20" t="s">
        <v>39</v>
      </c>
      <c r="D16" s="21" t="str">
        <f>HYPERLINK("https://otsuka-europe-crm.veevavault.com/ui/#object/approved_document__v/V5O00000000I030", "ENFERMERíA - PODCAST: Ep5 Autoestima")</f>
        <v>ENFERMERíA - PODCAST: Ep5 Autoestima</v>
      </c>
      <c r="E16" s="22" t="str">
        <f>HYPERLINK("https://otsuka-europe-crm.veevavault.com/ui/#object/sent_email__v/VBL00000002W083", "SE-001437607")</f>
        <v>SE-001437607</v>
      </c>
      <c r="F16" s="23"/>
      <c r="G16" s="24">
        <v>0</v>
      </c>
      <c r="H16" s="24">
        <v>0</v>
      </c>
      <c r="I16" s="24">
        <v>0</v>
      </c>
      <c r="J16" s="23"/>
      <c r="K16" s="24">
        <v>0</v>
      </c>
      <c r="L16" s="22" t="str">
        <f>HYPERLINK("https://otsuka-europe-crm.veevavault.com/ui/#object/approved_document__v/V5O00000000I030", "ENFERMERíA - PODCAST: Ep5 Autoestima")</f>
        <v>ENFERMERíA - PODCAST: Ep5 Autoestima</v>
      </c>
      <c r="M16" s="22" t="str">
        <f>HYPERLINK("mailto:mgravan@crm.otsuka-europe.com", "mgravan@crm.otsuka-europe.com")</f>
        <v>mgravan@crm.otsuka-europe.com</v>
      </c>
      <c r="N16" s="25">
        <v>46210.393287037034</v>
      </c>
      <c r="O16" s="14" t="str">
        <f>HYPERLINK("https://otsuka-europe-crm.veevavault.com/ui/#object/email_activity__v/V8C000000043750", "EN-002103032")</f>
        <v>EN-002103032</v>
      </c>
    </row>
    <row r="17" spans="1:15" ht="16" x14ac:dyDescent="0.2">
      <c r="A17" s="19"/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4" t="str">
        <f>HYPERLINK("https://otsuka-europe-crm.veevavault.com/ui/#object/email_activity__v/V8C000000044567", "EN-002102699")</f>
        <v>EN-002102699</v>
      </c>
    </row>
    <row r="18" spans="1:15" ht="16" x14ac:dyDescent="0.2">
      <c r="A18" s="18" t="str">
        <f>HYPERLINK("https://otsuka-europe-crm.veevavault.com/ui/#object/account__v/V4TZ025E87CYK8M", "LAURA DURAN MONTERO")</f>
        <v>LAURA DURAN MONTERO</v>
      </c>
      <c r="B18" s="18" t="str">
        <f>HYPERLINK("https://otsuka-europe-crm.veevavault.com/ui/#object/vcountry__v/VENZ000004SONF5", "ES")</f>
        <v>ES</v>
      </c>
      <c r="C18" s="20" t="s">
        <v>39</v>
      </c>
      <c r="D18" s="21" t="str">
        <f>HYPERLINK("https://otsuka-europe-crm.veevavault.com/ui/#object/approved_document__v/V5O00000000I030", "ENFERMERíA - PODCAST: Ep5 Autoestima")</f>
        <v>ENFERMERíA - PODCAST: Ep5 Autoestima</v>
      </c>
      <c r="E18" s="22" t="str">
        <f>HYPERLINK("https://otsuka-europe-crm.veevavault.com/ui/#object/sent_email__v/VBL00000002W084", "SE-001437608")</f>
        <v>SE-001437608</v>
      </c>
      <c r="F18" s="23"/>
      <c r="G18" s="24">
        <v>0</v>
      </c>
      <c r="H18" s="24">
        <v>0</v>
      </c>
      <c r="I18" s="24">
        <v>0</v>
      </c>
      <c r="J18" s="23"/>
      <c r="K18" s="24">
        <v>0</v>
      </c>
      <c r="L18" s="22" t="str">
        <f>HYPERLINK("https://otsuka-europe-crm.veevavault.com/ui/#object/approved_document__v/V5O00000000I030", "ENFERMERíA - PODCAST: Ep5 Autoestima")</f>
        <v>ENFERMERíA - PODCAST: Ep5 Autoestima</v>
      </c>
      <c r="M18" s="22" t="str">
        <f>HYPERLINK("mailto:mgravan@crm.otsuka-europe.com", "mgravan@crm.otsuka-europe.com")</f>
        <v>mgravan@crm.otsuka-europe.com</v>
      </c>
      <c r="N18" s="25">
        <v>46210.393252314818</v>
      </c>
      <c r="O18" s="14" t="str">
        <f>HYPERLINK("https://otsuka-europe-crm.veevavault.com/ui/#object/email_activity__v/V8C000000044586", "EN-002102737")</f>
        <v>EN-002102737</v>
      </c>
    </row>
    <row r="19" spans="1:15" ht="16" x14ac:dyDescent="0.2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4" t="str">
        <f>HYPERLINK("https://otsuka-europe-crm.veevavault.com/ui/#object/email_activity__v/V8C000000044705", "EN-002102970")</f>
        <v>EN-002102970</v>
      </c>
    </row>
    <row r="20" spans="1:15" ht="32" x14ac:dyDescent="0.2">
      <c r="A20" s="7" t="str">
        <f>HYPERLINK("https://otsuka-europe-crm.veevavault.com/ui/#object/account__v/V4TZ04ASG7X3RU3", "AURORA MARCOS SANCHEZ")</f>
        <v>AURORA MARCOS SANCHEZ</v>
      </c>
      <c r="B20" s="7" t="str">
        <f>HYPERLINK("https://otsuka-europe-crm.veevavault.com/ui/#object/vcountry__v/VENZ000004SONF5", "ES")</f>
        <v>ES</v>
      </c>
      <c r="C20" s="8" t="s">
        <v>39</v>
      </c>
      <c r="D20" s="9" t="str">
        <f>HYPERLINK("https://otsuka-europe-crm.veevavault.com/ui/#object/approved_document__v/V5O00000000I030", "ENFERMERíA - PODCAST: Ep5 Autoestima")</f>
        <v>ENFERMERíA - PODCAST: Ep5 Autoestima</v>
      </c>
      <c r="E20" s="10" t="str">
        <f>HYPERLINK("https://otsuka-europe-crm.veevavault.com/ui/#object/sent_email__v/VBL00000002W085", "SE-001437609")</f>
        <v>SE-001437609</v>
      </c>
      <c r="F20" s="11"/>
      <c r="G20" s="12">
        <v>0</v>
      </c>
      <c r="H20" s="12">
        <v>0</v>
      </c>
      <c r="I20" s="12">
        <v>0</v>
      </c>
      <c r="J20" s="11"/>
      <c r="K20" s="12">
        <v>0</v>
      </c>
      <c r="L20" s="10" t="str">
        <f>HYPERLINK("https://otsuka-europe-crm.veevavault.com/ui/#object/approved_document__v/V5O00000000I030", "ENFERMERíA - PODCAST: Ep5 Autoestima")</f>
        <v>ENFERMERíA - PODCAST: Ep5 Autoestima</v>
      </c>
      <c r="M20" s="10" t="str">
        <f>HYPERLINK("mailto:mgravan@crm.otsuka-europe.com", "mgravan@crm.otsuka-europe.com")</f>
        <v>mgravan@crm.otsuka-europe.com</v>
      </c>
      <c r="N20" s="13">
        <v>46210.393240740741</v>
      </c>
      <c r="O20" s="14" t="str">
        <f>HYPERLINK("https://otsuka-europe-crm.veevavault.com/ui/#object/email_activity__v/V8C000000044592", "EN-002102743")</f>
        <v>EN-002102743</v>
      </c>
    </row>
    <row r="21" spans="1:15" ht="32" x14ac:dyDescent="0.2">
      <c r="A21" s="7" t="str">
        <f>HYPERLINK("https://otsuka-europe-crm.veevavault.com/ui/#object/account__v/V4TZ025E8484V65", "ELOISA MARIA CALDERON PIZARRO")</f>
        <v>ELOISA MARIA CALDERON PIZARRO</v>
      </c>
      <c r="B21" s="7" t="str">
        <f>HYPERLINK("https://otsuka-europe-crm.veevavault.com/ui/#object/vcountry__v/VENZ000004SONF5", "ES")</f>
        <v>ES</v>
      </c>
      <c r="C21" s="8" t="s">
        <v>39</v>
      </c>
      <c r="D21" s="9" t="str">
        <f>HYPERLINK("https://otsuka-europe-crm.veevavault.com/ui/#object/approved_document__v/V5O00000000I030", "ENFERMERíA - PODCAST: Ep5 Autoestima")</f>
        <v>ENFERMERíA - PODCAST: Ep5 Autoestima</v>
      </c>
      <c r="E21" s="10" t="str">
        <f>HYPERLINK("https://otsuka-europe-crm.veevavault.com/ui/#object/sent_email__v/VBL00000002W086", "SE-001437610")</f>
        <v>SE-001437610</v>
      </c>
      <c r="F21" s="11"/>
      <c r="G21" s="12">
        <v>0</v>
      </c>
      <c r="H21" s="12">
        <v>0</v>
      </c>
      <c r="I21" s="12">
        <v>0</v>
      </c>
      <c r="J21" s="11"/>
      <c r="K21" s="12">
        <v>0</v>
      </c>
      <c r="L21" s="10" t="str">
        <f>HYPERLINK("https://otsuka-europe-crm.veevavault.com/ui/#object/approved_document__v/V5O00000000I030", "ENFERMERíA - PODCAST: Ep5 Autoestima")</f>
        <v>ENFERMERíA - PODCAST: Ep5 Autoestima</v>
      </c>
      <c r="M21" s="10" t="str">
        <f>HYPERLINK("mailto:mgravan@crm.otsuka-europe.com", "mgravan@crm.otsuka-europe.com")</f>
        <v>mgravan@crm.otsuka-europe.com</v>
      </c>
      <c r="N21" s="13">
        <v>46210.393240740741</v>
      </c>
      <c r="O21" s="14" t="str">
        <f>HYPERLINK("https://otsuka-europe-crm.veevavault.com/ui/#object/email_activity__v/V8C000000044591", "EN-002102742")</f>
        <v>EN-002102742</v>
      </c>
    </row>
    <row r="22" spans="1:15" ht="32" x14ac:dyDescent="0.2">
      <c r="A22" s="7" t="str">
        <f>HYPERLINK("https://otsuka-europe-crm.veevavault.com/ui/#object/account__v/V4TZ025E857R7LM", "SONIA LORA SIERRA")</f>
        <v>SONIA LORA SIERRA</v>
      </c>
      <c r="B22" s="7" t="str">
        <f>HYPERLINK("https://otsuka-europe-crm.veevavault.com/ui/#object/vcountry__v/VENZ000004SONF5", "ES")</f>
        <v>ES</v>
      </c>
      <c r="C22" s="8" t="s">
        <v>39</v>
      </c>
      <c r="D22" s="9" t="str">
        <f>HYPERLINK("https://otsuka-europe-crm.veevavault.com/ui/#object/approved_document__v/V5O00000000I030", "ENFERMERíA - PODCAST: Ep5 Autoestima")</f>
        <v>ENFERMERíA - PODCAST: Ep5 Autoestima</v>
      </c>
      <c r="E22" s="10" t="str">
        <f>HYPERLINK("https://otsuka-europe-crm.veevavault.com/ui/#object/sent_email__v/VBL00000002W087", "SE-001437611")</f>
        <v>SE-001437611</v>
      </c>
      <c r="F22" s="11"/>
      <c r="G22" s="12">
        <v>0</v>
      </c>
      <c r="H22" s="12">
        <v>0</v>
      </c>
      <c r="I22" s="12">
        <v>0</v>
      </c>
      <c r="J22" s="11"/>
      <c r="K22" s="12">
        <v>0</v>
      </c>
      <c r="L22" s="10" t="str">
        <f>HYPERLINK("https://otsuka-europe-crm.veevavault.com/ui/#object/approved_document__v/V5O00000000I030", "ENFERMERíA - PODCAST: Ep5 Autoestima")</f>
        <v>ENFERMERíA - PODCAST: Ep5 Autoestima</v>
      </c>
      <c r="M22" s="10" t="str">
        <f>HYPERLINK("mailto:mgravan@crm.otsuka-europe.com", "mgravan@crm.otsuka-europe.com")</f>
        <v>mgravan@crm.otsuka-europe.com</v>
      </c>
      <c r="N22" s="13">
        <v>46210.393252314818</v>
      </c>
      <c r="O22" s="14" t="str">
        <f>HYPERLINK("https://otsuka-europe-crm.veevavault.com/ui/#object/email_activity__v/V8C000000044556", "EN-002102688")</f>
        <v>EN-002102688</v>
      </c>
    </row>
    <row r="23" spans="1:15" ht="16" x14ac:dyDescent="0.2">
      <c r="A23" s="18" t="str">
        <f>HYPERLINK("https://otsuka-europe-crm.veevavault.com/ui/#object/account__v/V4TZ06G6O71TDGT", "CARMEN ROJANO SALAS")</f>
        <v>CARMEN ROJANO SALAS</v>
      </c>
      <c r="B23" s="18" t="str">
        <f>HYPERLINK("https://otsuka-europe-crm.veevavault.com/ui/#object/vcountry__v/VENZ000004SONF5", "ES")</f>
        <v>ES</v>
      </c>
      <c r="C23" s="20" t="s">
        <v>39</v>
      </c>
      <c r="D23" s="21" t="str">
        <f>HYPERLINK("https://otsuka-europe-crm.veevavault.com/ui/#object/approved_document__v/V5O00000000I030", "ENFERMERíA - PODCAST: Ep5 Autoestima")</f>
        <v>ENFERMERíA - PODCAST: Ep5 Autoestima</v>
      </c>
      <c r="E23" s="22" t="str">
        <f>HYPERLINK("https://otsuka-europe-crm.veevavault.com/ui/#object/sent_email__v/VBL00000002W088", "SE-001437612")</f>
        <v>SE-001437612</v>
      </c>
      <c r="F23" s="23"/>
      <c r="G23" s="24">
        <v>0</v>
      </c>
      <c r="H23" s="24">
        <v>0</v>
      </c>
      <c r="I23" s="24">
        <v>0</v>
      </c>
      <c r="J23" s="23"/>
      <c r="K23" s="24">
        <v>0</v>
      </c>
      <c r="L23" s="22" t="str">
        <f>HYPERLINK("https://otsuka-europe-crm.veevavault.com/ui/#object/approved_document__v/V5O00000000I030", "ENFERMERíA - PODCAST: Ep5 Autoestima")</f>
        <v>ENFERMERíA - PODCAST: Ep5 Autoestima</v>
      </c>
      <c r="M23" s="22" t="str">
        <f>HYPERLINK("mailto:mgravan@crm.otsuka-europe.com", "mgravan@crm.otsuka-europe.com")</f>
        <v>mgravan@crm.otsuka-europe.com</v>
      </c>
      <c r="N23" s="25">
        <v>46210.393275462964</v>
      </c>
      <c r="O23" s="14" t="str">
        <f>HYPERLINK("https://otsuka-europe-crm.veevavault.com/ui/#object/email_activity__v/V8C000000044564", "EN-002102696")</f>
        <v>EN-002102696</v>
      </c>
    </row>
    <row r="24" spans="1:15" ht="16" x14ac:dyDescent="0.2">
      <c r="A24" s="19"/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4" t="str">
        <f>HYPERLINK("https://otsuka-europe-crm.veevavault.com/ui/#object/email_activity__v/V8C00000004D755", "EN-002109611")</f>
        <v>EN-002109611</v>
      </c>
    </row>
    <row r="25" spans="1:15" ht="32" x14ac:dyDescent="0.2">
      <c r="A25" s="7" t="str">
        <f>HYPERLINK("https://otsuka-europe-crm.veevavault.com/ui/#object/account__v/V4TZ025E87RFBAX", "ADELAIDA ALCANTARA FERNANDEZ")</f>
        <v>ADELAIDA ALCANTARA FERNANDEZ</v>
      </c>
      <c r="B25" s="7" t="str">
        <f>HYPERLINK("https://otsuka-europe-crm.veevavault.com/ui/#object/vcountry__v/VENZ000004SONF5", "ES")</f>
        <v>ES</v>
      </c>
      <c r="C25" s="8" t="s">
        <v>39</v>
      </c>
      <c r="D25" s="9" t="str">
        <f>HYPERLINK("https://otsuka-europe-crm.veevavault.com/ui/#object/approved_document__v/V5O00000000I030", "ENFERMERíA - PODCAST: Ep5 Autoestima")</f>
        <v>ENFERMERíA - PODCAST: Ep5 Autoestima</v>
      </c>
      <c r="E25" s="10" t="str">
        <f>HYPERLINK("https://otsuka-europe-crm.veevavault.com/ui/#object/sent_email__v/VBL00000002W089", "SE-001437613")</f>
        <v>SE-001437613</v>
      </c>
      <c r="F25" s="11"/>
      <c r="G25" s="12">
        <v>0</v>
      </c>
      <c r="H25" s="12">
        <v>0</v>
      </c>
      <c r="I25" s="12">
        <v>0</v>
      </c>
      <c r="J25" s="11"/>
      <c r="K25" s="12">
        <v>0</v>
      </c>
      <c r="L25" s="10" t="str">
        <f>HYPERLINK("https://otsuka-europe-crm.veevavault.com/ui/#object/approved_document__v/V5O00000000I030", "ENFERMERíA - PODCAST: Ep5 Autoestima")</f>
        <v>ENFERMERíA - PODCAST: Ep5 Autoestima</v>
      </c>
      <c r="M25" s="10" t="str">
        <f>HYPERLINK("mailto:mgravan@crm.otsuka-europe.com", "mgravan@crm.otsuka-europe.com")</f>
        <v>mgravan@crm.otsuka-europe.com</v>
      </c>
      <c r="N25" s="13">
        <v>46210.393240740741</v>
      </c>
      <c r="O25" s="14" t="str">
        <f>HYPERLINK("https://otsuka-europe-crm.veevavault.com/ui/#object/email_activity__v/V8C000000044575", "EN-002102707")</f>
        <v>EN-002102707</v>
      </c>
    </row>
    <row r="26" spans="1:15" ht="16" x14ac:dyDescent="0.2">
      <c r="A26" s="18" t="str">
        <f>HYPERLINK("https://otsuka-europe-crm.veevavault.com/ui/#object/account__v/V4TZ06G6O71TDAG", "CRISTINA MAAÑON MONTAÑA")</f>
        <v>CRISTINA MAAÑON MONTAÑA</v>
      </c>
      <c r="B26" s="18" t="str">
        <f>HYPERLINK("https://otsuka-europe-crm.veevavault.com/ui/#object/vcountry__v/VENZ000004SONF5", "ES")</f>
        <v>ES</v>
      </c>
      <c r="C26" s="20" t="s">
        <v>39</v>
      </c>
      <c r="D26" s="21" t="str">
        <f>HYPERLINK("https://otsuka-europe-crm.veevavault.com/ui/#object/approved_document__v/V5O00000000I030", "ENFERMERíA - PODCAST: Ep5 Autoestima")</f>
        <v>ENFERMERíA - PODCAST: Ep5 Autoestima</v>
      </c>
      <c r="E26" s="22" t="str">
        <f>HYPERLINK("https://otsuka-europe-crm.veevavault.com/ui/#object/sent_email__v/VBL00000002W090", "SE-001437614")</f>
        <v>SE-001437614</v>
      </c>
      <c r="F26" s="25">
        <v>46210.504004629627</v>
      </c>
      <c r="G26" s="24">
        <v>1</v>
      </c>
      <c r="H26" s="24">
        <v>1</v>
      </c>
      <c r="I26" s="24">
        <v>0</v>
      </c>
      <c r="J26" s="23"/>
      <c r="K26" s="24">
        <v>0</v>
      </c>
      <c r="L26" s="22" t="str">
        <f>HYPERLINK("https://otsuka-europe-crm.veevavault.com/ui/#object/approved_document__v/V5O00000000I030", "ENFERMERíA - PODCAST: Ep5 Autoestima")</f>
        <v>ENFERMERíA - PODCAST: Ep5 Autoestima</v>
      </c>
      <c r="M26" s="22" t="str">
        <f>HYPERLINK("mailto:mgravan@crm.otsuka-europe.com", "mgravan@crm.otsuka-europe.com")</f>
        <v>mgravan@crm.otsuka-europe.com</v>
      </c>
      <c r="N26" s="25">
        <v>46210.393287037034</v>
      </c>
      <c r="O26" s="14" t="str">
        <f>HYPERLINK("https://otsuka-europe-crm.veevavault.com/ui/#object/email_activity__v/V8C000000043713", "EN-002102974")</f>
        <v>EN-002102974</v>
      </c>
    </row>
    <row r="27" spans="1:15" ht="16" x14ac:dyDescent="0.2">
      <c r="A27" s="19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4" t="str">
        <f>HYPERLINK("https://otsuka-europe-crm.veevavault.com/ui/#object/email_activity__v/V8C000000044566", "EN-002102698")</f>
        <v>EN-002102698</v>
      </c>
    </row>
    <row r="28" spans="1:15" ht="16" x14ac:dyDescent="0.2">
      <c r="A28" s="18" t="str">
        <f>HYPERLINK("https://otsuka-europe-crm.veevavault.com/ui/#object/account__v/V4TZ025E87SGXPB", "CARMEN ISABEL LINARES RUEDA")</f>
        <v>CARMEN ISABEL LINARES RUEDA</v>
      </c>
      <c r="B28" s="18" t="str">
        <f>HYPERLINK("https://otsuka-europe-crm.veevavault.com/ui/#object/vcountry__v/VENZ000004SONF5", "ES")</f>
        <v>ES</v>
      </c>
      <c r="C28" s="20" t="s">
        <v>39</v>
      </c>
      <c r="D28" s="21" t="str">
        <f>HYPERLINK("https://otsuka-europe-crm.veevavault.com/ui/#object/approved_document__v/V5O00000000I030", "ENFERMERíA - PODCAST: Ep5 Autoestima")</f>
        <v>ENFERMERíA - PODCAST: Ep5 Autoestima</v>
      </c>
      <c r="E28" s="22" t="str">
        <f>HYPERLINK("https://otsuka-europe-crm.veevavault.com/ui/#object/sent_email__v/VBL00000002W091", "SE-001437615")</f>
        <v>SE-001437615</v>
      </c>
      <c r="F28" s="23"/>
      <c r="G28" s="24">
        <v>0</v>
      </c>
      <c r="H28" s="24">
        <v>0</v>
      </c>
      <c r="I28" s="24">
        <v>0</v>
      </c>
      <c r="J28" s="23"/>
      <c r="K28" s="24">
        <v>0</v>
      </c>
      <c r="L28" s="22" t="str">
        <f>HYPERLINK("https://otsuka-europe-crm.veevavault.com/ui/#object/approved_document__v/V5O00000000I030", "ENFERMERíA - PODCAST: Ep5 Autoestima")</f>
        <v>ENFERMERíA - PODCAST: Ep5 Autoestima</v>
      </c>
      <c r="M28" s="22" t="str">
        <f>HYPERLINK("mailto:mgravan@crm.otsuka-europe.com", "mgravan@crm.otsuka-europe.com")</f>
        <v>mgravan@crm.otsuka-europe.com</v>
      </c>
      <c r="N28" s="25">
        <v>46210.393252314818</v>
      </c>
      <c r="O28" s="14" t="str">
        <f>HYPERLINK("https://otsuka-europe-crm.veevavault.com/ui/#object/email_activity__v/V8C000000043591", "EN-002102728")</f>
        <v>EN-002102728</v>
      </c>
    </row>
    <row r="29" spans="1:15" ht="16" x14ac:dyDescent="0.2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4" t="str">
        <f>HYPERLINK("https://otsuka-europe-crm.veevavault.com/ui/#object/email_activity__v/V8C000000043871", "EN-002103264")</f>
        <v>EN-002103264</v>
      </c>
    </row>
    <row r="30" spans="1:15" ht="16" x14ac:dyDescent="0.2">
      <c r="A30" s="18" t="str">
        <f>HYPERLINK("https://otsuka-europe-crm.veevavault.com/ui/#object/account__v/V4TZ06G6O71TDHU", "ELENA MARIA MESTRE GARCIA DEL PRADO")</f>
        <v>ELENA MARIA MESTRE GARCIA DEL PRADO</v>
      </c>
      <c r="B30" s="18" t="str">
        <f>HYPERLINK("https://otsuka-europe-crm.veevavault.com/ui/#object/vcountry__v/VENZ000004SONF5", "ES")</f>
        <v>ES</v>
      </c>
      <c r="C30" s="20" t="s">
        <v>39</v>
      </c>
      <c r="D30" s="21" t="str">
        <f>HYPERLINK("https://otsuka-europe-crm.veevavault.com/ui/#object/approved_document__v/V5O00000000I030", "ENFERMERíA - PODCAST: Ep5 Autoestima")</f>
        <v>ENFERMERíA - PODCAST: Ep5 Autoestima</v>
      </c>
      <c r="E30" s="22" t="str">
        <f>HYPERLINK("https://otsuka-europe-crm.veevavault.com/ui/#object/sent_email__v/VBL00000002W092", "SE-001437616")</f>
        <v>SE-001437616</v>
      </c>
      <c r="F30" s="25">
        <v>46238.538263888891</v>
      </c>
      <c r="G30" s="24">
        <v>1</v>
      </c>
      <c r="H30" s="24">
        <v>11</v>
      </c>
      <c r="I30" s="24">
        <v>0</v>
      </c>
      <c r="J30" s="23"/>
      <c r="K30" s="24">
        <v>0</v>
      </c>
      <c r="L30" s="22" t="str">
        <f>HYPERLINK("https://otsuka-europe-crm.veevavault.com/ui/#object/approved_document__v/V5O00000000I030", "ENFERMERíA - PODCAST: Ep5 Autoestima")</f>
        <v>ENFERMERíA - PODCAST: Ep5 Autoestima</v>
      </c>
      <c r="M30" s="22" t="str">
        <f>HYPERLINK("mailto:mgravan@crm.otsuka-europe.com", "mgravan@crm.otsuka-europe.com")</f>
        <v>mgravan@crm.otsuka-europe.com</v>
      </c>
      <c r="N30" s="25">
        <v>46210.393275462964</v>
      </c>
      <c r="O30" s="14" t="str">
        <f>HYPERLINK("https://otsuka-europe-crm.veevavault.com/ui/#object/email_activity__v/V8C000000044560", "EN-002102692")</f>
        <v>EN-002102692</v>
      </c>
    </row>
    <row r="31" spans="1:15" ht="16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14" t="str">
        <f>HYPERLINK("https://otsuka-europe-crm.veevavault.com/ui/#object/email_activity__v/V8C000000044595", "EN-002102750")</f>
        <v>EN-002102750</v>
      </c>
    </row>
    <row r="32" spans="1:15" ht="16" x14ac:dyDescent="0.2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14" t="str">
        <f>HYPERLINK("https://otsuka-europe-crm.veevavault.com/ui/#object/email_activity__v/V8C000000044596", "EN-002102751")</f>
        <v>EN-002102751</v>
      </c>
    </row>
    <row r="33" spans="1:15" ht="16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14" t="str">
        <f>HYPERLINK("https://otsuka-europe-crm.veevavault.com/ui/#object/email_activity__v/V8C000000044712", "EN-002102995")</f>
        <v>EN-002102995</v>
      </c>
    </row>
    <row r="34" spans="1:15" ht="16" x14ac:dyDescent="0.2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14" t="str">
        <f>HYPERLINK("https://otsuka-europe-crm.veevavault.com/ui/#object/email_activity__v/V8C000000044718", "EN-002103009")</f>
        <v>EN-002103009</v>
      </c>
    </row>
    <row r="35" spans="1:15" ht="16" x14ac:dyDescent="0.2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14" t="str">
        <f>HYPERLINK("https://otsuka-europe-crm.veevavault.com/ui/#object/email_activity__v/V8C000000044753", "EN-002103080")</f>
        <v>EN-002103080</v>
      </c>
    </row>
    <row r="36" spans="1:15" ht="16" x14ac:dyDescent="0.2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14" t="str">
        <f>HYPERLINK("https://otsuka-europe-crm.veevavault.com/ui/#object/email_activity__v/V8C000000044852", "EN-002103294")</f>
        <v>EN-002103294</v>
      </c>
    </row>
    <row r="37" spans="1:15" ht="16" x14ac:dyDescent="0.2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14" t="str">
        <f>HYPERLINK("https://otsuka-europe-crm.veevavault.com/ui/#object/email_activity__v/V8C000000049041", "EN-002104949")</f>
        <v>EN-002104949</v>
      </c>
    </row>
    <row r="38" spans="1:15" ht="16" x14ac:dyDescent="0.2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14" t="str">
        <f>HYPERLINK("https://otsuka-europe-crm.veevavault.com/ui/#object/email_activity__v/V8C00000004A041", "EN-002104951")</f>
        <v>EN-002104951</v>
      </c>
    </row>
    <row r="39" spans="1:15" ht="16" x14ac:dyDescent="0.2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14" t="str">
        <f>HYPERLINK("https://otsuka-europe-crm.veevavault.com/ui/#object/email_activity__v/V8C00000004B298", "EN-002107251")</f>
        <v>EN-002107251</v>
      </c>
    </row>
    <row r="40" spans="1:15" ht="16" x14ac:dyDescent="0.2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14" t="str">
        <f>HYPERLINK("https://otsuka-europe-crm.veevavault.com/ui/#object/email_activity__v/V8C00000004E369", "EN-002109088")</f>
        <v>EN-002109088</v>
      </c>
    </row>
    <row r="41" spans="1:15" ht="16" x14ac:dyDescent="0.2">
      <c r="A41" s="19"/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4" t="str">
        <f>HYPERLINK("https://otsuka-europe-crm.veevavault.com/ui/#object/email_activity__v/V8C00000004H308", "EN-002111493")</f>
        <v>EN-002111493</v>
      </c>
    </row>
    <row r="42" spans="1:15" ht="32" x14ac:dyDescent="0.2">
      <c r="A42" s="7" t="str">
        <f>HYPERLINK("https://otsuka-europe-crm.veevavault.com/ui/#object/account__v/V4TZ06G6O71TDJE", "CECILIA SERRANO CECILIA")</f>
        <v>CECILIA SERRANO CECILIA</v>
      </c>
      <c r="B42" s="7" t="str">
        <f>HYPERLINK("https://otsuka-europe-crm.veevavault.com/ui/#object/vcountry__v/VENZ000004SONF5", "ES")</f>
        <v>ES</v>
      </c>
      <c r="C42" s="8" t="s">
        <v>39</v>
      </c>
      <c r="D42" s="9" t="str">
        <f>HYPERLINK("https://otsuka-europe-crm.veevavault.com/ui/#object/approved_document__v/V5O00000000I030", "ENFERMERíA - PODCAST: Ep5 Autoestima")</f>
        <v>ENFERMERíA - PODCAST: Ep5 Autoestima</v>
      </c>
      <c r="E42" s="10" t="str">
        <f>HYPERLINK("https://otsuka-europe-crm.veevavault.com/ui/#object/sent_email__v/VBL00000002W093", "SE-001437617")</f>
        <v>SE-001437617</v>
      </c>
      <c r="F42" s="11"/>
      <c r="G42" s="12">
        <v>0</v>
      </c>
      <c r="H42" s="12">
        <v>0</v>
      </c>
      <c r="I42" s="12">
        <v>0</v>
      </c>
      <c r="J42" s="11"/>
      <c r="K42" s="12">
        <v>0</v>
      </c>
      <c r="L42" s="10" t="str">
        <f>HYPERLINK("https://otsuka-europe-crm.veevavault.com/ui/#object/approved_document__v/V5O00000000I030", "ENFERMERíA - PODCAST: Ep5 Autoestima")</f>
        <v>ENFERMERíA - PODCAST: Ep5 Autoestima</v>
      </c>
      <c r="M42" s="10" t="str">
        <f>HYPERLINK("mailto:mgravan@crm.otsuka-europe.com", "mgravan@crm.otsuka-europe.com")</f>
        <v>mgravan@crm.otsuka-europe.com</v>
      </c>
      <c r="N42" s="13">
        <v>46210.393252314818</v>
      </c>
      <c r="O42" s="14" t="str">
        <f>HYPERLINK("https://otsuka-europe-crm.veevavault.com/ui/#object/email_activity__v/V8C000000044585", "EN-002102736")</f>
        <v>EN-002102736</v>
      </c>
    </row>
    <row r="43" spans="1:15" ht="32" x14ac:dyDescent="0.2">
      <c r="A43" s="7" t="str">
        <f>HYPERLINK("https://otsuka-europe-crm.veevavault.com/ui/#object/account__v/V4TZ04ASGE0F8UC", "MARIA GONZALEZ CASTRO")</f>
        <v>MARIA GONZALEZ CASTRO</v>
      </c>
      <c r="B43" s="7" t="str">
        <f>HYPERLINK("https://otsuka-europe-crm.veevavault.com/ui/#object/vcountry__v/VENZ000004SONF5", "ES")</f>
        <v>ES</v>
      </c>
      <c r="C43" s="8" t="s">
        <v>39</v>
      </c>
      <c r="D43" s="9" t="str">
        <f>HYPERLINK("https://otsuka-europe-crm.veevavault.com/ui/#object/approved_document__v/V5O00000000I030", "ENFERMERíA - PODCAST: Ep5 Autoestima")</f>
        <v>ENFERMERíA - PODCAST: Ep5 Autoestima</v>
      </c>
      <c r="E43" s="10" t="str">
        <f>HYPERLINK("https://otsuka-europe-crm.veevavault.com/ui/#object/sent_email__v/VBL00000002W094", "SE-001437618")</f>
        <v>SE-001437618</v>
      </c>
      <c r="F43" s="11"/>
      <c r="G43" s="12">
        <v>0</v>
      </c>
      <c r="H43" s="12">
        <v>0</v>
      </c>
      <c r="I43" s="12">
        <v>0</v>
      </c>
      <c r="J43" s="11"/>
      <c r="K43" s="12">
        <v>0</v>
      </c>
      <c r="L43" s="10" t="str">
        <f>HYPERLINK("https://otsuka-europe-crm.veevavault.com/ui/#object/approved_document__v/V5O00000000I030", "ENFERMERíA - PODCAST: Ep5 Autoestima")</f>
        <v>ENFERMERíA - PODCAST: Ep5 Autoestima</v>
      </c>
      <c r="M43" s="10" t="str">
        <f>HYPERLINK("mailto:mgravan@crm.otsuka-europe.com", "mgravan@crm.otsuka-europe.com")</f>
        <v>mgravan@crm.otsuka-europe.com</v>
      </c>
      <c r="N43" s="13">
        <v>46210.393252314818</v>
      </c>
      <c r="O43" s="14" t="str">
        <f>HYPERLINK("https://otsuka-europe-crm.veevavault.com/ui/#object/email_activity__v/V8C000000043592", "EN-002102729")</f>
        <v>EN-002102729</v>
      </c>
    </row>
    <row r="44" spans="1:15" ht="32" x14ac:dyDescent="0.2">
      <c r="A44" s="7" t="str">
        <f>HYPERLINK("https://otsuka-europe-crm.veevavault.com/ui/#object/account__v/V4TZ025E87FYSEY", "EMMA FERNANDEZ TORRES")</f>
        <v>EMMA FERNANDEZ TORRES</v>
      </c>
      <c r="B44" s="7" t="str">
        <f>HYPERLINK("https://otsuka-europe-crm.veevavault.com/ui/#object/vcountry__v/VENZ000004SONF5", "ES")</f>
        <v>ES</v>
      </c>
      <c r="C44" s="8" t="s">
        <v>39</v>
      </c>
      <c r="D44" s="9" t="str">
        <f>HYPERLINK("https://otsuka-europe-crm.veevavault.com/ui/#object/approved_document__v/V5O00000000I030", "ENFERMERíA - PODCAST: Ep5 Autoestima")</f>
        <v>ENFERMERíA - PODCAST: Ep5 Autoestima</v>
      </c>
      <c r="E44" s="10" t="str">
        <f>HYPERLINK("https://otsuka-europe-crm.veevavault.com/ui/#object/sent_email__v/VBL00000002W095", "SE-001437619")</f>
        <v>SE-001437619</v>
      </c>
      <c r="F44" s="11"/>
      <c r="G44" s="12">
        <v>0</v>
      </c>
      <c r="H44" s="12">
        <v>0</v>
      </c>
      <c r="I44" s="12">
        <v>0</v>
      </c>
      <c r="J44" s="11"/>
      <c r="K44" s="12">
        <v>0</v>
      </c>
      <c r="L44" s="10" t="str">
        <f>HYPERLINK("https://otsuka-europe-crm.veevavault.com/ui/#object/approved_document__v/V5O00000000I030", "ENFERMERíA - PODCAST: Ep5 Autoestima")</f>
        <v>ENFERMERíA - PODCAST: Ep5 Autoestima</v>
      </c>
      <c r="M44" s="10" t="str">
        <f>HYPERLINK("mailto:mgravan@crm.otsuka-europe.com", "mgravan@crm.otsuka-europe.com")</f>
        <v>mgravan@crm.otsuka-europe.com</v>
      </c>
      <c r="N44" s="13">
        <v>46210.393252314818</v>
      </c>
      <c r="O44" s="14" t="str">
        <f>HYPERLINK("https://otsuka-europe-crm.veevavault.com/ui/#object/email_activity__v/V8C000000043593", "EN-002102730")</f>
        <v>EN-002102730</v>
      </c>
    </row>
    <row r="45" spans="1:15" ht="16" x14ac:dyDescent="0.2">
      <c r="A45" s="18" t="str">
        <f>HYPERLINK("https://otsuka-europe-crm.veevavault.com/ui/#object/account__v/V4T00000001W130", "JULIA FLORIANO LANCETA")</f>
        <v>JULIA FLORIANO LANCETA</v>
      </c>
      <c r="B45" s="18" t="str">
        <f>HYPERLINK("https://otsuka-europe-crm.veevavault.com/ui/#object/vcountry__v/VENZ000004SONF5", "ES")</f>
        <v>ES</v>
      </c>
      <c r="C45" s="20" t="s">
        <v>39</v>
      </c>
      <c r="D45" s="21" t="str">
        <f>HYPERLINK("https://otsuka-europe-crm.veevavault.com/ui/#object/approved_document__v/V5O00000000I030", "ENFERMERíA - PODCAST: Ep5 Autoestima")</f>
        <v>ENFERMERíA - PODCAST: Ep5 Autoestima</v>
      </c>
      <c r="E45" s="22" t="str">
        <f>HYPERLINK("https://otsuka-europe-crm.veevavault.com/ui/#object/sent_email__v/VBL00000002W096", "SE-001437620")</f>
        <v>SE-001437620</v>
      </c>
      <c r="F45" s="25">
        <v>46210.393900462965</v>
      </c>
      <c r="G45" s="24">
        <v>1</v>
      </c>
      <c r="H45" s="24">
        <v>1</v>
      </c>
      <c r="I45" s="24">
        <v>0</v>
      </c>
      <c r="J45" s="23"/>
      <c r="K45" s="24">
        <v>0</v>
      </c>
      <c r="L45" s="22" t="str">
        <f>HYPERLINK("https://otsuka-europe-crm.veevavault.com/ui/#object/approved_document__v/V5O00000000I030", "ENFERMERíA - PODCAST: Ep5 Autoestima")</f>
        <v>ENFERMERíA - PODCAST: Ep5 Autoestima</v>
      </c>
      <c r="M45" s="22" t="str">
        <f>HYPERLINK("mailto:mgravan@crm.otsuka-europe.com", "mgravan@crm.otsuka-europe.com")</f>
        <v>mgravan@crm.otsuka-europe.com</v>
      </c>
      <c r="N45" s="25">
        <v>46210.393252314818</v>
      </c>
      <c r="O45" s="14" t="str">
        <f>HYPERLINK("https://otsuka-europe-crm.veevavault.com/ui/#object/email_activity__v/V8C000000044573", "EN-002102705")</f>
        <v>EN-002102705</v>
      </c>
    </row>
    <row r="46" spans="1:15" ht="16" x14ac:dyDescent="0.2">
      <c r="A46" s="19"/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4" t="str">
        <f>HYPERLINK("https://otsuka-europe-crm.veevavault.com/ui/#object/email_activity__v/V8C000000044594", "EN-002102749")</f>
        <v>EN-002102749</v>
      </c>
    </row>
    <row r="47" spans="1:15" ht="32" x14ac:dyDescent="0.2">
      <c r="A47" s="7" t="str">
        <f>HYPERLINK("https://otsuka-europe-crm.veevavault.com/ui/#object/account__v/V4TZ025E87NZ0AY", "CARMEN ARAGON SANCHEZ")</f>
        <v>CARMEN ARAGON SANCHEZ</v>
      </c>
      <c r="B47" s="7" t="str">
        <f t="shared" ref="B47:B55" si="0">HYPERLINK("https://otsuka-europe-crm.veevavault.com/ui/#object/vcountry__v/VENZ000004SONF5", "ES")</f>
        <v>ES</v>
      </c>
      <c r="C47" s="8" t="s">
        <v>39</v>
      </c>
      <c r="D47" s="9" t="str">
        <f t="shared" ref="D47:D55" si="1">HYPERLINK("https://otsuka-europe-crm.veevavault.com/ui/#object/approved_document__v/V5O00000000I030", "ENFERMERíA - PODCAST: Ep5 Autoestima")</f>
        <v>ENFERMERíA - PODCAST: Ep5 Autoestima</v>
      </c>
      <c r="E47" s="10" t="str">
        <f>HYPERLINK("https://otsuka-europe-crm.veevavault.com/ui/#object/sent_email__v/VBL00000002W097", "SE-001437621")</f>
        <v>SE-001437621</v>
      </c>
      <c r="F47" s="11"/>
      <c r="G47" s="12">
        <v>0</v>
      </c>
      <c r="H47" s="12">
        <v>0</v>
      </c>
      <c r="I47" s="12">
        <v>0</v>
      </c>
      <c r="J47" s="11"/>
      <c r="K47" s="12">
        <v>0</v>
      </c>
      <c r="L47" s="10" t="str">
        <f t="shared" ref="L47:L55" si="2">HYPERLINK("https://otsuka-europe-crm.veevavault.com/ui/#object/approved_document__v/V5O00000000I030", "ENFERMERíA - PODCAST: Ep5 Autoestima")</f>
        <v>ENFERMERíA - PODCAST: Ep5 Autoestima</v>
      </c>
      <c r="M47" s="10" t="str">
        <f t="shared" ref="M47:M55" si="3">HYPERLINK("mailto:mgravan@crm.otsuka-europe.com", "mgravan@crm.otsuka-europe.com")</f>
        <v>mgravan@crm.otsuka-europe.com</v>
      </c>
      <c r="N47" s="13">
        <v>46210.393252314818</v>
      </c>
      <c r="O47" s="14" t="str">
        <f>HYPERLINK("https://otsuka-europe-crm.veevavault.com/ui/#object/email_activity__v/V8C000000043588", "EN-002102725")</f>
        <v>EN-002102725</v>
      </c>
    </row>
    <row r="48" spans="1:15" ht="32" x14ac:dyDescent="0.2">
      <c r="A48" s="7" t="str">
        <f>HYPERLINK("https://otsuka-europe-crm.veevavault.com/ui/#object/account__v/V4TZ04ASG8QA482", "ANA ROSA VAZQUEZ ROMERO")</f>
        <v>ANA ROSA VAZQUEZ ROMERO</v>
      </c>
      <c r="B48" s="7" t="str">
        <f t="shared" si="0"/>
        <v>ES</v>
      </c>
      <c r="C48" s="8" t="s">
        <v>39</v>
      </c>
      <c r="D48" s="9" t="str">
        <f t="shared" si="1"/>
        <v>ENFERMERíA - PODCAST: Ep5 Autoestima</v>
      </c>
      <c r="E48" s="10" t="str">
        <f>HYPERLINK("https://otsuka-europe-crm.veevavault.com/ui/#object/sent_email__v/VBL00000002W098", "SE-001437622")</f>
        <v>SE-001437622</v>
      </c>
      <c r="F48" s="11"/>
      <c r="G48" s="12">
        <v>0</v>
      </c>
      <c r="H48" s="12">
        <v>0</v>
      </c>
      <c r="I48" s="12">
        <v>0</v>
      </c>
      <c r="J48" s="11"/>
      <c r="K48" s="12">
        <v>0</v>
      </c>
      <c r="L48" s="10" t="str">
        <f t="shared" si="2"/>
        <v>ENFERMERíA - PODCAST: Ep5 Autoestima</v>
      </c>
      <c r="M48" s="10" t="str">
        <f t="shared" si="3"/>
        <v>mgravan@crm.otsuka-europe.com</v>
      </c>
      <c r="N48" s="13">
        <v>46210.393252314818</v>
      </c>
      <c r="O48" s="14" t="str">
        <f>HYPERLINK("https://otsuka-europe-crm.veevavault.com/ui/#object/email_activity__v/V8C000000043597", "EN-002102746")</f>
        <v>EN-002102746</v>
      </c>
    </row>
    <row r="49" spans="1:15" ht="32" x14ac:dyDescent="0.2">
      <c r="A49" s="7" t="str">
        <f>HYPERLINK("https://otsuka-europe-crm.veevavault.com/ui/#object/account__v/V4TZ06G6O8SB89R", "ANA MARIA FLORES JUNQUERA")</f>
        <v>ANA MARIA FLORES JUNQUERA</v>
      </c>
      <c r="B49" s="7" t="str">
        <f t="shared" si="0"/>
        <v>ES</v>
      </c>
      <c r="C49" s="8" t="s">
        <v>39</v>
      </c>
      <c r="D49" s="9" t="str">
        <f t="shared" si="1"/>
        <v>ENFERMERíA - PODCAST: Ep5 Autoestima</v>
      </c>
      <c r="E49" s="10" t="str">
        <f>HYPERLINK("https://otsuka-europe-crm.veevavault.com/ui/#object/sent_email__v/VBL00000002W099", "SE-001437623")</f>
        <v>SE-001437623</v>
      </c>
      <c r="F49" s="11"/>
      <c r="G49" s="12">
        <v>0</v>
      </c>
      <c r="H49" s="12">
        <v>0</v>
      </c>
      <c r="I49" s="12">
        <v>0</v>
      </c>
      <c r="J49" s="11"/>
      <c r="K49" s="12">
        <v>0</v>
      </c>
      <c r="L49" s="10" t="str">
        <f t="shared" si="2"/>
        <v>ENFERMERíA - PODCAST: Ep5 Autoestima</v>
      </c>
      <c r="M49" s="10" t="str">
        <f t="shared" si="3"/>
        <v>mgravan@crm.otsuka-europe.com</v>
      </c>
      <c r="N49" s="13">
        <v>46210.393252314818</v>
      </c>
      <c r="O49" s="14" t="str">
        <f>HYPERLINK("https://otsuka-europe-crm.veevavault.com/ui/#object/email_activity__v/V8C000000043585", "EN-002102719")</f>
        <v>EN-002102719</v>
      </c>
    </row>
    <row r="50" spans="1:15" ht="32" x14ac:dyDescent="0.2">
      <c r="A50" s="7" t="str">
        <f>HYPERLINK("https://otsuka-europe-crm.veevavault.com/ui/#object/account__v/V4TZ04ASGGHZANK", "MARINA BARRADA BUSTELO")</f>
        <v>MARINA BARRADA BUSTELO</v>
      </c>
      <c r="B50" s="7" t="str">
        <f t="shared" si="0"/>
        <v>ES</v>
      </c>
      <c r="C50" s="8" t="s">
        <v>39</v>
      </c>
      <c r="D50" s="9" t="str">
        <f t="shared" si="1"/>
        <v>ENFERMERíA - PODCAST: Ep5 Autoestima</v>
      </c>
      <c r="E50" s="10" t="str">
        <f>HYPERLINK("https://otsuka-europe-crm.veevavault.com/ui/#object/sent_email__v/VBL00000002W100", "SE-001437624")</f>
        <v>SE-001437624</v>
      </c>
      <c r="F50" s="11"/>
      <c r="G50" s="12">
        <v>0</v>
      </c>
      <c r="H50" s="12">
        <v>0</v>
      </c>
      <c r="I50" s="12">
        <v>0</v>
      </c>
      <c r="J50" s="11"/>
      <c r="K50" s="12">
        <v>0</v>
      </c>
      <c r="L50" s="10" t="str">
        <f t="shared" si="2"/>
        <v>ENFERMERíA - PODCAST: Ep5 Autoestima</v>
      </c>
      <c r="M50" s="10" t="str">
        <f t="shared" si="3"/>
        <v>mgravan@crm.otsuka-europe.com</v>
      </c>
      <c r="N50" s="13">
        <v>46210.393240740741</v>
      </c>
      <c r="O50" s="14" t="str">
        <f>HYPERLINK("https://otsuka-europe-crm.veevavault.com/ui/#object/email_activity__v/V8C000000044579", "EN-002102721")</f>
        <v>EN-002102721</v>
      </c>
    </row>
    <row r="51" spans="1:15" ht="32" x14ac:dyDescent="0.2">
      <c r="A51" s="7" t="str">
        <f>HYPERLINK("https://otsuka-europe-crm.veevavault.com/ui/#object/account__v/V4TZ025E888WUI2", "MARIA LEON MORATO")</f>
        <v>MARIA LEON MORATO</v>
      </c>
      <c r="B51" s="7" t="str">
        <f t="shared" si="0"/>
        <v>ES</v>
      </c>
      <c r="C51" s="8" t="s">
        <v>39</v>
      </c>
      <c r="D51" s="9" t="str">
        <f t="shared" si="1"/>
        <v>ENFERMERíA - PODCAST: Ep5 Autoestima</v>
      </c>
      <c r="E51" s="10" t="str">
        <f>HYPERLINK("https://otsuka-europe-crm.veevavault.com/ui/#object/sent_email__v/VBL00000002W101", "SE-001437625")</f>
        <v>SE-001437625</v>
      </c>
      <c r="F51" s="11"/>
      <c r="G51" s="12">
        <v>0</v>
      </c>
      <c r="H51" s="12">
        <v>0</v>
      </c>
      <c r="I51" s="12">
        <v>0</v>
      </c>
      <c r="J51" s="11"/>
      <c r="K51" s="12">
        <v>0</v>
      </c>
      <c r="L51" s="10" t="str">
        <f t="shared" si="2"/>
        <v>ENFERMERíA - PODCAST: Ep5 Autoestima</v>
      </c>
      <c r="M51" s="10" t="str">
        <f t="shared" si="3"/>
        <v>mgravan@crm.otsuka-europe.com</v>
      </c>
      <c r="N51" s="13">
        <v>46210.393240740741</v>
      </c>
      <c r="O51" s="14" t="str">
        <f>HYPERLINK("https://otsuka-europe-crm.veevavault.com/ui/#object/email_activity__v/V8C000000044578", "EN-002102710")</f>
        <v>EN-002102710</v>
      </c>
    </row>
    <row r="52" spans="1:15" ht="32" x14ac:dyDescent="0.2">
      <c r="A52" s="7" t="str">
        <f>HYPERLINK("https://otsuka-europe-crm.veevavault.com/ui/#object/account__v/V4T00000001W137", "FRANCISCA SIERRA MORENO")</f>
        <v>FRANCISCA SIERRA MORENO</v>
      </c>
      <c r="B52" s="7" t="str">
        <f t="shared" si="0"/>
        <v>ES</v>
      </c>
      <c r="C52" s="8" t="s">
        <v>39</v>
      </c>
      <c r="D52" s="9" t="str">
        <f t="shared" si="1"/>
        <v>ENFERMERíA - PODCAST: Ep5 Autoestima</v>
      </c>
      <c r="E52" s="10" t="str">
        <f>HYPERLINK("https://otsuka-europe-crm.veevavault.com/ui/#object/sent_email__v/VBL00000002W102", "SE-001437626")</f>
        <v>SE-001437626</v>
      </c>
      <c r="F52" s="11"/>
      <c r="G52" s="12">
        <v>0</v>
      </c>
      <c r="H52" s="12">
        <v>0</v>
      </c>
      <c r="I52" s="12">
        <v>0</v>
      </c>
      <c r="J52" s="11"/>
      <c r="K52" s="12">
        <v>0</v>
      </c>
      <c r="L52" s="10" t="str">
        <f t="shared" si="2"/>
        <v>ENFERMERíA - PODCAST: Ep5 Autoestima</v>
      </c>
      <c r="M52" s="10" t="str">
        <f t="shared" si="3"/>
        <v>mgravan@crm.otsuka-europe.com</v>
      </c>
      <c r="N52" s="13">
        <v>46210.393240740741</v>
      </c>
      <c r="O52" s="14" t="str">
        <f>HYPERLINK("https://otsuka-europe-crm.veevavault.com/ui/#object/email_activity__v/V8C000000044587", "EN-002102738")</f>
        <v>EN-002102738</v>
      </c>
    </row>
    <row r="53" spans="1:15" ht="32" x14ac:dyDescent="0.2">
      <c r="A53" s="7" t="str">
        <f>HYPERLINK("https://otsuka-europe-crm.veevavault.com/ui/#object/account__v/V4TZ025E85LD89I", "MARIA CARMEN ROMERO VEGA")</f>
        <v>MARIA CARMEN ROMERO VEGA</v>
      </c>
      <c r="B53" s="7" t="str">
        <f t="shared" si="0"/>
        <v>ES</v>
      </c>
      <c r="C53" s="8" t="s">
        <v>39</v>
      </c>
      <c r="D53" s="9" t="str">
        <f t="shared" si="1"/>
        <v>ENFERMERíA - PODCAST: Ep5 Autoestima</v>
      </c>
      <c r="E53" s="10" t="str">
        <f>HYPERLINK("https://otsuka-europe-crm.veevavault.com/ui/#object/sent_email__v/VBL00000002W103", "SE-001437627")</f>
        <v>SE-001437627</v>
      </c>
      <c r="F53" s="11"/>
      <c r="G53" s="12">
        <v>0</v>
      </c>
      <c r="H53" s="12">
        <v>0</v>
      </c>
      <c r="I53" s="12">
        <v>0</v>
      </c>
      <c r="J53" s="11"/>
      <c r="K53" s="12">
        <v>0</v>
      </c>
      <c r="L53" s="10" t="str">
        <f t="shared" si="2"/>
        <v>ENFERMERíA - PODCAST: Ep5 Autoestima</v>
      </c>
      <c r="M53" s="10" t="str">
        <f t="shared" si="3"/>
        <v>mgravan@crm.otsuka-europe.com</v>
      </c>
      <c r="N53" s="13">
        <v>46210.393263888887</v>
      </c>
      <c r="O53" s="14" t="str">
        <f>HYPERLINK("https://otsuka-europe-crm.veevavault.com/ui/#object/email_activity__v/V8C000000044551", "EN-002102683")</f>
        <v>EN-002102683</v>
      </c>
    </row>
    <row r="54" spans="1:15" ht="32" x14ac:dyDescent="0.2">
      <c r="A54" s="7" t="str">
        <f>HYPERLINK("https://otsuka-europe-crm.veevavault.com/ui/#object/account__v/V4TZ06G6O71TDE2", "JERONIMA HERRERA JIMENEZ")</f>
        <v>JERONIMA HERRERA JIMENEZ</v>
      </c>
      <c r="B54" s="7" t="str">
        <f t="shared" si="0"/>
        <v>ES</v>
      </c>
      <c r="C54" s="8" t="s">
        <v>39</v>
      </c>
      <c r="D54" s="9" t="str">
        <f t="shared" si="1"/>
        <v>ENFERMERíA - PODCAST: Ep5 Autoestima</v>
      </c>
      <c r="E54" s="10" t="str">
        <f>HYPERLINK("https://otsuka-europe-crm.veevavault.com/ui/#object/sent_email__v/VBL00000002W104", "SE-001437628")</f>
        <v>SE-001437628</v>
      </c>
      <c r="F54" s="11"/>
      <c r="G54" s="12">
        <v>0</v>
      </c>
      <c r="H54" s="12">
        <v>0</v>
      </c>
      <c r="I54" s="12">
        <v>0</v>
      </c>
      <c r="J54" s="11"/>
      <c r="K54" s="12">
        <v>0</v>
      </c>
      <c r="L54" s="10" t="str">
        <f t="shared" si="2"/>
        <v>ENFERMERíA - PODCAST: Ep5 Autoestima</v>
      </c>
      <c r="M54" s="10" t="str">
        <f t="shared" si="3"/>
        <v>mgravan@crm.otsuka-europe.com</v>
      </c>
      <c r="N54" s="13">
        <v>46210.393240740741</v>
      </c>
      <c r="O54" s="14" t="str">
        <f>HYPERLINK("https://otsuka-europe-crm.veevavault.com/ui/#object/email_activity__v/V8C000000043582", "EN-002102716")</f>
        <v>EN-002102716</v>
      </c>
    </row>
    <row r="55" spans="1:15" ht="16" x14ac:dyDescent="0.2">
      <c r="A55" s="18" t="str">
        <f>HYPERLINK("https://otsuka-europe-crm.veevavault.com/ui/#object/account__v/V4T000000021019", "MIRIAM TERRERO FERNANDEZ")</f>
        <v>MIRIAM TERRERO FERNANDEZ</v>
      </c>
      <c r="B55" s="18" t="str">
        <f t="shared" si="0"/>
        <v>ES</v>
      </c>
      <c r="C55" s="20" t="s">
        <v>39</v>
      </c>
      <c r="D55" s="21" t="str">
        <f t="shared" si="1"/>
        <v>ENFERMERíA - PODCAST: Ep5 Autoestima</v>
      </c>
      <c r="E55" s="22" t="str">
        <f>HYPERLINK("https://otsuka-europe-crm.veevavault.com/ui/#object/sent_email__v/VBL00000002W105", "SE-001437629")</f>
        <v>SE-001437629</v>
      </c>
      <c r="F55" s="25">
        <v>46212.330069444448</v>
      </c>
      <c r="G55" s="24">
        <v>1</v>
      </c>
      <c r="H55" s="24">
        <v>3</v>
      </c>
      <c r="I55" s="24">
        <v>0</v>
      </c>
      <c r="J55" s="23"/>
      <c r="K55" s="24">
        <v>0</v>
      </c>
      <c r="L55" s="22" t="str">
        <f t="shared" si="2"/>
        <v>ENFERMERíA - PODCAST: Ep5 Autoestima</v>
      </c>
      <c r="M55" s="22" t="str">
        <f t="shared" si="3"/>
        <v>mgravan@crm.otsuka-europe.com</v>
      </c>
      <c r="N55" s="25">
        <v>46210.393240740741</v>
      </c>
      <c r="O55" s="14" t="str">
        <f>HYPERLINK("https://otsuka-europe-crm.veevavault.com/ui/#object/email_activity__v/V8C000000043584", "EN-002102718")</f>
        <v>EN-002102718</v>
      </c>
    </row>
    <row r="56" spans="1:15" ht="16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14" t="str">
        <f>HYPERLINK("https://otsuka-europe-crm.veevavault.com/ui/#object/email_activity__v/V8C000000043771", "EN-002103074")</f>
        <v>EN-002103074</v>
      </c>
    </row>
    <row r="57" spans="1:15" ht="16" x14ac:dyDescent="0.2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14" t="str">
        <f>HYPERLINK("https://otsuka-europe-crm.veevavault.com/ui/#object/email_activity__v/V8C000000044749", "EN-002103075")</f>
        <v>EN-002103075</v>
      </c>
    </row>
    <row r="58" spans="1:15" ht="16" x14ac:dyDescent="0.2">
      <c r="A58" s="19"/>
      <c r="B58" s="19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4" t="str">
        <f>HYPERLINK("https://otsuka-europe-crm.veevavault.com/ui/#object/email_activity__v/V8C000000044867", "EN-002103320")</f>
        <v>EN-002103320</v>
      </c>
    </row>
    <row r="59" spans="1:15" ht="32" x14ac:dyDescent="0.2">
      <c r="A59" s="7" t="str">
        <f>HYPERLINK("https://otsuka-europe-crm.veevavault.com/ui/#object/account__v/V4T000000024064", "ROCIO GALLEGO RAMOS")</f>
        <v>ROCIO GALLEGO RAMOS</v>
      </c>
      <c r="B59" s="7" t="str">
        <f>HYPERLINK("https://otsuka-europe-crm.veevavault.com/ui/#object/vcountry__v/VENZ000004SONF5", "ES")</f>
        <v>ES</v>
      </c>
      <c r="C59" s="8" t="s">
        <v>39</v>
      </c>
      <c r="D59" s="9" t="str">
        <f>HYPERLINK("https://otsuka-europe-crm.veevavault.com/ui/#object/approved_document__v/V5O00000000I030", "ENFERMERíA - PODCAST: Ep5 Autoestima")</f>
        <v>ENFERMERíA - PODCAST: Ep5 Autoestima</v>
      </c>
      <c r="E59" s="10" t="str">
        <f>HYPERLINK("https://otsuka-europe-crm.veevavault.com/ui/#object/sent_email__v/VBL00000002W106", "SE-001437630")</f>
        <v>SE-001437630</v>
      </c>
      <c r="F59" s="11"/>
      <c r="G59" s="12">
        <v>0</v>
      </c>
      <c r="H59" s="12">
        <v>0</v>
      </c>
      <c r="I59" s="12">
        <v>0</v>
      </c>
      <c r="J59" s="11"/>
      <c r="K59" s="12">
        <v>0</v>
      </c>
      <c r="L59" s="10" t="str">
        <f>HYPERLINK("https://otsuka-europe-crm.veevavault.com/ui/#object/approved_document__v/V5O00000000I030", "ENFERMERíA - PODCAST: Ep5 Autoestima")</f>
        <v>ENFERMERíA - PODCAST: Ep5 Autoestima</v>
      </c>
      <c r="M59" s="10" t="str">
        <f>HYPERLINK("mailto:mgravan@crm.otsuka-europe.com", "mgravan@crm.otsuka-europe.com")</f>
        <v>mgravan@crm.otsuka-europe.com</v>
      </c>
      <c r="N59" s="13">
        <v>46210.393240740741</v>
      </c>
      <c r="O59" s="14" t="str">
        <f>HYPERLINK("https://otsuka-europe-crm.veevavault.com/ui/#object/email_activity__v/V8C000000043579", "EN-002102713")</f>
        <v>EN-002102713</v>
      </c>
    </row>
    <row r="60" spans="1:15" ht="16" x14ac:dyDescent="0.2">
      <c r="A60" s="18" t="str">
        <f>HYPERLINK("https://otsuka-europe-crm.veevavault.com/ui/#object/account__v/V4TZ06G6O9RW6ZN", "CRISTINA CABALLERO PIZONES")</f>
        <v>CRISTINA CABALLERO PIZONES</v>
      </c>
      <c r="B60" s="18" t="str">
        <f>HYPERLINK("https://otsuka-europe-crm.veevavault.com/ui/#object/vcountry__v/VENZ000004SONF5", "ES")</f>
        <v>ES</v>
      </c>
      <c r="C60" s="20" t="s">
        <v>39</v>
      </c>
      <c r="D60" s="21" t="str">
        <f>HYPERLINK("https://otsuka-europe-crm.veevavault.com/ui/#object/approved_document__v/V5O00000000I030", "ENFERMERíA - PODCAST: Ep5 Autoestima")</f>
        <v>ENFERMERíA - PODCAST: Ep5 Autoestima</v>
      </c>
      <c r="E60" s="22" t="str">
        <f>HYPERLINK("https://otsuka-europe-crm.veevavault.com/ui/#object/sent_email__v/VBL00000002W107", "SE-001437631")</f>
        <v>SE-001437631</v>
      </c>
      <c r="F60" s="23"/>
      <c r="G60" s="24">
        <v>0</v>
      </c>
      <c r="H60" s="24">
        <v>0</v>
      </c>
      <c r="I60" s="24">
        <v>0</v>
      </c>
      <c r="J60" s="23"/>
      <c r="K60" s="24">
        <v>0</v>
      </c>
      <c r="L60" s="22" t="str">
        <f>HYPERLINK("https://otsuka-europe-crm.veevavault.com/ui/#object/approved_document__v/V5O00000000I030", "ENFERMERíA - PODCAST: Ep5 Autoestima")</f>
        <v>ENFERMERíA - PODCAST: Ep5 Autoestima</v>
      </c>
      <c r="M60" s="22" t="str">
        <f>HYPERLINK("mailto:mgravan@crm.otsuka-europe.com", "mgravan@crm.otsuka-europe.com")</f>
        <v>mgravan@crm.otsuka-europe.com</v>
      </c>
      <c r="N60" s="25">
        <v>46210.393240740741</v>
      </c>
      <c r="O60" s="14" t="str">
        <f>HYPERLINK("https://otsuka-europe-crm.veevavault.com/ui/#object/email_activity__v/V8C000000043580", "EN-002102714")</f>
        <v>EN-002102714</v>
      </c>
    </row>
    <row r="61" spans="1:15" ht="16" x14ac:dyDescent="0.2">
      <c r="A61" s="19"/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4" t="str">
        <f>HYPERLINK("https://otsuka-europe-crm.veevavault.com/ui/#object/email_activity__v/V8C000000044772", "EN-002103127")</f>
        <v>EN-002103127</v>
      </c>
    </row>
    <row r="62" spans="1:15" ht="16" x14ac:dyDescent="0.2">
      <c r="A62" s="18" t="str">
        <f>HYPERLINK("https://otsuka-europe-crm.veevavault.com/ui/#object/account__v/V4TZ04ASG6OVQRA", "MARIA CABALLERO ALAMEDA")</f>
        <v>MARIA CABALLERO ALAMEDA</v>
      </c>
      <c r="B62" s="18" t="str">
        <f>HYPERLINK("https://otsuka-europe-crm.veevavault.com/ui/#object/vcountry__v/VENZ000004SONF5", "ES")</f>
        <v>ES</v>
      </c>
      <c r="C62" s="20" t="s">
        <v>39</v>
      </c>
      <c r="D62" s="21" t="str">
        <f>HYPERLINK("https://otsuka-europe-crm.veevavault.com/ui/#object/approved_document__v/V5O00000000I030", "ENFERMERíA - PODCAST: Ep5 Autoestima")</f>
        <v>ENFERMERíA - PODCAST: Ep5 Autoestima</v>
      </c>
      <c r="E62" s="22" t="str">
        <f>HYPERLINK("https://otsuka-europe-crm.veevavault.com/ui/#object/sent_email__v/VBL00000002W108", "SE-001437632")</f>
        <v>SE-001437632</v>
      </c>
      <c r="F62" s="23"/>
      <c r="G62" s="24">
        <v>0</v>
      </c>
      <c r="H62" s="24">
        <v>0</v>
      </c>
      <c r="I62" s="24">
        <v>0</v>
      </c>
      <c r="J62" s="23"/>
      <c r="K62" s="24">
        <v>0</v>
      </c>
      <c r="L62" s="22" t="str">
        <f>HYPERLINK("https://otsuka-europe-crm.veevavault.com/ui/#object/approved_document__v/V5O00000000I030", "ENFERMERíA - PODCAST: Ep5 Autoestima")</f>
        <v>ENFERMERíA - PODCAST: Ep5 Autoestima</v>
      </c>
      <c r="M62" s="22" t="str">
        <f>HYPERLINK("mailto:mgravan@crm.otsuka-europe.com", "mgravan@crm.otsuka-europe.com")</f>
        <v>mgravan@crm.otsuka-europe.com</v>
      </c>
      <c r="N62" s="25">
        <v>46210.393287037034</v>
      </c>
      <c r="O62" s="14" t="str">
        <f>HYPERLINK("https://otsuka-europe-crm.veevavault.com/ui/#object/email_activity__v/V8C000000044557", "EN-002102689")</f>
        <v>EN-002102689</v>
      </c>
    </row>
    <row r="63" spans="1:15" ht="16" x14ac:dyDescent="0.2">
      <c r="A63" s="19"/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4" t="str">
        <f>HYPERLINK("https://otsuka-europe-crm.veevavault.com/ui/#object/email_activity__v/V8C000000044674", "EN-002102921")</f>
        <v>EN-002102921</v>
      </c>
    </row>
    <row r="64" spans="1:15" ht="32" x14ac:dyDescent="0.2">
      <c r="A64" s="7" t="str">
        <f>HYPERLINK("https://otsuka-europe-crm.veevavault.com/ui/#object/account__v/V4TZ04ASGGC0976", "ROCIO BARRERO MACIAS")</f>
        <v>ROCIO BARRERO MACIAS</v>
      </c>
      <c r="B64" s="7" t="str">
        <f>HYPERLINK("https://otsuka-europe-crm.veevavault.com/ui/#object/vcountry__v/VENZ000004SONF5", "ES")</f>
        <v>ES</v>
      </c>
      <c r="C64" s="8" t="s">
        <v>39</v>
      </c>
      <c r="D64" s="9" t="str">
        <f>HYPERLINK("https://otsuka-europe-crm.veevavault.com/ui/#object/approved_document__v/V5O00000000I030", "ENFERMERíA - PODCAST: Ep5 Autoestima")</f>
        <v>ENFERMERíA - PODCAST: Ep5 Autoestima</v>
      </c>
      <c r="E64" s="10" t="str">
        <f>HYPERLINK("https://otsuka-europe-crm.veevavault.com/ui/#object/sent_email__v/VBL00000002W109", "SE-001437633")</f>
        <v>SE-001437633</v>
      </c>
      <c r="F64" s="11"/>
      <c r="G64" s="12">
        <v>0</v>
      </c>
      <c r="H64" s="12">
        <v>0</v>
      </c>
      <c r="I64" s="12">
        <v>0</v>
      </c>
      <c r="J64" s="11"/>
      <c r="K64" s="12">
        <v>0</v>
      </c>
      <c r="L64" s="10" t="str">
        <f>HYPERLINK("https://otsuka-europe-crm.veevavault.com/ui/#object/approved_document__v/V5O00000000I030", "ENFERMERíA - PODCAST: Ep5 Autoestima")</f>
        <v>ENFERMERíA - PODCAST: Ep5 Autoestima</v>
      </c>
      <c r="M64" s="10" t="str">
        <f>HYPERLINK("mailto:mgravan@crm.otsuka-europe.com", "mgravan@crm.otsuka-europe.com")</f>
        <v>mgravan@crm.otsuka-europe.com</v>
      </c>
      <c r="N64" s="13">
        <v>46210.393240740741</v>
      </c>
      <c r="O64" s="14" t="str">
        <f>HYPERLINK("https://otsuka-europe-crm.veevavault.com/ui/#object/email_activity__v/V8C000000043586", "EN-002102720")</f>
        <v>EN-002102720</v>
      </c>
    </row>
    <row r="65" spans="1:15" ht="32" x14ac:dyDescent="0.2">
      <c r="A65" s="7" t="str">
        <f>HYPERLINK("https://otsuka-europe-crm.veevavault.com/ui/#object/account__v/V4TZ025E87GLQAZ", "LAURA GHESQUIERE SEGUNDO")</f>
        <v>LAURA GHESQUIERE SEGUNDO</v>
      </c>
      <c r="B65" s="7" t="str">
        <f>HYPERLINK("https://otsuka-europe-crm.veevavault.com/ui/#object/vcountry__v/VENZ000004SONF5", "ES")</f>
        <v>ES</v>
      </c>
      <c r="C65" s="8" t="s">
        <v>39</v>
      </c>
      <c r="D65" s="9" t="str">
        <f>HYPERLINK("https://otsuka-europe-crm.veevavault.com/ui/#object/approved_document__v/V5O00000000I030", "ENFERMERíA - PODCAST: Ep5 Autoestima")</f>
        <v>ENFERMERíA - PODCAST: Ep5 Autoestima</v>
      </c>
      <c r="E65" s="10" t="str">
        <f>HYPERLINK("https://otsuka-europe-crm.veevavault.com/ui/#object/sent_email__v/VBL00000002W110", "SE-001437634")</f>
        <v>SE-001437634</v>
      </c>
      <c r="F65" s="11"/>
      <c r="G65" s="12">
        <v>0</v>
      </c>
      <c r="H65" s="12">
        <v>0</v>
      </c>
      <c r="I65" s="12">
        <v>0</v>
      </c>
      <c r="J65" s="11"/>
      <c r="K65" s="12">
        <v>0</v>
      </c>
      <c r="L65" s="10" t="str">
        <f>HYPERLINK("https://otsuka-europe-crm.veevavault.com/ui/#object/approved_document__v/V5O00000000I030", "ENFERMERíA - PODCAST: Ep5 Autoestima")</f>
        <v>ENFERMERíA - PODCAST: Ep5 Autoestima</v>
      </c>
      <c r="M65" s="10" t="str">
        <f>HYPERLINK("mailto:mgravan@crm.otsuka-europe.com", "mgravan@crm.otsuka-europe.com")</f>
        <v>mgravan@crm.otsuka-europe.com</v>
      </c>
      <c r="N65" s="13">
        <v>46210.393240740741</v>
      </c>
      <c r="O65" s="14" t="str">
        <f>HYPERLINK("https://otsuka-europe-crm.veevavault.com/ui/#object/email_activity__v/V8C000000044570", "EN-002102702")</f>
        <v>EN-002102702</v>
      </c>
    </row>
    <row r="66" spans="1:15" ht="16" x14ac:dyDescent="0.2">
      <c r="A66" s="18" t="str">
        <f>HYPERLINK("https://otsuka-europe-crm.veevavault.com/ui/#object/account__v/V4T00000001W058", "ISABEL NAVARRO ZURITA")</f>
        <v>ISABEL NAVARRO ZURITA</v>
      </c>
      <c r="B66" s="18" t="str">
        <f>HYPERLINK("https://otsuka-europe-crm.veevavault.com/ui/#object/vcountry__v/VENZ000004SONF5", "ES")</f>
        <v>ES</v>
      </c>
      <c r="C66" s="20" t="s">
        <v>39</v>
      </c>
      <c r="D66" s="21" t="str">
        <f>HYPERLINK("https://otsuka-europe-crm.veevavault.com/ui/#object/approved_document__v/V5O00000000I030", "ENFERMERíA - PODCAST: Ep5 Autoestima")</f>
        <v>ENFERMERíA - PODCAST: Ep5 Autoestima</v>
      </c>
      <c r="E66" s="22" t="str">
        <f>HYPERLINK("https://otsuka-europe-crm.veevavault.com/ui/#object/sent_email__v/VBL00000002W111", "SE-001437635")</f>
        <v>SE-001437635</v>
      </c>
      <c r="F66" s="23"/>
      <c r="G66" s="24">
        <v>0</v>
      </c>
      <c r="H66" s="24">
        <v>0</v>
      </c>
      <c r="I66" s="24">
        <v>0</v>
      </c>
      <c r="J66" s="23"/>
      <c r="K66" s="24">
        <v>0</v>
      </c>
      <c r="L66" s="22" t="str">
        <f>HYPERLINK("https://otsuka-europe-crm.veevavault.com/ui/#object/approved_document__v/V5O00000000I030", "ENFERMERíA - PODCAST: Ep5 Autoestima")</f>
        <v>ENFERMERíA - PODCAST: Ep5 Autoestima</v>
      </c>
      <c r="M66" s="22" t="str">
        <f>HYPERLINK("mailto:mgravan@crm.otsuka-europe.com", "mgravan@crm.otsuka-europe.com")</f>
        <v>mgravan@crm.otsuka-europe.com</v>
      </c>
      <c r="N66" s="25">
        <v>46210.393240740741</v>
      </c>
      <c r="O66" s="14" t="str">
        <f>HYPERLINK("https://otsuka-europe-crm.veevavault.com/ui/#object/email_activity__v/V8C000000043596", "EN-002102745")</f>
        <v>EN-002102745</v>
      </c>
    </row>
    <row r="67" spans="1:15" ht="16" x14ac:dyDescent="0.2">
      <c r="A67" s="19"/>
      <c r="B67" s="19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4" t="str">
        <f>HYPERLINK("https://otsuka-europe-crm.veevavault.com/ui/#object/email_activity__v/V8C000000044765", "EN-002103115")</f>
        <v>EN-002103115</v>
      </c>
    </row>
    <row r="68" spans="1:15" ht="32" x14ac:dyDescent="0.2">
      <c r="A68" s="7" t="str">
        <f>HYPERLINK("https://otsuka-europe-crm.veevavault.com/ui/#object/account__v/V4TZ025E85PDQ9Q", "EULALIA ORDOÑEZ GARCIA")</f>
        <v>EULALIA ORDOÑEZ GARCIA</v>
      </c>
      <c r="B68" s="7" t="str">
        <f>HYPERLINK("https://otsuka-europe-crm.veevavault.com/ui/#object/vcountry__v/VENZ000004SONF5", "ES")</f>
        <v>ES</v>
      </c>
      <c r="C68" s="8" t="s">
        <v>39</v>
      </c>
      <c r="D68" s="9" t="str">
        <f>HYPERLINK("https://otsuka-europe-crm.veevavault.com/ui/#object/approved_document__v/V5O00000000I030", "ENFERMERíA - PODCAST: Ep5 Autoestima")</f>
        <v>ENFERMERíA - PODCAST: Ep5 Autoestima</v>
      </c>
      <c r="E68" s="10" t="str">
        <f>HYPERLINK("https://otsuka-europe-crm.veevavault.com/ui/#object/sent_email__v/VBL00000002W112", "SE-001437636")</f>
        <v>SE-001437636</v>
      </c>
      <c r="F68" s="11"/>
      <c r="G68" s="12">
        <v>0</v>
      </c>
      <c r="H68" s="12">
        <v>0</v>
      </c>
      <c r="I68" s="12">
        <v>0</v>
      </c>
      <c r="J68" s="11"/>
      <c r="K68" s="12">
        <v>0</v>
      </c>
      <c r="L68" s="10" t="str">
        <f>HYPERLINK("https://otsuka-europe-crm.veevavault.com/ui/#object/approved_document__v/V5O00000000I030", "ENFERMERíA - PODCAST: Ep5 Autoestima")</f>
        <v>ENFERMERíA - PODCAST: Ep5 Autoestima</v>
      </c>
      <c r="M68" s="10" t="str">
        <f>HYPERLINK("mailto:mgravan@crm.otsuka-europe.com", "mgravan@crm.otsuka-europe.com")</f>
        <v>mgravan@crm.otsuka-europe.com</v>
      </c>
      <c r="N68" s="13">
        <v>46210.393240740741</v>
      </c>
      <c r="O68" s="14" t="str">
        <f>HYPERLINK("https://otsuka-europe-crm.veevavault.com/ui/#object/email_activity__v/V8C000000044577", "EN-002102709")</f>
        <v>EN-002102709</v>
      </c>
    </row>
    <row r="69" spans="1:15" ht="16" x14ac:dyDescent="0.2">
      <c r="A69" s="18" t="str">
        <f>HYPERLINK("https://otsuka-europe-crm.veevavault.com/ui/#object/account__v/V4TZ06G6O71TDJI", "PILAR ARAGON VIDAL")</f>
        <v>PILAR ARAGON VIDAL</v>
      </c>
      <c r="B69" s="18" t="str">
        <f>HYPERLINK("https://otsuka-europe-crm.veevavault.com/ui/#object/vcountry__v/VENZ000004SONF5", "ES")</f>
        <v>ES</v>
      </c>
      <c r="C69" s="20" t="s">
        <v>39</v>
      </c>
      <c r="D69" s="21" t="str">
        <f>HYPERLINK("https://otsuka-europe-crm.veevavault.com/ui/#object/approved_document__v/V5O00000000I030", "ENFERMERíA - PODCAST: Ep5 Autoestima")</f>
        <v>ENFERMERíA - PODCAST: Ep5 Autoestima</v>
      </c>
      <c r="E69" s="22" t="str">
        <f>HYPERLINK("https://otsuka-europe-crm.veevavault.com/ui/#object/sent_email__v/VBL00000002W113", "SE-001437637")</f>
        <v>SE-001437637</v>
      </c>
      <c r="F69" s="25">
        <v>46210.408310185187</v>
      </c>
      <c r="G69" s="24">
        <v>1</v>
      </c>
      <c r="H69" s="24">
        <v>2</v>
      </c>
      <c r="I69" s="24">
        <v>0</v>
      </c>
      <c r="J69" s="23"/>
      <c r="K69" s="24">
        <v>0</v>
      </c>
      <c r="L69" s="22" t="str">
        <f>HYPERLINK("https://otsuka-europe-crm.veevavault.com/ui/#object/approved_document__v/V5O00000000I030", "ENFERMERíA - PODCAST: Ep5 Autoestima")</f>
        <v>ENFERMERíA - PODCAST: Ep5 Autoestima</v>
      </c>
      <c r="M69" s="22" t="str">
        <f>HYPERLINK("mailto:mgravan@crm.otsuka-europe.com", "mgravan@crm.otsuka-europe.com")</f>
        <v>mgravan@crm.otsuka-europe.com</v>
      </c>
      <c r="N69" s="25">
        <v>46210.393252314818</v>
      </c>
      <c r="O69" s="14" t="str">
        <f>HYPERLINK("https://otsuka-europe-crm.veevavault.com/ui/#object/email_activity__v/V8C000000043689", "EN-002102918")</f>
        <v>EN-002102918</v>
      </c>
    </row>
    <row r="70" spans="1:15" ht="16" x14ac:dyDescent="0.2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14" t="str">
        <f>HYPERLINK("https://otsuka-europe-crm.veevavault.com/ui/#object/email_activity__v/V8C000000044555", "EN-002102687")</f>
        <v>EN-002102687</v>
      </c>
    </row>
    <row r="71" spans="1:15" ht="16" x14ac:dyDescent="0.2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14" t="str">
        <f>HYPERLINK("https://otsuka-europe-crm.veevavault.com/ui/#object/email_activity__v/V8C000000044593", "EN-002102744")</f>
        <v>EN-002102744</v>
      </c>
    </row>
    <row r="72" spans="1:15" ht="16" x14ac:dyDescent="0.2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4" t="str">
        <f>HYPERLINK("https://otsuka-europe-crm.veevavault.com/ui/#object/email_activity__v/V8C000000044755", "EN-002103092")</f>
        <v>EN-002103092</v>
      </c>
    </row>
    <row r="73" spans="1:15" ht="32" x14ac:dyDescent="0.2">
      <c r="A73" s="7" t="str">
        <f>HYPERLINK("https://otsuka-europe-crm.veevavault.com/ui/#object/account__v/V4TZ04ASGGARY9P", "VICTORIA LOZANO POZO")</f>
        <v>VICTORIA LOZANO POZO</v>
      </c>
      <c r="B73" s="7" t="str">
        <f>HYPERLINK("https://otsuka-europe-crm.veevavault.com/ui/#object/vcountry__v/VENZ000004SONF5", "ES")</f>
        <v>ES</v>
      </c>
      <c r="C73" s="8" t="s">
        <v>39</v>
      </c>
      <c r="D73" s="9" t="str">
        <f>HYPERLINK("https://otsuka-europe-crm.veevavault.com/ui/#object/approved_document__v/V5O00000000I030", "ENFERMERíA - PODCAST: Ep5 Autoestima")</f>
        <v>ENFERMERíA - PODCAST: Ep5 Autoestima</v>
      </c>
      <c r="E73" s="10" t="str">
        <f>HYPERLINK("https://otsuka-europe-crm.veevavault.com/ui/#object/sent_email__v/VBL00000002W114", "SE-001437638")</f>
        <v>SE-001437638</v>
      </c>
      <c r="F73" s="11"/>
      <c r="G73" s="12">
        <v>0</v>
      </c>
      <c r="H73" s="12">
        <v>0</v>
      </c>
      <c r="I73" s="12">
        <v>0</v>
      </c>
      <c r="J73" s="11"/>
      <c r="K73" s="12">
        <v>0</v>
      </c>
      <c r="L73" s="10" t="str">
        <f>HYPERLINK("https://otsuka-europe-crm.veevavault.com/ui/#object/approved_document__v/V5O00000000I030", "ENFERMERíA - PODCAST: Ep5 Autoestima")</f>
        <v>ENFERMERíA - PODCAST: Ep5 Autoestima</v>
      </c>
      <c r="M73" s="10" t="str">
        <f>HYPERLINK("mailto:mgravan@crm.otsuka-europe.com", "mgravan@crm.otsuka-europe.com")</f>
        <v>mgravan@crm.otsuka-europe.com</v>
      </c>
      <c r="N73" s="13">
        <v>46210.393240740741</v>
      </c>
      <c r="O73" s="14" t="str">
        <f>HYPERLINK("https://otsuka-europe-crm.veevavault.com/ui/#object/email_activity__v/V8C000000043590", "EN-002102727")</f>
        <v>EN-002102727</v>
      </c>
    </row>
    <row r="74" spans="1:15" ht="16" x14ac:dyDescent="0.2">
      <c r="A74" s="18" t="str">
        <f>HYPERLINK("https://otsuka-europe-crm.veevavault.com/ui/#object/account__v/V4TZ06G6O71TD9R", "MARIA REMEDIOS MARQUEZ SANCHEZ")</f>
        <v>MARIA REMEDIOS MARQUEZ SANCHEZ</v>
      </c>
      <c r="B74" s="18" t="str">
        <f>HYPERLINK("https://otsuka-europe-crm.veevavault.com/ui/#object/vcountry__v/VENZ000004SONF5", "ES")</f>
        <v>ES</v>
      </c>
      <c r="C74" s="20" t="s">
        <v>39</v>
      </c>
      <c r="D74" s="21" t="str">
        <f>HYPERLINK("https://otsuka-europe-crm.veevavault.com/ui/#object/approved_document__v/V5O00000000I030", "ENFERMERíA - PODCAST: Ep5 Autoestima")</f>
        <v>ENFERMERíA - PODCAST: Ep5 Autoestima</v>
      </c>
      <c r="E74" s="22" t="str">
        <f>HYPERLINK("https://otsuka-europe-crm.veevavault.com/ui/#object/sent_email__v/VBL00000002W115", "SE-001437639")</f>
        <v>SE-001437639</v>
      </c>
      <c r="F74" s="25">
        <v>46226.637106481481</v>
      </c>
      <c r="G74" s="24">
        <v>1</v>
      </c>
      <c r="H74" s="24">
        <v>3</v>
      </c>
      <c r="I74" s="24">
        <v>0</v>
      </c>
      <c r="J74" s="23"/>
      <c r="K74" s="24">
        <v>0</v>
      </c>
      <c r="L74" s="22" t="str">
        <f>HYPERLINK("https://otsuka-europe-crm.veevavault.com/ui/#object/approved_document__v/V5O00000000I030", "ENFERMERíA - PODCAST: Ep5 Autoestima")</f>
        <v>ENFERMERíA - PODCAST: Ep5 Autoestima</v>
      </c>
      <c r="M74" s="22" t="str">
        <f>HYPERLINK("mailto:mgravan@crm.otsuka-europe.com", "mgravan@crm.otsuka-europe.com")</f>
        <v>mgravan@crm.otsuka-europe.com</v>
      </c>
      <c r="N74" s="25">
        <v>46210.393240740741</v>
      </c>
      <c r="O74" s="14" t="str">
        <f>HYPERLINK("https://otsuka-europe-crm.veevavault.com/ui/#object/email_activity__v/V8C000000043731", "EN-002103002")</f>
        <v>EN-002103002</v>
      </c>
    </row>
    <row r="75" spans="1:15" ht="16" x14ac:dyDescent="0.2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14" t="str">
        <f>HYPERLINK("https://otsuka-europe-crm.veevavault.com/ui/#object/email_activity__v/V8C000000043734", "EN-002103005")</f>
        <v>EN-002103005</v>
      </c>
    </row>
    <row r="76" spans="1:15" ht="16" x14ac:dyDescent="0.2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14" t="str">
        <f>HYPERLINK("https://otsuka-europe-crm.veevavault.com/ui/#object/email_activity__v/V8C000000044569", "EN-002102701")</f>
        <v>EN-002102701</v>
      </c>
    </row>
    <row r="77" spans="1:15" ht="16" x14ac:dyDescent="0.2">
      <c r="A77" s="19"/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4" t="str">
        <f>HYPERLINK("https://otsuka-europe-crm.veevavault.com/ui/#object/email_activity__v/V8C00000004C591", "EN-002108217")</f>
        <v>EN-002108217</v>
      </c>
    </row>
    <row r="78" spans="1:15" ht="16" x14ac:dyDescent="0.2">
      <c r="A78" s="18" t="str">
        <f>HYPERLINK("https://otsuka-europe-crm.veevavault.com/ui/#object/account__v/V4TZ06G6O71TD48", "MARIA JOSE GUERRA AREVALO")</f>
        <v>MARIA JOSE GUERRA AREVALO</v>
      </c>
      <c r="B78" s="18" t="str">
        <f>HYPERLINK("https://otsuka-europe-crm.veevavault.com/ui/#object/vcountry__v/VENZ000004SONF5", "ES")</f>
        <v>ES</v>
      </c>
      <c r="C78" s="20" t="s">
        <v>39</v>
      </c>
      <c r="D78" s="21" t="str">
        <f>HYPERLINK("https://otsuka-europe-crm.veevavault.com/ui/#object/approved_document__v/V5O00000000I030", "ENFERMERíA - PODCAST: Ep5 Autoestima")</f>
        <v>ENFERMERíA - PODCAST: Ep5 Autoestima</v>
      </c>
      <c r="E78" s="22" t="str">
        <f>HYPERLINK("https://otsuka-europe-crm.veevavault.com/ui/#object/sent_email__v/VBL00000002W116", "SE-001437640")</f>
        <v>SE-001437640</v>
      </c>
      <c r="F78" s="23"/>
      <c r="G78" s="24">
        <v>0</v>
      </c>
      <c r="H78" s="24">
        <v>0</v>
      </c>
      <c r="I78" s="24">
        <v>0</v>
      </c>
      <c r="J78" s="23"/>
      <c r="K78" s="24">
        <v>0</v>
      </c>
      <c r="L78" s="22" t="str">
        <f>HYPERLINK("https://otsuka-europe-crm.veevavault.com/ui/#object/approved_document__v/V5O00000000I030", "ENFERMERíA - PODCAST: Ep5 Autoestima")</f>
        <v>ENFERMERíA - PODCAST: Ep5 Autoestima</v>
      </c>
      <c r="M78" s="22" t="str">
        <f>HYPERLINK("mailto:mgravan@crm.otsuka-europe.com", "mgravan@crm.otsuka-europe.com")</f>
        <v>mgravan@crm.otsuka-europe.com</v>
      </c>
      <c r="N78" s="25">
        <v>46210.393252314818</v>
      </c>
      <c r="O78" s="14" t="str">
        <f>HYPERLINK("https://otsuka-europe-crm.veevavault.com/ui/#object/email_activity__v/V8C000000044554", "EN-002102686")</f>
        <v>EN-002102686</v>
      </c>
    </row>
    <row r="79" spans="1:15" ht="16" x14ac:dyDescent="0.2">
      <c r="A79" s="19"/>
      <c r="B79" s="19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4" t="str">
        <f>HYPERLINK("https://otsuka-europe-crm.veevavault.com/ui/#object/email_activity__v/V8C000000044597", "EN-002102752")</f>
        <v>EN-002102752</v>
      </c>
    </row>
    <row r="80" spans="1:15" ht="32" x14ac:dyDescent="0.2">
      <c r="A80" s="7" t="str">
        <f>HYPERLINK("https://otsuka-europe-crm.veevavault.com/ui/#object/account__v/V4TZ04ASG8E2LB6", "VICTORIA NAVAS NAVARRO")</f>
        <v>VICTORIA NAVAS NAVARRO</v>
      </c>
      <c r="B80" s="7" t="str">
        <f>HYPERLINK("https://otsuka-europe-crm.veevavault.com/ui/#object/vcountry__v/VENZ000004SONF5", "ES")</f>
        <v>ES</v>
      </c>
      <c r="C80" s="8" t="s">
        <v>39</v>
      </c>
      <c r="D80" s="9" t="str">
        <f>HYPERLINK("https://otsuka-europe-crm.veevavault.com/ui/#object/approved_document__v/V5O00000000I030", "ENFERMERíA - PODCAST: Ep5 Autoestima")</f>
        <v>ENFERMERíA - PODCAST: Ep5 Autoestima</v>
      </c>
      <c r="E80" s="10" t="str">
        <f>HYPERLINK("https://otsuka-europe-crm.veevavault.com/ui/#object/sent_email__v/VBL00000002W117", "SE-001437641")</f>
        <v>SE-001437641</v>
      </c>
      <c r="F80" s="11"/>
      <c r="G80" s="12">
        <v>0</v>
      </c>
      <c r="H80" s="12">
        <v>0</v>
      </c>
      <c r="I80" s="12">
        <v>0</v>
      </c>
      <c r="J80" s="11"/>
      <c r="K80" s="12">
        <v>0</v>
      </c>
      <c r="L80" s="10" t="str">
        <f>HYPERLINK("https://otsuka-europe-crm.veevavault.com/ui/#object/approved_document__v/V5O00000000I030", "ENFERMERíA - PODCAST: Ep5 Autoestima")</f>
        <v>ENFERMERíA - PODCAST: Ep5 Autoestima</v>
      </c>
      <c r="M80" s="10" t="str">
        <f>HYPERLINK("mailto:mgravan@crm.otsuka-europe.com", "mgravan@crm.otsuka-europe.com")</f>
        <v>mgravan@crm.otsuka-europe.com</v>
      </c>
      <c r="N80" s="13">
        <v>46210.393240740741</v>
      </c>
      <c r="O80" s="14" t="str">
        <f>HYPERLINK("https://otsuka-europe-crm.veevavault.com/ui/#object/email_activity__v/V8C000000044574", "EN-002102706")</f>
        <v>EN-002102706</v>
      </c>
    </row>
    <row r="81" spans="1:15" ht="16" x14ac:dyDescent="0.2">
      <c r="A81" s="18" t="str">
        <f>HYPERLINK("https://otsuka-europe-crm.veevavault.com/ui/#object/account__v/V4TZ06G6OC6KNC8", "RAQUEL GUERRERO MONTORO")</f>
        <v>RAQUEL GUERRERO MONTORO</v>
      </c>
      <c r="B81" s="18" t="str">
        <f>HYPERLINK("https://otsuka-europe-crm.veevavault.com/ui/#object/vcountry__v/VENZ000004SONF5", "ES")</f>
        <v>ES</v>
      </c>
      <c r="C81" s="20" t="s">
        <v>39</v>
      </c>
      <c r="D81" s="21" t="str">
        <f>HYPERLINK("https://otsuka-europe-crm.veevavault.com/ui/#object/approved_document__v/V5O00000000I030", "ENFERMERíA - PODCAST: Ep5 Autoestima")</f>
        <v>ENFERMERíA - PODCAST: Ep5 Autoestima</v>
      </c>
      <c r="E81" s="22" t="str">
        <f>HYPERLINK("https://otsuka-europe-crm.veevavault.com/ui/#object/sent_email__v/VBL00000002W118", "SE-001437642")</f>
        <v>SE-001437642</v>
      </c>
      <c r="F81" s="23"/>
      <c r="G81" s="24">
        <v>0</v>
      </c>
      <c r="H81" s="24">
        <v>0</v>
      </c>
      <c r="I81" s="24">
        <v>0</v>
      </c>
      <c r="J81" s="23"/>
      <c r="K81" s="24">
        <v>0</v>
      </c>
      <c r="L81" s="22" t="str">
        <f>HYPERLINK("https://otsuka-europe-crm.veevavault.com/ui/#object/approved_document__v/V5O00000000I030", "ENFERMERíA - PODCAST: Ep5 Autoestima")</f>
        <v>ENFERMERíA - PODCAST: Ep5 Autoestima</v>
      </c>
      <c r="M81" s="22" t="str">
        <f>HYPERLINK("mailto:mgravan@crm.otsuka-europe.com", "mgravan@crm.otsuka-europe.com")</f>
        <v>mgravan@crm.otsuka-europe.com</v>
      </c>
      <c r="N81" s="25">
        <v>46210.393263888887</v>
      </c>
      <c r="O81" s="14" t="str">
        <f>HYPERLINK("https://otsuka-europe-crm.veevavault.com/ui/#object/email_activity__v/V8C000000044550", "EN-002102682")</f>
        <v>EN-002102682</v>
      </c>
    </row>
    <row r="82" spans="1:15" ht="16" x14ac:dyDescent="0.2">
      <c r="A82" s="19"/>
      <c r="B82" s="19"/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4" t="str">
        <f>HYPERLINK("https://otsuka-europe-crm.veevavault.com/ui/#object/email_activity__v/V8C000000044761", "EN-002103106")</f>
        <v>EN-002103106</v>
      </c>
    </row>
    <row r="83" spans="1:15" ht="32" x14ac:dyDescent="0.2">
      <c r="A83" s="7" t="str">
        <f>HYPERLINK("https://otsuka-europe-crm.veevavault.com/ui/#object/account__v/V4TZ025E85Q3DKO", "REMEDIOS RUIZ RAGEL")</f>
        <v>REMEDIOS RUIZ RAGEL</v>
      </c>
      <c r="B83" s="7" t="str">
        <f>HYPERLINK("https://otsuka-europe-crm.veevavault.com/ui/#object/vcountry__v/VENZ000004SONF5", "ES")</f>
        <v>ES</v>
      </c>
      <c r="C83" s="8" t="s">
        <v>39</v>
      </c>
      <c r="D83" s="9" t="str">
        <f>HYPERLINK("https://otsuka-europe-crm.veevavault.com/ui/#object/approved_document__v/V5O00000000I030", "ENFERMERíA - PODCAST: Ep5 Autoestima")</f>
        <v>ENFERMERíA - PODCAST: Ep5 Autoestima</v>
      </c>
      <c r="E83" s="10" t="str">
        <f>HYPERLINK("https://otsuka-europe-crm.veevavault.com/ui/#object/sent_email__v/VBL00000002W119", "SE-001437643")</f>
        <v>SE-001437643</v>
      </c>
      <c r="F83" s="11"/>
      <c r="G83" s="12">
        <v>0</v>
      </c>
      <c r="H83" s="12">
        <v>0</v>
      </c>
      <c r="I83" s="12">
        <v>0</v>
      </c>
      <c r="J83" s="11"/>
      <c r="K83" s="12">
        <v>0</v>
      </c>
      <c r="L83" s="10" t="str">
        <f>HYPERLINK("https://otsuka-europe-crm.veevavault.com/ui/#object/approved_document__v/V5O00000000I030", "ENFERMERíA - PODCAST: Ep5 Autoestima")</f>
        <v>ENFERMERíA - PODCAST: Ep5 Autoestima</v>
      </c>
      <c r="M83" s="10" t="str">
        <f>HYPERLINK("mailto:mgravan@crm.otsuka-europe.com", "mgravan@crm.otsuka-europe.com")</f>
        <v>mgravan@crm.otsuka-europe.com</v>
      </c>
      <c r="N83" s="13">
        <v>46210.393275462964</v>
      </c>
      <c r="O83" s="14" t="str">
        <f>HYPERLINK("https://otsuka-europe-crm.veevavault.com/ui/#object/email_activity__v/V8C000000044561", "EN-002102693")</f>
        <v>EN-002102693</v>
      </c>
    </row>
    <row r="84" spans="1:15" ht="32" x14ac:dyDescent="0.2">
      <c r="A84" s="7" t="str">
        <f>HYPERLINK("https://otsuka-europe-crm.veevavault.com/ui/#object/account__v/V4TZ025E87QGQJZ", "IRENE VALLE CABRERA")</f>
        <v>IRENE VALLE CABRERA</v>
      </c>
      <c r="B84" s="7" t="str">
        <f>HYPERLINK("https://otsuka-europe-crm.veevavault.com/ui/#object/vcountry__v/VENZ000004SONF5", "ES")</f>
        <v>ES</v>
      </c>
      <c r="C84" s="8" t="s">
        <v>39</v>
      </c>
      <c r="D84" s="9" t="str">
        <f>HYPERLINK("https://otsuka-europe-crm.veevavault.com/ui/#object/approved_document__v/V5O00000000I030", "ENFERMERíA - PODCAST: Ep5 Autoestima")</f>
        <v>ENFERMERíA - PODCAST: Ep5 Autoestima</v>
      </c>
      <c r="E84" s="10" t="str">
        <f>HYPERLINK("https://otsuka-europe-crm.veevavault.com/ui/#object/sent_email__v/VBL00000002W120", "SE-001437644")</f>
        <v>SE-001437644</v>
      </c>
      <c r="F84" s="11"/>
      <c r="G84" s="12">
        <v>0</v>
      </c>
      <c r="H84" s="12">
        <v>0</v>
      </c>
      <c r="I84" s="12">
        <v>0</v>
      </c>
      <c r="J84" s="11"/>
      <c r="K84" s="12">
        <v>0</v>
      </c>
      <c r="L84" s="10" t="str">
        <f>HYPERLINK("https://otsuka-europe-crm.veevavault.com/ui/#object/approved_document__v/V5O00000000I030", "ENFERMERíA - PODCAST: Ep5 Autoestima")</f>
        <v>ENFERMERíA - PODCAST: Ep5 Autoestima</v>
      </c>
      <c r="M84" s="10" t="str">
        <f>HYPERLINK("mailto:mgravan@crm.otsuka-europe.com", "mgravan@crm.otsuka-europe.com")</f>
        <v>mgravan@crm.otsuka-europe.com</v>
      </c>
      <c r="N84" s="13">
        <v>46210.393240740741</v>
      </c>
      <c r="O84" s="14" t="str">
        <f>HYPERLINK("https://otsuka-europe-crm.veevavault.com/ui/#object/email_activity__v/V8C000000044590", "EN-002102741")</f>
        <v>EN-002102741</v>
      </c>
    </row>
    <row r="85" spans="1:15" ht="16" x14ac:dyDescent="0.2">
      <c r="A85" s="18" t="str">
        <f>HYPERLINK("https://otsuka-europe-crm.veevavault.com/ui/#object/account__v/V4TZ025E84DDVQ1", "FRANCISCA MARIA OLIVA GONZALEZ")</f>
        <v>FRANCISCA MARIA OLIVA GONZALEZ</v>
      </c>
      <c r="B85" s="18" t="str">
        <f>HYPERLINK("https://otsuka-europe-crm.veevavault.com/ui/#object/vcountry__v/VENZ000004SONF5", "ES")</f>
        <v>ES</v>
      </c>
      <c r="C85" s="20" t="s">
        <v>39</v>
      </c>
      <c r="D85" s="21" t="str">
        <f>HYPERLINK("https://otsuka-europe-crm.veevavault.com/ui/#object/approved_document__v/V5O00000000I030", "ENFERMERíA - PODCAST: Ep5 Autoestima")</f>
        <v>ENFERMERíA - PODCAST: Ep5 Autoestima</v>
      </c>
      <c r="E85" s="22" t="str">
        <f>HYPERLINK("https://otsuka-europe-crm.veevavault.com/ui/#object/sent_email__v/VBL00000002W121", "SE-001437645")</f>
        <v>SE-001437645</v>
      </c>
      <c r="F85" s="23"/>
      <c r="G85" s="24">
        <v>0</v>
      </c>
      <c r="H85" s="24">
        <v>0</v>
      </c>
      <c r="I85" s="24">
        <v>0</v>
      </c>
      <c r="J85" s="23"/>
      <c r="K85" s="24">
        <v>0</v>
      </c>
      <c r="L85" s="22" t="str">
        <f>HYPERLINK("https://otsuka-europe-crm.veevavault.com/ui/#object/approved_document__v/V5O00000000I030", "ENFERMERíA - PODCAST: Ep5 Autoestima")</f>
        <v>ENFERMERíA - PODCAST: Ep5 Autoestima</v>
      </c>
      <c r="M85" s="22" t="str">
        <f>HYPERLINK("mailto:mgravan@crm.otsuka-europe.com", "mgravan@crm.otsuka-europe.com")</f>
        <v>mgravan@crm.otsuka-europe.com</v>
      </c>
      <c r="N85" s="25">
        <v>46210.393240740741</v>
      </c>
      <c r="O85" s="14" t="str">
        <f>HYPERLINK("https://otsuka-europe-crm.veevavault.com/ui/#object/email_activity__v/V8C000000043581", "EN-002102715")</f>
        <v>EN-002102715</v>
      </c>
    </row>
    <row r="86" spans="1:15" ht="16" x14ac:dyDescent="0.2">
      <c r="A86" s="19"/>
      <c r="B86" s="19"/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4" t="str">
        <f>HYPERLINK("https://otsuka-europe-crm.veevavault.com/ui/#object/email_activity__v/V8C00000004I081", "EN-002111138")</f>
        <v>EN-002111138</v>
      </c>
    </row>
    <row r="87" spans="1:15" ht="32" x14ac:dyDescent="0.2">
      <c r="A87" s="7" t="str">
        <f>HYPERLINK("https://otsuka-europe-crm.veevavault.com/ui/#object/account__v/V4T000000021018", "AROA RODRIGUEZ RODRIGUEZ")</f>
        <v>AROA RODRIGUEZ RODRIGUEZ</v>
      </c>
      <c r="B87" s="7" t="str">
        <f>HYPERLINK("https://otsuka-europe-crm.veevavault.com/ui/#object/vcountry__v/VENZ000004SONF5", "ES")</f>
        <v>ES</v>
      </c>
      <c r="C87" s="8" t="s">
        <v>39</v>
      </c>
      <c r="D87" s="9" t="str">
        <f>HYPERLINK("https://otsuka-europe-crm.veevavault.com/ui/#object/approved_document__v/V5O00000000I030", "ENFERMERíA - PODCAST: Ep5 Autoestima")</f>
        <v>ENFERMERíA - PODCAST: Ep5 Autoestima</v>
      </c>
      <c r="E87" s="10" t="str">
        <f>HYPERLINK("https://otsuka-europe-crm.veevavault.com/ui/#object/sent_email__v/VBL00000002W122", "SE-001437646")</f>
        <v>SE-001437646</v>
      </c>
      <c r="F87" s="11"/>
      <c r="G87" s="12">
        <v>0</v>
      </c>
      <c r="H87" s="12">
        <v>0</v>
      </c>
      <c r="I87" s="12">
        <v>0</v>
      </c>
      <c r="J87" s="11"/>
      <c r="K87" s="12">
        <v>0</v>
      </c>
      <c r="L87" s="10" t="str">
        <f>HYPERLINK("https://otsuka-europe-crm.veevavault.com/ui/#object/approved_document__v/V5O00000000I030", "ENFERMERíA - PODCAST: Ep5 Autoestima")</f>
        <v>ENFERMERíA - PODCAST: Ep5 Autoestima</v>
      </c>
      <c r="M87" s="10" t="str">
        <f>HYPERLINK("mailto:mgravan@crm.otsuka-europe.com", "mgravan@crm.otsuka-europe.com")</f>
        <v>mgravan@crm.otsuka-europe.com</v>
      </c>
      <c r="N87" s="13">
        <v>46210.393240740741</v>
      </c>
      <c r="O87" s="14" t="str">
        <f>HYPERLINK("https://otsuka-europe-crm.veevavault.com/ui/#object/email_activity__v/V8C000000044584", "EN-002102735")</f>
        <v>EN-002102735</v>
      </c>
    </row>
    <row r="88" spans="1:15" ht="32" x14ac:dyDescent="0.2">
      <c r="A88" s="7" t="str">
        <f>HYPERLINK("https://otsuka-europe-crm.veevavault.com/ui/#object/account__v/V4TZ025E84F9WQ1", "MARIA ANGELES MARIN LINARES")</f>
        <v>MARIA ANGELES MARIN LINARES</v>
      </c>
      <c r="B88" s="7" t="str">
        <f>HYPERLINK("https://otsuka-europe-crm.veevavault.com/ui/#object/vcountry__v/VENZ000004SONF5", "ES")</f>
        <v>ES</v>
      </c>
      <c r="C88" s="8" t="s">
        <v>39</v>
      </c>
      <c r="D88" s="9" t="str">
        <f>HYPERLINK("https://otsuka-europe-crm.veevavault.com/ui/#object/approved_document__v/V5O00000000I030", "ENFERMERíA - PODCAST: Ep5 Autoestima")</f>
        <v>ENFERMERíA - PODCAST: Ep5 Autoestima</v>
      </c>
      <c r="E88" s="10" t="str">
        <f>HYPERLINK("https://otsuka-europe-crm.veevavault.com/ui/#object/sent_email__v/VBL00000002W123", "SE-001437647")</f>
        <v>SE-001437647</v>
      </c>
      <c r="F88" s="11"/>
      <c r="G88" s="12">
        <v>0</v>
      </c>
      <c r="H88" s="12">
        <v>0</v>
      </c>
      <c r="I88" s="12">
        <v>0</v>
      </c>
      <c r="J88" s="11"/>
      <c r="K88" s="12">
        <v>0</v>
      </c>
      <c r="L88" s="10" t="str">
        <f>HYPERLINK("https://otsuka-europe-crm.veevavault.com/ui/#object/approved_document__v/V5O00000000I030", "ENFERMERíA - PODCAST: Ep5 Autoestima")</f>
        <v>ENFERMERíA - PODCAST: Ep5 Autoestima</v>
      </c>
      <c r="M88" s="10" t="str">
        <f>HYPERLINK("mailto:mgravan@crm.otsuka-europe.com", "mgravan@crm.otsuka-europe.com")</f>
        <v>mgravan@crm.otsuka-europe.com</v>
      </c>
      <c r="N88" s="13">
        <v>46210.393240740741</v>
      </c>
      <c r="O88" s="14" t="str">
        <f>HYPERLINK("https://otsuka-europe-crm.veevavault.com/ui/#object/email_activity__v/V8C000000043599", "EN-002102748")</f>
        <v>EN-002102748</v>
      </c>
    </row>
    <row r="89" spans="1:15" ht="32" x14ac:dyDescent="0.2">
      <c r="A89" s="7" t="str">
        <f>HYPERLINK("https://otsuka-europe-crm.veevavault.com/ui/#object/account__v/V4TZ06G6O71TDAI", "CAMINO CARDENAS SANZ")</f>
        <v>CAMINO CARDENAS SANZ</v>
      </c>
      <c r="B89" s="7" t="str">
        <f>HYPERLINK("https://otsuka-europe-crm.veevavault.com/ui/#object/vcountry__v/VENZ000004SONF5", "ES")</f>
        <v>ES</v>
      </c>
      <c r="C89" s="8" t="s">
        <v>39</v>
      </c>
      <c r="D89" s="9" t="str">
        <f>HYPERLINK("https://otsuka-europe-crm.veevavault.com/ui/#object/approved_document__v/V5O00000000I030", "ENFERMERíA - PODCAST: Ep5 Autoestima")</f>
        <v>ENFERMERíA - PODCAST: Ep5 Autoestima</v>
      </c>
      <c r="E89" s="10" t="str">
        <f>HYPERLINK("https://otsuka-europe-crm.veevavault.com/ui/#object/sent_email__v/VBL00000002W124", "SE-001437648")</f>
        <v>SE-001437648</v>
      </c>
      <c r="F89" s="11"/>
      <c r="G89" s="12">
        <v>0</v>
      </c>
      <c r="H89" s="12">
        <v>0</v>
      </c>
      <c r="I89" s="12">
        <v>0</v>
      </c>
      <c r="J89" s="11"/>
      <c r="K89" s="12">
        <v>0</v>
      </c>
      <c r="L89" s="10" t="str">
        <f>HYPERLINK("https://otsuka-europe-crm.veevavault.com/ui/#object/approved_document__v/V5O00000000I030", "ENFERMERíA - PODCAST: Ep5 Autoestima")</f>
        <v>ENFERMERíA - PODCAST: Ep5 Autoestima</v>
      </c>
      <c r="M89" s="10" t="str">
        <f>HYPERLINK("mailto:mgravan@crm.otsuka-europe.com", "mgravan@crm.otsuka-europe.com")</f>
        <v>mgravan@crm.otsuka-europe.com</v>
      </c>
      <c r="N89" s="13">
        <v>46210.393275462964</v>
      </c>
      <c r="O89" s="14" t="str">
        <f>HYPERLINK("https://otsuka-europe-crm.veevavault.com/ui/#object/email_activity__v/V8C000000044562", "EN-002102694")</f>
        <v>EN-002102694</v>
      </c>
    </row>
    <row r="90" spans="1:15" ht="16" x14ac:dyDescent="0.2">
      <c r="A90" s="18" t="str">
        <f>HYPERLINK("https://otsuka-europe-crm.veevavault.com/ui/#object/account__v/V4TZ06G6O8KXZYC", "MARIA VICTORIA RIVAS RUIZ")</f>
        <v>MARIA VICTORIA RIVAS RUIZ</v>
      </c>
      <c r="B90" s="18" t="str">
        <f>HYPERLINK("https://otsuka-europe-crm.veevavault.com/ui/#object/vcountry__v/VENZ000004SONF5", "ES")</f>
        <v>ES</v>
      </c>
      <c r="C90" s="20" t="s">
        <v>39</v>
      </c>
      <c r="D90" s="21" t="str">
        <f>HYPERLINK("https://otsuka-europe-crm.veevavault.com/ui/#object/approved_document__v/V5O00000000I030", "ENFERMERíA - PODCAST: Ep5 Autoestima")</f>
        <v>ENFERMERíA - PODCAST: Ep5 Autoestima</v>
      </c>
      <c r="E90" s="22" t="str">
        <f>HYPERLINK("https://otsuka-europe-crm.veevavault.com/ui/#object/sent_email__v/VBL00000002W125", "SE-001437649")</f>
        <v>SE-001437649</v>
      </c>
      <c r="F90" s="25">
        <v>46211.66978009259</v>
      </c>
      <c r="G90" s="24">
        <v>1</v>
      </c>
      <c r="H90" s="24">
        <v>2</v>
      </c>
      <c r="I90" s="24">
        <v>1</v>
      </c>
      <c r="J90" s="25">
        <v>46211.670057870368</v>
      </c>
      <c r="K90" s="24">
        <v>1</v>
      </c>
      <c r="L90" s="22" t="str">
        <f>HYPERLINK("https://otsuka-europe-crm.veevavault.com/ui/#object/approved_document__v/V5O00000000I030", "ENFERMERíA - PODCAST: Ep5 Autoestima")</f>
        <v>ENFERMERíA - PODCAST: Ep5 Autoestima</v>
      </c>
      <c r="M90" s="22" t="str">
        <f>HYPERLINK("mailto:mgravan@crm.otsuka-europe.com", "mgravan@crm.otsuka-europe.com")</f>
        <v>mgravan@crm.otsuka-europe.com</v>
      </c>
      <c r="N90" s="25">
        <v>46210.393240740741</v>
      </c>
      <c r="O90" s="14" t="str">
        <f>HYPERLINK("https://otsuka-europe-crm.veevavault.com/ui/#object/email_activity__v/V8C000000043583", "EN-002102717")</f>
        <v>EN-002102717</v>
      </c>
    </row>
    <row r="91" spans="1:15" ht="16" x14ac:dyDescent="0.2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14" t="str">
        <f>HYPERLINK("https://otsuka-europe-crm.veevavault.com/ui/#object/email_activity__v/V8C000000043865", "EN-002103254")</f>
        <v>EN-002103254</v>
      </c>
    </row>
    <row r="92" spans="1:15" ht="16" x14ac:dyDescent="0.2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14" t="str">
        <f>HYPERLINK("https://otsuka-europe-crm.veevavault.com/ui/#object/email_activity__v/V8C000000043866", "EN-002103255")</f>
        <v>EN-002103255</v>
      </c>
    </row>
    <row r="93" spans="1:15" ht="16" x14ac:dyDescent="0.2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4" t="str">
        <f>HYPERLINK("https://otsuka-europe-crm.veevavault.com/ui/#object/email_activity__v/V8C000000043867", "EN-002103256")</f>
        <v>EN-002103256</v>
      </c>
    </row>
    <row r="94" spans="1:15" ht="32" x14ac:dyDescent="0.2">
      <c r="A94" s="7" t="str">
        <f>HYPERLINK("https://otsuka-europe-crm.veevavault.com/ui/#object/account__v/V4TZ06G6O71TDDW", "MERCEDES MATEO MATEOS")</f>
        <v>MERCEDES MATEO MATEOS</v>
      </c>
      <c r="B94" s="7" t="str">
        <f>HYPERLINK("https://otsuka-europe-crm.veevavault.com/ui/#object/vcountry__v/VENZ000004SONF5", "ES")</f>
        <v>ES</v>
      </c>
      <c r="C94" s="8" t="s">
        <v>39</v>
      </c>
      <c r="D94" s="9" t="str">
        <f>HYPERLINK("https://otsuka-europe-crm.veevavault.com/ui/#object/approved_document__v/V5O00000000I030", "ENFERMERíA - PODCAST: Ep5 Autoestima")</f>
        <v>ENFERMERíA - PODCAST: Ep5 Autoestima</v>
      </c>
      <c r="E94" s="10" t="str">
        <f>HYPERLINK("https://otsuka-europe-crm.veevavault.com/ui/#object/sent_email__v/VBL00000002W126", "SE-001437650")</f>
        <v>SE-001437650</v>
      </c>
      <c r="F94" s="11"/>
      <c r="G94" s="12">
        <v>0</v>
      </c>
      <c r="H94" s="12">
        <v>0</v>
      </c>
      <c r="I94" s="12">
        <v>0</v>
      </c>
      <c r="J94" s="11"/>
      <c r="K94" s="12">
        <v>0</v>
      </c>
      <c r="L94" s="10" t="str">
        <f>HYPERLINK("https://otsuka-europe-crm.veevavault.com/ui/#object/approved_document__v/V5O00000000I030", "ENFERMERíA - PODCAST: Ep5 Autoestima")</f>
        <v>ENFERMERíA - PODCAST: Ep5 Autoestima</v>
      </c>
      <c r="M94" s="10" t="str">
        <f>HYPERLINK("mailto:mgravan@crm.otsuka-europe.com", "mgravan@crm.otsuka-europe.com")</f>
        <v>mgravan@crm.otsuka-europe.com</v>
      </c>
      <c r="N94" s="13">
        <v>46210.393252314818</v>
      </c>
      <c r="O94" s="14" t="str">
        <f>HYPERLINK("https://otsuka-europe-crm.veevavault.com/ui/#object/email_activity__v/V8C000000044572", "EN-002102704")</f>
        <v>EN-002102704</v>
      </c>
    </row>
    <row r="95" spans="1:15" ht="32" x14ac:dyDescent="0.2">
      <c r="A95" s="7" t="str">
        <f>HYPERLINK("https://otsuka-europe-crm.veevavault.com/ui/#object/account__v/V4TZ025E8597FB4", "MARIA CARMEN BAEZ VAZQUEZ")</f>
        <v>MARIA CARMEN BAEZ VAZQUEZ</v>
      </c>
      <c r="B95" s="7" t="str">
        <f>HYPERLINK("https://otsuka-europe-crm.veevavault.com/ui/#object/vcountry__v/VENZ000004SONF5", "ES")</f>
        <v>ES</v>
      </c>
      <c r="C95" s="8" t="s">
        <v>39</v>
      </c>
      <c r="D95" s="9" t="str">
        <f>HYPERLINK("https://otsuka-europe-crm.veevavault.com/ui/#object/approved_document__v/V5O00000000I030", "ENFERMERíA - PODCAST: Ep5 Autoestima")</f>
        <v>ENFERMERíA - PODCAST: Ep5 Autoestima</v>
      </c>
      <c r="E95" s="10" t="str">
        <f>HYPERLINK("https://otsuka-europe-crm.veevavault.com/ui/#object/sent_email__v/VBL00000002W127", "SE-001437651")</f>
        <v>SE-001437651</v>
      </c>
      <c r="F95" s="11"/>
      <c r="G95" s="12">
        <v>0</v>
      </c>
      <c r="H95" s="12">
        <v>0</v>
      </c>
      <c r="I95" s="12">
        <v>0</v>
      </c>
      <c r="J95" s="11"/>
      <c r="K95" s="12">
        <v>0</v>
      </c>
      <c r="L95" s="10" t="str">
        <f>HYPERLINK("https://otsuka-europe-crm.veevavault.com/ui/#object/approved_document__v/V5O00000000I030", "ENFERMERíA - PODCAST: Ep5 Autoestima")</f>
        <v>ENFERMERíA - PODCAST: Ep5 Autoestima</v>
      </c>
      <c r="M95" s="10" t="str">
        <f>HYPERLINK("mailto:mgravan@crm.otsuka-europe.com", "mgravan@crm.otsuka-europe.com")</f>
        <v>mgravan@crm.otsuka-europe.com</v>
      </c>
      <c r="N95" s="13">
        <v>46210.393275462964</v>
      </c>
      <c r="O95" s="14" t="str">
        <f>HYPERLINK("https://otsuka-europe-crm.veevavault.com/ui/#object/email_activity__v/V8C000000044559", "EN-002102691")</f>
        <v>EN-002102691</v>
      </c>
    </row>
    <row r="96" spans="1:15" ht="16" x14ac:dyDescent="0.2">
      <c r="A96" s="18" t="str">
        <f>HYPERLINK("https://otsuka-europe-crm.veevavault.com/ui/#object/account__v/V4TZ06G6O71X2IR", "CARMEN MERCHAN DE PABLOS")</f>
        <v>CARMEN MERCHAN DE PABLOS</v>
      </c>
      <c r="B96" s="18" t="str">
        <f>HYPERLINK("https://otsuka-europe-crm.veevavault.com/ui/#object/vcountry__v/VENZ000004SONF5", "ES")</f>
        <v>ES</v>
      </c>
      <c r="C96" s="20" t="s">
        <v>39</v>
      </c>
      <c r="D96" s="21" t="str">
        <f>HYPERLINK("https://otsuka-europe-crm.veevavault.com/ui/#object/approved_document__v/V5O00000000I030", "ENFERMERíA - PODCAST: Ep5 Autoestima")</f>
        <v>ENFERMERíA - PODCAST: Ep5 Autoestima</v>
      </c>
      <c r="E96" s="22" t="str">
        <f>HYPERLINK("https://otsuka-europe-crm.veevavault.com/ui/#object/sent_email__v/VBL00000002W128", "SE-001437652")</f>
        <v>SE-001437652</v>
      </c>
      <c r="F96" s="23"/>
      <c r="G96" s="24">
        <v>0</v>
      </c>
      <c r="H96" s="24">
        <v>0</v>
      </c>
      <c r="I96" s="24">
        <v>0</v>
      </c>
      <c r="J96" s="23"/>
      <c r="K96" s="24">
        <v>0</v>
      </c>
      <c r="L96" s="22" t="str">
        <f>HYPERLINK("https://otsuka-europe-crm.veevavault.com/ui/#object/approved_document__v/V5O00000000I030", "ENFERMERíA - PODCAST: Ep5 Autoestima")</f>
        <v>ENFERMERíA - PODCAST: Ep5 Autoestima</v>
      </c>
      <c r="M96" s="22" t="str">
        <f>HYPERLINK("mailto:mgravan@crm.otsuka-europe.com", "mgravan@crm.otsuka-europe.com")</f>
        <v>mgravan@crm.otsuka-europe.com</v>
      </c>
      <c r="N96" s="25">
        <v>46210.393252314818</v>
      </c>
      <c r="O96" s="14" t="str">
        <f>HYPERLINK("https://otsuka-europe-crm.veevavault.com/ui/#object/email_activity__v/V8C000000044583", "EN-002102734")</f>
        <v>EN-002102734</v>
      </c>
    </row>
    <row r="97" spans="1:15" ht="16" x14ac:dyDescent="0.2">
      <c r="A97" s="19"/>
      <c r="B97" s="19"/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4" t="str">
        <f>HYPERLINK("https://otsuka-europe-crm.veevavault.com/ui/#object/email_activity__v/V8C000000044769", "EN-002103122")</f>
        <v>EN-002103122</v>
      </c>
    </row>
    <row r="98" spans="1:15" ht="32" x14ac:dyDescent="0.2">
      <c r="A98" s="7" t="str">
        <f>HYPERLINK("https://otsuka-europe-crm.veevavault.com/ui/#object/account__v/V4T000000022001", "MARIA DEL CARMEN PORTILLO SOTELO")</f>
        <v>MARIA DEL CARMEN PORTILLO SOTELO</v>
      </c>
      <c r="B98" s="7" t="str">
        <f>HYPERLINK("https://otsuka-europe-crm.veevavault.com/ui/#object/vcountry__v/VENZ000004SONF5", "ES")</f>
        <v>ES</v>
      </c>
      <c r="C98" s="8" t="s">
        <v>39</v>
      </c>
      <c r="D98" s="9" t="str">
        <f>HYPERLINK("https://otsuka-europe-crm.veevavault.com/ui/#object/approved_document__v/V5O00000000I030", "ENFERMERíA - PODCAST: Ep5 Autoestima")</f>
        <v>ENFERMERíA - PODCAST: Ep5 Autoestima</v>
      </c>
      <c r="E98" s="10" t="str">
        <f>HYPERLINK("https://otsuka-europe-crm.veevavault.com/ui/#object/sent_email__v/VBL00000002W129", "SE-001437653")</f>
        <v>SE-001437653</v>
      </c>
      <c r="F98" s="11"/>
      <c r="G98" s="12">
        <v>0</v>
      </c>
      <c r="H98" s="12">
        <v>0</v>
      </c>
      <c r="I98" s="12">
        <v>0</v>
      </c>
      <c r="J98" s="11"/>
      <c r="K98" s="12">
        <v>0</v>
      </c>
      <c r="L98" s="10" t="str">
        <f>HYPERLINK("https://otsuka-europe-crm.veevavault.com/ui/#object/approved_document__v/V5O00000000I030", "ENFERMERíA - PODCAST: Ep5 Autoestima")</f>
        <v>ENFERMERíA - PODCAST: Ep5 Autoestima</v>
      </c>
      <c r="M98" s="10" t="str">
        <f>HYPERLINK("mailto:mgravan@crm.otsuka-europe.com", "mgravan@crm.otsuka-europe.com")</f>
        <v>mgravan@crm.otsuka-europe.com</v>
      </c>
      <c r="N98" s="13">
        <v>46210.393252314818</v>
      </c>
      <c r="O98" s="14" t="str">
        <f>HYPERLINK("https://otsuka-europe-crm.veevavault.com/ui/#object/email_activity__v/V8C000000043598", "EN-002102747")</f>
        <v>EN-002102747</v>
      </c>
    </row>
    <row r="99" spans="1:15" ht="16" x14ac:dyDescent="0.2">
      <c r="A99" s="18" t="str">
        <f>HYPERLINK("https://otsuka-europe-crm.veevavault.com/ui/#object/account__v/V4TZ06G6O71TDAH", "TAMARA PEDRO HEDRERA")</f>
        <v>TAMARA PEDRO HEDRERA</v>
      </c>
      <c r="B99" s="18" t="str">
        <f>HYPERLINK("https://otsuka-europe-crm.veevavault.com/ui/#object/vcountry__v/VENZ000004SONF5", "ES")</f>
        <v>ES</v>
      </c>
      <c r="C99" s="20" t="s">
        <v>39</v>
      </c>
      <c r="D99" s="21" t="str">
        <f>HYPERLINK("https://otsuka-europe-crm.veevavault.com/ui/#object/approved_document__v/V5O00000000I030", "ENFERMERíA - PODCAST: Ep5 Autoestima")</f>
        <v>ENFERMERíA - PODCAST: Ep5 Autoestima</v>
      </c>
      <c r="E99" s="22" t="str">
        <f>HYPERLINK("https://otsuka-europe-crm.veevavault.com/ui/#object/sent_email__v/VBL00000002W130", "SE-001437654")</f>
        <v>SE-001437654</v>
      </c>
      <c r="F99" s="23"/>
      <c r="G99" s="24">
        <v>0</v>
      </c>
      <c r="H99" s="24">
        <v>0</v>
      </c>
      <c r="I99" s="24">
        <v>0</v>
      </c>
      <c r="J99" s="23"/>
      <c r="K99" s="24">
        <v>0</v>
      </c>
      <c r="L99" s="22" t="str">
        <f>HYPERLINK("https://otsuka-europe-crm.veevavault.com/ui/#object/approved_document__v/V5O00000000I030", "ENFERMERíA - PODCAST: Ep5 Autoestima")</f>
        <v>ENFERMERíA - PODCAST: Ep5 Autoestima</v>
      </c>
      <c r="M99" s="22" t="str">
        <f>HYPERLINK("mailto:mgravan@crm.otsuka-europe.com", "mgravan@crm.otsuka-europe.com")</f>
        <v>mgravan@crm.otsuka-europe.com</v>
      </c>
      <c r="N99" s="25">
        <v>46210.393252314818</v>
      </c>
      <c r="O99" s="14" t="str">
        <f>HYPERLINK("https://otsuka-europe-crm.veevavault.com/ui/#object/email_activity__v/V8C000000043578", "EN-002102712")</f>
        <v>EN-002102712</v>
      </c>
    </row>
    <row r="100" spans="1:15" ht="16" x14ac:dyDescent="0.2">
      <c r="A100" s="19"/>
      <c r="B100" s="19"/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4" t="str">
        <f>HYPERLINK("https://otsuka-europe-crm.veevavault.com/ui/#object/email_activity__v/V8C000000044770", "EN-002103123")</f>
        <v>EN-002103123</v>
      </c>
    </row>
    <row r="101" spans="1:15" ht="32" x14ac:dyDescent="0.2">
      <c r="A101" s="7" t="str">
        <f>HYPERLINK("https://otsuka-europe-crm.veevavault.com/ui/#object/account__v/V4TZ06G6O71X4LR", "LILIANA CIMADEVILLA QUIROS")</f>
        <v>LILIANA CIMADEVILLA QUIROS</v>
      </c>
      <c r="B101" s="7" t="str">
        <f>HYPERLINK("https://otsuka-europe-crm.veevavault.com/ui/#object/vcountry__v/VENZ000004SONF5", "ES")</f>
        <v>ES</v>
      </c>
      <c r="C101" s="8" t="s">
        <v>39</v>
      </c>
      <c r="D101" s="9" t="str">
        <f>HYPERLINK("https://otsuka-europe-crm.veevavault.com/ui/#object/approved_document__v/V5O00000000I030", "ENFERMERíA - PODCAST: Ep5 Autoestima")</f>
        <v>ENFERMERíA - PODCAST: Ep5 Autoestima</v>
      </c>
      <c r="E101" s="10" t="str">
        <f>HYPERLINK("https://otsuka-europe-crm.veevavault.com/ui/#object/sent_email__v/VBL00000002W131", "SE-001437655")</f>
        <v>SE-001437655</v>
      </c>
      <c r="F101" s="11"/>
      <c r="G101" s="12">
        <v>0</v>
      </c>
      <c r="H101" s="12">
        <v>0</v>
      </c>
      <c r="I101" s="12">
        <v>0</v>
      </c>
      <c r="J101" s="11"/>
      <c r="K101" s="12">
        <v>0</v>
      </c>
      <c r="L101" s="10" t="str">
        <f>HYPERLINK("https://otsuka-europe-crm.veevavault.com/ui/#object/approved_document__v/V5O00000000I030", "ENFERMERíA - PODCAST: Ep5 Autoestima")</f>
        <v>ENFERMERíA - PODCAST: Ep5 Autoestima</v>
      </c>
      <c r="M101" s="10" t="str">
        <f>HYPERLINK("mailto:mgravan@crm.otsuka-europe.com", "mgravan@crm.otsuka-europe.com")</f>
        <v>mgravan@crm.otsuka-europe.com</v>
      </c>
      <c r="N101" s="13">
        <v>46210.393287037034</v>
      </c>
      <c r="O101" s="14" t="str">
        <f>HYPERLINK("https://otsuka-europe-crm.veevavault.com/ui/#object/email_activity__v/V8C000000044558", "EN-002102690")</f>
        <v>EN-002102690</v>
      </c>
    </row>
    <row r="102" spans="1:15" ht="16" x14ac:dyDescent="0.2">
      <c r="A102" s="18" t="str">
        <f>HYPERLINK("https://otsuka-europe-crm.veevavault.com/ui/#object/account__v/V4TZ025E87GWAS9", "ANA MARIA LETRAN ESCUDERO")</f>
        <v>ANA MARIA LETRAN ESCUDERO</v>
      </c>
      <c r="B102" s="18" t="str">
        <f>HYPERLINK("https://otsuka-europe-crm.veevavault.com/ui/#object/vcountry__v/VENZ000004SONF5", "ES")</f>
        <v>ES</v>
      </c>
      <c r="C102" s="20" t="s">
        <v>39</v>
      </c>
      <c r="D102" s="21" t="str">
        <f>HYPERLINK("https://otsuka-europe-crm.veevavault.com/ui/#object/approved_document__v/V5O00000000I030", "ENFERMERíA - PODCAST: Ep5 Autoestima")</f>
        <v>ENFERMERíA - PODCAST: Ep5 Autoestima</v>
      </c>
      <c r="E102" s="22" t="str">
        <f>HYPERLINK("https://otsuka-europe-crm.veevavault.com/ui/#object/sent_email__v/VBL00000002W132", "SE-001437656")</f>
        <v>SE-001437656</v>
      </c>
      <c r="F102" s="23"/>
      <c r="G102" s="24">
        <v>0</v>
      </c>
      <c r="H102" s="24">
        <v>0</v>
      </c>
      <c r="I102" s="24">
        <v>0</v>
      </c>
      <c r="J102" s="23"/>
      <c r="K102" s="24">
        <v>0</v>
      </c>
      <c r="L102" s="22" t="str">
        <f>HYPERLINK("https://otsuka-europe-crm.veevavault.com/ui/#object/approved_document__v/V5O00000000I030", "ENFERMERíA - PODCAST: Ep5 Autoestima")</f>
        <v>ENFERMERíA - PODCAST: Ep5 Autoestima</v>
      </c>
      <c r="M102" s="22" t="str">
        <f>HYPERLINK("mailto:mgravan@crm.otsuka-europe.com", "mgravan@crm.otsuka-europe.com")</f>
        <v>mgravan@crm.otsuka-europe.com</v>
      </c>
      <c r="N102" s="25">
        <v>46210.393252314818</v>
      </c>
      <c r="O102" s="14" t="str">
        <f>HYPERLINK("https://otsuka-europe-crm.veevavault.com/ui/#object/email_activity__v/V8C000000043595", "EN-002102732")</f>
        <v>EN-002102732</v>
      </c>
    </row>
    <row r="103" spans="1:15" ht="16" x14ac:dyDescent="0.2">
      <c r="A103" s="19"/>
      <c r="B103" s="19"/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4" t="str">
        <f>HYPERLINK("https://otsuka-europe-crm.veevavault.com/ui/#object/email_activity__v/V8C000000043736", "EN-002103010")</f>
        <v>EN-002103010</v>
      </c>
    </row>
    <row r="104" spans="1:15" ht="16" x14ac:dyDescent="0.2">
      <c r="A104" s="18" t="str">
        <f>HYPERLINK("https://otsuka-europe-crm.veevavault.com/ui/#object/account__v/V4T00000001X177", "ANA TOLEDO CASTILLO")</f>
        <v>ANA TOLEDO CASTILLO</v>
      </c>
      <c r="B104" s="18" t="str">
        <f>HYPERLINK("https://otsuka-europe-crm.veevavault.com/ui/#object/vcountry__v/VENZ000004SONF5", "ES")</f>
        <v>ES</v>
      </c>
      <c r="C104" s="20" t="s">
        <v>39</v>
      </c>
      <c r="D104" s="21" t="str">
        <f>HYPERLINK("https://otsuka-europe-crm.veevavault.com/ui/#object/approved_document__v/V5O00000000I030", "ENFERMERíA - PODCAST: Ep5 Autoestima")</f>
        <v>ENFERMERíA - PODCAST: Ep5 Autoestima</v>
      </c>
      <c r="E104" s="22" t="str">
        <f>HYPERLINK("https://otsuka-europe-crm.veevavault.com/ui/#object/sent_email__v/VBL00000002W133", "SE-001437657")</f>
        <v>SE-001437657</v>
      </c>
      <c r="F104" s="25">
        <v>46224.386111111111</v>
      </c>
      <c r="G104" s="24">
        <v>1</v>
      </c>
      <c r="H104" s="24">
        <v>4</v>
      </c>
      <c r="I104" s="24">
        <v>0</v>
      </c>
      <c r="J104" s="23"/>
      <c r="K104" s="24">
        <v>0</v>
      </c>
      <c r="L104" s="22" t="str">
        <f>HYPERLINK("https://otsuka-europe-crm.veevavault.com/ui/#object/approved_document__v/V5O00000000I030", "ENFERMERíA - PODCAST: Ep5 Autoestima")</f>
        <v>ENFERMERíA - PODCAST: Ep5 Autoestima</v>
      </c>
      <c r="M104" s="22" t="str">
        <f>HYPERLINK("mailto:mgravan@crm.otsuka-europe.com", "mgravan@crm.otsuka-europe.com")</f>
        <v>mgravan@crm.otsuka-europe.com</v>
      </c>
      <c r="N104" s="25">
        <v>46210.393252314818</v>
      </c>
      <c r="O104" s="14" t="str">
        <f>HYPERLINK("https://otsuka-europe-crm.veevavault.com/ui/#object/email_activity__v/V8C000000043589", "EN-002102726")</f>
        <v>EN-002102726</v>
      </c>
    </row>
    <row r="105" spans="1:15" ht="16" x14ac:dyDescent="0.2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14" t="str">
        <f>HYPERLINK("https://otsuka-europe-crm.veevavault.com/ui/#object/email_activity__v/V8C000000043705", "EN-002102956")</f>
        <v>EN-002102956</v>
      </c>
    </row>
    <row r="106" spans="1:15" ht="16" x14ac:dyDescent="0.2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14" t="str">
        <f>HYPERLINK("https://otsuka-europe-crm.veevavault.com/ui/#object/email_activity__v/V8C000000044698", "EN-002102959")</f>
        <v>EN-002102959</v>
      </c>
    </row>
    <row r="107" spans="1:15" ht="16" x14ac:dyDescent="0.2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14" t="str">
        <f>HYPERLINK("https://otsuka-europe-crm.veevavault.com/ui/#object/email_activity__v/V8C00000004A721", "EN-002106338")</f>
        <v>EN-002106338</v>
      </c>
    </row>
    <row r="108" spans="1:15" ht="16" x14ac:dyDescent="0.2">
      <c r="A108" s="19"/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4" t="str">
        <f>HYPERLINK("https://otsuka-europe-crm.veevavault.com/ui/#object/email_activity__v/V8C00000004C437", "EN-002107887")</f>
        <v>EN-002107887</v>
      </c>
    </row>
    <row r="109" spans="1:15" ht="16" x14ac:dyDescent="0.2">
      <c r="A109" s="18" t="str">
        <f>HYPERLINK("https://otsuka-europe-crm.veevavault.com/ui/#object/account__v/V4TZ06G6O71TD58", "PILAR LOZANO SANJUAN")</f>
        <v>PILAR LOZANO SANJUAN</v>
      </c>
      <c r="B109" s="18" t="str">
        <f>HYPERLINK("https://otsuka-europe-crm.veevavault.com/ui/#object/vcountry__v/VENZ000004SONF5", "ES")</f>
        <v>ES</v>
      </c>
      <c r="C109" s="20" t="s">
        <v>39</v>
      </c>
      <c r="D109" s="21" t="str">
        <f>HYPERLINK("https://otsuka-europe-crm.veevavault.com/ui/#object/approved_document__v/V5O00000000I030", "ENFERMERíA - PODCAST: Ep5 Autoestima")</f>
        <v>ENFERMERíA - PODCAST: Ep5 Autoestima</v>
      </c>
      <c r="E109" s="22" t="str">
        <f>HYPERLINK("https://otsuka-europe-crm.veevavault.com/ui/#object/sent_email__v/VBL00000002W134", "SE-001437658")</f>
        <v>SE-001437658</v>
      </c>
      <c r="F109" s="25">
        <v>46219.860185185185</v>
      </c>
      <c r="G109" s="24">
        <v>1</v>
      </c>
      <c r="H109" s="24">
        <v>2</v>
      </c>
      <c r="I109" s="24">
        <v>0</v>
      </c>
      <c r="J109" s="23"/>
      <c r="K109" s="24">
        <v>0</v>
      </c>
      <c r="L109" s="22" t="str">
        <f>HYPERLINK("https://otsuka-europe-crm.veevavault.com/ui/#object/approved_document__v/V5O00000000I030", "ENFERMERíA - PODCAST: Ep5 Autoestima")</f>
        <v>ENFERMERíA - PODCAST: Ep5 Autoestima</v>
      </c>
      <c r="M109" s="22" t="str">
        <f>HYPERLINK("mailto:mgravan@crm.otsuka-europe.com", "mgravan@crm.otsuka-europe.com")</f>
        <v>mgravan@crm.otsuka-europe.com</v>
      </c>
      <c r="N109" s="25">
        <v>46210.393252314818</v>
      </c>
      <c r="O109" s="14" t="str">
        <f>HYPERLINK("https://otsuka-europe-crm.veevavault.com/ui/#object/email_activity__v/V8C000000043774", "EN-002103083")</f>
        <v>EN-002103083</v>
      </c>
    </row>
    <row r="110" spans="1:15" ht="16" x14ac:dyDescent="0.2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14" t="str">
        <f>HYPERLINK("https://otsuka-europe-crm.veevavault.com/ui/#object/email_activity__v/V8C000000043785", "EN-002103099")</f>
        <v>EN-002103099</v>
      </c>
    </row>
    <row r="111" spans="1:15" ht="16" x14ac:dyDescent="0.2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14" t="str">
        <f>HYPERLINK("https://otsuka-europe-crm.veevavault.com/ui/#object/email_activity__v/V8C000000044571", "EN-002102703")</f>
        <v>EN-002102703</v>
      </c>
    </row>
    <row r="112" spans="1:15" ht="16" x14ac:dyDescent="0.2">
      <c r="A112" s="19"/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4" t="str">
        <f>HYPERLINK("https://otsuka-europe-crm.veevavault.com/ui/#object/email_activity__v/V8C00000004B009", "EN-002106744")</f>
        <v>EN-002106744</v>
      </c>
    </row>
    <row r="113" spans="1:15" ht="32" x14ac:dyDescent="0.2">
      <c r="A113" s="7" t="str">
        <f>HYPERLINK("https://otsuka-europe-crm.veevavault.com/ui/#object/account__v/V4TZ06G6OBUN8YI", "ROCIO ESTEFANIA GARCIA LECHUGA")</f>
        <v>ROCIO ESTEFANIA GARCIA LECHUGA</v>
      </c>
      <c r="B113" s="7" t="str">
        <f>HYPERLINK("https://otsuka-europe-crm.veevavault.com/ui/#object/vcountry__v/VENZ000004SONF5", "ES")</f>
        <v>ES</v>
      </c>
      <c r="C113" s="8" t="s">
        <v>39</v>
      </c>
      <c r="D113" s="9" t="str">
        <f>HYPERLINK("https://otsuka-europe-crm.veevavault.com/ui/#object/approved_document__v/V5O00000000I030", "ENFERMERíA - PODCAST: Ep5 Autoestima")</f>
        <v>ENFERMERíA - PODCAST: Ep5 Autoestima</v>
      </c>
      <c r="E113" s="10" t="str">
        <f>HYPERLINK("https://otsuka-europe-crm.veevavault.com/ui/#object/sent_email__v/VBL00000002W135", "SE-001437659")</f>
        <v>SE-001437659</v>
      </c>
      <c r="F113" s="11"/>
      <c r="G113" s="12">
        <v>0</v>
      </c>
      <c r="H113" s="12">
        <v>0</v>
      </c>
      <c r="I113" s="12">
        <v>0</v>
      </c>
      <c r="J113" s="11"/>
      <c r="K113" s="12">
        <v>0</v>
      </c>
      <c r="L113" s="10" t="str">
        <f>HYPERLINK("https://otsuka-europe-crm.veevavault.com/ui/#object/approved_document__v/V5O00000000I030", "ENFERMERíA - PODCAST: Ep5 Autoestima")</f>
        <v>ENFERMERíA - PODCAST: Ep5 Autoestima</v>
      </c>
      <c r="M113" s="10" t="str">
        <f>HYPERLINK("mailto:mgravan@crm.otsuka-europe.com", "mgravan@crm.otsuka-europe.com")</f>
        <v>mgravan@crm.otsuka-europe.com</v>
      </c>
      <c r="N113" s="13">
        <v>46210.393252314818</v>
      </c>
      <c r="O113" s="14" t="str">
        <f>HYPERLINK("https://otsuka-europe-crm.veevavault.com/ui/#object/email_activity__v/V8C000000044581", "EN-002102723")</f>
        <v>EN-002102723</v>
      </c>
    </row>
    <row r="114" spans="1:15" ht="32" x14ac:dyDescent="0.2">
      <c r="A114" s="7" t="str">
        <f>HYPERLINK("https://otsuka-europe-crm.veevavault.com/ui/#object/account__v/V4TZ06G6O71TDBM", "MARIA JOSE GARCIA DEL RIO")</f>
        <v>MARIA JOSE GARCIA DEL RIO</v>
      </c>
      <c r="B114" s="7" t="str">
        <f>HYPERLINK("https://otsuka-europe-crm.veevavault.com/ui/#object/vcountry__v/VENZ000004SONF5", "ES")</f>
        <v>ES</v>
      </c>
      <c r="C114" s="8" t="s">
        <v>39</v>
      </c>
      <c r="D114" s="9" t="str">
        <f>HYPERLINK("https://otsuka-europe-crm.veevavault.com/ui/#object/approved_document__v/V5O00000000I030", "ENFERMERíA - PODCAST: Ep5 Autoestima")</f>
        <v>ENFERMERíA - PODCAST: Ep5 Autoestima</v>
      </c>
      <c r="E114" s="10" t="str">
        <f>HYPERLINK("https://otsuka-europe-crm.veevavault.com/ui/#object/sent_email__v/VBL00000002W136", "SE-001437660")</f>
        <v>SE-001437660</v>
      </c>
      <c r="F114" s="11"/>
      <c r="G114" s="12">
        <v>0</v>
      </c>
      <c r="H114" s="12">
        <v>0</v>
      </c>
      <c r="I114" s="12">
        <v>0</v>
      </c>
      <c r="J114" s="11"/>
      <c r="K114" s="12">
        <v>0</v>
      </c>
      <c r="L114" s="10" t="str">
        <f>HYPERLINK("https://otsuka-europe-crm.veevavault.com/ui/#object/approved_document__v/V5O00000000I030", "ENFERMERíA - PODCAST: Ep5 Autoestima")</f>
        <v>ENFERMERíA - PODCAST: Ep5 Autoestima</v>
      </c>
      <c r="M114" s="10" t="str">
        <f>HYPERLINK("mailto:mgravan@crm.otsuka-europe.com", "mgravan@crm.otsuka-europe.com")</f>
        <v>mgravan@crm.otsuka-europe.com</v>
      </c>
      <c r="N114" s="13">
        <v>46210.393252314818</v>
      </c>
      <c r="O114" s="14" t="str">
        <f>HYPERLINK("https://otsuka-europe-crm.veevavault.com/ui/#object/email_activity__v/V8C000000043594", "EN-002102731")</f>
        <v>EN-002102731</v>
      </c>
    </row>
    <row r="115" spans="1:15" ht="32" x14ac:dyDescent="0.2">
      <c r="A115" s="7" t="str">
        <f>HYPERLINK("https://otsuka-europe-crm.veevavault.com/ui/#object/account__v/V4T000000020017", "BELEN VAZQUEZ FERNANDEZ")</f>
        <v>BELEN VAZQUEZ FERNANDEZ</v>
      </c>
      <c r="B115" s="7" t="str">
        <f>HYPERLINK("https://otsuka-europe-crm.veevavault.com/ui/#object/vcountry__v/VENZ000004SONF5", "ES")</f>
        <v>ES</v>
      </c>
      <c r="C115" s="8" t="s">
        <v>39</v>
      </c>
      <c r="D115" s="9" t="str">
        <f>HYPERLINK("https://otsuka-europe-crm.veevavault.com/ui/#object/approved_document__v/V5O00000000I030", "ENFERMERíA - PODCAST: Ep5 Autoestima")</f>
        <v>ENFERMERíA - PODCAST: Ep5 Autoestima</v>
      </c>
      <c r="E115" s="10" t="str">
        <f>HYPERLINK("https://otsuka-europe-crm.veevavault.com/ui/#object/sent_email__v/VBL00000002W137", "SE-001437661")</f>
        <v>SE-001437661</v>
      </c>
      <c r="F115" s="11"/>
      <c r="G115" s="12">
        <v>0</v>
      </c>
      <c r="H115" s="12">
        <v>0</v>
      </c>
      <c r="I115" s="12">
        <v>0</v>
      </c>
      <c r="J115" s="11"/>
      <c r="K115" s="12">
        <v>0</v>
      </c>
      <c r="L115" s="10" t="str">
        <f>HYPERLINK("https://otsuka-europe-crm.veevavault.com/ui/#object/approved_document__v/V5O00000000I030", "ENFERMERíA - PODCAST: Ep5 Autoestima")</f>
        <v>ENFERMERíA - PODCAST: Ep5 Autoestima</v>
      </c>
      <c r="M115" s="10" t="str">
        <f>HYPERLINK("mailto:mgravan@crm.otsuka-europe.com", "mgravan@crm.otsuka-europe.com")</f>
        <v>mgravan@crm.otsuka-europe.com</v>
      </c>
      <c r="N115" s="13">
        <v>46210.393240740741</v>
      </c>
      <c r="O115" s="14" t="str">
        <f>HYPERLINK("https://otsuka-europe-crm.veevavault.com/ui/#object/email_activity__v/V8C000000044552", "EN-002102684")</f>
        <v>EN-002102684</v>
      </c>
    </row>
    <row r="116" spans="1:15" ht="16" x14ac:dyDescent="0.2">
      <c r="A116" s="18" t="str">
        <f>HYPERLINK("https://otsuka-europe-crm.veevavault.com/ui/#object/account__v/V4TZ025E85M5LEN", "MARIA CARMEN CASTILLA RAGEL")</f>
        <v>MARIA CARMEN CASTILLA RAGEL</v>
      </c>
      <c r="B116" s="18" t="str">
        <f>HYPERLINK("https://otsuka-europe-crm.veevavault.com/ui/#object/vcountry__v/VENZ000004SONF5", "ES")</f>
        <v>ES</v>
      </c>
      <c r="C116" s="20" t="s">
        <v>39</v>
      </c>
      <c r="D116" s="21" t="str">
        <f>HYPERLINK("https://otsuka-europe-crm.veevavault.com/ui/#object/approved_document__v/V5O00000000I030", "ENFERMERíA - PODCAST: Ep5 Autoestima")</f>
        <v>ENFERMERíA - PODCAST: Ep5 Autoestima</v>
      </c>
      <c r="E116" s="22" t="str">
        <f>HYPERLINK("https://otsuka-europe-crm.veevavault.com/ui/#object/sent_email__v/VBL00000002W138", "SE-001437662")</f>
        <v>SE-001437662</v>
      </c>
      <c r="F116" s="23"/>
      <c r="G116" s="24">
        <v>0</v>
      </c>
      <c r="H116" s="24">
        <v>0</v>
      </c>
      <c r="I116" s="24">
        <v>0</v>
      </c>
      <c r="J116" s="23"/>
      <c r="K116" s="24">
        <v>0</v>
      </c>
      <c r="L116" s="22" t="str">
        <f>HYPERLINK("https://otsuka-europe-crm.veevavault.com/ui/#object/approved_document__v/V5O00000000I030", "ENFERMERíA - PODCAST: Ep5 Autoestima")</f>
        <v>ENFERMERíA - PODCAST: Ep5 Autoestima</v>
      </c>
      <c r="M116" s="22" t="str">
        <f>HYPERLINK("mailto:mgravan@crm.otsuka-europe.com", "mgravan@crm.otsuka-europe.com")</f>
        <v>mgravan@crm.otsuka-europe.com</v>
      </c>
      <c r="N116" s="25">
        <v>46210.393217592595</v>
      </c>
      <c r="O116" s="14" t="str">
        <f>HYPERLINK("https://otsuka-europe-crm.veevavault.com/ui/#object/email_activity__v/V8C000000044576", "EN-002102708")</f>
        <v>EN-002102708</v>
      </c>
    </row>
    <row r="117" spans="1:15" ht="16" x14ac:dyDescent="0.2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14" t="str">
        <f>HYPERLINK("https://otsuka-europe-crm.veevavault.com/ui/#object/email_activity__v/V8C000000044774", "EN-002103135")</f>
        <v>EN-002103135</v>
      </c>
    </row>
    <row r="118" spans="1:15" ht="16" x14ac:dyDescent="0.2">
      <c r="A118" s="19"/>
      <c r="B118" s="19"/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4" t="str">
        <f>HYPERLINK("https://otsuka-europe-crm.veevavault.com/ui/#object/email_activity__v/V8C000000048230", "EN-002104716")</f>
        <v>EN-002104716</v>
      </c>
    </row>
    <row r="119" spans="1:15" ht="16" x14ac:dyDescent="0.2">
      <c r="A119" s="18" t="str">
        <f>HYPERLINK("https://otsuka-europe-crm.veevavault.com/ui/#object/account__v/V4TZ025E87SHGRD", "ENCARNACION GRIMALDI PUYANA")</f>
        <v>ENCARNACION GRIMALDI PUYANA</v>
      </c>
      <c r="B119" s="18" t="str">
        <f>HYPERLINK("https://otsuka-europe-crm.veevavault.com/ui/#object/vcountry__v/VENZ000004SONF5", "ES")</f>
        <v>ES</v>
      </c>
      <c r="C119" s="20" t="s">
        <v>39</v>
      </c>
      <c r="D119" s="21" t="str">
        <f>HYPERLINK("https://otsuka-europe-crm.veevavault.com/ui/#object/approved_document__v/V5O00000000I030", "ENFERMERíA - PODCAST: Ep5 Autoestima")</f>
        <v>ENFERMERíA - PODCAST: Ep5 Autoestima</v>
      </c>
      <c r="E119" s="22" t="str">
        <f>HYPERLINK("https://otsuka-europe-crm.veevavault.com/ui/#object/sent_email__v/VBL00000002W139", "SE-001437663")</f>
        <v>SE-001437663</v>
      </c>
      <c r="F119" s="23"/>
      <c r="G119" s="24">
        <v>0</v>
      </c>
      <c r="H119" s="24">
        <v>0</v>
      </c>
      <c r="I119" s="24">
        <v>0</v>
      </c>
      <c r="J119" s="23"/>
      <c r="K119" s="24">
        <v>0</v>
      </c>
      <c r="L119" s="22" t="str">
        <f>HYPERLINK("https://otsuka-europe-crm.veevavault.com/ui/#object/approved_document__v/V5O00000000I030", "ENFERMERíA - PODCAST: Ep5 Autoestima")</f>
        <v>ENFERMERíA - PODCAST: Ep5 Autoestima</v>
      </c>
      <c r="M119" s="22" t="str">
        <f>HYPERLINK("mailto:mgravan@crm.otsuka-europe.com", "mgravan@crm.otsuka-europe.com")</f>
        <v>mgravan@crm.otsuka-europe.com</v>
      </c>
      <c r="N119" s="25">
        <v>46210.393275462964</v>
      </c>
      <c r="O119" s="14" t="str">
        <f>HYPERLINK("https://otsuka-europe-crm.veevavault.com/ui/#object/email_activity__v/V8C000000044565", "EN-002102697")</f>
        <v>EN-002102697</v>
      </c>
    </row>
    <row r="120" spans="1:15" ht="16" x14ac:dyDescent="0.2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14" t="str">
        <f>HYPERLINK("https://otsuka-europe-crm.veevavault.com/ui/#object/email_activity__v/V8C000000044746", "EN-002103066")</f>
        <v>EN-002103066</v>
      </c>
    </row>
    <row r="121" spans="1:15" ht="16" x14ac:dyDescent="0.2">
      <c r="A121" s="19"/>
      <c r="B121" s="19"/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4" t="str">
        <f>HYPERLINK("https://otsuka-europe-crm.veevavault.com/ui/#object/email_activity__v/V8C000000044836", "EN-002103258")</f>
        <v>EN-002103258</v>
      </c>
    </row>
    <row r="122" spans="1:15" ht="32" x14ac:dyDescent="0.2">
      <c r="A122" s="7" t="str">
        <f>HYPERLINK("https://otsuka-europe-crm.veevavault.com/ui/#object/account__v/V4TZ04ASGC2GKBR", "ALEXIA MARCO CUEVAS")</f>
        <v>ALEXIA MARCO CUEVAS</v>
      </c>
      <c r="B122" s="7" t="str">
        <f>HYPERLINK("https://otsuka-europe-crm.veevavault.com/ui/#object/vcountry__v/VENZ000004SONF5", "ES")</f>
        <v>ES</v>
      </c>
      <c r="C122" s="8" t="s">
        <v>39</v>
      </c>
      <c r="D122" s="9" t="str">
        <f>HYPERLINK("https://otsuka-europe-crm.veevavault.com/ui/#object/approved_document__v/V5O00000000I030", "ENFERMERíA - PODCAST: Ep5 Autoestima")</f>
        <v>ENFERMERíA - PODCAST: Ep5 Autoestima</v>
      </c>
      <c r="E122" s="10" t="str">
        <f>HYPERLINK("https://otsuka-europe-crm.veevavault.com/ui/#object/sent_email__v/VBL00000002W140", "SE-001437664")</f>
        <v>SE-001437664</v>
      </c>
      <c r="F122" s="11"/>
      <c r="G122" s="12">
        <v>0</v>
      </c>
      <c r="H122" s="12">
        <v>0</v>
      </c>
      <c r="I122" s="12">
        <v>0</v>
      </c>
      <c r="J122" s="11"/>
      <c r="K122" s="12">
        <v>0</v>
      </c>
      <c r="L122" s="10" t="str">
        <f>HYPERLINK("https://otsuka-europe-crm.veevavault.com/ui/#object/approved_document__v/V5O00000000I030", "ENFERMERíA - PODCAST: Ep5 Autoestima")</f>
        <v>ENFERMERíA - PODCAST: Ep5 Autoestima</v>
      </c>
      <c r="M122" s="10" t="str">
        <f>HYPERLINK("mailto:mgravan@crm.otsuka-europe.com", "mgravan@crm.otsuka-europe.com")</f>
        <v>mgravan@crm.otsuka-europe.com</v>
      </c>
      <c r="N122" s="13">
        <v>46210.393252314818</v>
      </c>
      <c r="O122" s="14" t="str">
        <f>HYPERLINK("https://otsuka-europe-crm.veevavault.com/ui/#object/email_activity__v/V8C000000044553", "EN-002102685")</f>
        <v>EN-002102685</v>
      </c>
    </row>
    <row r="123" spans="1:15" ht="16" x14ac:dyDescent="0.2">
      <c r="A123" s="18" t="str">
        <f>HYPERLINK("https://otsuka-europe-crm.veevavault.com/ui/#object/account__v/V4TZ025E87AAY5U", "LUCIA PARRA MESEGUER")</f>
        <v>LUCIA PARRA MESEGUER</v>
      </c>
      <c r="B123" s="18" t="str">
        <f>HYPERLINK("https://otsuka-europe-crm.veevavault.com/ui/#object/vcountry__v/VENZ000004SONF5", "ES")</f>
        <v>ES</v>
      </c>
      <c r="C123" s="20" t="s">
        <v>39</v>
      </c>
      <c r="D123" s="21" t="str">
        <f>HYPERLINK("https://otsuka-europe-crm.veevavault.com/ui/#object/approved_document__v/V5O00000000I030", "ENFERMERíA - PODCAST: Ep5 Autoestima")</f>
        <v>ENFERMERíA - PODCAST: Ep5 Autoestima</v>
      </c>
      <c r="E123" s="22" t="str">
        <f>HYPERLINK("https://otsuka-europe-crm.veevavault.com/ui/#object/sent_email__v/VBL00000002W141", "SE-001437665")</f>
        <v>SE-001437665</v>
      </c>
      <c r="F123" s="25">
        <v>46210.39335648148</v>
      </c>
      <c r="G123" s="24">
        <v>1</v>
      </c>
      <c r="H123" s="24">
        <v>1</v>
      </c>
      <c r="I123" s="24">
        <v>0</v>
      </c>
      <c r="J123" s="23"/>
      <c r="K123" s="24">
        <v>0</v>
      </c>
      <c r="L123" s="22" t="str">
        <f>HYPERLINK("https://otsuka-europe-crm.veevavault.com/ui/#object/approved_document__v/V5O00000000I030", "ENFERMERíA - PODCAST: Ep5 Autoestima")</f>
        <v>ENFERMERíA - PODCAST: Ep5 Autoestima</v>
      </c>
      <c r="M123" s="22" t="str">
        <f>HYPERLINK("mailto:mgravan@crm.otsuka-europe.com", "mgravan@crm.otsuka-europe.com")</f>
        <v>mgravan@crm.otsuka-europe.com</v>
      </c>
      <c r="N123" s="25">
        <v>46210.393217592595</v>
      </c>
      <c r="O123" s="14" t="str">
        <f>HYPERLINK("https://otsuka-europe-crm.veevavault.com/ui/#object/email_activity__v/V8C000000043576", "EN-002102680")</f>
        <v>EN-002102680</v>
      </c>
    </row>
    <row r="124" spans="1:15" ht="16" x14ac:dyDescent="0.2">
      <c r="A124" s="19"/>
      <c r="B124" s="19"/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4" t="str">
        <f>HYPERLINK("https://otsuka-europe-crm.veevavault.com/ui/#object/email_activity__v/V8C000000043577", "EN-002102711")</f>
        <v>EN-002102711</v>
      </c>
    </row>
    <row r="125" spans="1:15" ht="32" x14ac:dyDescent="0.2">
      <c r="A125" s="7" t="str">
        <f>HYPERLINK("https://otsuka-europe-crm.veevavault.com/ui/#object/account__v/V4TZ06G6O71TDA5", "FRANCISCA REGUERA GALLARDO")</f>
        <v>FRANCISCA REGUERA GALLARDO</v>
      </c>
      <c r="B125" s="7" t="str">
        <f>HYPERLINK("https://otsuka-europe-crm.veevavault.com/ui/#object/vcountry__v/VENZ000004SONF5", "ES")</f>
        <v>ES</v>
      </c>
      <c r="C125" s="8" t="s">
        <v>39</v>
      </c>
      <c r="D125" s="9" t="str">
        <f>HYPERLINK("https://otsuka-europe-crm.veevavault.com/ui/#object/approved_document__v/V5O00000000I030", "ENFERMERíA - PODCAST: Ep5 Autoestima")</f>
        <v>ENFERMERíA - PODCAST: Ep5 Autoestima</v>
      </c>
      <c r="E125" s="10" t="str">
        <f>HYPERLINK("https://otsuka-europe-crm.veevavault.com/ui/#object/sent_email__v/VBL00000002W142", "SE-001437666")</f>
        <v>SE-001437666</v>
      </c>
      <c r="F125" s="11"/>
      <c r="G125" s="12">
        <v>0</v>
      </c>
      <c r="H125" s="12">
        <v>0</v>
      </c>
      <c r="I125" s="12">
        <v>0</v>
      </c>
      <c r="J125" s="11"/>
      <c r="K125" s="12">
        <v>0</v>
      </c>
      <c r="L125" s="10" t="str">
        <f>HYPERLINK("https://otsuka-europe-crm.veevavault.com/ui/#object/approved_document__v/V5O00000000I030", "ENFERMERíA - PODCAST: Ep5 Autoestima")</f>
        <v>ENFERMERíA - PODCAST: Ep5 Autoestima</v>
      </c>
      <c r="M125" s="10" t="str">
        <f>HYPERLINK("mailto:mgravan@crm.otsuka-europe.com", "mgravan@crm.otsuka-europe.com")</f>
        <v>mgravan@crm.otsuka-europe.com</v>
      </c>
      <c r="N125" s="13">
        <v>46210.393240740741</v>
      </c>
      <c r="O125" s="14" t="str">
        <f>HYPERLINK("https://otsuka-europe-crm.veevavault.com/ui/#object/email_activity__v/V8C000000044580", "EN-002102722")</f>
        <v>EN-002102722</v>
      </c>
    </row>
    <row r="126" spans="1:15" ht="32" x14ac:dyDescent="0.2">
      <c r="A126" s="7" t="str">
        <f>HYPERLINK("https://otsuka-europe-crm.veevavault.com/ui/#object/account__v/V4TZ025E82ZBZOF", "MARIA TERESA DELGADO GIL")</f>
        <v>MARIA TERESA DELGADO GIL</v>
      </c>
      <c r="B126" s="7" t="str">
        <f>HYPERLINK("https://otsuka-europe-crm.veevavault.com/ui/#object/vcountry__v/VENZ000004SONF5", "ES")</f>
        <v>ES</v>
      </c>
      <c r="C126" s="8" t="s">
        <v>39</v>
      </c>
      <c r="D126" s="9" t="str">
        <f>HYPERLINK("https://otsuka-europe-crm.veevavault.com/ui/#object/approved_document__v/V5O00000000I030", "ENFERMERíA - PODCAST: Ep5 Autoestima")</f>
        <v>ENFERMERíA - PODCAST: Ep5 Autoestima</v>
      </c>
      <c r="E126" s="10" t="str">
        <f>HYPERLINK("https://otsuka-europe-crm.veevavault.com/ui/#object/sent_email__v/VBL00000002W143", "SE-001437667")</f>
        <v>SE-001437667</v>
      </c>
      <c r="F126" s="11"/>
      <c r="G126" s="12">
        <v>0</v>
      </c>
      <c r="H126" s="12">
        <v>0</v>
      </c>
      <c r="I126" s="12">
        <v>0</v>
      </c>
      <c r="J126" s="11"/>
      <c r="K126" s="12">
        <v>0</v>
      </c>
      <c r="L126" s="10" t="str">
        <f>HYPERLINK("https://otsuka-europe-crm.veevavault.com/ui/#object/approved_document__v/V5O00000000I030", "ENFERMERíA - PODCAST: Ep5 Autoestima")</f>
        <v>ENFERMERíA - PODCAST: Ep5 Autoestima</v>
      </c>
      <c r="M126" s="10" t="str">
        <f>HYPERLINK("mailto:mgravan@crm.otsuka-europe.com", "mgravan@crm.otsuka-europe.com")</f>
        <v>mgravan@crm.otsuka-europe.com</v>
      </c>
      <c r="N126" s="13">
        <v>46210.393252314818</v>
      </c>
      <c r="O126" s="14" t="str">
        <f>HYPERLINK("https://otsuka-europe-crm.veevavault.com/ui/#object/email_activity__v/V8C000000044549", "EN-002102681")</f>
        <v>EN-002102681</v>
      </c>
    </row>
    <row r="127" spans="1:15" ht="16" x14ac:dyDescent="0.2">
      <c r="A127" s="18" t="str">
        <f>HYPERLINK("https://otsuka-europe-crm.veevavault.com/ui/#object/account__v/V4TZ06G6O71TDBQ", "DANIEL POZO DE COS ESTRADA")</f>
        <v>DANIEL POZO DE COS ESTRADA</v>
      </c>
      <c r="B127" s="18" t="str">
        <f>HYPERLINK("https://otsuka-europe-crm.veevavault.com/ui/#object/vcountry__v/VENZ000004SONF5", "ES")</f>
        <v>ES</v>
      </c>
      <c r="C127" s="20" t="s">
        <v>39</v>
      </c>
      <c r="D127" s="21" t="str">
        <f>HYPERLINK("https://otsuka-europe-crm.veevavault.com/ui/#object/approved_document__v/V5O00000000I030", "ENFERMERíA - PODCAST: Ep5 Autoestima")</f>
        <v>ENFERMERíA - PODCAST: Ep5 Autoestima</v>
      </c>
      <c r="E127" s="22" t="str">
        <f>HYPERLINK("https://otsuka-europe-crm.veevavault.com/ui/#object/sent_email__v/VBL00000002W144", "SE-001437668")</f>
        <v>SE-001437668</v>
      </c>
      <c r="F127" s="23"/>
      <c r="G127" s="24">
        <v>0</v>
      </c>
      <c r="H127" s="24">
        <v>0</v>
      </c>
      <c r="I127" s="24">
        <v>0</v>
      </c>
      <c r="J127" s="23"/>
      <c r="K127" s="24">
        <v>0</v>
      </c>
      <c r="L127" s="22" t="str">
        <f>HYPERLINK("https://otsuka-europe-crm.veevavault.com/ui/#object/approved_document__v/V5O00000000I030", "ENFERMERíA - PODCAST: Ep5 Autoestima")</f>
        <v>ENFERMERíA - PODCAST: Ep5 Autoestima</v>
      </c>
      <c r="M127" s="22" t="str">
        <f>HYPERLINK("mailto:mgravan@crm.otsuka-europe.com", "mgravan@crm.otsuka-europe.com")</f>
        <v>mgravan@crm.otsuka-europe.com</v>
      </c>
      <c r="N127" s="25">
        <v>46210.400104166663</v>
      </c>
      <c r="O127" s="14" t="str">
        <f>HYPERLINK("https://otsuka-europe-crm.veevavault.com/ui/#object/email_activity__v/V8C000000043783", "EN-002103094")</f>
        <v>EN-002103094</v>
      </c>
    </row>
    <row r="128" spans="1:15" ht="16" x14ac:dyDescent="0.2">
      <c r="A128" s="19"/>
      <c r="B128" s="19"/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4" t="str">
        <f>HYPERLINK("https://otsuka-europe-crm.veevavault.com/ui/#object/email_activity__v/V8C000000044606", "EN-002102761")</f>
        <v>EN-002102761</v>
      </c>
    </row>
    <row r="129" spans="1:15" ht="16" x14ac:dyDescent="0.2">
      <c r="A129" s="18" t="str">
        <f>HYPERLINK("https://otsuka-europe-crm.veevavault.com/ui/#object/account__v/V4T00000001W138", "JESUS RODRIGUEZ PINTO")</f>
        <v>JESUS RODRIGUEZ PINTO</v>
      </c>
      <c r="B129" s="18" t="str">
        <f>HYPERLINK("https://otsuka-europe-crm.veevavault.com/ui/#object/vcountry__v/VENZ000004SONF5", "ES")</f>
        <v>ES</v>
      </c>
      <c r="C129" s="20" t="s">
        <v>39</v>
      </c>
      <c r="D129" s="21" t="str">
        <f>HYPERLINK("https://otsuka-europe-crm.veevavault.com/ui/#object/approved_document__v/V5O00000000I030", "ENFERMERíA - PODCAST: Ep5 Autoestima")</f>
        <v>ENFERMERíA - PODCAST: Ep5 Autoestima</v>
      </c>
      <c r="E129" s="22" t="str">
        <f>HYPERLINK("https://otsuka-europe-crm.veevavault.com/ui/#object/sent_email__v/VBL00000002W145", "SE-001437669")</f>
        <v>SE-001437669</v>
      </c>
      <c r="F129" s="25">
        <v>46211.303437499999</v>
      </c>
      <c r="G129" s="24">
        <v>1</v>
      </c>
      <c r="H129" s="24">
        <v>1</v>
      </c>
      <c r="I129" s="24">
        <v>1</v>
      </c>
      <c r="J129" s="25">
        <v>46211.303437499999</v>
      </c>
      <c r="K129" s="24">
        <v>1</v>
      </c>
      <c r="L129" s="22" t="str">
        <f>HYPERLINK("https://otsuka-europe-crm.veevavault.com/ui/#object/approved_document__v/V5O00000000I030", "ENFERMERíA - PODCAST: Ep5 Autoestima")</f>
        <v>ENFERMERíA - PODCAST: Ep5 Autoestima</v>
      </c>
      <c r="M129" s="22" t="str">
        <f>HYPERLINK("mailto:mgravan@crm.otsuka-europe.com", "mgravan@crm.otsuka-europe.com")</f>
        <v>mgravan@crm.otsuka-europe.com</v>
      </c>
      <c r="N129" s="25">
        <v>46210.400104166663</v>
      </c>
      <c r="O129" s="14" t="str">
        <f>HYPERLINK("https://otsuka-europe-crm.veevavault.com/ui/#object/email_activity__v/V8C000000044609", "EN-002102765")</f>
        <v>EN-002102765</v>
      </c>
    </row>
    <row r="130" spans="1:15" ht="16" x14ac:dyDescent="0.2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14" t="str">
        <f>HYPERLINK("https://otsuka-europe-crm.veevavault.com/ui/#object/email_activity__v/V8C000000044775", "EN-002103137")</f>
        <v>EN-002103137</v>
      </c>
    </row>
    <row r="131" spans="1:15" ht="16" x14ac:dyDescent="0.2">
      <c r="A131" s="19"/>
      <c r="B131" s="19"/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4" t="str">
        <f>HYPERLINK("https://otsuka-europe-crm.veevavault.com/ui/#object/email_activity__v/V8C000000044776", "EN-002103136")</f>
        <v>EN-002103136</v>
      </c>
    </row>
    <row r="132" spans="1:15" ht="32" x14ac:dyDescent="0.2">
      <c r="A132" s="7" t="str">
        <f>HYPERLINK("https://otsuka-europe-crm.veevavault.com/ui/#object/account__v/V4TZ06G6O71TD9S", "JOSE MANUEL CORTES SANCHEZ")</f>
        <v>JOSE MANUEL CORTES SANCHEZ</v>
      </c>
      <c r="B132" s="7" t="str">
        <f>HYPERLINK("https://otsuka-europe-crm.veevavault.com/ui/#object/vcountry__v/VENZ000004SONF5", "ES")</f>
        <v>ES</v>
      </c>
      <c r="C132" s="8" t="s">
        <v>39</v>
      </c>
      <c r="D132" s="9" t="str">
        <f>HYPERLINK("https://otsuka-europe-crm.veevavault.com/ui/#object/approved_document__v/V5O00000000I030", "ENFERMERíA - PODCAST: Ep5 Autoestima")</f>
        <v>ENFERMERíA - PODCAST: Ep5 Autoestima</v>
      </c>
      <c r="E132" s="10" t="str">
        <f>HYPERLINK("https://otsuka-europe-crm.veevavault.com/ui/#object/sent_email__v/VBL00000002W146", "SE-001437670")</f>
        <v>SE-001437670</v>
      </c>
      <c r="F132" s="11"/>
      <c r="G132" s="12">
        <v>0</v>
      </c>
      <c r="H132" s="12">
        <v>0</v>
      </c>
      <c r="I132" s="12">
        <v>0</v>
      </c>
      <c r="J132" s="11"/>
      <c r="K132" s="12">
        <v>0</v>
      </c>
      <c r="L132" s="10" t="str">
        <f>HYPERLINK("https://otsuka-europe-crm.veevavault.com/ui/#object/approved_document__v/V5O00000000I030", "ENFERMERíA - PODCAST: Ep5 Autoestima")</f>
        <v>ENFERMERíA - PODCAST: Ep5 Autoestima</v>
      </c>
      <c r="M132" s="10" t="str">
        <f>HYPERLINK("mailto:mgravan@crm.otsuka-europe.com", "mgravan@crm.otsuka-europe.com")</f>
        <v>mgravan@crm.otsuka-europe.com</v>
      </c>
      <c r="N132" s="13">
        <v>46210.400104166663</v>
      </c>
      <c r="O132" s="14" t="str">
        <f>HYPERLINK("https://otsuka-europe-crm.veevavault.com/ui/#object/email_activity__v/V8C000000043600", "EN-002102762")</f>
        <v>EN-002102762</v>
      </c>
    </row>
    <row r="133" spans="1:15" ht="32" x14ac:dyDescent="0.2">
      <c r="A133" s="7" t="str">
        <f>HYPERLINK("https://otsuka-europe-crm.veevavault.com/ui/#object/account__v/V4TZ04ASGETFOI8", "ANTONIO MELENDEZ TRUJILLO")</f>
        <v>ANTONIO MELENDEZ TRUJILLO</v>
      </c>
      <c r="B133" s="7" t="str">
        <f>HYPERLINK("https://otsuka-europe-crm.veevavault.com/ui/#object/vcountry__v/VENZ000004SONF5", "ES")</f>
        <v>ES</v>
      </c>
      <c r="C133" s="8" t="s">
        <v>39</v>
      </c>
      <c r="D133" s="9" t="str">
        <f>HYPERLINK("https://otsuka-europe-crm.veevavault.com/ui/#object/approved_document__v/V5O00000000I030", "ENFERMERíA - PODCAST: Ep5 Autoestima")</f>
        <v>ENFERMERíA - PODCAST: Ep5 Autoestima</v>
      </c>
      <c r="E133" s="10" t="str">
        <f>HYPERLINK("https://otsuka-europe-crm.veevavault.com/ui/#object/sent_email__v/VBL00000002W147", "SE-001437671")</f>
        <v>SE-001437671</v>
      </c>
      <c r="F133" s="11"/>
      <c r="G133" s="12">
        <v>0</v>
      </c>
      <c r="H133" s="12">
        <v>0</v>
      </c>
      <c r="I133" s="12">
        <v>0</v>
      </c>
      <c r="J133" s="11"/>
      <c r="K133" s="12">
        <v>0</v>
      </c>
      <c r="L133" s="10" t="str">
        <f>HYPERLINK("https://otsuka-europe-crm.veevavault.com/ui/#object/approved_document__v/V5O00000000I030", "ENFERMERíA - PODCAST: Ep5 Autoestima")</f>
        <v>ENFERMERíA - PODCAST: Ep5 Autoestima</v>
      </c>
      <c r="M133" s="10" t="str">
        <f>HYPERLINK("mailto:mgravan@crm.otsuka-europe.com", "mgravan@crm.otsuka-europe.com")</f>
        <v>mgravan@crm.otsuka-europe.com</v>
      </c>
      <c r="N133" s="13">
        <v>46210.400104166663</v>
      </c>
      <c r="O133" s="14" t="str">
        <f>HYPERLINK("https://otsuka-europe-crm.veevavault.com/ui/#object/email_activity__v/V8C000000043603", "EN-002102768")</f>
        <v>EN-002102768</v>
      </c>
    </row>
    <row r="134" spans="1:15" ht="32" x14ac:dyDescent="0.2">
      <c r="A134" s="7" t="str">
        <f>HYPERLINK("https://otsuka-europe-crm.veevavault.com/ui/#object/account__v/V4TZ06G6O71TDAJ", "RAFAEL GONZALEZ PEREZ")</f>
        <v>RAFAEL GONZALEZ PEREZ</v>
      </c>
      <c r="B134" s="7" t="str">
        <f>HYPERLINK("https://otsuka-europe-crm.veevavault.com/ui/#object/vcountry__v/VENZ000004SONF5", "ES")</f>
        <v>ES</v>
      </c>
      <c r="C134" s="8" t="s">
        <v>39</v>
      </c>
      <c r="D134" s="9" t="str">
        <f>HYPERLINK("https://otsuka-europe-crm.veevavault.com/ui/#object/approved_document__v/V5O00000000I030", "ENFERMERíA - PODCAST: Ep5 Autoestima")</f>
        <v>ENFERMERíA - PODCAST: Ep5 Autoestima</v>
      </c>
      <c r="E134" s="10" t="str">
        <f>HYPERLINK("https://otsuka-europe-crm.veevavault.com/ui/#object/sent_email__v/VBL00000002W148", "SE-001437672")</f>
        <v>SE-001437672</v>
      </c>
      <c r="F134" s="11"/>
      <c r="G134" s="12">
        <v>0</v>
      </c>
      <c r="H134" s="12">
        <v>0</v>
      </c>
      <c r="I134" s="12">
        <v>0</v>
      </c>
      <c r="J134" s="11"/>
      <c r="K134" s="12">
        <v>0</v>
      </c>
      <c r="L134" s="10" t="str">
        <f>HYPERLINK("https://otsuka-europe-crm.veevavault.com/ui/#object/approved_document__v/V5O00000000I030", "ENFERMERíA - PODCAST: Ep5 Autoestima")</f>
        <v>ENFERMERíA - PODCAST: Ep5 Autoestima</v>
      </c>
      <c r="M134" s="10" t="str">
        <f>HYPERLINK("mailto:mgravan@crm.otsuka-europe.com", "mgravan@crm.otsuka-europe.com")</f>
        <v>mgravan@crm.otsuka-europe.com</v>
      </c>
      <c r="N134" s="13">
        <v>46210.400104166663</v>
      </c>
      <c r="O134" s="14" t="str">
        <f>HYPERLINK("https://otsuka-europe-crm.veevavault.com/ui/#object/email_activity__v/V8C000000044607", "EN-002102763")</f>
        <v>EN-002102763</v>
      </c>
    </row>
    <row r="135" spans="1:15" ht="16" x14ac:dyDescent="0.2">
      <c r="A135" s="18" t="str">
        <f>HYPERLINK("https://otsuka-europe-crm.veevavault.com/ui/#object/account__v/V4TZ04ASGBJGY0K", "FRANCISCO CARLOS RIVERA VERA")</f>
        <v>FRANCISCO CARLOS RIVERA VERA</v>
      </c>
      <c r="B135" s="18" t="str">
        <f>HYPERLINK("https://otsuka-europe-crm.veevavault.com/ui/#object/vcountry__v/VENZ000004SONF5", "ES")</f>
        <v>ES</v>
      </c>
      <c r="C135" s="20" t="s">
        <v>39</v>
      </c>
      <c r="D135" s="21" t="str">
        <f>HYPERLINK("https://otsuka-europe-crm.veevavault.com/ui/#object/approved_document__v/V5O00000000I030", "ENFERMERíA - PODCAST: Ep5 Autoestima")</f>
        <v>ENFERMERíA - PODCAST: Ep5 Autoestima</v>
      </c>
      <c r="E135" s="22" t="str">
        <f>HYPERLINK("https://otsuka-europe-crm.veevavault.com/ui/#object/sent_email__v/VBL00000002W149", "SE-001437673")</f>
        <v>SE-001437673</v>
      </c>
      <c r="F135" s="23"/>
      <c r="G135" s="24">
        <v>0</v>
      </c>
      <c r="H135" s="24">
        <v>0</v>
      </c>
      <c r="I135" s="24">
        <v>0</v>
      </c>
      <c r="J135" s="23"/>
      <c r="K135" s="24">
        <v>0</v>
      </c>
      <c r="L135" s="22" t="str">
        <f>HYPERLINK("https://otsuka-europe-crm.veevavault.com/ui/#object/approved_document__v/V5O00000000I030", "ENFERMERíA - PODCAST: Ep5 Autoestima")</f>
        <v>ENFERMERíA - PODCAST: Ep5 Autoestima</v>
      </c>
      <c r="M135" s="22" t="str">
        <f>HYPERLINK("mailto:mgravan@crm.otsuka-europe.com", "mgravan@crm.otsuka-europe.com")</f>
        <v>mgravan@crm.otsuka-europe.com</v>
      </c>
      <c r="N135" s="25">
        <v>46210.400104166663</v>
      </c>
      <c r="O135" s="14" t="str">
        <f>HYPERLINK("https://otsuka-europe-crm.veevavault.com/ui/#object/email_activity__v/V8C000000043601", "EN-002102766")</f>
        <v>EN-002102766</v>
      </c>
    </row>
    <row r="136" spans="1:15" ht="16" x14ac:dyDescent="0.2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14" t="str">
        <f>HYPERLINK("https://otsuka-europe-crm.veevavault.com/ui/#object/email_activity__v/V8C000000044675", "EN-002102922")</f>
        <v>EN-002102922</v>
      </c>
    </row>
    <row r="137" spans="1:15" ht="16" x14ac:dyDescent="0.2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14" t="str">
        <f>HYPERLINK("https://otsuka-europe-crm.veevavault.com/ui/#object/email_activity__v/V8C000000049688", "EN-002106193")</f>
        <v>EN-002106193</v>
      </c>
    </row>
    <row r="138" spans="1:15" ht="16" x14ac:dyDescent="0.2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14" t="str">
        <f>HYPERLINK("https://otsuka-europe-crm.veevavault.com/ui/#object/email_activity__v/V8C000000049839", "EN-002106526")</f>
        <v>EN-002106526</v>
      </c>
    </row>
    <row r="139" spans="1:15" ht="16" x14ac:dyDescent="0.2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14" t="str">
        <f>HYPERLINK("https://otsuka-europe-crm.veevavault.com/ui/#object/email_activity__v/V8C00000004A655", "EN-002106223")</f>
        <v>EN-002106223</v>
      </c>
    </row>
    <row r="140" spans="1:15" ht="16" x14ac:dyDescent="0.2">
      <c r="A140" s="19"/>
      <c r="B140" s="19"/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4" t="str">
        <f>HYPERLINK("https://otsuka-europe-crm.veevavault.com/ui/#object/email_activity__v/V8C00000004H244", "EN-002111373")</f>
        <v>EN-002111373</v>
      </c>
    </row>
    <row r="141" spans="1:15" ht="16" x14ac:dyDescent="0.2">
      <c r="A141" s="18" t="str">
        <f>HYPERLINK("https://otsuka-europe-crm.veevavault.com/ui/#object/account__v/V4T00000001X150", "MANUEL LEBRON PEREZ")</f>
        <v>MANUEL LEBRON PEREZ</v>
      </c>
      <c r="B141" s="18" t="str">
        <f>HYPERLINK("https://otsuka-europe-crm.veevavault.com/ui/#object/vcountry__v/VENZ000004SONF5", "ES")</f>
        <v>ES</v>
      </c>
      <c r="C141" s="20" t="s">
        <v>39</v>
      </c>
      <c r="D141" s="21" t="str">
        <f>HYPERLINK("https://otsuka-europe-crm.veevavault.com/ui/#object/approved_document__v/V5O00000000I030", "ENFERMERíA - PODCAST: Ep5 Autoestima")</f>
        <v>ENFERMERíA - PODCAST: Ep5 Autoestima</v>
      </c>
      <c r="E141" s="22" t="str">
        <f>HYPERLINK("https://otsuka-europe-crm.veevavault.com/ui/#object/sent_email__v/VBL00000002W150", "SE-001437674")</f>
        <v>SE-001437674</v>
      </c>
      <c r="F141" s="25">
        <v>46230.466122685182</v>
      </c>
      <c r="G141" s="24">
        <v>1</v>
      </c>
      <c r="H141" s="24">
        <v>2</v>
      </c>
      <c r="I141" s="24">
        <v>0</v>
      </c>
      <c r="J141" s="23"/>
      <c r="K141" s="24">
        <v>0</v>
      </c>
      <c r="L141" s="22" t="str">
        <f>HYPERLINK("https://otsuka-europe-crm.veevavault.com/ui/#object/approved_document__v/V5O00000000I030", "ENFERMERíA - PODCAST: Ep5 Autoestima")</f>
        <v>ENFERMERíA - PODCAST: Ep5 Autoestima</v>
      </c>
      <c r="M141" s="22" t="str">
        <f>HYPERLINK("mailto:mgravan@crm.otsuka-europe.com", "mgravan@crm.otsuka-europe.com")</f>
        <v>mgravan@crm.otsuka-europe.com</v>
      </c>
      <c r="N141" s="25">
        <v>46210.400104166663</v>
      </c>
      <c r="O141" s="14" t="str">
        <f>HYPERLINK("https://otsuka-europe-crm.veevavault.com/ui/#object/email_activity__v/V8C000000043605", "EN-002102773")</f>
        <v>EN-002102773</v>
      </c>
    </row>
    <row r="142" spans="1:15" ht="16" x14ac:dyDescent="0.2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14" t="str">
        <f>HYPERLINK("https://otsuka-europe-crm.veevavault.com/ui/#object/email_activity__v/V8C000000044602", "EN-002102757")</f>
        <v>EN-002102757</v>
      </c>
    </row>
    <row r="143" spans="1:15" ht="16" x14ac:dyDescent="0.2">
      <c r="A143" s="19"/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4" t="str">
        <f>HYPERLINK("https://otsuka-europe-crm.veevavault.com/ui/#object/email_activity__v/V8C00000004E372", "EN-002109094")</f>
        <v>EN-002109094</v>
      </c>
    </row>
    <row r="144" spans="1:15" ht="32" x14ac:dyDescent="0.2">
      <c r="A144" s="7" t="str">
        <f>HYPERLINK("https://otsuka-europe-crm.veevavault.com/ui/#object/account__v/V4TZ06G6O71TDD2", "DAVID JESUS PEREZ LOPEZ")</f>
        <v>DAVID JESUS PEREZ LOPEZ</v>
      </c>
      <c r="B144" s="7" t="str">
        <f t="shared" ref="B144:B151" si="4">HYPERLINK("https://otsuka-europe-crm.veevavault.com/ui/#object/vcountry__v/VENZ000004SONF5", "ES")</f>
        <v>ES</v>
      </c>
      <c r="C144" s="8" t="s">
        <v>39</v>
      </c>
      <c r="D144" s="9" t="str">
        <f t="shared" ref="D144:D151" si="5">HYPERLINK("https://otsuka-europe-crm.veevavault.com/ui/#object/approved_document__v/V5O00000000I030", "ENFERMERíA - PODCAST: Ep5 Autoestima")</f>
        <v>ENFERMERíA - PODCAST: Ep5 Autoestima</v>
      </c>
      <c r="E144" s="10" t="str">
        <f>HYPERLINK("https://otsuka-europe-crm.veevavault.com/ui/#object/sent_email__v/VBL00000002W151", "SE-001437675")</f>
        <v>SE-001437675</v>
      </c>
      <c r="F144" s="11"/>
      <c r="G144" s="12">
        <v>0</v>
      </c>
      <c r="H144" s="12">
        <v>0</v>
      </c>
      <c r="I144" s="12">
        <v>0</v>
      </c>
      <c r="J144" s="11"/>
      <c r="K144" s="12">
        <v>0</v>
      </c>
      <c r="L144" s="10" t="str">
        <f t="shared" ref="L144:L151" si="6">HYPERLINK("https://otsuka-europe-crm.veevavault.com/ui/#object/approved_document__v/V5O00000000I030", "ENFERMERíA - PODCAST: Ep5 Autoestima")</f>
        <v>ENFERMERíA - PODCAST: Ep5 Autoestima</v>
      </c>
      <c r="M144" s="10" t="str">
        <f t="shared" ref="M144:M151" si="7">HYPERLINK("mailto:mgravan@crm.otsuka-europe.com", "mgravan@crm.otsuka-europe.com")</f>
        <v>mgravan@crm.otsuka-europe.com</v>
      </c>
      <c r="N144" s="13">
        <v>46210.400104166663</v>
      </c>
      <c r="O144" s="14" t="str">
        <f>HYPERLINK("https://otsuka-europe-crm.veevavault.com/ui/#object/email_activity__v/V8C000000044608", "EN-002102764")</f>
        <v>EN-002102764</v>
      </c>
    </row>
    <row r="145" spans="1:15" ht="32" x14ac:dyDescent="0.2">
      <c r="A145" s="7" t="str">
        <f>HYPERLINK("https://otsuka-europe-crm.veevavault.com/ui/#object/account__v/V4TZ06G6OBS5K0Y", "JUAN ANTONIO GUEDE OCAÑA")</f>
        <v>JUAN ANTONIO GUEDE OCAÑA</v>
      </c>
      <c r="B145" s="7" t="str">
        <f t="shared" si="4"/>
        <v>ES</v>
      </c>
      <c r="C145" s="8" t="s">
        <v>39</v>
      </c>
      <c r="D145" s="9" t="str">
        <f t="shared" si="5"/>
        <v>ENFERMERíA - PODCAST: Ep5 Autoestima</v>
      </c>
      <c r="E145" s="10" t="str">
        <f>HYPERLINK("https://otsuka-europe-crm.veevavault.com/ui/#object/sent_email__v/VBL00000002W152", "SE-001437676")</f>
        <v>SE-001437676</v>
      </c>
      <c r="F145" s="11"/>
      <c r="G145" s="12">
        <v>0</v>
      </c>
      <c r="H145" s="12">
        <v>0</v>
      </c>
      <c r="I145" s="12">
        <v>0</v>
      </c>
      <c r="J145" s="11"/>
      <c r="K145" s="12">
        <v>0</v>
      </c>
      <c r="L145" s="10" t="str">
        <f t="shared" si="6"/>
        <v>ENFERMERíA - PODCAST: Ep5 Autoestima</v>
      </c>
      <c r="M145" s="10" t="str">
        <f t="shared" si="7"/>
        <v>mgravan@crm.otsuka-europe.com</v>
      </c>
      <c r="N145" s="13">
        <v>46210.400104166663</v>
      </c>
      <c r="O145" s="14" t="str">
        <f>HYPERLINK("https://otsuka-europe-crm.veevavault.com/ui/#object/email_activity__v/V8C000000043602", "EN-002102767")</f>
        <v>EN-002102767</v>
      </c>
    </row>
    <row r="146" spans="1:15" ht="32" x14ac:dyDescent="0.2">
      <c r="A146" s="7" t="str">
        <f>HYPERLINK("https://otsuka-europe-crm.veevavault.com/ui/#object/account__v/V4TZ025E85JC6V6", "MANUEL LOPEZ GARCIA")</f>
        <v>MANUEL LOPEZ GARCIA</v>
      </c>
      <c r="B146" s="7" t="str">
        <f t="shared" si="4"/>
        <v>ES</v>
      </c>
      <c r="C146" s="8" t="s">
        <v>39</v>
      </c>
      <c r="D146" s="9" t="str">
        <f t="shared" si="5"/>
        <v>ENFERMERíA - PODCAST: Ep5 Autoestima</v>
      </c>
      <c r="E146" s="10" t="str">
        <f>HYPERLINK("https://otsuka-europe-crm.veevavault.com/ui/#object/sent_email__v/VBL00000002W153", "SE-001437677")</f>
        <v>SE-001437677</v>
      </c>
      <c r="F146" s="11"/>
      <c r="G146" s="12">
        <v>0</v>
      </c>
      <c r="H146" s="12">
        <v>0</v>
      </c>
      <c r="I146" s="12">
        <v>0</v>
      </c>
      <c r="J146" s="11"/>
      <c r="K146" s="12">
        <v>0</v>
      </c>
      <c r="L146" s="10" t="str">
        <f t="shared" si="6"/>
        <v>ENFERMERíA - PODCAST: Ep5 Autoestima</v>
      </c>
      <c r="M146" s="10" t="str">
        <f t="shared" si="7"/>
        <v>mgravan@crm.otsuka-europe.com</v>
      </c>
      <c r="N146" s="13">
        <v>46210.400104166663</v>
      </c>
      <c r="O146" s="14" t="str">
        <f>HYPERLINK("https://otsuka-europe-crm.veevavault.com/ui/#object/email_activity__v/V8C000000044605", "EN-002102760")</f>
        <v>EN-002102760</v>
      </c>
    </row>
    <row r="147" spans="1:15" ht="32" x14ac:dyDescent="0.2">
      <c r="A147" s="7" t="str">
        <f>HYPERLINK("https://otsuka-europe-crm.veevavault.com/ui/#object/account__v/V4TZ06G6O7W56DG", "JOSE MARIA ROSALES CRESPO")</f>
        <v>JOSE MARIA ROSALES CRESPO</v>
      </c>
      <c r="B147" s="7" t="str">
        <f t="shared" si="4"/>
        <v>ES</v>
      </c>
      <c r="C147" s="8" t="s">
        <v>39</v>
      </c>
      <c r="D147" s="9" t="str">
        <f t="shared" si="5"/>
        <v>ENFERMERíA - PODCAST: Ep5 Autoestima</v>
      </c>
      <c r="E147" s="10" t="str">
        <f>HYPERLINK("https://otsuka-europe-crm.veevavault.com/ui/#object/sent_email__v/VBL00000002W154", "SE-001437678")</f>
        <v>SE-001437678</v>
      </c>
      <c r="F147" s="11"/>
      <c r="G147" s="12">
        <v>0</v>
      </c>
      <c r="H147" s="12">
        <v>0</v>
      </c>
      <c r="I147" s="12">
        <v>0</v>
      </c>
      <c r="J147" s="11"/>
      <c r="K147" s="12">
        <v>0</v>
      </c>
      <c r="L147" s="10" t="str">
        <f t="shared" si="6"/>
        <v>ENFERMERíA - PODCAST: Ep5 Autoestima</v>
      </c>
      <c r="M147" s="10" t="str">
        <f t="shared" si="7"/>
        <v>mgravan@crm.otsuka-europe.com</v>
      </c>
      <c r="N147" s="13">
        <v>46210.400104166663</v>
      </c>
      <c r="O147" s="14" t="str">
        <f>HYPERLINK("https://otsuka-europe-crm.veevavault.com/ui/#object/email_activity__v/V8C000000044611", "EN-002102771")</f>
        <v>EN-002102771</v>
      </c>
    </row>
    <row r="148" spans="1:15" ht="32" x14ac:dyDescent="0.2">
      <c r="A148" s="7" t="str">
        <f>HYPERLINK("https://otsuka-europe-crm.veevavault.com/ui/#object/account__v/V4TZ025E85V3O08", "AURELIO CARRASCO GARCIA")</f>
        <v>AURELIO CARRASCO GARCIA</v>
      </c>
      <c r="B148" s="7" t="str">
        <f t="shared" si="4"/>
        <v>ES</v>
      </c>
      <c r="C148" s="8" t="s">
        <v>39</v>
      </c>
      <c r="D148" s="9" t="str">
        <f t="shared" si="5"/>
        <v>ENFERMERíA - PODCAST: Ep5 Autoestima</v>
      </c>
      <c r="E148" s="10" t="str">
        <f>HYPERLINK("https://otsuka-europe-crm.veevavault.com/ui/#object/sent_email__v/VBL00000002W155", "SE-001437679")</f>
        <v>SE-001437679</v>
      </c>
      <c r="F148" s="11"/>
      <c r="G148" s="12">
        <v>0</v>
      </c>
      <c r="H148" s="12">
        <v>0</v>
      </c>
      <c r="I148" s="12">
        <v>0</v>
      </c>
      <c r="J148" s="11"/>
      <c r="K148" s="12">
        <v>0</v>
      </c>
      <c r="L148" s="10" t="str">
        <f t="shared" si="6"/>
        <v>ENFERMERíA - PODCAST: Ep5 Autoestima</v>
      </c>
      <c r="M148" s="10" t="str">
        <f t="shared" si="7"/>
        <v>mgravan@crm.otsuka-europe.com</v>
      </c>
      <c r="N148" s="13">
        <v>46210.400104166663</v>
      </c>
      <c r="O148" s="14" t="str">
        <f>HYPERLINK("https://otsuka-europe-crm.veevavault.com/ui/#object/email_activity__v/V8C000000044601", "EN-002102756")</f>
        <v>EN-002102756</v>
      </c>
    </row>
    <row r="149" spans="1:15" ht="32" x14ac:dyDescent="0.2">
      <c r="A149" s="7" t="str">
        <f>HYPERLINK("https://otsuka-europe-crm.veevavault.com/ui/#object/account__v/V4TZ025E87SGSJ6", "JOAQUIN SOTO SAENZ")</f>
        <v>JOAQUIN SOTO SAENZ</v>
      </c>
      <c r="B149" s="7" t="str">
        <f t="shared" si="4"/>
        <v>ES</v>
      </c>
      <c r="C149" s="8" t="s">
        <v>39</v>
      </c>
      <c r="D149" s="9" t="str">
        <f t="shared" si="5"/>
        <v>ENFERMERíA - PODCAST: Ep5 Autoestima</v>
      </c>
      <c r="E149" s="10" t="str">
        <f>HYPERLINK("https://otsuka-europe-crm.veevavault.com/ui/#object/sent_email__v/VBL00000002W156", "SE-001437680")</f>
        <v>SE-001437680</v>
      </c>
      <c r="F149" s="11"/>
      <c r="G149" s="12">
        <v>0</v>
      </c>
      <c r="H149" s="12">
        <v>0</v>
      </c>
      <c r="I149" s="12">
        <v>0</v>
      </c>
      <c r="J149" s="11"/>
      <c r="K149" s="12">
        <v>0</v>
      </c>
      <c r="L149" s="10" t="str">
        <f t="shared" si="6"/>
        <v>ENFERMERíA - PODCAST: Ep5 Autoestima</v>
      </c>
      <c r="M149" s="10" t="str">
        <f t="shared" si="7"/>
        <v>mgravan@crm.otsuka-europe.com</v>
      </c>
      <c r="N149" s="13">
        <v>46210.400104166663</v>
      </c>
      <c r="O149" s="14" t="str">
        <f>HYPERLINK("https://otsuka-europe-crm.veevavault.com/ui/#object/email_activity__v/V8C000000043604", "EN-002102769")</f>
        <v>EN-002102769</v>
      </c>
    </row>
    <row r="150" spans="1:15" ht="32" x14ac:dyDescent="0.2">
      <c r="A150" s="7" t="str">
        <f>HYPERLINK("https://otsuka-europe-crm.veevavault.com/ui/#object/account__v/V4TZ06G6O71TDMF", "ANTONIO LINARES COBACHO")</f>
        <v>ANTONIO LINARES COBACHO</v>
      </c>
      <c r="B150" s="7" t="str">
        <f t="shared" si="4"/>
        <v>ES</v>
      </c>
      <c r="C150" s="8" t="s">
        <v>39</v>
      </c>
      <c r="D150" s="9" t="str">
        <f t="shared" si="5"/>
        <v>ENFERMERíA - PODCAST: Ep5 Autoestima</v>
      </c>
      <c r="E150" s="10" t="str">
        <f>HYPERLINK("https://otsuka-europe-crm.veevavault.com/ui/#object/sent_email__v/VBL00000002W157", "SE-001437681")</f>
        <v>SE-001437681</v>
      </c>
      <c r="F150" s="11"/>
      <c r="G150" s="12">
        <v>0</v>
      </c>
      <c r="H150" s="12">
        <v>0</v>
      </c>
      <c r="I150" s="12">
        <v>0</v>
      </c>
      <c r="J150" s="11"/>
      <c r="K150" s="12">
        <v>0</v>
      </c>
      <c r="L150" s="10" t="str">
        <f t="shared" si="6"/>
        <v>ENFERMERíA - PODCAST: Ep5 Autoestima</v>
      </c>
      <c r="M150" s="10" t="str">
        <f t="shared" si="7"/>
        <v>mgravan@crm.otsuka-europe.com</v>
      </c>
      <c r="N150" s="13">
        <v>46210.400104166663</v>
      </c>
      <c r="O150" s="14" t="str">
        <f>HYPERLINK("https://otsuka-europe-crm.veevavault.com/ui/#object/email_activity__v/V8C000000044603", "EN-002102758")</f>
        <v>EN-002102758</v>
      </c>
    </row>
    <row r="151" spans="1:15" ht="16" x14ac:dyDescent="0.2">
      <c r="A151" s="18" t="str">
        <f>HYPERLINK("https://otsuka-europe-crm.veevavault.com/ui/#object/account__v/V4TZ025E830VG1H", "ALFONSO DELGADO GIL")</f>
        <v>ALFONSO DELGADO GIL</v>
      </c>
      <c r="B151" s="18" t="str">
        <f t="shared" si="4"/>
        <v>ES</v>
      </c>
      <c r="C151" s="20" t="s">
        <v>39</v>
      </c>
      <c r="D151" s="21" t="str">
        <f t="shared" si="5"/>
        <v>ENFERMERíA - PODCAST: Ep5 Autoestima</v>
      </c>
      <c r="E151" s="22" t="str">
        <f>HYPERLINK("https://otsuka-europe-crm.veevavault.com/ui/#object/sent_email__v/VBL00000002W158", "SE-001437682")</f>
        <v>SE-001437682</v>
      </c>
      <c r="F151" s="25">
        <v>46211.504386574074</v>
      </c>
      <c r="G151" s="24">
        <v>1</v>
      </c>
      <c r="H151" s="24">
        <v>1</v>
      </c>
      <c r="I151" s="24">
        <v>0</v>
      </c>
      <c r="J151" s="23"/>
      <c r="K151" s="24">
        <v>0</v>
      </c>
      <c r="L151" s="22" t="str">
        <f t="shared" si="6"/>
        <v>ENFERMERíA - PODCAST: Ep5 Autoestima</v>
      </c>
      <c r="M151" s="22" t="str">
        <f t="shared" si="7"/>
        <v>mgravan@crm.otsuka-europe.com</v>
      </c>
      <c r="N151" s="25">
        <v>46210.400104166663</v>
      </c>
      <c r="O151" s="14" t="str">
        <f>HYPERLINK("https://otsuka-europe-crm.veevavault.com/ui/#object/email_activity__v/V8C000000043842", "EN-002103212")</f>
        <v>EN-002103212</v>
      </c>
    </row>
    <row r="152" spans="1:15" ht="16" x14ac:dyDescent="0.2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4" t="str">
        <f>HYPERLINK("https://otsuka-europe-crm.veevavault.com/ui/#object/email_activity__v/V8C000000044612", "EN-002102772")</f>
        <v>EN-002102772</v>
      </c>
    </row>
    <row r="153" spans="1:15" ht="32" x14ac:dyDescent="0.2">
      <c r="A153" s="7" t="str">
        <f>HYPERLINK("https://otsuka-europe-crm.veevavault.com/ui/#object/account__v/V4TZ025E84F9WQ0", "ALVARO BERNAL RODRIGUEZ")</f>
        <v>ALVARO BERNAL RODRIGUEZ</v>
      </c>
      <c r="B153" s="7" t="str">
        <f>HYPERLINK("https://otsuka-europe-crm.veevavault.com/ui/#object/vcountry__v/VENZ000004SONF5", "ES")</f>
        <v>ES</v>
      </c>
      <c r="C153" s="8" t="s">
        <v>39</v>
      </c>
      <c r="D153" s="9" t="str">
        <f>HYPERLINK("https://otsuka-europe-crm.veevavault.com/ui/#object/approved_document__v/V5O00000000I030", "ENFERMERíA - PODCAST: Ep5 Autoestima")</f>
        <v>ENFERMERíA - PODCAST: Ep5 Autoestima</v>
      </c>
      <c r="E153" s="10" t="str">
        <f>HYPERLINK("https://otsuka-europe-crm.veevavault.com/ui/#object/sent_email__v/VBL00000002W159", "SE-001437683")</f>
        <v>SE-001437683</v>
      </c>
      <c r="F153" s="11"/>
      <c r="G153" s="12">
        <v>0</v>
      </c>
      <c r="H153" s="12">
        <v>0</v>
      </c>
      <c r="I153" s="12">
        <v>0</v>
      </c>
      <c r="J153" s="11"/>
      <c r="K153" s="12">
        <v>0</v>
      </c>
      <c r="L153" s="10" t="str">
        <f>HYPERLINK("https://otsuka-europe-crm.veevavault.com/ui/#object/approved_document__v/V5O00000000I030", "ENFERMERíA - PODCAST: Ep5 Autoestima")</f>
        <v>ENFERMERíA - PODCAST: Ep5 Autoestima</v>
      </c>
      <c r="M153" s="10" t="str">
        <f>HYPERLINK("mailto:mgravan@crm.otsuka-europe.com", "mgravan@crm.otsuka-europe.com")</f>
        <v>mgravan@crm.otsuka-europe.com</v>
      </c>
      <c r="N153" s="13">
        <v>46210.400104166663</v>
      </c>
      <c r="O153" s="14" t="str">
        <f>HYPERLINK("https://otsuka-europe-crm.veevavault.com/ui/#object/email_activity__v/V8C000000044604", "EN-002102759")</f>
        <v>EN-002102759</v>
      </c>
    </row>
    <row r="154" spans="1:15" ht="16" x14ac:dyDescent="0.2">
      <c r="A154" s="18" t="str">
        <f>HYPERLINK("https://otsuka-europe-crm.veevavault.com/ui/#object/account__v/V4TZ025E8711TWD", "AGUSTIN SEBASTIAN FERNANDEZ FLORES")</f>
        <v>AGUSTIN SEBASTIAN FERNANDEZ FLORES</v>
      </c>
      <c r="B154" s="18" t="str">
        <f>HYPERLINK("https://otsuka-europe-crm.veevavault.com/ui/#object/vcountry__v/VENZ000004SONF5", "ES")</f>
        <v>ES</v>
      </c>
      <c r="C154" s="20" t="s">
        <v>39</v>
      </c>
      <c r="D154" s="21" t="str">
        <f>HYPERLINK("https://otsuka-europe-crm.veevavault.com/ui/#object/approved_document__v/V5O00000000I030", "ENFERMERíA - PODCAST: Ep5 Autoestima")</f>
        <v>ENFERMERíA - PODCAST: Ep5 Autoestima</v>
      </c>
      <c r="E154" s="22" t="str">
        <f>HYPERLINK("https://otsuka-europe-crm.veevavault.com/ui/#object/sent_email__v/VBL00000002W160", "SE-001437684")</f>
        <v>SE-001437684</v>
      </c>
      <c r="F154" s="23"/>
      <c r="G154" s="24">
        <v>0</v>
      </c>
      <c r="H154" s="24">
        <v>0</v>
      </c>
      <c r="I154" s="24">
        <v>0</v>
      </c>
      <c r="J154" s="23"/>
      <c r="K154" s="24">
        <v>0</v>
      </c>
      <c r="L154" s="22" t="str">
        <f>HYPERLINK("https://otsuka-europe-crm.veevavault.com/ui/#object/approved_document__v/V5O00000000I030", "ENFERMERíA - PODCAST: Ep5 Autoestima")</f>
        <v>ENFERMERíA - PODCAST: Ep5 Autoestima</v>
      </c>
      <c r="M154" s="22" t="str">
        <f>HYPERLINK("mailto:mgravan@crm.otsuka-europe.com", "mgravan@crm.otsuka-europe.com")</f>
        <v>mgravan@crm.otsuka-europe.com</v>
      </c>
      <c r="N154" s="25">
        <v>46210.400104166663</v>
      </c>
      <c r="O154" s="14" t="str">
        <f>HYPERLINK("https://otsuka-europe-crm.veevavault.com/ui/#object/email_activity__v/V8C000000044599", "EN-002102754")</f>
        <v>EN-002102754</v>
      </c>
    </row>
    <row r="155" spans="1:15" ht="16" x14ac:dyDescent="0.2">
      <c r="A155" s="19"/>
      <c r="B155" s="19"/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4" t="str">
        <f>HYPERLINK("https://otsuka-europe-crm.veevavault.com/ui/#object/email_activity__v/V8C000000044710", "EN-002102979")</f>
        <v>EN-002102979</v>
      </c>
    </row>
    <row r="156" spans="1:15" ht="32" x14ac:dyDescent="0.2">
      <c r="A156" s="7" t="str">
        <f>HYPERLINK("https://otsuka-europe-crm.veevavault.com/ui/#object/account__v/V4TZ06G6O71TDDX", "SANTIAGO MARRA LORENZO")</f>
        <v>SANTIAGO MARRA LORENZO</v>
      </c>
      <c r="B156" s="7" t="str">
        <f>HYPERLINK("https://otsuka-europe-crm.veevavault.com/ui/#object/vcountry__v/VENZ000004SONF5", "ES")</f>
        <v>ES</v>
      </c>
      <c r="C156" s="8" t="s">
        <v>39</v>
      </c>
      <c r="D156" s="9" t="str">
        <f>HYPERLINK("https://otsuka-europe-crm.veevavault.com/ui/#object/approved_document__v/V5O00000000I030", "ENFERMERíA - PODCAST: Ep5 Autoestima")</f>
        <v>ENFERMERíA - PODCAST: Ep5 Autoestima</v>
      </c>
      <c r="E156" s="10" t="str">
        <f>HYPERLINK("https://otsuka-europe-crm.veevavault.com/ui/#object/sent_email__v/VBL00000002W161", "SE-001437685")</f>
        <v>SE-001437685</v>
      </c>
      <c r="F156" s="11"/>
      <c r="G156" s="12">
        <v>0</v>
      </c>
      <c r="H156" s="12">
        <v>0</v>
      </c>
      <c r="I156" s="12">
        <v>0</v>
      </c>
      <c r="J156" s="11"/>
      <c r="K156" s="12">
        <v>0</v>
      </c>
      <c r="L156" s="10" t="str">
        <f>HYPERLINK("https://otsuka-europe-crm.veevavault.com/ui/#object/approved_document__v/V5O00000000I030", "ENFERMERíA - PODCAST: Ep5 Autoestima")</f>
        <v>ENFERMERíA - PODCAST: Ep5 Autoestima</v>
      </c>
      <c r="M156" s="10" t="str">
        <f>HYPERLINK("mailto:mgravan@crm.otsuka-europe.com", "mgravan@crm.otsuka-europe.com")</f>
        <v>mgravan@crm.otsuka-europe.com</v>
      </c>
      <c r="N156" s="13">
        <v>46210.400104166663</v>
      </c>
      <c r="O156" s="14" t="str">
        <f>HYPERLINK("https://otsuka-europe-crm.veevavault.com/ui/#object/email_activity__v/V8C000000044600", "EN-002102755")</f>
        <v>EN-002102755</v>
      </c>
    </row>
    <row r="157" spans="1:15" ht="16" x14ac:dyDescent="0.2">
      <c r="A157" s="18" t="str">
        <f>HYPERLINK("https://otsuka-europe-crm.veevavault.com/ui/#object/account__v/V4TZ06G6O71TDA6", "ANTONIO MACIAS DE LA FLOR")</f>
        <v>ANTONIO MACIAS DE LA FLOR</v>
      </c>
      <c r="B157" s="18" t="str">
        <f>HYPERLINK("https://otsuka-europe-crm.veevavault.com/ui/#object/vcountry__v/VENZ000004SONF5", "ES")</f>
        <v>ES</v>
      </c>
      <c r="C157" s="20" t="s">
        <v>39</v>
      </c>
      <c r="D157" s="21" t="str">
        <f>HYPERLINK("https://otsuka-europe-crm.veevavault.com/ui/#object/approved_document__v/V5O00000000I030", "ENFERMERíA - PODCAST: Ep5 Autoestima")</f>
        <v>ENFERMERíA - PODCAST: Ep5 Autoestima</v>
      </c>
      <c r="E157" s="22" t="str">
        <f>HYPERLINK("https://otsuka-europe-crm.veevavault.com/ui/#object/sent_email__v/VBL00000002W162", "SE-001437686")</f>
        <v>SE-001437686</v>
      </c>
      <c r="F157" s="25">
        <v>46225.630150462966</v>
      </c>
      <c r="G157" s="24">
        <v>1</v>
      </c>
      <c r="H157" s="24">
        <v>4</v>
      </c>
      <c r="I157" s="24">
        <v>0</v>
      </c>
      <c r="J157" s="23"/>
      <c r="K157" s="24">
        <v>0</v>
      </c>
      <c r="L157" s="22" t="str">
        <f>HYPERLINK("https://otsuka-europe-crm.veevavault.com/ui/#object/approved_document__v/V5O00000000I030", "ENFERMERíA - PODCAST: Ep5 Autoestima")</f>
        <v>ENFERMERíA - PODCAST: Ep5 Autoestima</v>
      </c>
      <c r="M157" s="22" t="str">
        <f>HYPERLINK("mailto:mgravan@crm.otsuka-europe.com", "mgravan@crm.otsuka-europe.com")</f>
        <v>mgravan@crm.otsuka-europe.com</v>
      </c>
      <c r="N157" s="25">
        <v>46210.400104166663</v>
      </c>
      <c r="O157" s="14" t="str">
        <f>HYPERLINK("https://otsuka-europe-crm.veevavault.com/ui/#object/email_activity__v/V8C000000043787", "EN-002103102")</f>
        <v>EN-002103102</v>
      </c>
    </row>
    <row r="158" spans="1:15" ht="16" x14ac:dyDescent="0.2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14" t="str">
        <f>HYPERLINK("https://otsuka-europe-crm.veevavault.com/ui/#object/email_activity__v/V8C000000043788", "EN-002103103")</f>
        <v>EN-002103103</v>
      </c>
    </row>
    <row r="159" spans="1:15" ht="16" x14ac:dyDescent="0.2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14" t="str">
        <f>HYPERLINK("https://otsuka-europe-crm.veevavault.com/ui/#object/email_activity__v/V8C000000044610", "EN-002102770")</f>
        <v>EN-002102770</v>
      </c>
    </row>
    <row r="160" spans="1:15" ht="16" x14ac:dyDescent="0.2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14" t="str">
        <f>HYPERLINK("https://otsuka-europe-crm.veevavault.com/ui/#object/email_activity__v/V8C00000004C231", "EN-002107263")</f>
        <v>EN-002107263</v>
      </c>
    </row>
    <row r="161" spans="1:15" ht="16" x14ac:dyDescent="0.2">
      <c r="A161" s="19"/>
      <c r="B161" s="19"/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4" t="str">
        <f>HYPERLINK("https://otsuka-europe-crm.veevavault.com/ui/#object/email_activity__v/V8C00000004C456", "EN-002107920")</f>
        <v>EN-002107920</v>
      </c>
    </row>
    <row r="162" spans="1:15" ht="16" x14ac:dyDescent="0.2">
      <c r="A162" s="18" t="str">
        <f>HYPERLINK("https://otsuka-europe-crm.veevavault.com/ui/#object/account__v/V4TZ06G6O71T8OT", "ASUNTA TORRES LABORDE")</f>
        <v>ASUNTA TORRES LABORDE</v>
      </c>
      <c r="B162" s="18" t="str">
        <f>HYPERLINK("https://otsuka-europe-crm.veevavault.com/ui/#object/vcountry__v/VENZ000004SONF5", "ES")</f>
        <v>ES</v>
      </c>
      <c r="C162" s="20" t="s">
        <v>39</v>
      </c>
      <c r="D162" s="21" t="str">
        <f>HYPERLINK("https://otsuka-europe-crm.veevavault.com/ui/#object/approved_document__v/V5O00000000L012", "AM2M - Material adherencia")</f>
        <v>AM2M - Material adherencia</v>
      </c>
      <c r="E162" s="22" t="str">
        <f>HYPERLINK("https://otsuka-europe-crm.veevavault.com/ui/#object/sent_email__v/VBL00000002X125", "SE-001437687")</f>
        <v>SE-001437687</v>
      </c>
      <c r="F162" s="25">
        <v>46210.69425925926</v>
      </c>
      <c r="G162" s="24">
        <v>1</v>
      </c>
      <c r="H162" s="24">
        <v>3</v>
      </c>
      <c r="I162" s="24">
        <v>0</v>
      </c>
      <c r="J162" s="23"/>
      <c r="K162" s="24">
        <v>0</v>
      </c>
      <c r="L162" s="22" t="str">
        <f>HYPERLINK("https://otsuka-europe-crm.veevavault.com/ui/#object/approved_document__v/V5O00000000L012", "AM2M - Material adherencia")</f>
        <v>AM2M - Material adherencia</v>
      </c>
      <c r="M162" s="22" t="str">
        <f>HYPERLINK("mailto:mgravan@crm.otsuka-europe.com", "mgravan@crm.otsuka-europe.com")</f>
        <v>mgravan@crm.otsuka-europe.com</v>
      </c>
      <c r="N162" s="25">
        <v>46210.407083333332</v>
      </c>
      <c r="O162" s="14" t="str">
        <f>HYPERLINK("https://otsuka-europe-crm.veevavault.com/ui/#object/email_activity__v/V8C000000043721", "EN-002102987")</f>
        <v>EN-002102987</v>
      </c>
    </row>
    <row r="163" spans="1:15" ht="16" x14ac:dyDescent="0.2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14" t="str">
        <f>HYPERLINK("https://otsuka-europe-crm.veevavault.com/ui/#object/email_activity__v/V8C000000043762", "EN-002103059")</f>
        <v>EN-002103059</v>
      </c>
    </row>
    <row r="164" spans="1:15" ht="16" x14ac:dyDescent="0.2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14" t="str">
        <f>HYPERLINK("https://otsuka-europe-crm.veevavault.com/ui/#object/email_activity__v/V8C000000044662", "EN-002102881")</f>
        <v>EN-002102881</v>
      </c>
    </row>
    <row r="165" spans="1:15" ht="16" x14ac:dyDescent="0.2">
      <c r="A165" s="19"/>
      <c r="B165" s="19"/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4" t="str">
        <f>HYPERLINK("https://otsuka-europe-crm.veevavault.com/ui/#object/email_activity__v/V8C000000044676", "EN-002102923")</f>
        <v>EN-002102923</v>
      </c>
    </row>
    <row r="166" spans="1:15" ht="32" x14ac:dyDescent="0.2">
      <c r="A166" s="7" t="str">
        <f>HYPERLINK("https://otsuka-europe-crm.veevavault.com/ui/#object/account__v/V4TZ025E848M997", "MARIA VICTORIA GUADALUPE TENDERO")</f>
        <v>MARIA VICTORIA GUADALUPE TENDERO</v>
      </c>
      <c r="B166" s="7" t="str">
        <f>HYPERLINK("https://otsuka-europe-crm.veevavault.com/ui/#object/vcountry__v/VENZ000004SONF5", "ES")</f>
        <v>ES</v>
      </c>
      <c r="C166" s="8" t="s">
        <v>39</v>
      </c>
      <c r="D166" s="9" t="str">
        <f>HYPERLINK("https://otsuka-europe-crm.veevavault.com/ui/#object/approved_document__v/V5O00000000L012", "AM2M - Material adherencia")</f>
        <v>AM2M - Material adherencia</v>
      </c>
      <c r="E166" s="10" t="str">
        <f>HYPERLINK("https://otsuka-europe-crm.veevavault.com/ui/#object/sent_email__v/VBL00000002X126", "SE-001437688")</f>
        <v>SE-001437688</v>
      </c>
      <c r="F166" s="11"/>
      <c r="G166" s="12">
        <v>0</v>
      </c>
      <c r="H166" s="12">
        <v>0</v>
      </c>
      <c r="I166" s="12">
        <v>0</v>
      </c>
      <c r="J166" s="11"/>
      <c r="K166" s="12">
        <v>0</v>
      </c>
      <c r="L166" s="10" t="str">
        <f>HYPERLINK("https://otsuka-europe-crm.veevavault.com/ui/#object/approved_document__v/V5O00000000L012", "AM2M - Material adherencia")</f>
        <v>AM2M - Material adherencia</v>
      </c>
      <c r="M166" s="10" t="str">
        <f>HYPERLINK("mailto:mgravan@crm.otsuka-europe.com", "mgravan@crm.otsuka-europe.com")</f>
        <v>mgravan@crm.otsuka-europe.com</v>
      </c>
      <c r="N166" s="13">
        <v>46210.407083333332</v>
      </c>
      <c r="O166" s="14" t="str">
        <f>HYPERLINK("https://otsuka-europe-crm.veevavault.com/ui/#object/email_activity__v/V8C000000043658", "EN-002102874")</f>
        <v>EN-002102874</v>
      </c>
    </row>
    <row r="167" spans="1:15" ht="32" x14ac:dyDescent="0.2">
      <c r="A167" s="7" t="str">
        <f>HYPERLINK("https://otsuka-europe-crm.veevavault.com/ui/#object/account__v/V4TZ06G6O71TBXD", "MANUELA RONDAN FERNANDEZ")</f>
        <v>MANUELA RONDAN FERNANDEZ</v>
      </c>
      <c r="B167" s="7" t="str">
        <f>HYPERLINK("https://otsuka-europe-crm.veevavault.com/ui/#object/vcountry__v/VENZ000004SONF5", "ES")</f>
        <v>ES</v>
      </c>
      <c r="C167" s="8" t="s">
        <v>39</v>
      </c>
      <c r="D167" s="9" t="str">
        <f>HYPERLINK("https://otsuka-europe-crm.veevavault.com/ui/#object/approved_document__v/V5O00000000L012", "AM2M - Material adherencia")</f>
        <v>AM2M - Material adherencia</v>
      </c>
      <c r="E167" s="10" t="str">
        <f>HYPERLINK("https://otsuka-europe-crm.veevavault.com/ui/#object/sent_email__v/VBL00000002X127", "SE-001437689")</f>
        <v>SE-001437689</v>
      </c>
      <c r="F167" s="11"/>
      <c r="G167" s="12">
        <v>0</v>
      </c>
      <c r="H167" s="12">
        <v>0</v>
      </c>
      <c r="I167" s="12">
        <v>0</v>
      </c>
      <c r="J167" s="11"/>
      <c r="K167" s="12">
        <v>0</v>
      </c>
      <c r="L167" s="10" t="str">
        <f>HYPERLINK("https://otsuka-europe-crm.veevavault.com/ui/#object/approved_document__v/V5O00000000L012", "AM2M - Material adherencia")</f>
        <v>AM2M - Material adherencia</v>
      </c>
      <c r="M167" s="10" t="str">
        <f>HYPERLINK("mailto:mgravan@crm.otsuka-europe.com", "mgravan@crm.otsuka-europe.com")</f>
        <v>mgravan@crm.otsuka-europe.com</v>
      </c>
      <c r="N167" s="13">
        <v>46210.407129629632</v>
      </c>
      <c r="O167" s="14" t="str">
        <f>HYPERLINK("https://otsuka-europe-crm.veevavault.com/ui/#object/email_activity__v/V8C000000044618", "EN-002102806")</f>
        <v>EN-002102806</v>
      </c>
    </row>
    <row r="168" spans="1:15" ht="16" x14ac:dyDescent="0.2">
      <c r="A168" s="18" t="str">
        <f>HYPERLINK("https://otsuka-europe-crm.veevavault.com/ui/#object/account__v/V4TZ06G6O71TAQ1", "MARIA JESUS LEIVA CABRAL")</f>
        <v>MARIA JESUS LEIVA CABRAL</v>
      </c>
      <c r="B168" s="18" t="str">
        <f>HYPERLINK("https://otsuka-europe-crm.veevavault.com/ui/#object/vcountry__v/VENZ000004SONF5", "ES")</f>
        <v>ES</v>
      </c>
      <c r="C168" s="20" t="s">
        <v>39</v>
      </c>
      <c r="D168" s="21" t="str">
        <f>HYPERLINK("https://otsuka-europe-crm.veevavault.com/ui/#object/approved_document__v/V5O00000000L012", "AM2M - Material adherencia")</f>
        <v>AM2M - Material adherencia</v>
      </c>
      <c r="E168" s="22" t="str">
        <f>HYPERLINK("https://otsuka-europe-crm.veevavault.com/ui/#object/sent_email__v/VBL00000002X128", "SE-001437690")</f>
        <v>SE-001437690</v>
      </c>
      <c r="F168" s="23"/>
      <c r="G168" s="24">
        <v>0</v>
      </c>
      <c r="H168" s="24">
        <v>0</v>
      </c>
      <c r="I168" s="24">
        <v>0</v>
      </c>
      <c r="J168" s="23"/>
      <c r="K168" s="24">
        <v>0</v>
      </c>
      <c r="L168" s="22" t="str">
        <f>HYPERLINK("https://otsuka-europe-crm.veevavault.com/ui/#object/approved_document__v/V5O00000000L012", "AM2M - Material adherencia")</f>
        <v>AM2M - Material adherencia</v>
      </c>
      <c r="M168" s="22" t="str">
        <f>HYPERLINK("mailto:mgravan@crm.otsuka-europe.com", "mgravan@crm.otsuka-europe.com")</f>
        <v>mgravan@crm.otsuka-europe.com</v>
      </c>
      <c r="N168" s="25">
        <v>46210.407118055555</v>
      </c>
      <c r="O168" s="14" t="str">
        <f>HYPERLINK("https://otsuka-europe-crm.veevavault.com/ui/#object/email_activity__v/V8C000000043647", "EN-002102854")</f>
        <v>EN-002102854</v>
      </c>
    </row>
    <row r="169" spans="1:15" ht="16" x14ac:dyDescent="0.2">
      <c r="A169" s="19"/>
      <c r="B169" s="19"/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4" t="str">
        <f>HYPERLINK("https://otsuka-europe-crm.veevavault.com/ui/#object/email_activity__v/V8C000000043786", "EN-002103101")</f>
        <v>EN-002103101</v>
      </c>
    </row>
    <row r="170" spans="1:15" ht="16" x14ac:dyDescent="0.2">
      <c r="A170" s="18" t="str">
        <f>HYPERLINK("https://otsuka-europe-crm.veevavault.com/ui/#object/account__v/V4TZ06G6O71T7EM", "LOURDES ACUÑA DOMINGUEZ")</f>
        <v>LOURDES ACUÑA DOMINGUEZ</v>
      </c>
      <c r="B170" s="18" t="str">
        <f>HYPERLINK("https://otsuka-europe-crm.veevavault.com/ui/#object/vcountry__v/VENZ000004SONF5", "ES")</f>
        <v>ES</v>
      </c>
      <c r="C170" s="20" t="s">
        <v>39</v>
      </c>
      <c r="D170" s="21" t="str">
        <f>HYPERLINK("https://otsuka-europe-crm.veevavault.com/ui/#object/approved_document__v/V5O00000000L012", "AM2M - Material adherencia")</f>
        <v>AM2M - Material adherencia</v>
      </c>
      <c r="E170" s="22" t="str">
        <f>HYPERLINK("https://otsuka-europe-crm.veevavault.com/ui/#object/sent_email__v/VBL00000002X129", "SE-001437691")</f>
        <v>SE-001437691</v>
      </c>
      <c r="F170" s="23"/>
      <c r="G170" s="24">
        <v>0</v>
      </c>
      <c r="H170" s="24">
        <v>0</v>
      </c>
      <c r="I170" s="24">
        <v>0</v>
      </c>
      <c r="J170" s="23"/>
      <c r="K170" s="24">
        <v>0</v>
      </c>
      <c r="L170" s="22" t="str">
        <f>HYPERLINK("https://otsuka-europe-crm.veevavault.com/ui/#object/approved_document__v/V5O00000000L012", "AM2M - Material adherencia")</f>
        <v>AM2M - Material adherencia</v>
      </c>
      <c r="M170" s="22" t="str">
        <f>HYPERLINK("mailto:mgravan@crm.otsuka-europe.com", "mgravan@crm.otsuka-europe.com")</f>
        <v>mgravan@crm.otsuka-europe.com</v>
      </c>
      <c r="N170" s="25">
        <v>46210.407118055555</v>
      </c>
      <c r="O170" s="14" t="str">
        <f>HYPERLINK("https://otsuka-europe-crm.veevavault.com/ui/#object/email_activity__v/V8C000000043645", "EN-002102852")</f>
        <v>EN-002102852</v>
      </c>
    </row>
    <row r="171" spans="1:15" ht="16" x14ac:dyDescent="0.2">
      <c r="A171" s="19"/>
      <c r="B171" s="19"/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4" t="str">
        <f>HYPERLINK("https://otsuka-europe-crm.veevavault.com/ui/#object/email_activity__v/V8C000000044854", "EN-002103298")</f>
        <v>EN-002103298</v>
      </c>
    </row>
    <row r="172" spans="1:15" ht="16" x14ac:dyDescent="0.2">
      <c r="A172" s="18" t="str">
        <f>HYPERLINK("https://otsuka-europe-crm.veevavault.com/ui/#object/account__v/V4TZ06G6O71T979", "LUISA MARIA AMAYA MAGALLANES")</f>
        <v>LUISA MARIA AMAYA MAGALLANES</v>
      </c>
      <c r="B172" s="18" t="str">
        <f>HYPERLINK("https://otsuka-europe-crm.veevavault.com/ui/#object/vcountry__v/VENZ000004SONF5", "ES")</f>
        <v>ES</v>
      </c>
      <c r="C172" s="20" t="s">
        <v>39</v>
      </c>
      <c r="D172" s="21" t="str">
        <f>HYPERLINK("https://otsuka-europe-crm.veevavault.com/ui/#object/approved_document__v/V5O00000000L012", "AM2M - Material adherencia")</f>
        <v>AM2M - Material adherencia</v>
      </c>
      <c r="E172" s="22" t="str">
        <f>HYPERLINK("https://otsuka-europe-crm.veevavault.com/ui/#object/sent_email__v/VBL00000002X130", "SE-001437692")</f>
        <v>SE-001437692</v>
      </c>
      <c r="F172" s="25">
        <v>46210.48951388889</v>
      </c>
      <c r="G172" s="24">
        <v>1</v>
      </c>
      <c r="H172" s="24">
        <v>1</v>
      </c>
      <c r="I172" s="24">
        <v>0</v>
      </c>
      <c r="J172" s="23"/>
      <c r="K172" s="24">
        <v>0</v>
      </c>
      <c r="L172" s="22" t="str">
        <f>HYPERLINK("https://otsuka-europe-crm.veevavault.com/ui/#object/approved_document__v/V5O00000000L012", "AM2M - Material adherencia")</f>
        <v>AM2M - Material adherencia</v>
      </c>
      <c r="M172" s="22" t="str">
        <f>HYPERLINK("mailto:mgravan@crm.otsuka-europe.com", "mgravan@crm.otsuka-europe.com")</f>
        <v>mgravan@crm.otsuka-europe.com</v>
      </c>
      <c r="N172" s="25">
        <v>46210.407118055555</v>
      </c>
      <c r="O172" s="14" t="str">
        <f>HYPERLINK("https://otsuka-europe-crm.veevavault.com/ui/#object/email_activity__v/V8C000000043710", "EN-002102971")</f>
        <v>EN-002102971</v>
      </c>
    </row>
    <row r="173" spans="1:15" ht="16" x14ac:dyDescent="0.2">
      <c r="A173" s="19"/>
      <c r="B173" s="19"/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4" t="str">
        <f>HYPERLINK("https://otsuka-europe-crm.veevavault.com/ui/#object/email_activity__v/V8C000000044672", "EN-002102910")</f>
        <v>EN-002102910</v>
      </c>
    </row>
    <row r="174" spans="1:15" ht="32" x14ac:dyDescent="0.2">
      <c r="A174" s="7" t="str">
        <f>HYPERLINK("https://otsuka-europe-crm.veevavault.com/ui/#object/account__v/V4TZ06G6O71TAXD", "ROCIO MARTIN ROMERO")</f>
        <v>ROCIO MARTIN ROMERO</v>
      </c>
      <c r="B174" s="7" t="str">
        <f>HYPERLINK("https://otsuka-europe-crm.veevavault.com/ui/#object/vcountry__v/VENZ000004SONF5", "ES")</f>
        <v>ES</v>
      </c>
      <c r="C174" s="8" t="s">
        <v>39</v>
      </c>
      <c r="D174" s="9" t="str">
        <f>HYPERLINK("https://otsuka-europe-crm.veevavault.com/ui/#object/approved_document__v/V5O00000000L012", "AM2M - Material adherencia")</f>
        <v>AM2M - Material adherencia</v>
      </c>
      <c r="E174" s="10" t="str">
        <f>HYPERLINK("https://otsuka-europe-crm.veevavault.com/ui/#object/sent_email__v/VBL00000002X131", "SE-001437693")</f>
        <v>SE-001437693</v>
      </c>
      <c r="F174" s="11"/>
      <c r="G174" s="12">
        <v>0</v>
      </c>
      <c r="H174" s="12">
        <v>0</v>
      </c>
      <c r="I174" s="12">
        <v>0</v>
      </c>
      <c r="J174" s="11"/>
      <c r="K174" s="12">
        <v>0</v>
      </c>
      <c r="L174" s="10" t="str">
        <f>HYPERLINK("https://otsuka-europe-crm.veevavault.com/ui/#object/approved_document__v/V5O00000000L012", "AM2M - Material adherencia")</f>
        <v>AM2M - Material adherencia</v>
      </c>
      <c r="M174" s="10" t="str">
        <f>HYPERLINK("mailto:mgravan@crm.otsuka-europe.com", "mgravan@crm.otsuka-europe.com")</f>
        <v>mgravan@crm.otsuka-europe.com</v>
      </c>
      <c r="N174" s="13">
        <v>46210.407118055555</v>
      </c>
      <c r="O174" s="14" t="str">
        <f>HYPERLINK("https://otsuka-europe-crm.veevavault.com/ui/#object/email_activity__v/V8C000000043665", "EN-002102887")</f>
        <v>EN-002102887</v>
      </c>
    </row>
    <row r="175" spans="1:15" ht="16" x14ac:dyDescent="0.2">
      <c r="A175" s="18" t="str">
        <f>HYPERLINK("https://otsuka-europe-crm.veevavault.com/ui/#object/account__v/V4TZ06G6O71T7KO", "CRISTINA CORBALAN GUERRERO")</f>
        <v>CRISTINA CORBALAN GUERRERO</v>
      </c>
      <c r="B175" s="18" t="str">
        <f>HYPERLINK("https://otsuka-europe-crm.veevavault.com/ui/#object/vcountry__v/VENZ000004SONF5", "ES")</f>
        <v>ES</v>
      </c>
      <c r="C175" s="20" t="s">
        <v>39</v>
      </c>
      <c r="D175" s="21" t="str">
        <f>HYPERLINK("https://otsuka-europe-crm.veevavault.com/ui/#object/approved_document__v/V5O00000000L012", "AM2M - Material adherencia")</f>
        <v>AM2M - Material adherencia</v>
      </c>
      <c r="E175" s="22" t="str">
        <f>HYPERLINK("https://otsuka-europe-crm.veevavault.com/ui/#object/sent_email__v/VBL00000002X132", "SE-001437694")</f>
        <v>SE-001437694</v>
      </c>
      <c r="F175" s="25">
        <v>46239.259814814817</v>
      </c>
      <c r="G175" s="24">
        <v>1</v>
      </c>
      <c r="H175" s="24">
        <v>9</v>
      </c>
      <c r="I175" s="24">
        <v>0</v>
      </c>
      <c r="J175" s="23"/>
      <c r="K175" s="24">
        <v>0</v>
      </c>
      <c r="L175" s="22" t="str">
        <f>HYPERLINK("https://otsuka-europe-crm.veevavault.com/ui/#object/approved_document__v/V5O00000000L012", "AM2M - Material adherencia")</f>
        <v>AM2M - Material adherencia</v>
      </c>
      <c r="M175" s="22" t="str">
        <f>HYPERLINK("mailto:mgravan@crm.otsuka-europe.com", "mgravan@crm.otsuka-europe.com")</f>
        <v>mgravan@crm.otsuka-europe.com</v>
      </c>
      <c r="N175" s="25">
        <v>46210.407118055555</v>
      </c>
      <c r="O175" s="14" t="str">
        <f>HYPERLINK("https://otsuka-europe-crm.veevavault.com/ui/#object/email_activity__v/V8C000000043681", "EN-002102903")</f>
        <v>EN-002102903</v>
      </c>
    </row>
    <row r="176" spans="1:15" ht="16" x14ac:dyDescent="0.2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14" t="str">
        <f>HYPERLINK("https://otsuka-europe-crm.veevavault.com/ui/#object/email_activity__v/V8C000000043696", "EN-002102939")</f>
        <v>EN-002102939</v>
      </c>
    </row>
    <row r="177" spans="1:15" ht="16" x14ac:dyDescent="0.2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14" t="str">
        <f>HYPERLINK("https://otsuka-europe-crm.veevavault.com/ui/#object/email_activity__v/V8C000000043839", "EN-002103209")</f>
        <v>EN-002103209</v>
      </c>
    </row>
    <row r="178" spans="1:15" ht="16" x14ac:dyDescent="0.2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14" t="str">
        <f>HYPERLINK("https://otsuka-europe-crm.veevavault.com/ui/#object/email_activity__v/V8C000000043841", "EN-002103211")</f>
        <v>EN-002103211</v>
      </c>
    </row>
    <row r="179" spans="1:15" ht="16" x14ac:dyDescent="0.2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14" t="str">
        <f>HYPERLINK("https://otsuka-europe-crm.veevavault.com/ui/#object/email_activity__v/V8C000000043843", "EN-002103213")</f>
        <v>EN-002103213</v>
      </c>
    </row>
    <row r="180" spans="1:15" ht="16" x14ac:dyDescent="0.2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14" t="str">
        <f>HYPERLINK("https://otsuka-europe-crm.veevavault.com/ui/#object/email_activity__v/V8C000000043863", "EN-002103251")</f>
        <v>EN-002103251</v>
      </c>
    </row>
    <row r="181" spans="1:15" ht="16" x14ac:dyDescent="0.2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14" t="str">
        <f>HYPERLINK("https://otsuka-europe-crm.veevavault.com/ui/#object/email_activity__v/V8C000000043864", "EN-002103253")</f>
        <v>EN-002103253</v>
      </c>
    </row>
    <row r="182" spans="1:15" ht="16" x14ac:dyDescent="0.2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14" t="str">
        <f>HYPERLINK("https://otsuka-europe-crm.veevavault.com/ui/#object/email_activity__v/V8C000000044825", "EN-002103228")</f>
        <v>EN-002103228</v>
      </c>
    </row>
    <row r="183" spans="1:15" ht="16" x14ac:dyDescent="0.2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14" t="str">
        <f>HYPERLINK("https://otsuka-europe-crm.veevavault.com/ui/#object/email_activity__v/V8C000000044830", "EN-002103238")</f>
        <v>EN-002103238</v>
      </c>
    </row>
    <row r="184" spans="1:15" ht="16" x14ac:dyDescent="0.2">
      <c r="A184" s="19"/>
      <c r="B184" s="19"/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4" t="str">
        <f>HYPERLINK("https://otsuka-europe-crm.veevavault.com/ui/#object/email_activity__v/V8C00000004H351", "EN-002111570")</f>
        <v>EN-002111570</v>
      </c>
    </row>
    <row r="185" spans="1:15" ht="32" x14ac:dyDescent="0.2">
      <c r="A185" s="7" t="str">
        <f>HYPERLINK("https://otsuka-europe-crm.veevavault.com/ui/#object/account__v/V4TZ06G6O71T86J", "MARIA JOSE LUQUE MARTIN")</f>
        <v>MARIA JOSE LUQUE MARTIN</v>
      </c>
      <c r="B185" s="7" t="str">
        <f>HYPERLINK("https://otsuka-europe-crm.veevavault.com/ui/#object/vcountry__v/VENZ000004SONF5", "ES")</f>
        <v>ES</v>
      </c>
      <c r="C185" s="8" t="s">
        <v>39</v>
      </c>
      <c r="D185" s="9" t="str">
        <f>HYPERLINK("https://otsuka-europe-crm.veevavault.com/ui/#object/approved_document__v/V5O00000000L012", "AM2M - Material adherencia")</f>
        <v>AM2M - Material adherencia</v>
      </c>
      <c r="E185" s="10" t="str">
        <f>HYPERLINK("https://otsuka-europe-crm.veevavault.com/ui/#object/sent_email__v/VBL00000002X133", "SE-001437695")</f>
        <v>SE-001437695</v>
      </c>
      <c r="F185" s="11"/>
      <c r="G185" s="12">
        <v>0</v>
      </c>
      <c r="H185" s="12">
        <v>0</v>
      </c>
      <c r="I185" s="12">
        <v>0</v>
      </c>
      <c r="J185" s="11"/>
      <c r="K185" s="12">
        <v>0</v>
      </c>
      <c r="L185" s="10" t="str">
        <f>HYPERLINK("https://otsuka-europe-crm.veevavault.com/ui/#object/approved_document__v/V5O00000000L012", "AM2M - Material adherencia")</f>
        <v>AM2M - Material adherencia</v>
      </c>
      <c r="M185" s="10" t="str">
        <f>HYPERLINK("mailto:mgravan@crm.otsuka-europe.com", "mgravan@crm.otsuka-europe.com")</f>
        <v>mgravan@crm.otsuka-europe.com</v>
      </c>
      <c r="N185" s="13">
        <v>46210.407118055555</v>
      </c>
      <c r="O185" s="14" t="str">
        <f>HYPERLINK("https://otsuka-europe-crm.veevavault.com/ui/#object/email_activity__v/V8C000000044660", "EN-002102870")</f>
        <v>EN-002102870</v>
      </c>
    </row>
    <row r="186" spans="1:15" ht="16" x14ac:dyDescent="0.2">
      <c r="A186" s="18" t="str">
        <f>HYPERLINK("https://otsuka-europe-crm.veevavault.com/ui/#object/account__v/V4TZ06G6O71T7L4", "ANA MARIA ALVAREZ MONTOYA")</f>
        <v>ANA MARIA ALVAREZ MONTOYA</v>
      </c>
      <c r="B186" s="18" t="str">
        <f>HYPERLINK("https://otsuka-europe-crm.veevavault.com/ui/#object/vcountry__v/VENZ000004SONF5", "ES")</f>
        <v>ES</v>
      </c>
      <c r="C186" s="20" t="s">
        <v>39</v>
      </c>
      <c r="D186" s="21" t="str">
        <f>HYPERLINK("https://otsuka-europe-crm.veevavault.com/ui/#object/approved_document__v/V5O00000000L012", "AM2M - Material adherencia")</f>
        <v>AM2M - Material adherencia</v>
      </c>
      <c r="E186" s="22" t="str">
        <f>HYPERLINK("https://otsuka-europe-crm.veevavault.com/ui/#object/sent_email__v/VBL00000002X134", "SE-001437696")</f>
        <v>SE-001437696</v>
      </c>
      <c r="F186" s="25">
        <v>46210.951203703706</v>
      </c>
      <c r="G186" s="24">
        <v>1</v>
      </c>
      <c r="H186" s="24">
        <v>1</v>
      </c>
      <c r="I186" s="24">
        <v>0</v>
      </c>
      <c r="J186" s="23"/>
      <c r="K186" s="24">
        <v>0</v>
      </c>
      <c r="L186" s="22" t="str">
        <f>HYPERLINK("https://otsuka-europe-crm.veevavault.com/ui/#object/approved_document__v/V5O00000000L012", "AM2M - Material adherencia")</f>
        <v>AM2M - Material adherencia</v>
      </c>
      <c r="M186" s="22" t="str">
        <f>HYPERLINK("mailto:mgravan@crm.otsuka-europe.com", "mgravan@crm.otsuka-europe.com")</f>
        <v>mgravan@crm.otsuka-europe.com</v>
      </c>
      <c r="N186" s="25">
        <v>46210.407129629632</v>
      </c>
      <c r="O186" s="14" t="str">
        <f>HYPERLINK("https://otsuka-europe-crm.veevavault.com/ui/#object/email_activity__v/V8C000000043777", "EN-002103086")</f>
        <v>EN-002103086</v>
      </c>
    </row>
    <row r="187" spans="1:15" ht="16" x14ac:dyDescent="0.2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14" t="str">
        <f>HYPERLINK("https://otsuka-europe-crm.veevavault.com/ui/#object/email_activity__v/V8C000000044627", "EN-002102821")</f>
        <v>EN-002102821</v>
      </c>
    </row>
    <row r="188" spans="1:15" ht="16" x14ac:dyDescent="0.2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14" t="str">
        <f>HYPERLINK("https://otsuka-europe-crm.veevavault.com/ui/#object/email_activity__v/V8C000000044764", "EN-002103114")</f>
        <v>EN-002103114</v>
      </c>
    </row>
    <row r="189" spans="1:15" ht="16" x14ac:dyDescent="0.2">
      <c r="A189" s="19"/>
      <c r="B189" s="19"/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4" t="str">
        <f>HYPERLINK("https://otsuka-europe-crm.veevavault.com/ui/#object/email_activity__v/V8C00000004E219", "EN-002108818")</f>
        <v>EN-002108818</v>
      </c>
    </row>
    <row r="190" spans="1:15" ht="32" x14ac:dyDescent="0.2">
      <c r="A190" s="7" t="str">
        <f>HYPERLINK("https://otsuka-europe-crm.veevavault.com/ui/#object/account__v/V4TZ06G6O71TA4S", "MARIA CARMEN GRANADOS SANCHEZ")</f>
        <v>MARIA CARMEN GRANADOS SANCHEZ</v>
      </c>
      <c r="B190" s="7" t="str">
        <f t="shared" ref="B190:B195" si="8">HYPERLINK("https://otsuka-europe-crm.veevavault.com/ui/#object/vcountry__v/VENZ000004SONF5", "ES")</f>
        <v>ES</v>
      </c>
      <c r="C190" s="8" t="s">
        <v>39</v>
      </c>
      <c r="D190" s="9" t="str">
        <f t="shared" ref="D190:D195" si="9">HYPERLINK("https://otsuka-europe-crm.veevavault.com/ui/#object/approved_document__v/V5O00000000L012", "AM2M - Material adherencia")</f>
        <v>AM2M - Material adherencia</v>
      </c>
      <c r="E190" s="10" t="str">
        <f>HYPERLINK("https://otsuka-europe-crm.veevavault.com/ui/#object/sent_email__v/VBL00000002X135", "SE-001437697")</f>
        <v>SE-001437697</v>
      </c>
      <c r="F190" s="11"/>
      <c r="G190" s="12">
        <v>0</v>
      </c>
      <c r="H190" s="12">
        <v>0</v>
      </c>
      <c r="I190" s="12">
        <v>0</v>
      </c>
      <c r="J190" s="11"/>
      <c r="K190" s="12">
        <v>0</v>
      </c>
      <c r="L190" s="10" t="str">
        <f t="shared" ref="L190:L195" si="10">HYPERLINK("https://otsuka-europe-crm.veevavault.com/ui/#object/approved_document__v/V5O00000000L012", "AM2M - Material adherencia")</f>
        <v>AM2M - Material adherencia</v>
      </c>
      <c r="M190" s="10" t="str">
        <f t="shared" ref="M190:M195" si="11">HYPERLINK("mailto:mgravan@crm.otsuka-europe.com", "mgravan@crm.otsuka-europe.com")</f>
        <v>mgravan@crm.otsuka-europe.com</v>
      </c>
      <c r="N190" s="13">
        <v>46210.407118055555</v>
      </c>
      <c r="O190" s="14" t="str">
        <f>HYPERLINK("https://otsuka-europe-crm.veevavault.com/ui/#object/email_activity__v/V8C000000043627", "EN-002102798")</f>
        <v>EN-002102798</v>
      </c>
    </row>
    <row r="191" spans="1:15" ht="32" x14ac:dyDescent="0.2">
      <c r="A191" s="7" t="str">
        <f>HYPERLINK("https://otsuka-europe-crm.veevavault.com/ui/#object/account__v/V4TZ025E83XSR6L", "FRANCISCA LOURDES DIAZ RUBIO")</f>
        <v>FRANCISCA LOURDES DIAZ RUBIO</v>
      </c>
      <c r="B191" s="7" t="str">
        <f t="shared" si="8"/>
        <v>ES</v>
      </c>
      <c r="C191" s="8" t="s">
        <v>39</v>
      </c>
      <c r="D191" s="9" t="str">
        <f t="shared" si="9"/>
        <v>AM2M - Material adherencia</v>
      </c>
      <c r="E191" s="10" t="str">
        <f>HYPERLINK("https://otsuka-europe-crm.veevavault.com/ui/#object/sent_email__v/VBL00000002X136", "SE-001437698")</f>
        <v>SE-001437698</v>
      </c>
      <c r="F191" s="11"/>
      <c r="G191" s="12">
        <v>0</v>
      </c>
      <c r="H191" s="12">
        <v>0</v>
      </c>
      <c r="I191" s="12">
        <v>0</v>
      </c>
      <c r="J191" s="11"/>
      <c r="K191" s="12">
        <v>0</v>
      </c>
      <c r="L191" s="10" t="str">
        <f t="shared" si="10"/>
        <v>AM2M - Material adherencia</v>
      </c>
      <c r="M191" s="10" t="str">
        <f t="shared" si="11"/>
        <v>mgravan@crm.otsuka-europe.com</v>
      </c>
      <c r="N191" s="13">
        <v>46210.407118055555</v>
      </c>
      <c r="O191" s="14" t="str">
        <f>HYPERLINK("https://otsuka-europe-crm.veevavault.com/ui/#object/email_activity__v/V8C000000043668", "EN-002102890")</f>
        <v>EN-002102890</v>
      </c>
    </row>
    <row r="192" spans="1:15" ht="32" x14ac:dyDescent="0.2">
      <c r="A192" s="7" t="str">
        <f>HYPERLINK("https://otsuka-europe-crm.veevavault.com/ui/#object/account__v/V4TZ06G6O71T8WA", "PALOMA SANCHEZ ROMERO")</f>
        <v>PALOMA SANCHEZ ROMERO</v>
      </c>
      <c r="B192" s="7" t="str">
        <f t="shared" si="8"/>
        <v>ES</v>
      </c>
      <c r="C192" s="8" t="s">
        <v>39</v>
      </c>
      <c r="D192" s="9" t="str">
        <f t="shared" si="9"/>
        <v>AM2M - Material adherencia</v>
      </c>
      <c r="E192" s="10" t="str">
        <f>HYPERLINK("https://otsuka-europe-crm.veevavault.com/ui/#object/sent_email__v/VBL00000002X137", "SE-001437699")</f>
        <v>SE-001437699</v>
      </c>
      <c r="F192" s="11"/>
      <c r="G192" s="12">
        <v>0</v>
      </c>
      <c r="H192" s="12">
        <v>0</v>
      </c>
      <c r="I192" s="12">
        <v>0</v>
      </c>
      <c r="J192" s="11"/>
      <c r="K192" s="12">
        <v>0</v>
      </c>
      <c r="L192" s="10" t="str">
        <f t="shared" si="10"/>
        <v>AM2M - Material adherencia</v>
      </c>
      <c r="M192" s="10" t="str">
        <f t="shared" si="11"/>
        <v>mgravan@crm.otsuka-europe.com</v>
      </c>
      <c r="N192" s="13">
        <v>46210.407118055555</v>
      </c>
      <c r="O192" s="14" t="str">
        <f>HYPERLINK("https://otsuka-europe-crm.veevavault.com/ui/#object/email_activity__v/V8C000000043616", "EN-002102787")</f>
        <v>EN-002102787</v>
      </c>
    </row>
    <row r="193" spans="1:15" ht="32" x14ac:dyDescent="0.2">
      <c r="A193" s="7" t="str">
        <f>HYPERLINK("https://otsuka-europe-crm.veevavault.com/ui/#object/account__v/V4TZ06G6O71US1Q", "PATRICIA CASADO DE LA TORRE")</f>
        <v>PATRICIA CASADO DE LA TORRE</v>
      </c>
      <c r="B193" s="7" t="str">
        <f t="shared" si="8"/>
        <v>ES</v>
      </c>
      <c r="C193" s="8" t="s">
        <v>39</v>
      </c>
      <c r="D193" s="9" t="str">
        <f t="shared" si="9"/>
        <v>AM2M - Material adherencia</v>
      </c>
      <c r="E193" s="10" t="str">
        <f>HYPERLINK("https://otsuka-europe-crm.veevavault.com/ui/#object/sent_email__v/VBL00000002X138", "SE-001437700")</f>
        <v>SE-001437700</v>
      </c>
      <c r="F193" s="11"/>
      <c r="G193" s="12">
        <v>0</v>
      </c>
      <c r="H193" s="12">
        <v>0</v>
      </c>
      <c r="I193" s="12">
        <v>0</v>
      </c>
      <c r="J193" s="11"/>
      <c r="K193" s="12">
        <v>0</v>
      </c>
      <c r="L193" s="10" t="str">
        <f t="shared" si="10"/>
        <v>AM2M - Material adherencia</v>
      </c>
      <c r="M193" s="10" t="str">
        <f t="shared" si="11"/>
        <v>mgravan@crm.otsuka-europe.com</v>
      </c>
      <c r="N193" s="13">
        <v>46210.407118055555</v>
      </c>
      <c r="O193" s="14" t="str">
        <f>HYPERLINK("https://otsuka-europe-crm.veevavault.com/ui/#object/email_activity__v/V8C000000043632", "EN-002102803")</f>
        <v>EN-002102803</v>
      </c>
    </row>
    <row r="194" spans="1:15" ht="32" x14ac:dyDescent="0.2">
      <c r="A194" s="7" t="str">
        <f>HYPERLINK("https://otsuka-europe-crm.veevavault.com/ui/#object/account__v/V4TZ06G6O71T7RT", "MARIA ZURITA CARRASCO")</f>
        <v>MARIA ZURITA CARRASCO</v>
      </c>
      <c r="B194" s="7" t="str">
        <f t="shared" si="8"/>
        <v>ES</v>
      </c>
      <c r="C194" s="8" t="s">
        <v>39</v>
      </c>
      <c r="D194" s="9" t="str">
        <f t="shared" si="9"/>
        <v>AM2M - Material adherencia</v>
      </c>
      <c r="E194" s="10" t="str">
        <f>HYPERLINK("https://otsuka-europe-crm.veevavault.com/ui/#object/sent_email__v/VBL00000002X139", "SE-001437701")</f>
        <v>SE-001437701</v>
      </c>
      <c r="F194" s="11"/>
      <c r="G194" s="12">
        <v>0</v>
      </c>
      <c r="H194" s="12">
        <v>0</v>
      </c>
      <c r="I194" s="12">
        <v>0</v>
      </c>
      <c r="J194" s="11"/>
      <c r="K194" s="12">
        <v>0</v>
      </c>
      <c r="L194" s="10" t="str">
        <f t="shared" si="10"/>
        <v>AM2M - Material adherencia</v>
      </c>
      <c r="M194" s="10" t="str">
        <f t="shared" si="11"/>
        <v>mgravan@crm.otsuka-europe.com</v>
      </c>
      <c r="N194" s="13">
        <v>46210.407118055555</v>
      </c>
      <c r="O194" s="14" t="str">
        <f>HYPERLINK("https://otsuka-europe-crm.veevavault.com/ui/#object/email_activity__v/V8C000000044669", "EN-002102907")</f>
        <v>EN-002102907</v>
      </c>
    </row>
    <row r="195" spans="1:15" ht="16" x14ac:dyDescent="0.2">
      <c r="A195" s="18" t="str">
        <f>HYPERLINK("https://otsuka-europe-crm.veevavault.com/ui/#object/account__v/V4TZ06G6O71TC7E", "MARIA JOSE SANCHEZ FERNANDEZ")</f>
        <v>MARIA JOSE SANCHEZ FERNANDEZ</v>
      </c>
      <c r="B195" s="18" t="str">
        <f t="shared" si="8"/>
        <v>ES</v>
      </c>
      <c r="C195" s="20" t="s">
        <v>39</v>
      </c>
      <c r="D195" s="21" t="str">
        <f t="shared" si="9"/>
        <v>AM2M - Material adherencia</v>
      </c>
      <c r="E195" s="22" t="str">
        <f>HYPERLINK("https://otsuka-europe-crm.veevavault.com/ui/#object/sent_email__v/VBL00000002X140", "SE-001437702")</f>
        <v>SE-001437702</v>
      </c>
      <c r="F195" s="25">
        <v>46210.548344907409</v>
      </c>
      <c r="G195" s="24">
        <v>1</v>
      </c>
      <c r="H195" s="24">
        <v>1</v>
      </c>
      <c r="I195" s="24">
        <v>0</v>
      </c>
      <c r="J195" s="23"/>
      <c r="K195" s="24">
        <v>0</v>
      </c>
      <c r="L195" s="22" t="str">
        <f t="shared" si="10"/>
        <v>AM2M - Material adherencia</v>
      </c>
      <c r="M195" s="22" t="str">
        <f t="shared" si="11"/>
        <v>mgravan@crm.otsuka-europe.com</v>
      </c>
      <c r="N195" s="25">
        <v>46210.407118055555</v>
      </c>
      <c r="O195" s="14" t="str">
        <f>HYPERLINK("https://otsuka-europe-crm.veevavault.com/ui/#object/email_activity__v/V8C000000043648", "EN-002102855")</f>
        <v>EN-002102855</v>
      </c>
    </row>
    <row r="196" spans="1:15" ht="16" x14ac:dyDescent="0.2">
      <c r="A196" s="19"/>
      <c r="B196" s="19"/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4" t="str">
        <f>HYPERLINK("https://otsuka-europe-crm.veevavault.com/ui/#object/email_activity__v/V8C000000043727", "EN-002102994")</f>
        <v>EN-002102994</v>
      </c>
    </row>
    <row r="197" spans="1:15" ht="16" x14ac:dyDescent="0.2">
      <c r="A197" s="18" t="str">
        <f>HYPERLINK("https://otsuka-europe-crm.veevavault.com/ui/#object/account__v/V4TZ06G6O71T8YK", "MARIA MAR ESPINOSA NOGALES")</f>
        <v>MARIA MAR ESPINOSA NOGALES</v>
      </c>
      <c r="B197" s="18" t="str">
        <f>HYPERLINK("https://otsuka-europe-crm.veevavault.com/ui/#object/vcountry__v/VENZ000004SONF5", "ES")</f>
        <v>ES</v>
      </c>
      <c r="C197" s="20" t="s">
        <v>39</v>
      </c>
      <c r="D197" s="21" t="str">
        <f>HYPERLINK("https://otsuka-europe-crm.veevavault.com/ui/#object/approved_document__v/V5O00000000L012", "AM2M - Material adherencia")</f>
        <v>AM2M - Material adherencia</v>
      </c>
      <c r="E197" s="22" t="str">
        <f>HYPERLINK("https://otsuka-europe-crm.veevavault.com/ui/#object/sent_email__v/VBL00000002X141", "SE-001437703")</f>
        <v>SE-001437703</v>
      </c>
      <c r="F197" s="25">
        <v>46214.675810185188</v>
      </c>
      <c r="G197" s="24">
        <v>1</v>
      </c>
      <c r="H197" s="24">
        <v>2</v>
      </c>
      <c r="I197" s="24">
        <v>0</v>
      </c>
      <c r="J197" s="23"/>
      <c r="K197" s="24">
        <v>0</v>
      </c>
      <c r="L197" s="22" t="str">
        <f>HYPERLINK("https://otsuka-europe-crm.veevavault.com/ui/#object/approved_document__v/V5O00000000L012", "AM2M - Material adherencia")</f>
        <v>AM2M - Material adherencia</v>
      </c>
      <c r="M197" s="22" t="str">
        <f>HYPERLINK("mailto:mgravan@crm.otsuka-europe.com", "mgravan@crm.otsuka-europe.com")</f>
        <v>mgravan@crm.otsuka-europe.com</v>
      </c>
      <c r="N197" s="25">
        <v>46210.407118055555</v>
      </c>
      <c r="O197" s="14" t="str">
        <f>HYPERLINK("https://otsuka-europe-crm.veevavault.com/ui/#object/email_activity__v/V8C000000043639", "EN-002102846")</f>
        <v>EN-002102846</v>
      </c>
    </row>
    <row r="198" spans="1:15" ht="16" x14ac:dyDescent="0.2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14" t="str">
        <f>HYPERLINK("https://otsuka-europe-crm.veevavault.com/ui/#object/email_activity__v/V8C000000043789", "EN-002103104")</f>
        <v>EN-002103104</v>
      </c>
    </row>
    <row r="199" spans="1:15" ht="16" x14ac:dyDescent="0.2">
      <c r="A199" s="19"/>
      <c r="B199" s="19"/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4" t="str">
        <f>HYPERLINK("https://otsuka-europe-crm.veevavault.com/ui/#object/email_activity__v/V8C00000004A027", "EN-002104919")</f>
        <v>EN-002104919</v>
      </c>
    </row>
    <row r="200" spans="1:15" ht="16" x14ac:dyDescent="0.2">
      <c r="A200" s="18" t="str">
        <f>HYPERLINK("https://otsuka-europe-crm.veevavault.com/ui/#object/account__v/V4TZ06G6O71T7A7", "NAZARET MARIN BASALLOTE")</f>
        <v>NAZARET MARIN BASALLOTE</v>
      </c>
      <c r="B200" s="18" t="str">
        <f>HYPERLINK("https://otsuka-europe-crm.veevavault.com/ui/#object/vcountry__v/VENZ000004SONF5", "ES")</f>
        <v>ES</v>
      </c>
      <c r="C200" s="20" t="s">
        <v>39</v>
      </c>
      <c r="D200" s="21" t="str">
        <f>HYPERLINK("https://otsuka-europe-crm.veevavault.com/ui/#object/approved_document__v/V5O00000000L012", "AM2M - Material adherencia")</f>
        <v>AM2M - Material adherencia</v>
      </c>
      <c r="E200" s="22" t="str">
        <f>HYPERLINK("https://otsuka-europe-crm.veevavault.com/ui/#object/sent_email__v/VBL00000002X142", "SE-001437704")</f>
        <v>SE-001437704</v>
      </c>
      <c r="F200" s="25">
        <v>46210.426180555558</v>
      </c>
      <c r="G200" s="24">
        <v>1</v>
      </c>
      <c r="H200" s="24">
        <v>1</v>
      </c>
      <c r="I200" s="24">
        <v>0</v>
      </c>
      <c r="J200" s="23"/>
      <c r="K200" s="24">
        <v>0</v>
      </c>
      <c r="L200" s="22" t="str">
        <f>HYPERLINK("https://otsuka-europe-crm.veevavault.com/ui/#object/approved_document__v/V5O00000000L012", "AM2M - Material adherencia")</f>
        <v>AM2M - Material adherencia</v>
      </c>
      <c r="M200" s="22" t="str">
        <f>HYPERLINK("mailto:mgravan@crm.otsuka-europe.com", "mgravan@crm.otsuka-europe.com")</f>
        <v>mgravan@crm.otsuka-europe.com</v>
      </c>
      <c r="N200" s="25">
        <v>46210.407118055555</v>
      </c>
      <c r="O200" s="14" t="str">
        <f>HYPERLINK("https://otsuka-europe-crm.veevavault.com/ui/#object/email_activity__v/V8C000000043644", "EN-002102851")</f>
        <v>EN-002102851</v>
      </c>
    </row>
    <row r="201" spans="1:15" ht="16" x14ac:dyDescent="0.2">
      <c r="A201" s="19"/>
      <c r="B201" s="19"/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4" t="str">
        <f>HYPERLINK("https://otsuka-europe-crm.veevavault.com/ui/#object/email_activity__v/V8C000000043699", "EN-002102942")</f>
        <v>EN-002102942</v>
      </c>
    </row>
    <row r="202" spans="1:15" ht="16" x14ac:dyDescent="0.2">
      <c r="A202" s="18" t="str">
        <f>HYPERLINK("https://otsuka-europe-crm.veevavault.com/ui/#object/account__v/V4TZ06G6O71T9KV", "MARIA CARMEN DE LA RUBIA CABEZAS")</f>
        <v>MARIA CARMEN DE LA RUBIA CABEZAS</v>
      </c>
      <c r="B202" s="18" t="str">
        <f>HYPERLINK("https://otsuka-europe-crm.veevavault.com/ui/#object/vcountry__v/VENZ000004SONF5", "ES")</f>
        <v>ES</v>
      </c>
      <c r="C202" s="20" t="s">
        <v>39</v>
      </c>
      <c r="D202" s="21" t="str">
        <f>HYPERLINK("https://otsuka-europe-crm.veevavault.com/ui/#object/approved_document__v/V5O00000000L012", "AM2M - Material adherencia")</f>
        <v>AM2M - Material adherencia</v>
      </c>
      <c r="E202" s="22" t="str">
        <f>HYPERLINK("https://otsuka-europe-crm.veevavault.com/ui/#object/sent_email__v/VBL00000002X143", "SE-001437705")</f>
        <v>SE-001437705</v>
      </c>
      <c r="F202" s="25">
        <v>46211.283148148148</v>
      </c>
      <c r="G202" s="24">
        <v>1</v>
      </c>
      <c r="H202" s="24">
        <v>1</v>
      </c>
      <c r="I202" s="24">
        <v>0</v>
      </c>
      <c r="J202" s="23"/>
      <c r="K202" s="24">
        <v>0</v>
      </c>
      <c r="L202" s="22" t="str">
        <f>HYPERLINK("https://otsuka-europe-crm.veevavault.com/ui/#object/approved_document__v/V5O00000000L012", "AM2M - Material adherencia")</f>
        <v>AM2M - Material adherencia</v>
      </c>
      <c r="M202" s="22" t="str">
        <f>HYPERLINK("mailto:mgravan@crm.otsuka-europe.com", "mgravan@crm.otsuka-europe.com")</f>
        <v>mgravan@crm.otsuka-europe.com</v>
      </c>
      <c r="N202" s="25">
        <v>46210.407129629632</v>
      </c>
      <c r="O202" s="14" t="str">
        <f>HYPERLINK("https://otsuka-europe-crm.veevavault.com/ui/#object/email_activity__v/V8C000000043803", "EN-002103130")</f>
        <v>EN-002103130</v>
      </c>
    </row>
    <row r="203" spans="1:15" ht="16" x14ac:dyDescent="0.2">
      <c r="A203" s="19"/>
      <c r="B203" s="19"/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4" t="str">
        <f>HYPERLINK("https://otsuka-europe-crm.veevavault.com/ui/#object/email_activity__v/V8C000000044624", "EN-002102818")</f>
        <v>EN-002102818</v>
      </c>
    </row>
    <row r="204" spans="1:15" ht="32" x14ac:dyDescent="0.2">
      <c r="A204" s="7" t="str">
        <f>HYPERLINK("https://otsuka-europe-crm.veevavault.com/ui/#object/account__v/V4TZ06G6O71T88G", "CRISTINA ROMERO PEREZ")</f>
        <v>CRISTINA ROMERO PEREZ</v>
      </c>
      <c r="B204" s="7" t="str">
        <f>HYPERLINK("https://otsuka-europe-crm.veevavault.com/ui/#object/vcountry__v/VENZ000004SONF5", "ES")</f>
        <v>ES</v>
      </c>
      <c r="C204" s="8" t="s">
        <v>39</v>
      </c>
      <c r="D204" s="9" t="str">
        <f>HYPERLINK("https://otsuka-europe-crm.veevavault.com/ui/#object/approved_document__v/V5O00000000L012", "AM2M - Material adherencia")</f>
        <v>AM2M - Material adherencia</v>
      </c>
      <c r="E204" s="10" t="str">
        <f>HYPERLINK("https://otsuka-europe-crm.veevavault.com/ui/#object/sent_email__v/VBL00000002X144", "SE-001437706")</f>
        <v>SE-001437706</v>
      </c>
      <c r="F204" s="11"/>
      <c r="G204" s="12">
        <v>0</v>
      </c>
      <c r="H204" s="12">
        <v>0</v>
      </c>
      <c r="I204" s="12">
        <v>0</v>
      </c>
      <c r="J204" s="11"/>
      <c r="K204" s="12">
        <v>0</v>
      </c>
      <c r="L204" s="10" t="str">
        <f>HYPERLINK("https://otsuka-europe-crm.veevavault.com/ui/#object/approved_document__v/V5O00000000L012", "AM2M - Material adherencia")</f>
        <v>AM2M - Material adherencia</v>
      </c>
      <c r="M204" s="10" t="str">
        <f>HYPERLINK("mailto:mgravan@crm.otsuka-europe.com", "mgravan@crm.otsuka-europe.com")</f>
        <v>mgravan@crm.otsuka-europe.com</v>
      </c>
      <c r="N204" s="13">
        <v>46210.407118055555</v>
      </c>
      <c r="O204" s="14" t="str">
        <f>HYPERLINK("https://otsuka-europe-crm.veevavault.com/ui/#object/email_activity__v/V8C000000044647", "EN-002102841")</f>
        <v>EN-002102841</v>
      </c>
    </row>
    <row r="205" spans="1:15" ht="16" x14ac:dyDescent="0.2">
      <c r="A205" s="18" t="str">
        <f>HYPERLINK("https://otsuka-europe-crm.veevavault.com/ui/#object/account__v/V4TZ06G6O71T7TL", "MARIA NIEVES BAEZ AMUEDO")</f>
        <v>MARIA NIEVES BAEZ AMUEDO</v>
      </c>
      <c r="B205" s="18" t="str">
        <f>HYPERLINK("https://otsuka-europe-crm.veevavault.com/ui/#object/vcountry__v/VENZ000004SONF5", "ES")</f>
        <v>ES</v>
      </c>
      <c r="C205" s="20" t="s">
        <v>39</v>
      </c>
      <c r="D205" s="21" t="str">
        <f>HYPERLINK("https://otsuka-europe-crm.veevavault.com/ui/#object/approved_document__v/V5O00000000L012", "AM2M - Material adherencia")</f>
        <v>AM2M - Material adherencia</v>
      </c>
      <c r="E205" s="22" t="str">
        <f>HYPERLINK("https://otsuka-europe-crm.veevavault.com/ui/#object/sent_email__v/VBL00000002X145", "SE-001437707")</f>
        <v>SE-001437707</v>
      </c>
      <c r="F205" s="23"/>
      <c r="G205" s="24">
        <v>0</v>
      </c>
      <c r="H205" s="24">
        <v>0</v>
      </c>
      <c r="I205" s="24">
        <v>0</v>
      </c>
      <c r="J205" s="23"/>
      <c r="K205" s="24">
        <v>0</v>
      </c>
      <c r="L205" s="22" t="str">
        <f>HYPERLINK("https://otsuka-europe-crm.veevavault.com/ui/#object/approved_document__v/V5O00000000L012", "AM2M - Material adherencia")</f>
        <v>AM2M - Material adherencia</v>
      </c>
      <c r="M205" s="22" t="str">
        <f>HYPERLINK("mailto:mgravan@crm.otsuka-europe.com", "mgravan@crm.otsuka-europe.com")</f>
        <v>mgravan@crm.otsuka-europe.com</v>
      </c>
      <c r="N205" s="25">
        <v>46210.407129629632</v>
      </c>
      <c r="O205" s="14" t="str">
        <f>HYPERLINK("https://otsuka-europe-crm.veevavault.com/ui/#object/email_activity__v/V8C000000043737", "EN-002103013")</f>
        <v>EN-002103013</v>
      </c>
    </row>
    <row r="206" spans="1:15" ht="16" x14ac:dyDescent="0.2">
      <c r="A206" s="19"/>
      <c r="B206" s="19"/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4" t="str">
        <f>HYPERLINK("https://otsuka-europe-crm.veevavault.com/ui/#object/email_activity__v/V8C000000044625", "EN-002102819")</f>
        <v>EN-002102819</v>
      </c>
    </row>
    <row r="207" spans="1:15" ht="16" x14ac:dyDescent="0.2">
      <c r="A207" s="18" t="str">
        <f>HYPERLINK("https://otsuka-europe-crm.veevavault.com/ui/#object/account__v/V4TZ06G6O8RZYMY", "CONSUELO LILLO MORENO")</f>
        <v>CONSUELO LILLO MORENO</v>
      </c>
      <c r="B207" s="18" t="str">
        <f>HYPERLINK("https://otsuka-europe-crm.veevavault.com/ui/#object/vcountry__v/VENZ000004SONF5", "ES")</f>
        <v>ES</v>
      </c>
      <c r="C207" s="20" t="s">
        <v>39</v>
      </c>
      <c r="D207" s="21" t="str">
        <f>HYPERLINK("https://otsuka-europe-crm.veevavault.com/ui/#object/approved_document__v/V5O00000000L012", "AM2M - Material adherencia")</f>
        <v>AM2M - Material adherencia</v>
      </c>
      <c r="E207" s="22" t="str">
        <f>HYPERLINK("https://otsuka-europe-crm.veevavault.com/ui/#object/sent_email__v/VBL00000002X146", "SE-001437708")</f>
        <v>SE-001437708</v>
      </c>
      <c r="F207" s="23"/>
      <c r="G207" s="24">
        <v>0</v>
      </c>
      <c r="H207" s="24">
        <v>0</v>
      </c>
      <c r="I207" s="24">
        <v>0</v>
      </c>
      <c r="J207" s="23"/>
      <c r="K207" s="24">
        <v>0</v>
      </c>
      <c r="L207" s="22" t="str">
        <f>HYPERLINK("https://otsuka-europe-crm.veevavault.com/ui/#object/approved_document__v/V5O00000000L012", "AM2M - Material adherencia")</f>
        <v>AM2M - Material adherencia</v>
      </c>
      <c r="M207" s="22" t="str">
        <f>HYPERLINK("mailto:mgravan@crm.otsuka-europe.com", "mgravan@crm.otsuka-europe.com")</f>
        <v>mgravan@crm.otsuka-europe.com</v>
      </c>
      <c r="N207" s="25">
        <v>46210.407118055555</v>
      </c>
      <c r="O207" s="14" t="str">
        <f>HYPERLINK("https://otsuka-europe-crm.veevavault.com/ui/#object/email_activity__v/V8C000000044649", "EN-002102843")</f>
        <v>EN-002102843</v>
      </c>
    </row>
    <row r="208" spans="1:15" ht="16" x14ac:dyDescent="0.2">
      <c r="A208" s="19"/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4" t="str">
        <f>HYPERLINK("https://otsuka-europe-crm.veevavault.com/ui/#object/email_activity__v/V8C000000044756", "EN-002103093")</f>
        <v>EN-002103093</v>
      </c>
    </row>
    <row r="209" spans="1:15" ht="16" x14ac:dyDescent="0.2">
      <c r="A209" s="18" t="str">
        <f>HYPERLINK("https://otsuka-europe-crm.veevavault.com/ui/#object/account__v/V4TZ06G6O71TCLJ", "ALICIA VIGLERIO MONTERO")</f>
        <v>ALICIA VIGLERIO MONTERO</v>
      </c>
      <c r="B209" s="18" t="str">
        <f>HYPERLINK("https://otsuka-europe-crm.veevavault.com/ui/#object/vcountry__v/VENZ000004SONF5", "ES")</f>
        <v>ES</v>
      </c>
      <c r="C209" s="20" t="s">
        <v>39</v>
      </c>
      <c r="D209" s="21" t="str">
        <f>HYPERLINK("https://otsuka-europe-crm.veevavault.com/ui/#object/approved_document__v/V5O00000000L012", "AM2M - Material adherencia")</f>
        <v>AM2M - Material adherencia</v>
      </c>
      <c r="E209" s="22" t="str">
        <f>HYPERLINK("https://otsuka-europe-crm.veevavault.com/ui/#object/sent_email__v/VBL00000002X147", "SE-001437709")</f>
        <v>SE-001437709</v>
      </c>
      <c r="F209" s="25">
        <v>46210.410324074073</v>
      </c>
      <c r="G209" s="24">
        <v>1</v>
      </c>
      <c r="H209" s="24">
        <v>1</v>
      </c>
      <c r="I209" s="24">
        <v>0</v>
      </c>
      <c r="J209" s="23"/>
      <c r="K209" s="24">
        <v>0</v>
      </c>
      <c r="L209" s="22" t="str">
        <f>HYPERLINK("https://otsuka-europe-crm.veevavault.com/ui/#object/approved_document__v/V5O00000000L012", "AM2M - Material adherencia")</f>
        <v>AM2M - Material adherencia</v>
      </c>
      <c r="M209" s="22" t="str">
        <f>HYPERLINK("mailto:mgravan@crm.otsuka-europe.com", "mgravan@crm.otsuka-europe.com")</f>
        <v>mgravan@crm.otsuka-europe.com</v>
      </c>
      <c r="N209" s="25">
        <v>46210.407129629632</v>
      </c>
      <c r="O209" s="14" t="str">
        <f>HYPERLINK("https://otsuka-europe-crm.veevavault.com/ui/#object/email_activity__v/V8C000000044630", "EN-002102824")</f>
        <v>EN-002102824</v>
      </c>
    </row>
    <row r="210" spans="1:15" ht="16" x14ac:dyDescent="0.2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14" t="str">
        <f>HYPERLINK("https://otsuka-europe-crm.veevavault.com/ui/#object/email_activity__v/V8C000000044677", "EN-002102924")</f>
        <v>EN-002102924</v>
      </c>
    </row>
    <row r="211" spans="1:15" ht="16" x14ac:dyDescent="0.2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14" t="str">
        <f>HYPERLINK("https://otsuka-europe-crm.veevavault.com/ui/#object/email_activity__v/V8C000000044754", "EN-002103082")</f>
        <v>EN-002103082</v>
      </c>
    </row>
    <row r="212" spans="1:15" ht="16" x14ac:dyDescent="0.2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14" t="str">
        <f>HYPERLINK("https://otsuka-europe-crm.veevavault.com/ui/#object/email_activity__v/V8C000000044771", "EN-002103126")</f>
        <v>EN-002103126</v>
      </c>
    </row>
    <row r="213" spans="1:15" ht="16" x14ac:dyDescent="0.2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14" t="str">
        <f>HYPERLINK("https://otsuka-europe-crm.veevavault.com/ui/#object/email_activity__v/V8C00000004A408", "EN-002105745")</f>
        <v>EN-002105745</v>
      </c>
    </row>
    <row r="214" spans="1:15" ht="16" x14ac:dyDescent="0.2">
      <c r="A214" s="19"/>
      <c r="B214" s="19"/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4" t="str">
        <f>HYPERLINK("https://otsuka-europe-crm.veevavault.com/ui/#object/email_activity__v/V8C00000004A811", "EN-002106506")</f>
        <v>EN-002106506</v>
      </c>
    </row>
    <row r="215" spans="1:15" ht="32" x14ac:dyDescent="0.2">
      <c r="A215" s="7" t="str">
        <f>HYPERLINK("https://otsuka-europe-crm.veevavault.com/ui/#object/account__v/V4TZ06G6O71T78B", "CARLA LOURDES FALCONI VALDERRAMA")</f>
        <v>CARLA LOURDES FALCONI VALDERRAMA</v>
      </c>
      <c r="B215" s="7" t="str">
        <f>HYPERLINK("https://otsuka-europe-crm.veevavault.com/ui/#object/vcountry__v/VENZ000004SONF5", "ES")</f>
        <v>ES</v>
      </c>
      <c r="C215" s="8" t="s">
        <v>39</v>
      </c>
      <c r="D215" s="9" t="str">
        <f>HYPERLINK("https://otsuka-europe-crm.veevavault.com/ui/#object/approved_document__v/V5O00000000L012", "AM2M - Material adherencia")</f>
        <v>AM2M - Material adherencia</v>
      </c>
      <c r="E215" s="10" t="str">
        <f>HYPERLINK("https://otsuka-europe-crm.veevavault.com/ui/#object/sent_email__v/VBL00000002X148", "SE-001437710")</f>
        <v>SE-001437710</v>
      </c>
      <c r="F215" s="11"/>
      <c r="G215" s="12">
        <v>0</v>
      </c>
      <c r="H215" s="12">
        <v>0</v>
      </c>
      <c r="I215" s="12">
        <v>0</v>
      </c>
      <c r="J215" s="11"/>
      <c r="K215" s="12">
        <v>0</v>
      </c>
      <c r="L215" s="10" t="str">
        <f>HYPERLINK("https://otsuka-europe-crm.veevavault.com/ui/#object/approved_document__v/V5O00000000L012", "AM2M - Material adherencia")</f>
        <v>AM2M - Material adherencia</v>
      </c>
      <c r="M215" s="10" t="str">
        <f>HYPERLINK("mailto:mgravan@crm.otsuka-europe.com", "mgravan@crm.otsuka-europe.com")</f>
        <v>mgravan@crm.otsuka-europe.com</v>
      </c>
      <c r="N215" s="13">
        <v>46210.407129629632</v>
      </c>
      <c r="O215" s="14" t="str">
        <f>HYPERLINK("https://otsuka-europe-crm.veevavault.com/ui/#object/email_activity__v/V8C000000044626", "EN-002102820")</f>
        <v>EN-002102820</v>
      </c>
    </row>
    <row r="216" spans="1:15" ht="16" x14ac:dyDescent="0.2">
      <c r="A216" s="18" t="str">
        <f>HYPERLINK("https://otsuka-europe-crm.veevavault.com/ui/#object/account__v/V4TZ06G6O71T7G5", "LAURA FERNANDEZ CEPILLO")</f>
        <v>LAURA FERNANDEZ CEPILLO</v>
      </c>
      <c r="B216" s="18" t="str">
        <f>HYPERLINK("https://otsuka-europe-crm.veevavault.com/ui/#object/vcountry__v/VENZ000004SONF5", "ES")</f>
        <v>ES</v>
      </c>
      <c r="C216" s="20" t="s">
        <v>39</v>
      </c>
      <c r="D216" s="21" t="str">
        <f>HYPERLINK("https://otsuka-europe-crm.veevavault.com/ui/#object/approved_document__v/V5O00000000L012", "AM2M - Material adherencia")</f>
        <v>AM2M - Material adherencia</v>
      </c>
      <c r="E216" s="22" t="str">
        <f>HYPERLINK("https://otsuka-europe-crm.veevavault.com/ui/#object/sent_email__v/VBL00000002X149", "SE-001437711")</f>
        <v>SE-001437711</v>
      </c>
      <c r="F216" s="23"/>
      <c r="G216" s="24">
        <v>0</v>
      </c>
      <c r="H216" s="24">
        <v>0</v>
      </c>
      <c r="I216" s="24">
        <v>0</v>
      </c>
      <c r="J216" s="23"/>
      <c r="K216" s="24">
        <v>0</v>
      </c>
      <c r="L216" s="22" t="str">
        <f>HYPERLINK("https://otsuka-europe-crm.veevavault.com/ui/#object/approved_document__v/V5O00000000L012", "AM2M - Material adherencia")</f>
        <v>AM2M - Material adherencia</v>
      </c>
      <c r="M216" s="22" t="str">
        <f>HYPERLINK("mailto:mgravan@crm.otsuka-europe.com", "mgravan@crm.otsuka-europe.com")</f>
        <v>mgravan@crm.otsuka-europe.com</v>
      </c>
      <c r="N216" s="25">
        <v>46210.407129629632</v>
      </c>
      <c r="O216" s="14" t="str">
        <f>HYPERLINK("https://otsuka-europe-crm.veevavault.com/ui/#object/email_activity__v/V8C000000043792", "EN-002103109")</f>
        <v>EN-002103109</v>
      </c>
    </row>
    <row r="217" spans="1:15" ht="16" x14ac:dyDescent="0.2">
      <c r="A217" s="19"/>
      <c r="B217" s="19"/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4" t="str">
        <f>HYPERLINK("https://otsuka-europe-crm.veevavault.com/ui/#object/email_activity__v/V8C000000044616", "EN-002102804")</f>
        <v>EN-002102804</v>
      </c>
    </row>
    <row r="218" spans="1:15" ht="16" x14ac:dyDescent="0.2">
      <c r="A218" s="18" t="str">
        <f>HYPERLINK("https://otsuka-europe-crm.veevavault.com/ui/#object/account__v/V4TZ06G6O71UROT", "RAQUEL LOPEZ MARTIN")</f>
        <v>RAQUEL LOPEZ MARTIN</v>
      </c>
      <c r="B218" s="18" t="str">
        <f>HYPERLINK("https://otsuka-europe-crm.veevavault.com/ui/#object/vcountry__v/VENZ000004SONF5", "ES")</f>
        <v>ES</v>
      </c>
      <c r="C218" s="20" t="s">
        <v>39</v>
      </c>
      <c r="D218" s="21" t="str">
        <f>HYPERLINK("https://otsuka-europe-crm.veevavault.com/ui/#object/approved_document__v/V5O00000000L012", "AM2M - Material adherencia")</f>
        <v>AM2M - Material adherencia</v>
      </c>
      <c r="E218" s="22" t="str">
        <f>HYPERLINK("https://otsuka-europe-crm.veevavault.com/ui/#object/sent_email__v/VBL00000002X150", "SE-001437712")</f>
        <v>SE-001437712</v>
      </c>
      <c r="F218" s="25">
        <v>46210.717199074075</v>
      </c>
      <c r="G218" s="24">
        <v>1</v>
      </c>
      <c r="H218" s="24">
        <v>1</v>
      </c>
      <c r="I218" s="24">
        <v>0</v>
      </c>
      <c r="J218" s="23"/>
      <c r="K218" s="24">
        <v>0</v>
      </c>
      <c r="L218" s="22" t="str">
        <f>HYPERLINK("https://otsuka-europe-crm.veevavault.com/ui/#object/approved_document__v/V5O00000000L012", "AM2M - Material adherencia")</f>
        <v>AM2M - Material adherencia</v>
      </c>
      <c r="M218" s="22" t="str">
        <f>HYPERLINK("mailto:mgravan@crm.otsuka-europe.com", "mgravan@crm.otsuka-europe.com")</f>
        <v>mgravan@crm.otsuka-europe.com</v>
      </c>
      <c r="N218" s="25">
        <v>46210.407118055555</v>
      </c>
      <c r="O218" s="14" t="str">
        <f>HYPERLINK("https://otsuka-europe-crm.veevavault.com/ui/#object/email_activity__v/V8C000000043642", "EN-002102849")</f>
        <v>EN-002102849</v>
      </c>
    </row>
    <row r="219" spans="1:15" ht="16" x14ac:dyDescent="0.2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14" t="str">
        <f>HYPERLINK("https://otsuka-europe-crm.veevavault.com/ui/#object/email_activity__v/V8C000000044747", "EN-002103068")</f>
        <v>EN-002103068</v>
      </c>
    </row>
    <row r="220" spans="1:15" ht="16" x14ac:dyDescent="0.2">
      <c r="A220" s="19"/>
      <c r="B220" s="19"/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4" t="str">
        <f>HYPERLINK("https://otsuka-europe-crm.veevavault.com/ui/#object/email_activity__v/V8C000000044748", "EN-002103069")</f>
        <v>EN-002103069</v>
      </c>
    </row>
    <row r="221" spans="1:15" ht="32" x14ac:dyDescent="0.2">
      <c r="A221" s="7" t="str">
        <f>HYPERLINK("https://otsuka-europe-crm.veevavault.com/ui/#object/account__v/V4TZ025E84DEJVO", "LAURA GONZALEZ SAAVEDRA")</f>
        <v>LAURA GONZALEZ SAAVEDRA</v>
      </c>
      <c r="B221" s="7" t="str">
        <f>HYPERLINK("https://otsuka-europe-crm.veevavault.com/ui/#object/vcountry__v/VENZ000004SONF5", "ES")</f>
        <v>ES</v>
      </c>
      <c r="C221" s="8" t="s">
        <v>39</v>
      </c>
      <c r="D221" s="9" t="str">
        <f>HYPERLINK("https://otsuka-europe-crm.veevavault.com/ui/#object/approved_document__v/V5O00000000L012", "AM2M - Material adherencia")</f>
        <v>AM2M - Material adherencia</v>
      </c>
      <c r="E221" s="10" t="str">
        <f>HYPERLINK("https://otsuka-europe-crm.veevavault.com/ui/#object/sent_email__v/VBL00000002X151", "SE-001437713")</f>
        <v>SE-001437713</v>
      </c>
      <c r="F221" s="11"/>
      <c r="G221" s="12">
        <v>0</v>
      </c>
      <c r="H221" s="12">
        <v>0</v>
      </c>
      <c r="I221" s="12">
        <v>0</v>
      </c>
      <c r="J221" s="11"/>
      <c r="K221" s="12">
        <v>0</v>
      </c>
      <c r="L221" s="10" t="str">
        <f>HYPERLINK("https://otsuka-europe-crm.veevavault.com/ui/#object/approved_document__v/V5O00000000L012", "AM2M - Material adherencia")</f>
        <v>AM2M - Material adherencia</v>
      </c>
      <c r="M221" s="10" t="str">
        <f>HYPERLINK("mailto:mgravan@crm.otsuka-europe.com", "mgravan@crm.otsuka-europe.com")</f>
        <v>mgravan@crm.otsuka-europe.com</v>
      </c>
      <c r="N221" s="13">
        <v>46210.407118055555</v>
      </c>
      <c r="O221" s="14" t="str">
        <f>HYPERLINK("https://otsuka-europe-crm.veevavault.com/ui/#object/email_activity__v/V8C000000044671", "EN-002102909")</f>
        <v>EN-002102909</v>
      </c>
    </row>
    <row r="222" spans="1:15" ht="32" x14ac:dyDescent="0.2">
      <c r="A222" s="7" t="str">
        <f>HYPERLINK("https://otsuka-europe-crm.veevavault.com/ui/#object/account__v/V4TZ06G6O71TC3L", "ANA ISABEL RUIZ SAEZ")</f>
        <v>ANA ISABEL RUIZ SAEZ</v>
      </c>
      <c r="B222" s="7" t="str">
        <f>HYPERLINK("https://otsuka-europe-crm.veevavault.com/ui/#object/vcountry__v/VENZ000004SONF5", "ES")</f>
        <v>ES</v>
      </c>
      <c r="C222" s="8" t="s">
        <v>39</v>
      </c>
      <c r="D222" s="9" t="str">
        <f>HYPERLINK("https://otsuka-europe-crm.veevavault.com/ui/#object/approved_document__v/V5O00000000L012", "AM2M - Material adherencia")</f>
        <v>AM2M - Material adherencia</v>
      </c>
      <c r="E222" s="10" t="str">
        <f>HYPERLINK("https://otsuka-europe-crm.veevavault.com/ui/#object/sent_email__v/VBL00000002X152", "SE-001437714")</f>
        <v>SE-001437714</v>
      </c>
      <c r="F222" s="11"/>
      <c r="G222" s="12">
        <v>0</v>
      </c>
      <c r="H222" s="12">
        <v>0</v>
      </c>
      <c r="I222" s="12">
        <v>0</v>
      </c>
      <c r="J222" s="11"/>
      <c r="K222" s="12">
        <v>0</v>
      </c>
      <c r="L222" s="10" t="str">
        <f>HYPERLINK("https://otsuka-europe-crm.veevavault.com/ui/#object/approved_document__v/V5O00000000L012", "AM2M - Material adherencia")</f>
        <v>AM2M - Material adherencia</v>
      </c>
      <c r="M222" s="10" t="str">
        <f>HYPERLINK("mailto:mgravan@crm.otsuka-europe.com", "mgravan@crm.otsuka-europe.com")</f>
        <v>mgravan@crm.otsuka-europe.com</v>
      </c>
      <c r="N222" s="13">
        <v>46210.407129629632</v>
      </c>
      <c r="O222" s="14" t="str">
        <f>HYPERLINK("https://otsuka-europe-crm.veevavault.com/ui/#object/email_activity__v/V8C000000044620", "EN-002102808")</f>
        <v>EN-002102808</v>
      </c>
    </row>
    <row r="223" spans="1:15" ht="32" x14ac:dyDescent="0.2">
      <c r="A223" s="7" t="str">
        <f>HYPERLINK("https://otsuka-europe-crm.veevavault.com/ui/#object/account__v/V4TZ06G6O71UBNG", "SHEILA SANTIAGO GONZALEZ")</f>
        <v>SHEILA SANTIAGO GONZALEZ</v>
      </c>
      <c r="B223" s="7" t="str">
        <f>HYPERLINK("https://otsuka-europe-crm.veevavault.com/ui/#object/vcountry__v/VENZ000004SONF5", "ES")</f>
        <v>ES</v>
      </c>
      <c r="C223" s="8" t="s">
        <v>39</v>
      </c>
      <c r="D223" s="9" t="str">
        <f>HYPERLINK("https://otsuka-europe-crm.veevavault.com/ui/#object/approved_document__v/V5O00000000L012", "AM2M - Material adherencia")</f>
        <v>AM2M - Material adherencia</v>
      </c>
      <c r="E223" s="10" t="str">
        <f>HYPERLINK("https://otsuka-europe-crm.veevavault.com/ui/#object/sent_email__v/VBL00000002X153", "SE-001437715")</f>
        <v>SE-001437715</v>
      </c>
      <c r="F223" s="11"/>
      <c r="G223" s="12">
        <v>0</v>
      </c>
      <c r="H223" s="12">
        <v>0</v>
      </c>
      <c r="I223" s="12">
        <v>0</v>
      </c>
      <c r="J223" s="11"/>
      <c r="K223" s="12">
        <v>0</v>
      </c>
      <c r="L223" s="10" t="str">
        <f>HYPERLINK("https://otsuka-europe-crm.veevavault.com/ui/#object/approved_document__v/V5O00000000L012", "AM2M - Material adherencia")</f>
        <v>AM2M - Material adherencia</v>
      </c>
      <c r="M223" s="10" t="str">
        <f>HYPERLINK("mailto:mgravan@crm.otsuka-europe.com", "mgravan@crm.otsuka-europe.com")</f>
        <v>mgravan@crm.otsuka-europe.com</v>
      </c>
      <c r="N223" s="13">
        <v>46210.407118055555</v>
      </c>
      <c r="O223" s="14" t="str">
        <f>HYPERLINK("https://otsuka-europe-crm.veevavault.com/ui/#object/email_activity__v/V8C000000043677", "EN-002102899")</f>
        <v>EN-002102899</v>
      </c>
    </row>
    <row r="224" spans="1:15" ht="16" x14ac:dyDescent="0.2">
      <c r="A224" s="18" t="str">
        <f>HYPERLINK("https://otsuka-europe-crm.veevavault.com/ui/#object/account__v/V4TZ04ASG79ZVZI", "LUNA PALMA MALDONADO")</f>
        <v>LUNA PALMA MALDONADO</v>
      </c>
      <c r="B224" s="18" t="str">
        <f>HYPERLINK("https://otsuka-europe-crm.veevavault.com/ui/#object/vcountry__v/VENZ000004SONF5", "ES")</f>
        <v>ES</v>
      </c>
      <c r="C224" s="20" t="s">
        <v>39</v>
      </c>
      <c r="D224" s="21" t="str">
        <f>HYPERLINK("https://otsuka-europe-crm.veevavault.com/ui/#object/approved_document__v/V5O00000000L012", "AM2M - Material adherencia")</f>
        <v>AM2M - Material adherencia</v>
      </c>
      <c r="E224" s="22" t="str">
        <f>HYPERLINK("https://otsuka-europe-crm.veevavault.com/ui/#object/sent_email__v/VBL00000002X154", "SE-001437716")</f>
        <v>SE-001437716</v>
      </c>
      <c r="F224" s="25">
        <v>46211.318842592591</v>
      </c>
      <c r="G224" s="24">
        <v>1</v>
      </c>
      <c r="H224" s="24">
        <v>2</v>
      </c>
      <c r="I224" s="24">
        <v>0</v>
      </c>
      <c r="J224" s="23"/>
      <c r="K224" s="24">
        <v>0</v>
      </c>
      <c r="L224" s="22" t="str">
        <f>HYPERLINK("https://otsuka-europe-crm.veevavault.com/ui/#object/approved_document__v/V5O00000000L012", "AM2M - Material adherencia")</f>
        <v>AM2M - Material adherencia</v>
      </c>
      <c r="M224" s="22" t="str">
        <f>HYPERLINK("mailto:mgravan@crm.otsuka-europe.com", "mgravan@crm.otsuka-europe.com")</f>
        <v>mgravan@crm.otsuka-europe.com</v>
      </c>
      <c r="N224" s="25">
        <v>46210.407118055555</v>
      </c>
      <c r="O224" s="14" t="str">
        <f>HYPERLINK("https://otsuka-europe-crm.veevavault.com/ui/#object/email_activity__v/V8C000000043669", "EN-002102891")</f>
        <v>EN-002102891</v>
      </c>
    </row>
    <row r="225" spans="1:15" ht="16" x14ac:dyDescent="0.2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14" t="str">
        <f>HYPERLINK("https://otsuka-europe-crm.veevavault.com/ui/#object/email_activity__v/V8C000000043807", "EN-002103138")</f>
        <v>EN-002103138</v>
      </c>
    </row>
    <row r="226" spans="1:15" ht="16" x14ac:dyDescent="0.2">
      <c r="A226" s="19"/>
      <c r="B226" s="19"/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4" t="str">
        <f>HYPERLINK("https://otsuka-europe-crm.veevavault.com/ui/#object/email_activity__v/V8C000000044657", "EN-002102867")</f>
        <v>EN-002102867</v>
      </c>
    </row>
    <row r="227" spans="1:15" ht="32" x14ac:dyDescent="0.2">
      <c r="A227" s="7" t="str">
        <f>HYPERLINK("https://otsuka-europe-crm.veevavault.com/ui/#object/account__v/V4TZ06G6O9VG5MB", "ESTHER FERNANDEZ GARCIA")</f>
        <v>ESTHER FERNANDEZ GARCIA</v>
      </c>
      <c r="B227" s="7" t="str">
        <f t="shared" ref="B227:B236" si="12">HYPERLINK("https://otsuka-europe-crm.veevavault.com/ui/#object/vcountry__v/VENZ000004SONF5", "ES")</f>
        <v>ES</v>
      </c>
      <c r="C227" s="8" t="s">
        <v>39</v>
      </c>
      <c r="D227" s="9" t="str">
        <f t="shared" ref="D227:D236" si="13">HYPERLINK("https://otsuka-europe-crm.veevavault.com/ui/#object/approved_document__v/V5O00000000L012", "AM2M - Material adherencia")</f>
        <v>AM2M - Material adherencia</v>
      </c>
      <c r="E227" s="10" t="str">
        <f>HYPERLINK("https://otsuka-europe-crm.veevavault.com/ui/#object/sent_email__v/VBL00000002X155", "SE-001437717")</f>
        <v>SE-001437717</v>
      </c>
      <c r="F227" s="11"/>
      <c r="G227" s="12">
        <v>0</v>
      </c>
      <c r="H227" s="12">
        <v>0</v>
      </c>
      <c r="I227" s="12">
        <v>0</v>
      </c>
      <c r="J227" s="11"/>
      <c r="K227" s="12">
        <v>0</v>
      </c>
      <c r="L227" s="10" t="str">
        <f t="shared" ref="L227:L236" si="14">HYPERLINK("https://otsuka-europe-crm.veevavault.com/ui/#object/approved_document__v/V5O00000000L012", "AM2M - Material adherencia")</f>
        <v>AM2M - Material adherencia</v>
      </c>
      <c r="M227" s="10" t="str">
        <f t="shared" ref="M227:M236" si="15">HYPERLINK("mailto:mgravan@crm.otsuka-europe.com", "mgravan@crm.otsuka-europe.com")</f>
        <v>mgravan@crm.otsuka-europe.com</v>
      </c>
      <c r="N227" s="13">
        <v>46210.407118055555</v>
      </c>
      <c r="O227" s="14" t="str">
        <f>HYPERLINK("https://otsuka-europe-crm.veevavault.com/ui/#object/email_activity__v/V8C000000044659", "EN-002102869")</f>
        <v>EN-002102869</v>
      </c>
    </row>
    <row r="228" spans="1:15" ht="32" x14ac:dyDescent="0.2">
      <c r="A228" s="7" t="str">
        <f>HYPERLINK("https://otsuka-europe-crm.veevavault.com/ui/#object/account__v/V4TZ06G6O71T8SJ", "CARLOTA RODRIGUEZ MARTIN")</f>
        <v>CARLOTA RODRIGUEZ MARTIN</v>
      </c>
      <c r="B228" s="7" t="str">
        <f t="shared" si="12"/>
        <v>ES</v>
      </c>
      <c r="C228" s="8" t="s">
        <v>39</v>
      </c>
      <c r="D228" s="9" t="str">
        <f t="shared" si="13"/>
        <v>AM2M - Material adherencia</v>
      </c>
      <c r="E228" s="10" t="str">
        <f>HYPERLINK("https://otsuka-europe-crm.veevavault.com/ui/#object/sent_email__v/VBL00000002X156", "SE-001437718")</f>
        <v>SE-001437718</v>
      </c>
      <c r="F228" s="11"/>
      <c r="G228" s="12">
        <v>0</v>
      </c>
      <c r="H228" s="12">
        <v>0</v>
      </c>
      <c r="I228" s="12">
        <v>0</v>
      </c>
      <c r="J228" s="11"/>
      <c r="K228" s="12">
        <v>0</v>
      </c>
      <c r="L228" s="10" t="str">
        <f t="shared" si="14"/>
        <v>AM2M - Material adherencia</v>
      </c>
      <c r="M228" s="10" t="str">
        <f t="shared" si="15"/>
        <v>mgravan@crm.otsuka-europe.com</v>
      </c>
      <c r="N228" s="13">
        <v>46210.407118055555</v>
      </c>
      <c r="O228" s="14" t="str">
        <f>HYPERLINK("https://otsuka-europe-crm.veevavault.com/ui/#object/email_activity__v/V8C000000043662", "EN-002102878")</f>
        <v>EN-002102878</v>
      </c>
    </row>
    <row r="229" spans="1:15" ht="32" x14ac:dyDescent="0.2">
      <c r="A229" s="7" t="str">
        <f>HYPERLINK("https://otsuka-europe-crm.veevavault.com/ui/#object/account__v/V4TZ025E84WOIWD", "ELENA MARIA LEONES GIL")</f>
        <v>ELENA MARIA LEONES GIL</v>
      </c>
      <c r="B229" s="7" t="str">
        <f t="shared" si="12"/>
        <v>ES</v>
      </c>
      <c r="C229" s="8" t="s">
        <v>39</v>
      </c>
      <c r="D229" s="9" t="str">
        <f t="shared" si="13"/>
        <v>AM2M - Material adherencia</v>
      </c>
      <c r="E229" s="10" t="str">
        <f>HYPERLINK("https://otsuka-europe-crm.veevavault.com/ui/#object/sent_email__v/VBL00000002X157", "SE-001437719")</f>
        <v>SE-001437719</v>
      </c>
      <c r="F229" s="11"/>
      <c r="G229" s="12">
        <v>0</v>
      </c>
      <c r="H229" s="12">
        <v>0</v>
      </c>
      <c r="I229" s="12">
        <v>0</v>
      </c>
      <c r="J229" s="11"/>
      <c r="K229" s="12">
        <v>0</v>
      </c>
      <c r="L229" s="10" t="str">
        <f t="shared" si="14"/>
        <v>AM2M - Material adherencia</v>
      </c>
      <c r="M229" s="10" t="str">
        <f t="shared" si="15"/>
        <v>mgravan@crm.otsuka-europe.com</v>
      </c>
      <c r="N229" s="13">
        <v>46210.407129629632</v>
      </c>
      <c r="O229" s="14" t="str">
        <f>HYPERLINK("https://otsuka-europe-crm.veevavault.com/ui/#object/email_activity__v/V8C000000044621", "EN-002102809")</f>
        <v>EN-002102809</v>
      </c>
    </row>
    <row r="230" spans="1:15" ht="32" x14ac:dyDescent="0.2">
      <c r="A230" s="7" t="str">
        <f>HYPERLINK("https://otsuka-europe-crm.veevavault.com/ui/#object/account__v/V4TZ06G6OCESERC", "LAURA MARTIN DIAZ")</f>
        <v>LAURA MARTIN DIAZ</v>
      </c>
      <c r="B230" s="7" t="str">
        <f t="shared" si="12"/>
        <v>ES</v>
      </c>
      <c r="C230" s="8" t="s">
        <v>39</v>
      </c>
      <c r="D230" s="9" t="str">
        <f t="shared" si="13"/>
        <v>AM2M - Material adherencia</v>
      </c>
      <c r="E230" s="10" t="str">
        <f>HYPERLINK("https://otsuka-europe-crm.veevavault.com/ui/#object/sent_email__v/VBL00000002X158", "SE-001437720")</f>
        <v>SE-001437720</v>
      </c>
      <c r="F230" s="11"/>
      <c r="G230" s="12">
        <v>0</v>
      </c>
      <c r="H230" s="12">
        <v>0</v>
      </c>
      <c r="I230" s="12">
        <v>0</v>
      </c>
      <c r="J230" s="11"/>
      <c r="K230" s="12">
        <v>0</v>
      </c>
      <c r="L230" s="10" t="str">
        <f t="shared" si="14"/>
        <v>AM2M - Material adherencia</v>
      </c>
      <c r="M230" s="10" t="str">
        <f t="shared" si="15"/>
        <v>mgravan@crm.otsuka-europe.com</v>
      </c>
      <c r="N230" s="13">
        <v>46210.407118055555</v>
      </c>
      <c r="O230" s="14" t="str">
        <f>HYPERLINK("https://otsuka-europe-crm.veevavault.com/ui/#object/email_activity__v/V8C000000043678", "EN-002102900")</f>
        <v>EN-002102900</v>
      </c>
    </row>
    <row r="231" spans="1:15" ht="32" x14ac:dyDescent="0.2">
      <c r="A231" s="7" t="str">
        <f>HYPERLINK("https://otsuka-europe-crm.veevavault.com/ui/#object/account__v/V4TZ06G6O8RZYME", "MARIA LUZ CASILLAS LARA")</f>
        <v>MARIA LUZ CASILLAS LARA</v>
      </c>
      <c r="B231" s="7" t="str">
        <f t="shared" si="12"/>
        <v>ES</v>
      </c>
      <c r="C231" s="8" t="s">
        <v>39</v>
      </c>
      <c r="D231" s="9" t="str">
        <f t="shared" si="13"/>
        <v>AM2M - Material adherencia</v>
      </c>
      <c r="E231" s="10" t="str">
        <f>HYPERLINK("https://otsuka-europe-crm.veevavault.com/ui/#object/sent_email__v/VBL00000002X159", "SE-001437721")</f>
        <v>SE-001437721</v>
      </c>
      <c r="F231" s="11"/>
      <c r="G231" s="12">
        <v>0</v>
      </c>
      <c r="H231" s="12">
        <v>0</v>
      </c>
      <c r="I231" s="12">
        <v>0</v>
      </c>
      <c r="J231" s="11"/>
      <c r="K231" s="12">
        <v>0</v>
      </c>
      <c r="L231" s="10" t="str">
        <f t="shared" si="14"/>
        <v>AM2M - Material adherencia</v>
      </c>
      <c r="M231" s="10" t="str">
        <f t="shared" si="15"/>
        <v>mgravan@crm.otsuka-europe.com</v>
      </c>
      <c r="N231" s="13">
        <v>46210.407118055555</v>
      </c>
      <c r="O231" s="14" t="str">
        <f>HYPERLINK("https://otsuka-europe-crm.veevavault.com/ui/#object/email_activity__v/V8C000000043643", "EN-002102850")</f>
        <v>EN-002102850</v>
      </c>
    </row>
    <row r="232" spans="1:15" ht="32" x14ac:dyDescent="0.2">
      <c r="A232" s="7" t="str">
        <f>HYPERLINK("https://otsuka-europe-crm.veevavault.com/ui/#object/account__v/V4TZ06G6O71TBDN", "YOLANDA MONTERO BELTRAN")</f>
        <v>YOLANDA MONTERO BELTRAN</v>
      </c>
      <c r="B232" s="7" t="str">
        <f t="shared" si="12"/>
        <v>ES</v>
      </c>
      <c r="C232" s="8" t="s">
        <v>39</v>
      </c>
      <c r="D232" s="9" t="str">
        <f t="shared" si="13"/>
        <v>AM2M - Material adherencia</v>
      </c>
      <c r="E232" s="10" t="str">
        <f>HYPERLINK("https://otsuka-europe-crm.veevavault.com/ui/#object/sent_email__v/VBL00000002X160", "SE-001437722")</f>
        <v>SE-001437722</v>
      </c>
      <c r="F232" s="11"/>
      <c r="G232" s="12">
        <v>0</v>
      </c>
      <c r="H232" s="12">
        <v>0</v>
      </c>
      <c r="I232" s="12">
        <v>0</v>
      </c>
      <c r="J232" s="11"/>
      <c r="K232" s="12">
        <v>0</v>
      </c>
      <c r="L232" s="10" t="str">
        <f t="shared" si="14"/>
        <v>AM2M - Material adherencia</v>
      </c>
      <c r="M232" s="10" t="str">
        <f t="shared" si="15"/>
        <v>mgravan@crm.otsuka-europe.com</v>
      </c>
      <c r="N232" s="13">
        <v>46210.407129629632</v>
      </c>
      <c r="O232" s="14" t="str">
        <f>HYPERLINK("https://otsuka-europe-crm.veevavault.com/ui/#object/email_activity__v/V8C000000044631", "EN-002102825")</f>
        <v>EN-002102825</v>
      </c>
    </row>
    <row r="233" spans="1:15" ht="32" x14ac:dyDescent="0.2">
      <c r="A233" s="7" t="str">
        <f>HYPERLINK("https://otsuka-europe-crm.veevavault.com/ui/#object/account__v/V4TZ06G6O71T8DR", "PILAR ORTEGA ORIHUELA")</f>
        <v>PILAR ORTEGA ORIHUELA</v>
      </c>
      <c r="B233" s="7" t="str">
        <f t="shared" si="12"/>
        <v>ES</v>
      </c>
      <c r="C233" s="8" t="s">
        <v>39</v>
      </c>
      <c r="D233" s="9" t="str">
        <f t="shared" si="13"/>
        <v>AM2M - Material adherencia</v>
      </c>
      <c r="E233" s="10" t="str">
        <f>HYPERLINK("https://otsuka-europe-crm.veevavault.com/ui/#object/sent_email__v/VBL00000002X161", "SE-001437723")</f>
        <v>SE-001437723</v>
      </c>
      <c r="F233" s="11"/>
      <c r="G233" s="12">
        <v>0</v>
      </c>
      <c r="H233" s="12">
        <v>0</v>
      </c>
      <c r="I233" s="12">
        <v>0</v>
      </c>
      <c r="J233" s="11"/>
      <c r="K233" s="12">
        <v>0</v>
      </c>
      <c r="L233" s="10" t="str">
        <f t="shared" si="14"/>
        <v>AM2M - Material adherencia</v>
      </c>
      <c r="M233" s="10" t="str">
        <f t="shared" si="15"/>
        <v>mgravan@crm.otsuka-europe.com</v>
      </c>
      <c r="N233" s="13">
        <v>46210.407118055555</v>
      </c>
      <c r="O233" s="14" t="str">
        <f>HYPERLINK("https://otsuka-europe-crm.veevavault.com/ui/#object/email_activity__v/V8C000000044658", "EN-002102868")</f>
        <v>EN-002102868</v>
      </c>
    </row>
    <row r="234" spans="1:15" ht="32" x14ac:dyDescent="0.2">
      <c r="A234" s="7" t="str">
        <f>HYPERLINK("https://otsuka-europe-crm.veevavault.com/ui/#object/account__v/V4TZ06G6O71T7O2", "ROCIO TORRECILLA OLAVARRIETA")</f>
        <v>ROCIO TORRECILLA OLAVARRIETA</v>
      </c>
      <c r="B234" s="7" t="str">
        <f t="shared" si="12"/>
        <v>ES</v>
      </c>
      <c r="C234" s="8" t="s">
        <v>39</v>
      </c>
      <c r="D234" s="9" t="str">
        <f t="shared" si="13"/>
        <v>AM2M - Material adherencia</v>
      </c>
      <c r="E234" s="10" t="str">
        <f>HYPERLINK("https://otsuka-europe-crm.veevavault.com/ui/#object/sent_email__v/VBL00000002X162", "SE-001437724")</f>
        <v>SE-001437724</v>
      </c>
      <c r="F234" s="11"/>
      <c r="G234" s="12">
        <v>0</v>
      </c>
      <c r="H234" s="12">
        <v>0</v>
      </c>
      <c r="I234" s="12">
        <v>0</v>
      </c>
      <c r="J234" s="11"/>
      <c r="K234" s="12">
        <v>0</v>
      </c>
      <c r="L234" s="10" t="str">
        <f t="shared" si="14"/>
        <v>AM2M - Material adherencia</v>
      </c>
      <c r="M234" s="10" t="str">
        <f t="shared" si="15"/>
        <v>mgravan@crm.otsuka-europe.com</v>
      </c>
      <c r="N234" s="13">
        <v>46210.407129629632</v>
      </c>
      <c r="O234" s="14" t="str">
        <f>HYPERLINK("https://otsuka-europe-crm.veevavault.com/ui/#object/email_activity__v/V8C000000044629", "EN-002102823")</f>
        <v>EN-002102823</v>
      </c>
    </row>
    <row r="235" spans="1:15" ht="32" x14ac:dyDescent="0.2">
      <c r="A235" s="7" t="str">
        <f>HYPERLINK("https://otsuka-europe-crm.veevavault.com/ui/#object/account__v/V4TZ06G6O71T8WI", "ISABEL MARIA MOYA SAEZ")</f>
        <v>ISABEL MARIA MOYA SAEZ</v>
      </c>
      <c r="B235" s="7" t="str">
        <f t="shared" si="12"/>
        <v>ES</v>
      </c>
      <c r="C235" s="8" t="s">
        <v>39</v>
      </c>
      <c r="D235" s="9" t="str">
        <f t="shared" si="13"/>
        <v>AM2M - Material adherencia</v>
      </c>
      <c r="E235" s="10" t="str">
        <f>HYPERLINK("https://otsuka-europe-crm.veevavault.com/ui/#object/sent_email__v/VBL00000002X163", "SE-001437725")</f>
        <v>SE-001437725</v>
      </c>
      <c r="F235" s="11"/>
      <c r="G235" s="12">
        <v>0</v>
      </c>
      <c r="H235" s="12">
        <v>0</v>
      </c>
      <c r="I235" s="12">
        <v>0</v>
      </c>
      <c r="J235" s="11"/>
      <c r="K235" s="12">
        <v>0</v>
      </c>
      <c r="L235" s="10" t="str">
        <f t="shared" si="14"/>
        <v>AM2M - Material adherencia</v>
      </c>
      <c r="M235" s="10" t="str">
        <f t="shared" si="15"/>
        <v>mgravan@crm.otsuka-europe.com</v>
      </c>
      <c r="N235" s="13">
        <v>46210.407118055555</v>
      </c>
      <c r="O235" s="14" t="str">
        <f>HYPERLINK("https://otsuka-europe-crm.veevavault.com/ui/#object/email_activity__v/V8C000000043664", "EN-002102886")</f>
        <v>EN-002102886</v>
      </c>
    </row>
    <row r="236" spans="1:15" ht="16" x14ac:dyDescent="0.2">
      <c r="A236" s="18" t="str">
        <f>HYPERLINK("https://otsuka-europe-crm.veevavault.com/ui/#object/account__v/V4TZ06G6O71T80B", "MARTA FERNANDEZ MONGE")</f>
        <v>MARTA FERNANDEZ MONGE</v>
      </c>
      <c r="B236" s="18" t="str">
        <f t="shared" si="12"/>
        <v>ES</v>
      </c>
      <c r="C236" s="20" t="s">
        <v>39</v>
      </c>
      <c r="D236" s="21" t="str">
        <f t="shared" si="13"/>
        <v>AM2M - Material adherencia</v>
      </c>
      <c r="E236" s="22" t="str">
        <f>HYPERLINK("https://otsuka-europe-crm.veevavault.com/ui/#object/sent_email__v/VBL00000002X164", "SE-001437726")</f>
        <v>SE-001437726</v>
      </c>
      <c r="F236" s="25">
        <v>46210.427997685183</v>
      </c>
      <c r="G236" s="24">
        <v>1</v>
      </c>
      <c r="H236" s="24">
        <v>1</v>
      </c>
      <c r="I236" s="24">
        <v>0</v>
      </c>
      <c r="J236" s="23"/>
      <c r="K236" s="24">
        <v>0</v>
      </c>
      <c r="L236" s="22" t="str">
        <f t="shared" si="14"/>
        <v>AM2M - Material adherencia</v>
      </c>
      <c r="M236" s="22" t="str">
        <f t="shared" si="15"/>
        <v>mgravan@crm.otsuka-europe.com</v>
      </c>
      <c r="N236" s="25">
        <v>46210.407118055555</v>
      </c>
      <c r="O236" s="14" t="str">
        <f>HYPERLINK("https://otsuka-europe-crm.veevavault.com/ui/#object/email_activity__v/V8C000000043624", "EN-002102795")</f>
        <v>EN-002102795</v>
      </c>
    </row>
    <row r="237" spans="1:15" ht="16" x14ac:dyDescent="0.2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14" t="str">
        <f>HYPERLINK("https://otsuka-europe-crm.veevavault.com/ui/#object/email_activity__v/V8C000000043735", "EN-002103006")</f>
        <v>EN-002103006</v>
      </c>
    </row>
    <row r="238" spans="1:15" ht="16" x14ac:dyDescent="0.2">
      <c r="A238" s="19"/>
      <c r="B238" s="19"/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4" t="str">
        <f>HYPERLINK("https://otsuka-europe-crm.veevavault.com/ui/#object/email_activity__v/V8C000000044688", "EN-002102943")</f>
        <v>EN-002102943</v>
      </c>
    </row>
    <row r="239" spans="1:15" ht="16" x14ac:dyDescent="0.2">
      <c r="A239" s="18" t="str">
        <f>HYPERLINK("https://otsuka-europe-crm.veevavault.com/ui/#object/account__v/V4TZ06G6O71UQWT", "MARIA CARMEN RAMOS-GARCIA NETO")</f>
        <v>MARIA CARMEN RAMOS-GARCIA NETO</v>
      </c>
      <c r="B239" s="18" t="str">
        <f>HYPERLINK("https://otsuka-europe-crm.veevavault.com/ui/#object/vcountry__v/VENZ000004SONF5", "ES")</f>
        <v>ES</v>
      </c>
      <c r="C239" s="20" t="s">
        <v>39</v>
      </c>
      <c r="D239" s="21" t="str">
        <f>HYPERLINK("https://otsuka-europe-crm.veevavault.com/ui/#object/approved_document__v/V5O00000000L012", "AM2M - Material adherencia")</f>
        <v>AM2M - Material adherencia</v>
      </c>
      <c r="E239" s="22" t="str">
        <f>HYPERLINK("https://otsuka-europe-crm.veevavault.com/ui/#object/sent_email__v/VBL00000002X165", "SE-001437727")</f>
        <v>SE-001437727</v>
      </c>
      <c r="F239" s="23"/>
      <c r="G239" s="24">
        <v>0</v>
      </c>
      <c r="H239" s="24">
        <v>0</v>
      </c>
      <c r="I239" s="24">
        <v>0</v>
      </c>
      <c r="J239" s="23"/>
      <c r="K239" s="24">
        <v>0</v>
      </c>
      <c r="L239" s="22" t="str">
        <f>HYPERLINK("https://otsuka-europe-crm.veevavault.com/ui/#object/approved_document__v/V5O00000000L012", "AM2M - Material adherencia")</f>
        <v>AM2M - Material adherencia</v>
      </c>
      <c r="M239" s="22" t="str">
        <f>HYPERLINK("mailto:mgravan@crm.otsuka-europe.com", "mgravan@crm.otsuka-europe.com")</f>
        <v>mgravan@crm.otsuka-europe.com</v>
      </c>
      <c r="N239" s="25">
        <v>46210.407118055555</v>
      </c>
      <c r="O239" s="14" t="str">
        <f>HYPERLINK("https://otsuka-europe-crm.veevavault.com/ui/#object/email_activity__v/V8C000000043661", "EN-002102877")</f>
        <v>EN-002102877</v>
      </c>
    </row>
    <row r="240" spans="1:15" ht="16" x14ac:dyDescent="0.2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14" t="str">
        <f>HYPERLINK("https://otsuka-europe-crm.veevavault.com/ui/#object/email_activity__v/V8C000000044687", "EN-002102938")</f>
        <v>EN-002102938</v>
      </c>
    </row>
    <row r="241" spans="1:15" ht="16" x14ac:dyDescent="0.2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14" t="str">
        <f>HYPERLINK("https://otsuka-europe-crm.veevavault.com/ui/#object/email_activity__v/V8C000000044716", "EN-002103007")</f>
        <v>EN-002103007</v>
      </c>
    </row>
    <row r="242" spans="1:15" ht="16" x14ac:dyDescent="0.2">
      <c r="A242" s="19"/>
      <c r="B242" s="19"/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4" t="str">
        <f>HYPERLINK("https://otsuka-europe-crm.veevavault.com/ui/#object/email_activity__v/V8C00000004I130", "EN-002111239")</f>
        <v>EN-002111239</v>
      </c>
    </row>
    <row r="243" spans="1:15" ht="16" x14ac:dyDescent="0.2">
      <c r="A243" s="18" t="str">
        <f>HYPERLINK("https://otsuka-europe-crm.veevavault.com/ui/#object/account__v/V4TZ06G6O71UQRM", "MARIA MEDINA SANCHEZ")</f>
        <v>MARIA MEDINA SANCHEZ</v>
      </c>
      <c r="B243" s="18" t="str">
        <f>HYPERLINK("https://otsuka-europe-crm.veevavault.com/ui/#object/vcountry__v/VENZ000004SONF5", "ES")</f>
        <v>ES</v>
      </c>
      <c r="C243" s="20" t="s">
        <v>39</v>
      </c>
      <c r="D243" s="21" t="str">
        <f>HYPERLINK("https://otsuka-europe-crm.veevavault.com/ui/#object/approved_document__v/V5O00000000L012", "AM2M - Material adherencia")</f>
        <v>AM2M - Material adherencia</v>
      </c>
      <c r="E243" s="22" t="str">
        <f>HYPERLINK("https://otsuka-europe-crm.veevavault.com/ui/#object/sent_email__v/VBL00000002X166", "SE-001437728")</f>
        <v>SE-001437728</v>
      </c>
      <c r="F243" s="25">
        <v>46210.412824074076</v>
      </c>
      <c r="G243" s="24">
        <v>1</v>
      </c>
      <c r="H243" s="24">
        <v>2</v>
      </c>
      <c r="I243" s="24">
        <v>1</v>
      </c>
      <c r="J243" s="25">
        <v>46210.413240740738</v>
      </c>
      <c r="K243" s="24">
        <v>1</v>
      </c>
      <c r="L243" s="22" t="str">
        <f>HYPERLINK("https://otsuka-europe-crm.veevavault.com/ui/#object/approved_document__v/V5O00000000L012", "AM2M - Material adherencia")</f>
        <v>AM2M - Material adherencia</v>
      </c>
      <c r="M243" s="22" t="str">
        <f>HYPERLINK("mailto:mgravan@crm.otsuka-europe.com", "mgravan@crm.otsuka-europe.com")</f>
        <v>mgravan@crm.otsuka-europe.com</v>
      </c>
      <c r="N243" s="25">
        <v>46210.407118055555</v>
      </c>
      <c r="O243" s="14" t="str">
        <f>HYPERLINK("https://otsuka-europe-crm.veevavault.com/ui/#object/email_activity__v/V8C000000043692", "EN-002102926")</f>
        <v>EN-002102926</v>
      </c>
    </row>
    <row r="244" spans="1:15" ht="16" x14ac:dyDescent="0.2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14" t="str">
        <f>HYPERLINK("https://otsuka-europe-crm.veevavault.com/ui/#object/email_activity__v/V8C000000043693", "EN-002102927")</f>
        <v>EN-002102927</v>
      </c>
    </row>
    <row r="245" spans="1:15" ht="16" x14ac:dyDescent="0.2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14" t="str">
        <f>HYPERLINK("https://otsuka-europe-crm.veevavault.com/ui/#object/email_activity__v/V8C000000044668", "EN-002102906")</f>
        <v>EN-002102906</v>
      </c>
    </row>
    <row r="246" spans="1:15" ht="16" x14ac:dyDescent="0.2">
      <c r="A246" s="19"/>
      <c r="B246" s="19"/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4" t="str">
        <f>HYPERLINK("https://otsuka-europe-crm.veevavault.com/ui/#object/email_activity__v/V8C000000044678", "EN-002102925")</f>
        <v>EN-002102925</v>
      </c>
    </row>
    <row r="247" spans="1:15" ht="32" x14ac:dyDescent="0.2">
      <c r="A247" s="7" t="str">
        <f>HYPERLINK("https://otsuka-europe-crm.veevavault.com/ui/#object/account__v/V4TZ06G6O71TBRF", "ROSARIO REGUERA FERNANDEZ")</f>
        <v>ROSARIO REGUERA FERNANDEZ</v>
      </c>
      <c r="B247" s="7" t="str">
        <f>HYPERLINK("https://otsuka-europe-crm.veevavault.com/ui/#object/vcountry__v/VENZ000004SONF5", "ES")</f>
        <v>ES</v>
      </c>
      <c r="C247" s="8" t="s">
        <v>39</v>
      </c>
      <c r="D247" s="9" t="str">
        <f>HYPERLINK("https://otsuka-europe-crm.veevavault.com/ui/#object/approved_document__v/V5O00000000L012", "AM2M - Material adherencia")</f>
        <v>AM2M - Material adherencia</v>
      </c>
      <c r="E247" s="10" t="str">
        <f>HYPERLINK("https://otsuka-europe-crm.veevavault.com/ui/#object/sent_email__v/VBL00000002X167", "SE-001437729")</f>
        <v>SE-001437729</v>
      </c>
      <c r="F247" s="11"/>
      <c r="G247" s="12">
        <v>0</v>
      </c>
      <c r="H247" s="12">
        <v>0</v>
      </c>
      <c r="I247" s="12">
        <v>0</v>
      </c>
      <c r="J247" s="11"/>
      <c r="K247" s="12">
        <v>0</v>
      </c>
      <c r="L247" s="10" t="str">
        <f>HYPERLINK("https://otsuka-europe-crm.veevavault.com/ui/#object/approved_document__v/V5O00000000L012", "AM2M - Material adherencia")</f>
        <v>AM2M - Material adherencia</v>
      </c>
      <c r="M247" s="10" t="str">
        <f>HYPERLINK("mailto:mgravan@crm.otsuka-europe.com", "mgravan@crm.otsuka-europe.com")</f>
        <v>mgravan@crm.otsuka-europe.com</v>
      </c>
      <c r="N247" s="13">
        <v>46210.407118055555</v>
      </c>
      <c r="O247" s="14" t="str">
        <f>HYPERLINK("https://otsuka-europe-crm.veevavault.com/ui/#object/email_activity__v/V8C000000043626", "EN-002102797")</f>
        <v>EN-002102797</v>
      </c>
    </row>
    <row r="248" spans="1:15" ht="16" x14ac:dyDescent="0.2">
      <c r="A248" s="18" t="str">
        <f>HYPERLINK("https://otsuka-europe-crm.veevavault.com/ui/#object/account__v/V4TZ06G6O71TB6B", "CONSOLACION DE MONTAÑA TATO")</f>
        <v>CONSOLACION DE MONTAÑA TATO</v>
      </c>
      <c r="B248" s="18" t="str">
        <f>HYPERLINK("https://otsuka-europe-crm.veevavault.com/ui/#object/vcountry__v/VENZ000004SONF5", "ES")</f>
        <v>ES</v>
      </c>
      <c r="C248" s="20" t="s">
        <v>39</v>
      </c>
      <c r="D248" s="21" t="str">
        <f>HYPERLINK("https://otsuka-europe-crm.veevavault.com/ui/#object/approved_document__v/V5O00000000L012", "AM2M - Material adherencia")</f>
        <v>AM2M - Material adherencia</v>
      </c>
      <c r="E248" s="22" t="str">
        <f>HYPERLINK("https://otsuka-europe-crm.veevavault.com/ui/#object/sent_email__v/VBL00000002X168", "SE-001437730")</f>
        <v>SE-001437730</v>
      </c>
      <c r="F248" s="25">
        <v>46210.647997685184</v>
      </c>
      <c r="G248" s="24">
        <v>1</v>
      </c>
      <c r="H248" s="24">
        <v>3</v>
      </c>
      <c r="I248" s="24">
        <v>0</v>
      </c>
      <c r="J248" s="23"/>
      <c r="K248" s="24">
        <v>0</v>
      </c>
      <c r="L248" s="22" t="str">
        <f>HYPERLINK("https://otsuka-europe-crm.veevavault.com/ui/#object/approved_document__v/V5O00000000L012", "AM2M - Material adherencia")</f>
        <v>AM2M - Material adherencia</v>
      </c>
      <c r="M248" s="22" t="str">
        <f>HYPERLINK("mailto:mgravan@crm.otsuka-europe.com", "mgravan@crm.otsuka-europe.com")</f>
        <v>mgravan@crm.otsuka-europe.com</v>
      </c>
      <c r="N248" s="25">
        <v>46210.407129629632</v>
      </c>
      <c r="O248" s="14" t="str">
        <f>HYPERLINK("https://otsuka-europe-crm.veevavault.com/ui/#object/email_activity__v/V8C000000043757", "EN-002103051")</f>
        <v>EN-002103051</v>
      </c>
    </row>
    <row r="249" spans="1:15" ht="16" x14ac:dyDescent="0.2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14" t="str">
        <f>HYPERLINK("https://otsuka-europe-crm.veevavault.com/ui/#object/email_activity__v/V8C000000043758", "EN-002103052")</f>
        <v>EN-002103052</v>
      </c>
    </row>
    <row r="250" spans="1:15" ht="16" x14ac:dyDescent="0.2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14" t="str">
        <f>HYPERLINK("https://otsuka-europe-crm.veevavault.com/ui/#object/email_activity__v/V8C000000044632", "EN-002102826")</f>
        <v>EN-002102826</v>
      </c>
    </row>
    <row r="251" spans="1:15" ht="16" x14ac:dyDescent="0.2">
      <c r="A251" s="19"/>
      <c r="B251" s="19"/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4" t="str">
        <f>HYPERLINK("https://otsuka-europe-crm.veevavault.com/ui/#object/email_activity__v/V8C000000044686", "EN-002102937")</f>
        <v>EN-002102937</v>
      </c>
    </row>
    <row r="252" spans="1:15" ht="16" x14ac:dyDescent="0.2">
      <c r="A252" s="18" t="str">
        <f>HYPERLINK("https://otsuka-europe-crm.veevavault.com/ui/#object/account__v/V4TZ04ASG76332S", "VALERIA RENDUELES SANTAMARINA")</f>
        <v>VALERIA RENDUELES SANTAMARINA</v>
      </c>
      <c r="B252" s="18" t="str">
        <f>HYPERLINK("https://otsuka-europe-crm.veevavault.com/ui/#object/vcountry__v/VENZ000004SONF5", "ES")</f>
        <v>ES</v>
      </c>
      <c r="C252" s="20" t="s">
        <v>39</v>
      </c>
      <c r="D252" s="21" t="str">
        <f>HYPERLINK("https://otsuka-europe-crm.veevavault.com/ui/#object/approved_document__v/V5O00000000L012", "AM2M - Material adherencia")</f>
        <v>AM2M - Material adherencia</v>
      </c>
      <c r="E252" s="22" t="str">
        <f>HYPERLINK("https://otsuka-europe-crm.veevavault.com/ui/#object/sent_email__v/VBL00000002X169", "SE-001437731")</f>
        <v>SE-001437731</v>
      </c>
      <c r="F252" s="25">
        <v>46210.408263888887</v>
      </c>
      <c r="G252" s="24">
        <v>1</v>
      </c>
      <c r="H252" s="24">
        <v>1</v>
      </c>
      <c r="I252" s="24">
        <v>0</v>
      </c>
      <c r="J252" s="23"/>
      <c r="K252" s="24">
        <v>0</v>
      </c>
      <c r="L252" s="22" t="str">
        <f>HYPERLINK("https://otsuka-europe-crm.veevavault.com/ui/#object/approved_document__v/V5O00000000L012", "AM2M - Material adherencia")</f>
        <v>AM2M - Material adherencia</v>
      </c>
      <c r="M252" s="22" t="str">
        <f>HYPERLINK("mailto:mgravan@crm.otsuka-europe.com", "mgravan@crm.otsuka-europe.com")</f>
        <v>mgravan@crm.otsuka-europe.com</v>
      </c>
      <c r="N252" s="25">
        <v>46210.407118055555</v>
      </c>
      <c r="O252" s="14" t="str">
        <f>HYPERLINK("https://otsuka-europe-crm.veevavault.com/ui/#object/email_activity__v/V8C000000043641", "EN-002102848")</f>
        <v>EN-002102848</v>
      </c>
    </row>
    <row r="253" spans="1:15" ht="16" x14ac:dyDescent="0.2">
      <c r="A253" s="19"/>
      <c r="B253" s="19"/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4" t="str">
        <f>HYPERLINK("https://otsuka-europe-crm.veevavault.com/ui/#object/email_activity__v/V8C000000043688", "EN-002102917")</f>
        <v>EN-002102917</v>
      </c>
    </row>
    <row r="254" spans="1:15" ht="32" x14ac:dyDescent="0.2">
      <c r="A254" s="7" t="str">
        <f>HYPERLINK("https://otsuka-europe-crm.veevavault.com/ui/#object/account__v/V4TZ04ASG9TYCCE", "ISABEL VALRIBERAS HERRERO")</f>
        <v>ISABEL VALRIBERAS HERRERO</v>
      </c>
      <c r="B254" s="7" t="str">
        <f>HYPERLINK("https://otsuka-europe-crm.veevavault.com/ui/#object/vcountry__v/VENZ000004SONF5", "ES")</f>
        <v>ES</v>
      </c>
      <c r="C254" s="8" t="s">
        <v>39</v>
      </c>
      <c r="D254" s="9" t="str">
        <f>HYPERLINK("https://otsuka-europe-crm.veevavault.com/ui/#object/approved_document__v/V5O00000000L012", "AM2M - Material adherencia")</f>
        <v>AM2M - Material adherencia</v>
      </c>
      <c r="E254" s="10" t="str">
        <f>HYPERLINK("https://otsuka-europe-crm.veevavault.com/ui/#object/sent_email__v/VBL00000002X170", "SE-001437732")</f>
        <v>SE-001437732</v>
      </c>
      <c r="F254" s="11"/>
      <c r="G254" s="12">
        <v>0</v>
      </c>
      <c r="H254" s="12">
        <v>0</v>
      </c>
      <c r="I254" s="12">
        <v>0</v>
      </c>
      <c r="J254" s="11"/>
      <c r="K254" s="12">
        <v>0</v>
      </c>
      <c r="L254" s="10" t="str">
        <f>HYPERLINK("https://otsuka-europe-crm.veevavault.com/ui/#object/approved_document__v/V5O00000000L012", "AM2M - Material adherencia")</f>
        <v>AM2M - Material adherencia</v>
      </c>
      <c r="M254" s="10" t="str">
        <f>HYPERLINK("mailto:mgravan@crm.otsuka-europe.com", "mgravan@crm.otsuka-europe.com")</f>
        <v>mgravan@crm.otsuka-europe.com</v>
      </c>
      <c r="N254" s="13">
        <v>46210.407083333332</v>
      </c>
      <c r="O254" s="14" t="str">
        <f>HYPERLINK("https://otsuka-europe-crm.veevavault.com/ui/#object/email_activity__v/V8C000000044661", "EN-002102880")</f>
        <v>EN-002102880</v>
      </c>
    </row>
    <row r="255" spans="1:15" ht="16" x14ac:dyDescent="0.2">
      <c r="A255" s="18" t="str">
        <f>HYPERLINK("https://otsuka-europe-crm.veevavault.com/ui/#object/account__v/V4TZ06G6O71T8JR", "MARIA SUSANA HERRERA CABALLERO")</f>
        <v>MARIA SUSANA HERRERA CABALLERO</v>
      </c>
      <c r="B255" s="18" t="str">
        <f>HYPERLINK("https://otsuka-europe-crm.veevavault.com/ui/#object/vcountry__v/VENZ000004SONF5", "ES")</f>
        <v>ES</v>
      </c>
      <c r="C255" s="20" t="s">
        <v>39</v>
      </c>
      <c r="D255" s="21" t="str">
        <f>HYPERLINK("https://otsuka-europe-crm.veevavault.com/ui/#object/approved_document__v/V5O00000000L012", "AM2M - Material adherencia")</f>
        <v>AM2M - Material adherencia</v>
      </c>
      <c r="E255" s="22" t="str">
        <f>HYPERLINK("https://otsuka-europe-crm.veevavault.com/ui/#object/sent_email__v/VBL00000002X171", "SE-001437733")</f>
        <v>SE-001437733</v>
      </c>
      <c r="F255" s="25">
        <v>46216.687638888892</v>
      </c>
      <c r="G255" s="24">
        <v>1</v>
      </c>
      <c r="H255" s="24">
        <v>1</v>
      </c>
      <c r="I255" s="24">
        <v>0</v>
      </c>
      <c r="J255" s="23"/>
      <c r="K255" s="24">
        <v>0</v>
      </c>
      <c r="L255" s="22" t="str">
        <f>HYPERLINK("https://otsuka-europe-crm.veevavault.com/ui/#object/approved_document__v/V5O00000000L012", "AM2M - Material adherencia")</f>
        <v>AM2M - Material adherencia</v>
      </c>
      <c r="M255" s="22" t="str">
        <f>HYPERLINK("mailto:mgravan@crm.otsuka-europe.com", "mgravan@crm.otsuka-europe.com")</f>
        <v>mgravan@crm.otsuka-europe.com</v>
      </c>
      <c r="N255" s="25">
        <v>46210.407094907408</v>
      </c>
      <c r="O255" s="14" t="str">
        <f>HYPERLINK("https://otsuka-europe-crm.veevavault.com/ui/#object/email_activity__v/V8C000000043637", "EN-002102814")</f>
        <v>EN-002102814</v>
      </c>
    </row>
    <row r="256" spans="1:15" ht="16" x14ac:dyDescent="0.2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14" t="str">
        <f>HYPERLINK("https://otsuka-europe-crm.veevavault.com/ui/#object/email_activity__v/V8C000000043782", "EN-002103091")</f>
        <v>EN-002103091</v>
      </c>
    </row>
    <row r="257" spans="1:15" ht="16" x14ac:dyDescent="0.2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14" t="str">
        <f>HYPERLINK("https://otsuka-europe-crm.veevavault.com/ui/#object/email_activity__v/V8C000000044827", "EN-002103233")</f>
        <v>EN-002103233</v>
      </c>
    </row>
    <row r="258" spans="1:15" ht="16" x14ac:dyDescent="0.2">
      <c r="A258" s="19"/>
      <c r="B258" s="19"/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4" t="str">
        <f>HYPERLINK("https://otsuka-europe-crm.veevavault.com/ui/#object/email_activity__v/V8C000000049411", "EN-002105592")</f>
        <v>EN-002105592</v>
      </c>
    </row>
    <row r="259" spans="1:15" ht="16" x14ac:dyDescent="0.2">
      <c r="A259" s="18" t="str">
        <f>HYPERLINK("https://otsuka-europe-crm.veevavault.com/ui/#object/account__v/V4TZ06G6O71TB7W", "CRISTINA MORENO CORONA")</f>
        <v>CRISTINA MORENO CORONA</v>
      </c>
      <c r="B259" s="18" t="str">
        <f>HYPERLINK("https://otsuka-europe-crm.veevavault.com/ui/#object/vcountry__v/VENZ000004SONF5", "ES")</f>
        <v>ES</v>
      </c>
      <c r="C259" s="20" t="s">
        <v>39</v>
      </c>
      <c r="D259" s="21" t="str">
        <f>HYPERLINK("https://otsuka-europe-crm.veevavault.com/ui/#object/approved_document__v/V5O00000000L012", "AM2M - Material adherencia")</f>
        <v>AM2M - Material adherencia</v>
      </c>
      <c r="E259" s="22" t="str">
        <f>HYPERLINK("https://otsuka-europe-crm.veevavault.com/ui/#object/sent_email__v/VBL00000002X172", "SE-001437734")</f>
        <v>SE-001437734</v>
      </c>
      <c r="F259" s="23"/>
      <c r="G259" s="24">
        <v>0</v>
      </c>
      <c r="H259" s="24">
        <v>0</v>
      </c>
      <c r="I259" s="24">
        <v>0</v>
      </c>
      <c r="J259" s="23"/>
      <c r="K259" s="24">
        <v>0</v>
      </c>
      <c r="L259" s="22" t="str">
        <f>HYPERLINK("https://otsuka-europe-crm.veevavault.com/ui/#object/approved_document__v/V5O00000000L012", "AM2M - Material adherencia")</f>
        <v>AM2M - Material adherencia</v>
      </c>
      <c r="M259" s="22" t="str">
        <f>HYPERLINK("mailto:mgravan@crm.otsuka-europe.com", "mgravan@crm.otsuka-europe.com")</f>
        <v>mgravan@crm.otsuka-europe.com</v>
      </c>
      <c r="N259" s="25">
        <v>46210.407118055555</v>
      </c>
      <c r="O259" s="14" t="str">
        <f>HYPERLINK("https://otsuka-europe-crm.veevavault.com/ui/#object/email_activity__v/V8C000000043620", "EN-002102791")</f>
        <v>EN-002102791</v>
      </c>
    </row>
    <row r="260" spans="1:15" ht="16" x14ac:dyDescent="0.2">
      <c r="A260" s="19"/>
      <c r="B260" s="19"/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4" t="str">
        <f>HYPERLINK("https://otsuka-europe-crm.veevavault.com/ui/#object/email_activity__v/V8C000000043791", "EN-002103107")</f>
        <v>EN-002103107</v>
      </c>
    </row>
    <row r="261" spans="1:15" ht="32" x14ac:dyDescent="0.2">
      <c r="A261" s="7" t="str">
        <f>HYPERLINK("https://otsuka-europe-crm.veevavault.com/ui/#object/account__v/V4TZ06G6O71T87E", "ANA LUISA PEREZ MORENILLA")</f>
        <v>ANA LUISA PEREZ MORENILLA</v>
      </c>
      <c r="B261" s="7" t="str">
        <f>HYPERLINK("https://otsuka-europe-crm.veevavault.com/ui/#object/vcountry__v/VENZ000004SONF5", "ES")</f>
        <v>ES</v>
      </c>
      <c r="C261" s="8" t="s">
        <v>39</v>
      </c>
      <c r="D261" s="9" t="str">
        <f>HYPERLINK("https://otsuka-europe-crm.veevavault.com/ui/#object/approved_document__v/V5O00000000L012", "AM2M - Material adherencia")</f>
        <v>AM2M - Material adherencia</v>
      </c>
      <c r="E261" s="10" t="str">
        <f>HYPERLINK("https://otsuka-europe-crm.veevavault.com/ui/#object/sent_email__v/VBL00000002X173", "SE-001437735")</f>
        <v>SE-001437735</v>
      </c>
      <c r="F261" s="11"/>
      <c r="G261" s="12">
        <v>0</v>
      </c>
      <c r="H261" s="12">
        <v>0</v>
      </c>
      <c r="I261" s="12">
        <v>0</v>
      </c>
      <c r="J261" s="11"/>
      <c r="K261" s="12">
        <v>0</v>
      </c>
      <c r="L261" s="10" t="str">
        <f>HYPERLINK("https://otsuka-europe-crm.veevavault.com/ui/#object/approved_document__v/V5O00000000L012", "AM2M - Material adherencia")</f>
        <v>AM2M - Material adherencia</v>
      </c>
      <c r="M261" s="10" t="str">
        <f>HYPERLINK("mailto:mgravan@crm.otsuka-europe.com", "mgravan@crm.otsuka-europe.com")</f>
        <v>mgravan@crm.otsuka-europe.com</v>
      </c>
      <c r="N261" s="13">
        <v>46210.407118055555</v>
      </c>
      <c r="O261" s="14" t="str">
        <f>HYPERLINK("https://otsuka-europe-crm.veevavault.com/ui/#object/email_activity__v/V8C000000044656", "EN-002102866")</f>
        <v>EN-002102866</v>
      </c>
    </row>
    <row r="262" spans="1:15" ht="16" x14ac:dyDescent="0.2">
      <c r="A262" s="18" t="str">
        <f>HYPERLINK("https://otsuka-europe-crm.veevavault.com/ui/#object/account__v/V4TZ06G6O71T8L0", "CLARA CABALLERO DE LAS OLIVAS DIAZ")</f>
        <v>CLARA CABALLERO DE LAS OLIVAS DIAZ</v>
      </c>
      <c r="B262" s="18" t="str">
        <f>HYPERLINK("https://otsuka-europe-crm.veevavault.com/ui/#object/vcountry__v/VENZ000004SONF5", "ES")</f>
        <v>ES</v>
      </c>
      <c r="C262" s="20" t="s">
        <v>39</v>
      </c>
      <c r="D262" s="21" t="str">
        <f>HYPERLINK("https://otsuka-europe-crm.veevavault.com/ui/#object/approved_document__v/V5O00000000L012", "AM2M - Material adherencia")</f>
        <v>AM2M - Material adherencia</v>
      </c>
      <c r="E262" s="22" t="str">
        <f>HYPERLINK("https://otsuka-europe-crm.veevavault.com/ui/#object/sent_email__v/VBL00000002X174", "SE-001437736")</f>
        <v>SE-001437736</v>
      </c>
      <c r="F262" s="25">
        <v>46210.851284722223</v>
      </c>
      <c r="G262" s="24">
        <v>1</v>
      </c>
      <c r="H262" s="24">
        <v>1</v>
      </c>
      <c r="I262" s="24">
        <v>0</v>
      </c>
      <c r="J262" s="23"/>
      <c r="K262" s="24">
        <v>0</v>
      </c>
      <c r="L262" s="22" t="str">
        <f>HYPERLINK("https://otsuka-europe-crm.veevavault.com/ui/#object/approved_document__v/V5O00000000L012", "AM2M - Material adherencia")</f>
        <v>AM2M - Material adherencia</v>
      </c>
      <c r="M262" s="22" t="str">
        <f>HYPERLINK("mailto:mgravan@crm.otsuka-europe.com", "mgravan@crm.otsuka-europe.com")</f>
        <v>mgravan@crm.otsuka-europe.com</v>
      </c>
      <c r="N262" s="25">
        <v>46210.407083333332</v>
      </c>
      <c r="O262" s="14" t="str">
        <f>HYPERLINK("https://otsuka-europe-crm.veevavault.com/ui/#object/email_activity__v/V8C000000043776", "EN-002103085")</f>
        <v>EN-002103085</v>
      </c>
    </row>
    <row r="263" spans="1:15" ht="16" x14ac:dyDescent="0.2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14" t="str">
        <f>HYPERLINK("https://otsuka-europe-crm.veevavault.com/ui/#object/email_activity__v/V8C000000044642", "EN-002102836")</f>
        <v>EN-002102836</v>
      </c>
    </row>
    <row r="264" spans="1:15" ht="16" x14ac:dyDescent="0.2">
      <c r="A264" s="19"/>
      <c r="B264" s="19"/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4" t="str">
        <f>HYPERLINK("https://otsuka-europe-crm.veevavault.com/ui/#object/email_activity__v/V8C00000004E582", "EN-002109499")</f>
        <v>EN-002109499</v>
      </c>
    </row>
    <row r="265" spans="1:15" ht="32" x14ac:dyDescent="0.2">
      <c r="A265" s="7" t="str">
        <f>HYPERLINK("https://otsuka-europe-crm.veevavault.com/ui/#object/account__v/V4TZ06G6O71T8PY", "ANA ISABEL SALCEDO HERRERA")</f>
        <v>ANA ISABEL SALCEDO HERRERA</v>
      </c>
      <c r="B265" s="7" t="str">
        <f>HYPERLINK("https://otsuka-europe-crm.veevavault.com/ui/#object/vcountry__v/VENZ000004SONF5", "ES")</f>
        <v>ES</v>
      </c>
      <c r="C265" s="8" t="s">
        <v>39</v>
      </c>
      <c r="D265" s="9" t="str">
        <f>HYPERLINK("https://otsuka-europe-crm.veevavault.com/ui/#object/approved_document__v/V5O00000000L012", "AM2M - Material adherencia")</f>
        <v>AM2M - Material adherencia</v>
      </c>
      <c r="E265" s="10" t="str">
        <f>HYPERLINK("https://otsuka-europe-crm.veevavault.com/ui/#object/sent_email__v/VBL00000002X175", "SE-001437737")</f>
        <v>SE-001437737</v>
      </c>
      <c r="F265" s="11"/>
      <c r="G265" s="12">
        <v>0</v>
      </c>
      <c r="H265" s="12">
        <v>0</v>
      </c>
      <c r="I265" s="12">
        <v>0</v>
      </c>
      <c r="J265" s="11"/>
      <c r="K265" s="12">
        <v>0</v>
      </c>
      <c r="L265" s="10" t="str">
        <f>HYPERLINK("https://otsuka-europe-crm.veevavault.com/ui/#object/approved_document__v/V5O00000000L012", "AM2M - Material adherencia")</f>
        <v>AM2M - Material adherencia</v>
      </c>
      <c r="M265" s="10" t="str">
        <f>HYPERLINK("mailto:mgravan@crm.otsuka-europe.com", "mgravan@crm.otsuka-europe.com")</f>
        <v>mgravan@crm.otsuka-europe.com</v>
      </c>
      <c r="N265" s="13">
        <v>46210.407106481478</v>
      </c>
      <c r="O265" s="14" t="str">
        <f>HYPERLINK("https://otsuka-europe-crm.veevavault.com/ui/#object/email_activity__v/V8C000000044640", "EN-002102834")</f>
        <v>EN-002102834</v>
      </c>
    </row>
    <row r="266" spans="1:15" ht="16" x14ac:dyDescent="0.2">
      <c r="A266" s="18" t="str">
        <f>HYPERLINK("https://otsuka-europe-crm.veevavault.com/ui/#object/account__v/V4TZ06G6O71TAPB", "MARIA JOAQUINA LLOREDA MORILLO")</f>
        <v>MARIA JOAQUINA LLOREDA MORILLO</v>
      </c>
      <c r="B266" s="18" t="str">
        <f>HYPERLINK("https://otsuka-europe-crm.veevavault.com/ui/#object/vcountry__v/VENZ000004SONF5", "ES")</f>
        <v>ES</v>
      </c>
      <c r="C266" s="20" t="s">
        <v>39</v>
      </c>
      <c r="D266" s="21" t="str">
        <f>HYPERLINK("https://otsuka-europe-crm.veevavault.com/ui/#object/approved_document__v/V5O00000000L012", "AM2M - Material adherencia")</f>
        <v>AM2M - Material adherencia</v>
      </c>
      <c r="E266" s="22" t="str">
        <f>HYPERLINK("https://otsuka-europe-crm.veevavault.com/ui/#object/sent_email__v/VBL00000002X176", "SE-001437738")</f>
        <v>SE-001437738</v>
      </c>
      <c r="F266" s="25">
        <v>46210.6562037037</v>
      </c>
      <c r="G266" s="24">
        <v>1</v>
      </c>
      <c r="H266" s="24">
        <v>1</v>
      </c>
      <c r="I266" s="24">
        <v>0</v>
      </c>
      <c r="J266" s="23"/>
      <c r="K266" s="24">
        <v>0</v>
      </c>
      <c r="L266" s="22" t="str">
        <f>HYPERLINK("https://otsuka-europe-crm.veevavault.com/ui/#object/approved_document__v/V5O00000000L012", "AM2M - Material adherencia")</f>
        <v>AM2M - Material adherencia</v>
      </c>
      <c r="M266" s="22" t="str">
        <f>HYPERLINK("mailto:mgravan@crm.otsuka-europe.com", "mgravan@crm.otsuka-europe.com")</f>
        <v>mgravan@crm.otsuka-europe.com</v>
      </c>
      <c r="N266" s="25">
        <v>46210.407094907408</v>
      </c>
      <c r="O266" s="14" t="str">
        <f>HYPERLINK("https://otsuka-europe-crm.veevavault.com/ui/#object/email_activity__v/V8C000000043633", "EN-002102810")</f>
        <v>EN-002102810</v>
      </c>
    </row>
    <row r="267" spans="1:15" ht="16" x14ac:dyDescent="0.2">
      <c r="A267" s="19"/>
      <c r="B267" s="19"/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4" t="str">
        <f>HYPERLINK("https://otsuka-europe-crm.veevavault.com/ui/#object/email_activity__v/V8C000000043759", "EN-002103053")</f>
        <v>EN-002103053</v>
      </c>
    </row>
    <row r="268" spans="1:15" ht="32" x14ac:dyDescent="0.2">
      <c r="A268" s="7" t="str">
        <f>HYPERLINK("https://otsuka-europe-crm.veevavault.com/ui/#object/account__v/V4TZ06G6O71TBVI", "IRENE RAMIREZ GUTIERREZ")</f>
        <v>IRENE RAMIREZ GUTIERREZ</v>
      </c>
      <c r="B268" s="7" t="str">
        <f>HYPERLINK("https://otsuka-europe-crm.veevavault.com/ui/#object/vcountry__v/VENZ000004SONF5", "ES")</f>
        <v>ES</v>
      </c>
      <c r="C268" s="8" t="s">
        <v>39</v>
      </c>
      <c r="D268" s="9" t="str">
        <f>HYPERLINK("https://otsuka-europe-crm.veevavault.com/ui/#object/approved_document__v/V5O00000000L012", "AM2M - Material adherencia")</f>
        <v>AM2M - Material adherencia</v>
      </c>
      <c r="E268" s="10" t="str">
        <f>HYPERLINK("https://otsuka-europe-crm.veevavault.com/ui/#object/sent_email__v/VBL00000002X177", "SE-001437739")</f>
        <v>SE-001437739</v>
      </c>
      <c r="F268" s="11"/>
      <c r="G268" s="12">
        <v>0</v>
      </c>
      <c r="H268" s="12">
        <v>0</v>
      </c>
      <c r="I268" s="12">
        <v>0</v>
      </c>
      <c r="J268" s="11"/>
      <c r="K268" s="12">
        <v>0</v>
      </c>
      <c r="L268" s="10" t="str">
        <f>HYPERLINK("https://otsuka-europe-crm.veevavault.com/ui/#object/approved_document__v/V5O00000000L012", "AM2M - Material adherencia")</f>
        <v>AM2M - Material adherencia</v>
      </c>
      <c r="M268" s="10" t="str">
        <f>HYPERLINK("mailto:mgravan@crm.otsuka-europe.com", "mgravan@crm.otsuka-europe.com")</f>
        <v>mgravan@crm.otsuka-europe.com</v>
      </c>
      <c r="N268" s="13">
        <v>46210.407083333332</v>
      </c>
      <c r="O268" s="14" t="str">
        <f>HYPERLINK("https://otsuka-europe-crm.veevavault.com/ui/#object/email_activity__v/V8C000000043621", "EN-002102792")</f>
        <v>EN-002102792</v>
      </c>
    </row>
    <row r="269" spans="1:15" ht="32" x14ac:dyDescent="0.2">
      <c r="A269" s="7" t="str">
        <f>HYPERLINK("https://otsuka-europe-crm.veevavault.com/ui/#object/account__v/V4TZ06G6O71TARP", "MARIA JOSE LOBO LARA")</f>
        <v>MARIA JOSE LOBO LARA</v>
      </c>
      <c r="B269" s="7" t="str">
        <f>HYPERLINK("https://otsuka-europe-crm.veevavault.com/ui/#object/vcountry__v/VENZ000004SONF5", "ES")</f>
        <v>ES</v>
      </c>
      <c r="C269" s="8" t="s">
        <v>39</v>
      </c>
      <c r="D269" s="9" t="str">
        <f>HYPERLINK("https://otsuka-europe-crm.veevavault.com/ui/#object/approved_document__v/V5O00000000L012", "AM2M - Material adherencia")</f>
        <v>AM2M - Material adherencia</v>
      </c>
      <c r="E269" s="10" t="str">
        <f>HYPERLINK("https://otsuka-europe-crm.veevavault.com/ui/#object/sent_email__v/VBL00000002X178", "SE-001437740")</f>
        <v>SE-001437740</v>
      </c>
      <c r="F269" s="11"/>
      <c r="G269" s="12">
        <v>0</v>
      </c>
      <c r="H269" s="12">
        <v>0</v>
      </c>
      <c r="I269" s="12">
        <v>0</v>
      </c>
      <c r="J269" s="11"/>
      <c r="K269" s="12">
        <v>0</v>
      </c>
      <c r="L269" s="10" t="str">
        <f>HYPERLINK("https://otsuka-europe-crm.veevavault.com/ui/#object/approved_document__v/V5O00000000L012", "AM2M - Material adherencia")</f>
        <v>AM2M - Material adherencia</v>
      </c>
      <c r="M269" s="10" t="str">
        <f>HYPERLINK("mailto:mgravan@crm.otsuka-europe.com", "mgravan@crm.otsuka-europe.com")</f>
        <v>mgravan@crm.otsuka-europe.com</v>
      </c>
      <c r="N269" s="13">
        <v>46210.407083333332</v>
      </c>
      <c r="O269" s="14" t="str">
        <f>HYPERLINK("https://otsuka-europe-crm.veevavault.com/ui/#object/email_activity__v/V8C000000044664", "EN-002102883")</f>
        <v>EN-002102883</v>
      </c>
    </row>
    <row r="270" spans="1:15" ht="32" x14ac:dyDescent="0.2">
      <c r="A270" s="7" t="str">
        <f>HYPERLINK("https://otsuka-europe-crm.veevavault.com/ui/#object/account__v/V4TZ025E82G5FVC", "LOURDES GOMEZ PAJUELO")</f>
        <v>LOURDES GOMEZ PAJUELO</v>
      </c>
      <c r="B270" s="7" t="str">
        <f>HYPERLINK("https://otsuka-europe-crm.veevavault.com/ui/#object/vcountry__v/VENZ000004SONF5", "ES")</f>
        <v>ES</v>
      </c>
      <c r="C270" s="8" t="s">
        <v>39</v>
      </c>
      <c r="D270" s="9" t="str">
        <f>HYPERLINK("https://otsuka-europe-crm.veevavault.com/ui/#object/approved_document__v/V5O00000000L012", "AM2M - Material adherencia")</f>
        <v>AM2M - Material adherencia</v>
      </c>
      <c r="E270" s="10" t="str">
        <f>HYPERLINK("https://otsuka-europe-crm.veevavault.com/ui/#object/sent_email__v/VBL00000002X179", "SE-001437741")</f>
        <v>SE-001437741</v>
      </c>
      <c r="F270" s="11"/>
      <c r="G270" s="12">
        <v>0</v>
      </c>
      <c r="H270" s="12">
        <v>0</v>
      </c>
      <c r="I270" s="12">
        <v>0</v>
      </c>
      <c r="J270" s="11"/>
      <c r="K270" s="12">
        <v>0</v>
      </c>
      <c r="L270" s="10" t="str">
        <f>HYPERLINK("https://otsuka-europe-crm.veevavault.com/ui/#object/approved_document__v/V5O00000000L012", "AM2M - Material adherencia")</f>
        <v>AM2M - Material adherencia</v>
      </c>
      <c r="M270" s="10" t="str">
        <f>HYPERLINK("mailto:mgravan@crm.otsuka-europe.com", "mgravan@crm.otsuka-europe.com")</f>
        <v>mgravan@crm.otsuka-europe.com</v>
      </c>
      <c r="N270" s="13">
        <v>46210.407083333332</v>
      </c>
      <c r="O270" s="14" t="str">
        <f>HYPERLINK("https://otsuka-europe-crm.veevavault.com/ui/#object/email_activity__v/V8C000000043614", "EN-002102785")</f>
        <v>EN-002102785</v>
      </c>
    </row>
    <row r="271" spans="1:15" ht="16" x14ac:dyDescent="0.2">
      <c r="A271" s="18" t="str">
        <f>HYPERLINK("https://otsuka-europe-crm.veevavault.com/ui/#object/account__v/V4TZ06G6O71T8L7", "ROCIO MORALES ALVAREZ")</f>
        <v>ROCIO MORALES ALVAREZ</v>
      </c>
      <c r="B271" s="18" t="str">
        <f>HYPERLINK("https://otsuka-europe-crm.veevavault.com/ui/#object/vcountry__v/VENZ000004SONF5", "ES")</f>
        <v>ES</v>
      </c>
      <c r="C271" s="20" t="s">
        <v>39</v>
      </c>
      <c r="D271" s="21" t="str">
        <f>HYPERLINK("https://otsuka-europe-crm.veevavault.com/ui/#object/approved_document__v/V5O00000000L012", "AM2M - Material adherencia")</f>
        <v>AM2M - Material adherencia</v>
      </c>
      <c r="E271" s="22" t="str">
        <f>HYPERLINK("https://otsuka-europe-crm.veevavault.com/ui/#object/sent_email__v/VBL00000002X180", "SE-001437742")</f>
        <v>SE-001437742</v>
      </c>
      <c r="F271" s="23"/>
      <c r="G271" s="24">
        <v>0</v>
      </c>
      <c r="H271" s="24">
        <v>0</v>
      </c>
      <c r="I271" s="24">
        <v>1</v>
      </c>
      <c r="J271" s="25">
        <v>46210.443009259259</v>
      </c>
      <c r="K271" s="24">
        <v>1</v>
      </c>
      <c r="L271" s="22" t="str">
        <f>HYPERLINK("https://otsuka-europe-crm.veevavault.com/ui/#object/approved_document__v/V5O00000000L012", "AM2M - Material adherencia")</f>
        <v>AM2M - Material adherencia</v>
      </c>
      <c r="M271" s="22" t="str">
        <f>HYPERLINK("mailto:mgravan@crm.otsuka-europe.com", "mgravan@crm.otsuka-europe.com")</f>
        <v>mgravan@crm.otsuka-europe.com</v>
      </c>
      <c r="N271" s="25">
        <v>46210.407118055555</v>
      </c>
      <c r="O271" s="14" t="str">
        <f>HYPERLINK("https://otsuka-europe-crm.veevavault.com/ui/#object/email_activity__v/V8C000000043646", "EN-002102853")</f>
        <v>EN-002102853</v>
      </c>
    </row>
    <row r="272" spans="1:15" ht="16" x14ac:dyDescent="0.2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14" t="str">
        <f>HYPERLINK("https://otsuka-europe-crm.veevavault.com/ui/#object/email_activity__v/V8C000000043700", "EN-002102947")</f>
        <v>EN-002102947</v>
      </c>
    </row>
    <row r="273" spans="1:15" ht="16" x14ac:dyDescent="0.2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14" t="str">
        <f>HYPERLINK("https://otsuka-europe-crm.veevavault.com/ui/#object/email_activity__v/V8C000000043701", "EN-002102948")</f>
        <v>EN-002102948</v>
      </c>
    </row>
    <row r="274" spans="1:15" ht="16" x14ac:dyDescent="0.2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14" t="str">
        <f>HYPERLINK("https://otsuka-europe-crm.veevavault.com/ui/#object/email_activity__v/V8C000000044692", "EN-002102949")</f>
        <v>EN-002102949</v>
      </c>
    </row>
    <row r="275" spans="1:15" ht="16" x14ac:dyDescent="0.2">
      <c r="A275" s="19"/>
      <c r="B275" s="19"/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4" t="str">
        <f>HYPERLINK("https://otsuka-europe-crm.veevavault.com/ui/#object/email_activity__v/V8C000000049030", "EN-002104928")</f>
        <v>EN-002104928</v>
      </c>
    </row>
    <row r="276" spans="1:15" ht="16" x14ac:dyDescent="0.2">
      <c r="A276" s="18" t="str">
        <f>HYPERLINK("https://otsuka-europe-crm.veevavault.com/ui/#object/account__v/V4TZ06G6OBULSNO", "MARIA ANGELES MARTINEZ MARTINEZ")</f>
        <v>MARIA ANGELES MARTINEZ MARTINEZ</v>
      </c>
      <c r="B276" s="18" t="str">
        <f>HYPERLINK("https://otsuka-europe-crm.veevavault.com/ui/#object/vcountry__v/VENZ000004SONF5", "ES")</f>
        <v>ES</v>
      </c>
      <c r="C276" s="20" t="s">
        <v>39</v>
      </c>
      <c r="D276" s="21" t="str">
        <f>HYPERLINK("https://otsuka-europe-crm.veevavault.com/ui/#object/approved_document__v/V5O00000000L012", "AM2M - Material adherencia")</f>
        <v>AM2M - Material adherencia</v>
      </c>
      <c r="E276" s="22" t="str">
        <f>HYPERLINK("https://otsuka-europe-crm.veevavault.com/ui/#object/sent_email__v/VBL00000002X181", "SE-001437743")</f>
        <v>SE-001437743</v>
      </c>
      <c r="F276" s="23"/>
      <c r="G276" s="24">
        <v>0</v>
      </c>
      <c r="H276" s="24">
        <v>0</v>
      </c>
      <c r="I276" s="24">
        <v>0</v>
      </c>
      <c r="J276" s="23"/>
      <c r="K276" s="24">
        <v>0</v>
      </c>
      <c r="L276" s="22" t="str">
        <f>HYPERLINK("https://otsuka-europe-crm.veevavault.com/ui/#object/approved_document__v/V5O00000000L012", "AM2M - Material adherencia")</f>
        <v>AM2M - Material adherencia</v>
      </c>
      <c r="M276" s="22" t="str">
        <f>HYPERLINK("mailto:mgravan@crm.otsuka-europe.com", "mgravan@crm.otsuka-europe.com")</f>
        <v>mgravan@crm.otsuka-europe.com</v>
      </c>
      <c r="N276" s="25">
        <v>46210.407118055555</v>
      </c>
      <c r="O276" s="14" t="str">
        <f>HYPERLINK("https://otsuka-europe-crm.veevavault.com/ui/#object/email_activity__v/V8C000000044646", "EN-002102840")</f>
        <v>EN-002102840</v>
      </c>
    </row>
    <row r="277" spans="1:15" ht="16" x14ac:dyDescent="0.2">
      <c r="A277" s="19"/>
      <c r="B277" s="19"/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4" t="str">
        <f>HYPERLINK("https://otsuka-europe-crm.veevavault.com/ui/#object/email_activity__v/V8C000000044762", "EN-002103108")</f>
        <v>EN-002103108</v>
      </c>
    </row>
    <row r="278" spans="1:15" ht="32" x14ac:dyDescent="0.2">
      <c r="A278" s="7" t="str">
        <f>HYPERLINK("https://otsuka-europe-crm.veevavault.com/ui/#object/account__v/V4TZ06G6O71T80X", "CECILIA HERNANDEZ GONZALEZ")</f>
        <v>CECILIA HERNANDEZ GONZALEZ</v>
      </c>
      <c r="B278" s="7" t="str">
        <f>HYPERLINK("https://otsuka-europe-crm.veevavault.com/ui/#object/vcountry__v/VENZ000004SONF5", "ES")</f>
        <v>ES</v>
      </c>
      <c r="C278" s="8" t="s">
        <v>39</v>
      </c>
      <c r="D278" s="9" t="str">
        <f>HYPERLINK("https://otsuka-europe-crm.veevavault.com/ui/#object/approved_document__v/V5O00000000L012", "AM2M - Material adherencia")</f>
        <v>AM2M - Material adherencia</v>
      </c>
      <c r="E278" s="10" t="str">
        <f>HYPERLINK("https://otsuka-europe-crm.veevavault.com/ui/#object/sent_email__v/VBL00000002X182", "SE-001437744")</f>
        <v>SE-001437744</v>
      </c>
      <c r="F278" s="11"/>
      <c r="G278" s="12">
        <v>0</v>
      </c>
      <c r="H278" s="12">
        <v>0</v>
      </c>
      <c r="I278" s="12">
        <v>0</v>
      </c>
      <c r="J278" s="11"/>
      <c r="K278" s="12">
        <v>0</v>
      </c>
      <c r="L278" s="10" t="str">
        <f>HYPERLINK("https://otsuka-europe-crm.veevavault.com/ui/#object/approved_document__v/V5O00000000L012", "AM2M - Material adherencia")</f>
        <v>AM2M - Material adherencia</v>
      </c>
      <c r="M278" s="10" t="str">
        <f>HYPERLINK("mailto:mgravan@crm.otsuka-europe.com", "mgravan@crm.otsuka-europe.com")</f>
        <v>mgravan@crm.otsuka-europe.com</v>
      </c>
      <c r="N278" s="13">
        <v>46210.407118055555</v>
      </c>
      <c r="O278" s="14" t="str">
        <f>HYPERLINK("https://otsuka-europe-crm.veevavault.com/ui/#object/email_activity__v/V8C000000044643", "EN-002102837")</f>
        <v>EN-002102837</v>
      </c>
    </row>
    <row r="279" spans="1:15" ht="16" x14ac:dyDescent="0.2">
      <c r="A279" s="18" t="str">
        <f>HYPERLINK("https://otsuka-europe-crm.veevavault.com/ui/#object/account__v/V4TZ06G6O71T7GS", "CARMEN FERNANDEZ GONZALEZ")</f>
        <v>CARMEN FERNANDEZ GONZALEZ</v>
      </c>
      <c r="B279" s="18" t="str">
        <f>HYPERLINK("https://otsuka-europe-crm.veevavault.com/ui/#object/vcountry__v/VENZ000004SONF5", "ES")</f>
        <v>ES</v>
      </c>
      <c r="C279" s="20" t="s">
        <v>39</v>
      </c>
      <c r="D279" s="21" t="str">
        <f>HYPERLINK("https://otsuka-europe-crm.veevavault.com/ui/#object/approved_document__v/V5O00000000L012", "AM2M - Material adherencia")</f>
        <v>AM2M - Material adherencia</v>
      </c>
      <c r="E279" s="22" t="str">
        <f>HYPERLINK("https://otsuka-europe-crm.veevavault.com/ui/#object/sent_email__v/VBL00000002X183", "SE-001437745")</f>
        <v>SE-001437745</v>
      </c>
      <c r="F279" s="23"/>
      <c r="G279" s="24">
        <v>0</v>
      </c>
      <c r="H279" s="24">
        <v>0</v>
      </c>
      <c r="I279" s="24">
        <v>0</v>
      </c>
      <c r="J279" s="23"/>
      <c r="K279" s="24">
        <v>0</v>
      </c>
      <c r="L279" s="22" t="str">
        <f>HYPERLINK("https://otsuka-europe-crm.veevavault.com/ui/#object/approved_document__v/V5O00000000L012", "AM2M - Material adherencia")</f>
        <v>AM2M - Material adherencia</v>
      </c>
      <c r="M279" s="22" t="str">
        <f>HYPERLINK("mailto:mgravan@crm.otsuka-europe.com", "mgravan@crm.otsuka-europe.com")</f>
        <v>mgravan@crm.otsuka-europe.com</v>
      </c>
      <c r="N279" s="25">
        <v>46210.407118055555</v>
      </c>
      <c r="O279" s="14" t="str">
        <f>HYPERLINK("https://otsuka-europe-crm.veevavault.com/ui/#object/email_activity__v/V8C000000043802", "EN-002103129")</f>
        <v>EN-002103129</v>
      </c>
    </row>
    <row r="280" spans="1:15" ht="16" x14ac:dyDescent="0.2">
      <c r="A280" s="19"/>
      <c r="B280" s="19"/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4" t="str">
        <f>HYPERLINK("https://otsuka-europe-crm.veevavault.com/ui/#object/email_activity__v/V8C000000044655", "EN-002102865")</f>
        <v>EN-002102865</v>
      </c>
    </row>
    <row r="281" spans="1:15" ht="32" x14ac:dyDescent="0.2">
      <c r="A281" s="7" t="str">
        <f>HYPERLINK("https://otsuka-europe-crm.veevavault.com/ui/#object/account__v/V4TZ06G6O71UQS4", "CRISTINA RUSSO DEL RIO")</f>
        <v>CRISTINA RUSSO DEL RIO</v>
      </c>
      <c r="B281" s="7" t="str">
        <f>HYPERLINK("https://otsuka-europe-crm.veevavault.com/ui/#object/vcountry__v/VENZ000004SONF5", "ES")</f>
        <v>ES</v>
      </c>
      <c r="C281" s="8" t="s">
        <v>39</v>
      </c>
      <c r="D281" s="9" t="str">
        <f>HYPERLINK("https://otsuka-europe-crm.veevavault.com/ui/#object/approved_document__v/V5O00000000L012", "AM2M - Material adherencia")</f>
        <v>AM2M - Material adherencia</v>
      </c>
      <c r="E281" s="10" t="str">
        <f>HYPERLINK("https://otsuka-europe-crm.veevavault.com/ui/#object/sent_email__v/VBL00000002X184", "SE-001437746")</f>
        <v>SE-001437746</v>
      </c>
      <c r="F281" s="11"/>
      <c r="G281" s="12">
        <v>0</v>
      </c>
      <c r="H281" s="12">
        <v>0</v>
      </c>
      <c r="I281" s="12">
        <v>0</v>
      </c>
      <c r="J281" s="11"/>
      <c r="K281" s="12">
        <v>0</v>
      </c>
      <c r="L281" s="10" t="str">
        <f>HYPERLINK("https://otsuka-europe-crm.veevavault.com/ui/#object/approved_document__v/V5O00000000L012", "AM2M - Material adherencia")</f>
        <v>AM2M - Material adherencia</v>
      </c>
      <c r="M281" s="10" t="str">
        <f>HYPERLINK("mailto:mgravan@crm.otsuka-europe.com", "mgravan@crm.otsuka-europe.com")</f>
        <v>mgravan@crm.otsuka-europe.com</v>
      </c>
      <c r="N281" s="13">
        <v>46210.407118055555</v>
      </c>
      <c r="O281" s="14" t="str">
        <f>HYPERLINK("https://otsuka-europe-crm.veevavault.com/ui/#object/email_activity__v/V8C000000044653", "EN-002102863")</f>
        <v>EN-002102863</v>
      </c>
    </row>
    <row r="282" spans="1:15" ht="16" x14ac:dyDescent="0.2">
      <c r="A282" s="18" t="str">
        <f>HYPERLINK("https://otsuka-europe-crm.veevavault.com/ui/#object/account__v/V4TZ06G6OC6KISW", "PALOMA JUNCOSA MONTES")</f>
        <v>PALOMA JUNCOSA MONTES</v>
      </c>
      <c r="B282" s="18" t="str">
        <f>HYPERLINK("https://otsuka-europe-crm.veevavault.com/ui/#object/vcountry__v/VENZ000004SONF5", "ES")</f>
        <v>ES</v>
      </c>
      <c r="C282" s="20" t="s">
        <v>39</v>
      </c>
      <c r="D282" s="21" t="str">
        <f>HYPERLINK("https://otsuka-europe-crm.veevavault.com/ui/#object/approved_document__v/V5O00000000L012", "AM2M - Material adherencia")</f>
        <v>AM2M - Material adherencia</v>
      </c>
      <c r="E282" s="22" t="str">
        <f>HYPERLINK("https://otsuka-europe-crm.veevavault.com/ui/#object/sent_email__v/VBL00000002X185", "SE-001437747")</f>
        <v>SE-001437747</v>
      </c>
      <c r="F282" s="25">
        <v>46210.414594907408</v>
      </c>
      <c r="G282" s="24">
        <v>1</v>
      </c>
      <c r="H282" s="24">
        <v>1</v>
      </c>
      <c r="I282" s="24">
        <v>0</v>
      </c>
      <c r="J282" s="23"/>
      <c r="K282" s="24">
        <v>0</v>
      </c>
      <c r="L282" s="22" t="str">
        <f>HYPERLINK("https://otsuka-europe-crm.veevavault.com/ui/#object/approved_document__v/V5O00000000L012", "AM2M - Material adherencia")</f>
        <v>AM2M - Material adherencia</v>
      </c>
      <c r="M282" s="22" t="str">
        <f>HYPERLINK("mailto:mgravan@crm.otsuka-europe.com", "mgravan@crm.otsuka-europe.com")</f>
        <v>mgravan@crm.otsuka-europe.com</v>
      </c>
      <c r="N282" s="25">
        <v>46210.407118055555</v>
      </c>
      <c r="O282" s="14" t="str">
        <f>HYPERLINK("https://otsuka-europe-crm.veevavault.com/ui/#object/email_activity__v/V8C000000043628", "EN-002102799")</f>
        <v>EN-002102799</v>
      </c>
    </row>
    <row r="283" spans="1:15" ht="16" x14ac:dyDescent="0.2">
      <c r="A283" s="19"/>
      <c r="B283" s="19"/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4" t="str">
        <f>HYPERLINK("https://otsuka-europe-crm.veevavault.com/ui/#object/email_activity__v/V8C000000043695", "EN-002102935")</f>
        <v>EN-002102935</v>
      </c>
    </row>
    <row r="284" spans="1:15" ht="32" x14ac:dyDescent="0.2">
      <c r="A284" s="7" t="str">
        <f>HYPERLINK("https://otsuka-europe-crm.veevavault.com/ui/#object/account__v/V4TZ06G6O71TB9L", "CARMEN MORALES GOMEZ")</f>
        <v>CARMEN MORALES GOMEZ</v>
      </c>
      <c r="B284" s="7" t="str">
        <f t="shared" ref="B284:B289" si="16">HYPERLINK("https://otsuka-europe-crm.veevavault.com/ui/#object/vcountry__v/VENZ000004SONF5", "ES")</f>
        <v>ES</v>
      </c>
      <c r="C284" s="8" t="s">
        <v>39</v>
      </c>
      <c r="D284" s="9" t="str">
        <f t="shared" ref="D284:D289" si="17">HYPERLINK("https://otsuka-europe-crm.veevavault.com/ui/#object/approved_document__v/V5O00000000L012", "AM2M - Material adherencia")</f>
        <v>AM2M - Material adherencia</v>
      </c>
      <c r="E284" s="10" t="str">
        <f>HYPERLINK("https://otsuka-europe-crm.veevavault.com/ui/#object/sent_email__v/VBL00000002X186", "SE-001437748")</f>
        <v>SE-001437748</v>
      </c>
      <c r="F284" s="11"/>
      <c r="G284" s="12">
        <v>0</v>
      </c>
      <c r="H284" s="12">
        <v>0</v>
      </c>
      <c r="I284" s="12">
        <v>0</v>
      </c>
      <c r="J284" s="11"/>
      <c r="K284" s="12">
        <v>0</v>
      </c>
      <c r="L284" s="10" t="str">
        <f t="shared" ref="L284:L289" si="18">HYPERLINK("https://otsuka-europe-crm.veevavault.com/ui/#object/approved_document__v/V5O00000000L012", "AM2M - Material adherencia")</f>
        <v>AM2M - Material adherencia</v>
      </c>
      <c r="M284" s="10" t="str">
        <f t="shared" ref="M284:M289" si="19">HYPERLINK("mailto:mgravan@crm.otsuka-europe.com", "mgravan@crm.otsuka-europe.com")</f>
        <v>mgravan@crm.otsuka-europe.com</v>
      </c>
      <c r="N284" s="13">
        <v>46210.407118055555</v>
      </c>
      <c r="O284" s="14" t="str">
        <f>HYPERLINK("https://otsuka-europe-crm.veevavault.com/ui/#object/email_activity__v/V8C000000044670", "EN-002102908")</f>
        <v>EN-002102908</v>
      </c>
    </row>
    <row r="285" spans="1:15" ht="32" x14ac:dyDescent="0.2">
      <c r="A285" s="7" t="str">
        <f>HYPERLINK("https://otsuka-europe-crm.veevavault.com/ui/#object/account__v/V4TZ06G6O71T9PF", "MAGDALENA CARMEN DIAZ DE LOS REYES")</f>
        <v>MAGDALENA CARMEN DIAZ DE LOS REYES</v>
      </c>
      <c r="B285" s="7" t="str">
        <f t="shared" si="16"/>
        <v>ES</v>
      </c>
      <c r="C285" s="8" t="s">
        <v>39</v>
      </c>
      <c r="D285" s="9" t="str">
        <f t="shared" si="17"/>
        <v>AM2M - Material adherencia</v>
      </c>
      <c r="E285" s="10" t="str">
        <f>HYPERLINK("https://otsuka-europe-crm.veevavault.com/ui/#object/sent_email__v/VBL00000002X187", "SE-001437749")</f>
        <v>SE-001437749</v>
      </c>
      <c r="F285" s="11"/>
      <c r="G285" s="12">
        <v>0</v>
      </c>
      <c r="H285" s="12">
        <v>0</v>
      </c>
      <c r="I285" s="12">
        <v>0</v>
      </c>
      <c r="J285" s="11"/>
      <c r="K285" s="12">
        <v>0</v>
      </c>
      <c r="L285" s="10" t="str">
        <f t="shared" si="18"/>
        <v>AM2M - Material adherencia</v>
      </c>
      <c r="M285" s="10" t="str">
        <f t="shared" si="19"/>
        <v>mgravan@crm.otsuka-europe.com</v>
      </c>
      <c r="N285" s="13">
        <v>46210.407118055555</v>
      </c>
      <c r="O285" s="14" t="str">
        <f>HYPERLINK("https://otsuka-europe-crm.veevavault.com/ui/#object/email_activity__v/V8C000000043684", "EN-002102912")</f>
        <v>EN-002102912</v>
      </c>
    </row>
    <row r="286" spans="1:15" ht="32" x14ac:dyDescent="0.2">
      <c r="A286" s="7" t="str">
        <f>HYPERLINK("https://otsuka-europe-crm.veevavault.com/ui/#object/account__v/V4TZ06G6O71TA7R", "EVA GONZALEZ RIOS")</f>
        <v>EVA GONZALEZ RIOS</v>
      </c>
      <c r="B286" s="7" t="str">
        <f t="shared" si="16"/>
        <v>ES</v>
      </c>
      <c r="C286" s="8" t="s">
        <v>39</v>
      </c>
      <c r="D286" s="9" t="str">
        <f t="shared" si="17"/>
        <v>AM2M - Material adherencia</v>
      </c>
      <c r="E286" s="10" t="str">
        <f>HYPERLINK("https://otsuka-europe-crm.veevavault.com/ui/#object/sent_email__v/VBL00000002X188", "SE-001437750")</f>
        <v>SE-001437750</v>
      </c>
      <c r="F286" s="11"/>
      <c r="G286" s="12">
        <v>0</v>
      </c>
      <c r="H286" s="12">
        <v>0</v>
      </c>
      <c r="I286" s="12">
        <v>0</v>
      </c>
      <c r="J286" s="11"/>
      <c r="K286" s="12">
        <v>0</v>
      </c>
      <c r="L286" s="10" t="str">
        <f t="shared" si="18"/>
        <v>AM2M - Material adherencia</v>
      </c>
      <c r="M286" s="10" t="str">
        <f t="shared" si="19"/>
        <v>mgravan@crm.otsuka-europe.com</v>
      </c>
      <c r="N286" s="13">
        <v>46210.407129629632</v>
      </c>
      <c r="O286" s="14" t="str">
        <f>HYPERLINK("https://otsuka-europe-crm.veevavault.com/ui/#object/email_activity__v/V8C000000044622", "EN-002102816")</f>
        <v>EN-002102816</v>
      </c>
    </row>
    <row r="287" spans="1:15" ht="32" x14ac:dyDescent="0.2">
      <c r="A287" s="7" t="str">
        <f>HYPERLINK("https://otsuka-europe-crm.veevavault.com/ui/#object/account__v/V4TZ06G6O71T7LQ", "GLORIA MARIN ALBA")</f>
        <v>GLORIA MARIN ALBA</v>
      </c>
      <c r="B287" s="7" t="str">
        <f t="shared" si="16"/>
        <v>ES</v>
      </c>
      <c r="C287" s="8" t="s">
        <v>39</v>
      </c>
      <c r="D287" s="9" t="str">
        <f t="shared" si="17"/>
        <v>AM2M - Material adherencia</v>
      </c>
      <c r="E287" s="10" t="str">
        <f>HYPERLINK("https://otsuka-europe-crm.veevavault.com/ui/#object/sent_email__v/VBL00000002X189", "SE-001437751")</f>
        <v>SE-001437751</v>
      </c>
      <c r="F287" s="11"/>
      <c r="G287" s="12">
        <v>0</v>
      </c>
      <c r="H287" s="12">
        <v>0</v>
      </c>
      <c r="I287" s="12">
        <v>0</v>
      </c>
      <c r="J287" s="11"/>
      <c r="K287" s="12">
        <v>0</v>
      </c>
      <c r="L287" s="10" t="str">
        <f t="shared" si="18"/>
        <v>AM2M - Material adherencia</v>
      </c>
      <c r="M287" s="10" t="str">
        <f t="shared" si="19"/>
        <v>mgravan@crm.otsuka-europe.com</v>
      </c>
      <c r="N287" s="13">
        <v>46210.407118055555</v>
      </c>
      <c r="O287" s="14" t="str">
        <f>HYPERLINK("https://otsuka-europe-crm.veevavault.com/ui/#object/email_activity__v/V8C000000043640", "EN-002102847")</f>
        <v>EN-002102847</v>
      </c>
    </row>
    <row r="288" spans="1:15" ht="32" x14ac:dyDescent="0.2">
      <c r="A288" s="7" t="str">
        <f>HYPERLINK("https://otsuka-europe-crm.veevavault.com/ui/#object/account__v/V4TZ06G6OCEP3V5", "CARMEN MANZORRO CARRILLO")</f>
        <v>CARMEN MANZORRO CARRILLO</v>
      </c>
      <c r="B288" s="7" t="str">
        <f t="shared" si="16"/>
        <v>ES</v>
      </c>
      <c r="C288" s="8" t="s">
        <v>39</v>
      </c>
      <c r="D288" s="9" t="str">
        <f t="shared" si="17"/>
        <v>AM2M - Material adherencia</v>
      </c>
      <c r="E288" s="10" t="str">
        <f>HYPERLINK("https://otsuka-europe-crm.veevavault.com/ui/#object/sent_email__v/VBL00000002X190", "SE-001437752")</f>
        <v>SE-001437752</v>
      </c>
      <c r="F288" s="11"/>
      <c r="G288" s="12">
        <v>0</v>
      </c>
      <c r="H288" s="12">
        <v>0</v>
      </c>
      <c r="I288" s="12">
        <v>0</v>
      </c>
      <c r="J288" s="11"/>
      <c r="K288" s="12">
        <v>0</v>
      </c>
      <c r="L288" s="10" t="str">
        <f t="shared" si="18"/>
        <v>AM2M - Material adherencia</v>
      </c>
      <c r="M288" s="10" t="str">
        <f t="shared" si="19"/>
        <v>mgravan@crm.otsuka-europe.com</v>
      </c>
      <c r="N288" s="13">
        <v>46210.407083333332</v>
      </c>
      <c r="O288" s="14" t="str">
        <f>HYPERLINK("https://otsuka-europe-crm.veevavault.com/ui/#object/email_activity__v/V8C000000043613", "EN-002102784")</f>
        <v>EN-002102784</v>
      </c>
    </row>
    <row r="289" spans="1:15" ht="16" x14ac:dyDescent="0.2">
      <c r="A289" s="18" t="str">
        <f>HYPERLINK("https://otsuka-europe-crm.veevavault.com/ui/#object/account__v/V4TZ06G6O7W3VV1", "LUCIA PACHECO MUÑOZ")</f>
        <v>LUCIA PACHECO MUÑOZ</v>
      </c>
      <c r="B289" s="18" t="str">
        <f t="shared" si="16"/>
        <v>ES</v>
      </c>
      <c r="C289" s="20" t="s">
        <v>39</v>
      </c>
      <c r="D289" s="21" t="str">
        <f t="shared" si="17"/>
        <v>AM2M - Material adherencia</v>
      </c>
      <c r="E289" s="22" t="str">
        <f>HYPERLINK("https://otsuka-europe-crm.veevavault.com/ui/#object/sent_email__v/VBL00000002X191", "SE-001437753")</f>
        <v>SE-001437753</v>
      </c>
      <c r="F289" s="23"/>
      <c r="G289" s="24">
        <v>0</v>
      </c>
      <c r="H289" s="24">
        <v>0</v>
      </c>
      <c r="I289" s="24">
        <v>0</v>
      </c>
      <c r="J289" s="23"/>
      <c r="K289" s="24">
        <v>0</v>
      </c>
      <c r="L289" s="22" t="str">
        <f t="shared" si="18"/>
        <v>AM2M - Material adherencia</v>
      </c>
      <c r="M289" s="22" t="str">
        <f t="shared" si="19"/>
        <v>mgravan@crm.otsuka-europe.com</v>
      </c>
      <c r="N289" s="25">
        <v>46210.407106481478</v>
      </c>
      <c r="O289" s="14" t="str">
        <f>HYPERLINK("https://otsuka-europe-crm.veevavault.com/ui/#object/email_activity__v/V8C000000044639", "EN-002102833")</f>
        <v>EN-002102833</v>
      </c>
    </row>
    <row r="290" spans="1:15" ht="16" x14ac:dyDescent="0.2">
      <c r="A290" s="19"/>
      <c r="B290" s="19"/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4" t="str">
        <f>HYPERLINK("https://otsuka-europe-crm.veevavault.com/ui/#object/email_activity__v/V8C000000044814", "EN-002103206")</f>
        <v>EN-002103206</v>
      </c>
    </row>
    <row r="291" spans="1:15" ht="32" x14ac:dyDescent="0.2">
      <c r="A291" s="7" t="str">
        <f>HYPERLINK("https://otsuka-europe-crm.veevavault.com/ui/#object/account__v/V4TZ06G6O71T7J7", "MARIA PILAR CASALLO CALDERON")</f>
        <v>MARIA PILAR CASALLO CALDERON</v>
      </c>
      <c r="B291" s="7" t="str">
        <f t="shared" ref="B291:B297" si="20">HYPERLINK("https://otsuka-europe-crm.veevavault.com/ui/#object/vcountry__v/VENZ000004SONF5", "ES")</f>
        <v>ES</v>
      </c>
      <c r="C291" s="8" t="s">
        <v>39</v>
      </c>
      <c r="D291" s="9" t="str">
        <f t="shared" ref="D291:D297" si="21">HYPERLINK("https://otsuka-europe-crm.veevavault.com/ui/#object/approved_document__v/V5O00000000L012", "AM2M - Material adherencia")</f>
        <v>AM2M - Material adherencia</v>
      </c>
      <c r="E291" s="10" t="str">
        <f>HYPERLINK("https://otsuka-europe-crm.veevavault.com/ui/#object/sent_email__v/VBL00000002X192", "SE-001437754")</f>
        <v>SE-001437754</v>
      </c>
      <c r="F291" s="11"/>
      <c r="G291" s="12">
        <v>0</v>
      </c>
      <c r="H291" s="12">
        <v>0</v>
      </c>
      <c r="I291" s="12">
        <v>0</v>
      </c>
      <c r="J291" s="11"/>
      <c r="K291" s="12">
        <v>0</v>
      </c>
      <c r="L291" s="10" t="str">
        <f t="shared" ref="L291:L297" si="22">HYPERLINK("https://otsuka-europe-crm.veevavault.com/ui/#object/approved_document__v/V5O00000000L012", "AM2M - Material adherencia")</f>
        <v>AM2M - Material adherencia</v>
      </c>
      <c r="M291" s="10" t="str">
        <f t="shared" ref="M291:M297" si="23">HYPERLINK("mailto:mgravan@crm.otsuka-europe.com", "mgravan@crm.otsuka-europe.com")</f>
        <v>mgravan@crm.otsuka-europe.com</v>
      </c>
      <c r="N291" s="13">
        <v>46210.407083333332</v>
      </c>
      <c r="O291" s="14" t="str">
        <f>HYPERLINK("https://otsuka-europe-crm.veevavault.com/ui/#object/email_activity__v/V8C000000043657", "EN-002102873")</f>
        <v>EN-002102873</v>
      </c>
    </row>
    <row r="292" spans="1:15" ht="32" x14ac:dyDescent="0.2">
      <c r="A292" s="7" t="str">
        <f>HYPERLINK("https://otsuka-europe-crm.veevavault.com/ui/#object/account__v/V4TZ06G6O71UQRW", "LETICIA IRENE MUÑOZ MANCHADO")</f>
        <v>LETICIA IRENE MUÑOZ MANCHADO</v>
      </c>
      <c r="B292" s="7" t="str">
        <f t="shared" si="20"/>
        <v>ES</v>
      </c>
      <c r="C292" s="8" t="s">
        <v>39</v>
      </c>
      <c r="D292" s="9" t="str">
        <f t="shared" si="21"/>
        <v>AM2M - Material adherencia</v>
      </c>
      <c r="E292" s="10" t="str">
        <f>HYPERLINK("https://otsuka-europe-crm.veevavault.com/ui/#object/sent_email__v/VBL00000002X193", "SE-001437755")</f>
        <v>SE-001437755</v>
      </c>
      <c r="F292" s="11"/>
      <c r="G292" s="12">
        <v>0</v>
      </c>
      <c r="H292" s="12">
        <v>0</v>
      </c>
      <c r="I292" s="12">
        <v>0</v>
      </c>
      <c r="J292" s="11"/>
      <c r="K292" s="12">
        <v>0</v>
      </c>
      <c r="L292" s="10" t="str">
        <f t="shared" si="22"/>
        <v>AM2M - Material adherencia</v>
      </c>
      <c r="M292" s="10" t="str">
        <f t="shared" si="23"/>
        <v>mgravan@crm.otsuka-europe.com</v>
      </c>
      <c r="N292" s="13">
        <v>46210.407083333332</v>
      </c>
      <c r="O292" s="14" t="str">
        <f>HYPERLINK("https://otsuka-europe-crm.veevavault.com/ui/#object/email_activity__v/V8C000000043623", "EN-002102794")</f>
        <v>EN-002102794</v>
      </c>
    </row>
    <row r="293" spans="1:15" ht="32" x14ac:dyDescent="0.2">
      <c r="A293" s="7" t="str">
        <f>HYPERLINK("https://otsuka-europe-crm.veevavault.com/ui/#object/account__v/V4TZ06G6O71TBES", "CARMEN NAVARRO REPISO")</f>
        <v>CARMEN NAVARRO REPISO</v>
      </c>
      <c r="B293" s="7" t="str">
        <f t="shared" si="20"/>
        <v>ES</v>
      </c>
      <c r="C293" s="8" t="s">
        <v>39</v>
      </c>
      <c r="D293" s="9" t="str">
        <f t="shared" si="21"/>
        <v>AM2M - Material adherencia</v>
      </c>
      <c r="E293" s="10" t="str">
        <f>HYPERLINK("https://otsuka-europe-crm.veevavault.com/ui/#object/sent_email__v/VBL00000002X194", "SE-001437756")</f>
        <v>SE-001437756</v>
      </c>
      <c r="F293" s="11"/>
      <c r="G293" s="12">
        <v>0</v>
      </c>
      <c r="H293" s="12">
        <v>0</v>
      </c>
      <c r="I293" s="12">
        <v>0</v>
      </c>
      <c r="J293" s="11"/>
      <c r="K293" s="12">
        <v>0</v>
      </c>
      <c r="L293" s="10" t="str">
        <f t="shared" si="22"/>
        <v>AM2M - Material adherencia</v>
      </c>
      <c r="M293" s="10" t="str">
        <f t="shared" si="23"/>
        <v>mgravan@crm.otsuka-europe.com</v>
      </c>
      <c r="N293" s="13">
        <v>46210.407083333332</v>
      </c>
      <c r="O293" s="14" t="str">
        <f>HYPERLINK("https://otsuka-europe-crm.veevavault.com/ui/#object/email_activity__v/V8C000000043671", "EN-002102893")</f>
        <v>EN-002102893</v>
      </c>
    </row>
    <row r="294" spans="1:15" ht="32" x14ac:dyDescent="0.2">
      <c r="A294" s="7" t="str">
        <f>HYPERLINK("https://otsuka-europe-crm.veevavault.com/ui/#object/account__v/V4TZ06G6O71T8P9", "JOSE MATEO PACHECO PEREZ")</f>
        <v>JOSE MATEO PACHECO PEREZ</v>
      </c>
      <c r="B294" s="7" t="str">
        <f t="shared" si="20"/>
        <v>ES</v>
      </c>
      <c r="C294" s="8" t="s">
        <v>39</v>
      </c>
      <c r="D294" s="9" t="str">
        <f t="shared" si="21"/>
        <v>AM2M - Material adherencia</v>
      </c>
      <c r="E294" s="10" t="str">
        <f>HYPERLINK("https://otsuka-europe-crm.veevavault.com/ui/#object/sent_email__v/VBL00000002X195", "SE-001437757")</f>
        <v>SE-001437757</v>
      </c>
      <c r="F294" s="11"/>
      <c r="G294" s="12">
        <v>0</v>
      </c>
      <c r="H294" s="12">
        <v>0</v>
      </c>
      <c r="I294" s="12">
        <v>0</v>
      </c>
      <c r="J294" s="11"/>
      <c r="K294" s="12">
        <v>0</v>
      </c>
      <c r="L294" s="10" t="str">
        <f t="shared" si="22"/>
        <v>AM2M - Material adherencia</v>
      </c>
      <c r="M294" s="10" t="str">
        <f t="shared" si="23"/>
        <v>mgravan@crm.otsuka-europe.com</v>
      </c>
      <c r="N294" s="13">
        <v>46210.407094907408</v>
      </c>
      <c r="O294" s="14" t="str">
        <f>HYPERLINK("https://otsuka-europe-crm.veevavault.com/ui/#object/email_activity__v/V8C000000043634", "EN-002102811")</f>
        <v>EN-002102811</v>
      </c>
    </row>
    <row r="295" spans="1:15" ht="32" x14ac:dyDescent="0.2">
      <c r="A295" s="7" t="str">
        <f>HYPERLINK("https://otsuka-europe-crm.veevavault.com/ui/#object/account__v/V4TZ06G6O71T9FU", "PEDRO FERNANDO CAMPO GUERRAS")</f>
        <v>PEDRO FERNANDO CAMPO GUERRAS</v>
      </c>
      <c r="B295" s="7" t="str">
        <f t="shared" si="20"/>
        <v>ES</v>
      </c>
      <c r="C295" s="8" t="s">
        <v>39</v>
      </c>
      <c r="D295" s="9" t="str">
        <f t="shared" si="21"/>
        <v>AM2M - Material adherencia</v>
      </c>
      <c r="E295" s="10" t="str">
        <f>HYPERLINK("https://otsuka-europe-crm.veevavault.com/ui/#object/sent_email__v/VBL00000002X196", "SE-001437758")</f>
        <v>SE-001437758</v>
      </c>
      <c r="F295" s="11"/>
      <c r="G295" s="12">
        <v>0</v>
      </c>
      <c r="H295" s="12">
        <v>0</v>
      </c>
      <c r="I295" s="12">
        <v>0</v>
      </c>
      <c r="J295" s="11"/>
      <c r="K295" s="12">
        <v>0</v>
      </c>
      <c r="L295" s="10" t="str">
        <f t="shared" si="22"/>
        <v>AM2M - Material adherencia</v>
      </c>
      <c r="M295" s="10" t="str">
        <f t="shared" si="23"/>
        <v>mgravan@crm.otsuka-europe.com</v>
      </c>
      <c r="N295" s="13">
        <v>46210.407094907408</v>
      </c>
      <c r="O295" s="14" t="str">
        <f>HYPERLINK("https://otsuka-europe-crm.veevavault.com/ui/#object/email_activity__v/V8C000000044636", "EN-002102830")</f>
        <v>EN-002102830</v>
      </c>
    </row>
    <row r="296" spans="1:15" ht="32" x14ac:dyDescent="0.2">
      <c r="A296" s="7" t="str">
        <f>HYPERLINK("https://otsuka-europe-crm.veevavault.com/ui/#object/account__v/V4TZ06G6O71TA1J", "JUAN CARLOS FERNANDEZ MALDONADO")</f>
        <v>JUAN CARLOS FERNANDEZ MALDONADO</v>
      </c>
      <c r="B296" s="7" t="str">
        <f t="shared" si="20"/>
        <v>ES</v>
      </c>
      <c r="C296" s="8" t="s">
        <v>39</v>
      </c>
      <c r="D296" s="9" t="str">
        <f t="shared" si="21"/>
        <v>AM2M - Material adherencia</v>
      </c>
      <c r="E296" s="10" t="str">
        <f>HYPERLINK("https://otsuka-europe-crm.veevavault.com/ui/#object/sent_email__v/VBL00000002X197", "SE-001437759")</f>
        <v>SE-001437759</v>
      </c>
      <c r="F296" s="11"/>
      <c r="G296" s="12">
        <v>0</v>
      </c>
      <c r="H296" s="12">
        <v>0</v>
      </c>
      <c r="I296" s="12">
        <v>0</v>
      </c>
      <c r="J296" s="11"/>
      <c r="K296" s="12">
        <v>0</v>
      </c>
      <c r="L296" s="10" t="str">
        <f t="shared" si="22"/>
        <v>AM2M - Material adherencia</v>
      </c>
      <c r="M296" s="10" t="str">
        <f t="shared" si="23"/>
        <v>mgravan@crm.otsuka-europe.com</v>
      </c>
      <c r="N296" s="13">
        <v>46210.407083333332</v>
      </c>
      <c r="O296" s="14" t="str">
        <f>HYPERLINK("https://otsuka-europe-crm.veevavault.com/ui/#object/email_activity__v/V8C000000043619", "EN-002102790")</f>
        <v>EN-002102790</v>
      </c>
    </row>
    <row r="297" spans="1:15" ht="16" x14ac:dyDescent="0.2">
      <c r="A297" s="18" t="str">
        <f>HYPERLINK("https://otsuka-europe-crm.veevavault.com/ui/#object/account__v/V4TZ06G6O71TCEU", "EULALIO JUAN VALMISA GOMEZ DE LARA")</f>
        <v>EULALIO JUAN VALMISA GOMEZ DE LARA</v>
      </c>
      <c r="B297" s="18" t="str">
        <f t="shared" si="20"/>
        <v>ES</v>
      </c>
      <c r="C297" s="20" t="s">
        <v>39</v>
      </c>
      <c r="D297" s="21" t="str">
        <f t="shared" si="21"/>
        <v>AM2M - Material adherencia</v>
      </c>
      <c r="E297" s="22" t="str">
        <f>HYPERLINK("https://otsuka-europe-crm.veevavault.com/ui/#object/sent_email__v/VBL00000002X198", "SE-001437760")</f>
        <v>SE-001437760</v>
      </c>
      <c r="F297" s="25">
        <v>46210.407199074078</v>
      </c>
      <c r="G297" s="24">
        <v>1</v>
      </c>
      <c r="H297" s="24">
        <v>1</v>
      </c>
      <c r="I297" s="24">
        <v>0</v>
      </c>
      <c r="J297" s="23"/>
      <c r="K297" s="24">
        <v>0</v>
      </c>
      <c r="L297" s="22" t="str">
        <f t="shared" si="22"/>
        <v>AM2M - Material adherencia</v>
      </c>
      <c r="M297" s="22" t="str">
        <f t="shared" si="23"/>
        <v>mgravan@crm.otsuka-europe.com</v>
      </c>
      <c r="N297" s="25">
        <v>46210.407083333332</v>
      </c>
      <c r="O297" s="14" t="str">
        <f>HYPERLINK("https://otsuka-europe-crm.veevavault.com/ui/#object/email_activity__v/V8C000000043651", "EN-002102858")</f>
        <v>EN-002102858</v>
      </c>
    </row>
    <row r="298" spans="1:15" ht="16" x14ac:dyDescent="0.2">
      <c r="A298" s="19"/>
      <c r="B298" s="19"/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4" t="str">
        <f>HYPERLINK("https://otsuka-europe-crm.veevavault.com/ui/#object/email_activity__v/V8C000000043670", "EN-002102892")</f>
        <v>EN-002102892</v>
      </c>
    </row>
    <row r="299" spans="1:15" ht="16" x14ac:dyDescent="0.2">
      <c r="A299" s="18" t="str">
        <f>HYPERLINK("https://otsuka-europe-crm.veevavault.com/ui/#object/account__v/V4TZ06G6O71TASV", "JAVIER LOPEZ LAINEZ")</f>
        <v>JAVIER LOPEZ LAINEZ</v>
      </c>
      <c r="B299" s="18" t="str">
        <f>HYPERLINK("https://otsuka-europe-crm.veevavault.com/ui/#object/vcountry__v/VENZ000004SONF5", "ES")</f>
        <v>ES</v>
      </c>
      <c r="C299" s="20" t="s">
        <v>39</v>
      </c>
      <c r="D299" s="21" t="str">
        <f>HYPERLINK("https://otsuka-europe-crm.veevavault.com/ui/#object/approved_document__v/V5O00000000L012", "AM2M - Material adherencia")</f>
        <v>AM2M - Material adherencia</v>
      </c>
      <c r="E299" s="22" t="str">
        <f>HYPERLINK("https://otsuka-europe-crm.veevavault.com/ui/#object/sent_email__v/VBL00000002X199", "SE-001437761")</f>
        <v>SE-001437761</v>
      </c>
      <c r="F299" s="25">
        <v>46210.416238425925</v>
      </c>
      <c r="G299" s="24">
        <v>1</v>
      </c>
      <c r="H299" s="24">
        <v>1</v>
      </c>
      <c r="I299" s="24">
        <v>0</v>
      </c>
      <c r="J299" s="23"/>
      <c r="K299" s="24">
        <v>0</v>
      </c>
      <c r="L299" s="22" t="str">
        <f>HYPERLINK("https://otsuka-europe-crm.veevavault.com/ui/#object/approved_document__v/V5O00000000L012", "AM2M - Material adherencia")</f>
        <v>AM2M - Material adherencia</v>
      </c>
      <c r="M299" s="22" t="str">
        <f>HYPERLINK("mailto:mgravan@crm.otsuka-europe.com", "mgravan@crm.otsuka-europe.com")</f>
        <v>mgravan@crm.otsuka-europe.com</v>
      </c>
      <c r="N299" s="25">
        <v>46210.407083333332</v>
      </c>
      <c r="O299" s="14" t="str">
        <f>HYPERLINK("https://otsuka-europe-crm.veevavault.com/ui/#object/email_activity__v/V8C000000043666", "EN-002102888")</f>
        <v>EN-002102888</v>
      </c>
    </row>
    <row r="300" spans="1:15" ht="16" x14ac:dyDescent="0.2">
      <c r="A300" s="19"/>
      <c r="B300" s="19"/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4" t="str">
        <f>HYPERLINK("https://otsuka-europe-crm.veevavault.com/ui/#object/email_activity__v/V8C000000044685", "EN-002102936")</f>
        <v>EN-002102936</v>
      </c>
    </row>
    <row r="301" spans="1:15" ht="32" x14ac:dyDescent="0.2">
      <c r="A301" s="7" t="str">
        <f>HYPERLINK("https://otsuka-europe-crm.veevavault.com/ui/#object/account__v/V4TZ06G6O71T9D8", "AMALIO BUENO HEREDIA")</f>
        <v>AMALIO BUENO HEREDIA</v>
      </c>
      <c r="B301" s="7" t="str">
        <f>HYPERLINK("https://otsuka-europe-crm.veevavault.com/ui/#object/vcountry__v/VENZ000004SONF5", "ES")</f>
        <v>ES</v>
      </c>
      <c r="C301" s="8" t="s">
        <v>39</v>
      </c>
      <c r="D301" s="9" t="str">
        <f>HYPERLINK("https://otsuka-europe-crm.veevavault.com/ui/#object/approved_document__v/V5O00000000L012", "AM2M - Material adherencia")</f>
        <v>AM2M - Material adherencia</v>
      </c>
      <c r="E301" s="10" t="str">
        <f>HYPERLINK("https://otsuka-europe-crm.veevavault.com/ui/#object/sent_email__v/VBL00000002X200", "SE-001437762")</f>
        <v>SE-001437762</v>
      </c>
      <c r="F301" s="11"/>
      <c r="G301" s="12">
        <v>0</v>
      </c>
      <c r="H301" s="12">
        <v>0</v>
      </c>
      <c r="I301" s="12">
        <v>0</v>
      </c>
      <c r="J301" s="11"/>
      <c r="K301" s="12">
        <v>0</v>
      </c>
      <c r="L301" s="10" t="str">
        <f>HYPERLINK("https://otsuka-europe-crm.veevavault.com/ui/#object/approved_document__v/V5O00000000L012", "AM2M - Material adherencia")</f>
        <v>AM2M - Material adherencia</v>
      </c>
      <c r="M301" s="10" t="str">
        <f>HYPERLINK("mailto:mgravan@crm.otsuka-europe.com", "mgravan@crm.otsuka-europe.com")</f>
        <v>mgravan@crm.otsuka-europe.com</v>
      </c>
      <c r="N301" s="13">
        <v>46210.407118055555</v>
      </c>
      <c r="O301" s="14" t="str">
        <f>HYPERLINK("https://otsuka-europe-crm.veevavault.com/ui/#object/email_activity__v/V8C000000043679", "EN-002102901")</f>
        <v>EN-002102901</v>
      </c>
    </row>
    <row r="302" spans="1:15" ht="16" x14ac:dyDescent="0.2">
      <c r="A302" s="18" t="str">
        <f>HYPERLINK("https://otsuka-europe-crm.veevavault.com/ui/#object/account__v/V4TZ06G6O71TBIW", "JOSE MANUEL PEREA SAENZ")</f>
        <v>JOSE MANUEL PEREA SAENZ</v>
      </c>
      <c r="B302" s="18" t="str">
        <f>HYPERLINK("https://otsuka-europe-crm.veevavault.com/ui/#object/vcountry__v/VENZ000004SONF5", "ES")</f>
        <v>ES</v>
      </c>
      <c r="C302" s="20" t="s">
        <v>39</v>
      </c>
      <c r="D302" s="21" t="str">
        <f>HYPERLINK("https://otsuka-europe-crm.veevavault.com/ui/#object/approved_document__v/V5O00000000L012", "AM2M - Material adherencia")</f>
        <v>AM2M - Material adherencia</v>
      </c>
      <c r="E302" s="22" t="str">
        <f>HYPERLINK("https://otsuka-europe-crm.veevavault.com/ui/#object/sent_email__v/VBL00000002X201", "SE-001437763")</f>
        <v>SE-001437763</v>
      </c>
      <c r="F302" s="25">
        <v>46210.997523148151</v>
      </c>
      <c r="G302" s="24">
        <v>1</v>
      </c>
      <c r="H302" s="24">
        <v>1</v>
      </c>
      <c r="I302" s="24">
        <v>0</v>
      </c>
      <c r="J302" s="23"/>
      <c r="K302" s="24">
        <v>0</v>
      </c>
      <c r="L302" s="22" t="str">
        <f>HYPERLINK("https://otsuka-europe-crm.veevavault.com/ui/#object/approved_document__v/V5O00000000L012", "AM2M - Material adherencia")</f>
        <v>AM2M - Material adherencia</v>
      </c>
      <c r="M302" s="22" t="str">
        <f>HYPERLINK("mailto:mgravan@crm.otsuka-europe.com", "mgravan@crm.otsuka-europe.com")</f>
        <v>mgravan@crm.otsuka-europe.com</v>
      </c>
      <c r="N302" s="25">
        <v>46210.407118055555</v>
      </c>
      <c r="O302" s="14" t="str">
        <f>HYPERLINK("https://otsuka-europe-crm.veevavault.com/ui/#object/email_activity__v/V8C000000043659", "EN-002102875")</f>
        <v>EN-002102875</v>
      </c>
    </row>
    <row r="303" spans="1:15" ht="16" x14ac:dyDescent="0.2">
      <c r="A303" s="19"/>
      <c r="B303" s="19"/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4" t="str">
        <f>HYPERLINK("https://otsuka-europe-crm.veevavault.com/ui/#object/email_activity__v/V8C000000043799", "EN-002103124")</f>
        <v>EN-002103124</v>
      </c>
    </row>
    <row r="304" spans="1:15" ht="32" x14ac:dyDescent="0.2">
      <c r="A304" s="7" t="str">
        <f>HYPERLINK("https://otsuka-europe-crm.veevavault.com/ui/#object/account__v/V4TZ06G6O71TBIA", "FERNANDO ORTEGA BOZA")</f>
        <v>FERNANDO ORTEGA BOZA</v>
      </c>
      <c r="B304" s="7" t="str">
        <f>HYPERLINK("https://otsuka-europe-crm.veevavault.com/ui/#object/vcountry__v/VENZ000004SONF5", "ES")</f>
        <v>ES</v>
      </c>
      <c r="C304" s="8" t="s">
        <v>39</v>
      </c>
      <c r="D304" s="9" t="str">
        <f>HYPERLINK("https://otsuka-europe-crm.veevavault.com/ui/#object/approved_document__v/V5O00000000L012", "AM2M - Material adherencia")</f>
        <v>AM2M - Material adherencia</v>
      </c>
      <c r="E304" s="10" t="str">
        <f>HYPERLINK("https://otsuka-europe-crm.veevavault.com/ui/#object/sent_email__v/VBL00000002X202", "SE-001437764")</f>
        <v>SE-001437764</v>
      </c>
      <c r="F304" s="11"/>
      <c r="G304" s="12">
        <v>0</v>
      </c>
      <c r="H304" s="12">
        <v>0</v>
      </c>
      <c r="I304" s="12">
        <v>0</v>
      </c>
      <c r="J304" s="11"/>
      <c r="K304" s="12">
        <v>0</v>
      </c>
      <c r="L304" s="10" t="str">
        <f>HYPERLINK("https://otsuka-europe-crm.veevavault.com/ui/#object/approved_document__v/V5O00000000L012", "AM2M - Material adherencia")</f>
        <v>AM2M - Material adherencia</v>
      </c>
      <c r="M304" s="10" t="str">
        <f>HYPERLINK("mailto:mgravan@crm.otsuka-europe.com", "mgravan@crm.otsuka-europe.com")</f>
        <v>mgravan@crm.otsuka-europe.com</v>
      </c>
      <c r="N304" s="13">
        <v>46210.407118055555</v>
      </c>
      <c r="O304" s="14" t="str">
        <f>HYPERLINK("https://otsuka-europe-crm.veevavault.com/ui/#object/email_activity__v/V8C000000043680", "EN-002102902")</f>
        <v>EN-002102902</v>
      </c>
    </row>
    <row r="305" spans="1:15" ht="16" x14ac:dyDescent="0.2">
      <c r="A305" s="18" t="str">
        <f>HYPERLINK("https://otsuka-europe-crm.veevavault.com/ui/#object/account__v/V4TZ06G6O71T95K", "FRANCISCO JOSE ALVARADO VAZQUEZ")</f>
        <v>FRANCISCO JOSE ALVARADO VAZQUEZ</v>
      </c>
      <c r="B305" s="18" t="str">
        <f>HYPERLINK("https://otsuka-europe-crm.veevavault.com/ui/#object/vcountry__v/VENZ000004SONF5", "ES")</f>
        <v>ES</v>
      </c>
      <c r="C305" s="20" t="s">
        <v>39</v>
      </c>
      <c r="D305" s="21" t="str">
        <f>HYPERLINK("https://otsuka-europe-crm.veevavault.com/ui/#object/approved_document__v/V5O00000000L012", "AM2M - Material adherencia")</f>
        <v>AM2M - Material adherencia</v>
      </c>
      <c r="E305" s="22" t="str">
        <f>HYPERLINK("https://otsuka-europe-crm.veevavault.com/ui/#object/sent_email__v/VBL00000002X203", "SE-001437765")</f>
        <v>SE-001437765</v>
      </c>
      <c r="F305" s="23"/>
      <c r="G305" s="24">
        <v>0</v>
      </c>
      <c r="H305" s="24">
        <v>0</v>
      </c>
      <c r="I305" s="24">
        <v>0</v>
      </c>
      <c r="J305" s="23"/>
      <c r="K305" s="24">
        <v>0</v>
      </c>
      <c r="L305" s="22" t="str">
        <f>HYPERLINK("https://otsuka-europe-crm.veevavault.com/ui/#object/approved_document__v/V5O00000000L012", "AM2M - Material adherencia")</f>
        <v>AM2M - Material adherencia</v>
      </c>
      <c r="M305" s="22" t="str">
        <f>HYPERLINK("mailto:mgravan@crm.otsuka-europe.com", "mgravan@crm.otsuka-europe.com")</f>
        <v>mgravan@crm.otsuka-europe.com</v>
      </c>
      <c r="N305" s="25">
        <v>46210.407118055555</v>
      </c>
      <c r="O305" s="14" t="str">
        <f>HYPERLINK("https://otsuka-europe-crm.veevavault.com/ui/#object/email_activity__v/V8C000000043763", "EN-002103062")</f>
        <v>EN-002103062</v>
      </c>
    </row>
    <row r="306" spans="1:15" ht="16" x14ac:dyDescent="0.2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14" t="str">
        <f>HYPERLINK("https://otsuka-europe-crm.veevavault.com/ui/#object/email_activity__v/V8C000000044645", "EN-002102839")</f>
        <v>EN-002102839</v>
      </c>
    </row>
    <row r="307" spans="1:15" ht="16" x14ac:dyDescent="0.2">
      <c r="A307" s="19"/>
      <c r="B307" s="19"/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4" t="str">
        <f>HYPERLINK("https://otsuka-europe-crm.veevavault.com/ui/#object/email_activity__v/V8C000000044709", "EN-002102978")</f>
        <v>EN-002102978</v>
      </c>
    </row>
    <row r="308" spans="1:15" ht="32" x14ac:dyDescent="0.2">
      <c r="A308" s="7" t="str">
        <f>HYPERLINK("https://otsuka-europe-crm.veevavault.com/ui/#object/account__v/V4TZ06G6O7W54JO", "IVAN MARTINEZ MOLINA")</f>
        <v>IVAN MARTINEZ MOLINA</v>
      </c>
      <c r="B308" s="7" t="str">
        <f>HYPERLINK("https://otsuka-europe-crm.veevavault.com/ui/#object/vcountry__v/VENZ000004SONF5", "ES")</f>
        <v>ES</v>
      </c>
      <c r="C308" s="8" t="s">
        <v>39</v>
      </c>
      <c r="D308" s="9" t="str">
        <f>HYPERLINK("https://otsuka-europe-crm.veevavault.com/ui/#object/approved_document__v/V5O00000000L012", "AM2M - Material adherencia")</f>
        <v>AM2M - Material adherencia</v>
      </c>
      <c r="E308" s="10" t="str">
        <f>HYPERLINK("https://otsuka-europe-crm.veevavault.com/ui/#object/sent_email__v/VBL00000002X204", "SE-001437766")</f>
        <v>SE-001437766</v>
      </c>
      <c r="F308" s="11"/>
      <c r="G308" s="12">
        <v>0</v>
      </c>
      <c r="H308" s="12">
        <v>0</v>
      </c>
      <c r="I308" s="12">
        <v>0</v>
      </c>
      <c r="J308" s="11"/>
      <c r="K308" s="12">
        <v>0</v>
      </c>
      <c r="L308" s="10" t="str">
        <f>HYPERLINK("https://otsuka-europe-crm.veevavault.com/ui/#object/approved_document__v/V5O00000000L012", "AM2M - Material adherencia")</f>
        <v>AM2M - Material adherencia</v>
      </c>
      <c r="M308" s="10" t="str">
        <f>HYPERLINK("mailto:mgravan@crm.otsuka-europe.com", "mgravan@crm.otsuka-europe.com")</f>
        <v>mgravan@crm.otsuka-europe.com</v>
      </c>
      <c r="N308" s="13">
        <v>46210.407083333332</v>
      </c>
      <c r="O308" s="14" t="str">
        <f>HYPERLINK("https://otsuka-europe-crm.veevavault.com/ui/#object/email_activity__v/V8C000000043622", "EN-002102793")</f>
        <v>EN-002102793</v>
      </c>
    </row>
    <row r="309" spans="1:15" ht="16" x14ac:dyDescent="0.2">
      <c r="A309" s="18" t="str">
        <f>HYPERLINK("https://otsuka-europe-crm.veevavault.com/ui/#object/account__v/V4TZ06G6O71T9YV", "JORGE MIGUEL GARCIA TELLEZ")</f>
        <v>JORGE MIGUEL GARCIA TELLEZ</v>
      </c>
      <c r="B309" s="18" t="str">
        <f>HYPERLINK("https://otsuka-europe-crm.veevavault.com/ui/#object/vcountry__v/VENZ000004SONF5", "ES")</f>
        <v>ES</v>
      </c>
      <c r="C309" s="20" t="s">
        <v>39</v>
      </c>
      <c r="D309" s="21" t="str">
        <f>HYPERLINK("https://otsuka-europe-crm.veevavault.com/ui/#object/approved_document__v/V5O00000000L012", "AM2M - Material adherencia")</f>
        <v>AM2M - Material adherencia</v>
      </c>
      <c r="E309" s="22" t="str">
        <f>HYPERLINK("https://otsuka-europe-crm.veevavault.com/ui/#object/sent_email__v/VBL00000002X205", "SE-001437767")</f>
        <v>SE-001437767</v>
      </c>
      <c r="F309" s="25">
        <v>46210.508634259262</v>
      </c>
      <c r="G309" s="24">
        <v>1</v>
      </c>
      <c r="H309" s="24">
        <v>1</v>
      </c>
      <c r="I309" s="24">
        <v>0</v>
      </c>
      <c r="J309" s="23"/>
      <c r="K309" s="24">
        <v>0</v>
      </c>
      <c r="L309" s="22" t="str">
        <f>HYPERLINK("https://otsuka-europe-crm.veevavault.com/ui/#object/approved_document__v/V5O00000000L012", "AM2M - Material adherencia")</f>
        <v>AM2M - Material adherencia</v>
      </c>
      <c r="M309" s="22" t="str">
        <f>HYPERLINK("mailto:mgravan@crm.otsuka-europe.com", "mgravan@crm.otsuka-europe.com")</f>
        <v>mgravan@crm.otsuka-europe.com</v>
      </c>
      <c r="N309" s="25">
        <v>46210.407094907408</v>
      </c>
      <c r="O309" s="14" t="str">
        <f>HYPERLINK("https://otsuka-europe-crm.veevavault.com/ui/#object/email_activity__v/V8C000000044637", "EN-002102831")</f>
        <v>EN-002102831</v>
      </c>
    </row>
    <row r="310" spans="1:15" ht="16" x14ac:dyDescent="0.2">
      <c r="A310" s="19"/>
      <c r="B310" s="19"/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4" t="str">
        <f>HYPERLINK("https://otsuka-europe-crm.veevavault.com/ui/#object/email_activity__v/V8C000000044706", "EN-002102975")</f>
        <v>EN-002102975</v>
      </c>
    </row>
    <row r="311" spans="1:15" ht="32" x14ac:dyDescent="0.2">
      <c r="A311" s="7" t="str">
        <f>HYPERLINK("https://otsuka-europe-crm.veevavault.com/ui/#object/account__v/V4T00000001P073", "JUAN PABLO GONZALEZ BRICEÑO")</f>
        <v>JUAN PABLO GONZALEZ BRICEÑO</v>
      </c>
      <c r="B311" s="7" t="str">
        <f>HYPERLINK("https://otsuka-europe-crm.veevavault.com/ui/#object/vcountry__v/VENZ000004SONF5", "ES")</f>
        <v>ES</v>
      </c>
      <c r="C311" s="8" t="s">
        <v>39</v>
      </c>
      <c r="D311" s="9" t="str">
        <f>HYPERLINK("https://otsuka-europe-crm.veevavault.com/ui/#object/approved_document__v/V5O00000000L012", "AM2M - Material adherencia")</f>
        <v>AM2M - Material adherencia</v>
      </c>
      <c r="E311" s="10" t="str">
        <f>HYPERLINK("https://otsuka-europe-crm.veevavault.com/ui/#object/sent_email__v/VBL00000002X206", "SE-001437768")</f>
        <v>SE-001437768</v>
      </c>
      <c r="F311" s="11"/>
      <c r="G311" s="12">
        <v>0</v>
      </c>
      <c r="H311" s="12">
        <v>0</v>
      </c>
      <c r="I311" s="12">
        <v>0</v>
      </c>
      <c r="J311" s="11"/>
      <c r="K311" s="12">
        <v>0</v>
      </c>
      <c r="L311" s="10" t="str">
        <f>HYPERLINK("https://otsuka-europe-crm.veevavault.com/ui/#object/approved_document__v/V5O00000000L012", "AM2M - Material adherencia")</f>
        <v>AM2M - Material adherencia</v>
      </c>
      <c r="M311" s="10" t="str">
        <f>HYPERLINK("mailto:mgravan@crm.otsuka-europe.com", "mgravan@crm.otsuka-europe.com")</f>
        <v>mgravan@crm.otsuka-europe.com</v>
      </c>
      <c r="N311" s="13">
        <v>46210.407129629632</v>
      </c>
      <c r="O311" s="14" t="str">
        <f>HYPERLINK("https://otsuka-europe-crm.veevavault.com/ui/#object/email_activity__v/V8C000000044617", "EN-002102805")</f>
        <v>EN-002102805</v>
      </c>
    </row>
    <row r="312" spans="1:15" ht="16" x14ac:dyDescent="0.2">
      <c r="A312" s="18" t="str">
        <f>HYPERLINK("https://otsuka-europe-crm.veevavault.com/ui/#object/account__v/V4TZ06G6O71TKKH", "LUIS SANCHEZ BONOME")</f>
        <v>LUIS SANCHEZ BONOME</v>
      </c>
      <c r="B312" s="18" t="str">
        <f>HYPERLINK("https://otsuka-europe-crm.veevavault.com/ui/#object/vcountry__v/VENZ000004SONF5", "ES")</f>
        <v>ES</v>
      </c>
      <c r="C312" s="20" t="s">
        <v>39</v>
      </c>
      <c r="D312" s="21" t="str">
        <f>HYPERLINK("https://otsuka-europe-crm.veevavault.com/ui/#object/approved_document__v/V5O00000000L012", "AM2M - Material adherencia")</f>
        <v>AM2M - Material adherencia</v>
      </c>
      <c r="E312" s="22" t="str">
        <f>HYPERLINK("https://otsuka-europe-crm.veevavault.com/ui/#object/sent_email__v/VBL00000002X207", "SE-001437769")</f>
        <v>SE-001437769</v>
      </c>
      <c r="F312" s="25">
        <v>46210.40729166667</v>
      </c>
      <c r="G312" s="24">
        <v>1</v>
      </c>
      <c r="H312" s="24">
        <v>1</v>
      </c>
      <c r="I312" s="24">
        <v>0</v>
      </c>
      <c r="J312" s="23"/>
      <c r="K312" s="24">
        <v>0</v>
      </c>
      <c r="L312" s="22" t="str">
        <f>HYPERLINK("https://otsuka-europe-crm.veevavault.com/ui/#object/approved_document__v/V5O00000000L012", "AM2M - Material adherencia")</f>
        <v>AM2M - Material adherencia</v>
      </c>
      <c r="M312" s="22" t="str">
        <f>HYPERLINK("mailto:mgravan@crm.otsuka-europe.com", "mgravan@crm.otsuka-europe.com")</f>
        <v>mgravan@crm.otsuka-europe.com</v>
      </c>
      <c r="N312" s="25">
        <v>46210.407083333332</v>
      </c>
      <c r="O312" s="14" t="str">
        <f>HYPERLINK("https://otsuka-europe-crm.veevavault.com/ui/#object/email_activity__v/V8C000000043673", "EN-002102895")</f>
        <v>EN-002102895</v>
      </c>
    </row>
    <row r="313" spans="1:15" ht="16" x14ac:dyDescent="0.2">
      <c r="A313" s="19"/>
      <c r="B313" s="19"/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4" t="str">
        <f>HYPERLINK("https://otsuka-europe-crm.veevavault.com/ui/#object/email_activity__v/V8C000000043682", "EN-002102904")</f>
        <v>EN-002102904</v>
      </c>
    </row>
    <row r="314" spans="1:15" ht="16" x14ac:dyDescent="0.2">
      <c r="A314" s="18" t="str">
        <f>HYPERLINK("https://otsuka-europe-crm.veevavault.com/ui/#object/account__v/V4TZ06G6O71TCA4", "SEBASTIAN SANZ CORTES")</f>
        <v>SEBASTIAN SANZ CORTES</v>
      </c>
      <c r="B314" s="18" t="str">
        <f>HYPERLINK("https://otsuka-europe-crm.veevavault.com/ui/#object/vcountry__v/VENZ000004SONF5", "ES")</f>
        <v>ES</v>
      </c>
      <c r="C314" s="20" t="s">
        <v>39</v>
      </c>
      <c r="D314" s="21" t="str">
        <f>HYPERLINK("https://otsuka-europe-crm.veevavault.com/ui/#object/approved_document__v/V5O00000000L012", "AM2M - Material adherencia")</f>
        <v>AM2M - Material adherencia</v>
      </c>
      <c r="E314" s="22" t="str">
        <f>HYPERLINK("https://otsuka-europe-crm.veevavault.com/ui/#object/sent_email__v/VBL00000002X208", "SE-001437770")</f>
        <v>SE-001437770</v>
      </c>
      <c r="F314" s="23"/>
      <c r="G314" s="24">
        <v>0</v>
      </c>
      <c r="H314" s="24">
        <v>0</v>
      </c>
      <c r="I314" s="24">
        <v>0</v>
      </c>
      <c r="J314" s="23"/>
      <c r="K314" s="24">
        <v>0</v>
      </c>
      <c r="L314" s="22" t="str">
        <f>HYPERLINK("https://otsuka-europe-crm.veevavault.com/ui/#object/approved_document__v/V5O00000000L012", "AM2M - Material adherencia")</f>
        <v>AM2M - Material adherencia</v>
      </c>
      <c r="M314" s="22" t="str">
        <f>HYPERLINK("mailto:mgravan@crm.otsuka-europe.com", "mgravan@crm.otsuka-europe.com")</f>
        <v>mgravan@crm.otsuka-europe.com</v>
      </c>
      <c r="N314" s="25">
        <v>46210.407083333332</v>
      </c>
      <c r="O314" s="14" t="str">
        <f>HYPERLINK("https://otsuka-europe-crm.veevavault.com/ui/#object/email_activity__v/V8C000000043655", "EN-002102871")</f>
        <v>EN-002102871</v>
      </c>
    </row>
    <row r="315" spans="1:15" ht="16" x14ac:dyDescent="0.2">
      <c r="A315" s="19"/>
      <c r="B315" s="19"/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4" t="str">
        <f>HYPERLINK("https://otsuka-europe-crm.veevavault.com/ui/#object/email_activity__v/V8C000000047053", "EN-002104251")</f>
        <v>EN-002104251</v>
      </c>
    </row>
    <row r="316" spans="1:15" ht="32" x14ac:dyDescent="0.2">
      <c r="A316" s="7" t="str">
        <f>HYPERLINK("https://otsuka-europe-crm.veevavault.com/ui/#object/account__v/V4TZ06G6O8RZYDA", "OSCAR PEDRO LAFUENTE CASANOVA")</f>
        <v>OSCAR PEDRO LAFUENTE CASANOVA</v>
      </c>
      <c r="B316" s="7" t="str">
        <f>HYPERLINK("https://otsuka-europe-crm.veevavault.com/ui/#object/vcountry__v/VENZ000004SONF5", "ES")</f>
        <v>ES</v>
      </c>
      <c r="C316" s="8" t="s">
        <v>39</v>
      </c>
      <c r="D316" s="9" t="str">
        <f>HYPERLINK("https://otsuka-europe-crm.veevavault.com/ui/#object/approved_document__v/V5O00000000L012", "AM2M - Material adherencia")</f>
        <v>AM2M - Material adherencia</v>
      </c>
      <c r="E316" s="10" t="str">
        <f>HYPERLINK("https://otsuka-europe-crm.veevavault.com/ui/#object/sent_email__v/VBL00000002X209", "SE-001437771")</f>
        <v>SE-001437771</v>
      </c>
      <c r="F316" s="11"/>
      <c r="G316" s="12">
        <v>0</v>
      </c>
      <c r="H316" s="12">
        <v>0</v>
      </c>
      <c r="I316" s="12">
        <v>0</v>
      </c>
      <c r="J316" s="11"/>
      <c r="K316" s="12">
        <v>0</v>
      </c>
      <c r="L316" s="10" t="str">
        <f>HYPERLINK("https://otsuka-europe-crm.veevavault.com/ui/#object/approved_document__v/V5O00000000L012", "AM2M - Material adherencia")</f>
        <v>AM2M - Material adherencia</v>
      </c>
      <c r="M316" s="10" t="str">
        <f>HYPERLINK("mailto:mgravan@crm.otsuka-europe.com", "mgravan@crm.otsuka-europe.com")</f>
        <v>mgravan@crm.otsuka-europe.com</v>
      </c>
      <c r="N316" s="13">
        <v>46210.407083333332</v>
      </c>
      <c r="O316" s="14" t="str">
        <f>HYPERLINK("https://otsuka-europe-crm.veevavault.com/ui/#object/email_activity__v/V8C000000043650", "EN-002102857")</f>
        <v>EN-002102857</v>
      </c>
    </row>
    <row r="317" spans="1:15" ht="16" x14ac:dyDescent="0.2">
      <c r="A317" s="18" t="str">
        <f>HYPERLINK("https://otsuka-europe-crm.veevavault.com/ui/#object/account__v/V4TZ06G6O9MZTDT", "ROBERTO ANTONIO PALACIOS GARRAN")</f>
        <v>ROBERTO ANTONIO PALACIOS GARRAN</v>
      </c>
      <c r="B317" s="18" t="str">
        <f>HYPERLINK("https://otsuka-europe-crm.veevavault.com/ui/#object/vcountry__v/VENZ000004SONF5", "ES")</f>
        <v>ES</v>
      </c>
      <c r="C317" s="20" t="s">
        <v>39</v>
      </c>
      <c r="D317" s="21" t="str">
        <f>HYPERLINK("https://otsuka-europe-crm.veevavault.com/ui/#object/approved_document__v/V5O00000000L012", "AM2M - Material adherencia")</f>
        <v>AM2M - Material adherencia</v>
      </c>
      <c r="E317" s="22" t="str">
        <f>HYPERLINK("https://otsuka-europe-crm.veevavault.com/ui/#object/sent_email__v/VBL00000002X210", "SE-001437772")</f>
        <v>SE-001437772</v>
      </c>
      <c r="F317" s="25">
        <v>46237.789594907408</v>
      </c>
      <c r="G317" s="24">
        <v>1</v>
      </c>
      <c r="H317" s="24">
        <v>1</v>
      </c>
      <c r="I317" s="24">
        <v>0</v>
      </c>
      <c r="J317" s="23"/>
      <c r="K317" s="24">
        <v>0</v>
      </c>
      <c r="L317" s="22" t="str">
        <f>HYPERLINK("https://otsuka-europe-crm.veevavault.com/ui/#object/approved_document__v/V5O00000000L012", "AM2M - Material adherencia")</f>
        <v>AM2M - Material adherencia</v>
      </c>
      <c r="M317" s="22" t="str">
        <f>HYPERLINK("mailto:mgravan@crm.otsuka-europe.com", "mgravan@crm.otsuka-europe.com")</f>
        <v>mgravan@crm.otsuka-europe.com</v>
      </c>
      <c r="N317" s="25">
        <v>46210.407083333332</v>
      </c>
      <c r="O317" s="14" t="str">
        <f>HYPERLINK("https://otsuka-europe-crm.veevavault.com/ui/#object/email_activity__v/V8C000000043753", "EN-002103038")</f>
        <v>EN-002103038</v>
      </c>
    </row>
    <row r="318" spans="1:15" ht="16" x14ac:dyDescent="0.2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14" t="str">
        <f>HYPERLINK("https://otsuka-europe-crm.veevavault.com/ui/#object/email_activity__v/V8C000000044641", "EN-002102835")</f>
        <v>EN-002102835</v>
      </c>
    </row>
    <row r="319" spans="1:15" ht="16" x14ac:dyDescent="0.2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14" t="str">
        <f>HYPERLINK("https://otsuka-europe-crm.veevavault.com/ui/#object/email_activity__v/V8C00000004G661", "EN-002110939")</f>
        <v>EN-002110939</v>
      </c>
    </row>
    <row r="320" spans="1:15" ht="16" x14ac:dyDescent="0.2">
      <c r="A320" s="19"/>
      <c r="B320" s="19"/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4" t="str">
        <f>HYPERLINK("https://otsuka-europe-crm.veevavault.com/ui/#object/email_activity__v/V8C00000004I170", "EN-002111357")</f>
        <v>EN-002111357</v>
      </c>
    </row>
    <row r="321" spans="1:15" ht="32" x14ac:dyDescent="0.2">
      <c r="A321" s="7" t="str">
        <f>HYPERLINK("https://otsuka-europe-crm.veevavault.com/ui/#object/account__v/V4TZ06G6O71T7I1", "JOSE ILDEFONSO PEREZ REVUELTA")</f>
        <v>JOSE ILDEFONSO PEREZ REVUELTA</v>
      </c>
      <c r="B321" s="7" t="str">
        <f>HYPERLINK("https://otsuka-europe-crm.veevavault.com/ui/#object/vcountry__v/VENZ000004SONF5", "ES")</f>
        <v>ES</v>
      </c>
      <c r="C321" s="8" t="s">
        <v>39</v>
      </c>
      <c r="D321" s="9" t="str">
        <f>HYPERLINK("https://otsuka-europe-crm.veevavault.com/ui/#object/approved_document__v/V5O00000000L012", "AM2M - Material adherencia")</f>
        <v>AM2M - Material adherencia</v>
      </c>
      <c r="E321" s="10" t="str">
        <f>HYPERLINK("https://otsuka-europe-crm.veevavault.com/ui/#object/sent_email__v/VBL00000002X211", "SE-001437773")</f>
        <v>SE-001437773</v>
      </c>
      <c r="F321" s="11"/>
      <c r="G321" s="12">
        <v>0</v>
      </c>
      <c r="H321" s="12">
        <v>0</v>
      </c>
      <c r="I321" s="12">
        <v>0</v>
      </c>
      <c r="J321" s="11"/>
      <c r="K321" s="12">
        <v>0</v>
      </c>
      <c r="L321" s="10" t="str">
        <f>HYPERLINK("https://otsuka-europe-crm.veevavault.com/ui/#object/approved_document__v/V5O00000000L012", "AM2M - Material adherencia")</f>
        <v>AM2M - Material adherencia</v>
      </c>
      <c r="M321" s="10" t="str">
        <f>HYPERLINK("mailto:mgravan@crm.otsuka-europe.com", "mgravan@crm.otsuka-europe.com")</f>
        <v>mgravan@crm.otsuka-europe.com</v>
      </c>
      <c r="N321" s="13">
        <v>46210.407083333332</v>
      </c>
      <c r="O321" s="14" t="str">
        <f>HYPERLINK("https://otsuka-europe-crm.veevavault.com/ui/#object/email_activity__v/V8C000000043672", "EN-002102894")</f>
        <v>EN-002102894</v>
      </c>
    </row>
    <row r="322" spans="1:15" ht="16" x14ac:dyDescent="0.2">
      <c r="A322" s="18" t="str">
        <f>HYPERLINK("https://otsuka-europe-crm.veevavault.com/ui/#object/account__v/V4TZ06G6O71TC0O", "FRANCISCO ROMERO RUBIALES")</f>
        <v>FRANCISCO ROMERO RUBIALES</v>
      </c>
      <c r="B322" s="18" t="str">
        <f>HYPERLINK("https://otsuka-europe-crm.veevavault.com/ui/#object/vcountry__v/VENZ000004SONF5", "ES")</f>
        <v>ES</v>
      </c>
      <c r="C322" s="20" t="s">
        <v>39</v>
      </c>
      <c r="D322" s="21" t="str">
        <f>HYPERLINK("https://otsuka-europe-crm.veevavault.com/ui/#object/approved_document__v/V5O00000000L012", "AM2M - Material adherencia")</f>
        <v>AM2M - Material adherencia</v>
      </c>
      <c r="E322" s="22" t="str">
        <f>HYPERLINK("https://otsuka-europe-crm.veevavault.com/ui/#object/sent_email__v/VBL00000002X212", "SE-001437774")</f>
        <v>SE-001437774</v>
      </c>
      <c r="F322" s="25">
        <v>46210.408229166664</v>
      </c>
      <c r="G322" s="24">
        <v>1</v>
      </c>
      <c r="H322" s="24">
        <v>1</v>
      </c>
      <c r="I322" s="24">
        <v>0</v>
      </c>
      <c r="J322" s="23"/>
      <c r="K322" s="24">
        <v>0</v>
      </c>
      <c r="L322" s="22" t="str">
        <f>HYPERLINK("https://otsuka-europe-crm.veevavault.com/ui/#object/approved_document__v/V5O00000000L012", "AM2M - Material adherencia")</f>
        <v>AM2M - Material adherencia</v>
      </c>
      <c r="M322" s="22" t="str">
        <f>HYPERLINK("mailto:mgravan@crm.otsuka-europe.com", "mgravan@crm.otsuka-europe.com")</f>
        <v>mgravan@crm.otsuka-europe.com</v>
      </c>
      <c r="N322" s="25">
        <v>46210.407083333332</v>
      </c>
      <c r="O322" s="14" t="str">
        <f>HYPERLINK("https://otsuka-europe-crm.veevavault.com/ui/#object/email_activity__v/V8C000000044634", "EN-002102828")</f>
        <v>EN-002102828</v>
      </c>
    </row>
    <row r="323" spans="1:15" ht="16" x14ac:dyDescent="0.2">
      <c r="A323" s="19"/>
      <c r="B323" s="19"/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4" t="str">
        <f>HYPERLINK("https://otsuka-europe-crm.veevavault.com/ui/#object/email_activity__v/V8C000000044673", "EN-002102916")</f>
        <v>EN-002102916</v>
      </c>
    </row>
    <row r="324" spans="1:15" ht="32" x14ac:dyDescent="0.2">
      <c r="A324" s="7" t="str">
        <f>HYPERLINK("https://otsuka-europe-crm.veevavault.com/ui/#object/account__v/V4TZ06G6O71T9BG", "JOSE BELTRAN RODRIGUEZ-RUBIO")</f>
        <v>JOSE BELTRAN RODRIGUEZ-RUBIO</v>
      </c>
      <c r="B324" s="7" t="str">
        <f>HYPERLINK("https://otsuka-europe-crm.veevavault.com/ui/#object/vcountry__v/VENZ000004SONF5", "ES")</f>
        <v>ES</v>
      </c>
      <c r="C324" s="8" t="s">
        <v>39</v>
      </c>
      <c r="D324" s="9" t="str">
        <f>HYPERLINK("https://otsuka-europe-crm.veevavault.com/ui/#object/approved_document__v/V5O00000000L012", "AM2M - Material adherencia")</f>
        <v>AM2M - Material adherencia</v>
      </c>
      <c r="E324" s="10" t="str">
        <f>HYPERLINK("https://otsuka-europe-crm.veevavault.com/ui/#object/sent_email__v/VBL00000002X213", "SE-001437775")</f>
        <v>SE-001437775</v>
      </c>
      <c r="F324" s="11"/>
      <c r="G324" s="12">
        <v>0</v>
      </c>
      <c r="H324" s="12">
        <v>0</v>
      </c>
      <c r="I324" s="12">
        <v>0</v>
      </c>
      <c r="J324" s="11"/>
      <c r="K324" s="12">
        <v>0</v>
      </c>
      <c r="L324" s="10" t="str">
        <f>HYPERLINK("https://otsuka-europe-crm.veevavault.com/ui/#object/approved_document__v/V5O00000000L012", "AM2M - Material adherencia")</f>
        <v>AM2M - Material adherencia</v>
      </c>
      <c r="M324" s="10" t="str">
        <f>HYPERLINK("mailto:mgravan@crm.otsuka-europe.com", "mgravan@crm.otsuka-europe.com")</f>
        <v>mgravan@crm.otsuka-europe.com</v>
      </c>
      <c r="N324" s="13">
        <v>46210.407083333332</v>
      </c>
      <c r="O324" s="14" t="str">
        <f>HYPERLINK("https://otsuka-europe-crm.veevavault.com/ui/#object/email_activity__v/V8C000000043611", "EN-002102782")</f>
        <v>EN-002102782</v>
      </c>
    </row>
    <row r="325" spans="1:15" ht="16" x14ac:dyDescent="0.2">
      <c r="A325" s="18" t="str">
        <f>HYPERLINK("https://otsuka-europe-crm.veevavault.com/ui/#object/account__v/V4TZ06G6O71TC4C", "JUAN SANCHEZ SEVILLA")</f>
        <v>JUAN SANCHEZ SEVILLA</v>
      </c>
      <c r="B325" s="18" t="str">
        <f>HYPERLINK("https://otsuka-europe-crm.veevavault.com/ui/#object/vcountry__v/VENZ000004SONF5", "ES")</f>
        <v>ES</v>
      </c>
      <c r="C325" s="20" t="s">
        <v>39</v>
      </c>
      <c r="D325" s="21" t="str">
        <f>HYPERLINK("https://otsuka-europe-crm.veevavault.com/ui/#object/approved_document__v/V5O00000000L012", "AM2M - Material adherencia")</f>
        <v>AM2M - Material adherencia</v>
      </c>
      <c r="E325" s="22" t="str">
        <f>HYPERLINK("https://otsuka-europe-crm.veevavault.com/ui/#object/sent_email__v/VBL00000002X214", "SE-001437776")</f>
        <v>SE-001437776</v>
      </c>
      <c r="F325" s="23"/>
      <c r="G325" s="24">
        <v>0</v>
      </c>
      <c r="H325" s="24">
        <v>0</v>
      </c>
      <c r="I325" s="24">
        <v>0</v>
      </c>
      <c r="J325" s="23"/>
      <c r="K325" s="24">
        <v>0</v>
      </c>
      <c r="L325" s="22" t="str">
        <f>HYPERLINK("https://otsuka-europe-crm.veevavault.com/ui/#object/approved_document__v/V5O00000000L012", "AM2M - Material adherencia")</f>
        <v>AM2M - Material adherencia</v>
      </c>
      <c r="M325" s="22" t="str">
        <f>HYPERLINK("mailto:mgravan@crm.otsuka-europe.com", "mgravan@crm.otsuka-europe.com")</f>
        <v>mgravan@crm.otsuka-europe.com</v>
      </c>
      <c r="N325" s="25">
        <v>46210.407083333332</v>
      </c>
      <c r="O325" s="14" t="str">
        <f>HYPERLINK("https://otsuka-europe-crm.veevavault.com/ui/#object/email_activity__v/V8C000000043674", "EN-002102896")</f>
        <v>EN-002102896</v>
      </c>
    </row>
    <row r="326" spans="1:15" ht="16" x14ac:dyDescent="0.2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14" t="str">
        <f>HYPERLINK("https://otsuka-europe-crm.veevavault.com/ui/#object/email_activity__v/V8C000000043690", "EN-002102919")</f>
        <v>EN-002102919</v>
      </c>
    </row>
    <row r="327" spans="1:15" ht="16" x14ac:dyDescent="0.2">
      <c r="A327" s="19"/>
      <c r="B327" s="19"/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4" t="str">
        <f>HYPERLINK("https://otsuka-europe-crm.veevavault.com/ui/#object/email_activity__v/V8C000000044684", "EN-002102934")</f>
        <v>EN-002102934</v>
      </c>
    </row>
    <row r="328" spans="1:15" ht="16" x14ac:dyDescent="0.2">
      <c r="A328" s="18" t="str">
        <f>HYPERLINK("https://otsuka-europe-crm.veevavault.com/ui/#object/account__v/V4TZ06G6O71TAVN", "JUAN RAMON LEON CAMARA")</f>
        <v>JUAN RAMON LEON CAMARA</v>
      </c>
      <c r="B328" s="18" t="str">
        <f>HYPERLINK("https://otsuka-europe-crm.veevavault.com/ui/#object/vcountry__v/VENZ000004SONF5", "ES")</f>
        <v>ES</v>
      </c>
      <c r="C328" s="20" t="s">
        <v>39</v>
      </c>
      <c r="D328" s="21" t="str">
        <f>HYPERLINK("https://otsuka-europe-crm.veevavault.com/ui/#object/approved_document__v/V5O00000000L012", "AM2M - Material adherencia")</f>
        <v>AM2M - Material adherencia</v>
      </c>
      <c r="E328" s="22" t="str">
        <f>HYPERLINK("https://otsuka-europe-crm.veevavault.com/ui/#object/sent_email__v/VBL00000002X215", "SE-001437777")</f>
        <v>SE-001437777</v>
      </c>
      <c r="F328" s="25">
        <v>46210.724479166667</v>
      </c>
      <c r="G328" s="24">
        <v>1</v>
      </c>
      <c r="H328" s="24">
        <v>2</v>
      </c>
      <c r="I328" s="24">
        <v>0</v>
      </c>
      <c r="J328" s="23"/>
      <c r="K328" s="24">
        <v>0</v>
      </c>
      <c r="L328" s="22" t="str">
        <f>HYPERLINK("https://otsuka-europe-crm.veevavault.com/ui/#object/approved_document__v/V5O00000000L012", "AM2M - Material adherencia")</f>
        <v>AM2M - Material adherencia</v>
      </c>
      <c r="M328" s="22" t="str">
        <f>HYPERLINK("mailto:mgravan@crm.otsuka-europe.com", "mgravan@crm.otsuka-europe.com")</f>
        <v>mgravan@crm.otsuka-europe.com</v>
      </c>
      <c r="N328" s="25">
        <v>46210.407118055555</v>
      </c>
      <c r="O328" s="14" t="str">
        <f>HYPERLINK("https://otsuka-europe-crm.veevavault.com/ui/#object/email_activity__v/V8C000000043663", "EN-002102879")</f>
        <v>EN-002102879</v>
      </c>
    </row>
    <row r="329" spans="1:15" ht="16" x14ac:dyDescent="0.2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14" t="str">
        <f>HYPERLINK("https://otsuka-europe-crm.veevavault.com/ui/#object/email_activity__v/V8C000000043767", "EN-002103070")</f>
        <v>EN-002103070</v>
      </c>
    </row>
    <row r="330" spans="1:15" ht="16" x14ac:dyDescent="0.2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4" t="str">
        <f>HYPERLINK("https://otsuka-europe-crm.veevavault.com/ui/#object/email_activity__v/V8C000000043768", "EN-002103071")</f>
        <v>EN-002103071</v>
      </c>
    </row>
    <row r="331" spans="1:15" ht="32" x14ac:dyDescent="0.2">
      <c r="A331" s="7" t="str">
        <f>HYPERLINK("https://otsuka-europe-crm.veevavault.com/ui/#object/account__v/V4TZ06G6O71URWQ", "JAVIER VILCHES VAZQUEZ")</f>
        <v>JAVIER VILCHES VAZQUEZ</v>
      </c>
      <c r="B331" s="7" t="str">
        <f>HYPERLINK("https://otsuka-europe-crm.veevavault.com/ui/#object/vcountry__v/VENZ000004SONF5", "ES")</f>
        <v>ES</v>
      </c>
      <c r="C331" s="8" t="s">
        <v>39</v>
      </c>
      <c r="D331" s="9" t="str">
        <f>HYPERLINK("https://otsuka-europe-crm.veevavault.com/ui/#object/approved_document__v/V5O00000000L012", "AM2M - Material adherencia")</f>
        <v>AM2M - Material adherencia</v>
      </c>
      <c r="E331" s="10" t="str">
        <f>HYPERLINK("https://otsuka-europe-crm.veevavault.com/ui/#object/sent_email__v/VBL00000002X216", "SE-001437778")</f>
        <v>SE-001437778</v>
      </c>
      <c r="F331" s="11"/>
      <c r="G331" s="12">
        <v>0</v>
      </c>
      <c r="H331" s="12">
        <v>0</v>
      </c>
      <c r="I331" s="12">
        <v>0</v>
      </c>
      <c r="J331" s="11"/>
      <c r="K331" s="12">
        <v>0</v>
      </c>
      <c r="L331" s="10" t="str">
        <f>HYPERLINK("https://otsuka-europe-crm.veevavault.com/ui/#object/approved_document__v/V5O00000000L012", "AM2M - Material adherencia")</f>
        <v>AM2M - Material adherencia</v>
      </c>
      <c r="M331" s="10" t="str">
        <f>HYPERLINK("mailto:mgravan@crm.otsuka-europe.com", "mgravan@crm.otsuka-europe.com")</f>
        <v>mgravan@crm.otsuka-europe.com</v>
      </c>
      <c r="N331" s="13">
        <v>46210.407118055555</v>
      </c>
      <c r="O331" s="14" t="str">
        <f>HYPERLINK("https://otsuka-europe-crm.veevavault.com/ui/#object/email_activity__v/V8C000000044644", "EN-002102838")</f>
        <v>EN-002102838</v>
      </c>
    </row>
    <row r="332" spans="1:15" ht="32" x14ac:dyDescent="0.2">
      <c r="A332" s="7" t="str">
        <f>HYPERLINK("https://otsuka-europe-crm.veevavault.com/ui/#object/account__v/V4TZ06G6O71T7RZ", "FRANCISCO MANUEL VALLEJO AUÑON")</f>
        <v>FRANCISCO MANUEL VALLEJO AUÑON</v>
      </c>
      <c r="B332" s="7" t="str">
        <f>HYPERLINK("https://otsuka-europe-crm.veevavault.com/ui/#object/vcountry__v/VENZ000004SONF5", "ES")</f>
        <v>ES</v>
      </c>
      <c r="C332" s="8" t="s">
        <v>39</v>
      </c>
      <c r="D332" s="9" t="str">
        <f>HYPERLINK("https://otsuka-europe-crm.veevavault.com/ui/#object/approved_document__v/V5O00000000L012", "AM2M - Material adherencia")</f>
        <v>AM2M - Material adherencia</v>
      </c>
      <c r="E332" s="10" t="str">
        <f>HYPERLINK("https://otsuka-europe-crm.veevavault.com/ui/#object/sent_email__v/VBL00000002X217", "SE-001437779")</f>
        <v>SE-001437779</v>
      </c>
      <c r="F332" s="11"/>
      <c r="G332" s="12">
        <v>0</v>
      </c>
      <c r="H332" s="12">
        <v>0</v>
      </c>
      <c r="I332" s="12">
        <v>0</v>
      </c>
      <c r="J332" s="11"/>
      <c r="K332" s="12">
        <v>0</v>
      </c>
      <c r="L332" s="10" t="str">
        <f>HYPERLINK("https://otsuka-europe-crm.veevavault.com/ui/#object/approved_document__v/V5O00000000L012", "AM2M - Material adherencia")</f>
        <v>AM2M - Material adherencia</v>
      </c>
      <c r="M332" s="10" t="str">
        <f>HYPERLINK("mailto:mgravan@crm.otsuka-europe.com", "mgravan@crm.otsuka-europe.com")</f>
        <v>mgravan@crm.otsuka-europe.com</v>
      </c>
      <c r="N332" s="13">
        <v>46210.407118055555</v>
      </c>
      <c r="O332" s="14" t="str">
        <f>HYPERLINK("https://otsuka-europe-crm.veevavault.com/ui/#object/email_activity__v/V8C000000044650", "EN-002102844")</f>
        <v>EN-002102844</v>
      </c>
    </row>
    <row r="333" spans="1:15" ht="16" x14ac:dyDescent="0.2">
      <c r="A333" s="18" t="str">
        <f>HYPERLINK("https://otsuka-europe-crm.veevavault.com/ui/#object/account__v/V4TZ06G6O71TA32", "ALBERTO FUENTES GARRIDO")</f>
        <v>ALBERTO FUENTES GARRIDO</v>
      </c>
      <c r="B333" s="18" t="str">
        <f>HYPERLINK("https://otsuka-europe-crm.veevavault.com/ui/#object/vcountry__v/VENZ000004SONF5", "ES")</f>
        <v>ES</v>
      </c>
      <c r="C333" s="20" t="s">
        <v>39</v>
      </c>
      <c r="D333" s="21" t="str">
        <f>HYPERLINK("https://otsuka-europe-crm.veevavault.com/ui/#object/approved_document__v/V5O00000000L012", "AM2M - Material adherencia")</f>
        <v>AM2M - Material adherencia</v>
      </c>
      <c r="E333" s="22" t="str">
        <f>HYPERLINK("https://otsuka-europe-crm.veevavault.com/ui/#object/sent_email__v/VBL00000002X218", "SE-001437780")</f>
        <v>SE-001437780</v>
      </c>
      <c r="F333" s="23"/>
      <c r="G333" s="24">
        <v>0</v>
      </c>
      <c r="H333" s="24">
        <v>0</v>
      </c>
      <c r="I333" s="24">
        <v>0</v>
      </c>
      <c r="J333" s="23"/>
      <c r="K333" s="24">
        <v>0</v>
      </c>
      <c r="L333" s="22" t="str">
        <f>HYPERLINK("https://otsuka-europe-crm.veevavault.com/ui/#object/approved_document__v/V5O00000000L012", "AM2M - Material adherencia")</f>
        <v>AM2M - Material adherencia</v>
      </c>
      <c r="M333" s="22" t="str">
        <f>HYPERLINK("mailto:mgravan@crm.otsuka-europe.com", "mgravan@crm.otsuka-europe.com")</f>
        <v>mgravan@crm.otsuka-europe.com</v>
      </c>
      <c r="N333" s="25">
        <v>46210.407118055555</v>
      </c>
      <c r="O333" s="14" t="str">
        <f>HYPERLINK("https://otsuka-europe-crm.veevavault.com/ui/#object/email_activity__v/V8C000000044654", "EN-002102864")</f>
        <v>EN-002102864</v>
      </c>
    </row>
    <row r="334" spans="1:15" ht="16" x14ac:dyDescent="0.2">
      <c r="A334" s="19"/>
      <c r="B334" s="19"/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4" t="str">
        <f>HYPERLINK("https://otsuka-europe-crm.veevavault.com/ui/#object/email_activity__v/V8C000000044855", "EN-002103299")</f>
        <v>EN-002103299</v>
      </c>
    </row>
    <row r="335" spans="1:15" ht="16" x14ac:dyDescent="0.2">
      <c r="A335" s="18" t="str">
        <f>HYPERLINK("https://otsuka-europe-crm.veevavault.com/ui/#object/account__v/V4TZ06G6O71US3T", "JOSE ANTONIO TIRADO MAYAYO")</f>
        <v>JOSE ANTONIO TIRADO MAYAYO</v>
      </c>
      <c r="B335" s="18" t="str">
        <f>HYPERLINK("https://otsuka-europe-crm.veevavault.com/ui/#object/vcountry__v/VENZ000004SONF5", "ES")</f>
        <v>ES</v>
      </c>
      <c r="C335" s="20" t="s">
        <v>39</v>
      </c>
      <c r="D335" s="21" t="str">
        <f>HYPERLINK("https://otsuka-europe-crm.veevavault.com/ui/#object/approved_document__v/V5O00000000L012", "AM2M - Material adherencia")</f>
        <v>AM2M - Material adherencia</v>
      </c>
      <c r="E335" s="22" t="str">
        <f>HYPERLINK("https://otsuka-europe-crm.veevavault.com/ui/#object/sent_email__v/VBL00000002X219", "SE-001437781")</f>
        <v>SE-001437781</v>
      </c>
      <c r="F335" s="25">
        <v>46210.491238425922</v>
      </c>
      <c r="G335" s="24">
        <v>1</v>
      </c>
      <c r="H335" s="24">
        <v>5</v>
      </c>
      <c r="I335" s="24">
        <v>0</v>
      </c>
      <c r="J335" s="23"/>
      <c r="K335" s="24">
        <v>0</v>
      </c>
      <c r="L335" s="22" t="str">
        <f>HYPERLINK("https://otsuka-europe-crm.veevavault.com/ui/#object/approved_document__v/V5O00000000L012", "AM2M - Material adherencia")</f>
        <v>AM2M - Material adherencia</v>
      </c>
      <c r="M335" s="22" t="str">
        <f>HYPERLINK("mailto:mgravan@crm.otsuka-europe.com", "mgravan@crm.otsuka-europe.com")</f>
        <v>mgravan@crm.otsuka-europe.com</v>
      </c>
      <c r="N335" s="25">
        <v>46210.407118055555</v>
      </c>
      <c r="O335" s="14" t="str">
        <f>HYPERLINK("https://otsuka-europe-crm.veevavault.com/ui/#object/email_activity__v/V8C000000043685", "EN-002102913")</f>
        <v>EN-002102913</v>
      </c>
    </row>
    <row r="336" spans="1:15" ht="16" x14ac:dyDescent="0.2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14" t="str">
        <f>HYPERLINK("https://otsuka-europe-crm.veevavault.com/ui/#object/email_activity__v/V8C000000043686", "EN-002102914")</f>
        <v>EN-002102914</v>
      </c>
    </row>
    <row r="337" spans="1:15" ht="16" x14ac:dyDescent="0.2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14" t="str">
        <f>HYPERLINK("https://otsuka-europe-crm.veevavault.com/ui/#object/email_activity__v/V8C000000043687", "EN-002102915")</f>
        <v>EN-002102915</v>
      </c>
    </row>
    <row r="338" spans="1:15" ht="16" x14ac:dyDescent="0.2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14" t="str">
        <f>HYPERLINK("https://otsuka-europe-crm.veevavault.com/ui/#object/email_activity__v/V8C000000043694", "EN-002102929")</f>
        <v>EN-002102929</v>
      </c>
    </row>
    <row r="339" spans="1:15" ht="16" x14ac:dyDescent="0.2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14" t="str">
        <f>HYPERLINK("https://otsuka-europe-crm.veevavault.com/ui/#object/email_activity__v/V8C000000043712", "EN-002102973")</f>
        <v>EN-002102973</v>
      </c>
    </row>
    <row r="340" spans="1:15" ht="16" x14ac:dyDescent="0.2">
      <c r="A340" s="19"/>
      <c r="B340" s="19"/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4" t="str">
        <f>HYPERLINK("https://otsuka-europe-crm.veevavault.com/ui/#object/email_activity__v/V8C000000044648", "EN-002102842")</f>
        <v>EN-002102842</v>
      </c>
    </row>
    <row r="341" spans="1:15" ht="16" x14ac:dyDescent="0.2">
      <c r="A341" s="18" t="str">
        <f>HYPERLINK("https://otsuka-europe-crm.veevavault.com/ui/#object/account__v/V4TZ06G6O71TA5E", "CARLOS GUTIERREZ SANTALO")</f>
        <v>CARLOS GUTIERREZ SANTALO</v>
      </c>
      <c r="B341" s="18" t="str">
        <f>HYPERLINK("https://otsuka-europe-crm.veevavault.com/ui/#object/vcountry__v/VENZ000004SONF5", "ES")</f>
        <v>ES</v>
      </c>
      <c r="C341" s="20" t="s">
        <v>39</v>
      </c>
      <c r="D341" s="21" t="str">
        <f>HYPERLINK("https://otsuka-europe-crm.veevavault.com/ui/#object/approved_document__v/V5O00000000L012", "AM2M - Material adherencia")</f>
        <v>AM2M - Material adherencia</v>
      </c>
      <c r="E341" s="22" t="str">
        <f>HYPERLINK("https://otsuka-europe-crm.veevavault.com/ui/#object/sent_email__v/VBL00000002X220", "SE-001437782")</f>
        <v>SE-001437782</v>
      </c>
      <c r="F341" s="25">
        <v>46211.560324074075</v>
      </c>
      <c r="G341" s="24">
        <v>1</v>
      </c>
      <c r="H341" s="24">
        <v>1</v>
      </c>
      <c r="I341" s="24">
        <v>0</v>
      </c>
      <c r="J341" s="23"/>
      <c r="K341" s="24">
        <v>0</v>
      </c>
      <c r="L341" s="22" t="str">
        <f>HYPERLINK("https://otsuka-europe-crm.veevavault.com/ui/#object/approved_document__v/V5O00000000L012", "AM2M - Material adherencia")</f>
        <v>AM2M - Material adherencia</v>
      </c>
      <c r="M341" s="22" t="str">
        <f>HYPERLINK("mailto:mgravan@crm.otsuka-europe.com", "mgravan@crm.otsuka-europe.com")</f>
        <v>mgravan@crm.otsuka-europe.com</v>
      </c>
      <c r="N341" s="25">
        <v>46210.407118055555</v>
      </c>
      <c r="O341" s="14" t="str">
        <f>HYPERLINK("https://otsuka-europe-crm.veevavault.com/ui/#object/email_activity__v/V8C000000043660", "EN-002102876")</f>
        <v>EN-002102876</v>
      </c>
    </row>
    <row r="342" spans="1:15" ht="16" x14ac:dyDescent="0.2">
      <c r="A342" s="19"/>
      <c r="B342" s="19"/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4" t="str">
        <f>HYPERLINK("https://otsuka-europe-crm.veevavault.com/ui/#object/email_activity__v/V8C000000043849", "EN-002103229")</f>
        <v>EN-002103229</v>
      </c>
    </row>
    <row r="343" spans="1:15" ht="16" x14ac:dyDescent="0.2">
      <c r="A343" s="18" t="str">
        <f>HYPERLINK("https://otsuka-europe-crm.veevavault.com/ui/#object/account__v/V4TZ06G6O8RZYOE", "JOSUE MONZON DIAZ")</f>
        <v>JOSUE MONZON DIAZ</v>
      </c>
      <c r="B343" s="18" t="str">
        <f>HYPERLINK("https://otsuka-europe-crm.veevavault.com/ui/#object/vcountry__v/VENZ000004SONF5", "ES")</f>
        <v>ES</v>
      </c>
      <c r="C343" s="20" t="s">
        <v>39</v>
      </c>
      <c r="D343" s="21" t="str">
        <f>HYPERLINK("https://otsuka-europe-crm.veevavault.com/ui/#object/approved_document__v/V5O00000000L012", "AM2M - Material adherencia")</f>
        <v>AM2M - Material adherencia</v>
      </c>
      <c r="E343" s="22" t="str">
        <f>HYPERLINK("https://otsuka-europe-crm.veevavault.com/ui/#object/sent_email__v/VBL00000002X221", "SE-001437783")</f>
        <v>SE-001437783</v>
      </c>
      <c r="F343" s="25">
        <v>46210.944432870368</v>
      </c>
      <c r="G343" s="24">
        <v>1</v>
      </c>
      <c r="H343" s="24">
        <v>3</v>
      </c>
      <c r="I343" s="24">
        <v>0</v>
      </c>
      <c r="J343" s="23"/>
      <c r="K343" s="24">
        <v>0</v>
      </c>
      <c r="L343" s="22" t="str">
        <f>HYPERLINK("https://otsuka-europe-crm.veevavault.com/ui/#object/approved_document__v/V5O00000000L012", "AM2M - Material adherencia")</f>
        <v>AM2M - Material adherencia</v>
      </c>
      <c r="M343" s="22" t="str">
        <f>HYPERLINK("mailto:mgravan@crm.otsuka-europe.com", "mgravan@crm.otsuka-europe.com")</f>
        <v>mgravan@crm.otsuka-europe.com</v>
      </c>
      <c r="N343" s="25">
        <v>46210.407118055555</v>
      </c>
      <c r="O343" s="14" t="str">
        <f>HYPERLINK("https://otsuka-europe-crm.veevavault.com/ui/#object/email_activity__v/V8C000000043675", "EN-002102897")</f>
        <v>EN-002102897</v>
      </c>
    </row>
    <row r="344" spans="1:15" ht="16" x14ac:dyDescent="0.2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14" t="str">
        <f>HYPERLINK("https://otsuka-europe-crm.veevavault.com/ui/#object/email_activity__v/V8C000000043773", "EN-002103081")</f>
        <v>EN-002103081</v>
      </c>
    </row>
    <row r="345" spans="1:15" ht="16" x14ac:dyDescent="0.2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14" t="str">
        <f>HYPERLINK("https://otsuka-europe-crm.veevavault.com/ui/#object/email_activity__v/V8C000000043793", "EN-002103110")</f>
        <v>EN-002103110</v>
      </c>
    </row>
    <row r="346" spans="1:15" ht="16" x14ac:dyDescent="0.2">
      <c r="A346" s="19"/>
      <c r="B346" s="19"/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4" t="str">
        <f>HYPERLINK("https://otsuka-europe-crm.veevavault.com/ui/#object/email_activity__v/V8C000000043794", "EN-002103111")</f>
        <v>EN-002103111</v>
      </c>
    </row>
    <row r="347" spans="1:15" ht="16" x14ac:dyDescent="0.2">
      <c r="A347" s="18" t="str">
        <f>HYPERLINK("https://otsuka-europe-crm.veevavault.com/ui/#object/account__v/V4TZ06G6O71TCBK", "JESUS SALOMON MARTINEZ")</f>
        <v>JESUS SALOMON MARTINEZ</v>
      </c>
      <c r="B347" s="18" t="str">
        <f>HYPERLINK("https://otsuka-europe-crm.veevavault.com/ui/#object/vcountry__v/VENZ000004SONF5", "ES")</f>
        <v>ES</v>
      </c>
      <c r="C347" s="20" t="s">
        <v>39</v>
      </c>
      <c r="D347" s="21" t="str">
        <f>HYPERLINK("https://otsuka-europe-crm.veevavault.com/ui/#object/approved_document__v/V5O00000000L012", "AM2M - Material adherencia")</f>
        <v>AM2M - Material adherencia</v>
      </c>
      <c r="E347" s="22" t="str">
        <f>HYPERLINK("https://otsuka-europe-crm.veevavault.com/ui/#object/sent_email__v/VBL00000002X222", "SE-001437784")</f>
        <v>SE-001437784</v>
      </c>
      <c r="F347" s="25">
        <v>46210.509305555555</v>
      </c>
      <c r="G347" s="24">
        <v>1</v>
      </c>
      <c r="H347" s="24">
        <v>1</v>
      </c>
      <c r="I347" s="24">
        <v>0</v>
      </c>
      <c r="J347" s="23"/>
      <c r="K347" s="24">
        <v>0</v>
      </c>
      <c r="L347" s="22" t="str">
        <f>HYPERLINK("https://otsuka-europe-crm.veevavault.com/ui/#object/approved_document__v/V5O00000000L012", "AM2M - Material adherencia")</f>
        <v>AM2M - Material adherencia</v>
      </c>
      <c r="M347" s="22" t="str">
        <f>HYPERLINK("mailto:mgravan@crm.otsuka-europe.com", "mgravan@crm.otsuka-europe.com")</f>
        <v>mgravan@crm.otsuka-europe.com</v>
      </c>
      <c r="N347" s="25">
        <v>46210.407118055555</v>
      </c>
      <c r="O347" s="14" t="str">
        <f>HYPERLINK("https://otsuka-europe-crm.veevavault.com/ui/#object/email_activity__v/V8C000000043618", "EN-002102789")</f>
        <v>EN-002102789</v>
      </c>
    </row>
    <row r="348" spans="1:15" ht="16" x14ac:dyDescent="0.2">
      <c r="A348" s="19"/>
      <c r="B348" s="19"/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4" t="str">
        <f>HYPERLINK("https://otsuka-europe-crm.veevavault.com/ui/#object/email_activity__v/V8C000000044707", "EN-002102976")</f>
        <v>EN-002102976</v>
      </c>
    </row>
    <row r="349" spans="1:15" ht="32" x14ac:dyDescent="0.2">
      <c r="A349" s="7" t="str">
        <f>HYPERLINK("https://otsuka-europe-crm.veevavault.com/ui/#object/account__v/V4TZ06G6O71T9WC", "JOSE MANUEL GALLEGO RODRIGUEZ")</f>
        <v>JOSE MANUEL GALLEGO RODRIGUEZ</v>
      </c>
      <c r="B349" s="7" t="str">
        <f>HYPERLINK("https://otsuka-europe-crm.veevavault.com/ui/#object/vcountry__v/VENZ000004SONF5", "ES")</f>
        <v>ES</v>
      </c>
      <c r="C349" s="8" t="s">
        <v>39</v>
      </c>
      <c r="D349" s="9" t="str">
        <f>HYPERLINK("https://otsuka-europe-crm.veevavault.com/ui/#object/approved_document__v/V5O00000000L012", "AM2M - Material adherencia")</f>
        <v>AM2M - Material adherencia</v>
      </c>
      <c r="E349" s="10" t="str">
        <f>HYPERLINK("https://otsuka-europe-crm.veevavault.com/ui/#object/sent_email__v/VBL00000002X223", "SE-001437785")</f>
        <v>SE-001437785</v>
      </c>
      <c r="F349" s="11"/>
      <c r="G349" s="12">
        <v>0</v>
      </c>
      <c r="H349" s="12">
        <v>0</v>
      </c>
      <c r="I349" s="12">
        <v>0</v>
      </c>
      <c r="J349" s="11"/>
      <c r="K349" s="12">
        <v>0</v>
      </c>
      <c r="L349" s="10" t="str">
        <f>HYPERLINK("https://otsuka-europe-crm.veevavault.com/ui/#object/approved_document__v/V5O00000000L012", "AM2M - Material adherencia")</f>
        <v>AM2M - Material adherencia</v>
      </c>
      <c r="M349" s="10" t="str">
        <f>HYPERLINK("mailto:mgravan@crm.otsuka-europe.com", "mgravan@crm.otsuka-europe.com")</f>
        <v>mgravan@crm.otsuka-europe.com</v>
      </c>
      <c r="N349" s="13">
        <v>46210.407118055555</v>
      </c>
      <c r="O349" s="14" t="str">
        <f>HYPERLINK("https://otsuka-europe-crm.veevavault.com/ui/#object/email_activity__v/V8C000000044652", "EN-002102862")</f>
        <v>EN-002102862</v>
      </c>
    </row>
    <row r="350" spans="1:15" ht="32" x14ac:dyDescent="0.2">
      <c r="A350" s="7" t="str">
        <f>HYPERLINK("https://otsuka-europe-crm.veevavault.com/ui/#object/account__v/V4TZ06G6O71TCLN", "JOSE MARIA VILLAGRAN MORENO")</f>
        <v>JOSE MARIA VILLAGRAN MORENO</v>
      </c>
      <c r="B350" s="7" t="str">
        <f>HYPERLINK("https://otsuka-europe-crm.veevavault.com/ui/#object/vcountry__v/VENZ000004SONF5", "ES")</f>
        <v>ES</v>
      </c>
      <c r="C350" s="8" t="s">
        <v>39</v>
      </c>
      <c r="D350" s="9" t="str">
        <f>HYPERLINK("https://otsuka-europe-crm.veevavault.com/ui/#object/approved_document__v/V5O00000000L012", "AM2M - Material adherencia")</f>
        <v>AM2M - Material adherencia</v>
      </c>
      <c r="E350" s="10" t="str">
        <f>HYPERLINK("https://otsuka-europe-crm.veevavault.com/ui/#object/sent_email__v/VBL00000002X224", "SE-001437786")</f>
        <v>SE-001437786</v>
      </c>
      <c r="F350" s="11"/>
      <c r="G350" s="12">
        <v>0</v>
      </c>
      <c r="H350" s="12">
        <v>0</v>
      </c>
      <c r="I350" s="12">
        <v>0</v>
      </c>
      <c r="J350" s="11"/>
      <c r="K350" s="12">
        <v>0</v>
      </c>
      <c r="L350" s="10" t="str">
        <f>HYPERLINK("https://otsuka-europe-crm.veevavault.com/ui/#object/approved_document__v/V5O00000000L012", "AM2M - Material adherencia")</f>
        <v>AM2M - Material adherencia</v>
      </c>
      <c r="M350" s="10" t="str">
        <f>HYPERLINK("mailto:mgravan@crm.otsuka-europe.com", "mgravan@crm.otsuka-europe.com")</f>
        <v>mgravan@crm.otsuka-europe.com</v>
      </c>
      <c r="N350" s="13">
        <v>46210.407118055555</v>
      </c>
      <c r="O350" s="14" t="str">
        <f>HYPERLINK("https://otsuka-europe-crm.veevavault.com/ui/#object/email_activity__v/V8C000000043683", "EN-002102911")</f>
        <v>EN-002102911</v>
      </c>
    </row>
    <row r="351" spans="1:15" ht="16" x14ac:dyDescent="0.2">
      <c r="A351" s="18" t="str">
        <f>HYPERLINK("https://otsuka-europe-crm.veevavault.com/ui/#object/account__v/V4TZ06G6O71TC47", "JUAN ANTONIO SANCHEZ PEREZ")</f>
        <v>JUAN ANTONIO SANCHEZ PEREZ</v>
      </c>
      <c r="B351" s="18" t="str">
        <f>HYPERLINK("https://otsuka-europe-crm.veevavault.com/ui/#object/vcountry__v/VENZ000004SONF5", "ES")</f>
        <v>ES</v>
      </c>
      <c r="C351" s="20" t="s">
        <v>39</v>
      </c>
      <c r="D351" s="21" t="str">
        <f>HYPERLINK("https://otsuka-europe-crm.veevavault.com/ui/#object/approved_document__v/V5O00000000L012", "AM2M - Material adherencia")</f>
        <v>AM2M - Material adherencia</v>
      </c>
      <c r="E351" s="22" t="str">
        <f>HYPERLINK("https://otsuka-europe-crm.veevavault.com/ui/#object/sent_email__v/VBL00000002X225", "SE-001437787")</f>
        <v>SE-001437787</v>
      </c>
      <c r="F351" s="25">
        <v>46210.646990740737</v>
      </c>
      <c r="G351" s="24">
        <v>1</v>
      </c>
      <c r="H351" s="24">
        <v>1</v>
      </c>
      <c r="I351" s="24">
        <v>0</v>
      </c>
      <c r="J351" s="23"/>
      <c r="K351" s="24">
        <v>0</v>
      </c>
      <c r="L351" s="22" t="str">
        <f>HYPERLINK("https://otsuka-europe-crm.veevavault.com/ui/#object/approved_document__v/V5O00000000L012", "AM2M - Material adherencia")</f>
        <v>AM2M - Material adherencia</v>
      </c>
      <c r="M351" s="22" t="str">
        <f>HYPERLINK("mailto:mgravan@crm.otsuka-europe.com", "mgravan@crm.otsuka-europe.com")</f>
        <v>mgravan@crm.otsuka-europe.com</v>
      </c>
      <c r="N351" s="25">
        <v>46210.407118055555</v>
      </c>
      <c r="O351" s="14" t="str">
        <f>HYPERLINK("https://otsuka-europe-crm.veevavault.com/ui/#object/email_activity__v/V8C000000043756", "EN-002103050")</f>
        <v>EN-002103050</v>
      </c>
    </row>
    <row r="352" spans="1:15" ht="16" x14ac:dyDescent="0.2">
      <c r="A352" s="19"/>
      <c r="B352" s="19"/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4" t="str">
        <f>HYPERLINK("https://otsuka-europe-crm.veevavault.com/ui/#object/email_activity__v/V8C000000044651", "EN-002102845")</f>
        <v>EN-002102845</v>
      </c>
    </row>
    <row r="353" spans="1:15" ht="16" x14ac:dyDescent="0.2">
      <c r="A353" s="18" t="str">
        <f>HYPERLINK("https://otsuka-europe-crm.veevavault.com/ui/#object/account__v/V4TZ06G6O71T9U3", "FRANCISCO FLORES ORTIZ")</f>
        <v>FRANCISCO FLORES ORTIZ</v>
      </c>
      <c r="B353" s="18" t="str">
        <f>HYPERLINK("https://otsuka-europe-crm.veevavault.com/ui/#object/vcountry__v/VENZ000004SONF5", "ES")</f>
        <v>ES</v>
      </c>
      <c r="C353" s="20" t="s">
        <v>39</v>
      </c>
      <c r="D353" s="21" t="str">
        <f>HYPERLINK("https://otsuka-europe-crm.veevavault.com/ui/#object/approved_document__v/V5O00000000L012", "AM2M - Material adherencia")</f>
        <v>AM2M - Material adherencia</v>
      </c>
      <c r="E353" s="22" t="str">
        <f>HYPERLINK("https://otsuka-europe-crm.veevavault.com/ui/#object/sent_email__v/VBL00000002X226", "SE-001437788")</f>
        <v>SE-001437788</v>
      </c>
      <c r="F353" s="25">
        <v>46210.55201388889</v>
      </c>
      <c r="G353" s="24">
        <v>1</v>
      </c>
      <c r="H353" s="24">
        <v>2</v>
      </c>
      <c r="I353" s="24">
        <v>0</v>
      </c>
      <c r="J353" s="23"/>
      <c r="K353" s="24">
        <v>0</v>
      </c>
      <c r="L353" s="22" t="str">
        <f>HYPERLINK("https://otsuka-europe-crm.veevavault.com/ui/#object/approved_document__v/V5O00000000L012", "AM2M - Material adherencia")</f>
        <v>AM2M - Material adherencia</v>
      </c>
      <c r="M353" s="22" t="str">
        <f>HYPERLINK("mailto:mgravan@crm.otsuka-europe.com", "mgravan@crm.otsuka-europe.com")</f>
        <v>mgravan@crm.otsuka-europe.com</v>
      </c>
      <c r="N353" s="25">
        <v>46210.407048611109</v>
      </c>
      <c r="O353" s="14" t="str">
        <f>HYPERLINK("https://otsuka-europe-crm.veevavault.com/ui/#object/email_activity__v/V8C000000043608", "EN-002102779")</f>
        <v>EN-002102779</v>
      </c>
    </row>
    <row r="354" spans="1:15" ht="16" x14ac:dyDescent="0.2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14" t="str">
        <f>HYPERLINK("https://otsuka-europe-crm.veevavault.com/ui/#object/email_activity__v/V8C000000043728", "EN-002102998")</f>
        <v>EN-002102998</v>
      </c>
    </row>
    <row r="355" spans="1:15" ht="16" x14ac:dyDescent="0.2">
      <c r="A355" s="19"/>
      <c r="B355" s="19"/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4" t="str">
        <f>HYPERLINK("https://otsuka-europe-crm.veevavault.com/ui/#object/email_activity__v/V8C000000044714", "EN-002102997")</f>
        <v>EN-002102997</v>
      </c>
    </row>
    <row r="356" spans="1:15" ht="16" x14ac:dyDescent="0.2">
      <c r="A356" s="18" t="str">
        <f>HYPERLINK("https://otsuka-europe-crm.veevavault.com/ui/#object/account__v/V4TZ04ASG79ZVZJ", "IRENE LLANGOSTERA MARTINEZ")</f>
        <v>IRENE LLANGOSTERA MARTINEZ</v>
      </c>
      <c r="B356" s="18" t="str">
        <f>HYPERLINK("https://otsuka-europe-crm.veevavault.com/ui/#object/vcountry__v/VENZ000004SONF5", "ES")</f>
        <v>ES</v>
      </c>
      <c r="C356" s="20" t="s">
        <v>39</v>
      </c>
      <c r="D356" s="21" t="str">
        <f>HYPERLINK("https://otsuka-europe-crm.veevavault.com/ui/#object/approved_document__v/V5O00000000L012", "AM2M - Material adherencia")</f>
        <v>AM2M - Material adherencia</v>
      </c>
      <c r="E356" s="22" t="str">
        <f>HYPERLINK("https://otsuka-europe-crm.veevavault.com/ui/#object/sent_email__v/VBL00000002X227", "SE-001437789")</f>
        <v>SE-001437789</v>
      </c>
      <c r="F356" s="25">
        <v>46237.347604166665</v>
      </c>
      <c r="G356" s="24">
        <v>1</v>
      </c>
      <c r="H356" s="24">
        <v>9</v>
      </c>
      <c r="I356" s="24">
        <v>0</v>
      </c>
      <c r="J356" s="23"/>
      <c r="K356" s="24">
        <v>0</v>
      </c>
      <c r="L356" s="22" t="str">
        <f>HYPERLINK("https://otsuka-europe-crm.veevavault.com/ui/#object/approved_document__v/V5O00000000L012", "AM2M - Material adherencia")</f>
        <v>AM2M - Material adherencia</v>
      </c>
      <c r="M356" s="22" t="str">
        <f>HYPERLINK("mailto:mgravan@crm.otsuka-europe.com", "mgravan@crm.otsuka-europe.com")</f>
        <v>mgravan@crm.otsuka-europe.com</v>
      </c>
      <c r="N356" s="25">
        <v>46210.407048611109</v>
      </c>
      <c r="O356" s="14" t="str">
        <f>HYPERLINK("https://otsuka-europe-crm.veevavault.com/ui/#object/email_activity__v/V8C000000043609", "EN-002102780")</f>
        <v>EN-002102780</v>
      </c>
    </row>
    <row r="357" spans="1:15" ht="16" x14ac:dyDescent="0.2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14" t="str">
        <f>HYPERLINK("https://otsuka-europe-crm.veevavault.com/ui/#object/email_activity__v/V8C000000043706", "EN-002102962")</f>
        <v>EN-002102962</v>
      </c>
    </row>
    <row r="358" spans="1:15" ht="16" x14ac:dyDescent="0.2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14" t="str">
        <f>HYPERLINK("https://otsuka-europe-crm.veevavault.com/ui/#object/email_activity__v/V8C000000043755", "EN-002103048")</f>
        <v>EN-002103048</v>
      </c>
    </row>
    <row r="359" spans="1:15" ht="16" x14ac:dyDescent="0.2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14" t="str">
        <f>HYPERLINK("https://otsuka-europe-crm.veevavault.com/ui/#object/email_activity__v/V8C000000044699", "EN-002102960")</f>
        <v>EN-002102960</v>
      </c>
    </row>
    <row r="360" spans="1:15" ht="16" x14ac:dyDescent="0.2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14" t="str">
        <f>HYPERLINK("https://otsuka-europe-crm.veevavault.com/ui/#object/email_activity__v/V8C000000044700", "EN-002102961")</f>
        <v>EN-002102961</v>
      </c>
    </row>
    <row r="361" spans="1:15" ht="16" x14ac:dyDescent="0.2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14" t="str">
        <f>HYPERLINK("https://otsuka-europe-crm.veevavault.com/ui/#object/email_activity__v/V8C000000044739", "EN-002103049")</f>
        <v>EN-002103049</v>
      </c>
    </row>
    <row r="362" spans="1:15" ht="16" x14ac:dyDescent="0.2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14" t="str">
        <f>HYPERLINK("https://otsuka-europe-crm.veevavault.com/ui/#object/email_activity__v/V8C00000004E603", "EN-002109541")</f>
        <v>EN-002109541</v>
      </c>
    </row>
    <row r="363" spans="1:15" ht="16" x14ac:dyDescent="0.2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14" t="str">
        <f>HYPERLINK("https://otsuka-europe-crm.veevavault.com/ui/#object/email_activity__v/V8C00000004E604", "EN-002109542")</f>
        <v>EN-002109542</v>
      </c>
    </row>
    <row r="364" spans="1:15" ht="16" x14ac:dyDescent="0.2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14" t="str">
        <f>HYPERLINK("https://otsuka-europe-crm.veevavault.com/ui/#object/email_activity__v/V8C00000004I096", "EN-002111172")</f>
        <v>EN-002111172</v>
      </c>
    </row>
    <row r="365" spans="1:15" ht="16" x14ac:dyDescent="0.2">
      <c r="A365" s="19"/>
      <c r="B365" s="19"/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4" t="str">
        <f>HYPERLINK("https://otsuka-europe-crm.veevavault.com/ui/#object/email_activity__v/V8C00000004I101", "EN-002111183")</f>
        <v>EN-002111183</v>
      </c>
    </row>
    <row r="366" spans="1:15" ht="16" x14ac:dyDescent="0.2">
      <c r="A366" s="18" t="str">
        <f>HYPERLINK("https://otsuka-europe-crm.veevavault.com/ui/#object/account__v/V4T000000024067", "CARMEN MUÑOZ DE ARENILLAS RODRIGUEZ")</f>
        <v>CARMEN MUÑOZ DE ARENILLAS RODRIGUEZ</v>
      </c>
      <c r="B366" s="18" t="str">
        <f>HYPERLINK("https://otsuka-europe-crm.veevavault.com/ui/#object/vcountry__v/VENZ000004SONF5", "ES")</f>
        <v>ES</v>
      </c>
      <c r="C366" s="20" t="s">
        <v>39</v>
      </c>
      <c r="D366" s="21" t="str">
        <f>HYPERLINK("https://otsuka-europe-crm.veevavault.com/ui/#object/approved_document__v/V5O00000000L012", "AM2M - Material adherencia")</f>
        <v>AM2M - Material adherencia</v>
      </c>
      <c r="E366" s="22" t="str">
        <f>HYPERLINK("https://otsuka-europe-crm.veevavault.com/ui/#object/sent_email__v/VBL00000002X228", "SE-001437790")</f>
        <v>SE-001437790</v>
      </c>
      <c r="F366" s="23"/>
      <c r="G366" s="24">
        <v>0</v>
      </c>
      <c r="H366" s="24">
        <v>0</v>
      </c>
      <c r="I366" s="24">
        <v>0</v>
      </c>
      <c r="J366" s="23"/>
      <c r="K366" s="24">
        <v>0</v>
      </c>
      <c r="L366" s="22" t="str">
        <f>HYPERLINK("https://otsuka-europe-crm.veevavault.com/ui/#object/approved_document__v/V5O00000000L012", "AM2M - Material adherencia")</f>
        <v>AM2M - Material adherencia</v>
      </c>
      <c r="M366" s="22" t="str">
        <f>HYPERLINK("mailto:mgravan@crm.otsuka-europe.com", "mgravan@crm.otsuka-europe.com")</f>
        <v>mgravan@crm.otsuka-europe.com</v>
      </c>
      <c r="N366" s="25">
        <v>46210.407083333332</v>
      </c>
      <c r="O366" s="14" t="str">
        <f>HYPERLINK("https://otsuka-europe-crm.veevavault.com/ui/#object/email_activity__v/V8C000000043775", "EN-002103084")</f>
        <v>EN-002103084</v>
      </c>
    </row>
    <row r="367" spans="1:15" ht="16" x14ac:dyDescent="0.2">
      <c r="A367" s="19"/>
      <c r="B367" s="19"/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4" t="str">
        <f>HYPERLINK("https://otsuka-europe-crm.veevavault.com/ui/#object/email_activity__v/V8C000000044633", "EN-002102827")</f>
        <v>EN-002102827</v>
      </c>
    </row>
    <row r="368" spans="1:15" ht="32" x14ac:dyDescent="0.2">
      <c r="A368" s="7" t="str">
        <f>HYPERLINK("https://otsuka-europe-crm.veevavault.com/ui/#object/account__v/V4TZ025E83YCIZL", "MARTA ORTEGA SANCHEZ")</f>
        <v>MARTA ORTEGA SANCHEZ</v>
      </c>
      <c r="B368" s="7" t="str">
        <f>HYPERLINK("https://otsuka-europe-crm.veevavault.com/ui/#object/vcountry__v/VENZ000004SONF5", "ES")</f>
        <v>ES</v>
      </c>
      <c r="C368" s="8" t="s">
        <v>39</v>
      </c>
      <c r="D368" s="9" t="str">
        <f>HYPERLINK("https://otsuka-europe-crm.veevavault.com/ui/#object/approved_document__v/V5O00000000L012", "AM2M - Material adherencia")</f>
        <v>AM2M - Material adherencia</v>
      </c>
      <c r="E368" s="10" t="str">
        <f>HYPERLINK("https://otsuka-europe-crm.veevavault.com/ui/#object/sent_email__v/VBL00000002X229", "SE-001437791")</f>
        <v>SE-001437791</v>
      </c>
      <c r="F368" s="11"/>
      <c r="G368" s="12">
        <v>0</v>
      </c>
      <c r="H368" s="12">
        <v>0</v>
      </c>
      <c r="I368" s="12">
        <v>0</v>
      </c>
      <c r="J368" s="11"/>
      <c r="K368" s="12">
        <v>0</v>
      </c>
      <c r="L368" s="10" t="str">
        <f>HYPERLINK("https://otsuka-europe-crm.veevavault.com/ui/#object/approved_document__v/V5O00000000L012", "AM2M - Material adherencia")</f>
        <v>AM2M - Material adherencia</v>
      </c>
      <c r="M368" s="10" t="str">
        <f>HYPERLINK("mailto:mgravan@crm.otsuka-europe.com", "mgravan@crm.otsuka-europe.com")</f>
        <v>mgravan@crm.otsuka-europe.com</v>
      </c>
      <c r="N368" s="13">
        <v>46210.407048611109</v>
      </c>
      <c r="O368" s="14" t="str">
        <f>HYPERLINK("https://otsuka-europe-crm.veevavault.com/ui/#object/email_activity__v/V8C000000043610", "EN-002102781")</f>
        <v>EN-002102781</v>
      </c>
    </row>
    <row r="369" spans="1:15" ht="16" x14ac:dyDescent="0.2">
      <c r="A369" s="18" t="str">
        <f>HYPERLINK("https://otsuka-europe-crm.veevavault.com/ui/#object/account__v/V4TZ025E87X8721", "SOFIA MARRON FERNANDEZ")</f>
        <v>SOFIA MARRON FERNANDEZ</v>
      </c>
      <c r="B369" s="18" t="str">
        <f>HYPERLINK("https://otsuka-europe-crm.veevavault.com/ui/#object/vcountry__v/VENZ000004SONF5", "ES")</f>
        <v>ES</v>
      </c>
      <c r="C369" s="20" t="s">
        <v>39</v>
      </c>
      <c r="D369" s="21" t="str">
        <f>HYPERLINK("https://otsuka-europe-crm.veevavault.com/ui/#object/approved_document__v/V5O00000000L012", "AM2M - Material adherencia")</f>
        <v>AM2M - Material adherencia</v>
      </c>
      <c r="E369" s="22" t="str">
        <f>HYPERLINK("https://otsuka-europe-crm.veevavault.com/ui/#object/sent_email__v/VBL00000002X230", "SE-001437792")</f>
        <v>SE-001437792</v>
      </c>
      <c r="F369" s="25">
        <v>46210.756377314814</v>
      </c>
      <c r="G369" s="24">
        <v>1</v>
      </c>
      <c r="H369" s="24">
        <v>1</v>
      </c>
      <c r="I369" s="24">
        <v>0</v>
      </c>
      <c r="J369" s="23"/>
      <c r="K369" s="24">
        <v>0</v>
      </c>
      <c r="L369" s="22" t="str">
        <f>HYPERLINK("https://otsuka-europe-crm.veevavault.com/ui/#object/approved_document__v/V5O00000000L012", "AM2M - Material adherencia")</f>
        <v>AM2M - Material adherencia</v>
      </c>
      <c r="M369" s="22" t="str">
        <f>HYPERLINK("mailto:mgravan@crm.otsuka-europe.com", "mgravan@crm.otsuka-europe.com")</f>
        <v>mgravan@crm.otsuka-europe.com</v>
      </c>
      <c r="N369" s="25">
        <v>46210.407083333332</v>
      </c>
      <c r="O369" s="14" t="str">
        <f>HYPERLINK("https://otsuka-europe-crm.veevavault.com/ui/#object/email_activity__v/V8C000000043629", "EN-002102800")</f>
        <v>EN-002102800</v>
      </c>
    </row>
    <row r="370" spans="1:15" ht="16" x14ac:dyDescent="0.2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14" t="str">
        <f>HYPERLINK("https://otsuka-europe-crm.veevavault.com/ui/#object/email_activity__v/V8C000000044751", "EN-002103077")</f>
        <v>EN-002103077</v>
      </c>
    </row>
    <row r="371" spans="1:15" ht="16" x14ac:dyDescent="0.2">
      <c r="A371" s="19"/>
      <c r="B371" s="19"/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4" t="str">
        <f>HYPERLINK("https://otsuka-europe-crm.veevavault.com/ui/#object/email_activity__v/V8C00000004B059", "EN-002106836")</f>
        <v>EN-002106836</v>
      </c>
    </row>
    <row r="372" spans="1:15" ht="16" x14ac:dyDescent="0.2">
      <c r="A372" s="18" t="str">
        <f>HYPERLINK("https://otsuka-europe-crm.veevavault.com/ui/#object/account__v/V4TZ025E899NPEZ", "MARIA CARRASCO GALAN")</f>
        <v>MARIA CARRASCO GALAN</v>
      </c>
      <c r="B372" s="18" t="str">
        <f>HYPERLINK("https://otsuka-europe-crm.veevavault.com/ui/#object/vcountry__v/VENZ000004SONF5", "ES")</f>
        <v>ES</v>
      </c>
      <c r="C372" s="20" t="s">
        <v>39</v>
      </c>
      <c r="D372" s="21" t="str">
        <f>HYPERLINK("https://otsuka-europe-crm.veevavault.com/ui/#object/approved_document__v/V5O00000000L012", "AM2M - Material adherencia")</f>
        <v>AM2M - Material adherencia</v>
      </c>
      <c r="E372" s="22" t="str">
        <f>HYPERLINK("https://otsuka-europe-crm.veevavault.com/ui/#object/sent_email__v/VBL00000002X231", "SE-001437793")</f>
        <v>SE-001437793</v>
      </c>
      <c r="F372" s="23"/>
      <c r="G372" s="24">
        <v>0</v>
      </c>
      <c r="H372" s="24">
        <v>0</v>
      </c>
      <c r="I372" s="24">
        <v>0</v>
      </c>
      <c r="J372" s="23"/>
      <c r="K372" s="24">
        <v>0</v>
      </c>
      <c r="L372" s="22" t="str">
        <f>HYPERLINK("https://otsuka-europe-crm.veevavault.com/ui/#object/approved_document__v/V5O00000000L012", "AM2M - Material adherencia")</f>
        <v>AM2M - Material adherencia</v>
      </c>
      <c r="M372" s="22" t="str">
        <f>HYPERLINK("mailto:mgravan@crm.otsuka-europe.com", "mgravan@crm.otsuka-europe.com")</f>
        <v>mgravan@crm.otsuka-europe.com</v>
      </c>
      <c r="N372" s="25">
        <v>46210.407083333332</v>
      </c>
      <c r="O372" s="14" t="str">
        <f>HYPERLINK("https://otsuka-europe-crm.veevavault.com/ui/#object/email_activity__v/V8C000000043653", "EN-002102860")</f>
        <v>EN-002102860</v>
      </c>
    </row>
    <row r="373" spans="1:15" ht="16" x14ac:dyDescent="0.2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14" t="str">
        <f>HYPERLINK("https://otsuka-europe-crm.veevavault.com/ui/#object/email_activity__v/V8C000000047031", "EN-002104203")</f>
        <v>EN-002104203</v>
      </c>
    </row>
    <row r="374" spans="1:15" ht="16" x14ac:dyDescent="0.2">
      <c r="A374" s="19"/>
      <c r="B374" s="19"/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4" t="str">
        <f>HYPERLINK("https://otsuka-europe-crm.veevavault.com/ui/#object/email_activity__v/V8C000000047032", "EN-002104204")</f>
        <v>EN-002104204</v>
      </c>
    </row>
    <row r="375" spans="1:15" ht="16" x14ac:dyDescent="0.2">
      <c r="A375" s="18" t="str">
        <f>HYPERLINK("https://otsuka-europe-crm.veevavault.com/ui/#object/account__v/V4TZ04ASGFD2I2Y", "ELENA ISABEL CABALLERO MORENO")</f>
        <v>ELENA ISABEL CABALLERO MORENO</v>
      </c>
      <c r="B375" s="18" t="str">
        <f>HYPERLINK("https://otsuka-europe-crm.veevavault.com/ui/#object/vcountry__v/VENZ000004SONF5", "ES")</f>
        <v>ES</v>
      </c>
      <c r="C375" s="20" t="s">
        <v>39</v>
      </c>
      <c r="D375" s="21" t="str">
        <f>HYPERLINK("https://otsuka-europe-crm.veevavault.com/ui/#object/approved_document__v/V5O00000000L012", "AM2M - Material adherencia")</f>
        <v>AM2M - Material adherencia</v>
      </c>
      <c r="E375" s="22" t="str">
        <f>HYPERLINK("https://otsuka-europe-crm.veevavault.com/ui/#object/sent_email__v/VBL00000002X232", "SE-001437794")</f>
        <v>SE-001437794</v>
      </c>
      <c r="F375" s="25">
        <v>46210.516018518516</v>
      </c>
      <c r="G375" s="24">
        <v>1</v>
      </c>
      <c r="H375" s="24">
        <v>1</v>
      </c>
      <c r="I375" s="24">
        <v>0</v>
      </c>
      <c r="J375" s="23"/>
      <c r="K375" s="24">
        <v>0</v>
      </c>
      <c r="L375" s="22" t="str">
        <f>HYPERLINK("https://otsuka-europe-crm.veevavault.com/ui/#object/approved_document__v/V5O00000000L012", "AM2M - Material adherencia")</f>
        <v>AM2M - Material adherencia</v>
      </c>
      <c r="M375" s="22" t="str">
        <f>HYPERLINK("mailto:mgravan@crm.otsuka-europe.com", "mgravan@crm.otsuka-europe.com")</f>
        <v>mgravan@crm.otsuka-europe.com</v>
      </c>
      <c r="N375" s="25">
        <v>46210.407094907408</v>
      </c>
      <c r="O375" s="14" t="str">
        <f>HYPERLINK("https://otsuka-europe-crm.veevavault.com/ui/#object/email_activity__v/V8C000000043635", "EN-002102812")</f>
        <v>EN-002102812</v>
      </c>
    </row>
    <row r="376" spans="1:15" ht="16" x14ac:dyDescent="0.2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14" t="str">
        <f>HYPERLINK("https://otsuka-europe-crm.veevavault.com/ui/#object/email_activity__v/V8C000000044708", "EN-002102977")</f>
        <v>EN-002102977</v>
      </c>
    </row>
    <row r="377" spans="1:15" ht="16" x14ac:dyDescent="0.2">
      <c r="A377" s="19"/>
      <c r="B377" s="19"/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4" t="str">
        <f>HYPERLINK("https://otsuka-europe-crm.veevavault.com/ui/#object/email_activity__v/V8C00000004B080", "EN-002106870")</f>
        <v>EN-002106870</v>
      </c>
    </row>
    <row r="378" spans="1:15" ht="16" x14ac:dyDescent="0.2">
      <c r="A378" s="18" t="str">
        <f>HYPERLINK("https://otsuka-europe-crm.veevavault.com/ui/#object/account__v/V4T000000027059", "MARIA ROMERO GALAN")</f>
        <v>MARIA ROMERO GALAN</v>
      </c>
      <c r="B378" s="18" t="str">
        <f>HYPERLINK("https://otsuka-europe-crm.veevavault.com/ui/#object/vcountry__v/VENZ000004SONF5", "ES")</f>
        <v>ES</v>
      </c>
      <c r="C378" s="20" t="s">
        <v>39</v>
      </c>
      <c r="D378" s="21" t="str">
        <f>HYPERLINK("https://otsuka-europe-crm.veevavault.com/ui/#object/approved_document__v/V5O00000000L012", "AM2M - Material adherencia")</f>
        <v>AM2M - Material adherencia</v>
      </c>
      <c r="E378" s="22" t="str">
        <f>HYPERLINK("https://otsuka-europe-crm.veevavault.com/ui/#object/sent_email__v/VBL00000002X233", "SE-001437795")</f>
        <v>SE-001437795</v>
      </c>
      <c r="F378" s="25">
        <v>46210.57439814815</v>
      </c>
      <c r="G378" s="24">
        <v>1</v>
      </c>
      <c r="H378" s="24">
        <v>4</v>
      </c>
      <c r="I378" s="24">
        <v>0</v>
      </c>
      <c r="J378" s="23"/>
      <c r="K378" s="24">
        <v>0</v>
      </c>
      <c r="L378" s="22" t="str">
        <f>HYPERLINK("https://otsuka-europe-crm.veevavault.com/ui/#object/approved_document__v/V5O00000000L012", "AM2M - Material adherencia")</f>
        <v>AM2M - Material adherencia</v>
      </c>
      <c r="M378" s="22" t="str">
        <f>HYPERLINK("mailto:mgravan@crm.otsuka-europe.com", "mgravan@crm.otsuka-europe.com")</f>
        <v>mgravan@crm.otsuka-europe.com</v>
      </c>
      <c r="N378" s="25">
        <v>46210.407094907408</v>
      </c>
      <c r="O378" s="14" t="str">
        <f>HYPERLINK("https://otsuka-europe-crm.veevavault.com/ui/#object/email_activity__v/V8C000000044635", "EN-002102829")</f>
        <v>EN-002102829</v>
      </c>
    </row>
    <row r="379" spans="1:15" ht="16" x14ac:dyDescent="0.2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14" t="str">
        <f>HYPERLINK("https://otsuka-europe-crm.veevavault.com/ui/#object/email_activity__v/V8C000000044679", "EN-002102928")</f>
        <v>EN-002102928</v>
      </c>
    </row>
    <row r="380" spans="1:15" ht="16" x14ac:dyDescent="0.2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14" t="str">
        <f>HYPERLINK("https://otsuka-europe-crm.veevavault.com/ui/#object/email_activity__v/V8C000000044703", "EN-002102968")</f>
        <v>EN-002102968</v>
      </c>
    </row>
    <row r="381" spans="1:15" ht="16" x14ac:dyDescent="0.2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14" t="str">
        <f>HYPERLINK("https://otsuka-europe-crm.veevavault.com/ui/#object/email_activity__v/V8C000000044704", "EN-002102969")</f>
        <v>EN-002102969</v>
      </c>
    </row>
    <row r="382" spans="1:15" ht="16" x14ac:dyDescent="0.2">
      <c r="A382" s="19"/>
      <c r="B382" s="19"/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4" t="str">
        <f>HYPERLINK("https://otsuka-europe-crm.veevavault.com/ui/#object/email_activity__v/V8C000000044717", "EN-002103008")</f>
        <v>EN-002103008</v>
      </c>
    </row>
    <row r="383" spans="1:15" ht="16" x14ac:dyDescent="0.2">
      <c r="A383" s="18" t="str">
        <f>HYPERLINK("https://otsuka-europe-crm.veevavault.com/ui/#object/account__v/V4TZ025E85AY5SL", "MARTA CENTENO SANTANA")</f>
        <v>MARTA CENTENO SANTANA</v>
      </c>
      <c r="B383" s="18" t="str">
        <f>HYPERLINK("https://otsuka-europe-crm.veevavault.com/ui/#object/vcountry__v/VENZ000004SONF5", "ES")</f>
        <v>ES</v>
      </c>
      <c r="C383" s="20" t="s">
        <v>39</v>
      </c>
      <c r="D383" s="21" t="str">
        <f>HYPERLINK("https://otsuka-europe-crm.veevavault.com/ui/#object/approved_document__v/V5O00000000L012", "AM2M - Material adherencia")</f>
        <v>AM2M - Material adherencia</v>
      </c>
      <c r="E383" s="22" t="str">
        <f>HYPERLINK("https://otsuka-europe-crm.veevavault.com/ui/#object/sent_email__v/VBL00000002X234", "SE-001437796")</f>
        <v>SE-001437796</v>
      </c>
      <c r="F383" s="25">
        <v>46216.60224537037</v>
      </c>
      <c r="G383" s="24">
        <v>1</v>
      </c>
      <c r="H383" s="24">
        <v>4</v>
      </c>
      <c r="I383" s="24">
        <v>0</v>
      </c>
      <c r="J383" s="23"/>
      <c r="K383" s="24">
        <v>0</v>
      </c>
      <c r="L383" s="22" t="str">
        <f>HYPERLINK("https://otsuka-europe-crm.veevavault.com/ui/#object/approved_document__v/V5O00000000L012", "AM2M - Material adherencia")</f>
        <v>AM2M - Material adherencia</v>
      </c>
      <c r="M383" s="22" t="str">
        <f>HYPERLINK("mailto:mgravan@crm.otsuka-europe.com", "mgravan@crm.otsuka-europe.com")</f>
        <v>mgravan@crm.otsuka-europe.com</v>
      </c>
      <c r="N383" s="25">
        <v>46210.407083333332</v>
      </c>
      <c r="O383" s="14" t="str">
        <f>HYPERLINK("https://otsuka-europe-crm.veevavault.com/ui/#object/email_activity__v/V8C000000043615", "EN-002102786")</f>
        <v>EN-002102786</v>
      </c>
    </row>
    <row r="384" spans="1:15" ht="16" x14ac:dyDescent="0.2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14" t="str">
        <f>HYPERLINK("https://otsuka-europe-crm.veevavault.com/ui/#object/email_activity__v/V8C000000043745", "EN-002103027")</f>
        <v>EN-002103027</v>
      </c>
    </row>
    <row r="385" spans="1:15" ht="16" x14ac:dyDescent="0.2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14" t="str">
        <f>HYPERLINK("https://otsuka-europe-crm.veevavault.com/ui/#object/email_activity__v/V8C000000043746", "EN-002103028")</f>
        <v>EN-002103028</v>
      </c>
    </row>
    <row r="386" spans="1:15" ht="16" x14ac:dyDescent="0.2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14" t="str">
        <f>HYPERLINK("https://otsuka-europe-crm.veevavault.com/ui/#object/email_activity__v/V8C00000004A297", "EN-002105521")</f>
        <v>EN-002105521</v>
      </c>
    </row>
    <row r="387" spans="1:15" ht="16" x14ac:dyDescent="0.2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14" t="str">
        <f>HYPERLINK("https://otsuka-europe-crm.veevavault.com/ui/#object/email_activity__v/V8C00000004A298", "EN-002105522")</f>
        <v>EN-002105522</v>
      </c>
    </row>
    <row r="388" spans="1:15" ht="16" x14ac:dyDescent="0.2">
      <c r="A388" s="19"/>
      <c r="B388" s="19"/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4" t="str">
        <f>HYPERLINK("https://otsuka-europe-crm.veevavault.com/ui/#object/email_activity__v/V8C00000004A637", "EN-002106187")</f>
        <v>EN-002106187</v>
      </c>
    </row>
    <row r="389" spans="1:15" ht="32" x14ac:dyDescent="0.2">
      <c r="A389" s="7" t="str">
        <f>HYPERLINK("https://otsuka-europe-crm.veevavault.com/ui/#object/account__v/V4TZ04ASGETOS6Y", "NOHEMI LIONIS VARGAS")</f>
        <v>NOHEMI LIONIS VARGAS</v>
      </c>
      <c r="B389" s="7" t="str">
        <f>HYPERLINK("https://otsuka-europe-crm.veevavault.com/ui/#object/vcountry__v/VENZ000004SONF5", "ES")</f>
        <v>ES</v>
      </c>
      <c r="C389" s="8" t="s">
        <v>39</v>
      </c>
      <c r="D389" s="9" t="str">
        <f>HYPERLINK("https://otsuka-europe-crm.veevavault.com/ui/#object/approved_document__v/V5O00000000L012", "AM2M - Material adherencia")</f>
        <v>AM2M - Material adherencia</v>
      </c>
      <c r="E389" s="10" t="str">
        <f>HYPERLINK("https://otsuka-europe-crm.veevavault.com/ui/#object/sent_email__v/VBL00000002X235", "SE-001437797")</f>
        <v>SE-001437797</v>
      </c>
      <c r="F389" s="11"/>
      <c r="G389" s="12">
        <v>0</v>
      </c>
      <c r="H389" s="12">
        <v>0</v>
      </c>
      <c r="I389" s="12">
        <v>0</v>
      </c>
      <c r="J389" s="11"/>
      <c r="K389" s="12">
        <v>0</v>
      </c>
      <c r="L389" s="10" t="str">
        <f>HYPERLINK("https://otsuka-europe-crm.veevavault.com/ui/#object/approved_document__v/V5O00000000L012", "AM2M - Material adherencia")</f>
        <v>AM2M - Material adherencia</v>
      </c>
      <c r="M389" s="10" t="str">
        <f>HYPERLINK("mailto:mgravan@crm.otsuka-europe.com", "mgravan@crm.otsuka-europe.com")</f>
        <v>mgravan@crm.otsuka-europe.com</v>
      </c>
      <c r="N389" s="13">
        <v>46210.407083333332</v>
      </c>
      <c r="O389" s="14" t="str">
        <f>HYPERLINK("https://otsuka-europe-crm.veevavault.com/ui/#object/email_activity__v/V8C000000043649", "EN-002102856")</f>
        <v>EN-002102856</v>
      </c>
    </row>
    <row r="390" spans="1:15" ht="32" x14ac:dyDescent="0.2">
      <c r="A390" s="7" t="str">
        <f>HYPERLINK("https://otsuka-europe-crm.veevavault.com/ui/#object/account__v/V4TZ04ASGE0FLLL", "SOFIA VILAMAJO GODON")</f>
        <v>SOFIA VILAMAJO GODON</v>
      </c>
      <c r="B390" s="7" t="str">
        <f>HYPERLINK("https://otsuka-europe-crm.veevavault.com/ui/#object/vcountry__v/VENZ000004SONF5", "ES")</f>
        <v>ES</v>
      </c>
      <c r="C390" s="8" t="s">
        <v>39</v>
      </c>
      <c r="D390" s="9" t="str">
        <f>HYPERLINK("https://otsuka-europe-crm.veevavault.com/ui/#object/approved_document__v/V5O00000000L012", "AM2M - Material adherencia")</f>
        <v>AM2M - Material adherencia</v>
      </c>
      <c r="E390" s="10" t="str">
        <f>HYPERLINK("https://otsuka-europe-crm.veevavault.com/ui/#object/sent_email__v/VBL00000002X236", "SE-001437798")</f>
        <v>SE-001437798</v>
      </c>
      <c r="F390" s="11"/>
      <c r="G390" s="12">
        <v>0</v>
      </c>
      <c r="H390" s="12">
        <v>0</v>
      </c>
      <c r="I390" s="12">
        <v>0</v>
      </c>
      <c r="J390" s="11"/>
      <c r="K390" s="12">
        <v>0</v>
      </c>
      <c r="L390" s="10" t="str">
        <f>HYPERLINK("https://otsuka-europe-crm.veevavault.com/ui/#object/approved_document__v/V5O00000000L012", "AM2M - Material adherencia")</f>
        <v>AM2M - Material adherencia</v>
      </c>
      <c r="M390" s="10" t="str">
        <f>HYPERLINK("mailto:mgravan@crm.otsuka-europe.com", "mgravan@crm.otsuka-europe.com")</f>
        <v>mgravan@crm.otsuka-europe.com</v>
      </c>
      <c r="N390" s="13">
        <v>46210.407083333332</v>
      </c>
      <c r="O390" s="14" t="str">
        <f>HYPERLINK("https://otsuka-europe-crm.veevavault.com/ui/#object/email_activity__v/V8C000000043612", "EN-002102783")</f>
        <v>EN-002102783</v>
      </c>
    </row>
    <row r="391" spans="1:15" ht="32" x14ac:dyDescent="0.2">
      <c r="A391" s="7" t="str">
        <f>HYPERLINK("https://otsuka-europe-crm.veevavault.com/ui/#object/account__v/V4TZ04ASGGC094O", "LAURA RAMIREZ MARTINEZ")</f>
        <v>LAURA RAMIREZ MARTINEZ</v>
      </c>
      <c r="B391" s="7" t="str">
        <f>HYPERLINK("https://otsuka-europe-crm.veevavault.com/ui/#object/vcountry__v/VENZ000004SONF5", "ES")</f>
        <v>ES</v>
      </c>
      <c r="C391" s="8" t="s">
        <v>39</v>
      </c>
      <c r="D391" s="9" t="str">
        <f>HYPERLINK("https://otsuka-europe-crm.veevavault.com/ui/#object/approved_document__v/V5O00000000L012", "AM2M - Material adherencia")</f>
        <v>AM2M - Material adherencia</v>
      </c>
      <c r="E391" s="10" t="str">
        <f>HYPERLINK("https://otsuka-europe-crm.veevavault.com/ui/#object/sent_email__v/VBL00000002X237", "SE-001437799")</f>
        <v>SE-001437799</v>
      </c>
      <c r="F391" s="11"/>
      <c r="G391" s="12">
        <v>0</v>
      </c>
      <c r="H391" s="12">
        <v>0</v>
      </c>
      <c r="I391" s="12">
        <v>0</v>
      </c>
      <c r="J391" s="11"/>
      <c r="K391" s="12">
        <v>0</v>
      </c>
      <c r="L391" s="10" t="str">
        <f>HYPERLINK("https://otsuka-europe-crm.veevavault.com/ui/#object/approved_document__v/V5O00000000L012", "AM2M - Material adherencia")</f>
        <v>AM2M - Material adherencia</v>
      </c>
      <c r="M391" s="10" t="str">
        <f>HYPERLINK("mailto:mgravan@crm.otsuka-europe.com", "mgravan@crm.otsuka-europe.com")</f>
        <v>mgravan@crm.otsuka-europe.com</v>
      </c>
      <c r="N391" s="13">
        <v>46210.407094907408</v>
      </c>
      <c r="O391" s="14" t="str">
        <f>HYPERLINK("https://otsuka-europe-crm.veevavault.com/ui/#object/email_activity__v/V8C000000043636", "EN-002102813")</f>
        <v>EN-002102813</v>
      </c>
    </row>
    <row r="392" spans="1:15" ht="32" x14ac:dyDescent="0.2">
      <c r="A392" s="7" t="str">
        <f>HYPERLINK("https://otsuka-europe-crm.veevavault.com/ui/#object/account__v/V4TZ025E85IAZ7I", "DANIEL GONZALEZ MORA")</f>
        <v>DANIEL GONZALEZ MORA</v>
      </c>
      <c r="B392" s="7" t="str">
        <f>HYPERLINK("https://otsuka-europe-crm.veevavault.com/ui/#object/vcountry__v/VENZ000004SONF5", "ES")</f>
        <v>ES</v>
      </c>
      <c r="C392" s="8" t="s">
        <v>39</v>
      </c>
      <c r="D392" s="9" t="str">
        <f>HYPERLINK("https://otsuka-europe-crm.veevavault.com/ui/#object/approved_document__v/V5O00000000L012", "AM2M - Material adherencia")</f>
        <v>AM2M - Material adherencia</v>
      </c>
      <c r="E392" s="10" t="str">
        <f>HYPERLINK("https://otsuka-europe-crm.veevavault.com/ui/#object/sent_email__v/VBL00000002X238", "SE-001437800")</f>
        <v>SE-001437800</v>
      </c>
      <c r="F392" s="11"/>
      <c r="G392" s="12">
        <v>0</v>
      </c>
      <c r="H392" s="12">
        <v>0</v>
      </c>
      <c r="I392" s="12">
        <v>0</v>
      </c>
      <c r="J392" s="11"/>
      <c r="K392" s="12">
        <v>0</v>
      </c>
      <c r="L392" s="10" t="str">
        <f>HYPERLINK("https://otsuka-europe-crm.veevavault.com/ui/#object/approved_document__v/V5O00000000L012", "AM2M - Material adherencia")</f>
        <v>AM2M - Material adherencia</v>
      </c>
      <c r="M392" s="10" t="str">
        <f>HYPERLINK("mailto:mgravan@crm.otsuka-europe.com", "mgravan@crm.otsuka-europe.com")</f>
        <v>mgravan@crm.otsuka-europe.com</v>
      </c>
      <c r="N392" s="13">
        <v>46210.407083333332</v>
      </c>
      <c r="O392" s="14" t="str">
        <f>HYPERLINK("https://otsuka-europe-crm.veevavault.com/ui/#object/email_activity__v/V8C000000043654", "EN-002102861")</f>
        <v>EN-002102861</v>
      </c>
    </row>
    <row r="393" spans="1:15" ht="16" x14ac:dyDescent="0.2">
      <c r="A393" s="18" t="str">
        <f>HYPERLINK("https://otsuka-europe-crm.veevavault.com/ui/#object/account__v/V4TZ04ASG76HQYN", "MARTA NARANJO ACOSTA")</f>
        <v>MARTA NARANJO ACOSTA</v>
      </c>
      <c r="B393" s="18" t="str">
        <f>HYPERLINK("https://otsuka-europe-crm.veevavault.com/ui/#object/vcountry__v/VENZ000004SONF5", "ES")</f>
        <v>ES</v>
      </c>
      <c r="C393" s="20" t="s">
        <v>39</v>
      </c>
      <c r="D393" s="21" t="str">
        <f>HYPERLINK("https://otsuka-europe-crm.veevavault.com/ui/#object/approved_document__v/V5O00000000L012", "AM2M - Material adherencia")</f>
        <v>AM2M - Material adherencia</v>
      </c>
      <c r="E393" s="22" t="str">
        <f>HYPERLINK("https://otsuka-europe-crm.veevavault.com/ui/#object/sent_email__v/VBL00000002X239", "SE-001437801")</f>
        <v>SE-001437801</v>
      </c>
      <c r="F393" s="25">
        <v>46210.414456018516</v>
      </c>
      <c r="G393" s="24">
        <v>1</v>
      </c>
      <c r="H393" s="24">
        <v>2</v>
      </c>
      <c r="I393" s="24">
        <v>1</v>
      </c>
      <c r="J393" s="25">
        <v>46210.414456018516</v>
      </c>
      <c r="K393" s="24">
        <v>1</v>
      </c>
      <c r="L393" s="22" t="str">
        <f>HYPERLINK("https://otsuka-europe-crm.veevavault.com/ui/#object/approved_document__v/V5O00000000L012", "AM2M - Material adherencia")</f>
        <v>AM2M - Material adherencia</v>
      </c>
      <c r="M393" s="22" t="str">
        <f>HYPERLINK("mailto:mgravan@crm.otsuka-europe.com", "mgravan@crm.otsuka-europe.com")</f>
        <v>mgravan@crm.otsuka-europe.com</v>
      </c>
      <c r="N393" s="25">
        <v>46210.407083333332</v>
      </c>
      <c r="O393" s="14" t="str">
        <f>HYPERLINK("https://otsuka-europe-crm.veevavault.com/ui/#object/email_activity__v/V8C000000043697", "EN-002102940")</f>
        <v>EN-002102940</v>
      </c>
    </row>
    <row r="394" spans="1:15" ht="16" x14ac:dyDescent="0.2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14" t="str">
        <f>HYPERLINK("https://otsuka-europe-crm.veevavault.com/ui/#object/email_activity__v/V8C000000043804", "EN-002103132")</f>
        <v>EN-002103132</v>
      </c>
    </row>
    <row r="395" spans="1:15" ht="16" x14ac:dyDescent="0.2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14" t="str">
        <f>HYPERLINK("https://otsuka-europe-crm.veevavault.com/ui/#object/email_activity__v/V8C000000044665", "EN-002102884")</f>
        <v>EN-002102884</v>
      </c>
    </row>
    <row r="396" spans="1:15" ht="16" x14ac:dyDescent="0.2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14" t="str">
        <f>HYPERLINK("https://otsuka-europe-crm.veevavault.com/ui/#object/email_activity__v/V8C000000044681", "EN-002102932")</f>
        <v>EN-002102932</v>
      </c>
    </row>
    <row r="397" spans="1:15" ht="16" x14ac:dyDescent="0.2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14" t="str">
        <f>HYPERLINK("https://otsuka-europe-crm.veevavault.com/ui/#object/email_activity__v/V8C000000044682", "EN-002102931")</f>
        <v>EN-002102931</v>
      </c>
    </row>
    <row r="398" spans="1:15" ht="16" x14ac:dyDescent="0.2">
      <c r="A398" s="19"/>
      <c r="B398" s="19"/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4" t="str">
        <f>HYPERLINK("https://otsuka-europe-crm.veevavault.com/ui/#object/email_activity__v/V8C000000044683", "EN-002102933")</f>
        <v>EN-002102933</v>
      </c>
    </row>
    <row r="399" spans="1:15" ht="32" x14ac:dyDescent="0.2">
      <c r="A399" s="7" t="str">
        <f>HYPERLINK("https://otsuka-europe-crm.veevavault.com/ui/#object/account__v/V4TZ025E83XSK33", "PILAR LOPEZ SOLER")</f>
        <v>PILAR LOPEZ SOLER</v>
      </c>
      <c r="B399" s="7" t="str">
        <f>HYPERLINK("https://otsuka-europe-crm.veevavault.com/ui/#object/vcountry__v/VENZ000004SONF5", "ES")</f>
        <v>ES</v>
      </c>
      <c r="C399" s="8" t="s">
        <v>39</v>
      </c>
      <c r="D399" s="9" t="str">
        <f>HYPERLINK("https://otsuka-europe-crm.veevavault.com/ui/#object/approved_document__v/V5O00000000L012", "AM2M - Material adherencia")</f>
        <v>AM2M - Material adherencia</v>
      </c>
      <c r="E399" s="10" t="str">
        <f>HYPERLINK("https://otsuka-europe-crm.veevavault.com/ui/#object/sent_email__v/VBL00000002X240", "SE-001437802")</f>
        <v>SE-001437802</v>
      </c>
      <c r="F399" s="11"/>
      <c r="G399" s="12">
        <v>0</v>
      </c>
      <c r="H399" s="12">
        <v>0</v>
      </c>
      <c r="I399" s="12">
        <v>0</v>
      </c>
      <c r="J399" s="11"/>
      <c r="K399" s="12">
        <v>0</v>
      </c>
      <c r="L399" s="10" t="str">
        <f>HYPERLINK("https://otsuka-europe-crm.veevavault.com/ui/#object/approved_document__v/V5O00000000L012", "AM2M - Material adherencia")</f>
        <v>AM2M - Material adherencia</v>
      </c>
      <c r="M399" s="10" t="str">
        <f>HYPERLINK("mailto:mgravan@crm.otsuka-europe.com", "mgravan@crm.otsuka-europe.com")</f>
        <v>mgravan@crm.otsuka-europe.com</v>
      </c>
      <c r="N399" s="13">
        <v>46210.407083333332</v>
      </c>
      <c r="O399" s="14" t="str">
        <f>HYPERLINK("https://otsuka-europe-crm.veevavault.com/ui/#object/email_activity__v/V8C000000044667", "EN-002102905")</f>
        <v>EN-002102905</v>
      </c>
    </row>
    <row r="400" spans="1:15" ht="16" x14ac:dyDescent="0.2">
      <c r="A400" s="18" t="str">
        <f>HYPERLINK("https://otsuka-europe-crm.veevavault.com/ui/#object/account__v/V4TZ025E881K8SZ", "ZULMA MELISSA ALVARADO URQUIA")</f>
        <v>ZULMA MELISSA ALVARADO URQUIA</v>
      </c>
      <c r="B400" s="18" t="str">
        <f>HYPERLINK("https://otsuka-europe-crm.veevavault.com/ui/#object/vcountry__v/VENZ000004SONF5", "ES")</f>
        <v>ES</v>
      </c>
      <c r="C400" s="20" t="s">
        <v>39</v>
      </c>
      <c r="D400" s="21" t="str">
        <f>HYPERLINK("https://otsuka-europe-crm.veevavault.com/ui/#object/approved_document__v/V5O00000000L012", "AM2M - Material adherencia")</f>
        <v>AM2M - Material adherencia</v>
      </c>
      <c r="E400" s="22" t="str">
        <f>HYPERLINK("https://otsuka-europe-crm.veevavault.com/ui/#object/sent_email__v/VBL00000002X241", "SE-001437803")</f>
        <v>SE-001437803</v>
      </c>
      <c r="F400" s="25">
        <v>46210.490891203706</v>
      </c>
      <c r="G400" s="24">
        <v>1</v>
      </c>
      <c r="H400" s="24">
        <v>3</v>
      </c>
      <c r="I400" s="24">
        <v>0</v>
      </c>
      <c r="J400" s="23"/>
      <c r="K400" s="24">
        <v>0</v>
      </c>
      <c r="L400" s="22" t="str">
        <f>HYPERLINK("https://otsuka-europe-crm.veevavault.com/ui/#object/approved_document__v/V5O00000000L012", "AM2M - Material adherencia")</f>
        <v>AM2M - Material adherencia</v>
      </c>
      <c r="M400" s="22" t="str">
        <f>HYPERLINK("mailto:mgravan@crm.otsuka-europe.com", "mgravan@crm.otsuka-europe.com")</f>
        <v>mgravan@crm.otsuka-europe.com</v>
      </c>
      <c r="N400" s="25">
        <v>46210.407083333332</v>
      </c>
      <c r="O400" s="14" t="str">
        <f>HYPERLINK("https://otsuka-europe-crm.veevavault.com/ui/#object/email_activity__v/V8C000000043630", "EN-002102801")</f>
        <v>EN-002102801</v>
      </c>
    </row>
    <row r="401" spans="1:15" ht="16" x14ac:dyDescent="0.2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14" t="str">
        <f>HYPERLINK("https://otsuka-europe-crm.veevavault.com/ui/#object/email_activity__v/V8C000000043711", "EN-002102972")</f>
        <v>EN-002102972</v>
      </c>
    </row>
    <row r="402" spans="1:15" ht="16" x14ac:dyDescent="0.2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14" t="str">
        <f>HYPERLINK("https://otsuka-europe-crm.veevavault.com/ui/#object/email_activity__v/V8C000000044666", "EN-002102885")</f>
        <v>EN-002102885</v>
      </c>
    </row>
    <row r="403" spans="1:15" ht="16" x14ac:dyDescent="0.2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14" t="str">
        <f>HYPERLINK("https://otsuka-europe-crm.veevavault.com/ui/#object/email_activity__v/V8C000000044680", "EN-002102930")</f>
        <v>EN-002102930</v>
      </c>
    </row>
    <row r="404" spans="1:15" ht="16" x14ac:dyDescent="0.2">
      <c r="A404" s="19"/>
      <c r="B404" s="19"/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4" t="str">
        <f>HYPERLINK("https://otsuka-europe-crm.veevavault.com/ui/#object/email_activity__v/V8C000000044864", "EN-002103312")</f>
        <v>EN-002103312</v>
      </c>
    </row>
    <row r="405" spans="1:15" ht="16" x14ac:dyDescent="0.2">
      <c r="A405" s="18" t="str">
        <f>HYPERLINK("https://otsuka-europe-crm.veevavault.com/ui/#object/account__v/V4TZ025E85JE48D", "VICTORIA GOMEZ DORANTES")</f>
        <v>VICTORIA GOMEZ DORANTES</v>
      </c>
      <c r="B405" s="18" t="str">
        <f>HYPERLINK("https://otsuka-europe-crm.veevavault.com/ui/#object/vcountry__v/VENZ000004SONF5", "ES")</f>
        <v>ES</v>
      </c>
      <c r="C405" s="20" t="s">
        <v>39</v>
      </c>
      <c r="D405" s="21" t="str">
        <f>HYPERLINK("https://otsuka-europe-crm.veevavault.com/ui/#object/approved_document__v/V5O00000000L012", "AM2M - Material adherencia")</f>
        <v>AM2M - Material adherencia</v>
      </c>
      <c r="E405" s="22" t="str">
        <f>HYPERLINK("https://otsuka-europe-crm.veevavault.com/ui/#object/sent_email__v/VBL00000002X242", "SE-001437804")</f>
        <v>SE-001437804</v>
      </c>
      <c r="F405" s="25">
        <v>46211.302129629628</v>
      </c>
      <c r="G405" s="24">
        <v>1</v>
      </c>
      <c r="H405" s="24">
        <v>2</v>
      </c>
      <c r="I405" s="24">
        <v>0</v>
      </c>
      <c r="J405" s="23"/>
      <c r="K405" s="24">
        <v>0</v>
      </c>
      <c r="L405" s="22" t="str">
        <f>HYPERLINK("https://otsuka-europe-crm.veevavault.com/ui/#object/approved_document__v/V5O00000000L012", "AM2M - Material adherencia")</f>
        <v>AM2M - Material adherencia</v>
      </c>
      <c r="M405" s="22" t="str">
        <f>HYPERLINK("mailto:mgravan@crm.otsuka-europe.com", "mgravan@crm.otsuka-europe.com")</f>
        <v>mgravan@crm.otsuka-europe.com</v>
      </c>
      <c r="N405" s="25">
        <v>46210.407083333332</v>
      </c>
      <c r="O405" s="14" t="str">
        <f>HYPERLINK("https://otsuka-europe-crm.veevavault.com/ui/#object/email_activity__v/V8C000000043652", "EN-002102859")</f>
        <v>EN-002102859</v>
      </c>
    </row>
    <row r="406" spans="1:15" ht="16" x14ac:dyDescent="0.2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14" t="str">
        <f>HYPERLINK("https://otsuka-europe-crm.veevavault.com/ui/#object/email_activity__v/V8C000000043805", "EN-002103133")</f>
        <v>EN-002103133</v>
      </c>
    </row>
    <row r="407" spans="1:15" ht="16" x14ac:dyDescent="0.2">
      <c r="A407" s="19"/>
      <c r="B407" s="19"/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4" t="str">
        <f>HYPERLINK("https://otsuka-europe-crm.veevavault.com/ui/#object/email_activity__v/V8C000000043806", "EN-002103134")</f>
        <v>EN-002103134</v>
      </c>
    </row>
    <row r="408" spans="1:15" ht="16" x14ac:dyDescent="0.2">
      <c r="A408" s="18" t="str">
        <f>HYPERLINK("https://otsuka-europe-crm.veevavault.com/ui/#object/account__v/V4T000000025051", "MARTA RAMIREZ MARQUEZ")</f>
        <v>MARTA RAMIREZ MARQUEZ</v>
      </c>
      <c r="B408" s="18" t="str">
        <f>HYPERLINK("https://otsuka-europe-crm.veevavault.com/ui/#object/vcountry__v/VENZ000004SONF5", "ES")</f>
        <v>ES</v>
      </c>
      <c r="C408" s="20" t="s">
        <v>39</v>
      </c>
      <c r="D408" s="21" t="str">
        <f>HYPERLINK("https://otsuka-europe-crm.veevavault.com/ui/#object/approved_document__v/V5O00000000L012", "AM2M - Material adherencia")</f>
        <v>AM2M - Material adherencia</v>
      </c>
      <c r="E408" s="22" t="str">
        <f>HYPERLINK("https://otsuka-europe-crm.veevavault.com/ui/#object/sent_email__v/VBL00000002X243", "SE-001437805")</f>
        <v>SE-001437805</v>
      </c>
      <c r="F408" s="25">
        <v>46230.781319444446</v>
      </c>
      <c r="G408" s="24">
        <v>1</v>
      </c>
      <c r="H408" s="24">
        <v>4</v>
      </c>
      <c r="I408" s="24">
        <v>0</v>
      </c>
      <c r="J408" s="23"/>
      <c r="K408" s="24">
        <v>0</v>
      </c>
      <c r="L408" s="22" t="str">
        <f>HYPERLINK("https://otsuka-europe-crm.veevavault.com/ui/#object/approved_document__v/V5O00000000L012", "AM2M - Material adherencia")</f>
        <v>AM2M - Material adherencia</v>
      </c>
      <c r="M408" s="22" t="str">
        <f>HYPERLINK("mailto:mgravan@crm.otsuka-europe.com", "mgravan@crm.otsuka-europe.com")</f>
        <v>mgravan@crm.otsuka-europe.com</v>
      </c>
      <c r="N408" s="25">
        <v>46210.407083333332</v>
      </c>
      <c r="O408" s="14" t="str">
        <f>HYPERLINK("https://otsuka-europe-crm.veevavault.com/ui/#object/email_activity__v/V8C000000043631", "EN-002102802")</f>
        <v>EN-002102802</v>
      </c>
    </row>
    <row r="409" spans="1:15" ht="16" x14ac:dyDescent="0.2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14" t="str">
        <f>HYPERLINK("https://otsuka-europe-crm.veevavault.com/ui/#object/email_activity__v/V8C000000043691", "EN-002102920")</f>
        <v>EN-002102920</v>
      </c>
    </row>
    <row r="410" spans="1:15" ht="16" x14ac:dyDescent="0.2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14" t="str">
        <f>HYPERLINK("https://otsuka-europe-crm.veevavault.com/ui/#object/email_activity__v/V8C000000047043", "EN-002104232")</f>
        <v>EN-002104232</v>
      </c>
    </row>
    <row r="411" spans="1:15" ht="16" x14ac:dyDescent="0.2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14" t="str">
        <f>HYPERLINK("https://otsuka-europe-crm.veevavault.com/ui/#object/email_activity__v/V8C00000004A365", "EN-002105667")</f>
        <v>EN-002105667</v>
      </c>
    </row>
    <row r="412" spans="1:15" ht="16" x14ac:dyDescent="0.2">
      <c r="A412" s="19"/>
      <c r="B412" s="19"/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4" t="str">
        <f>HYPERLINK("https://otsuka-europe-crm.veevavault.com/ui/#object/email_activity__v/V8C00000004D522", "EN-002109133")</f>
        <v>EN-002109133</v>
      </c>
    </row>
    <row r="413" spans="1:15" ht="16" x14ac:dyDescent="0.2">
      <c r="A413" s="18" t="str">
        <f>HYPERLINK("https://otsuka-europe-crm.veevavault.com/ui/#object/account__v/V4TZ025E87WO2OC", "CARMEN VIEJO CAMPOS")</f>
        <v>CARMEN VIEJO CAMPOS</v>
      </c>
      <c r="B413" s="18" t="str">
        <f>HYPERLINK("https://otsuka-europe-crm.veevavault.com/ui/#object/vcountry__v/VENZ000004SONF5", "ES")</f>
        <v>ES</v>
      </c>
      <c r="C413" s="20" t="s">
        <v>39</v>
      </c>
      <c r="D413" s="21" t="str">
        <f>HYPERLINK("https://otsuka-europe-crm.veevavault.com/ui/#object/approved_document__v/V5O00000000L012", "AM2M - Material adherencia")</f>
        <v>AM2M - Material adherencia</v>
      </c>
      <c r="E413" s="22" t="str">
        <f>HYPERLINK("https://otsuka-europe-crm.veevavault.com/ui/#object/sent_email__v/VBL00000002X244", "SE-001437806")</f>
        <v>SE-001437806</v>
      </c>
      <c r="F413" s="25">
        <v>46210.450752314813</v>
      </c>
      <c r="G413" s="24">
        <v>1</v>
      </c>
      <c r="H413" s="24">
        <v>1</v>
      </c>
      <c r="I413" s="24">
        <v>0</v>
      </c>
      <c r="J413" s="23"/>
      <c r="K413" s="24">
        <v>0</v>
      </c>
      <c r="L413" s="22" t="str">
        <f>HYPERLINK("https://otsuka-europe-crm.veevavault.com/ui/#object/approved_document__v/V5O00000000L012", "AM2M - Material adherencia")</f>
        <v>AM2M - Material adherencia</v>
      </c>
      <c r="M413" s="22" t="str">
        <f>HYPERLINK("mailto:mgravan@crm.otsuka-europe.com", "mgravan@crm.otsuka-europe.com")</f>
        <v>mgravan@crm.otsuka-europe.com</v>
      </c>
      <c r="N413" s="25">
        <v>46210.407106481478</v>
      </c>
      <c r="O413" s="14" t="str">
        <f>HYPERLINK("https://otsuka-europe-crm.veevavault.com/ui/#object/email_activity__v/V8C000000044638", "EN-002102832")</f>
        <v>EN-002102832</v>
      </c>
    </row>
    <row r="414" spans="1:15" ht="16" x14ac:dyDescent="0.2">
      <c r="A414" s="19"/>
      <c r="B414" s="19"/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4" t="str">
        <f>HYPERLINK("https://otsuka-europe-crm.veevavault.com/ui/#object/email_activity__v/V8C000000044695", "EN-002102953")</f>
        <v>EN-002102953</v>
      </c>
    </row>
    <row r="415" spans="1:15" ht="32" x14ac:dyDescent="0.2">
      <c r="A415" s="7" t="str">
        <f>HYPERLINK("https://otsuka-europe-crm.veevavault.com/ui/#object/account__v/V4TZ04ASGE76ES5", "GLORIA MARIA NIETO VALLEJO")</f>
        <v>GLORIA MARIA NIETO VALLEJO</v>
      </c>
      <c r="B415" s="7" t="str">
        <f t="shared" ref="B415:B420" si="24">HYPERLINK("https://otsuka-europe-crm.veevavault.com/ui/#object/vcountry__v/VENZ000004SONF5", "ES")</f>
        <v>ES</v>
      </c>
      <c r="C415" s="8" t="s">
        <v>39</v>
      </c>
      <c r="D415" s="9" t="str">
        <f t="shared" ref="D415:D420" si="25">HYPERLINK("https://otsuka-europe-crm.veevavault.com/ui/#object/approved_document__v/V5O00000000L012", "AM2M - Material adherencia")</f>
        <v>AM2M - Material adherencia</v>
      </c>
      <c r="E415" s="10" t="str">
        <f>HYPERLINK("https://otsuka-europe-crm.veevavault.com/ui/#object/sent_email__v/VBL00000002X245", "SE-001437807")</f>
        <v>SE-001437807</v>
      </c>
      <c r="F415" s="11"/>
      <c r="G415" s="12">
        <v>0</v>
      </c>
      <c r="H415" s="12">
        <v>0</v>
      </c>
      <c r="I415" s="12">
        <v>0</v>
      </c>
      <c r="J415" s="11"/>
      <c r="K415" s="12">
        <v>0</v>
      </c>
      <c r="L415" s="10" t="str">
        <f t="shared" ref="L415:L420" si="26">HYPERLINK("https://otsuka-europe-crm.veevavault.com/ui/#object/approved_document__v/V5O00000000L012", "AM2M - Material adherencia")</f>
        <v>AM2M - Material adherencia</v>
      </c>
      <c r="M415" s="10" t="str">
        <f t="shared" ref="M415:M420" si="27">HYPERLINK("mailto:mgravan@crm.otsuka-europe.com", "mgravan@crm.otsuka-europe.com")</f>
        <v>mgravan@crm.otsuka-europe.com</v>
      </c>
      <c r="N415" s="13">
        <v>46210.407083333332</v>
      </c>
      <c r="O415" s="14" t="str">
        <f>HYPERLINK("https://otsuka-europe-crm.veevavault.com/ui/#object/email_activity__v/V8C000000043656", "EN-002102872")</f>
        <v>EN-002102872</v>
      </c>
    </row>
    <row r="416" spans="1:15" ht="32" x14ac:dyDescent="0.2">
      <c r="A416" s="7" t="str">
        <f>HYPERLINK("https://otsuka-europe-crm.veevavault.com/ui/#object/account__v/V4TZ025E87X88G1", "ALAE EL BAGARI EL FRAOUI")</f>
        <v>ALAE EL BAGARI EL FRAOUI</v>
      </c>
      <c r="B416" s="7" t="str">
        <f t="shared" si="24"/>
        <v>ES</v>
      </c>
      <c r="C416" s="8" t="s">
        <v>39</v>
      </c>
      <c r="D416" s="9" t="str">
        <f t="shared" si="25"/>
        <v>AM2M - Material adherencia</v>
      </c>
      <c r="E416" s="10" t="str">
        <f>HYPERLINK("https://otsuka-europe-crm.veevavault.com/ui/#object/sent_email__v/VBL00000002X246", "SE-001437808")</f>
        <v>SE-001437808</v>
      </c>
      <c r="F416" s="11"/>
      <c r="G416" s="12">
        <v>0</v>
      </c>
      <c r="H416" s="12">
        <v>0</v>
      </c>
      <c r="I416" s="12">
        <v>0</v>
      </c>
      <c r="J416" s="11"/>
      <c r="K416" s="12">
        <v>0</v>
      </c>
      <c r="L416" s="10" t="str">
        <f t="shared" si="26"/>
        <v>AM2M - Material adherencia</v>
      </c>
      <c r="M416" s="10" t="str">
        <f t="shared" si="27"/>
        <v>mgravan@crm.otsuka-europe.com</v>
      </c>
      <c r="N416" s="13">
        <v>46210.407094907408</v>
      </c>
      <c r="O416" s="14" t="str">
        <f>HYPERLINK("https://otsuka-europe-crm.veevavault.com/ui/#object/email_activity__v/V8C000000043638", "EN-002102815")</f>
        <v>EN-002102815</v>
      </c>
    </row>
    <row r="417" spans="1:15" ht="32" x14ac:dyDescent="0.2">
      <c r="A417" s="7" t="str">
        <f>HYPERLINK("https://otsuka-europe-crm.veevavault.com/ui/#object/account__v/V4TZ025E83YCF7H", "JUAN JOSE MARTIN MENENDEZ")</f>
        <v>JUAN JOSE MARTIN MENENDEZ</v>
      </c>
      <c r="B417" s="7" t="str">
        <f t="shared" si="24"/>
        <v>ES</v>
      </c>
      <c r="C417" s="8" t="s">
        <v>39</v>
      </c>
      <c r="D417" s="9" t="str">
        <f t="shared" si="25"/>
        <v>AM2M - Material adherencia</v>
      </c>
      <c r="E417" s="10" t="str">
        <f>HYPERLINK("https://otsuka-europe-crm.veevavault.com/ui/#object/sent_email__v/VBL00000002X247", "SE-001437809")</f>
        <v>SE-001437809</v>
      </c>
      <c r="F417" s="11"/>
      <c r="G417" s="12">
        <v>0</v>
      </c>
      <c r="H417" s="12">
        <v>0</v>
      </c>
      <c r="I417" s="12">
        <v>0</v>
      </c>
      <c r="J417" s="11"/>
      <c r="K417" s="12">
        <v>0</v>
      </c>
      <c r="L417" s="10" t="str">
        <f t="shared" si="26"/>
        <v>AM2M - Material adherencia</v>
      </c>
      <c r="M417" s="10" t="str">
        <f t="shared" si="27"/>
        <v>mgravan@crm.otsuka-europe.com</v>
      </c>
      <c r="N417" s="13">
        <v>46210.407083333332</v>
      </c>
      <c r="O417" s="14" t="str">
        <f>HYPERLINK("https://otsuka-europe-crm.veevavault.com/ui/#object/email_activity__v/V8C000000044663", "EN-002102882")</f>
        <v>EN-002102882</v>
      </c>
    </row>
    <row r="418" spans="1:15" ht="32" x14ac:dyDescent="0.2">
      <c r="A418" s="7" t="str">
        <f>HYPERLINK("https://otsuka-europe-crm.veevavault.com/ui/#object/account__v/V4TZ04ASGE0FLOX", "JOSE ANTONIO BLANCO ZARAGOZA")</f>
        <v>JOSE ANTONIO BLANCO ZARAGOZA</v>
      </c>
      <c r="B418" s="7" t="str">
        <f t="shared" si="24"/>
        <v>ES</v>
      </c>
      <c r="C418" s="8" t="s">
        <v>39</v>
      </c>
      <c r="D418" s="9" t="str">
        <f t="shared" si="25"/>
        <v>AM2M - Material adherencia</v>
      </c>
      <c r="E418" s="10" t="str">
        <f>HYPERLINK("https://otsuka-europe-crm.veevavault.com/ui/#object/sent_email__v/VBL00000002X248", "SE-001437810")</f>
        <v>SE-001437810</v>
      </c>
      <c r="F418" s="11"/>
      <c r="G418" s="12">
        <v>0</v>
      </c>
      <c r="H418" s="12">
        <v>0</v>
      </c>
      <c r="I418" s="12">
        <v>0</v>
      </c>
      <c r="J418" s="11"/>
      <c r="K418" s="12">
        <v>0</v>
      </c>
      <c r="L418" s="10" t="str">
        <f t="shared" si="26"/>
        <v>AM2M - Material adherencia</v>
      </c>
      <c r="M418" s="10" t="str">
        <f t="shared" si="27"/>
        <v>mgravan@crm.otsuka-europe.com</v>
      </c>
      <c r="N418" s="13">
        <v>46210.407129629632</v>
      </c>
      <c r="O418" s="14" t="str">
        <f>HYPERLINK("https://otsuka-europe-crm.veevavault.com/ui/#object/email_activity__v/V8C000000044619", "EN-002102807")</f>
        <v>EN-002102807</v>
      </c>
    </row>
    <row r="419" spans="1:15" ht="32" x14ac:dyDescent="0.2">
      <c r="A419" s="7" t="str">
        <f>HYPERLINK("https://otsuka-europe-crm.veevavault.com/ui/#object/account__v/V4TZ025E87WPU95", "MARIO CABRERA CALANDRIA")</f>
        <v>MARIO CABRERA CALANDRIA</v>
      </c>
      <c r="B419" s="7" t="str">
        <f t="shared" si="24"/>
        <v>ES</v>
      </c>
      <c r="C419" s="8" t="s">
        <v>39</v>
      </c>
      <c r="D419" s="9" t="str">
        <f t="shared" si="25"/>
        <v>AM2M - Material adherencia</v>
      </c>
      <c r="E419" s="10" t="str">
        <f>HYPERLINK("https://otsuka-europe-crm.veevavault.com/ui/#object/sent_email__v/VBL00000002X249", "SE-001437811")</f>
        <v>SE-001437811</v>
      </c>
      <c r="F419" s="11"/>
      <c r="G419" s="12">
        <v>0</v>
      </c>
      <c r="H419" s="12">
        <v>0</v>
      </c>
      <c r="I419" s="12">
        <v>0</v>
      </c>
      <c r="J419" s="11"/>
      <c r="K419" s="12">
        <v>0</v>
      </c>
      <c r="L419" s="10" t="str">
        <f t="shared" si="26"/>
        <v>AM2M - Material adherencia</v>
      </c>
      <c r="M419" s="10" t="str">
        <f t="shared" si="27"/>
        <v>mgravan@crm.otsuka-europe.com</v>
      </c>
      <c r="N419" s="13">
        <v>46210.407129629632</v>
      </c>
      <c r="O419" s="14" t="str">
        <f>HYPERLINK("https://otsuka-europe-crm.veevavault.com/ui/#object/email_activity__v/V8C000000044628", "EN-002102822")</f>
        <v>EN-002102822</v>
      </c>
    </row>
    <row r="420" spans="1:15" ht="16" x14ac:dyDescent="0.2">
      <c r="A420" s="18" t="str">
        <f>HYPERLINK("https://otsuka-europe-crm.veevavault.com/ui/#object/account__v/V4TZ025E83XWGD2", "ISMAEL NAJIB RODRIGUEZ")</f>
        <v>ISMAEL NAJIB RODRIGUEZ</v>
      </c>
      <c r="B420" s="18" t="str">
        <f t="shared" si="24"/>
        <v>ES</v>
      </c>
      <c r="C420" s="20" t="s">
        <v>39</v>
      </c>
      <c r="D420" s="21" t="str">
        <f t="shared" si="25"/>
        <v>AM2M - Material adherencia</v>
      </c>
      <c r="E420" s="22" t="str">
        <f>HYPERLINK("https://otsuka-europe-crm.veevavault.com/ui/#object/sent_email__v/VBL00000002X250", "SE-001437812")</f>
        <v>SE-001437812</v>
      </c>
      <c r="F420" s="25">
        <v>46216.859375</v>
      </c>
      <c r="G420" s="24">
        <v>1</v>
      </c>
      <c r="H420" s="24">
        <v>1</v>
      </c>
      <c r="I420" s="24">
        <v>0</v>
      </c>
      <c r="J420" s="23"/>
      <c r="K420" s="24">
        <v>0</v>
      </c>
      <c r="L420" s="22" t="str">
        <f t="shared" si="26"/>
        <v>AM2M - Material adherencia</v>
      </c>
      <c r="M420" s="22" t="str">
        <f t="shared" si="27"/>
        <v>mgravan@crm.otsuka-europe.com</v>
      </c>
      <c r="N420" s="25">
        <v>46210.407129629632</v>
      </c>
      <c r="O420" s="14" t="str">
        <f>HYPERLINK("https://otsuka-europe-crm.veevavault.com/ui/#object/email_activity__v/V8C000000044623", "EN-002102817")</f>
        <v>EN-002102817</v>
      </c>
    </row>
    <row r="421" spans="1:15" ht="16" x14ac:dyDescent="0.2">
      <c r="A421" s="19"/>
      <c r="B421" s="19"/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4" t="str">
        <f>HYPERLINK("https://otsuka-europe-crm.veevavault.com/ui/#object/email_activity__v/V8C00000004A384", "EN-002105705")</f>
        <v>EN-002105705</v>
      </c>
    </row>
    <row r="422" spans="1:15" ht="32" x14ac:dyDescent="0.2">
      <c r="A422" s="7" t="str">
        <f>HYPERLINK("https://otsuka-europe-crm.veevavault.com/ui/#object/account__v/V4TZ025E85IAZ7I", "DANIEL GONZALEZ MORA")</f>
        <v>DANIEL GONZALEZ MORA</v>
      </c>
      <c r="B422" s="7" t="str">
        <f>HYPERLINK("https://otsuka-europe-crm.veevavault.com/ui/#object/vcountry__v/VENZ000004SONF5", "ES")</f>
        <v>ES</v>
      </c>
      <c r="C422" s="8" t="s">
        <v>39</v>
      </c>
      <c r="D422" s="9" t="str">
        <f>HYPERLINK("https://otsuka-europe-crm.veevavault.com/ui/#object/approved_document__v/V5O00000000L012", "AM2M - Material adherencia")</f>
        <v>AM2M - Material adherencia</v>
      </c>
      <c r="E422" s="10" t="str">
        <f>HYPERLINK("https://otsuka-europe-crm.veevavault.com/ui/#object/sent_email__v/VBL00000002X251", "SE-001437813")</f>
        <v>SE-001437813</v>
      </c>
      <c r="F422" s="11"/>
      <c r="G422" s="12">
        <v>0</v>
      </c>
      <c r="H422" s="12">
        <v>0</v>
      </c>
      <c r="I422" s="12">
        <v>0</v>
      </c>
      <c r="J422" s="11"/>
      <c r="K422" s="12">
        <v>0</v>
      </c>
      <c r="L422" s="10" t="str">
        <f>HYPERLINK("https://otsuka-europe-crm.veevavault.com/ui/#object/approved_document__v/V5O00000000L012", "AM2M - Material adherencia")</f>
        <v>AM2M - Material adherencia</v>
      </c>
      <c r="M422" s="10" t="str">
        <f>HYPERLINK("mailto:mgravan@crm.otsuka-europe.com", "mgravan@crm.otsuka-europe.com")</f>
        <v>mgravan@crm.otsuka-europe.com</v>
      </c>
      <c r="N422" s="13">
        <v>46210.407118055555</v>
      </c>
      <c r="O422" s="14" t="str">
        <f>HYPERLINK("https://otsuka-europe-crm.veevavault.com/ui/#object/email_activity__v/V8C000000043676", "EN-002102898")</f>
        <v>EN-002102898</v>
      </c>
    </row>
    <row r="423" spans="1:15" ht="16" x14ac:dyDescent="0.2">
      <c r="A423" s="18" t="str">
        <f>HYPERLINK("https://otsuka-europe-crm.veevavault.com/ui/#object/account__v/V4TZ04ASGE0F8TT", "MOHIT LALWANI GOVIND")</f>
        <v>MOHIT LALWANI GOVIND</v>
      </c>
      <c r="B423" s="18" t="str">
        <f>HYPERLINK("https://otsuka-europe-crm.veevavault.com/ui/#object/vcountry__v/VENZ000004SONF5", "ES")</f>
        <v>ES</v>
      </c>
      <c r="C423" s="20" t="s">
        <v>39</v>
      </c>
      <c r="D423" s="21" t="str">
        <f>HYPERLINK("https://otsuka-europe-crm.veevavault.com/ui/#object/approved_document__v/V5O00000000L012", "AM2M - Material adherencia")</f>
        <v>AM2M - Material adherencia</v>
      </c>
      <c r="E423" s="22" t="str">
        <f>HYPERLINK("https://otsuka-europe-crm.veevavault.com/ui/#object/sent_email__v/VBL00000002X252", "SE-001437814")</f>
        <v>SE-001437814</v>
      </c>
      <c r="F423" s="23"/>
      <c r="G423" s="24">
        <v>0</v>
      </c>
      <c r="H423" s="24">
        <v>0</v>
      </c>
      <c r="I423" s="24">
        <v>0</v>
      </c>
      <c r="J423" s="23"/>
      <c r="K423" s="24">
        <v>0</v>
      </c>
      <c r="L423" s="22" t="str">
        <f>HYPERLINK("https://otsuka-europe-crm.veevavault.com/ui/#object/approved_document__v/V5O00000000L012", "AM2M - Material adherencia")</f>
        <v>AM2M - Material adherencia</v>
      </c>
      <c r="M423" s="22" t="str">
        <f>HYPERLINK("mailto:mgravan@crm.otsuka-europe.com", "mgravan@crm.otsuka-europe.com")</f>
        <v>mgravan@crm.otsuka-europe.com</v>
      </c>
      <c r="N423" s="25">
        <v>46210.407118055555</v>
      </c>
      <c r="O423" s="14" t="str">
        <f>HYPERLINK("https://otsuka-europe-crm.veevavault.com/ui/#object/email_activity__v/V8C000000043667", "EN-002102889")</f>
        <v>EN-002102889</v>
      </c>
    </row>
    <row r="424" spans="1:15" ht="16" x14ac:dyDescent="0.2">
      <c r="A424" s="19"/>
      <c r="B424" s="19"/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4" t="str">
        <f>HYPERLINK("https://otsuka-europe-crm.veevavault.com/ui/#object/email_activity__v/V8C000000044696", "EN-002102957")</f>
        <v>EN-002102957</v>
      </c>
    </row>
    <row r="425" spans="1:15" ht="16" x14ac:dyDescent="0.2">
      <c r="A425" s="18" t="str">
        <f>HYPERLINK("https://otsuka-europe-crm.veevavault.com/ui/#object/account__v/V4TZ04ASGE0F8TS", "ALBERTO RODRIGUEZ PERDOMO")</f>
        <v>ALBERTO RODRIGUEZ PERDOMO</v>
      </c>
      <c r="B425" s="18" t="str">
        <f>HYPERLINK("https://otsuka-europe-crm.veevavault.com/ui/#object/vcountry__v/VENZ000004SONF5", "ES")</f>
        <v>ES</v>
      </c>
      <c r="C425" s="20" t="s">
        <v>39</v>
      </c>
      <c r="D425" s="21" t="str">
        <f>HYPERLINK("https://otsuka-europe-crm.veevavault.com/ui/#object/approved_document__v/V5O00000000L012", "AM2M - Material adherencia")</f>
        <v>AM2M - Material adherencia</v>
      </c>
      <c r="E425" s="22" t="str">
        <f>HYPERLINK("https://otsuka-europe-crm.veevavault.com/ui/#object/sent_email__v/VBL00000002X253", "SE-001437815")</f>
        <v>SE-001437815</v>
      </c>
      <c r="F425" s="25">
        <v>46210.537291666667</v>
      </c>
      <c r="G425" s="24">
        <v>1</v>
      </c>
      <c r="H425" s="24">
        <v>1</v>
      </c>
      <c r="I425" s="24">
        <v>0</v>
      </c>
      <c r="J425" s="23"/>
      <c r="K425" s="24">
        <v>0</v>
      </c>
      <c r="L425" s="22" t="str">
        <f>HYPERLINK("https://otsuka-europe-crm.veevavault.com/ui/#object/approved_document__v/V5O00000000L012", "AM2M - Material adherencia")</f>
        <v>AM2M - Material adherencia</v>
      </c>
      <c r="M425" s="22" t="str">
        <f>HYPERLINK("mailto:mgravan@crm.otsuka-europe.com", "mgravan@crm.otsuka-europe.com")</f>
        <v>mgravan@crm.otsuka-europe.com</v>
      </c>
      <c r="N425" s="25">
        <v>46210.407118055555</v>
      </c>
      <c r="O425" s="14" t="str">
        <f>HYPERLINK("https://otsuka-europe-crm.veevavault.com/ui/#object/email_activity__v/V8C000000043625", "EN-002102796")</f>
        <v>EN-002102796</v>
      </c>
    </row>
    <row r="426" spans="1:15" ht="16" x14ac:dyDescent="0.2">
      <c r="A426" s="19"/>
      <c r="B426" s="19"/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4" t="str">
        <f>HYPERLINK("https://otsuka-europe-crm.veevavault.com/ui/#object/email_activity__v/V8C000000043720", "EN-002102986")</f>
        <v>EN-002102986</v>
      </c>
    </row>
    <row r="427" spans="1:15" ht="32" x14ac:dyDescent="0.2">
      <c r="A427" s="7" t="str">
        <f>HYPERLINK("https://otsuka-europe-crm.veevavault.com/ui/#object/account__v/V4TZ025E84EVLD5", "JORGE SALVADOR GARCIA")</f>
        <v>JORGE SALVADOR GARCIA</v>
      </c>
      <c r="B427" s="7" t="str">
        <f>HYPERLINK("https://otsuka-europe-crm.veevavault.com/ui/#object/vcountry__v/VENZ000004SONF5", "ES")</f>
        <v>ES</v>
      </c>
      <c r="C427" s="8" t="s">
        <v>39</v>
      </c>
      <c r="D427" s="9" t="str">
        <f>HYPERLINK("https://otsuka-europe-crm.veevavault.com/ui/#object/approved_document__v/V5O00000000L012", "AM2M - Material adherencia")</f>
        <v>AM2M - Material adherencia</v>
      </c>
      <c r="E427" s="10" t="str">
        <f>HYPERLINK("https://otsuka-europe-crm.veevavault.com/ui/#object/sent_email__v/VBL00000002X254", "SE-001437816")</f>
        <v>SE-001437816</v>
      </c>
      <c r="F427" s="11"/>
      <c r="G427" s="12">
        <v>0</v>
      </c>
      <c r="H427" s="12">
        <v>0</v>
      </c>
      <c r="I427" s="12">
        <v>0</v>
      </c>
      <c r="J427" s="11"/>
      <c r="K427" s="12">
        <v>0</v>
      </c>
      <c r="L427" s="10" t="str">
        <f>HYPERLINK("https://otsuka-europe-crm.veevavault.com/ui/#object/approved_document__v/V5O00000000L012", "AM2M - Material adherencia")</f>
        <v>AM2M - Material adherencia</v>
      </c>
      <c r="M427" s="10" t="str">
        <f>HYPERLINK("mailto:mgravan@crm.otsuka-europe.com", "mgravan@crm.otsuka-europe.com")</f>
        <v>mgravan@crm.otsuka-europe.com</v>
      </c>
      <c r="N427" s="13">
        <v>46210.407118055555</v>
      </c>
      <c r="O427" s="14" t="str">
        <f>HYPERLINK("https://otsuka-europe-crm.veevavault.com/ui/#object/email_activity__v/V8C000000043617", "EN-002102788")</f>
        <v>EN-002102788</v>
      </c>
    </row>
    <row r="428" spans="1:15" ht="16" x14ac:dyDescent="0.2">
      <c r="A428" s="18" t="str">
        <f>HYPERLINK("https://otsuka-europe-crm.veevavault.com/ui/#object/account__v/V4TZ04ASGH6C7P3", "CYRILLE DURAND")</f>
        <v>CYRILLE DURAND</v>
      </c>
      <c r="B428" s="18" t="str">
        <f>HYPERLINK("https://otsuka-europe-crm.veevavault.com/ui/#object/vcountry__v/VENZ000004SONFA", "FR")</f>
        <v>FR</v>
      </c>
      <c r="C428" s="20" t="s">
        <v>40</v>
      </c>
      <c r="D428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428" s="22" t="str">
        <f>HYPERLINK("https://otsuka-europe-crm.veevavault.com/ui/#object/sent_email__v/VBL00000002Y234", "SE-001438926")</f>
        <v>SE-001438926</v>
      </c>
      <c r="F428" s="25">
        <v>46204.430196759262</v>
      </c>
      <c r="G428" s="24">
        <v>1</v>
      </c>
      <c r="H428" s="24">
        <v>1</v>
      </c>
      <c r="I428" s="24">
        <v>0</v>
      </c>
      <c r="J428" s="23"/>
      <c r="K428" s="24">
        <v>0</v>
      </c>
      <c r="L428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428" s="22" t="str">
        <f>HYPERLINK("mailto:mvernoux@crm.otsuka-europe.com", "mvernoux@crm.otsuka-europe.com")</f>
        <v>mvernoux@crm.otsuka-europe.com</v>
      </c>
      <c r="N428" s="25">
        <v>46204.358449074076</v>
      </c>
      <c r="O428" s="14" t="str">
        <f>HYPERLINK("https://otsuka-europe-crm.veevavault.com/ui/#object/email_activity__v/V8C000000041775", "EN-002101233")</f>
        <v>EN-002101233</v>
      </c>
    </row>
    <row r="429" spans="1:15" ht="16" x14ac:dyDescent="0.2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14" t="str">
        <f>HYPERLINK("https://otsuka-europe-crm.veevavault.com/ui/#object/email_activity__v/V8C000000041813", "EN-002101348")</f>
        <v>EN-002101348</v>
      </c>
    </row>
    <row r="430" spans="1:15" ht="16" x14ac:dyDescent="0.2">
      <c r="A430" s="19"/>
      <c r="B430" s="19"/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4" t="str">
        <f>HYPERLINK("https://otsuka-europe-crm.veevavault.com/ui/#object/email_activity__v/V8C000000041905", "EN-002101529")</f>
        <v>EN-002101529</v>
      </c>
    </row>
    <row r="431" spans="1:15" ht="16" x14ac:dyDescent="0.2">
      <c r="A431" s="18" t="str">
        <f>HYPERLINK("https://otsuka-europe-crm.veevavault.com/ui/#object/account__v/V4TZ04ASGAUYBPX", "AYMAN HELO BASHA")</f>
        <v>AYMAN HELO BASHA</v>
      </c>
      <c r="B431" s="18" t="str">
        <f>HYPERLINK("https://otsuka-europe-crm.veevavault.com/ui/#object/vcountry__v/VENZ000004SONF5", "ES")</f>
        <v>ES</v>
      </c>
      <c r="C431" s="20" t="s">
        <v>39</v>
      </c>
      <c r="D431" s="21" t="str">
        <f>HYPERLINK("https://otsuka-europe-crm.veevavault.com/ui/#object/approved_document__v/V5O00000001R002", "Programa X Jornada UHB")</f>
        <v>Programa X Jornada UHB</v>
      </c>
      <c r="E431" s="22" t="str">
        <f>HYPERLINK("https://otsuka-europe-crm.veevavault.com/ui/#object/sent_email__v/VBL00000002Z382", "SE-001439042")</f>
        <v>SE-001439042</v>
      </c>
      <c r="F431" s="25">
        <v>46204.977314814816</v>
      </c>
      <c r="G431" s="24">
        <v>1</v>
      </c>
      <c r="H431" s="24">
        <v>1</v>
      </c>
      <c r="I431" s="24">
        <v>1</v>
      </c>
      <c r="J431" s="25">
        <v>46204.97755787037</v>
      </c>
      <c r="K431" s="24">
        <v>1</v>
      </c>
      <c r="L431" s="22" t="str">
        <f>HYPERLINK("https://otsuka-europe-crm.veevavault.com/ui/#object/approved_document__v/V5O00000001R002", "Programa X Jornada UHB")</f>
        <v>Programa X Jornada UHB</v>
      </c>
      <c r="M431" s="22" t="str">
        <f>HYPERLINK("mailto:cvila@crm.otsuka-europe.com", "cvila@crm.otsuka-europe.com")</f>
        <v>cvila@crm.otsuka-europe.com</v>
      </c>
      <c r="N431" s="25">
        <v>46204.323692129627</v>
      </c>
      <c r="O431" s="14" t="str">
        <f>HYPERLINK("https://otsuka-europe-crm.veevavault.com/ui/#object/email_activity__v/V8C000000042793", "EN-002101213")</f>
        <v>EN-002101213</v>
      </c>
    </row>
    <row r="432" spans="1:15" ht="16" x14ac:dyDescent="0.2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14" t="str">
        <f>HYPERLINK("https://otsuka-europe-crm.veevavault.com/ui/#object/email_activity__v/V8C000000043004", "EN-002101562")</f>
        <v>EN-002101562</v>
      </c>
    </row>
    <row r="433" spans="1:15" ht="16" x14ac:dyDescent="0.2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14" t="str">
        <f>HYPERLINK("https://otsuka-europe-crm.veevavault.com/ui/#object/email_activity__v/V8C000000044001", "EN-002101561")</f>
        <v>EN-002101561</v>
      </c>
    </row>
    <row r="434" spans="1:15" ht="16" x14ac:dyDescent="0.2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14" t="str">
        <f>HYPERLINK("https://otsuka-europe-crm.veevavault.com/ui/#object/email_activity__v/V8C000000044004", "EN-002101565")</f>
        <v>EN-002101565</v>
      </c>
    </row>
    <row r="435" spans="1:15" ht="16" x14ac:dyDescent="0.2">
      <c r="A435" s="19"/>
      <c r="B435" s="19"/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4" t="str">
        <f>HYPERLINK("https://otsuka-europe-crm.veevavault.com/ui/#object/email_activity__v/V8C000000044005", "EN-002101566")</f>
        <v>EN-002101566</v>
      </c>
    </row>
    <row r="436" spans="1:15" ht="16" x14ac:dyDescent="0.2">
      <c r="A436" s="18" t="str">
        <f>HYPERLINK("https://otsuka-europe-crm.veevavault.com/ui/#object/account__v/V4TZ06G6O71T9C9", "ADOLFO JOSE BENITO RUIZ")</f>
        <v>ADOLFO JOSE BENITO RUIZ</v>
      </c>
      <c r="B436" s="18" t="str">
        <f>HYPERLINK("https://otsuka-europe-crm.veevavault.com/ui/#object/vcountry__v/VENZ000004SONF5", "ES")</f>
        <v>ES</v>
      </c>
      <c r="C436" s="20" t="s">
        <v>39</v>
      </c>
      <c r="D436" s="21" t="str">
        <f>HYPERLINK("https://otsuka-europe-crm.veevavault.com/ui/#object/approved_document__v/V5O00000001R002", "Programa X Jornada UHB")</f>
        <v>Programa X Jornada UHB</v>
      </c>
      <c r="E436" s="22" t="str">
        <f>HYPERLINK("https://otsuka-europe-crm.veevavault.com/ui/#object/sent_email__v/VBL00000002Z383", "SE-001439043")</f>
        <v>SE-001439043</v>
      </c>
      <c r="F436" s="25">
        <v>46204.458414351851</v>
      </c>
      <c r="G436" s="24">
        <v>1</v>
      </c>
      <c r="H436" s="24">
        <v>1</v>
      </c>
      <c r="I436" s="24">
        <v>1</v>
      </c>
      <c r="J436" s="25">
        <v>46204.458483796298</v>
      </c>
      <c r="K436" s="24">
        <v>1</v>
      </c>
      <c r="L436" s="22" t="str">
        <f>HYPERLINK("https://otsuka-europe-crm.veevavault.com/ui/#object/approved_document__v/V5O00000001R002", "Programa X Jornada UHB")</f>
        <v>Programa X Jornada UHB</v>
      </c>
      <c r="M436" s="22" t="str">
        <f>HYPERLINK("mailto:cvila@crm.otsuka-europe.com", "cvila@crm.otsuka-europe.com")</f>
        <v>cvila@crm.otsuka-europe.com</v>
      </c>
      <c r="N436" s="25">
        <v>46204.323680555557</v>
      </c>
      <c r="O436" s="14" t="str">
        <f>HYPERLINK("https://otsuka-europe-crm.veevavault.com/ui/#object/email_activity__v/V8C000000041819", "EN-002101359")</f>
        <v>EN-002101359</v>
      </c>
    </row>
    <row r="437" spans="1:15" ht="16" x14ac:dyDescent="0.2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14" t="str">
        <f>HYPERLINK("https://otsuka-europe-crm.veevavault.com/ui/#object/email_activity__v/V8C000000042794", "EN-002101214")</f>
        <v>EN-002101214</v>
      </c>
    </row>
    <row r="438" spans="1:15" ht="16" x14ac:dyDescent="0.2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14" t="str">
        <f>HYPERLINK("https://otsuka-europe-crm.veevavault.com/ui/#object/email_activity__v/V8C000000042888", "EN-002101357")</f>
        <v>EN-002101357</v>
      </c>
    </row>
    <row r="439" spans="1:15" ht="16" x14ac:dyDescent="0.2">
      <c r="A439" s="19"/>
      <c r="B439" s="19"/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4" t="str">
        <f>HYPERLINK("https://otsuka-europe-crm.veevavault.com/ui/#object/email_activity__v/V8C000000042889", "EN-002101358")</f>
        <v>EN-002101358</v>
      </c>
    </row>
    <row r="440" spans="1:15" ht="16" x14ac:dyDescent="0.2">
      <c r="A440" s="18" t="str">
        <f>HYPERLINK("https://otsuka-europe-crm.veevavault.com/ui/#object/account__v/V4TZ06G6O811OWW", "JOSE TOMAS ESPUCHE LOPEZ")</f>
        <v>JOSE TOMAS ESPUCHE LOPEZ</v>
      </c>
      <c r="B440" s="18" t="str">
        <f>HYPERLINK("https://otsuka-europe-crm.veevavault.com/ui/#object/vcountry__v/VENZ000004SONF5", "ES")</f>
        <v>ES</v>
      </c>
      <c r="C440" s="20" t="s">
        <v>39</v>
      </c>
      <c r="D440" s="21" t="str">
        <f>HYPERLINK("https://otsuka-europe-crm.veevavault.com/ui/#object/approved_document__v/V5O00000001R002", "Programa X Jornada UHB")</f>
        <v>Programa X Jornada UHB</v>
      </c>
      <c r="E440" s="22" t="str">
        <f>HYPERLINK("https://otsuka-europe-crm.veevavault.com/ui/#object/sent_email__v/VBL00000002Z384", "SE-001439044")</f>
        <v>SE-001439044</v>
      </c>
      <c r="F440" s="25">
        <v>46204.445659722223</v>
      </c>
      <c r="G440" s="24">
        <v>1</v>
      </c>
      <c r="H440" s="24">
        <v>2</v>
      </c>
      <c r="I440" s="24">
        <v>0</v>
      </c>
      <c r="J440" s="23"/>
      <c r="K440" s="24">
        <v>0</v>
      </c>
      <c r="L440" s="22" t="str">
        <f>HYPERLINK("https://otsuka-europe-crm.veevavault.com/ui/#object/approved_document__v/V5O00000001R002", "Programa X Jornada UHB")</f>
        <v>Programa X Jornada UHB</v>
      </c>
      <c r="M440" s="22" t="str">
        <f>HYPERLINK("mailto:cvila@crm.otsuka-europe.com", "cvila@crm.otsuka-europe.com")</f>
        <v>cvila@crm.otsuka-europe.com</v>
      </c>
      <c r="N440" s="25">
        <v>46204.323680555557</v>
      </c>
      <c r="O440" s="14" t="str">
        <f>HYPERLINK("https://otsuka-europe-crm.veevavault.com/ui/#object/email_activity__v/V8C000000041766", "EN-002101215")</f>
        <v>EN-002101215</v>
      </c>
    </row>
    <row r="441" spans="1:15" ht="16" x14ac:dyDescent="0.2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14" t="str">
        <f>HYPERLINK("https://otsuka-europe-crm.veevavault.com/ui/#object/email_activity__v/V8C000000041779", "EN-002101236")</f>
        <v>EN-002101236</v>
      </c>
    </row>
    <row r="442" spans="1:15" ht="16" x14ac:dyDescent="0.2">
      <c r="A442" s="19"/>
      <c r="B442" s="19"/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4" t="str">
        <f>HYPERLINK("https://otsuka-europe-crm.veevavault.com/ui/#object/email_activity__v/V8C000000041816", "EN-002101353")</f>
        <v>EN-002101353</v>
      </c>
    </row>
    <row r="443" spans="1:15" ht="32" x14ac:dyDescent="0.2">
      <c r="A443" s="7" t="str">
        <f>HYPERLINK("https://otsuka-europe-crm.veevavault.com/ui/#object/account__v/V4TZ06G6O71TABA", "JAVIER JALVO ROGEL")</f>
        <v>JAVIER JALVO ROGEL</v>
      </c>
      <c r="B443" s="7" t="str">
        <f>HYPERLINK("https://otsuka-europe-crm.veevavault.com/ui/#object/vcountry__v/VENZ000004SONF5", "ES")</f>
        <v>ES</v>
      </c>
      <c r="C443" s="8" t="s">
        <v>39</v>
      </c>
      <c r="D443" s="9" t="str">
        <f>HYPERLINK("https://otsuka-europe-crm.veevavault.com/ui/#object/approved_document__v/V5O00000001R002", "Programa X Jornada UHB")</f>
        <v>Programa X Jornada UHB</v>
      </c>
      <c r="E443" s="10" t="str">
        <f>HYPERLINK("https://otsuka-europe-crm.veevavault.com/ui/#object/sent_email__v/VBL00000002Z385", "SE-001439045")</f>
        <v>SE-001439045</v>
      </c>
      <c r="F443" s="11"/>
      <c r="G443" s="12">
        <v>0</v>
      </c>
      <c r="H443" s="12">
        <v>0</v>
      </c>
      <c r="I443" s="12">
        <v>0</v>
      </c>
      <c r="J443" s="11"/>
      <c r="K443" s="12">
        <v>0</v>
      </c>
      <c r="L443" s="10" t="str">
        <f>HYPERLINK("https://otsuka-europe-crm.veevavault.com/ui/#object/approved_document__v/V5O00000001R002", "Programa X Jornada UHB")</f>
        <v>Programa X Jornada UHB</v>
      </c>
      <c r="M443" s="10" t="str">
        <f>HYPERLINK("mailto:cvila@crm.otsuka-europe.com", "cvila@crm.otsuka-europe.com")</f>
        <v>cvila@crm.otsuka-europe.com</v>
      </c>
      <c r="N443" s="13">
        <v>46204.323680555557</v>
      </c>
      <c r="O443" s="14" t="str">
        <f>HYPERLINK("https://otsuka-europe-crm.veevavault.com/ui/#object/email_activity__v/V8C000000041767", "EN-002101216")</f>
        <v>EN-002101216</v>
      </c>
    </row>
    <row r="444" spans="1:15" ht="16" x14ac:dyDescent="0.2">
      <c r="A444" s="18" t="str">
        <f>HYPERLINK("https://otsuka-europe-crm.veevavault.com/ui/#object/account__v/V4TZ06G6O71T9ZU", "CIRO ULISES GARCIA-MIJAN GOMEZ")</f>
        <v>CIRO ULISES GARCIA-MIJAN GOMEZ</v>
      </c>
      <c r="B444" s="18" t="str">
        <f>HYPERLINK("https://otsuka-europe-crm.veevavault.com/ui/#object/vcountry__v/VENZ000004SONF5", "ES")</f>
        <v>ES</v>
      </c>
      <c r="C444" s="20" t="s">
        <v>39</v>
      </c>
      <c r="D444" s="21" t="str">
        <f>HYPERLINK("https://otsuka-europe-crm.veevavault.com/ui/#object/approved_document__v/V5O00000001R002", "Programa X Jornada UHB")</f>
        <v>Programa X Jornada UHB</v>
      </c>
      <c r="E444" s="22" t="str">
        <f>HYPERLINK("https://otsuka-europe-crm.veevavault.com/ui/#object/sent_email__v/VBL00000002Z386", "SE-001439046")</f>
        <v>SE-001439046</v>
      </c>
      <c r="F444" s="25">
        <v>46205.32372685185</v>
      </c>
      <c r="G444" s="24">
        <v>1</v>
      </c>
      <c r="H444" s="24">
        <v>1</v>
      </c>
      <c r="I444" s="24">
        <v>1</v>
      </c>
      <c r="J444" s="25">
        <v>46205.327037037037</v>
      </c>
      <c r="K444" s="24">
        <v>2</v>
      </c>
      <c r="L444" s="22" t="str">
        <f>HYPERLINK("https://otsuka-europe-crm.veevavault.com/ui/#object/approved_document__v/V5O00000001R002", "Programa X Jornada UHB")</f>
        <v>Programa X Jornada UHB</v>
      </c>
      <c r="M444" s="22" t="str">
        <f>HYPERLINK("mailto:cvila@crm.otsuka-europe.com", "cvila@crm.otsuka-europe.com")</f>
        <v>cvila@crm.otsuka-europe.com</v>
      </c>
      <c r="N444" s="25">
        <v>46204.323680555557</v>
      </c>
      <c r="O444" s="14" t="str">
        <f>HYPERLINK("https://otsuka-europe-crm.veevavault.com/ui/#object/email_activity__v/V8C000000042786", "EN-002101200")</f>
        <v>EN-002101200</v>
      </c>
    </row>
    <row r="445" spans="1:15" ht="16" x14ac:dyDescent="0.2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14" t="str">
        <f>HYPERLINK("https://otsuka-europe-crm.veevavault.com/ui/#object/email_activity__v/V8C000000043009", "EN-002101574")</f>
        <v>EN-002101574</v>
      </c>
    </row>
    <row r="446" spans="1:15" ht="16" x14ac:dyDescent="0.2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14" t="str">
        <f>HYPERLINK("https://otsuka-europe-crm.veevavault.com/ui/#object/email_activity__v/V8C000000043010", "EN-002101573")</f>
        <v>EN-002101573</v>
      </c>
    </row>
    <row r="447" spans="1:15" ht="16" x14ac:dyDescent="0.2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14" t="str">
        <f>HYPERLINK("https://otsuka-europe-crm.veevavault.com/ui/#object/email_activity__v/V8C000000043011", "EN-002101575")</f>
        <v>EN-002101575</v>
      </c>
    </row>
    <row r="448" spans="1:15" ht="16" x14ac:dyDescent="0.2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14" t="str">
        <f>HYPERLINK("https://otsuka-europe-crm.veevavault.com/ui/#object/email_activity__v/V8C000000044008", "EN-002101578")</f>
        <v>EN-002101578</v>
      </c>
    </row>
    <row r="449" spans="1:15" ht="16" x14ac:dyDescent="0.2">
      <c r="A449" s="19"/>
      <c r="B449" s="19"/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4" t="str">
        <f>HYPERLINK("https://otsuka-europe-crm.veevavault.com/ui/#object/email_activity__v/V8C000000044009", "EN-002101579")</f>
        <v>EN-002101579</v>
      </c>
    </row>
    <row r="450" spans="1:15" ht="32" x14ac:dyDescent="0.2">
      <c r="A450" s="7" t="str">
        <f>HYPERLINK("https://otsuka-europe-crm.veevavault.com/ui/#object/account__v/V4T00000001W036", "JOSE LUIS VILLEGAS MARTINEZ")</f>
        <v>JOSE LUIS VILLEGAS MARTINEZ</v>
      </c>
      <c r="B450" s="7" t="str">
        <f>HYPERLINK("https://otsuka-europe-crm.veevavault.com/ui/#object/vcountry__v/VENZ000004SONF5", "ES")</f>
        <v>ES</v>
      </c>
      <c r="C450" s="8" t="s">
        <v>39</v>
      </c>
      <c r="D450" s="9" t="str">
        <f>HYPERLINK("https://otsuka-europe-crm.veevavault.com/ui/#object/approved_document__v/V5O00000001R002", "Programa X Jornada UHB")</f>
        <v>Programa X Jornada UHB</v>
      </c>
      <c r="E450" s="10" t="str">
        <f>HYPERLINK("https://otsuka-europe-crm.veevavault.com/ui/#object/sent_email__v/VBL00000002Z387", "SE-001439047")</f>
        <v>SE-001439047</v>
      </c>
      <c r="F450" s="11"/>
      <c r="G450" s="12">
        <v>0</v>
      </c>
      <c r="H450" s="12">
        <v>0</v>
      </c>
      <c r="I450" s="12">
        <v>0</v>
      </c>
      <c r="J450" s="11"/>
      <c r="K450" s="12">
        <v>0</v>
      </c>
      <c r="L450" s="10" t="str">
        <f>HYPERLINK("https://otsuka-europe-crm.veevavault.com/ui/#object/approved_document__v/V5O00000001R002", "Programa X Jornada UHB")</f>
        <v>Programa X Jornada UHB</v>
      </c>
      <c r="M450" s="10" t="str">
        <f>HYPERLINK("mailto:cvila@crm.otsuka-europe.com", "cvila@crm.otsuka-europe.com")</f>
        <v>cvila@crm.otsuka-europe.com</v>
      </c>
      <c r="N450" s="13">
        <v>46204.32366898148</v>
      </c>
      <c r="O450" s="14" t="str">
        <f>HYPERLINK("https://otsuka-europe-crm.veevavault.com/ui/#object/email_activity__v/V8C000000042784", "EN-002101198")</f>
        <v>EN-002101198</v>
      </c>
    </row>
    <row r="451" spans="1:15" ht="32" x14ac:dyDescent="0.2">
      <c r="A451" s="7" t="str">
        <f>HYPERLINK("https://otsuka-europe-crm.veevavault.com/ui/#object/account__v/V4TZ06G6O71T80F", "JUANA MUÑOZ NOVILLO")</f>
        <v>JUANA MUÑOZ NOVILLO</v>
      </c>
      <c r="B451" s="7" t="str">
        <f>HYPERLINK("https://otsuka-europe-crm.veevavault.com/ui/#object/vcountry__v/VENZ000004SONF5", "ES")</f>
        <v>ES</v>
      </c>
      <c r="C451" s="8" t="s">
        <v>39</v>
      </c>
      <c r="D451" s="9" t="str">
        <f>HYPERLINK("https://otsuka-europe-crm.veevavault.com/ui/#object/approved_document__v/V5O00000001R002", "Programa X Jornada UHB")</f>
        <v>Programa X Jornada UHB</v>
      </c>
      <c r="E451" s="10" t="str">
        <f>HYPERLINK("https://otsuka-europe-crm.veevavault.com/ui/#object/sent_email__v/VBL00000002Z388", "SE-001439048")</f>
        <v>SE-001439048</v>
      </c>
      <c r="F451" s="11"/>
      <c r="G451" s="12">
        <v>0</v>
      </c>
      <c r="H451" s="12">
        <v>0</v>
      </c>
      <c r="I451" s="12">
        <v>0</v>
      </c>
      <c r="J451" s="11"/>
      <c r="K451" s="12">
        <v>0</v>
      </c>
      <c r="L451" s="10" t="str">
        <f>HYPERLINK("https://otsuka-europe-crm.veevavault.com/ui/#object/approved_document__v/V5O00000001R002", "Programa X Jornada UHB")</f>
        <v>Programa X Jornada UHB</v>
      </c>
      <c r="M451" s="10" t="str">
        <f>HYPERLINK("mailto:cvila@crm.otsuka-europe.com", "cvila@crm.otsuka-europe.com")</f>
        <v>cvila@crm.otsuka-europe.com</v>
      </c>
      <c r="N451" s="13">
        <v>46204.323680555557</v>
      </c>
      <c r="O451" s="14" t="str">
        <f>HYPERLINK("https://otsuka-europe-crm.veevavault.com/ui/#object/email_activity__v/V8C000000042783", "EN-002101197")</f>
        <v>EN-002101197</v>
      </c>
    </row>
    <row r="452" spans="1:15" ht="16" x14ac:dyDescent="0.2">
      <c r="A452" s="18" t="str">
        <f>HYPERLINK("https://otsuka-europe-crm.veevavault.com/ui/#object/account__v/V4TZ06G6O71T7H8", "CARLOS RODRIGUEZ GOMEZ-CARREÑO")</f>
        <v>CARLOS RODRIGUEZ GOMEZ-CARREÑO</v>
      </c>
      <c r="B452" s="18" t="str">
        <f>HYPERLINK("https://otsuka-europe-crm.veevavault.com/ui/#object/vcountry__v/VENZ000004SONF5", "ES")</f>
        <v>ES</v>
      </c>
      <c r="C452" s="20" t="s">
        <v>39</v>
      </c>
      <c r="D452" s="21" t="str">
        <f>HYPERLINK("https://otsuka-europe-crm.veevavault.com/ui/#object/approved_document__v/V5O00000001R002", "Programa X Jornada UHB")</f>
        <v>Programa X Jornada UHB</v>
      </c>
      <c r="E452" s="22" t="str">
        <f>HYPERLINK("https://otsuka-europe-crm.veevavault.com/ui/#object/sent_email__v/VBL00000002Z389", "SE-001439049")</f>
        <v>SE-001439049</v>
      </c>
      <c r="F452" s="25">
        <v>46227.155891203707</v>
      </c>
      <c r="G452" s="24">
        <v>1</v>
      </c>
      <c r="H452" s="24">
        <v>1</v>
      </c>
      <c r="I452" s="24">
        <v>1</v>
      </c>
      <c r="J452" s="25">
        <v>46216.798368055555</v>
      </c>
      <c r="K452" s="24">
        <v>2</v>
      </c>
      <c r="L452" s="22" t="str">
        <f>HYPERLINK("https://otsuka-europe-crm.veevavault.com/ui/#object/approved_document__v/V5O00000001R002", "Programa X Jornada UHB")</f>
        <v>Programa X Jornada UHB</v>
      </c>
      <c r="M452" s="22" t="str">
        <f>HYPERLINK("mailto:cvila@crm.otsuka-europe.com", "cvila@crm.otsuka-europe.com")</f>
        <v>cvila@crm.otsuka-europe.com</v>
      </c>
      <c r="N452" s="25">
        <v>46204.323680555557</v>
      </c>
      <c r="O452" s="14" t="str">
        <f>HYPERLINK("https://otsuka-europe-crm.veevavault.com/ui/#object/email_activity__v/V8C000000041876", "EN-002101470")</f>
        <v>EN-002101470</v>
      </c>
    </row>
    <row r="453" spans="1:15" ht="16" x14ac:dyDescent="0.2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14" t="str">
        <f>HYPERLINK("https://otsuka-europe-crm.veevavault.com/ui/#object/email_activity__v/V8C000000042792", "EN-002101206")</f>
        <v>EN-002101206</v>
      </c>
    </row>
    <row r="454" spans="1:15" ht="16" x14ac:dyDescent="0.2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14" t="str">
        <f>HYPERLINK("https://otsuka-europe-crm.veevavault.com/ui/#object/email_activity__v/V8C000000042881", "EN-002101344")</f>
        <v>EN-002101344</v>
      </c>
    </row>
    <row r="455" spans="1:15" ht="16" x14ac:dyDescent="0.2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14" t="str">
        <f>HYPERLINK("https://otsuka-europe-crm.veevavault.com/ui/#object/email_activity__v/V8C000000042882", "EN-002101345")</f>
        <v>EN-002101345</v>
      </c>
    </row>
    <row r="456" spans="1:15" ht="16" x14ac:dyDescent="0.2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14" t="str">
        <f>HYPERLINK("https://otsuka-europe-crm.veevavault.com/ui/#object/email_activity__v/V8C000000042883", "EN-002101346")</f>
        <v>EN-002101346</v>
      </c>
    </row>
    <row r="457" spans="1:15" ht="16" x14ac:dyDescent="0.2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14" t="str">
        <f>HYPERLINK("https://otsuka-europe-crm.veevavault.com/ui/#object/email_activity__v/V8C000000043200", "EN-002101915")</f>
        <v>EN-002101915</v>
      </c>
    </row>
    <row r="458" spans="1:15" ht="16" x14ac:dyDescent="0.2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14" t="str">
        <f>HYPERLINK("https://otsuka-europe-crm.veevavault.com/ui/#object/email_activity__v/V8C000000044034", "EN-002101662")</f>
        <v>EN-002101662</v>
      </c>
    </row>
    <row r="459" spans="1:15" ht="16" x14ac:dyDescent="0.2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14" t="str">
        <f>HYPERLINK("https://otsuka-europe-crm.veevavault.com/ui/#object/email_activity__v/V8C000000049446", "EN-002105685")</f>
        <v>EN-002105685</v>
      </c>
    </row>
    <row r="460" spans="1:15" ht="16" x14ac:dyDescent="0.2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14" t="str">
        <f>HYPERLINK("https://otsuka-europe-crm.veevavault.com/ui/#object/email_activity__v/V8C000000049447", "EN-002105686")</f>
        <v>EN-002105686</v>
      </c>
    </row>
    <row r="461" spans="1:15" ht="16" x14ac:dyDescent="0.2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14" t="str">
        <f>HYPERLINK("https://otsuka-europe-crm.veevavault.com/ui/#object/email_activity__v/V8C000000049448", "EN-002105687")</f>
        <v>EN-002105687</v>
      </c>
    </row>
    <row r="462" spans="1:15" ht="16" x14ac:dyDescent="0.2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14" t="str">
        <f>HYPERLINK("https://otsuka-europe-crm.veevavault.com/ui/#object/email_activity__v/V8C00000004A636", "EN-002106181")</f>
        <v>EN-002106181</v>
      </c>
    </row>
    <row r="463" spans="1:15" ht="16" x14ac:dyDescent="0.2">
      <c r="A463" s="19"/>
      <c r="B463" s="19"/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4" t="str">
        <f>HYPERLINK("https://otsuka-europe-crm.veevavault.com/ui/#object/email_activity__v/V8C00000004D012", "EN-002108235")</f>
        <v>EN-002108235</v>
      </c>
    </row>
    <row r="464" spans="1:15" ht="16" x14ac:dyDescent="0.2">
      <c r="A464" s="18" t="str">
        <f>HYPERLINK("https://otsuka-europe-crm.veevavault.com/ui/#object/account__v/V4TZ06G6O71T9C6", "MANUEL BENITEZ MONTERO")</f>
        <v>MANUEL BENITEZ MONTERO</v>
      </c>
      <c r="B464" s="18" t="str">
        <f>HYPERLINK("https://otsuka-europe-crm.veevavault.com/ui/#object/vcountry__v/VENZ000004SONF5", "ES")</f>
        <v>ES</v>
      </c>
      <c r="C464" s="20" t="s">
        <v>39</v>
      </c>
      <c r="D464" s="21" t="str">
        <f>HYPERLINK("https://otsuka-europe-crm.veevavault.com/ui/#object/approved_document__v/V5O00000001R002", "Programa X Jornada UHB")</f>
        <v>Programa X Jornada UHB</v>
      </c>
      <c r="E464" s="22" t="str">
        <f>HYPERLINK("https://otsuka-europe-crm.veevavault.com/ui/#object/sent_email__v/VBL00000002Z390", "SE-001439050")</f>
        <v>SE-001439050</v>
      </c>
      <c r="F464" s="25">
        <v>46204.845069444447</v>
      </c>
      <c r="G464" s="24">
        <v>1</v>
      </c>
      <c r="H464" s="24">
        <v>2</v>
      </c>
      <c r="I464" s="24">
        <v>0</v>
      </c>
      <c r="J464" s="23"/>
      <c r="K464" s="24">
        <v>0</v>
      </c>
      <c r="L464" s="22" t="str">
        <f>HYPERLINK("https://otsuka-europe-crm.veevavault.com/ui/#object/approved_document__v/V5O00000001R002", "Programa X Jornada UHB")</f>
        <v>Programa X Jornada UHB</v>
      </c>
      <c r="M464" s="22" t="str">
        <f>HYPERLINK("mailto:cvila@crm.otsuka-europe.com", "cvila@crm.otsuka-europe.com")</f>
        <v>cvila@crm.otsuka-europe.com</v>
      </c>
      <c r="N464" s="25">
        <v>46204.323680555557</v>
      </c>
      <c r="O464" s="14" t="str">
        <f>HYPERLINK("https://otsuka-europe-crm.veevavault.com/ui/#object/email_activity__v/V8C000000041811", "EN-002101339")</f>
        <v>EN-002101339</v>
      </c>
    </row>
    <row r="465" spans="1:15" ht="16" x14ac:dyDescent="0.2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14" t="str">
        <f>HYPERLINK("https://otsuka-europe-crm.veevavault.com/ui/#object/email_activity__v/V8C000000041914", "EN-002101547")</f>
        <v>EN-002101547</v>
      </c>
    </row>
    <row r="466" spans="1:15" ht="16" x14ac:dyDescent="0.2">
      <c r="A466" s="19"/>
      <c r="B466" s="19"/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4" t="str">
        <f>HYPERLINK("https://otsuka-europe-crm.veevavault.com/ui/#object/email_activity__v/V8C000000042791", "EN-002101205")</f>
        <v>EN-002101205</v>
      </c>
    </row>
    <row r="467" spans="1:15" ht="16" x14ac:dyDescent="0.2">
      <c r="A467" s="18" t="str">
        <f>HYPERLINK("https://otsuka-europe-crm.veevavault.com/ui/#object/account__v/V4TZ06G6O71TB6C", "FRANCISCO MONTAÑES RADA")</f>
        <v>FRANCISCO MONTAÑES RADA</v>
      </c>
      <c r="B467" s="18" t="str">
        <f>HYPERLINK("https://otsuka-europe-crm.veevavault.com/ui/#object/vcountry__v/VENZ000004SONF5", "ES")</f>
        <v>ES</v>
      </c>
      <c r="C467" s="20" t="s">
        <v>39</v>
      </c>
      <c r="D467" s="21" t="str">
        <f>HYPERLINK("https://otsuka-europe-crm.veevavault.com/ui/#object/approved_document__v/V5O00000001R002", "Programa X Jornada UHB")</f>
        <v>Programa X Jornada UHB</v>
      </c>
      <c r="E467" s="22" t="str">
        <f>HYPERLINK("https://otsuka-europe-crm.veevavault.com/ui/#object/sent_email__v/VBL00000002Z391", "SE-001439051")</f>
        <v>SE-001439051</v>
      </c>
      <c r="F467" s="25">
        <v>46215.405787037038</v>
      </c>
      <c r="G467" s="24">
        <v>1</v>
      </c>
      <c r="H467" s="24">
        <v>1</v>
      </c>
      <c r="I467" s="24">
        <v>0</v>
      </c>
      <c r="J467" s="23"/>
      <c r="K467" s="24">
        <v>0</v>
      </c>
      <c r="L467" s="22" t="str">
        <f>HYPERLINK("https://otsuka-europe-crm.veevavault.com/ui/#object/approved_document__v/V5O00000001R002", "Programa X Jornada UHB")</f>
        <v>Programa X Jornada UHB</v>
      </c>
      <c r="M467" s="22" t="str">
        <f>HYPERLINK("mailto:cvila@crm.otsuka-europe.com", "cvila@crm.otsuka-europe.com")</f>
        <v>cvila@crm.otsuka-europe.com</v>
      </c>
      <c r="N467" s="25">
        <v>46204.323680555557</v>
      </c>
      <c r="O467" s="14" t="str">
        <f>HYPERLINK("https://otsuka-europe-crm.veevavault.com/ui/#object/email_activity__v/V8C000000041760", "EN-002101207")</f>
        <v>EN-002101207</v>
      </c>
    </row>
    <row r="468" spans="1:15" ht="16" x14ac:dyDescent="0.2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14" t="str">
        <f>HYPERLINK("https://otsuka-europe-crm.veevavault.com/ui/#object/email_activity__v/V8C000000042993", "EN-002101555")</f>
        <v>EN-002101555</v>
      </c>
    </row>
    <row r="469" spans="1:15" ht="16" x14ac:dyDescent="0.2">
      <c r="A469" s="19"/>
      <c r="B469" s="19"/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4" t="str">
        <f>HYPERLINK("https://otsuka-europe-crm.veevavault.com/ui/#object/email_activity__v/V8C00000004A039", "EN-002104946")</f>
        <v>EN-002104946</v>
      </c>
    </row>
    <row r="470" spans="1:15" ht="32" x14ac:dyDescent="0.2">
      <c r="A470" s="7" t="str">
        <f>HYPERLINK("https://otsuka-europe-crm.veevavault.com/ui/#object/account__v/V4TZ06G6O71T7O6", "MARIA JOSE MORLAN COARASA")</f>
        <v>MARIA JOSE MORLAN COARASA</v>
      </c>
      <c r="B470" s="7" t="str">
        <f>HYPERLINK("https://otsuka-europe-crm.veevavault.com/ui/#object/vcountry__v/VENZ000004SONF5", "ES")</f>
        <v>ES</v>
      </c>
      <c r="C470" s="8" t="s">
        <v>39</v>
      </c>
      <c r="D470" s="9" t="str">
        <f>HYPERLINK("https://otsuka-europe-crm.veevavault.com/ui/#object/approved_document__v/V5O00000001R002", "Programa X Jornada UHB")</f>
        <v>Programa X Jornada UHB</v>
      </c>
      <c r="E470" s="10" t="str">
        <f>HYPERLINK("https://otsuka-europe-crm.veevavault.com/ui/#object/sent_email__v/VBL00000002Z392", "SE-001439052")</f>
        <v>SE-001439052</v>
      </c>
      <c r="F470" s="11"/>
      <c r="G470" s="12">
        <v>0</v>
      </c>
      <c r="H470" s="12">
        <v>0</v>
      </c>
      <c r="I470" s="12">
        <v>0</v>
      </c>
      <c r="J470" s="11"/>
      <c r="K470" s="12">
        <v>0</v>
      </c>
      <c r="L470" s="10" t="str">
        <f>HYPERLINK("https://otsuka-europe-crm.veevavault.com/ui/#object/approved_document__v/V5O00000001R002", "Programa X Jornada UHB")</f>
        <v>Programa X Jornada UHB</v>
      </c>
      <c r="M470" s="10" t="str">
        <f>HYPERLINK("mailto:cvila@crm.otsuka-europe.com", "cvila@crm.otsuka-europe.com")</f>
        <v>cvila@crm.otsuka-europe.com</v>
      </c>
      <c r="N470" s="13">
        <v>46204.323680555557</v>
      </c>
      <c r="O470" s="14" t="str">
        <f>HYPERLINK("https://otsuka-europe-crm.veevavault.com/ui/#object/email_activity__v/V8C000000042787", "EN-002101201")</f>
        <v>EN-002101201</v>
      </c>
    </row>
    <row r="471" spans="1:15" ht="32" x14ac:dyDescent="0.2">
      <c r="A471" s="7" t="str">
        <f>HYPERLINK("https://otsuka-europe-crm.veevavault.com/ui/#object/account__v/V4TZ06G6O71T9CI", "RAMIRO BRAVO DE PEDRO")</f>
        <v>RAMIRO BRAVO DE PEDRO</v>
      </c>
      <c r="B471" s="7" t="str">
        <f>HYPERLINK("https://otsuka-europe-crm.veevavault.com/ui/#object/vcountry__v/VENZ000004SONF5", "ES")</f>
        <v>ES</v>
      </c>
      <c r="C471" s="8" t="s">
        <v>39</v>
      </c>
      <c r="D471" s="9" t="str">
        <f>HYPERLINK("https://otsuka-europe-crm.veevavault.com/ui/#object/approved_document__v/V5O00000001R002", "Programa X Jornada UHB")</f>
        <v>Programa X Jornada UHB</v>
      </c>
      <c r="E471" s="10" t="str">
        <f>HYPERLINK("https://otsuka-europe-crm.veevavault.com/ui/#object/sent_email__v/VBL00000002Z393", "SE-001439053")</f>
        <v>SE-001439053</v>
      </c>
      <c r="F471" s="11"/>
      <c r="G471" s="12">
        <v>0</v>
      </c>
      <c r="H471" s="12">
        <v>0</v>
      </c>
      <c r="I471" s="12">
        <v>0</v>
      </c>
      <c r="J471" s="11"/>
      <c r="K471" s="12">
        <v>0</v>
      </c>
      <c r="L471" s="10" t="str">
        <f>HYPERLINK("https://otsuka-europe-crm.veevavault.com/ui/#object/approved_document__v/V5O00000001R002", "Programa X Jornada UHB")</f>
        <v>Programa X Jornada UHB</v>
      </c>
      <c r="M471" s="10" t="str">
        <f>HYPERLINK("mailto:cvila@crm.otsuka-europe.com", "cvila@crm.otsuka-europe.com")</f>
        <v>cvila@crm.otsuka-europe.com</v>
      </c>
      <c r="N471" s="13">
        <v>46204.323692129627</v>
      </c>
      <c r="O471" s="14" t="str">
        <f>HYPERLINK("https://otsuka-europe-crm.veevavault.com/ui/#object/email_activity__v/V8C000000041759", "EN-002101196")</f>
        <v>EN-002101196</v>
      </c>
    </row>
    <row r="472" spans="1:15" ht="16" x14ac:dyDescent="0.2">
      <c r="A472" s="18" t="str">
        <f>HYPERLINK("https://otsuka-europe-crm.veevavault.com/ui/#object/account__v/V4TZ06G6O71T7RY", "LAURA CARPIO GARCIA")</f>
        <v>LAURA CARPIO GARCIA</v>
      </c>
      <c r="B472" s="18" t="str">
        <f>HYPERLINK("https://otsuka-europe-crm.veevavault.com/ui/#object/vcountry__v/VENZ000004SONF5", "ES")</f>
        <v>ES</v>
      </c>
      <c r="C472" s="20" t="s">
        <v>39</v>
      </c>
      <c r="D472" s="21" t="str">
        <f>HYPERLINK("https://otsuka-europe-crm.veevavault.com/ui/#object/approved_document__v/V5O00000001R002", "Programa X Jornada UHB")</f>
        <v>Programa X Jornada UHB</v>
      </c>
      <c r="E472" s="22" t="str">
        <f>HYPERLINK("https://otsuka-europe-crm.veevavault.com/ui/#object/sent_email__v/VBL00000002Z394", "SE-001439054")</f>
        <v>SE-001439054</v>
      </c>
      <c r="F472" s="25">
        <v>46204.334027777775</v>
      </c>
      <c r="G472" s="24">
        <v>1</v>
      </c>
      <c r="H472" s="24">
        <v>1</v>
      </c>
      <c r="I472" s="24">
        <v>1</v>
      </c>
      <c r="J472" s="25">
        <v>46204.334027777775</v>
      </c>
      <c r="K472" s="24">
        <v>1</v>
      </c>
      <c r="L472" s="22" t="str">
        <f>HYPERLINK("https://otsuka-europe-crm.veevavault.com/ui/#object/approved_document__v/V5O00000001R002", "Programa X Jornada UHB")</f>
        <v>Programa X Jornada UHB</v>
      </c>
      <c r="M472" s="22" t="str">
        <f>HYPERLINK("mailto:cvila@crm.otsuka-europe.com", "cvila@crm.otsuka-europe.com")</f>
        <v>cvila@crm.otsuka-europe.com</v>
      </c>
      <c r="N472" s="25">
        <v>46204.323680555557</v>
      </c>
      <c r="O472" s="14" t="str">
        <f>HYPERLINK("https://otsuka-europe-crm.veevavault.com/ui/#object/email_activity__v/V8C000000041763", "EN-002101210")</f>
        <v>EN-002101210</v>
      </c>
    </row>
    <row r="473" spans="1:15" ht="16" x14ac:dyDescent="0.2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14" t="str">
        <f>HYPERLINK("https://otsuka-europe-crm.veevavault.com/ui/#object/email_activity__v/V8C000000042798", "EN-002101224")</f>
        <v>EN-002101224</v>
      </c>
    </row>
    <row r="474" spans="1:15" ht="16" x14ac:dyDescent="0.2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14" t="str">
        <f>HYPERLINK("https://otsuka-europe-crm.veevavault.com/ui/#object/email_activity__v/V8C000000042799", "EN-002101223")</f>
        <v>EN-002101223</v>
      </c>
    </row>
    <row r="475" spans="1:15" ht="16" x14ac:dyDescent="0.2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14" t="str">
        <f>HYPERLINK("https://otsuka-europe-crm.veevavault.com/ui/#object/email_activity__v/V8C000000042800", "EN-002101225")</f>
        <v>EN-002101225</v>
      </c>
    </row>
    <row r="476" spans="1:15" ht="16" x14ac:dyDescent="0.2">
      <c r="A476" s="19"/>
      <c r="B476" s="19"/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4" t="str">
        <f>HYPERLINK("https://otsuka-europe-crm.veevavault.com/ui/#object/email_activity__v/V8C000000042942", "EN-002101458")</f>
        <v>EN-002101458</v>
      </c>
    </row>
    <row r="477" spans="1:15" ht="16" x14ac:dyDescent="0.2">
      <c r="A477" s="18" t="str">
        <f>HYPERLINK("https://otsuka-europe-crm.veevavault.com/ui/#object/account__v/V4TZ025E878V4FX", "ADRIANA JUNQUERA BLANCO")</f>
        <v>ADRIANA JUNQUERA BLANCO</v>
      </c>
      <c r="B477" s="18" t="str">
        <f>HYPERLINK("https://otsuka-europe-crm.veevavault.com/ui/#object/vcountry__v/VENZ000004SONF5", "ES")</f>
        <v>ES</v>
      </c>
      <c r="C477" s="20" t="s">
        <v>39</v>
      </c>
      <c r="D477" s="21" t="str">
        <f>HYPERLINK("https://otsuka-europe-crm.veevavault.com/ui/#object/approved_document__v/V5O00000001R002", "Programa X Jornada UHB")</f>
        <v>Programa X Jornada UHB</v>
      </c>
      <c r="E477" s="22" t="str">
        <f>HYPERLINK("https://otsuka-europe-crm.veevavault.com/ui/#object/sent_email__v/VBL00000002Z395", "SE-001439055")</f>
        <v>SE-001439055</v>
      </c>
      <c r="F477" s="25">
        <v>46209.850324074076</v>
      </c>
      <c r="G477" s="24">
        <v>1</v>
      </c>
      <c r="H477" s="24">
        <v>4</v>
      </c>
      <c r="I477" s="24">
        <v>1</v>
      </c>
      <c r="J477" s="25">
        <v>46209.850462962961</v>
      </c>
      <c r="K477" s="24">
        <v>1</v>
      </c>
      <c r="L477" s="22" t="str">
        <f>HYPERLINK("https://otsuka-europe-crm.veevavault.com/ui/#object/approved_document__v/V5O00000001R002", "Programa X Jornada UHB")</f>
        <v>Programa X Jornada UHB</v>
      </c>
      <c r="M477" s="22" t="str">
        <f>HYPERLINK("mailto:cvila@crm.otsuka-europe.com", "cvila@crm.otsuka-europe.com")</f>
        <v>cvila@crm.otsuka-europe.com</v>
      </c>
      <c r="N477" s="25">
        <v>46204.323680555557</v>
      </c>
      <c r="O477" s="14" t="str">
        <f>HYPERLINK("https://otsuka-europe-crm.veevavault.com/ui/#object/email_activity__v/V8C000000041768", "EN-002101218")</f>
        <v>EN-002101218</v>
      </c>
    </row>
    <row r="478" spans="1:15" ht="16" x14ac:dyDescent="0.2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14" t="str">
        <f>HYPERLINK("https://otsuka-europe-crm.veevavault.com/ui/#object/email_activity__v/V8C000000041769", "EN-002101219")</f>
        <v>EN-002101219</v>
      </c>
    </row>
    <row r="479" spans="1:15" ht="16" x14ac:dyDescent="0.2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14" t="str">
        <f>HYPERLINK("https://otsuka-europe-crm.veevavault.com/ui/#object/email_activity__v/V8C000000042789", "EN-002101203")</f>
        <v>EN-002101203</v>
      </c>
    </row>
    <row r="480" spans="1:15" ht="16" x14ac:dyDescent="0.2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14" t="str">
        <f>HYPERLINK("https://otsuka-europe-crm.veevavault.com/ui/#object/email_activity__v/V8C000000043535", "EN-002102607")</f>
        <v>EN-002102607</v>
      </c>
    </row>
    <row r="481" spans="1:15" ht="16" x14ac:dyDescent="0.2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14" t="str">
        <f>HYPERLINK("https://otsuka-europe-crm.veevavault.com/ui/#object/email_activity__v/V8C000000043536", "EN-002102608")</f>
        <v>EN-002102608</v>
      </c>
    </row>
    <row r="482" spans="1:15" ht="16" x14ac:dyDescent="0.2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14" t="str">
        <f>HYPERLINK("https://otsuka-europe-crm.veevavault.com/ui/#object/email_activity__v/V8C000000044517", "EN-002102609")</f>
        <v>EN-002102609</v>
      </c>
    </row>
    <row r="483" spans="1:15" ht="16" x14ac:dyDescent="0.2">
      <c r="A483" s="19"/>
      <c r="B483" s="19"/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4" t="str">
        <f>HYPERLINK("https://otsuka-europe-crm.veevavault.com/ui/#object/email_activity__v/V8C000000044519", "EN-002102615")</f>
        <v>EN-002102615</v>
      </c>
    </row>
    <row r="484" spans="1:15" ht="16" x14ac:dyDescent="0.2">
      <c r="A484" s="18" t="str">
        <f>HYPERLINK("https://otsuka-europe-crm.veevavault.com/ui/#object/account__v/V4TZ025E877HZDU", "ENRIQUE VICENTE GARCIA")</f>
        <v>ENRIQUE VICENTE GARCIA</v>
      </c>
      <c r="B484" s="18" t="str">
        <f>HYPERLINK("https://otsuka-europe-crm.veevavault.com/ui/#object/vcountry__v/VENZ000004SONF5", "ES")</f>
        <v>ES</v>
      </c>
      <c r="C484" s="20" t="s">
        <v>39</v>
      </c>
      <c r="D484" s="21" t="str">
        <f>HYPERLINK("https://otsuka-europe-crm.veevavault.com/ui/#object/approved_document__v/V5O00000001R002", "Programa X Jornada UHB")</f>
        <v>Programa X Jornada UHB</v>
      </c>
      <c r="E484" s="22" t="str">
        <f>HYPERLINK("https://otsuka-europe-crm.veevavault.com/ui/#object/sent_email__v/VBL00000002Z396", "SE-001439056")</f>
        <v>SE-001439056</v>
      </c>
      <c r="F484" s="25">
        <v>46204.469282407408</v>
      </c>
      <c r="G484" s="24">
        <v>1</v>
      </c>
      <c r="H484" s="24">
        <v>2</v>
      </c>
      <c r="I484" s="24">
        <v>0</v>
      </c>
      <c r="J484" s="23"/>
      <c r="K484" s="24">
        <v>0</v>
      </c>
      <c r="L484" s="22" t="str">
        <f>HYPERLINK("https://otsuka-europe-crm.veevavault.com/ui/#object/approved_document__v/V5O00000001R002", "Programa X Jornada UHB")</f>
        <v>Programa X Jornada UHB</v>
      </c>
      <c r="M484" s="22" t="str">
        <f>HYPERLINK("mailto:cvila@crm.otsuka-europe.com", "cvila@crm.otsuka-europe.com")</f>
        <v>cvila@crm.otsuka-europe.com</v>
      </c>
      <c r="N484" s="25">
        <v>46204.323680555557</v>
      </c>
      <c r="O484" s="14" t="str">
        <f>HYPERLINK("https://otsuka-europe-crm.veevavault.com/ui/#object/email_activity__v/V8C000000041820", "EN-002101360")</f>
        <v>EN-002101360</v>
      </c>
    </row>
    <row r="485" spans="1:15" ht="16" x14ac:dyDescent="0.2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14" t="str">
        <f>HYPERLINK("https://otsuka-europe-crm.veevavault.com/ui/#object/email_activity__v/V8C000000042790", "EN-002101204")</f>
        <v>EN-002101204</v>
      </c>
    </row>
    <row r="486" spans="1:15" ht="16" x14ac:dyDescent="0.2">
      <c r="A486" s="19"/>
      <c r="B486" s="19"/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4" t="str">
        <f>HYPERLINK("https://otsuka-europe-crm.veevavault.com/ui/#object/email_activity__v/V8C000000042891", "EN-002101363")</f>
        <v>EN-002101363</v>
      </c>
    </row>
    <row r="487" spans="1:15" ht="16" x14ac:dyDescent="0.2">
      <c r="A487" s="18" t="str">
        <f>HYPERLINK("https://otsuka-europe-crm.veevavault.com/ui/#object/account__v/V4TZ06G6O71T7Y2", "LAURA CAROLINA MELLA DOMINGUEZ")</f>
        <v>LAURA CAROLINA MELLA DOMINGUEZ</v>
      </c>
      <c r="B487" s="18" t="str">
        <f>HYPERLINK("https://otsuka-europe-crm.veevavault.com/ui/#object/vcountry__v/VENZ000004SONF5", "ES")</f>
        <v>ES</v>
      </c>
      <c r="C487" s="20" t="s">
        <v>39</v>
      </c>
      <c r="D487" s="21" t="str">
        <f>HYPERLINK("https://otsuka-europe-crm.veevavault.com/ui/#object/approved_document__v/V5O00000001R002", "Programa X Jornada UHB")</f>
        <v>Programa X Jornada UHB</v>
      </c>
      <c r="E487" s="22" t="str">
        <f>HYPERLINK("https://otsuka-europe-crm.veevavault.com/ui/#object/sent_email__v/VBL00000002Z397", "SE-001439057")</f>
        <v>SE-001439057</v>
      </c>
      <c r="F487" s="25">
        <v>46204.574745370373</v>
      </c>
      <c r="G487" s="24">
        <v>1</v>
      </c>
      <c r="H487" s="24">
        <v>1</v>
      </c>
      <c r="I487" s="24">
        <v>0</v>
      </c>
      <c r="J487" s="23"/>
      <c r="K487" s="24">
        <v>0</v>
      </c>
      <c r="L487" s="22" t="str">
        <f>HYPERLINK("https://otsuka-europe-crm.veevavault.com/ui/#object/approved_document__v/V5O00000001R002", "Programa X Jornada UHB")</f>
        <v>Programa X Jornada UHB</v>
      </c>
      <c r="M487" s="22" t="str">
        <f>HYPERLINK("mailto:cvila@crm.otsuka-europe.com", "cvila@crm.otsuka-europe.com")</f>
        <v>cvila@crm.otsuka-europe.com</v>
      </c>
      <c r="N487" s="25">
        <v>46204.323680555557</v>
      </c>
      <c r="O487" s="14" t="str">
        <f>HYPERLINK("https://otsuka-europe-crm.veevavault.com/ui/#object/email_activity__v/V8C000000041765", "EN-002101212")</f>
        <v>EN-002101212</v>
      </c>
    </row>
    <row r="488" spans="1:15" ht="16" x14ac:dyDescent="0.2">
      <c r="A488" s="19"/>
      <c r="B488" s="19"/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4" t="str">
        <f>HYPERLINK("https://otsuka-europe-crm.veevavault.com/ui/#object/email_activity__v/V8C000000042933", "EN-002101444")</f>
        <v>EN-002101444</v>
      </c>
    </row>
    <row r="489" spans="1:15" ht="16" x14ac:dyDescent="0.2">
      <c r="A489" s="18" t="str">
        <f>HYPERLINK("https://otsuka-europe-crm.veevavault.com/ui/#object/account__v/V4TZ06G6O71TC1O", "MERCE SALVADOR ROBERT")</f>
        <v>MERCE SALVADOR ROBERT</v>
      </c>
      <c r="B489" s="18" t="str">
        <f>HYPERLINK("https://otsuka-europe-crm.veevavault.com/ui/#object/vcountry__v/VENZ000004SONF5", "ES")</f>
        <v>ES</v>
      </c>
      <c r="C489" s="20" t="s">
        <v>39</v>
      </c>
      <c r="D489" s="21" t="str">
        <f>HYPERLINK("https://otsuka-europe-crm.veevavault.com/ui/#object/approved_document__v/V5O00000001R002", "Programa X Jornada UHB")</f>
        <v>Programa X Jornada UHB</v>
      </c>
      <c r="E489" s="22" t="str">
        <f>HYPERLINK("https://otsuka-europe-crm.veevavault.com/ui/#object/sent_email__v/VBL00000002Z398", "SE-001439058")</f>
        <v>SE-001439058</v>
      </c>
      <c r="F489" s="25">
        <v>46204.35665509259</v>
      </c>
      <c r="G489" s="24">
        <v>1</v>
      </c>
      <c r="H489" s="24">
        <v>2</v>
      </c>
      <c r="I489" s="24">
        <v>0</v>
      </c>
      <c r="J489" s="23"/>
      <c r="K489" s="24">
        <v>0</v>
      </c>
      <c r="L489" s="22" t="str">
        <f>HYPERLINK("https://otsuka-europe-crm.veevavault.com/ui/#object/approved_document__v/V5O00000001R002", "Programa X Jornada UHB")</f>
        <v>Programa X Jornada UHB</v>
      </c>
      <c r="M489" s="22" t="str">
        <f>HYPERLINK("mailto:cvila@crm.otsuka-europe.com", "cvila@crm.otsuka-europe.com")</f>
        <v>cvila@crm.otsuka-europe.com</v>
      </c>
      <c r="N489" s="25">
        <v>46204.32366898148</v>
      </c>
      <c r="O489" s="14" t="str">
        <f>HYPERLINK("https://otsuka-europe-crm.veevavault.com/ui/#object/email_activity__v/V8C000000042785", "EN-002101199")</f>
        <v>EN-002101199</v>
      </c>
    </row>
    <row r="490" spans="1:15" ht="16" x14ac:dyDescent="0.2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14" t="str">
        <f>HYPERLINK("https://otsuka-europe-crm.veevavault.com/ui/#object/email_activity__v/V8C000000042803", "EN-002101231")</f>
        <v>EN-002101231</v>
      </c>
    </row>
    <row r="491" spans="1:15" ht="16" x14ac:dyDescent="0.2">
      <c r="A491" s="19"/>
      <c r="B491" s="19"/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4" t="str">
        <f>HYPERLINK("https://otsuka-europe-crm.veevavault.com/ui/#object/email_activity__v/V8C000000042804", "EN-002101232")</f>
        <v>EN-002101232</v>
      </c>
    </row>
    <row r="492" spans="1:15" ht="32" x14ac:dyDescent="0.2">
      <c r="A492" s="7" t="str">
        <f>HYPERLINK("https://otsuka-europe-crm.veevavault.com/ui/#object/account__v/V4TZ06G6O71TAL3", "DIEGO RAFAEL JIMENEZ MORON")</f>
        <v>DIEGO RAFAEL JIMENEZ MORON</v>
      </c>
      <c r="B492" s="7" t="str">
        <f>HYPERLINK("https://otsuka-europe-crm.veevavault.com/ui/#object/vcountry__v/VENZ000004SONF5", "ES")</f>
        <v>ES</v>
      </c>
      <c r="C492" s="8" t="s">
        <v>39</v>
      </c>
      <c r="D492" s="9" t="str">
        <f>HYPERLINK("https://otsuka-europe-crm.veevavault.com/ui/#object/approved_document__v/V5O00000001R002", "Programa X Jornada UHB")</f>
        <v>Programa X Jornada UHB</v>
      </c>
      <c r="E492" s="10" t="str">
        <f>HYPERLINK("https://otsuka-europe-crm.veevavault.com/ui/#object/sent_email__v/VBL00000002Z399", "SE-001439059")</f>
        <v>SE-001439059</v>
      </c>
      <c r="F492" s="11"/>
      <c r="G492" s="12">
        <v>0</v>
      </c>
      <c r="H492" s="12">
        <v>0</v>
      </c>
      <c r="I492" s="12">
        <v>0</v>
      </c>
      <c r="J492" s="11"/>
      <c r="K492" s="12">
        <v>0</v>
      </c>
      <c r="L492" s="10" t="str">
        <f>HYPERLINK("https://otsuka-europe-crm.veevavault.com/ui/#object/approved_document__v/V5O00000001R002", "Programa X Jornada UHB")</f>
        <v>Programa X Jornada UHB</v>
      </c>
      <c r="M492" s="10" t="str">
        <f>HYPERLINK("mailto:cvila@crm.otsuka-europe.com", "cvila@crm.otsuka-europe.com")</f>
        <v>cvila@crm.otsuka-europe.com</v>
      </c>
      <c r="N492" s="13">
        <v>46204.323680555557</v>
      </c>
      <c r="O492" s="14" t="str">
        <f>HYPERLINK("https://otsuka-europe-crm.veevavault.com/ui/#object/email_activity__v/V8C000000042788", "EN-002101202")</f>
        <v>EN-002101202</v>
      </c>
    </row>
    <row r="493" spans="1:15" ht="16" x14ac:dyDescent="0.2">
      <c r="A493" s="18" t="str">
        <f>HYPERLINK("https://otsuka-europe-crm.veevavault.com/ui/#object/account__v/V4TZ06G6O71TBKJ", "JOSE CARLOS PELAEZ ALVAREZ")</f>
        <v>JOSE CARLOS PELAEZ ALVAREZ</v>
      </c>
      <c r="B493" s="18" t="str">
        <f>HYPERLINK("https://otsuka-europe-crm.veevavault.com/ui/#object/vcountry__v/VENZ000004SONF5", "ES")</f>
        <v>ES</v>
      </c>
      <c r="C493" s="20" t="s">
        <v>39</v>
      </c>
      <c r="D493" s="21" t="str">
        <f>HYPERLINK("https://otsuka-europe-crm.veevavault.com/ui/#object/approved_document__v/V5O00000001R002", "Programa X Jornada UHB")</f>
        <v>Programa X Jornada UHB</v>
      </c>
      <c r="E493" s="22" t="str">
        <f>HYPERLINK("https://otsuka-europe-crm.veevavault.com/ui/#object/sent_email__v/VBL00000002Z400", "SE-001439060")</f>
        <v>SE-001439060</v>
      </c>
      <c r="F493" s="23"/>
      <c r="G493" s="24">
        <v>0</v>
      </c>
      <c r="H493" s="24">
        <v>0</v>
      </c>
      <c r="I493" s="24">
        <v>0</v>
      </c>
      <c r="J493" s="23"/>
      <c r="K493" s="24">
        <v>0</v>
      </c>
      <c r="L493" s="22" t="str">
        <f>HYPERLINK("https://otsuka-europe-crm.veevavault.com/ui/#object/approved_document__v/V5O00000001R002", "Programa X Jornada UHB")</f>
        <v>Programa X Jornada UHB</v>
      </c>
      <c r="M493" s="22" t="str">
        <f>HYPERLINK("mailto:cvila@crm.otsuka-europe.com", "cvila@crm.otsuka-europe.com")</f>
        <v>cvila@crm.otsuka-europe.com</v>
      </c>
      <c r="N493" s="25">
        <v>46204.323680555557</v>
      </c>
      <c r="O493" s="14" t="str">
        <f>HYPERLINK("https://otsuka-europe-crm.veevavault.com/ui/#object/email_activity__v/V8C000000041762", "EN-002101209")</f>
        <v>EN-002101209</v>
      </c>
    </row>
    <row r="494" spans="1:15" ht="16" x14ac:dyDescent="0.2">
      <c r="A494" s="19"/>
      <c r="B494" s="19"/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4" t="str">
        <f>HYPERLINK("https://otsuka-europe-crm.veevavault.com/ui/#object/email_activity__v/V8C000000042801", "EN-002101226")</f>
        <v>EN-002101226</v>
      </c>
    </row>
    <row r="495" spans="1:15" ht="32" x14ac:dyDescent="0.2">
      <c r="A495" s="7" t="str">
        <f>HYPERLINK("https://otsuka-europe-crm.veevavault.com/ui/#object/account__v/V4TZ06G6O71TCGT", "KAZUHIRO TAJIMA POZO")</f>
        <v>KAZUHIRO TAJIMA POZO</v>
      </c>
      <c r="B495" s="7" t="str">
        <f>HYPERLINK("https://otsuka-europe-crm.veevavault.com/ui/#object/vcountry__v/VENZ000004SONF5", "ES")</f>
        <v>ES</v>
      </c>
      <c r="C495" s="8" t="s">
        <v>39</v>
      </c>
      <c r="D495" s="9" t="str">
        <f>HYPERLINK("https://otsuka-europe-crm.veevavault.com/ui/#object/approved_document__v/V5O00000001R002", "Programa X Jornada UHB")</f>
        <v>Programa X Jornada UHB</v>
      </c>
      <c r="E495" s="10" t="str">
        <f>HYPERLINK("https://otsuka-europe-crm.veevavault.com/ui/#object/sent_email__v/VBL00000002Z401", "SE-001439061")</f>
        <v>SE-001439061</v>
      </c>
      <c r="F495" s="11"/>
      <c r="G495" s="12">
        <v>0</v>
      </c>
      <c r="H495" s="12">
        <v>0</v>
      </c>
      <c r="I495" s="12">
        <v>0</v>
      </c>
      <c r="J495" s="11"/>
      <c r="K495" s="12">
        <v>0</v>
      </c>
      <c r="L495" s="10" t="str">
        <f>HYPERLINK("https://otsuka-europe-crm.veevavault.com/ui/#object/approved_document__v/V5O00000001R002", "Programa X Jornada UHB")</f>
        <v>Programa X Jornada UHB</v>
      </c>
      <c r="M495" s="10" t="str">
        <f>HYPERLINK("mailto:cvila@crm.otsuka-europe.com", "cvila@crm.otsuka-europe.com")</f>
        <v>cvila@crm.otsuka-europe.com</v>
      </c>
      <c r="N495" s="13">
        <v>46204.323680555557</v>
      </c>
      <c r="O495" s="14" t="str">
        <f>HYPERLINK("https://otsuka-europe-crm.veevavault.com/ui/#object/email_activity__v/V8C000000041761", "EN-002101208")</f>
        <v>EN-002101208</v>
      </c>
    </row>
    <row r="496" spans="1:15" ht="16" x14ac:dyDescent="0.2">
      <c r="A496" s="18" t="str">
        <f>HYPERLINK("https://otsuka-europe-crm.veevavault.com/ui/#object/account__v/V4TZ06G6OBUNNH9", "PABLO ALBARRACIN MARCOS")</f>
        <v>PABLO ALBARRACIN MARCOS</v>
      </c>
      <c r="B496" s="18" t="str">
        <f>HYPERLINK("https://otsuka-europe-crm.veevavault.com/ui/#object/vcountry__v/VENZ000004SONF5", "ES")</f>
        <v>ES</v>
      </c>
      <c r="C496" s="20" t="s">
        <v>39</v>
      </c>
      <c r="D496" s="21" t="str">
        <f>HYPERLINK("https://otsuka-europe-crm.veevavault.com/ui/#object/approved_document__v/V5O00000001R002", "Programa X Jornada UHB")</f>
        <v>Programa X Jornada UHB</v>
      </c>
      <c r="E496" s="22" t="str">
        <f>HYPERLINK("https://otsuka-europe-crm.veevavault.com/ui/#object/sent_email__v/VBL00000002Z402", "SE-001439062")</f>
        <v>SE-001439062</v>
      </c>
      <c r="F496" s="25">
        <v>46204.600381944445</v>
      </c>
      <c r="G496" s="24">
        <v>1</v>
      </c>
      <c r="H496" s="24">
        <v>4</v>
      </c>
      <c r="I496" s="24">
        <v>0</v>
      </c>
      <c r="J496" s="23"/>
      <c r="K496" s="24">
        <v>0</v>
      </c>
      <c r="L496" s="22" t="str">
        <f>HYPERLINK("https://otsuka-europe-crm.veevavault.com/ui/#object/approved_document__v/V5O00000001R002", "Programa X Jornada UHB")</f>
        <v>Programa X Jornada UHB</v>
      </c>
      <c r="M496" s="22" t="str">
        <f>HYPERLINK("mailto:cvila@crm.otsuka-europe.com", "cvila@crm.otsuka-europe.com")</f>
        <v>cvila@crm.otsuka-europe.com</v>
      </c>
      <c r="N496" s="25">
        <v>46204.323680555557</v>
      </c>
      <c r="O496" s="14" t="str">
        <f>HYPERLINK("https://otsuka-europe-crm.veevavault.com/ui/#object/email_activity__v/V8C000000041764", "EN-002101211")</f>
        <v>EN-002101211</v>
      </c>
    </row>
    <row r="497" spans="1:15" ht="16" x14ac:dyDescent="0.2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14" t="str">
        <f>HYPERLINK("https://otsuka-europe-crm.veevavault.com/ui/#object/email_activity__v/V8C000000041822", "EN-002101365")</f>
        <v>EN-002101365</v>
      </c>
    </row>
    <row r="498" spans="1:15" ht="16" x14ac:dyDescent="0.2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14" t="str">
        <f>HYPERLINK("https://otsuka-europe-crm.veevavault.com/ui/#object/email_activity__v/V8C000000042892", "EN-002101364")</f>
        <v>EN-002101364</v>
      </c>
    </row>
    <row r="499" spans="1:15" ht="16" x14ac:dyDescent="0.2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14" t="str">
        <f>HYPERLINK("https://otsuka-europe-crm.veevavault.com/ui/#object/email_activity__v/V8C000000042945", "EN-002101461")</f>
        <v>EN-002101461</v>
      </c>
    </row>
    <row r="500" spans="1:15" ht="16" x14ac:dyDescent="0.2">
      <c r="A500" s="19"/>
      <c r="B500" s="19"/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4" t="str">
        <f>HYPERLINK("https://otsuka-europe-crm.veevavault.com/ui/#object/email_activity__v/V8C000000042946", "EN-002101462")</f>
        <v>EN-002101462</v>
      </c>
    </row>
    <row r="501" spans="1:15" ht="16" x14ac:dyDescent="0.2">
      <c r="A501" s="18" t="str">
        <f>HYPERLINK("https://otsuka-europe-crm.veevavault.com/ui/#object/account__v/V4TZ00000633LW3", "MARIA MAGDALENA CONSTANTIN")</f>
        <v>MARIA MAGDALENA CONSTANTIN</v>
      </c>
      <c r="B501" s="18" t="str">
        <f>HYPERLINK("https://otsuka-europe-crm.veevavault.com/ui/#object/vcountry__v/VENZ000004SONFA", "FR")</f>
        <v>FR</v>
      </c>
      <c r="C501" s="20" t="s">
        <v>40</v>
      </c>
      <c r="D501" s="21" t="str">
        <f>HYPERLINK("https://otsuka-europe-crm.veevavault.com/ui/#object/approved_document__v/V5OZ04ASG4G02Y6", "INVITATION_VAD_2023")</f>
        <v>INVITATION_VAD_2023</v>
      </c>
      <c r="E501" s="22" t="str">
        <f>HYPERLINK("https://otsuka-europe-crm.veevavault.com/ui/#object/sent_email__v/VBL00000002Z403", "SE-001439063")</f>
        <v>SE-001439063</v>
      </c>
      <c r="F501" s="25">
        <v>46204.3671412037</v>
      </c>
      <c r="G501" s="24">
        <v>1</v>
      </c>
      <c r="H501" s="24">
        <v>2</v>
      </c>
      <c r="I501" s="24">
        <v>0</v>
      </c>
      <c r="J501" s="23"/>
      <c r="K501" s="24">
        <v>0</v>
      </c>
      <c r="L501" s="22" t="str">
        <f>HYPERLINK("https://otsuka-europe-crm.veevavault.com/ui/#object/approved_document__v/V5OZ04ASG4G02Y6", "INVITATION_VAD_2023")</f>
        <v>INVITATION_VAD_2023</v>
      </c>
      <c r="M501" s="22" t="str">
        <f>HYPERLINK("mailto:sblancheland@crm.otsuka-europe.com", "sblancheland@crm.otsuka-europe.com")</f>
        <v>sblancheland@crm.otsuka-europe.com</v>
      </c>
      <c r="N501" s="25">
        <v>46204.349421296298</v>
      </c>
      <c r="O501" s="14" t="str">
        <f>HYPERLINK("https://otsuka-europe-crm.veevavault.com/ui/#object/email_activity__v/V8C000000041771", "EN-002101227")</f>
        <v>EN-002101227</v>
      </c>
    </row>
    <row r="502" spans="1:15" ht="16" x14ac:dyDescent="0.2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14" t="str">
        <f>HYPERLINK("https://otsuka-europe-crm.veevavault.com/ui/#object/email_activity__v/V8C000000041773", "EN-002101229")</f>
        <v>EN-002101229</v>
      </c>
    </row>
    <row r="503" spans="1:15" ht="16" x14ac:dyDescent="0.2">
      <c r="A503" s="19"/>
      <c r="B503" s="19"/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4" t="str">
        <f>HYPERLINK("https://otsuka-europe-crm.veevavault.com/ui/#object/email_activity__v/V8C000000041778", "EN-002101235")</f>
        <v>EN-002101235</v>
      </c>
    </row>
    <row r="504" spans="1:15" ht="16" x14ac:dyDescent="0.2">
      <c r="A504" s="18" t="str">
        <f>HYPERLINK("https://otsuka-europe-crm.veevavault.com/ui/#object/account__v/V4T000000024030", "MARIA STEFANIA INFANTE")</f>
        <v>MARIA STEFANIA INFANTE</v>
      </c>
      <c r="B504" s="18" t="str">
        <f>HYPERLINK("https://otsuka-europe-crm.veevavault.com/ui/#object/vcountry__v/VENZ000004SONF5", "ES")</f>
        <v>ES</v>
      </c>
      <c r="C504" s="20" t="s">
        <v>39</v>
      </c>
      <c r="D504" s="21" t="str">
        <f>HYPERLINK("https://otsuka-europe-crm.veevavault.com/ui/#object/approved_document__v/V5OZ06G6O6RFL1P", "ES Veeva Privacy Notice Email")</f>
        <v>ES Veeva Privacy Notice Email</v>
      </c>
      <c r="E504" s="22" t="str">
        <f>HYPERLINK("https://otsuka-europe-crm.veevavault.com/ui/#object/sent_email__v/VBL00000002Z404", "SE-001439064")</f>
        <v>SE-001439064</v>
      </c>
      <c r="F504" s="25">
        <v>46204.565555555557</v>
      </c>
      <c r="G504" s="24">
        <v>1</v>
      </c>
      <c r="H504" s="24">
        <v>2</v>
      </c>
      <c r="I504" s="24">
        <v>0</v>
      </c>
      <c r="J504" s="23"/>
      <c r="K504" s="24">
        <v>0</v>
      </c>
      <c r="L504" s="22" t="str">
        <f>HYPERLINK("https://otsuka-europe-crm.veevavault.com/ui/#object/approved_document__v/V5OZ06G6O6RFL1P", "ES Veeva Privacy Notice Email")</f>
        <v>ES Veeva Privacy Notice Email</v>
      </c>
      <c r="M504" s="22" t="str">
        <f>HYPERLINK("mailto:idiez@crm.otsuka-europe.com", "idiez@crm.otsuka-europe.com")</f>
        <v>idiez@crm.otsuka-europe.com</v>
      </c>
      <c r="N504" s="25">
        <v>46204.371516203704</v>
      </c>
      <c r="O504" s="14" t="str">
        <f>HYPERLINK("https://otsuka-europe-crm.veevavault.com/ui/#object/email_activity__v/V8C000000041780", "EN-002101237")</f>
        <v>EN-002101237</v>
      </c>
    </row>
    <row r="505" spans="1:15" ht="16" x14ac:dyDescent="0.2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14" t="str">
        <f>HYPERLINK("https://otsuka-europe-crm.veevavault.com/ui/#object/email_activity__v/V8C000000041862", "EN-002101440")</f>
        <v>EN-002101440</v>
      </c>
    </row>
    <row r="506" spans="1:15" ht="16" x14ac:dyDescent="0.2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14" t="str">
        <f>HYPERLINK("https://otsuka-europe-crm.veevavault.com/ui/#object/email_activity__v/V8C000000042805", "EN-002101238")</f>
        <v>EN-002101238</v>
      </c>
    </row>
    <row r="507" spans="1:15" ht="16" x14ac:dyDescent="0.2">
      <c r="A507" s="19"/>
      <c r="B507" s="19"/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4" t="str">
        <f>HYPERLINK("https://otsuka-europe-crm.veevavault.com/ui/#object/email_activity__v/V8C000000043001", "EN-002101558")</f>
        <v>EN-002101558</v>
      </c>
    </row>
    <row r="508" spans="1:15" ht="16" x14ac:dyDescent="0.2">
      <c r="A508" s="18" t="str">
        <f>HYPERLINK("https://otsuka-europe-crm.veevavault.com/ui/#object/account__v/V4TZ025E85N817B", "CLAUDIA LARA LOPEZ PRIETO")</f>
        <v>CLAUDIA LARA LOPEZ PRIETO</v>
      </c>
      <c r="B508" s="18" t="str">
        <f>HYPERLINK("https://otsuka-europe-crm.veevavault.com/ui/#object/vcountry__v/VENZ000004SONF5", "ES")</f>
        <v>ES</v>
      </c>
      <c r="C508" s="20" t="s">
        <v>39</v>
      </c>
      <c r="D508" s="21" t="str">
        <f>HYPERLINK("https://otsuka-europe-crm.veevavault.com/ui/#object/approved_document__v/V5O00000001R001", "INA - VAE Cierre ""Nos quedamos en Casa""")</f>
        <v>INA - VAE Cierre "Nos quedamos en Casa"</v>
      </c>
      <c r="E508" s="22" t="str">
        <f>HYPERLINK("https://otsuka-europe-crm.veevavault.com/ui/#object/sent_email__v/VBL00000002Y319", "SE-001439065")</f>
        <v>SE-001439065</v>
      </c>
      <c r="F508" s="25">
        <v>46205.747835648152</v>
      </c>
      <c r="G508" s="24">
        <v>1</v>
      </c>
      <c r="H508" s="24">
        <v>2</v>
      </c>
      <c r="I508" s="24">
        <v>0</v>
      </c>
      <c r="J508" s="23"/>
      <c r="K508" s="24">
        <v>0</v>
      </c>
      <c r="L508" s="22" t="str">
        <f>HYPERLINK("https://otsuka-europe-crm.veevavault.com/ui/#object/approved_document__v/V5O00000001R001", "INA - VAE Cierre ""Nos quedamos en Casa""")</f>
        <v>INA - VAE Cierre "Nos quedamos en Casa"</v>
      </c>
      <c r="M508" s="22" t="str">
        <f>HYPERLINK("mailto:idiez@crm.otsuka-europe.com", "idiez@crm.otsuka-europe.com")</f>
        <v>idiez@crm.otsuka-europe.com</v>
      </c>
      <c r="N508" s="25">
        <v>46204.372372685182</v>
      </c>
      <c r="O508" s="14" t="str">
        <f>HYPERLINK("https://otsuka-europe-crm.veevavault.com/ui/#object/email_activity__v/V8C000000041781", "EN-002101242")</f>
        <v>EN-002101242</v>
      </c>
    </row>
    <row r="509" spans="1:15" ht="16" x14ac:dyDescent="0.2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14" t="str">
        <f>HYPERLINK("https://otsuka-europe-crm.veevavault.com/ui/#object/email_activity__v/V8C000000042816", "EN-002101252")</f>
        <v>EN-002101252</v>
      </c>
    </row>
    <row r="510" spans="1:15" ht="16" x14ac:dyDescent="0.2">
      <c r="A510" s="19"/>
      <c r="B510" s="19"/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4" t="str">
        <f>HYPERLINK("https://otsuka-europe-crm.veevavault.com/ui/#object/email_activity__v/V8C000000043093", "EN-002101708")</f>
        <v>EN-002101708</v>
      </c>
    </row>
    <row r="511" spans="1:15" ht="16" x14ac:dyDescent="0.2">
      <c r="A511" s="18" t="str">
        <f>HYPERLINK("https://otsuka-europe-crm.veevavault.com/ui/#object/account__v/V4TZ06G6O71TBYF", "GABRIELA RODRIGUEZ MACIAS")</f>
        <v>GABRIELA RODRIGUEZ MACIAS</v>
      </c>
      <c r="B511" s="18" t="str">
        <f>HYPERLINK("https://otsuka-europe-crm.veevavault.com/ui/#object/vcountry__v/VENZ000004SONF5", "ES")</f>
        <v>ES</v>
      </c>
      <c r="C511" s="20" t="s">
        <v>39</v>
      </c>
      <c r="D511" s="21" t="str">
        <f>HYPERLINK("https://otsuka-europe-crm.veevavault.com/ui/#object/approved_document__v/V5O00000001R001", "INA - VAE Cierre ""Nos quedamos en Casa""")</f>
        <v>INA - VAE Cierre "Nos quedamos en Casa"</v>
      </c>
      <c r="E511" s="22" t="str">
        <f>HYPERLINK("https://otsuka-europe-crm.veevavault.com/ui/#object/sent_email__v/VBL00000002Y320", "SE-001439066")</f>
        <v>SE-001439066</v>
      </c>
      <c r="F511" s="25">
        <v>46204.914490740739</v>
      </c>
      <c r="G511" s="24">
        <v>1</v>
      </c>
      <c r="H511" s="24">
        <v>2</v>
      </c>
      <c r="I511" s="24">
        <v>0</v>
      </c>
      <c r="J511" s="23"/>
      <c r="K511" s="24">
        <v>0</v>
      </c>
      <c r="L511" s="22" t="str">
        <f>HYPERLINK("https://otsuka-europe-crm.veevavault.com/ui/#object/approved_document__v/V5O00000001R001", "INA - VAE Cierre ""Nos quedamos en Casa""")</f>
        <v>INA - VAE Cierre "Nos quedamos en Casa"</v>
      </c>
      <c r="M511" s="22" t="str">
        <f>HYPERLINK("mailto:idiez@crm.otsuka-europe.com", "idiez@crm.otsuka-europe.com")</f>
        <v>idiez@crm.otsuka-europe.com</v>
      </c>
      <c r="N511" s="25">
        <v>46204.372430555559</v>
      </c>
      <c r="O511" s="14" t="str">
        <f>HYPERLINK("https://otsuka-europe-crm.veevavault.com/ui/#object/email_activity__v/V8C000000042831", "EN-002101270")</f>
        <v>EN-002101270</v>
      </c>
    </row>
    <row r="512" spans="1:15" ht="16" x14ac:dyDescent="0.2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14" t="str">
        <f>HYPERLINK("https://otsuka-europe-crm.veevavault.com/ui/#object/email_activity__v/V8C000000042887", "EN-002101356")</f>
        <v>EN-002101356</v>
      </c>
    </row>
    <row r="513" spans="1:15" ht="16" x14ac:dyDescent="0.2">
      <c r="A513" s="19"/>
      <c r="B513" s="19"/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4" t="str">
        <f>HYPERLINK("https://otsuka-europe-crm.veevavault.com/ui/#object/email_activity__v/V8C000000042994", "EN-002101557")</f>
        <v>EN-002101557</v>
      </c>
    </row>
    <row r="514" spans="1:15" ht="32" x14ac:dyDescent="0.2">
      <c r="A514" s="7" t="str">
        <f>HYPERLINK("https://otsuka-europe-crm.veevavault.com/ui/#object/account__v/V4TZ025E861Z8I9", "ROSALIA BUSTELOS RODRIGUEZ")</f>
        <v>ROSALIA BUSTELOS RODRIGUEZ</v>
      </c>
      <c r="B514" s="7" t="str">
        <f>HYPERLINK("https://otsuka-europe-crm.veevavault.com/ui/#object/vcountry__v/VENZ000004SONF5", "ES")</f>
        <v>ES</v>
      </c>
      <c r="C514" s="8" t="s">
        <v>39</v>
      </c>
      <c r="D514" s="9" t="str">
        <f>HYPERLINK("https://otsuka-europe-crm.veevavault.com/ui/#object/approved_document__v/V5O00000001R001", "INA - VAE Cierre ""Nos quedamos en Casa""")</f>
        <v>INA - VAE Cierre "Nos quedamos en Casa"</v>
      </c>
      <c r="E514" s="10" t="str">
        <f>HYPERLINK("https://otsuka-europe-crm.veevavault.com/ui/#object/sent_email__v/VBL00000002Y321", "SE-001439067")</f>
        <v>SE-001439067</v>
      </c>
      <c r="F514" s="11"/>
      <c r="G514" s="12">
        <v>0</v>
      </c>
      <c r="H514" s="12">
        <v>0</v>
      </c>
      <c r="I514" s="12">
        <v>0</v>
      </c>
      <c r="J514" s="11"/>
      <c r="K514" s="12">
        <v>0</v>
      </c>
      <c r="L514" s="10" t="str">
        <f>HYPERLINK("https://otsuka-europe-crm.veevavault.com/ui/#object/approved_document__v/V5O00000001R001", "INA - VAE Cierre ""Nos quedamos en Casa""")</f>
        <v>INA - VAE Cierre "Nos quedamos en Casa"</v>
      </c>
      <c r="M514" s="10" t="str">
        <f>HYPERLINK("mailto:idiez@crm.otsuka-europe.com", "idiez@crm.otsuka-europe.com")</f>
        <v>idiez@crm.otsuka-europe.com</v>
      </c>
      <c r="N514" s="13">
        <v>46204.372372685182</v>
      </c>
      <c r="O514" s="14" t="str">
        <f>HYPERLINK("https://otsuka-europe-crm.veevavault.com/ui/#object/email_activity__v/V8C000000042806", "EN-002101239")</f>
        <v>EN-002101239</v>
      </c>
    </row>
    <row r="515" spans="1:15" ht="32" x14ac:dyDescent="0.2">
      <c r="A515" s="7" t="str">
        <f>HYPERLINK("https://otsuka-europe-crm.veevavault.com/ui/#object/account__v/V4TZ025E877HOFE", "NEREA CAMINOS ALTUNA")</f>
        <v>NEREA CAMINOS ALTUNA</v>
      </c>
      <c r="B515" s="7" t="str">
        <f>HYPERLINK("https://otsuka-europe-crm.veevavault.com/ui/#object/vcountry__v/VENZ000004SONF5", "ES")</f>
        <v>ES</v>
      </c>
      <c r="C515" s="8" t="s">
        <v>39</v>
      </c>
      <c r="D515" s="9" t="str">
        <f>HYPERLINK("https://otsuka-europe-crm.veevavault.com/ui/#object/approved_document__v/V5O00000001R001", "INA - VAE Cierre ""Nos quedamos en Casa""")</f>
        <v>INA - VAE Cierre "Nos quedamos en Casa"</v>
      </c>
      <c r="E515" s="10" t="str">
        <f>HYPERLINK("https://otsuka-europe-crm.veevavault.com/ui/#object/sent_email__v/VBL00000002Y322", "SE-001439068")</f>
        <v>SE-001439068</v>
      </c>
      <c r="F515" s="11"/>
      <c r="G515" s="12">
        <v>0</v>
      </c>
      <c r="H515" s="12">
        <v>0</v>
      </c>
      <c r="I515" s="12">
        <v>0</v>
      </c>
      <c r="J515" s="11"/>
      <c r="K515" s="12">
        <v>0</v>
      </c>
      <c r="L515" s="10" t="str">
        <f>HYPERLINK("https://otsuka-europe-crm.veevavault.com/ui/#object/approved_document__v/V5O00000001R001", "INA - VAE Cierre ""Nos quedamos en Casa""")</f>
        <v>INA - VAE Cierre "Nos quedamos en Casa"</v>
      </c>
      <c r="M515" s="10" t="str">
        <f>HYPERLINK("mailto:idiez@crm.otsuka-europe.com", "idiez@crm.otsuka-europe.com")</f>
        <v>idiez@crm.otsuka-europe.com</v>
      </c>
      <c r="N515" s="13">
        <v>46204.372430555559</v>
      </c>
      <c r="O515" s="14" t="str">
        <f>HYPERLINK("https://otsuka-europe-crm.veevavault.com/ui/#object/email_activity__v/V8C000000042836", "EN-002101275")</f>
        <v>EN-002101275</v>
      </c>
    </row>
    <row r="516" spans="1:15" ht="16" x14ac:dyDescent="0.2">
      <c r="A516" s="18" t="str">
        <f>HYPERLINK("https://otsuka-europe-crm.veevavault.com/ui/#object/account__v/V4T00000001X104", "JACKELINE SOLANO TOVAR")</f>
        <v>JACKELINE SOLANO TOVAR</v>
      </c>
      <c r="B516" s="18" t="str">
        <f>HYPERLINK("https://otsuka-europe-crm.veevavault.com/ui/#object/vcountry__v/VENZ000004SONF5", "ES")</f>
        <v>ES</v>
      </c>
      <c r="C516" s="20" t="s">
        <v>39</v>
      </c>
      <c r="D516" s="21" t="str">
        <f>HYPERLINK("https://otsuka-europe-crm.veevavault.com/ui/#object/approved_document__v/V5O00000001R001", "INA - VAE Cierre ""Nos quedamos en Casa""")</f>
        <v>INA - VAE Cierre "Nos quedamos en Casa"</v>
      </c>
      <c r="E516" s="22" t="str">
        <f>HYPERLINK("https://otsuka-europe-crm.veevavault.com/ui/#object/sent_email__v/VBL00000002Y323", "SE-001439069")</f>
        <v>SE-001439069</v>
      </c>
      <c r="F516" s="25">
        <v>46204.392685185187</v>
      </c>
      <c r="G516" s="24">
        <v>1</v>
      </c>
      <c r="H516" s="24">
        <v>2</v>
      </c>
      <c r="I516" s="24">
        <v>0</v>
      </c>
      <c r="J516" s="23"/>
      <c r="K516" s="24">
        <v>0</v>
      </c>
      <c r="L516" s="22" t="str">
        <f>HYPERLINK("https://otsuka-europe-crm.veevavault.com/ui/#object/approved_document__v/V5O00000001R001", "INA - VAE Cierre ""Nos quedamos en Casa""")</f>
        <v>INA - VAE Cierre "Nos quedamos en Casa"</v>
      </c>
      <c r="M516" s="22" t="str">
        <f>HYPERLINK("mailto:idiez@crm.otsuka-europe.com", "idiez@crm.otsuka-europe.com")</f>
        <v>idiez@crm.otsuka-europe.com</v>
      </c>
      <c r="N516" s="25">
        <v>46204.372442129628</v>
      </c>
      <c r="O516" s="14" t="str">
        <f>HYPERLINK("https://otsuka-europe-crm.veevavault.com/ui/#object/email_activity__v/V8C000000042837", "EN-002101276")</f>
        <v>EN-002101276</v>
      </c>
    </row>
    <row r="517" spans="1:15" ht="16" x14ac:dyDescent="0.2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14" t="str">
        <f>HYPERLINK("https://otsuka-europe-crm.veevavault.com/ui/#object/email_activity__v/V8C000000042872", "EN-002101330")</f>
        <v>EN-002101330</v>
      </c>
    </row>
    <row r="518" spans="1:15" ht="16" x14ac:dyDescent="0.2">
      <c r="A518" s="19"/>
      <c r="B518" s="19"/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4" t="str">
        <f>HYPERLINK("https://otsuka-europe-crm.veevavault.com/ui/#object/email_activity__v/V8C000000042873", "EN-002101331")</f>
        <v>EN-002101331</v>
      </c>
    </row>
    <row r="519" spans="1:15" ht="32" x14ac:dyDescent="0.2">
      <c r="A519" s="7" t="str">
        <f>HYPERLINK("https://otsuka-europe-crm.veevavault.com/ui/#object/account__v/V4T00000001B073", "SONIA MARIA GARCIA FERNANDEZ")</f>
        <v>SONIA MARIA GARCIA FERNANDEZ</v>
      </c>
      <c r="B519" s="7" t="str">
        <f>HYPERLINK("https://otsuka-europe-crm.veevavault.com/ui/#object/vcountry__v/VENZ000004SONF5", "ES")</f>
        <v>ES</v>
      </c>
      <c r="C519" s="8" t="s">
        <v>39</v>
      </c>
      <c r="D519" s="9" t="str">
        <f>HYPERLINK("https://otsuka-europe-crm.veevavault.com/ui/#object/approved_document__v/V5O00000001R001", "INA - VAE Cierre ""Nos quedamos en Casa""")</f>
        <v>INA - VAE Cierre "Nos quedamos en Casa"</v>
      </c>
      <c r="E519" s="10" t="str">
        <f>HYPERLINK("https://otsuka-europe-crm.veevavault.com/ui/#object/sent_email__v/VBL00000002Y324", "SE-001439070")</f>
        <v>SE-001439070</v>
      </c>
      <c r="F519" s="11"/>
      <c r="G519" s="12">
        <v>0</v>
      </c>
      <c r="H519" s="12">
        <v>0</v>
      </c>
      <c r="I519" s="12">
        <v>0</v>
      </c>
      <c r="J519" s="11"/>
      <c r="K519" s="12">
        <v>0</v>
      </c>
      <c r="L519" s="10" t="str">
        <f>HYPERLINK("https://otsuka-europe-crm.veevavault.com/ui/#object/approved_document__v/V5O00000001R001", "INA - VAE Cierre ""Nos quedamos en Casa""")</f>
        <v>INA - VAE Cierre "Nos quedamos en Casa"</v>
      </c>
      <c r="M519" s="10" t="str">
        <f>HYPERLINK("mailto:idiez@crm.otsuka-europe.com", "idiez@crm.otsuka-europe.com")</f>
        <v>idiez@crm.otsuka-europe.com</v>
      </c>
      <c r="N519" s="13">
        <v>46204.372372685182</v>
      </c>
      <c r="O519" s="14" t="str">
        <f>HYPERLINK("https://otsuka-europe-crm.veevavault.com/ui/#object/email_activity__v/V8C000000042808", "EN-002101241")</f>
        <v>EN-002101241</v>
      </c>
    </row>
    <row r="520" spans="1:15" ht="16" x14ac:dyDescent="0.2">
      <c r="A520" s="18" t="str">
        <f>HYPERLINK("https://otsuka-europe-crm.veevavault.com/ui/#object/account__v/V4TZ025E8979ONL", "JORGE DE RAMOS SUAREZ")</f>
        <v>JORGE DE RAMOS SUAREZ</v>
      </c>
      <c r="B520" s="18" t="str">
        <f>HYPERLINK("https://otsuka-europe-crm.veevavault.com/ui/#object/vcountry__v/VENZ000004SONF5", "ES")</f>
        <v>ES</v>
      </c>
      <c r="C520" s="20" t="s">
        <v>39</v>
      </c>
      <c r="D520" s="21" t="str">
        <f>HYPERLINK("https://otsuka-europe-crm.veevavault.com/ui/#object/approved_document__v/V5O00000001R001", "INA - VAE Cierre ""Nos quedamos en Casa""")</f>
        <v>INA - VAE Cierre "Nos quedamos en Casa"</v>
      </c>
      <c r="E520" s="22" t="str">
        <f>HYPERLINK("https://otsuka-europe-crm.veevavault.com/ui/#object/sent_email__v/VBL00000002Y325", "SE-001439071")</f>
        <v>SE-001439071</v>
      </c>
      <c r="F520" s="23"/>
      <c r="G520" s="24">
        <v>0</v>
      </c>
      <c r="H520" s="24">
        <v>0</v>
      </c>
      <c r="I520" s="24">
        <v>0</v>
      </c>
      <c r="J520" s="23"/>
      <c r="K520" s="24">
        <v>0</v>
      </c>
      <c r="L520" s="22" t="str">
        <f>HYPERLINK("https://otsuka-europe-crm.veevavault.com/ui/#object/approved_document__v/V5O00000001R001", "INA - VAE Cierre ""Nos quedamos en Casa""")</f>
        <v>INA - VAE Cierre "Nos quedamos en Casa"</v>
      </c>
      <c r="M520" s="22" t="str">
        <f>HYPERLINK("mailto:idiez@crm.otsuka-europe.com", "idiez@crm.otsuka-europe.com")</f>
        <v>idiez@crm.otsuka-europe.com</v>
      </c>
      <c r="N520" s="25">
        <v>46204.372407407405</v>
      </c>
      <c r="O520" s="14" t="str">
        <f>HYPERLINK("https://otsuka-europe-crm.veevavault.com/ui/#object/email_activity__v/V8C000000042819", "EN-002101255")</f>
        <v>EN-002101255</v>
      </c>
    </row>
    <row r="521" spans="1:15" ht="16" x14ac:dyDescent="0.2">
      <c r="A521" s="19"/>
      <c r="B521" s="19"/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4" t="str">
        <f>HYPERLINK("https://otsuka-europe-crm.veevavault.com/ui/#object/email_activity__v/V8C000000042983", "EN-002101538")</f>
        <v>EN-002101538</v>
      </c>
    </row>
    <row r="522" spans="1:15" ht="16" x14ac:dyDescent="0.2">
      <c r="A522" s="18" t="str">
        <f>HYPERLINK("https://otsuka-europe-crm.veevavault.com/ui/#object/account__v/V4TZ025E85V82C5", "ANA BELEN BOCANEGRA PEREZ-VIZCAINO")</f>
        <v>ANA BELEN BOCANEGRA PEREZ-VIZCAINO</v>
      </c>
      <c r="B522" s="18" t="str">
        <f>HYPERLINK("https://otsuka-europe-crm.veevavault.com/ui/#object/vcountry__v/VENZ000004SONF5", "ES")</f>
        <v>ES</v>
      </c>
      <c r="C522" s="20" t="s">
        <v>39</v>
      </c>
      <c r="D522" s="21" t="str">
        <f>HYPERLINK("https://otsuka-europe-crm.veevavault.com/ui/#object/approved_document__v/V5O00000001R001", "INA - VAE Cierre ""Nos quedamos en Casa""")</f>
        <v>INA - VAE Cierre "Nos quedamos en Casa"</v>
      </c>
      <c r="E522" s="22" t="str">
        <f>HYPERLINK("https://otsuka-europe-crm.veevavault.com/ui/#object/sent_email__v/VBL00000002Y326", "SE-001439072")</f>
        <v>SE-001439072</v>
      </c>
      <c r="F522" s="25">
        <v>46204.970879629633</v>
      </c>
      <c r="G522" s="24">
        <v>1</v>
      </c>
      <c r="H522" s="24">
        <v>1</v>
      </c>
      <c r="I522" s="24">
        <v>0</v>
      </c>
      <c r="J522" s="23"/>
      <c r="K522" s="24">
        <v>0</v>
      </c>
      <c r="L522" s="22" t="str">
        <f>HYPERLINK("https://otsuka-europe-crm.veevavault.com/ui/#object/approved_document__v/V5O00000001R001", "INA - VAE Cierre ""Nos quedamos en Casa""")</f>
        <v>INA - VAE Cierre "Nos quedamos en Casa"</v>
      </c>
      <c r="M522" s="22" t="str">
        <f>HYPERLINK("mailto:idiez@crm.otsuka-europe.com", "idiez@crm.otsuka-europe.com")</f>
        <v>idiez@crm.otsuka-europe.com</v>
      </c>
      <c r="N522" s="25">
        <v>46204.372407407405</v>
      </c>
      <c r="O522" s="14" t="str">
        <f>HYPERLINK("https://otsuka-europe-crm.veevavault.com/ui/#object/email_activity__v/V8C000000042818", "EN-002101254")</f>
        <v>EN-002101254</v>
      </c>
    </row>
    <row r="523" spans="1:15" ht="16" x14ac:dyDescent="0.2">
      <c r="A523" s="19"/>
      <c r="B523" s="19"/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4" t="str">
        <f>HYPERLINK("https://otsuka-europe-crm.veevavault.com/ui/#object/email_activity__v/V8C000000043003", "EN-002101560")</f>
        <v>EN-002101560</v>
      </c>
    </row>
    <row r="524" spans="1:15" ht="32" x14ac:dyDescent="0.2">
      <c r="A524" s="7" t="str">
        <f>HYPERLINK("https://otsuka-europe-crm.veevavault.com/ui/#object/account__v/V4TZ025E85NSC56", "MATIAS DIAZ SANCHEZ")</f>
        <v>MATIAS DIAZ SANCHEZ</v>
      </c>
      <c r="B524" s="7" t="str">
        <f>HYPERLINK("https://otsuka-europe-crm.veevavault.com/ui/#object/vcountry__v/VENZ000004SONF5", "ES")</f>
        <v>ES</v>
      </c>
      <c r="C524" s="8" t="s">
        <v>39</v>
      </c>
      <c r="D524" s="9" t="str">
        <f>HYPERLINK("https://otsuka-europe-crm.veevavault.com/ui/#object/approved_document__v/V5O00000001R001", "INA - VAE Cierre ""Nos quedamos en Casa""")</f>
        <v>INA - VAE Cierre "Nos quedamos en Casa"</v>
      </c>
      <c r="E524" s="10" t="str">
        <f>HYPERLINK("https://otsuka-europe-crm.veevavault.com/ui/#object/sent_email__v/VBL00000002Y327", "SE-001439073")</f>
        <v>SE-001439073</v>
      </c>
      <c r="F524" s="11"/>
      <c r="G524" s="12">
        <v>0</v>
      </c>
      <c r="H524" s="12">
        <v>0</v>
      </c>
      <c r="I524" s="12">
        <v>0</v>
      </c>
      <c r="J524" s="11"/>
      <c r="K524" s="12">
        <v>0</v>
      </c>
      <c r="L524" s="10" t="str">
        <f>HYPERLINK("https://otsuka-europe-crm.veevavault.com/ui/#object/approved_document__v/V5O00000001R001", "INA - VAE Cierre ""Nos quedamos en Casa""")</f>
        <v>INA - VAE Cierre "Nos quedamos en Casa"</v>
      </c>
      <c r="M524" s="10" t="str">
        <f>HYPERLINK("mailto:idiez@crm.otsuka-europe.com", "idiez@crm.otsuka-europe.com")</f>
        <v>idiez@crm.otsuka-europe.com</v>
      </c>
      <c r="N524" s="13">
        <v>46204.372430555559</v>
      </c>
      <c r="O524" s="14" t="str">
        <f>HYPERLINK("https://otsuka-europe-crm.veevavault.com/ui/#object/email_activity__v/V8C000000042835", "EN-002101274")</f>
        <v>EN-002101274</v>
      </c>
    </row>
    <row r="525" spans="1:15" ht="32" x14ac:dyDescent="0.2">
      <c r="A525" s="7" t="str">
        <f>HYPERLINK("https://otsuka-europe-crm.veevavault.com/ui/#object/account__v/V4T00000000J063", "LARA MARIA GOMEZ GARCIA")</f>
        <v>LARA MARIA GOMEZ GARCIA</v>
      </c>
      <c r="B525" s="7" t="str">
        <f>HYPERLINK("https://otsuka-europe-crm.veevavault.com/ui/#object/vcountry__v/VENZ000004SONF5", "ES")</f>
        <v>ES</v>
      </c>
      <c r="C525" s="8" t="s">
        <v>39</v>
      </c>
      <c r="D525" s="9" t="str">
        <f>HYPERLINK("https://otsuka-europe-crm.veevavault.com/ui/#object/approved_document__v/V5O00000001R001", "INA - VAE Cierre ""Nos quedamos en Casa""")</f>
        <v>INA - VAE Cierre "Nos quedamos en Casa"</v>
      </c>
      <c r="E525" s="10" t="str">
        <f>HYPERLINK("https://otsuka-europe-crm.veevavault.com/ui/#object/sent_email__v/VBL00000002Y328", "SE-001439074")</f>
        <v>SE-001439074</v>
      </c>
      <c r="F525" s="11"/>
      <c r="G525" s="12">
        <v>0</v>
      </c>
      <c r="H525" s="12">
        <v>0</v>
      </c>
      <c r="I525" s="12">
        <v>0</v>
      </c>
      <c r="J525" s="11"/>
      <c r="K525" s="12">
        <v>0</v>
      </c>
      <c r="L525" s="10" t="str">
        <f>HYPERLINK("https://otsuka-europe-crm.veevavault.com/ui/#object/approved_document__v/V5O00000001R001", "INA - VAE Cierre ""Nos quedamos en Casa""")</f>
        <v>INA - VAE Cierre "Nos quedamos en Casa"</v>
      </c>
      <c r="M525" s="10" t="str">
        <f>HYPERLINK("mailto:idiez@crm.otsuka-europe.com", "idiez@crm.otsuka-europe.com")</f>
        <v>idiez@crm.otsuka-europe.com</v>
      </c>
      <c r="N525" s="13">
        <v>46204.372418981482</v>
      </c>
      <c r="O525" s="14" t="str">
        <f>HYPERLINK("https://otsuka-europe-crm.veevavault.com/ui/#object/email_activity__v/V8C000000042824", "EN-002101260")</f>
        <v>EN-002101260</v>
      </c>
    </row>
    <row r="526" spans="1:15" ht="16" x14ac:dyDescent="0.2">
      <c r="A526" s="18" t="str">
        <f>HYPERLINK("https://otsuka-europe-crm.veevavault.com/ui/#object/account__v/V4TZ025E83BB46Z", "REGINA HERRAEZ GARCIA")</f>
        <v>REGINA HERRAEZ GARCIA</v>
      </c>
      <c r="B526" s="18" t="str">
        <f>HYPERLINK("https://otsuka-europe-crm.veevavault.com/ui/#object/vcountry__v/VENZ000004SONF5", "ES")</f>
        <v>ES</v>
      </c>
      <c r="C526" s="20" t="s">
        <v>39</v>
      </c>
      <c r="D526" s="21" t="str">
        <f>HYPERLINK("https://otsuka-europe-crm.veevavault.com/ui/#object/approved_document__v/V5O00000001R001", "INA - VAE Cierre ""Nos quedamos en Casa""")</f>
        <v>INA - VAE Cierre "Nos quedamos en Casa"</v>
      </c>
      <c r="E526" s="22" t="str">
        <f>HYPERLINK("https://otsuka-europe-crm.veevavault.com/ui/#object/sent_email__v/VBL00000002Y329", "SE-001439075")</f>
        <v>SE-001439075</v>
      </c>
      <c r="F526" s="25">
        <v>46223.341956018521</v>
      </c>
      <c r="G526" s="24">
        <v>1</v>
      </c>
      <c r="H526" s="24">
        <v>2</v>
      </c>
      <c r="I526" s="24">
        <v>0</v>
      </c>
      <c r="J526" s="23"/>
      <c r="K526" s="24">
        <v>0</v>
      </c>
      <c r="L526" s="22" t="str">
        <f>HYPERLINK("https://otsuka-europe-crm.veevavault.com/ui/#object/approved_document__v/V5O00000001R001", "INA - VAE Cierre ""Nos quedamos en Casa""")</f>
        <v>INA - VAE Cierre "Nos quedamos en Casa"</v>
      </c>
      <c r="M526" s="22" t="str">
        <f>HYPERLINK("mailto:idiez@crm.otsuka-europe.com", "idiez@crm.otsuka-europe.com")</f>
        <v>idiez@crm.otsuka-europe.com</v>
      </c>
      <c r="N526" s="25">
        <v>46204.372395833336</v>
      </c>
      <c r="O526" s="14" t="str">
        <f>HYPERLINK("https://otsuka-europe-crm.veevavault.com/ui/#object/email_activity__v/V8C000000041841", "EN-002101394")</f>
        <v>EN-002101394</v>
      </c>
    </row>
    <row r="527" spans="1:15" ht="16" x14ac:dyDescent="0.2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14" t="str">
        <f>HYPERLINK("https://otsuka-europe-crm.veevavault.com/ui/#object/email_activity__v/V8C000000042813", "EN-002101249")</f>
        <v>EN-002101249</v>
      </c>
    </row>
    <row r="528" spans="1:15" ht="16" x14ac:dyDescent="0.2">
      <c r="A528" s="19"/>
      <c r="B528" s="19"/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4" t="str">
        <f>HYPERLINK("https://otsuka-europe-crm.veevavault.com/ui/#object/email_activity__v/V8C00000004C084", "EN-002106915")</f>
        <v>EN-002106915</v>
      </c>
    </row>
    <row r="529" spans="1:15" ht="32" x14ac:dyDescent="0.2">
      <c r="A529" s="7" t="str">
        <f>HYPERLINK("https://otsuka-europe-crm.veevavault.com/ui/#object/account__v/V4TZ06G6O71TCHJ", "MARIA BELEN VIDRIALES VICENTE")</f>
        <v>MARIA BELEN VIDRIALES VICENTE</v>
      </c>
      <c r="B529" s="7" t="str">
        <f>HYPERLINK("https://otsuka-europe-crm.veevavault.com/ui/#object/vcountry__v/VENZ000004SONF5", "ES")</f>
        <v>ES</v>
      </c>
      <c r="C529" s="8" t="s">
        <v>39</v>
      </c>
      <c r="D529" s="9" t="str">
        <f>HYPERLINK("https://otsuka-europe-crm.veevavault.com/ui/#object/approved_document__v/V5O00000001R001", "INA - VAE Cierre ""Nos quedamos en Casa""")</f>
        <v>INA - VAE Cierre "Nos quedamos en Casa"</v>
      </c>
      <c r="E529" s="10" t="str">
        <f>HYPERLINK("https://otsuka-europe-crm.veevavault.com/ui/#object/sent_email__v/VBL00000002Y330", "SE-001439076")</f>
        <v>SE-001439076</v>
      </c>
      <c r="F529" s="11"/>
      <c r="G529" s="12">
        <v>0</v>
      </c>
      <c r="H529" s="12">
        <v>0</v>
      </c>
      <c r="I529" s="12">
        <v>0</v>
      </c>
      <c r="J529" s="11"/>
      <c r="K529" s="12">
        <v>0</v>
      </c>
      <c r="L529" s="10" t="str">
        <f>HYPERLINK("https://otsuka-europe-crm.veevavault.com/ui/#object/approved_document__v/V5O00000001R001", "INA - VAE Cierre ""Nos quedamos en Casa""")</f>
        <v>INA - VAE Cierre "Nos quedamos en Casa"</v>
      </c>
      <c r="M529" s="10" t="str">
        <f>HYPERLINK("mailto:idiez@crm.otsuka-europe.com", "idiez@crm.otsuka-europe.com")</f>
        <v>idiez@crm.otsuka-europe.com</v>
      </c>
      <c r="N529" s="13">
        <v>46204.372418981482</v>
      </c>
      <c r="O529" s="14" t="str">
        <f>HYPERLINK("https://otsuka-europe-crm.veevavault.com/ui/#object/email_activity__v/V8C000000042825", "EN-002101261")</f>
        <v>EN-002101261</v>
      </c>
    </row>
    <row r="530" spans="1:15" ht="16" x14ac:dyDescent="0.2">
      <c r="A530" s="18" t="str">
        <f>HYPERLINK("https://otsuka-europe-crm.veevavault.com/ui/#object/account__v/V4TZ025E85V7LIM", "LUCIA SALAFRANCA LE TOULOUZAN")</f>
        <v>LUCIA SALAFRANCA LE TOULOUZAN</v>
      </c>
      <c r="B530" s="18" t="str">
        <f>HYPERLINK("https://otsuka-europe-crm.veevavault.com/ui/#object/vcountry__v/VENZ000004SONF5", "ES")</f>
        <v>ES</v>
      </c>
      <c r="C530" s="20" t="s">
        <v>39</v>
      </c>
      <c r="D530" s="21" t="str">
        <f>HYPERLINK("https://otsuka-europe-crm.veevavault.com/ui/#object/approved_document__v/V5O00000001R001", "INA - VAE Cierre ""Nos quedamos en Casa""")</f>
        <v>INA - VAE Cierre "Nos quedamos en Casa"</v>
      </c>
      <c r="E530" s="22" t="str">
        <f>HYPERLINK("https://otsuka-europe-crm.veevavault.com/ui/#object/sent_email__v/VBL00000002Y331", "SE-001439077")</f>
        <v>SE-001439077</v>
      </c>
      <c r="F530" s="25">
        <v>46204.403692129628</v>
      </c>
      <c r="G530" s="24">
        <v>1</v>
      </c>
      <c r="H530" s="24">
        <v>3</v>
      </c>
      <c r="I530" s="24">
        <v>0</v>
      </c>
      <c r="J530" s="23"/>
      <c r="K530" s="24">
        <v>0</v>
      </c>
      <c r="L530" s="22" t="str">
        <f>HYPERLINK("https://otsuka-europe-crm.veevavault.com/ui/#object/approved_document__v/V5O00000001R001", "INA - VAE Cierre ""Nos quedamos en Casa""")</f>
        <v>INA - VAE Cierre "Nos quedamos en Casa"</v>
      </c>
      <c r="M530" s="22" t="str">
        <f>HYPERLINK("mailto:idiez@crm.otsuka-europe.com", "idiez@crm.otsuka-europe.com")</f>
        <v>idiez@crm.otsuka-europe.com</v>
      </c>
      <c r="N530" s="25">
        <v>46204.372407407405</v>
      </c>
      <c r="O530" s="14" t="str">
        <f>HYPERLINK("https://otsuka-europe-crm.veevavault.com/ui/#object/email_activity__v/V8C000000041791", "EN-002101285")</f>
        <v>EN-002101285</v>
      </c>
    </row>
    <row r="531" spans="1:15" ht="16" x14ac:dyDescent="0.2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14" t="str">
        <f>HYPERLINK("https://otsuka-europe-crm.veevavault.com/ui/#object/email_activity__v/V8C000000041809", "EN-002101337")</f>
        <v>EN-002101337</v>
      </c>
    </row>
    <row r="532" spans="1:15" ht="16" x14ac:dyDescent="0.2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14" t="str">
        <f>HYPERLINK("https://otsuka-europe-crm.veevavault.com/ui/#object/email_activity__v/V8C000000042821", "EN-002101257")</f>
        <v>EN-002101257</v>
      </c>
    </row>
    <row r="533" spans="1:15" ht="16" x14ac:dyDescent="0.2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14" t="str">
        <f>HYPERLINK("https://otsuka-europe-crm.veevavault.com/ui/#object/email_activity__v/V8C000000042845", "EN-002101289")</f>
        <v>EN-002101289</v>
      </c>
    </row>
    <row r="534" spans="1:15" ht="16" x14ac:dyDescent="0.2">
      <c r="A534" s="19"/>
      <c r="B534" s="19"/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4" t="str">
        <f>HYPERLINK("https://otsuka-europe-crm.veevavault.com/ui/#object/email_activity__v/V8C000000043020", "EN-002101591")</f>
        <v>EN-002101591</v>
      </c>
    </row>
    <row r="535" spans="1:15" ht="32" x14ac:dyDescent="0.2">
      <c r="A535" s="7" t="str">
        <f>HYPERLINK("https://otsuka-europe-crm.veevavault.com/ui/#object/account__v/V4TZ025E83QX4R5", "MARTA MARIA MEGIDO LAHERA")</f>
        <v>MARTA MARIA MEGIDO LAHERA</v>
      </c>
      <c r="B535" s="7" t="str">
        <f>HYPERLINK("https://otsuka-europe-crm.veevavault.com/ui/#object/vcountry__v/VENZ000004SONF5", "ES")</f>
        <v>ES</v>
      </c>
      <c r="C535" s="8" t="s">
        <v>39</v>
      </c>
      <c r="D535" s="9" t="str">
        <f>HYPERLINK("https://otsuka-europe-crm.veevavault.com/ui/#object/approved_document__v/V5O00000001R001", "INA - VAE Cierre ""Nos quedamos en Casa""")</f>
        <v>INA - VAE Cierre "Nos quedamos en Casa"</v>
      </c>
      <c r="E535" s="10" t="str">
        <f>HYPERLINK("https://otsuka-europe-crm.veevavault.com/ui/#object/sent_email__v/VBL00000002Y332", "SE-001439078")</f>
        <v>SE-001439078</v>
      </c>
      <c r="F535" s="11"/>
      <c r="G535" s="12">
        <v>0</v>
      </c>
      <c r="H535" s="12">
        <v>0</v>
      </c>
      <c r="I535" s="12">
        <v>0</v>
      </c>
      <c r="J535" s="11"/>
      <c r="K535" s="12">
        <v>0</v>
      </c>
      <c r="L535" s="10" t="str">
        <f>HYPERLINK("https://otsuka-europe-crm.veevavault.com/ui/#object/approved_document__v/V5O00000001R001", "INA - VAE Cierre ""Nos quedamos en Casa""")</f>
        <v>INA - VAE Cierre "Nos quedamos en Casa"</v>
      </c>
      <c r="M535" s="10" t="str">
        <f>HYPERLINK("mailto:idiez@crm.otsuka-europe.com", "idiez@crm.otsuka-europe.com")</f>
        <v>idiez@crm.otsuka-europe.com</v>
      </c>
      <c r="N535" s="13">
        <v>46204.372418981482</v>
      </c>
      <c r="O535" s="14" t="str">
        <f>HYPERLINK("https://otsuka-europe-crm.veevavault.com/ui/#object/email_activity__v/V8C000000042830", "EN-002101269")</f>
        <v>EN-002101269</v>
      </c>
    </row>
    <row r="536" spans="1:15" ht="16" x14ac:dyDescent="0.2">
      <c r="A536" s="18" t="str">
        <f>HYPERLINK("https://otsuka-europe-crm.veevavault.com/ui/#object/account__v/V4TZ025E84DDJOT", "ANA IGLESIAS DEL BARRIO")</f>
        <v>ANA IGLESIAS DEL BARRIO</v>
      </c>
      <c r="B536" s="18" t="str">
        <f>HYPERLINK("https://otsuka-europe-crm.veevavault.com/ui/#object/vcountry__v/VENZ000004SONF5", "ES")</f>
        <v>ES</v>
      </c>
      <c r="C536" s="20" t="s">
        <v>39</v>
      </c>
      <c r="D536" s="21" t="str">
        <f>HYPERLINK("https://otsuka-europe-crm.veevavault.com/ui/#object/approved_document__v/V5O00000001R001", "INA - VAE Cierre ""Nos quedamos en Casa""")</f>
        <v>INA - VAE Cierre "Nos quedamos en Casa"</v>
      </c>
      <c r="E536" s="22" t="str">
        <f>HYPERLINK("https://otsuka-europe-crm.veevavault.com/ui/#object/sent_email__v/VBL00000002Y333", "SE-001439079")</f>
        <v>SE-001439079</v>
      </c>
      <c r="F536" s="23"/>
      <c r="G536" s="24">
        <v>0</v>
      </c>
      <c r="H536" s="24">
        <v>0</v>
      </c>
      <c r="I536" s="24">
        <v>0</v>
      </c>
      <c r="J536" s="23"/>
      <c r="K536" s="24">
        <v>0</v>
      </c>
      <c r="L536" s="22" t="str">
        <f>HYPERLINK("https://otsuka-europe-crm.veevavault.com/ui/#object/approved_document__v/V5O00000001R001", "INA - VAE Cierre ""Nos quedamos en Casa""")</f>
        <v>INA - VAE Cierre "Nos quedamos en Casa"</v>
      </c>
      <c r="M536" s="22" t="str">
        <f>HYPERLINK("mailto:idiez@crm.otsuka-europe.com", "idiez@crm.otsuka-europe.com")</f>
        <v>idiez@crm.otsuka-europe.com</v>
      </c>
      <c r="N536" s="25">
        <v>46204.372430555559</v>
      </c>
      <c r="O536" s="14" t="str">
        <f>HYPERLINK("https://otsuka-europe-crm.veevavault.com/ui/#object/email_activity__v/V8C000000041917", "EN-002101551")</f>
        <v>EN-002101551</v>
      </c>
    </row>
    <row r="537" spans="1:15" ht="16" x14ac:dyDescent="0.2">
      <c r="A537" s="19"/>
      <c r="B537" s="19"/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4" t="str">
        <f>HYPERLINK("https://otsuka-europe-crm.veevavault.com/ui/#object/email_activity__v/V8C000000042834", "EN-002101273")</f>
        <v>EN-002101273</v>
      </c>
    </row>
    <row r="538" spans="1:15" ht="32" x14ac:dyDescent="0.2">
      <c r="A538" s="7" t="str">
        <f>HYPERLINK("https://otsuka-europe-crm.veevavault.com/ui/#object/account__v/V4TZ025E836BMMC", "ALICIA ROLDAN PEREZ")</f>
        <v>ALICIA ROLDAN PEREZ</v>
      </c>
      <c r="B538" s="7" t="str">
        <f>HYPERLINK("https://otsuka-europe-crm.veevavault.com/ui/#object/vcountry__v/VENZ000004SONF5", "ES")</f>
        <v>ES</v>
      </c>
      <c r="C538" s="8" t="s">
        <v>39</v>
      </c>
      <c r="D538" s="9" t="str">
        <f>HYPERLINK("https://otsuka-europe-crm.veevavault.com/ui/#object/approved_document__v/V5O00000001R001", "INA - VAE Cierre ""Nos quedamos en Casa""")</f>
        <v>INA - VAE Cierre "Nos quedamos en Casa"</v>
      </c>
      <c r="E538" s="10" t="str">
        <f>HYPERLINK("https://otsuka-europe-crm.veevavault.com/ui/#object/sent_email__v/VBL00000002Y334", "SE-001439080")</f>
        <v>SE-001439080</v>
      </c>
      <c r="F538" s="11"/>
      <c r="G538" s="12">
        <v>0</v>
      </c>
      <c r="H538" s="12">
        <v>0</v>
      </c>
      <c r="I538" s="12">
        <v>0</v>
      </c>
      <c r="J538" s="11"/>
      <c r="K538" s="12">
        <v>0</v>
      </c>
      <c r="L538" s="10" t="str">
        <f>HYPERLINK("https://otsuka-europe-crm.veevavault.com/ui/#object/approved_document__v/V5O00000001R001", "INA - VAE Cierre ""Nos quedamos en Casa""")</f>
        <v>INA - VAE Cierre "Nos quedamos en Casa"</v>
      </c>
      <c r="M538" s="10" t="str">
        <f>HYPERLINK("mailto:idiez@crm.otsuka-europe.com", "idiez@crm.otsuka-europe.com")</f>
        <v>idiez@crm.otsuka-europe.com</v>
      </c>
      <c r="N538" s="13">
        <v>46204.372395833336</v>
      </c>
      <c r="O538" s="14" t="str">
        <f>HYPERLINK("https://otsuka-europe-crm.veevavault.com/ui/#object/email_activity__v/V8C000000041790", "EN-002101284")</f>
        <v>EN-002101284</v>
      </c>
    </row>
    <row r="539" spans="1:15" ht="16" x14ac:dyDescent="0.2">
      <c r="A539" s="18" t="str">
        <f>HYPERLINK("https://otsuka-europe-crm.veevavault.com/ui/#object/account__v/V4T00000001C103", "MARIA JOSEFA GOMEZ CRESPO")</f>
        <v>MARIA JOSEFA GOMEZ CRESPO</v>
      </c>
      <c r="B539" s="18" t="str">
        <f>HYPERLINK("https://otsuka-europe-crm.veevavault.com/ui/#object/vcountry__v/VENZ000004SONF5", "ES")</f>
        <v>ES</v>
      </c>
      <c r="C539" s="20" t="s">
        <v>39</v>
      </c>
      <c r="D539" s="21" t="str">
        <f>HYPERLINK("https://otsuka-europe-crm.veevavault.com/ui/#object/approved_document__v/V5O00000001R001", "INA - VAE Cierre ""Nos quedamos en Casa""")</f>
        <v>INA - VAE Cierre "Nos quedamos en Casa"</v>
      </c>
      <c r="E539" s="22" t="str">
        <f>HYPERLINK("https://otsuka-europe-crm.veevavault.com/ui/#object/sent_email__v/VBL00000002Y335", "SE-001439081")</f>
        <v>SE-001439081</v>
      </c>
      <c r="F539" s="25">
        <v>46204.398564814815</v>
      </c>
      <c r="G539" s="24">
        <v>1</v>
      </c>
      <c r="H539" s="24">
        <v>1</v>
      </c>
      <c r="I539" s="24">
        <v>0</v>
      </c>
      <c r="J539" s="23"/>
      <c r="K539" s="24">
        <v>0</v>
      </c>
      <c r="L539" s="22" t="str">
        <f>HYPERLINK("https://otsuka-europe-crm.veevavault.com/ui/#object/approved_document__v/V5O00000001R001", "INA - VAE Cierre ""Nos quedamos en Casa""")</f>
        <v>INA - VAE Cierre "Nos quedamos en Casa"</v>
      </c>
      <c r="M539" s="22" t="str">
        <f>HYPERLINK("mailto:idiez@crm.otsuka-europe.com", "idiez@crm.otsuka-europe.com")</f>
        <v>idiez@crm.otsuka-europe.com</v>
      </c>
      <c r="N539" s="25">
        <v>46204.372407407405</v>
      </c>
      <c r="O539" s="14" t="str">
        <f>HYPERLINK("https://otsuka-europe-crm.veevavault.com/ui/#object/email_activity__v/V8C000000042820", "EN-002101256")</f>
        <v>EN-002101256</v>
      </c>
    </row>
    <row r="540" spans="1:15" ht="16" x14ac:dyDescent="0.2">
      <c r="A540" s="19"/>
      <c r="B540" s="19"/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4" t="str">
        <f>HYPERLINK("https://otsuka-europe-crm.veevavault.com/ui/#object/email_activity__v/V8C000000042875", "EN-002101335")</f>
        <v>EN-002101335</v>
      </c>
    </row>
    <row r="541" spans="1:15" ht="32" x14ac:dyDescent="0.2">
      <c r="A541" s="7" t="str">
        <f>HYPERLINK("https://otsuka-europe-crm.veevavault.com/ui/#object/account__v/V4TZ025E860F0CS", "LAURA BERMEJO MARTINEZ")</f>
        <v>LAURA BERMEJO MARTINEZ</v>
      </c>
      <c r="B541" s="7" t="str">
        <f>HYPERLINK("https://otsuka-europe-crm.veevavault.com/ui/#object/vcountry__v/VENZ000004SONF5", "ES")</f>
        <v>ES</v>
      </c>
      <c r="C541" s="8" t="s">
        <v>39</v>
      </c>
      <c r="D541" s="9" t="str">
        <f>HYPERLINK("https://otsuka-europe-crm.veevavault.com/ui/#object/approved_document__v/V5O00000001R001", "INA - VAE Cierre ""Nos quedamos en Casa""")</f>
        <v>INA - VAE Cierre "Nos quedamos en Casa"</v>
      </c>
      <c r="E541" s="10" t="str">
        <f>HYPERLINK("https://otsuka-europe-crm.veevavault.com/ui/#object/sent_email__v/VBL00000002Y336", "SE-001439082")</f>
        <v>SE-001439082</v>
      </c>
      <c r="F541" s="11"/>
      <c r="G541" s="12">
        <v>0</v>
      </c>
      <c r="H541" s="12">
        <v>0</v>
      </c>
      <c r="I541" s="12">
        <v>0</v>
      </c>
      <c r="J541" s="11"/>
      <c r="K541" s="12">
        <v>0</v>
      </c>
      <c r="L541" s="10" t="str">
        <f>HYPERLINK("https://otsuka-europe-crm.veevavault.com/ui/#object/approved_document__v/V5O00000001R001", "INA - VAE Cierre ""Nos quedamos en Casa""")</f>
        <v>INA - VAE Cierre "Nos quedamos en Casa"</v>
      </c>
      <c r="M541" s="10" t="str">
        <f>HYPERLINK("mailto:idiez@crm.otsuka-europe.com", "idiez@crm.otsuka-europe.com")</f>
        <v>idiez@crm.otsuka-europe.com</v>
      </c>
      <c r="N541" s="13">
        <v>46204.372395833336</v>
      </c>
      <c r="O541" s="14" t="str">
        <f>HYPERLINK("https://otsuka-europe-crm.veevavault.com/ui/#object/email_activity__v/V8C000000042811", "EN-002101247")</f>
        <v>EN-002101247</v>
      </c>
    </row>
    <row r="542" spans="1:15" ht="32" x14ac:dyDescent="0.2">
      <c r="A542" s="7" t="str">
        <f>HYPERLINK("https://otsuka-europe-crm.veevavault.com/ui/#object/account__v/V4TZ025E891VZQT", "ELENA GONZALEZ ARIAS")</f>
        <v>ELENA GONZALEZ ARIAS</v>
      </c>
      <c r="B542" s="7" t="str">
        <f>HYPERLINK("https://otsuka-europe-crm.veevavault.com/ui/#object/vcountry__v/VENZ000004SONF5", "ES")</f>
        <v>ES</v>
      </c>
      <c r="C542" s="8" t="s">
        <v>39</v>
      </c>
      <c r="D542" s="9" t="str">
        <f>HYPERLINK("https://otsuka-europe-crm.veevavault.com/ui/#object/approved_document__v/V5O00000001R001", "INA - VAE Cierre ""Nos quedamos en Casa""")</f>
        <v>INA - VAE Cierre "Nos quedamos en Casa"</v>
      </c>
      <c r="E542" s="10" t="str">
        <f>HYPERLINK("https://otsuka-europe-crm.veevavault.com/ui/#object/sent_email__v/VBL00000002Y337", "SE-001439083")</f>
        <v>SE-001439083</v>
      </c>
      <c r="F542" s="11"/>
      <c r="G542" s="12">
        <v>0</v>
      </c>
      <c r="H542" s="12">
        <v>0</v>
      </c>
      <c r="I542" s="12">
        <v>0</v>
      </c>
      <c r="J542" s="11"/>
      <c r="K542" s="12">
        <v>0</v>
      </c>
      <c r="L542" s="10" t="str">
        <f>HYPERLINK("https://otsuka-europe-crm.veevavault.com/ui/#object/approved_document__v/V5O00000001R001", "INA - VAE Cierre ""Nos quedamos en Casa""")</f>
        <v>INA - VAE Cierre "Nos quedamos en Casa"</v>
      </c>
      <c r="M542" s="10" t="str">
        <f>HYPERLINK("mailto:idiez@crm.otsuka-europe.com", "idiez@crm.otsuka-europe.com")</f>
        <v>idiez@crm.otsuka-europe.com</v>
      </c>
      <c r="N542" s="13">
        <v>46204.372372685182</v>
      </c>
      <c r="O542" s="14" t="str">
        <f>HYPERLINK("https://otsuka-europe-crm.veevavault.com/ui/#object/email_activity__v/V8C000000041783", "EN-002101244")</f>
        <v>EN-002101244</v>
      </c>
    </row>
    <row r="543" spans="1:15" ht="32" x14ac:dyDescent="0.2">
      <c r="A543" s="7" t="str">
        <f>HYPERLINK("https://otsuka-europe-crm.veevavault.com/ui/#object/account__v/V4TZ025E85LFA9H", "ALVARO GONZALO SANCHEZ")</f>
        <v>ALVARO GONZALO SANCHEZ</v>
      </c>
      <c r="B543" s="7" t="str">
        <f>HYPERLINK("https://otsuka-europe-crm.veevavault.com/ui/#object/vcountry__v/VENZ000004SONF5", "ES")</f>
        <v>ES</v>
      </c>
      <c r="C543" s="8" t="s">
        <v>39</v>
      </c>
      <c r="D543" s="9" t="str">
        <f>HYPERLINK("https://otsuka-europe-crm.veevavault.com/ui/#object/approved_document__v/V5O00000001R001", "INA - VAE Cierre ""Nos quedamos en Casa""")</f>
        <v>INA - VAE Cierre "Nos quedamos en Casa"</v>
      </c>
      <c r="E543" s="10" t="str">
        <f>HYPERLINK("https://otsuka-europe-crm.veevavault.com/ui/#object/sent_email__v/VBL00000002Y338", "SE-001439084")</f>
        <v>SE-001439084</v>
      </c>
      <c r="F543" s="11"/>
      <c r="G543" s="12">
        <v>0</v>
      </c>
      <c r="H543" s="12">
        <v>0</v>
      </c>
      <c r="I543" s="12">
        <v>0</v>
      </c>
      <c r="J543" s="11"/>
      <c r="K543" s="12">
        <v>0</v>
      </c>
      <c r="L543" s="10" t="str">
        <f>HYPERLINK("https://otsuka-europe-crm.veevavault.com/ui/#object/approved_document__v/V5O00000001R001", "INA - VAE Cierre ""Nos quedamos en Casa""")</f>
        <v>INA - VAE Cierre "Nos quedamos en Casa"</v>
      </c>
      <c r="M543" s="10" t="str">
        <f>HYPERLINK("mailto:idiez@crm.otsuka-europe.com", "idiez@crm.otsuka-europe.com")</f>
        <v>idiez@crm.otsuka-europe.com</v>
      </c>
      <c r="N543" s="13">
        <v>46204.372395833336</v>
      </c>
      <c r="O543" s="14" t="str">
        <f>HYPERLINK("https://otsuka-europe-crm.veevavault.com/ui/#object/email_activity__v/V8C000000041786", "EN-002101268")</f>
        <v>EN-002101268</v>
      </c>
    </row>
    <row r="544" spans="1:15" ht="16" x14ac:dyDescent="0.2">
      <c r="A544" s="18" t="str">
        <f>HYPERLINK("https://otsuka-europe-crm.veevavault.com/ui/#object/account__v/V4TZ025E85V7Z3I", "GUIOMAR BAUTISTA CARRASCOSA")</f>
        <v>GUIOMAR BAUTISTA CARRASCOSA</v>
      </c>
      <c r="B544" s="18" t="str">
        <f>HYPERLINK("https://otsuka-europe-crm.veevavault.com/ui/#object/vcountry__v/VENZ000004SONF5", "ES")</f>
        <v>ES</v>
      </c>
      <c r="C544" s="20" t="s">
        <v>39</v>
      </c>
      <c r="D544" s="21" t="str">
        <f>HYPERLINK("https://otsuka-europe-crm.veevavault.com/ui/#object/approved_document__v/V5O00000001R001", "INA - VAE Cierre ""Nos quedamos en Casa""")</f>
        <v>INA - VAE Cierre "Nos quedamos en Casa"</v>
      </c>
      <c r="E544" s="22" t="str">
        <f>HYPERLINK("https://otsuka-europe-crm.veevavault.com/ui/#object/sent_email__v/VBL00000002Y339", "SE-001439085")</f>
        <v>SE-001439085</v>
      </c>
      <c r="F544" s="25">
        <v>46208.793020833335</v>
      </c>
      <c r="G544" s="24">
        <v>1</v>
      </c>
      <c r="H544" s="24">
        <v>2</v>
      </c>
      <c r="I544" s="24">
        <v>0</v>
      </c>
      <c r="J544" s="23"/>
      <c r="K544" s="24">
        <v>0</v>
      </c>
      <c r="L544" s="22" t="str">
        <f>HYPERLINK("https://otsuka-europe-crm.veevavault.com/ui/#object/approved_document__v/V5O00000001R001", "INA - VAE Cierre ""Nos quedamos en Casa""")</f>
        <v>INA - VAE Cierre "Nos quedamos en Casa"</v>
      </c>
      <c r="M544" s="22" t="str">
        <f>HYPERLINK("mailto:idiez@crm.otsuka-europe.com", "idiez@crm.otsuka-europe.com")</f>
        <v>idiez@crm.otsuka-europe.com</v>
      </c>
      <c r="N544" s="25">
        <v>46204.372372685182</v>
      </c>
      <c r="O544" s="14" t="str">
        <f>HYPERLINK("https://otsuka-europe-crm.veevavault.com/ui/#object/email_activity__v/V8C000000041782", "EN-002101243")</f>
        <v>EN-002101243</v>
      </c>
    </row>
    <row r="545" spans="1:15" ht="16" x14ac:dyDescent="0.2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14" t="str">
        <f>HYPERLINK("https://otsuka-europe-crm.veevavault.com/ui/#object/email_activity__v/V8C000000043108", "EN-002101731")</f>
        <v>EN-002101731</v>
      </c>
    </row>
    <row r="546" spans="1:15" ht="16" x14ac:dyDescent="0.2">
      <c r="A546" s="19"/>
      <c r="B546" s="19"/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4" t="str">
        <f>HYPERLINK("https://otsuka-europe-crm.veevavault.com/ui/#object/email_activity__v/V8C000000043199", "EN-002101913")</f>
        <v>EN-002101913</v>
      </c>
    </row>
    <row r="547" spans="1:15" ht="32" x14ac:dyDescent="0.2">
      <c r="A547" s="7" t="str">
        <f>HYPERLINK("https://otsuka-europe-crm.veevavault.com/ui/#object/account__v/V4TZ025E85NHZM1", "NATALIA CARPIZO JIMENEZ")</f>
        <v>NATALIA CARPIZO JIMENEZ</v>
      </c>
      <c r="B547" s="7" t="str">
        <f>HYPERLINK("https://otsuka-europe-crm.veevavault.com/ui/#object/vcountry__v/VENZ000004SONF5", "ES")</f>
        <v>ES</v>
      </c>
      <c r="C547" s="8" t="s">
        <v>39</v>
      </c>
      <c r="D547" s="9" t="str">
        <f>HYPERLINK("https://otsuka-europe-crm.veevavault.com/ui/#object/approved_document__v/V5O00000001R001", "INA - VAE Cierre ""Nos quedamos en Casa""")</f>
        <v>INA - VAE Cierre "Nos quedamos en Casa"</v>
      </c>
      <c r="E547" s="10" t="str">
        <f>HYPERLINK("https://otsuka-europe-crm.veevavault.com/ui/#object/sent_email__v/VBL00000002Y340", "SE-001439086")</f>
        <v>SE-001439086</v>
      </c>
      <c r="F547" s="11"/>
      <c r="G547" s="12">
        <v>0</v>
      </c>
      <c r="H547" s="12">
        <v>0</v>
      </c>
      <c r="I547" s="12">
        <v>0</v>
      </c>
      <c r="J547" s="11"/>
      <c r="K547" s="12">
        <v>0</v>
      </c>
      <c r="L547" s="10" t="str">
        <f>HYPERLINK("https://otsuka-europe-crm.veevavault.com/ui/#object/approved_document__v/V5O00000001R001", "INA - VAE Cierre ""Nos quedamos en Casa""")</f>
        <v>INA - VAE Cierre "Nos quedamos en Casa"</v>
      </c>
      <c r="M547" s="10" t="str">
        <f>HYPERLINK("mailto:idiez@crm.otsuka-europe.com", "idiez@crm.otsuka-europe.com")</f>
        <v>idiez@crm.otsuka-europe.com</v>
      </c>
      <c r="N547" s="13">
        <v>46204.372418981482</v>
      </c>
      <c r="O547" s="14" t="str">
        <f>HYPERLINK("https://otsuka-europe-crm.veevavault.com/ui/#object/email_activity__v/V8C000000042822", "EN-002101258")</f>
        <v>EN-002101258</v>
      </c>
    </row>
    <row r="548" spans="1:15" ht="16" x14ac:dyDescent="0.2">
      <c r="A548" s="18" t="str">
        <f>HYPERLINK("https://otsuka-europe-crm.veevavault.com/ui/#object/account__v/V4TZ025E85FYHRP", "CARLOS DE MIGUEL JIMENEZ")</f>
        <v>CARLOS DE MIGUEL JIMENEZ</v>
      </c>
      <c r="B548" s="18" t="str">
        <f>HYPERLINK("https://otsuka-europe-crm.veevavault.com/ui/#object/vcountry__v/VENZ000004SONF5", "ES")</f>
        <v>ES</v>
      </c>
      <c r="C548" s="20" t="s">
        <v>39</v>
      </c>
      <c r="D548" s="21" t="str">
        <f>HYPERLINK("https://otsuka-europe-crm.veevavault.com/ui/#object/approved_document__v/V5O00000001R001", "INA - VAE Cierre ""Nos quedamos en Casa""")</f>
        <v>INA - VAE Cierre "Nos quedamos en Casa"</v>
      </c>
      <c r="E548" s="22" t="str">
        <f>HYPERLINK("https://otsuka-europe-crm.veevavault.com/ui/#object/sent_email__v/VBL00000002Y341", "SE-001439087")</f>
        <v>SE-001439087</v>
      </c>
      <c r="F548" s="25">
        <v>46204.38590277778</v>
      </c>
      <c r="G548" s="24">
        <v>1</v>
      </c>
      <c r="H548" s="24">
        <v>1</v>
      </c>
      <c r="I548" s="24">
        <v>0</v>
      </c>
      <c r="J548" s="23"/>
      <c r="K548" s="24">
        <v>0</v>
      </c>
      <c r="L548" s="22" t="str">
        <f>HYPERLINK("https://otsuka-europe-crm.veevavault.com/ui/#object/approved_document__v/V5O00000001R001", "INA - VAE Cierre ""Nos quedamos en Casa""")</f>
        <v>INA - VAE Cierre "Nos quedamos en Casa"</v>
      </c>
      <c r="M548" s="22" t="str">
        <f>HYPERLINK("mailto:idiez@crm.otsuka-europe.com", "idiez@crm.otsuka-europe.com")</f>
        <v>idiez@crm.otsuka-europe.com</v>
      </c>
      <c r="N548" s="25">
        <v>46204.372395833336</v>
      </c>
      <c r="O548" s="14" t="str">
        <f>HYPERLINK("https://otsuka-europe-crm.veevavault.com/ui/#object/email_activity__v/V8C000000041785", "EN-002101267")</f>
        <v>EN-002101267</v>
      </c>
    </row>
    <row r="549" spans="1:15" ht="16" x14ac:dyDescent="0.2">
      <c r="A549" s="19"/>
      <c r="B549" s="19"/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4" t="str">
        <f>HYPERLINK("https://otsuka-europe-crm.veevavault.com/ui/#object/email_activity__v/V8C000000041806", "EN-002101325")</f>
        <v>EN-002101325</v>
      </c>
    </row>
    <row r="550" spans="1:15" ht="16" x14ac:dyDescent="0.2">
      <c r="A550" s="18" t="str">
        <f>HYPERLINK("https://otsuka-europe-crm.veevavault.com/ui/#object/account__v/V4TZ025E83PEDZY", "CLAUDIA NUÑEZ-TORRON STOCK")</f>
        <v>CLAUDIA NUÑEZ-TORRON STOCK</v>
      </c>
      <c r="B550" s="18" t="str">
        <f>HYPERLINK("https://otsuka-europe-crm.veevavault.com/ui/#object/vcountry__v/VENZ000004SONF5", "ES")</f>
        <v>ES</v>
      </c>
      <c r="C550" s="20" t="s">
        <v>39</v>
      </c>
      <c r="D550" s="21" t="str">
        <f>HYPERLINK("https://otsuka-europe-crm.veevavault.com/ui/#object/approved_document__v/V5O00000001R001", "INA - VAE Cierre ""Nos quedamos en Casa""")</f>
        <v>INA - VAE Cierre "Nos quedamos en Casa"</v>
      </c>
      <c r="E550" s="22" t="str">
        <f>HYPERLINK("https://otsuka-europe-crm.veevavault.com/ui/#object/sent_email__v/VBL00000002Y342", "SE-001439088")</f>
        <v>SE-001439088</v>
      </c>
      <c r="F550" s="25">
        <v>46204.577314814815</v>
      </c>
      <c r="G550" s="24">
        <v>1</v>
      </c>
      <c r="H550" s="24">
        <v>1</v>
      </c>
      <c r="I550" s="24">
        <v>0</v>
      </c>
      <c r="J550" s="23"/>
      <c r="K550" s="24">
        <v>0</v>
      </c>
      <c r="L550" s="22" t="str">
        <f>HYPERLINK("https://otsuka-europe-crm.veevavault.com/ui/#object/approved_document__v/V5O00000001R001", "INA - VAE Cierre ""Nos quedamos en Casa""")</f>
        <v>INA - VAE Cierre "Nos quedamos en Casa"</v>
      </c>
      <c r="M550" s="22" t="str">
        <f>HYPERLINK("mailto:idiez@crm.otsuka-europe.com", "idiez@crm.otsuka-europe.com")</f>
        <v>idiez@crm.otsuka-europe.com</v>
      </c>
      <c r="N550" s="25">
        <v>46204.372384259259</v>
      </c>
      <c r="O550" s="14" t="str">
        <f>HYPERLINK("https://otsuka-europe-crm.veevavault.com/ui/#object/email_activity__v/V8C000000041784", "EN-002101266")</f>
        <v>EN-002101266</v>
      </c>
    </row>
    <row r="551" spans="1:15" ht="16" x14ac:dyDescent="0.2">
      <c r="A551" s="19"/>
      <c r="B551" s="19"/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4" t="str">
        <f>HYPERLINK("https://otsuka-europe-crm.veevavault.com/ui/#object/email_activity__v/V8C000000042934", "EN-002101445")</f>
        <v>EN-002101445</v>
      </c>
    </row>
    <row r="552" spans="1:15" ht="16" x14ac:dyDescent="0.2">
      <c r="A552" s="18" t="str">
        <f>HYPERLINK("https://otsuka-europe-crm.veevavault.com/ui/#object/account__v/V4TZ025E892BYCQ", "ANA TORRES TIENZA")</f>
        <v>ANA TORRES TIENZA</v>
      </c>
      <c r="B552" s="18" t="str">
        <f>HYPERLINK("https://otsuka-europe-crm.veevavault.com/ui/#object/vcountry__v/VENZ000004SONF5", "ES")</f>
        <v>ES</v>
      </c>
      <c r="C552" s="20" t="s">
        <v>39</v>
      </c>
      <c r="D552" s="21" t="str">
        <f>HYPERLINK("https://otsuka-europe-crm.veevavault.com/ui/#object/approved_document__v/V5O00000001R001", "INA - VAE Cierre ""Nos quedamos en Casa""")</f>
        <v>INA - VAE Cierre "Nos quedamos en Casa"</v>
      </c>
      <c r="E552" s="22" t="str">
        <f>HYPERLINK("https://otsuka-europe-crm.veevavault.com/ui/#object/sent_email__v/VBL00000002Y343", "SE-001439089")</f>
        <v>SE-001439089</v>
      </c>
      <c r="F552" s="25">
        <v>46204.82271990741</v>
      </c>
      <c r="G552" s="24">
        <v>1</v>
      </c>
      <c r="H552" s="24">
        <v>1</v>
      </c>
      <c r="I552" s="24">
        <v>0</v>
      </c>
      <c r="J552" s="23"/>
      <c r="K552" s="24">
        <v>0</v>
      </c>
      <c r="L552" s="22" t="str">
        <f>HYPERLINK("https://otsuka-europe-crm.veevavault.com/ui/#object/approved_document__v/V5O00000001R001", "INA - VAE Cierre ""Nos quedamos en Casa""")</f>
        <v>INA - VAE Cierre "Nos quedamos en Casa"</v>
      </c>
      <c r="M552" s="22" t="str">
        <f>HYPERLINK("mailto:idiez@crm.otsuka-europe.com", "idiez@crm.otsuka-europe.com")</f>
        <v>idiez@crm.otsuka-europe.com</v>
      </c>
      <c r="N552" s="25">
        <v>46204.372395833336</v>
      </c>
      <c r="O552" s="14" t="str">
        <f>HYPERLINK("https://otsuka-europe-crm.veevavault.com/ui/#object/email_activity__v/V8C000000042817", "EN-002101253")</f>
        <v>EN-002101253</v>
      </c>
    </row>
    <row r="553" spans="1:15" ht="16" x14ac:dyDescent="0.2">
      <c r="A553" s="19"/>
      <c r="B553" s="19"/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4" t="str">
        <f>HYPERLINK("https://otsuka-europe-crm.veevavault.com/ui/#object/email_activity__v/V8C000000042987", "EN-002101543")</f>
        <v>EN-002101543</v>
      </c>
    </row>
    <row r="554" spans="1:15" ht="32" x14ac:dyDescent="0.2">
      <c r="A554" s="7" t="str">
        <f>HYPERLINK("https://otsuka-europe-crm.veevavault.com/ui/#object/account__v/V4TZ025E85WDIP7", "MARIA JOSE LOPEZ DE LA OSA VELACORACHO")</f>
        <v>MARIA JOSE LOPEZ DE LA OSA VELACORACHO</v>
      </c>
      <c r="B554" s="7" t="str">
        <f>HYPERLINK("https://otsuka-europe-crm.veevavault.com/ui/#object/vcountry__v/VENZ000004SONF5", "ES")</f>
        <v>ES</v>
      </c>
      <c r="C554" s="8" t="s">
        <v>39</v>
      </c>
      <c r="D554" s="9" t="str">
        <f>HYPERLINK("https://otsuka-europe-crm.veevavault.com/ui/#object/approved_document__v/V5O00000001R001", "INA - VAE Cierre ""Nos quedamos en Casa""")</f>
        <v>INA - VAE Cierre "Nos quedamos en Casa"</v>
      </c>
      <c r="E554" s="10" t="str">
        <f>HYPERLINK("https://otsuka-europe-crm.veevavault.com/ui/#object/sent_email__v/VBL00000002Y344", "SE-001439090")</f>
        <v>SE-001439090</v>
      </c>
      <c r="F554" s="11"/>
      <c r="G554" s="12">
        <v>0</v>
      </c>
      <c r="H554" s="12">
        <v>0</v>
      </c>
      <c r="I554" s="12">
        <v>0</v>
      </c>
      <c r="J554" s="11"/>
      <c r="K554" s="12">
        <v>0</v>
      </c>
      <c r="L554" s="10" t="str">
        <f>HYPERLINK("https://otsuka-europe-crm.veevavault.com/ui/#object/approved_document__v/V5O00000001R001", "INA - VAE Cierre ""Nos quedamos en Casa""")</f>
        <v>INA - VAE Cierre "Nos quedamos en Casa"</v>
      </c>
      <c r="M554" s="10" t="str">
        <f>HYPERLINK("mailto:idiez@crm.otsuka-europe.com", "idiez@crm.otsuka-europe.com")</f>
        <v>idiez@crm.otsuka-europe.com</v>
      </c>
      <c r="N554" s="13">
        <v>46204.372395833336</v>
      </c>
      <c r="O554" s="14" t="str">
        <f>HYPERLINK("https://otsuka-europe-crm.veevavault.com/ui/#object/email_activity__v/V8C000000042812", "EN-002101248")</f>
        <v>EN-002101248</v>
      </c>
    </row>
    <row r="555" spans="1:15" ht="32" x14ac:dyDescent="0.2">
      <c r="A555" s="7" t="str">
        <f>HYPERLINK("https://otsuka-europe-crm.veevavault.com/ui/#object/account__v/V4TZ025E83Z3GA2", "MARIA ANGELES FONCILLAS GARCIA")</f>
        <v>MARIA ANGELES FONCILLAS GARCIA</v>
      </c>
      <c r="B555" s="7" t="str">
        <f>HYPERLINK("https://otsuka-europe-crm.veevavault.com/ui/#object/vcountry__v/VENZ000004SONF5", "ES")</f>
        <v>ES</v>
      </c>
      <c r="C555" s="8" t="s">
        <v>39</v>
      </c>
      <c r="D555" s="9" t="str">
        <f>HYPERLINK("https://otsuka-europe-crm.veevavault.com/ui/#object/approved_document__v/V5O00000001R001", "INA - VAE Cierre ""Nos quedamos en Casa""")</f>
        <v>INA - VAE Cierre "Nos quedamos en Casa"</v>
      </c>
      <c r="E555" s="10" t="str">
        <f>HYPERLINK("https://otsuka-europe-crm.veevavault.com/ui/#object/sent_email__v/VBL00000002Y345", "SE-001439091")</f>
        <v>SE-001439091</v>
      </c>
      <c r="F555" s="11"/>
      <c r="G555" s="12">
        <v>0</v>
      </c>
      <c r="H555" s="12">
        <v>0</v>
      </c>
      <c r="I555" s="12">
        <v>0</v>
      </c>
      <c r="J555" s="11"/>
      <c r="K555" s="12">
        <v>0</v>
      </c>
      <c r="L555" s="10" t="str">
        <f>HYPERLINK("https://otsuka-europe-crm.veevavault.com/ui/#object/approved_document__v/V5O00000001R001", "INA - VAE Cierre ""Nos quedamos en Casa""")</f>
        <v>INA - VAE Cierre "Nos quedamos en Casa"</v>
      </c>
      <c r="M555" s="10" t="str">
        <f>HYPERLINK("mailto:idiez@crm.otsuka-europe.com", "idiez@crm.otsuka-europe.com")</f>
        <v>idiez@crm.otsuka-europe.com</v>
      </c>
      <c r="N555" s="13">
        <v>46204.372395833336</v>
      </c>
      <c r="O555" s="14" t="str">
        <f>HYPERLINK("https://otsuka-europe-crm.veevavault.com/ui/#object/email_activity__v/V8C000000041789", "EN-002101283")</f>
        <v>EN-002101283</v>
      </c>
    </row>
    <row r="556" spans="1:15" ht="32" x14ac:dyDescent="0.2">
      <c r="A556" s="7" t="str">
        <f>HYPERLINK("https://otsuka-europe-crm.veevavault.com/ui/#object/account__v/V4TZ025E84DJMZ8", "SIMON MARTIN FAVRE")</f>
        <v>SIMON MARTIN FAVRE</v>
      </c>
      <c r="B556" s="7" t="str">
        <f>HYPERLINK("https://otsuka-europe-crm.veevavault.com/ui/#object/vcountry__v/VENZ000004SONF5", "ES")</f>
        <v>ES</v>
      </c>
      <c r="C556" s="8" t="s">
        <v>39</v>
      </c>
      <c r="D556" s="9" t="str">
        <f>HYPERLINK("https://otsuka-europe-crm.veevavault.com/ui/#object/approved_document__v/V5O00000001R001", "INA - VAE Cierre ""Nos quedamos en Casa""")</f>
        <v>INA - VAE Cierre "Nos quedamos en Casa"</v>
      </c>
      <c r="E556" s="10" t="str">
        <f>HYPERLINK("https://otsuka-europe-crm.veevavault.com/ui/#object/sent_email__v/VBL00000002Y346", "SE-001439092")</f>
        <v>SE-001439092</v>
      </c>
      <c r="F556" s="11"/>
      <c r="G556" s="12">
        <v>0</v>
      </c>
      <c r="H556" s="12">
        <v>0</v>
      </c>
      <c r="I556" s="12">
        <v>0</v>
      </c>
      <c r="J556" s="11"/>
      <c r="K556" s="12">
        <v>0</v>
      </c>
      <c r="L556" s="10" t="str">
        <f>HYPERLINK("https://otsuka-europe-crm.veevavault.com/ui/#object/approved_document__v/V5O00000001R001", "INA - VAE Cierre ""Nos quedamos en Casa""")</f>
        <v>INA - VAE Cierre "Nos quedamos en Casa"</v>
      </c>
      <c r="M556" s="10" t="str">
        <f>HYPERLINK("mailto:idiez@crm.otsuka-europe.com", "idiez@crm.otsuka-europe.com")</f>
        <v>idiez@crm.otsuka-europe.com</v>
      </c>
      <c r="N556" s="13">
        <v>46204.372407407405</v>
      </c>
      <c r="O556" s="14" t="str">
        <f>HYPERLINK("https://otsuka-europe-crm.veevavault.com/ui/#object/email_activity__v/V8C000000042841", "EN-002101280")</f>
        <v>EN-002101280</v>
      </c>
    </row>
    <row r="557" spans="1:15" ht="16" x14ac:dyDescent="0.2">
      <c r="A557" s="18" t="str">
        <f>HYPERLINK("https://otsuka-europe-crm.veevavault.com/ui/#object/account__v/V4TZ025E85NHUDA", "BEATRIZ GONZALEZ MENA")</f>
        <v>BEATRIZ GONZALEZ MENA</v>
      </c>
      <c r="B557" s="18" t="str">
        <f>HYPERLINK("https://otsuka-europe-crm.veevavault.com/ui/#object/vcountry__v/VENZ000004SONF5", "ES")</f>
        <v>ES</v>
      </c>
      <c r="C557" s="20" t="s">
        <v>39</v>
      </c>
      <c r="D557" s="21" t="str">
        <f>HYPERLINK("https://otsuka-europe-crm.veevavault.com/ui/#object/approved_document__v/V5O00000001R001", "INA - VAE Cierre ""Nos quedamos en Casa""")</f>
        <v>INA - VAE Cierre "Nos quedamos en Casa"</v>
      </c>
      <c r="E557" s="22" t="str">
        <f>HYPERLINK("https://otsuka-europe-crm.veevavault.com/ui/#object/sent_email__v/VBL00000002Y347", "SE-001439093")</f>
        <v>SE-001439093</v>
      </c>
      <c r="F557" s="25">
        <v>46210.701111111113</v>
      </c>
      <c r="G557" s="24">
        <v>1</v>
      </c>
      <c r="H557" s="24">
        <v>2</v>
      </c>
      <c r="I557" s="24">
        <v>0</v>
      </c>
      <c r="J557" s="23"/>
      <c r="K557" s="24">
        <v>0</v>
      </c>
      <c r="L557" s="22" t="str">
        <f>HYPERLINK("https://otsuka-europe-crm.veevavault.com/ui/#object/approved_document__v/V5O00000001R001", "INA - VAE Cierre ""Nos quedamos en Casa""")</f>
        <v>INA - VAE Cierre "Nos quedamos en Casa"</v>
      </c>
      <c r="M557" s="22" t="str">
        <f>HYPERLINK("mailto:idiez@crm.otsuka-europe.com", "idiez@crm.otsuka-europe.com")</f>
        <v>idiez@crm.otsuka-europe.com</v>
      </c>
      <c r="N557" s="25">
        <v>46204.372430555559</v>
      </c>
      <c r="O557" s="14" t="str">
        <f>HYPERLINK("https://otsuka-europe-crm.veevavault.com/ui/#object/email_activity__v/V8C000000042826", "EN-002101262")</f>
        <v>EN-002101262</v>
      </c>
    </row>
    <row r="558" spans="1:15" ht="16" x14ac:dyDescent="0.2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14" t="str">
        <f>HYPERLINK("https://otsuka-europe-crm.veevavault.com/ui/#object/email_activity__v/V8C000000043764", "EN-002103063")</f>
        <v>EN-002103063</v>
      </c>
    </row>
    <row r="559" spans="1:15" ht="16" x14ac:dyDescent="0.2">
      <c r="A559" s="19"/>
      <c r="B559" s="19"/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4" t="str">
        <f>HYPERLINK("https://otsuka-europe-crm.veevavault.com/ui/#object/email_activity__v/V8C000000044745", "EN-002103064")</f>
        <v>EN-002103064</v>
      </c>
    </row>
    <row r="560" spans="1:15" ht="32" x14ac:dyDescent="0.2">
      <c r="A560" s="7" t="str">
        <f>HYPERLINK("https://otsuka-europe-crm.veevavault.com/ui/#object/account__v/V4TZ025E85WDCU5", "LUCIA PEREZ LAMAS")</f>
        <v>LUCIA PEREZ LAMAS</v>
      </c>
      <c r="B560" s="7" t="str">
        <f>HYPERLINK("https://otsuka-europe-crm.veevavault.com/ui/#object/vcountry__v/VENZ000004SONF5", "ES")</f>
        <v>ES</v>
      </c>
      <c r="C560" s="8" t="s">
        <v>39</v>
      </c>
      <c r="D560" s="9" t="str">
        <f>HYPERLINK("https://otsuka-europe-crm.veevavault.com/ui/#object/approved_document__v/V5O00000001R001", "INA - VAE Cierre ""Nos quedamos en Casa""")</f>
        <v>INA - VAE Cierre "Nos quedamos en Casa"</v>
      </c>
      <c r="E560" s="10" t="str">
        <f>HYPERLINK("https://otsuka-europe-crm.veevavault.com/ui/#object/sent_email__v/VBL00000002Y348", "SE-001439094")</f>
        <v>SE-001439094</v>
      </c>
      <c r="F560" s="11"/>
      <c r="G560" s="12">
        <v>0</v>
      </c>
      <c r="H560" s="12">
        <v>0</v>
      </c>
      <c r="I560" s="12">
        <v>0</v>
      </c>
      <c r="J560" s="11"/>
      <c r="K560" s="12">
        <v>0</v>
      </c>
      <c r="L560" s="10" t="str">
        <f>HYPERLINK("https://otsuka-europe-crm.veevavault.com/ui/#object/approved_document__v/V5O00000001R001", "INA - VAE Cierre ""Nos quedamos en Casa""")</f>
        <v>INA - VAE Cierre "Nos quedamos en Casa"</v>
      </c>
      <c r="M560" s="10" t="str">
        <f>HYPERLINK("mailto:idiez@crm.otsuka-europe.com", "idiez@crm.otsuka-europe.com")</f>
        <v>idiez@crm.otsuka-europe.com</v>
      </c>
      <c r="N560" s="13">
        <v>46204.372418981482</v>
      </c>
      <c r="O560" s="14" t="str">
        <f>HYPERLINK("https://otsuka-europe-crm.veevavault.com/ui/#object/email_activity__v/V8C000000042827", "EN-002101263")</f>
        <v>EN-002101263</v>
      </c>
    </row>
    <row r="561" spans="1:15" ht="32" x14ac:dyDescent="0.2">
      <c r="A561" s="7" t="str">
        <f>HYPERLINK("https://otsuka-europe-crm.veevavault.com/ui/#object/account__v/V4T000000004022", "LUCIA GUERRERO FERNANDEZ")</f>
        <v>LUCIA GUERRERO FERNANDEZ</v>
      </c>
      <c r="B561" s="7" t="str">
        <f>HYPERLINK("https://otsuka-europe-crm.veevavault.com/ui/#object/vcountry__v/VENZ000004SONF5", "ES")</f>
        <v>ES</v>
      </c>
      <c r="C561" s="8" t="s">
        <v>39</v>
      </c>
      <c r="D561" s="9" t="str">
        <f>HYPERLINK("https://otsuka-europe-crm.veevavault.com/ui/#object/approved_document__v/V5O00000001R001", "INA - VAE Cierre ""Nos quedamos en Casa""")</f>
        <v>INA - VAE Cierre "Nos quedamos en Casa"</v>
      </c>
      <c r="E561" s="10" t="str">
        <f>HYPERLINK("https://otsuka-europe-crm.veevavault.com/ui/#object/sent_email__v/VBL00000002Y349", "SE-001439095")</f>
        <v>SE-001439095</v>
      </c>
      <c r="F561" s="11"/>
      <c r="G561" s="12">
        <v>0</v>
      </c>
      <c r="H561" s="12">
        <v>0</v>
      </c>
      <c r="I561" s="12">
        <v>0</v>
      </c>
      <c r="J561" s="11"/>
      <c r="K561" s="12">
        <v>0</v>
      </c>
      <c r="L561" s="10" t="str">
        <f>HYPERLINK("https://otsuka-europe-crm.veevavault.com/ui/#object/approved_document__v/V5O00000001R001", "INA - VAE Cierre ""Nos quedamos en Casa""")</f>
        <v>INA - VAE Cierre "Nos quedamos en Casa"</v>
      </c>
      <c r="M561" s="10" t="str">
        <f>HYPERLINK("mailto:idiez@crm.otsuka-europe.com", "idiez@crm.otsuka-europe.com")</f>
        <v>idiez@crm.otsuka-europe.com</v>
      </c>
      <c r="N561" s="13">
        <v>46204.372430555559</v>
      </c>
      <c r="O561" s="14" t="str">
        <f>HYPERLINK("https://otsuka-europe-crm.veevavault.com/ui/#object/email_activity__v/V8C000000042828", "EN-002101264")</f>
        <v>EN-002101264</v>
      </c>
    </row>
    <row r="562" spans="1:15" ht="32" x14ac:dyDescent="0.2">
      <c r="A562" s="7" t="str">
        <f>HYPERLINK("https://otsuka-europe-crm.veevavault.com/ui/#object/account__v/V4T00000000L031", "MARIA MAR DIAZ GOIZUETA")</f>
        <v>MARIA MAR DIAZ GOIZUETA</v>
      </c>
      <c r="B562" s="7" t="str">
        <f>HYPERLINK("https://otsuka-europe-crm.veevavault.com/ui/#object/vcountry__v/VENZ000004SONF5", "ES")</f>
        <v>ES</v>
      </c>
      <c r="C562" s="8" t="s">
        <v>39</v>
      </c>
      <c r="D562" s="9" t="str">
        <f>HYPERLINK("https://otsuka-europe-crm.veevavault.com/ui/#object/approved_document__v/V5O00000001R001", "INA - VAE Cierre ""Nos quedamos en Casa""")</f>
        <v>INA - VAE Cierre "Nos quedamos en Casa"</v>
      </c>
      <c r="E562" s="10" t="str">
        <f>HYPERLINK("https://otsuka-europe-crm.veevavault.com/ui/#object/sent_email__v/VBL00000002Y350", "SE-001439096")</f>
        <v>SE-001439096</v>
      </c>
      <c r="F562" s="11"/>
      <c r="G562" s="12">
        <v>0</v>
      </c>
      <c r="H562" s="12">
        <v>0</v>
      </c>
      <c r="I562" s="12">
        <v>0</v>
      </c>
      <c r="J562" s="11"/>
      <c r="K562" s="12">
        <v>0</v>
      </c>
      <c r="L562" s="10" t="str">
        <f>HYPERLINK("https://otsuka-europe-crm.veevavault.com/ui/#object/approved_document__v/V5O00000001R001", "INA - VAE Cierre ""Nos quedamos en Casa""")</f>
        <v>INA - VAE Cierre "Nos quedamos en Casa"</v>
      </c>
      <c r="M562" s="10" t="str">
        <f>HYPERLINK("mailto:idiez@crm.otsuka-europe.com", "idiez@crm.otsuka-europe.com")</f>
        <v>idiez@crm.otsuka-europe.com</v>
      </c>
      <c r="N562" s="13">
        <v>46204.372430555559</v>
      </c>
      <c r="O562" s="14" t="str">
        <f>HYPERLINK("https://otsuka-europe-crm.veevavault.com/ui/#object/email_activity__v/V8C000000042833", "EN-002101272")</f>
        <v>EN-002101272</v>
      </c>
    </row>
    <row r="563" spans="1:15" ht="16" x14ac:dyDescent="0.2">
      <c r="A563" s="18" t="str">
        <f>HYPERLINK("https://otsuka-europe-crm.veevavault.com/ui/#object/account__v/V4TZ025E85LFXN2", "SANDRA GARCIA LAZARO")</f>
        <v>SANDRA GARCIA LAZARO</v>
      </c>
      <c r="B563" s="18" t="str">
        <f>HYPERLINK("https://otsuka-europe-crm.veevavault.com/ui/#object/vcountry__v/VENZ000004SONF5", "ES")</f>
        <v>ES</v>
      </c>
      <c r="C563" s="20" t="s">
        <v>39</v>
      </c>
      <c r="D563" s="21" t="str">
        <f>HYPERLINK("https://otsuka-europe-crm.veevavault.com/ui/#object/approved_document__v/V5O00000001R001", "INA - VAE Cierre ""Nos quedamos en Casa""")</f>
        <v>INA - VAE Cierre "Nos quedamos en Casa"</v>
      </c>
      <c r="E563" s="22" t="str">
        <f>HYPERLINK("https://otsuka-europe-crm.veevavault.com/ui/#object/sent_email__v/VBL00000002Y351", "SE-001439097")</f>
        <v>SE-001439097</v>
      </c>
      <c r="F563" s="25">
        <v>46221.826921296299</v>
      </c>
      <c r="G563" s="24">
        <v>1</v>
      </c>
      <c r="H563" s="24">
        <v>4</v>
      </c>
      <c r="I563" s="24">
        <v>0</v>
      </c>
      <c r="J563" s="23"/>
      <c r="K563" s="24">
        <v>0</v>
      </c>
      <c r="L563" s="22" t="str">
        <f>HYPERLINK("https://otsuka-europe-crm.veevavault.com/ui/#object/approved_document__v/V5O00000001R001", "INA - VAE Cierre ""Nos quedamos en Casa""")</f>
        <v>INA - VAE Cierre "Nos quedamos en Casa"</v>
      </c>
      <c r="M563" s="22" t="str">
        <f>HYPERLINK("mailto:idiez@crm.otsuka-europe.com", "idiez@crm.otsuka-europe.com")</f>
        <v>idiez@crm.otsuka-europe.com</v>
      </c>
      <c r="N563" s="25">
        <v>46204.372430555559</v>
      </c>
      <c r="O563" s="14" t="str">
        <f>HYPERLINK("https://otsuka-europe-crm.veevavault.com/ui/#object/email_activity__v/V8C000000041807", "EN-002101333")</f>
        <v>EN-002101333</v>
      </c>
    </row>
    <row r="564" spans="1:15" ht="16" x14ac:dyDescent="0.2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14" t="str">
        <f>HYPERLINK("https://otsuka-europe-crm.veevavault.com/ui/#object/email_activity__v/V8C000000041808", "EN-002101334")</f>
        <v>EN-002101334</v>
      </c>
    </row>
    <row r="565" spans="1:15" ht="16" x14ac:dyDescent="0.2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14" t="str">
        <f>HYPERLINK("https://otsuka-europe-crm.veevavault.com/ui/#object/email_activity__v/V8C000000042832", "EN-002101271")</f>
        <v>EN-002101271</v>
      </c>
    </row>
    <row r="566" spans="1:15" ht="16" x14ac:dyDescent="0.2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14" t="str">
        <f>HYPERLINK("https://otsuka-europe-crm.veevavault.com/ui/#object/email_activity__v/V8C00000004B089", "EN-002106885")</f>
        <v>EN-002106885</v>
      </c>
    </row>
    <row r="567" spans="1:15" ht="16" x14ac:dyDescent="0.2">
      <c r="A567" s="19"/>
      <c r="B567" s="19"/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4" t="str">
        <f>HYPERLINK("https://otsuka-europe-crm.veevavault.com/ui/#object/email_activity__v/V8C00000004B090", "EN-002106886")</f>
        <v>EN-002106886</v>
      </c>
    </row>
    <row r="568" spans="1:15" ht="32" x14ac:dyDescent="0.2">
      <c r="A568" s="7" t="str">
        <f>HYPERLINK("https://otsuka-europe-crm.veevavault.com/ui/#object/account__v/V4TZ025E877J5IH", "MARIA BELEN ROSADO SIERRA")</f>
        <v>MARIA BELEN ROSADO SIERRA</v>
      </c>
      <c r="B568" s="7" t="str">
        <f>HYPERLINK("https://otsuka-europe-crm.veevavault.com/ui/#object/vcountry__v/VENZ000004SONF5", "ES")</f>
        <v>ES</v>
      </c>
      <c r="C568" s="8" t="s">
        <v>39</v>
      </c>
      <c r="D568" s="9" t="str">
        <f>HYPERLINK("https://otsuka-europe-crm.veevavault.com/ui/#object/approved_document__v/V5O00000001R001", "INA - VAE Cierre ""Nos quedamos en Casa""")</f>
        <v>INA - VAE Cierre "Nos quedamos en Casa"</v>
      </c>
      <c r="E568" s="10" t="str">
        <f>HYPERLINK("https://otsuka-europe-crm.veevavault.com/ui/#object/sent_email__v/VBL00000002Y352", "SE-001439098")</f>
        <v>SE-001439098</v>
      </c>
      <c r="F568" s="11"/>
      <c r="G568" s="12">
        <v>0</v>
      </c>
      <c r="H568" s="12">
        <v>0</v>
      </c>
      <c r="I568" s="12">
        <v>0</v>
      </c>
      <c r="J568" s="11"/>
      <c r="K568" s="12">
        <v>0</v>
      </c>
      <c r="L568" s="10" t="str">
        <f>HYPERLINK("https://otsuka-europe-crm.veevavault.com/ui/#object/approved_document__v/V5O00000001R001", "INA - VAE Cierre ""Nos quedamos en Casa""")</f>
        <v>INA - VAE Cierre "Nos quedamos en Casa"</v>
      </c>
      <c r="M568" s="10" t="str">
        <f>HYPERLINK("mailto:idiez@crm.otsuka-europe.com", "idiez@crm.otsuka-europe.com")</f>
        <v>idiez@crm.otsuka-europe.com</v>
      </c>
      <c r="N568" s="13">
        <v>46204.372395833336</v>
      </c>
      <c r="O568" s="14" t="str">
        <f>HYPERLINK("https://otsuka-europe-crm.veevavault.com/ui/#object/email_activity__v/V8C000000041787", "EN-002101281")</f>
        <v>EN-002101281</v>
      </c>
    </row>
    <row r="569" spans="1:15" ht="32" x14ac:dyDescent="0.2">
      <c r="A569" s="7" t="str">
        <f>HYPERLINK("https://otsuka-europe-crm.veevavault.com/ui/#object/account__v/V4T000000010133", "JHONY ALBERTO HINOSTROZA SOLANO")</f>
        <v>JHONY ALBERTO HINOSTROZA SOLANO</v>
      </c>
      <c r="B569" s="7" t="str">
        <f>HYPERLINK("https://otsuka-europe-crm.veevavault.com/ui/#object/vcountry__v/VENZ000004SONF5", "ES")</f>
        <v>ES</v>
      </c>
      <c r="C569" s="8" t="s">
        <v>39</v>
      </c>
      <c r="D569" s="9" t="str">
        <f>HYPERLINK("https://otsuka-europe-crm.veevavault.com/ui/#object/approved_document__v/V5O00000001R001", "INA - VAE Cierre ""Nos quedamos en Casa""")</f>
        <v>INA - VAE Cierre "Nos quedamos en Casa"</v>
      </c>
      <c r="E569" s="10" t="str">
        <f>HYPERLINK("https://otsuka-europe-crm.veevavault.com/ui/#object/sent_email__v/VBL00000002Y353", "SE-001439099")</f>
        <v>SE-001439099</v>
      </c>
      <c r="F569" s="11"/>
      <c r="G569" s="12">
        <v>0</v>
      </c>
      <c r="H569" s="12">
        <v>0</v>
      </c>
      <c r="I569" s="12">
        <v>0</v>
      </c>
      <c r="J569" s="11"/>
      <c r="K569" s="12">
        <v>0</v>
      </c>
      <c r="L569" s="10" t="str">
        <f>HYPERLINK("https://otsuka-europe-crm.veevavault.com/ui/#object/approved_document__v/V5O00000001R001", "INA - VAE Cierre ""Nos quedamos en Casa""")</f>
        <v>INA - VAE Cierre "Nos quedamos en Casa"</v>
      </c>
      <c r="M569" s="10" t="str">
        <f>HYPERLINK("mailto:idiez@crm.otsuka-europe.com", "idiez@crm.otsuka-europe.com")</f>
        <v>idiez@crm.otsuka-europe.com</v>
      </c>
      <c r="N569" s="13">
        <v>46204.372395833336</v>
      </c>
      <c r="O569" s="14" t="str">
        <f>HYPERLINK("https://otsuka-europe-crm.veevavault.com/ui/#object/email_activity__v/V8C000000042810", "EN-002101246")</f>
        <v>EN-002101246</v>
      </c>
    </row>
    <row r="570" spans="1:15" ht="32" x14ac:dyDescent="0.2">
      <c r="A570" s="7" t="str">
        <f>HYPERLINK("https://otsuka-europe-crm.veevavault.com/ui/#object/account__v/V4TZ025E877HGBT", "ESTHER PEREZ SANTAOLALLA")</f>
        <v>ESTHER PEREZ SANTAOLALLA</v>
      </c>
      <c r="B570" s="7" t="str">
        <f>HYPERLINK("https://otsuka-europe-crm.veevavault.com/ui/#object/vcountry__v/VENZ000004SONF5", "ES")</f>
        <v>ES</v>
      </c>
      <c r="C570" s="8" t="s">
        <v>39</v>
      </c>
      <c r="D570" s="9" t="str">
        <f>HYPERLINK("https://otsuka-europe-crm.veevavault.com/ui/#object/approved_document__v/V5O00000001R001", "INA - VAE Cierre ""Nos quedamos en Casa""")</f>
        <v>INA - VAE Cierre "Nos quedamos en Casa"</v>
      </c>
      <c r="E570" s="10" t="str">
        <f>HYPERLINK("https://otsuka-europe-crm.veevavault.com/ui/#object/sent_email__v/VBL00000002Y354", "SE-001439100")</f>
        <v>SE-001439100</v>
      </c>
      <c r="F570" s="11"/>
      <c r="G570" s="12">
        <v>0</v>
      </c>
      <c r="H570" s="12">
        <v>0</v>
      </c>
      <c r="I570" s="12">
        <v>0</v>
      </c>
      <c r="J570" s="11"/>
      <c r="K570" s="12">
        <v>0</v>
      </c>
      <c r="L570" s="10" t="str">
        <f>HYPERLINK("https://otsuka-europe-crm.veevavault.com/ui/#object/approved_document__v/V5O00000001R001", "INA - VAE Cierre ""Nos quedamos en Casa""")</f>
        <v>INA - VAE Cierre "Nos quedamos en Casa"</v>
      </c>
      <c r="M570" s="10" t="str">
        <f>HYPERLINK("mailto:idiez@crm.otsuka-europe.com", "idiez@crm.otsuka-europe.com")</f>
        <v>idiez@crm.otsuka-europe.com</v>
      </c>
      <c r="N570" s="13">
        <v>46204.372442129628</v>
      </c>
      <c r="O570" s="14" t="str">
        <f>HYPERLINK("https://otsuka-europe-crm.veevavault.com/ui/#object/email_activity__v/V8C000000042829", "EN-002101265")</f>
        <v>EN-002101265</v>
      </c>
    </row>
    <row r="571" spans="1:15" ht="16" x14ac:dyDescent="0.2">
      <c r="A571" s="18" t="str">
        <f>HYPERLINK("https://otsuka-europe-crm.veevavault.com/ui/#object/account__v/V4TZ025E877J2W1", "IRENE SANCHEZ VADILLO")</f>
        <v>IRENE SANCHEZ VADILLO</v>
      </c>
      <c r="B571" s="18" t="str">
        <f>HYPERLINK("https://otsuka-europe-crm.veevavault.com/ui/#object/vcountry__v/VENZ000004SONF5", "ES")</f>
        <v>ES</v>
      </c>
      <c r="C571" s="20" t="s">
        <v>39</v>
      </c>
      <c r="D571" s="21" t="str">
        <f>HYPERLINK("https://otsuka-europe-crm.veevavault.com/ui/#object/approved_document__v/V5O00000001R001", "INA - VAE Cierre ""Nos quedamos en Casa""")</f>
        <v>INA - VAE Cierre "Nos quedamos en Casa"</v>
      </c>
      <c r="E571" s="22" t="str">
        <f>HYPERLINK("https://otsuka-europe-crm.veevavault.com/ui/#object/sent_email__v/VBL00000002Y355", "SE-001439101")</f>
        <v>SE-001439101</v>
      </c>
      <c r="F571" s="25">
        <v>46204.396921296298</v>
      </c>
      <c r="G571" s="24">
        <v>1</v>
      </c>
      <c r="H571" s="24">
        <v>1</v>
      </c>
      <c r="I571" s="24">
        <v>0</v>
      </c>
      <c r="J571" s="23"/>
      <c r="K571" s="24">
        <v>0</v>
      </c>
      <c r="L571" s="22" t="str">
        <f>HYPERLINK("https://otsuka-europe-crm.veevavault.com/ui/#object/approved_document__v/V5O00000001R001", "INA - VAE Cierre ""Nos quedamos en Casa""")</f>
        <v>INA - VAE Cierre "Nos quedamos en Casa"</v>
      </c>
      <c r="M571" s="22" t="str">
        <f>HYPERLINK("mailto:idiez@crm.otsuka-europe.com", "idiez@crm.otsuka-europe.com")</f>
        <v>idiez@crm.otsuka-europe.com</v>
      </c>
      <c r="N571" s="25">
        <v>46204.372395833336</v>
      </c>
      <c r="O571" s="14" t="str">
        <f>HYPERLINK("https://otsuka-europe-crm.veevavault.com/ui/#object/email_activity__v/V8C000000042844", "EN-002101288")</f>
        <v>EN-002101288</v>
      </c>
    </row>
    <row r="572" spans="1:15" ht="16" x14ac:dyDescent="0.2">
      <c r="A572" s="19"/>
      <c r="B572" s="19"/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4" t="str">
        <f>HYPERLINK("https://otsuka-europe-crm.veevavault.com/ui/#object/email_activity__v/V8C000000042874", "EN-002101332")</f>
        <v>EN-002101332</v>
      </c>
    </row>
    <row r="573" spans="1:15" ht="32" x14ac:dyDescent="0.2">
      <c r="A573" s="7" t="str">
        <f>HYPERLINK("https://otsuka-europe-crm.veevavault.com/ui/#object/account__v/V4TZ025E85N99EX", "CLAUDIA GOMEZ NICOLAS")</f>
        <v>CLAUDIA GOMEZ NICOLAS</v>
      </c>
      <c r="B573" s="7" t="str">
        <f>HYPERLINK("https://otsuka-europe-crm.veevavault.com/ui/#object/vcountry__v/VENZ000004SONF5", "ES")</f>
        <v>ES</v>
      </c>
      <c r="C573" s="8" t="s">
        <v>39</v>
      </c>
      <c r="D573" s="9" t="str">
        <f>HYPERLINK("https://otsuka-europe-crm.veevavault.com/ui/#object/approved_document__v/V5O00000001R001", "INA - VAE Cierre ""Nos quedamos en Casa""")</f>
        <v>INA - VAE Cierre "Nos quedamos en Casa"</v>
      </c>
      <c r="E573" s="10" t="str">
        <f>HYPERLINK("https://otsuka-europe-crm.veevavault.com/ui/#object/sent_email__v/VBL00000002Y356", "SE-001439102")</f>
        <v>SE-001439102</v>
      </c>
      <c r="F573" s="11"/>
      <c r="G573" s="12">
        <v>0</v>
      </c>
      <c r="H573" s="12">
        <v>0</v>
      </c>
      <c r="I573" s="12">
        <v>0</v>
      </c>
      <c r="J573" s="11"/>
      <c r="K573" s="12">
        <v>0</v>
      </c>
      <c r="L573" s="10" t="str">
        <f>HYPERLINK("https://otsuka-europe-crm.veevavault.com/ui/#object/approved_document__v/V5O00000001R001", "INA - VAE Cierre ""Nos quedamos en Casa""")</f>
        <v>INA - VAE Cierre "Nos quedamos en Casa"</v>
      </c>
      <c r="M573" s="10" t="str">
        <f>HYPERLINK("mailto:idiez@crm.otsuka-europe.com", "idiez@crm.otsuka-europe.com")</f>
        <v>idiez@crm.otsuka-europe.com</v>
      </c>
      <c r="N573" s="13">
        <v>46204.372418981482</v>
      </c>
      <c r="O573" s="14" t="str">
        <f>HYPERLINK("https://otsuka-europe-crm.veevavault.com/ui/#object/email_activity__v/V8C000000042823", "EN-002101259")</f>
        <v>EN-002101259</v>
      </c>
    </row>
    <row r="574" spans="1:15" ht="16" x14ac:dyDescent="0.2">
      <c r="A574" s="18" t="str">
        <f>HYPERLINK("https://otsuka-europe-crm.veevavault.com/ui/#object/account__v/V4TZ025E85V6VLF", "ALICIA SEGURA ROBLEDO")</f>
        <v>ALICIA SEGURA ROBLEDO</v>
      </c>
      <c r="B574" s="18" t="str">
        <f>HYPERLINK("https://otsuka-europe-crm.veevavault.com/ui/#object/vcountry__v/VENZ000004SONF5", "ES")</f>
        <v>ES</v>
      </c>
      <c r="C574" s="20" t="s">
        <v>39</v>
      </c>
      <c r="D574" s="21" t="str">
        <f>HYPERLINK("https://otsuka-europe-crm.veevavault.com/ui/#object/approved_document__v/V5O00000001R001", "INA - VAE Cierre ""Nos quedamos en Casa""")</f>
        <v>INA - VAE Cierre "Nos quedamos en Casa"</v>
      </c>
      <c r="E574" s="22" t="str">
        <f>HYPERLINK("https://otsuka-europe-crm.veevavault.com/ui/#object/sent_email__v/VBL00000002Y357", "SE-001439103")</f>
        <v>SE-001439103</v>
      </c>
      <c r="F574" s="25">
        <v>46204.399236111109</v>
      </c>
      <c r="G574" s="24">
        <v>1</v>
      </c>
      <c r="H574" s="24">
        <v>1</v>
      </c>
      <c r="I574" s="24">
        <v>1</v>
      </c>
      <c r="J574" s="25">
        <v>46217.333680555559</v>
      </c>
      <c r="K574" s="24">
        <v>1</v>
      </c>
      <c r="L574" s="22" t="str">
        <f>HYPERLINK("https://otsuka-europe-crm.veevavault.com/ui/#object/approved_document__v/V5O00000001R001", "INA - VAE Cierre ""Nos quedamos en Casa""")</f>
        <v>INA - VAE Cierre "Nos quedamos en Casa"</v>
      </c>
      <c r="M574" s="22" t="str">
        <f>HYPERLINK("mailto:idiez@crm.otsuka-europe.com", "idiez@crm.otsuka-europe.com")</f>
        <v>idiez@crm.otsuka-europe.com</v>
      </c>
      <c r="N574" s="25">
        <v>46204.372395833336</v>
      </c>
      <c r="O574" s="14" t="str">
        <f>HYPERLINK("https://otsuka-europe-crm.veevavault.com/ui/#object/email_activity__v/V8C000000042807", "EN-002101240")</f>
        <v>EN-002101240</v>
      </c>
    </row>
    <row r="575" spans="1:15" ht="16" x14ac:dyDescent="0.2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14" t="str">
        <f>HYPERLINK("https://otsuka-europe-crm.veevavault.com/ui/#object/email_activity__v/V8C000000042876", "EN-002101336")</f>
        <v>EN-002101336</v>
      </c>
    </row>
    <row r="576" spans="1:15" ht="16" x14ac:dyDescent="0.2">
      <c r="A576" s="19"/>
      <c r="B576" s="19"/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4" t="str">
        <f>HYPERLINK("https://otsuka-europe-crm.veevavault.com/ui/#object/email_activity__v/V8C000000049495", "EN-002105782")</f>
        <v>EN-002105782</v>
      </c>
    </row>
    <row r="577" spans="1:15" ht="16" x14ac:dyDescent="0.2">
      <c r="A577" s="18" t="str">
        <f>HYPERLINK("https://otsuka-europe-crm.veevavault.com/ui/#object/account__v/V4T00000000P016", "VIRGINIA PRADILLO FERNANDEZ")</f>
        <v>VIRGINIA PRADILLO FERNANDEZ</v>
      </c>
      <c r="B577" s="18" t="str">
        <f>HYPERLINK("https://otsuka-europe-crm.veevavault.com/ui/#object/vcountry__v/VENZ000004SONF5", "ES")</f>
        <v>ES</v>
      </c>
      <c r="C577" s="20" t="s">
        <v>39</v>
      </c>
      <c r="D577" s="21" t="str">
        <f>HYPERLINK("https://otsuka-europe-crm.veevavault.com/ui/#object/approved_document__v/V5O00000001R001", "INA - VAE Cierre ""Nos quedamos en Casa""")</f>
        <v>INA - VAE Cierre "Nos quedamos en Casa"</v>
      </c>
      <c r="E577" s="22" t="str">
        <f>HYPERLINK("https://otsuka-europe-crm.veevavault.com/ui/#object/sent_email__v/VBL00000002Y358", "SE-001439104")</f>
        <v>SE-001439104</v>
      </c>
      <c r="F577" s="25">
        <v>46204.380023148151</v>
      </c>
      <c r="G577" s="24">
        <v>1</v>
      </c>
      <c r="H577" s="24">
        <v>2</v>
      </c>
      <c r="I577" s="24">
        <v>0</v>
      </c>
      <c r="J577" s="23"/>
      <c r="K577" s="24">
        <v>0</v>
      </c>
      <c r="L577" s="22" t="str">
        <f>HYPERLINK("https://otsuka-europe-crm.veevavault.com/ui/#object/approved_document__v/V5O00000001R001", "INA - VAE Cierre ""Nos quedamos en Casa""")</f>
        <v>INA - VAE Cierre "Nos quedamos en Casa"</v>
      </c>
      <c r="M577" s="22" t="str">
        <f>HYPERLINK("mailto:idiez@crm.otsuka-europe.com", "idiez@crm.otsuka-europe.com")</f>
        <v>idiez@crm.otsuka-europe.com</v>
      </c>
      <c r="N577" s="25">
        <v>46204.372407407405</v>
      </c>
      <c r="O577" s="14" t="str">
        <f>HYPERLINK("https://otsuka-europe-crm.veevavault.com/ui/#object/email_activity__v/V8C000000042815", "EN-002101251")</f>
        <v>EN-002101251</v>
      </c>
    </row>
    <row r="578" spans="1:15" ht="16" x14ac:dyDescent="0.2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14" t="str">
        <f>HYPERLINK("https://otsuka-europe-crm.veevavault.com/ui/#object/email_activity__v/V8C000000042840", "EN-002101279")</f>
        <v>EN-002101279</v>
      </c>
    </row>
    <row r="579" spans="1:15" ht="16" x14ac:dyDescent="0.2">
      <c r="A579" s="19"/>
      <c r="B579" s="19"/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4" t="str">
        <f>HYPERLINK("https://otsuka-europe-crm.veevavault.com/ui/#object/email_activity__v/V8C000000042865", "EN-002101319")</f>
        <v>EN-002101319</v>
      </c>
    </row>
    <row r="580" spans="1:15" ht="16" x14ac:dyDescent="0.2">
      <c r="A580" s="18" t="str">
        <f>HYPERLINK("https://otsuka-europe-crm.veevavault.com/ui/#object/account__v/V4TZ025E898JQZO", "MARIA JOSE REQUENA RODRIGUEZ")</f>
        <v>MARIA JOSE REQUENA RODRIGUEZ</v>
      </c>
      <c r="B580" s="18" t="str">
        <f>HYPERLINK("https://otsuka-europe-crm.veevavault.com/ui/#object/vcountry__v/VENZ000004SONF5", "ES")</f>
        <v>ES</v>
      </c>
      <c r="C580" s="20" t="s">
        <v>39</v>
      </c>
      <c r="D580" s="21" t="str">
        <f>HYPERLINK("https://otsuka-europe-crm.veevavault.com/ui/#object/approved_document__v/V5O00000001R001", "INA - VAE Cierre ""Nos quedamos en Casa""")</f>
        <v>INA - VAE Cierre "Nos quedamos en Casa"</v>
      </c>
      <c r="E580" s="22" t="str">
        <f>HYPERLINK("https://otsuka-europe-crm.veevavault.com/ui/#object/sent_email__v/VBL00000002Y359", "SE-001439105")</f>
        <v>SE-001439105</v>
      </c>
      <c r="F580" s="23"/>
      <c r="G580" s="24">
        <v>0</v>
      </c>
      <c r="H580" s="24">
        <v>0</v>
      </c>
      <c r="I580" s="24">
        <v>0</v>
      </c>
      <c r="J580" s="23"/>
      <c r="K580" s="24">
        <v>0</v>
      </c>
      <c r="L580" s="22" t="str">
        <f>HYPERLINK("https://otsuka-europe-crm.veevavault.com/ui/#object/approved_document__v/V5O00000001R001", "INA - VAE Cierre ""Nos quedamos en Casa""")</f>
        <v>INA - VAE Cierre "Nos quedamos en Casa"</v>
      </c>
      <c r="M580" s="22" t="str">
        <f>HYPERLINK("mailto:idiez@crm.otsuka-europe.com", "idiez@crm.otsuka-europe.com")</f>
        <v>idiez@crm.otsuka-europe.com</v>
      </c>
      <c r="N580" s="25">
        <v>46204.372372685182</v>
      </c>
      <c r="O580" s="14" t="str">
        <f>HYPERLINK("https://otsuka-europe-crm.veevavault.com/ui/#object/email_activity__v/V8C000000041792", "EN-002101291")</f>
        <v>EN-002101291</v>
      </c>
    </row>
    <row r="581" spans="1:15" ht="16" x14ac:dyDescent="0.2">
      <c r="A581" s="19"/>
      <c r="B581" s="19"/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4" t="str">
        <f>HYPERLINK("https://otsuka-europe-crm.veevavault.com/ui/#object/email_activity__v/V8C000000042809", "EN-002101245")</f>
        <v>EN-002101245</v>
      </c>
    </row>
    <row r="582" spans="1:15" ht="32" x14ac:dyDescent="0.2">
      <c r="A582" s="7" t="str">
        <f>HYPERLINK("https://otsuka-europe-crm.veevavault.com/ui/#object/account__v/V4TZ025E87MOMHW", "MARIA PILAR LLAMAS SILLERO")</f>
        <v>MARIA PILAR LLAMAS SILLERO</v>
      </c>
      <c r="B582" s="7" t="str">
        <f>HYPERLINK("https://otsuka-europe-crm.veevavault.com/ui/#object/vcountry__v/VENZ000004SONF5", "ES")</f>
        <v>ES</v>
      </c>
      <c r="C582" s="8" t="s">
        <v>39</v>
      </c>
      <c r="D582" s="9" t="str">
        <f>HYPERLINK("https://otsuka-europe-crm.veevavault.com/ui/#object/approved_document__v/V5O00000001R001", "INA - VAE Cierre ""Nos quedamos en Casa""")</f>
        <v>INA - VAE Cierre "Nos quedamos en Casa"</v>
      </c>
      <c r="E582" s="10" t="str">
        <f>HYPERLINK("https://otsuka-europe-crm.veevavault.com/ui/#object/sent_email__v/VBL00000002Y360", "SE-001439106")</f>
        <v>SE-001439106</v>
      </c>
      <c r="F582" s="11"/>
      <c r="G582" s="12">
        <v>0</v>
      </c>
      <c r="H582" s="12">
        <v>0</v>
      </c>
      <c r="I582" s="12">
        <v>0</v>
      </c>
      <c r="J582" s="11"/>
      <c r="K582" s="12">
        <v>0</v>
      </c>
      <c r="L582" s="10" t="str">
        <f>HYPERLINK("https://otsuka-europe-crm.veevavault.com/ui/#object/approved_document__v/V5O00000001R001", "INA - VAE Cierre ""Nos quedamos en Casa""")</f>
        <v>INA - VAE Cierre "Nos quedamos en Casa"</v>
      </c>
      <c r="M582" s="10" t="str">
        <f>HYPERLINK("mailto:idiez@crm.otsuka-europe.com", "idiez@crm.otsuka-europe.com")</f>
        <v>idiez@crm.otsuka-europe.com</v>
      </c>
      <c r="N582" s="13">
        <v>46204.372395833336</v>
      </c>
      <c r="O582" s="14" t="str">
        <f>HYPERLINK("https://otsuka-europe-crm.veevavault.com/ui/#object/email_activity__v/V8C000000042814", "EN-002101250")</f>
        <v>EN-002101250</v>
      </c>
    </row>
    <row r="583" spans="1:15" ht="16" x14ac:dyDescent="0.2">
      <c r="A583" s="18" t="str">
        <f>HYPERLINK("https://otsuka-europe-crm.veevavault.com/ui/#object/account__v/V4T00000001W078", "STEFANIA CARVAJAL ALTAMIRANDA")</f>
        <v>STEFANIA CARVAJAL ALTAMIRANDA</v>
      </c>
      <c r="B583" s="18" t="str">
        <f>HYPERLINK("https://otsuka-europe-crm.veevavault.com/ui/#object/vcountry__v/VENZ000004SONF5", "ES")</f>
        <v>ES</v>
      </c>
      <c r="C583" s="20" t="s">
        <v>39</v>
      </c>
      <c r="D583" s="21" t="str">
        <f>HYPERLINK("https://otsuka-europe-crm.veevavault.com/ui/#object/approved_document__v/V5O00000001R001", "INA - VAE Cierre ""Nos quedamos en Casa""")</f>
        <v>INA - VAE Cierre "Nos quedamos en Casa"</v>
      </c>
      <c r="E583" s="22" t="str">
        <f>HYPERLINK("https://otsuka-europe-crm.veevavault.com/ui/#object/sent_email__v/VBL00000002Y361", "SE-001439107")</f>
        <v>SE-001439107</v>
      </c>
      <c r="F583" s="25">
        <v>46204.376296296294</v>
      </c>
      <c r="G583" s="24">
        <v>1</v>
      </c>
      <c r="H583" s="24">
        <v>1</v>
      </c>
      <c r="I583" s="24">
        <v>0</v>
      </c>
      <c r="J583" s="23"/>
      <c r="K583" s="24">
        <v>0</v>
      </c>
      <c r="L583" s="22" t="str">
        <f>HYPERLINK("https://otsuka-europe-crm.veevavault.com/ui/#object/approved_document__v/V5O00000001R001", "INA - VAE Cierre ""Nos quedamos en Casa""")</f>
        <v>INA - VAE Cierre "Nos quedamos en Casa"</v>
      </c>
      <c r="M583" s="22" t="str">
        <f>HYPERLINK("mailto:idiez@crm.otsuka-europe.com", "idiez@crm.otsuka-europe.com")</f>
        <v>idiez@crm.otsuka-europe.com</v>
      </c>
      <c r="N583" s="25">
        <v>46204.372407407405</v>
      </c>
      <c r="O583" s="14" t="str">
        <f>HYPERLINK("https://otsuka-europe-crm.veevavault.com/ui/#object/email_activity__v/V8C000000041797", "EN-002101301")</f>
        <v>EN-002101301</v>
      </c>
    </row>
    <row r="584" spans="1:15" ht="16" x14ac:dyDescent="0.2">
      <c r="A584" s="19"/>
      <c r="B584" s="19"/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4" t="str">
        <f>HYPERLINK("https://otsuka-europe-crm.veevavault.com/ui/#object/email_activity__v/V8C000000042839", "EN-002101278")</f>
        <v>EN-002101278</v>
      </c>
    </row>
    <row r="585" spans="1:15" ht="16" x14ac:dyDescent="0.2">
      <c r="A585" s="18" t="str">
        <f>HYPERLINK("https://otsuka-europe-crm.veevavault.com/ui/#object/account__v/V4TZ025E83Z2JSP", "JOSE ANGEL HERNANDEZ RIVAS")</f>
        <v>JOSE ANGEL HERNANDEZ RIVAS</v>
      </c>
      <c r="B585" s="18" t="str">
        <f>HYPERLINK("https://otsuka-europe-crm.veevavault.com/ui/#object/vcountry__v/VENZ000004SONF5", "ES")</f>
        <v>ES</v>
      </c>
      <c r="C585" s="20" t="s">
        <v>39</v>
      </c>
      <c r="D585" s="21" t="str">
        <f>HYPERLINK("https://otsuka-europe-crm.veevavault.com/ui/#object/approved_document__v/V5O00000001R001", "INA - VAE Cierre ""Nos quedamos en Casa""")</f>
        <v>INA - VAE Cierre "Nos quedamos en Casa"</v>
      </c>
      <c r="E585" s="22" t="str">
        <f>HYPERLINK("https://otsuka-europe-crm.veevavault.com/ui/#object/sent_email__v/VBL00000002Y362", "SE-001439108")</f>
        <v>SE-001439108</v>
      </c>
      <c r="F585" s="25">
        <v>46204.571145833332</v>
      </c>
      <c r="G585" s="24">
        <v>1</v>
      </c>
      <c r="H585" s="24">
        <v>1</v>
      </c>
      <c r="I585" s="24">
        <v>0</v>
      </c>
      <c r="J585" s="23"/>
      <c r="K585" s="24">
        <v>0</v>
      </c>
      <c r="L585" s="22" t="str">
        <f>HYPERLINK("https://otsuka-europe-crm.veevavault.com/ui/#object/approved_document__v/V5O00000001R001", "INA - VAE Cierre ""Nos quedamos en Casa""")</f>
        <v>INA - VAE Cierre "Nos quedamos en Casa"</v>
      </c>
      <c r="M585" s="22" t="str">
        <f>HYPERLINK("mailto:idiez@crm.otsuka-europe.com", "idiez@crm.otsuka-europe.com")</f>
        <v>idiez@crm.otsuka-europe.com</v>
      </c>
      <c r="N585" s="25">
        <v>46204.372372685182</v>
      </c>
      <c r="O585" s="14" t="str">
        <f>HYPERLINK("https://otsuka-europe-crm.veevavault.com/ui/#object/email_activity__v/V8C000000042842", "EN-002101286")</f>
        <v>EN-002101286</v>
      </c>
    </row>
    <row r="586" spans="1:15" ht="16" x14ac:dyDescent="0.2">
      <c r="A586" s="19"/>
      <c r="B586" s="19"/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4" t="str">
        <f>HYPERLINK("https://otsuka-europe-crm.veevavault.com/ui/#object/email_activity__v/V8C000000042932", "EN-002101443")</f>
        <v>EN-002101443</v>
      </c>
    </row>
    <row r="587" spans="1:15" ht="32" x14ac:dyDescent="0.2">
      <c r="A587" s="7" t="str">
        <f>HYPERLINK("https://otsuka-europe-crm.veevavault.com/ui/#object/account__v/V4TZ025E87QF7OT", "JUAN CARLOS CABALLERO BERROCAL")</f>
        <v>JUAN CARLOS CABALLERO BERROCAL</v>
      </c>
      <c r="B587" s="7" t="str">
        <f>HYPERLINK("https://otsuka-europe-crm.veevavault.com/ui/#object/vcountry__v/VENZ000004SONF5", "ES")</f>
        <v>ES</v>
      </c>
      <c r="C587" s="8" t="s">
        <v>39</v>
      </c>
      <c r="D587" s="9" t="str">
        <f>HYPERLINK("https://otsuka-europe-crm.veevavault.com/ui/#object/approved_document__v/V5O00000001R001", "INA - VAE Cierre ""Nos quedamos en Casa""")</f>
        <v>INA - VAE Cierre "Nos quedamos en Casa"</v>
      </c>
      <c r="E587" s="10" t="str">
        <f>HYPERLINK("https://otsuka-europe-crm.veevavault.com/ui/#object/sent_email__v/VBL00000002Y363", "SE-001439109")</f>
        <v>SE-001439109</v>
      </c>
      <c r="F587" s="11"/>
      <c r="G587" s="12">
        <v>0</v>
      </c>
      <c r="H587" s="12">
        <v>0</v>
      </c>
      <c r="I587" s="12">
        <v>0</v>
      </c>
      <c r="J587" s="11"/>
      <c r="K587" s="12">
        <v>0</v>
      </c>
      <c r="L587" s="10" t="str">
        <f>HYPERLINK("https://otsuka-europe-crm.veevavault.com/ui/#object/approved_document__v/V5O00000001R001", "INA - VAE Cierre ""Nos quedamos en Casa""")</f>
        <v>INA - VAE Cierre "Nos quedamos en Casa"</v>
      </c>
      <c r="M587" s="10" t="str">
        <f>HYPERLINK("mailto:idiez@crm.otsuka-europe.com", "idiez@crm.otsuka-europe.com")</f>
        <v>idiez@crm.otsuka-europe.com</v>
      </c>
      <c r="N587" s="13">
        <v>46204.372372685182</v>
      </c>
      <c r="O587" s="14" t="str">
        <f>HYPERLINK("https://otsuka-europe-crm.veevavault.com/ui/#object/email_activity__v/V8C000000042843", "EN-002101287")</f>
        <v>EN-002101287</v>
      </c>
    </row>
    <row r="588" spans="1:15" ht="32" x14ac:dyDescent="0.2">
      <c r="A588" s="7" t="str">
        <f>HYPERLINK("https://otsuka-europe-crm.veevavault.com/ui/#object/account__v/V4T00000000V069", "MARINA MENENDEZ CUEVAS")</f>
        <v>MARINA MENENDEZ CUEVAS</v>
      </c>
      <c r="B588" s="7" t="str">
        <f>HYPERLINK("https://otsuka-europe-crm.veevavault.com/ui/#object/vcountry__v/VENZ000004SONF5", "ES")</f>
        <v>ES</v>
      </c>
      <c r="C588" s="8" t="s">
        <v>39</v>
      </c>
      <c r="D588" s="9" t="str">
        <f>HYPERLINK("https://otsuka-europe-crm.veevavault.com/ui/#object/approved_document__v/V5O00000001R001", "INA - VAE Cierre ""Nos quedamos en Casa""")</f>
        <v>INA - VAE Cierre "Nos quedamos en Casa"</v>
      </c>
      <c r="E588" s="10" t="str">
        <f>HYPERLINK("https://otsuka-europe-crm.veevavault.com/ui/#object/sent_email__v/VBL00000002Y364", "SE-001439110")</f>
        <v>SE-001439110</v>
      </c>
      <c r="F588" s="11"/>
      <c r="G588" s="12">
        <v>0</v>
      </c>
      <c r="H588" s="12">
        <v>0</v>
      </c>
      <c r="I588" s="12">
        <v>0</v>
      </c>
      <c r="J588" s="11"/>
      <c r="K588" s="12">
        <v>0</v>
      </c>
      <c r="L588" s="10" t="str">
        <f>HYPERLINK("https://otsuka-europe-crm.veevavault.com/ui/#object/approved_document__v/V5O00000001R001", "INA - VAE Cierre ""Nos quedamos en Casa""")</f>
        <v>INA - VAE Cierre "Nos quedamos en Casa"</v>
      </c>
      <c r="M588" s="10" t="str">
        <f>HYPERLINK("mailto:idiez@crm.otsuka-europe.com", "idiez@crm.otsuka-europe.com")</f>
        <v>idiez@crm.otsuka-europe.com</v>
      </c>
      <c r="N588" s="13">
        <v>46204.372407407405</v>
      </c>
      <c r="O588" s="14" t="str">
        <f>HYPERLINK("https://otsuka-europe-crm.veevavault.com/ui/#object/email_activity__v/V8C000000042838", "EN-002101277")</f>
        <v>EN-002101277</v>
      </c>
    </row>
    <row r="589" spans="1:15" ht="32" x14ac:dyDescent="0.2">
      <c r="A589" s="7" t="str">
        <f>HYPERLINK("https://otsuka-europe-crm.veevavault.com/ui/#object/account__v/V4T00000000V068", "MARIA GARCIA BERNAL")</f>
        <v>MARIA GARCIA BERNAL</v>
      </c>
      <c r="B589" s="7" t="str">
        <f>HYPERLINK("https://otsuka-europe-crm.veevavault.com/ui/#object/vcountry__v/VENZ000004SONF5", "ES")</f>
        <v>ES</v>
      </c>
      <c r="C589" s="8" t="s">
        <v>39</v>
      </c>
      <c r="D589" s="9" t="str">
        <f>HYPERLINK("https://otsuka-europe-crm.veevavault.com/ui/#object/approved_document__v/V5O00000001R001", "INA - VAE Cierre ""Nos quedamos en Casa""")</f>
        <v>INA - VAE Cierre "Nos quedamos en Casa"</v>
      </c>
      <c r="E589" s="10" t="str">
        <f>HYPERLINK("https://otsuka-europe-crm.veevavault.com/ui/#object/sent_email__v/VBL00000002Y365", "SE-001439111")</f>
        <v>SE-001439111</v>
      </c>
      <c r="F589" s="11"/>
      <c r="G589" s="12">
        <v>0</v>
      </c>
      <c r="H589" s="12">
        <v>0</v>
      </c>
      <c r="I589" s="12">
        <v>0</v>
      </c>
      <c r="J589" s="11"/>
      <c r="K589" s="12">
        <v>0</v>
      </c>
      <c r="L589" s="10" t="str">
        <f>HYPERLINK("https://otsuka-europe-crm.veevavault.com/ui/#object/approved_document__v/V5O00000001R001", "INA - VAE Cierre ""Nos quedamos en Casa""")</f>
        <v>INA - VAE Cierre "Nos quedamos en Casa"</v>
      </c>
      <c r="M589" s="10" t="str">
        <f>HYPERLINK("mailto:idiez@crm.otsuka-europe.com", "idiez@crm.otsuka-europe.com")</f>
        <v>idiez@crm.otsuka-europe.com</v>
      </c>
      <c r="N589" s="13">
        <v>46204.372372685182</v>
      </c>
      <c r="O589" s="14" t="str">
        <f>HYPERLINK("https://otsuka-europe-crm.veevavault.com/ui/#object/email_activity__v/V8C000000041788", "EN-002101282")</f>
        <v>EN-002101282</v>
      </c>
    </row>
    <row r="590" spans="1:15" ht="16" x14ac:dyDescent="0.2">
      <c r="A590" s="18" t="str">
        <f>HYPERLINK("https://otsuka-europe-crm.veevavault.com/ui/#object/account__v/V4TZ025E83ECM0M", "AGATA ALMELA GALLEGO")</f>
        <v>AGATA ALMELA GALLEGO</v>
      </c>
      <c r="B590" s="18" t="str">
        <f>HYPERLINK("https://otsuka-europe-crm.veevavault.com/ui/#object/vcountry__v/VENZ000004SONF5", "ES")</f>
        <v>ES</v>
      </c>
      <c r="C590" s="20" t="s">
        <v>39</v>
      </c>
      <c r="D590" s="21" t="str">
        <f>HYPERLINK("https://otsuka-europe-crm.veevavault.com/ui/#object/approved_document__v/V5O00000001R001", "INA - VAE Cierre ""Nos quedamos en Casa""")</f>
        <v>INA - VAE Cierre "Nos quedamos en Casa"</v>
      </c>
      <c r="E590" s="22" t="str">
        <f>HYPERLINK("https://otsuka-europe-crm.veevavault.com/ui/#object/sent_email__v/VBL00000002Y366", "SE-001439112")</f>
        <v>SE-001439112</v>
      </c>
      <c r="F590" s="25">
        <v>46204.378761574073</v>
      </c>
      <c r="G590" s="24">
        <v>1</v>
      </c>
      <c r="H590" s="24">
        <v>2</v>
      </c>
      <c r="I590" s="24">
        <v>0</v>
      </c>
      <c r="J590" s="23"/>
      <c r="K590" s="24">
        <v>0</v>
      </c>
      <c r="L590" s="22" t="str">
        <f>HYPERLINK("https://otsuka-europe-crm.veevavault.com/ui/#object/approved_document__v/V5O00000001R001", "INA - VAE Cierre ""Nos quedamos en Casa""")</f>
        <v>INA - VAE Cierre "Nos quedamos en Casa"</v>
      </c>
      <c r="M590" s="22" t="str">
        <f>HYPERLINK("mailto:idiez@crm.otsuka-europe.com", "idiez@crm.otsuka-europe.com")</f>
        <v>idiez@crm.otsuka-europe.com</v>
      </c>
      <c r="N590" s="25">
        <v>46204.373055555552</v>
      </c>
      <c r="O590" s="14" t="str">
        <f>HYPERLINK("https://otsuka-europe-crm.veevavault.com/ui/#object/email_activity__v/V8C000000041800", "EN-002101316")</f>
        <v>EN-002101316</v>
      </c>
    </row>
    <row r="591" spans="1:15" ht="16" x14ac:dyDescent="0.2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14" t="str">
        <f>HYPERLINK("https://otsuka-europe-crm.veevavault.com/ui/#object/email_activity__v/V8C000000041801", "EN-002101317")</f>
        <v>EN-002101317</v>
      </c>
    </row>
    <row r="592" spans="1:15" ht="16" x14ac:dyDescent="0.2">
      <c r="A592" s="19"/>
      <c r="B592" s="19"/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4" t="str">
        <f>HYPERLINK("https://otsuka-europe-crm.veevavault.com/ui/#object/email_activity__v/V8C000000042846", "EN-002101290")</f>
        <v>EN-002101290</v>
      </c>
    </row>
    <row r="593" spans="1:15" ht="32" x14ac:dyDescent="0.2">
      <c r="A593" s="7" t="str">
        <f>HYPERLINK("https://otsuka-europe-crm.veevavault.com/ui/#object/account__v/V4TZ00000633LW3", "MARIA MAGDALENA CONSTANTIN")</f>
        <v>MARIA MAGDALENA CONSTANTIN</v>
      </c>
      <c r="B593" s="7" t="str">
        <f>HYPERLINK("https://otsuka-europe-crm.veevavault.com/ui/#object/vcountry__v/VENZ000004SONFA", "FR")</f>
        <v>FR</v>
      </c>
      <c r="C593" s="8" t="s">
        <v>40</v>
      </c>
      <c r="D593" s="9" t="str">
        <f>HYPERLINK("https://otsuka-europe-crm.veevavault.com/ui/#object/approved_document__v/V5OZ04ASG4G02Y7", "REMERCIEMENTS_VAD_2023")</f>
        <v>REMERCIEMENTS_VAD_2023</v>
      </c>
      <c r="E593" s="10" t="str">
        <f>HYPERLINK("https://otsuka-europe-crm.veevavault.com/ui/#object/sent_email__v/VBL00000002Z405", "SE-001439113")</f>
        <v>SE-001439113</v>
      </c>
      <c r="F593" s="11"/>
      <c r="G593" s="12">
        <v>0</v>
      </c>
      <c r="H593" s="12">
        <v>0</v>
      </c>
      <c r="I593" s="12">
        <v>0</v>
      </c>
      <c r="J593" s="11"/>
      <c r="K593" s="12">
        <v>0</v>
      </c>
      <c r="L593" s="10" t="str">
        <f>HYPERLINK("https://otsuka-europe-crm.veevavault.com/ui/#object/approved_document__v/V5OZ04ASG4G02Y7", "REMERCIEMENTS_VAD_2023")</f>
        <v>REMERCIEMENTS_VAD_2023</v>
      </c>
      <c r="M593" s="10" t="str">
        <f>HYPERLINK("mailto:sblancheland@crm.otsuka-europe.com", "sblancheland@crm.otsuka-europe.com")</f>
        <v>sblancheland@crm.otsuka-europe.com</v>
      </c>
      <c r="N593" s="13">
        <v>46204.374583333331</v>
      </c>
      <c r="O593" s="14" t="str">
        <f>HYPERLINK("https://otsuka-europe-crm.veevavault.com/ui/#object/email_activity__v/V8C000000041793", "EN-002101292")</f>
        <v>EN-002101292</v>
      </c>
    </row>
    <row r="594" spans="1:15" ht="32" x14ac:dyDescent="0.2">
      <c r="A594" s="7" t="str">
        <f>HYPERLINK("https://otsuka-europe-crm.veevavault.com/ui/#object/account__v/V4TZ00000633LW3", "MARIA MAGDALENA CONSTANTIN")</f>
        <v>MARIA MAGDALENA CONSTANTIN</v>
      </c>
      <c r="B594" s="7" t="str">
        <f>HYPERLINK("https://otsuka-europe-crm.veevavault.com/ui/#object/vcountry__v/VENZ000004SONFA", "FR")</f>
        <v>FR</v>
      </c>
      <c r="C594" s="8" t="s">
        <v>40</v>
      </c>
      <c r="D594" s="9" t="str">
        <f>HYPERLINK("https://otsuka-europe-crm.veevavault.com/ui/#object/approved_document__v/V5OZ04ASG4G02Y7", "REMERCIEMENTS_VAD_2023")</f>
        <v>REMERCIEMENTS_VAD_2023</v>
      </c>
      <c r="E594" s="10" t="str">
        <f>HYPERLINK("https://otsuka-europe-crm.veevavault.com/ui/#object/sent_email__v/VBL00000002Y367", "SE-001439114")</f>
        <v>SE-001439114</v>
      </c>
      <c r="F594" s="11"/>
      <c r="G594" s="12">
        <v>0</v>
      </c>
      <c r="H594" s="12">
        <v>0</v>
      </c>
      <c r="I594" s="12">
        <v>0</v>
      </c>
      <c r="J594" s="11"/>
      <c r="K594" s="12">
        <v>0</v>
      </c>
      <c r="L594" s="10" t="str">
        <f>HYPERLINK("https://otsuka-europe-crm.veevavault.com/ui/#object/approved_document__v/V5OZ04ASG4G02Y7", "REMERCIEMENTS_VAD_2023")</f>
        <v>REMERCIEMENTS_VAD_2023</v>
      </c>
      <c r="M594" s="10" t="str">
        <f>HYPERLINK("mailto:sblancheland@crm.otsuka-europe.com", "sblancheland@crm.otsuka-europe.com")</f>
        <v>sblancheland@crm.otsuka-europe.com</v>
      </c>
      <c r="N594" s="13">
        <v>46204.374618055554</v>
      </c>
      <c r="O594" s="14" t="str">
        <f>HYPERLINK("https://otsuka-europe-crm.veevavault.com/ui/#object/email_activity__v/V8C000000042847", "EN-002101293")</f>
        <v>EN-002101293</v>
      </c>
    </row>
    <row r="595" spans="1:15" ht="32" x14ac:dyDescent="0.2">
      <c r="A595" s="7" t="str">
        <f>HYPERLINK("https://otsuka-europe-crm.veevavault.com/ui/#object/account__v/V4TZ00000633LW3", "MARIA MAGDALENA CONSTANTIN")</f>
        <v>MARIA MAGDALENA CONSTANTIN</v>
      </c>
      <c r="B595" s="7" t="str">
        <f>HYPERLINK("https://otsuka-europe-crm.veevavault.com/ui/#object/vcountry__v/VENZ000004SONFA", "FR")</f>
        <v>FR</v>
      </c>
      <c r="C595" s="8" t="s">
        <v>40</v>
      </c>
      <c r="D595" s="9" t="str">
        <f>HYPERLINK("https://otsuka-europe-crm.veevavault.com/ui/#object/approved_document__v/V5OZ04ASG4G02Y7", "REMERCIEMENTS_VAD_2023")</f>
        <v>REMERCIEMENTS_VAD_2023</v>
      </c>
      <c r="E595" s="10" t="str">
        <f>HYPERLINK("https://otsuka-europe-crm.veevavault.com/ui/#object/sent_email__v/VBL00000002Y368", "SE-001439115")</f>
        <v>SE-001439115</v>
      </c>
      <c r="F595" s="11"/>
      <c r="G595" s="12">
        <v>0</v>
      </c>
      <c r="H595" s="12">
        <v>0</v>
      </c>
      <c r="I595" s="12">
        <v>0</v>
      </c>
      <c r="J595" s="11"/>
      <c r="K595" s="12">
        <v>0</v>
      </c>
      <c r="L595" s="10" t="str">
        <f>HYPERLINK("https://otsuka-europe-crm.veevavault.com/ui/#object/approved_document__v/V5OZ04ASG4G02Y7", "REMERCIEMENTS_VAD_2023")</f>
        <v>REMERCIEMENTS_VAD_2023</v>
      </c>
      <c r="M595" s="10" t="str">
        <f>HYPERLINK("mailto:sblancheland@crm.otsuka-europe.com", "sblancheland@crm.otsuka-europe.com")</f>
        <v>sblancheland@crm.otsuka-europe.com</v>
      </c>
      <c r="N595" s="13">
        <v>46204.374965277777</v>
      </c>
      <c r="O595" s="14" t="str">
        <f>HYPERLINK("https://otsuka-europe-crm.veevavault.com/ui/#object/email_activity__v/V8C000000042848", "EN-002101294")</f>
        <v>EN-002101294</v>
      </c>
    </row>
    <row r="596" spans="1:15" ht="16" x14ac:dyDescent="0.2">
      <c r="A596" s="18" t="str">
        <f>HYPERLINK("https://otsuka-europe-crm.veevavault.com/ui/#object/account__v/V4TZ06G6O71UQRW", "LETICIA IRENE MUÑOZ MANCHADO")</f>
        <v>LETICIA IRENE MUÑOZ MANCHADO</v>
      </c>
      <c r="B596" s="18" t="str">
        <f>HYPERLINK("https://otsuka-europe-crm.veevavault.com/ui/#object/vcountry__v/VENZ000004SONF5", "ES")</f>
        <v>ES</v>
      </c>
      <c r="C596" s="20" t="s">
        <v>39</v>
      </c>
      <c r="D596" s="21" t="str">
        <f>HYPERLINK("https://otsuka-europe-crm.veevavault.com/ui/#object/approved_document__v/V5O00000001R002", "Programa X Jornada UHB")</f>
        <v>Programa X Jornada UHB</v>
      </c>
      <c r="E596" s="22" t="str">
        <f>HYPERLINK("https://otsuka-europe-crm.veevavault.com/ui/#object/sent_email__v/VBL00000002Z406", "SE-001439116")</f>
        <v>SE-001439116</v>
      </c>
      <c r="F596" s="23"/>
      <c r="G596" s="24">
        <v>0</v>
      </c>
      <c r="H596" s="24">
        <v>0</v>
      </c>
      <c r="I596" s="24">
        <v>1</v>
      </c>
      <c r="J596" s="25">
        <v>46204.534641203703</v>
      </c>
      <c r="K596" s="24">
        <v>2</v>
      </c>
      <c r="L596" s="22" t="str">
        <f>HYPERLINK("https://otsuka-europe-crm.veevavault.com/ui/#object/approved_document__v/V5O00000001R002", "Programa X Jornada UHB")</f>
        <v>Programa X Jornada UHB</v>
      </c>
      <c r="M596" s="22" t="str">
        <f>HYPERLINK("mailto:mgravan@crm.otsuka-europe.com", "mgravan@crm.otsuka-europe.com")</f>
        <v>mgravan@crm.otsuka-europe.com</v>
      </c>
      <c r="N596" s="25">
        <v>46204.375335648147</v>
      </c>
      <c r="O596" s="14" t="str">
        <f>HYPERLINK("https://otsuka-europe-crm.veevavault.com/ui/#object/email_activity__v/V8C000000041794", "EN-002101295")</f>
        <v>EN-002101295</v>
      </c>
    </row>
    <row r="597" spans="1:15" ht="16" x14ac:dyDescent="0.2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14" t="str">
        <f>HYPERLINK("https://otsuka-europe-crm.veevavault.com/ui/#object/email_activity__v/V8C000000041852", "EN-002101423")</f>
        <v>EN-002101423</v>
      </c>
    </row>
    <row r="598" spans="1:15" ht="16" x14ac:dyDescent="0.2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14" t="str">
        <f>HYPERLINK("https://otsuka-europe-crm.veevavault.com/ui/#object/email_activity__v/V8C000000041855", "EN-002101431")</f>
        <v>EN-002101431</v>
      </c>
    </row>
    <row r="599" spans="1:15" ht="16" x14ac:dyDescent="0.2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14" t="str">
        <f>HYPERLINK("https://otsuka-europe-crm.veevavault.com/ui/#object/email_activity__v/V8C000000041856", "EN-002101432")</f>
        <v>EN-002101432</v>
      </c>
    </row>
    <row r="600" spans="1:15" ht="16" x14ac:dyDescent="0.2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14" t="str">
        <f>HYPERLINK("https://otsuka-europe-crm.veevavault.com/ui/#object/email_activity__v/V8C000000042921", "EN-002101422")</f>
        <v>EN-002101422</v>
      </c>
    </row>
    <row r="601" spans="1:15" ht="16" x14ac:dyDescent="0.2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4" t="str">
        <f>HYPERLINK("https://otsuka-europe-crm.veevavault.com/ui/#object/email_activity__v/V8C000000042922", "EN-002101424")</f>
        <v>EN-002101424</v>
      </c>
    </row>
    <row r="602" spans="1:15" ht="16" x14ac:dyDescent="0.2">
      <c r="A602" s="18" t="str">
        <f>HYPERLINK("https://otsuka-europe-crm.veevavault.com/ui/#object/account__v/V4TZ06G6O71T7O2", "ROCIO TORRECILLA OLAVARRIETA")</f>
        <v>ROCIO TORRECILLA OLAVARRIETA</v>
      </c>
      <c r="B602" s="18" t="str">
        <f>HYPERLINK("https://otsuka-europe-crm.veevavault.com/ui/#object/vcountry__v/VENZ000004SONF5", "ES")</f>
        <v>ES</v>
      </c>
      <c r="C602" s="20" t="s">
        <v>39</v>
      </c>
      <c r="D602" s="21" t="str">
        <f>HYPERLINK("https://otsuka-europe-crm.veevavault.com/ui/#object/approved_document__v/V5O00000001R002", "Programa X Jornada UHB")</f>
        <v>Programa X Jornada UHB</v>
      </c>
      <c r="E602" s="22" t="str">
        <f>HYPERLINK("https://otsuka-europe-crm.veevavault.com/ui/#object/sent_email__v/VBL00000002Z407", "SE-001439117")</f>
        <v>SE-001439117</v>
      </c>
      <c r="F602" s="25">
        <v>46204.376921296294</v>
      </c>
      <c r="G602" s="24">
        <v>1</v>
      </c>
      <c r="H602" s="24">
        <v>1</v>
      </c>
      <c r="I602" s="24">
        <v>1</v>
      </c>
      <c r="J602" s="25">
        <v>46204.377025462964</v>
      </c>
      <c r="K602" s="24">
        <v>1</v>
      </c>
      <c r="L602" s="22" t="str">
        <f>HYPERLINK("https://otsuka-europe-crm.veevavault.com/ui/#object/approved_document__v/V5O00000001R002", "Programa X Jornada UHB")</f>
        <v>Programa X Jornada UHB</v>
      </c>
      <c r="M602" s="22" t="str">
        <f>HYPERLINK("mailto:mgravan@crm.otsuka-europe.com", "mgravan@crm.otsuka-europe.com")</f>
        <v>mgravan@crm.otsuka-europe.com</v>
      </c>
      <c r="N602" s="25">
        <v>46204.375347222223</v>
      </c>
      <c r="O602" s="14" t="str">
        <f>HYPERLINK("https://otsuka-europe-crm.veevavault.com/ui/#object/email_activity__v/V8C000000041798", "EN-002101311")</f>
        <v>EN-002101311</v>
      </c>
    </row>
    <row r="603" spans="1:15" ht="16" x14ac:dyDescent="0.2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14" t="str">
        <f>HYPERLINK("https://otsuka-europe-crm.veevavault.com/ui/#object/email_activity__v/V8C000000041803", "EN-002101322")</f>
        <v>EN-002101322</v>
      </c>
    </row>
    <row r="604" spans="1:15" ht="16" x14ac:dyDescent="0.2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14" t="str">
        <f>HYPERLINK("https://otsuka-europe-crm.veevavault.com/ui/#object/email_activity__v/V8C000000042850", "EN-002101298")</f>
        <v>EN-002101298</v>
      </c>
    </row>
    <row r="605" spans="1:15" ht="16" x14ac:dyDescent="0.2">
      <c r="A605" s="19"/>
      <c r="B605" s="19"/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4" t="str">
        <f>HYPERLINK("https://otsuka-europe-crm.veevavault.com/ui/#object/email_activity__v/V8C000000042858", "EN-002101308")</f>
        <v>EN-002101308</v>
      </c>
    </row>
    <row r="606" spans="1:15" ht="32" x14ac:dyDescent="0.2">
      <c r="A606" s="7" t="str">
        <f>HYPERLINK("https://otsuka-europe-crm.veevavault.com/ui/#object/account__v/V4TZ06G6O71T9D8", "AMALIO BUENO HEREDIA")</f>
        <v>AMALIO BUENO HEREDIA</v>
      </c>
      <c r="B606" s="7" t="str">
        <f>HYPERLINK("https://otsuka-europe-crm.veevavault.com/ui/#object/vcountry__v/VENZ000004SONF5", "ES")</f>
        <v>ES</v>
      </c>
      <c r="C606" s="8" t="s">
        <v>39</v>
      </c>
      <c r="D606" s="9" t="str">
        <f>HYPERLINK("https://otsuka-europe-crm.veevavault.com/ui/#object/approved_document__v/V5O00000001R002", "Programa X Jornada UHB")</f>
        <v>Programa X Jornada UHB</v>
      </c>
      <c r="E606" s="10" t="str">
        <f>HYPERLINK("https://otsuka-europe-crm.veevavault.com/ui/#object/sent_email__v/VBL00000002Z408", "SE-001439118")</f>
        <v>SE-001439118</v>
      </c>
      <c r="F606" s="11"/>
      <c r="G606" s="12">
        <v>0</v>
      </c>
      <c r="H606" s="12">
        <v>0</v>
      </c>
      <c r="I606" s="12">
        <v>0</v>
      </c>
      <c r="J606" s="11"/>
      <c r="K606" s="12">
        <v>0</v>
      </c>
      <c r="L606" s="10" t="str">
        <f>HYPERLINK("https://otsuka-europe-crm.veevavault.com/ui/#object/approved_document__v/V5O00000001R002", "Programa X Jornada UHB")</f>
        <v>Programa X Jornada UHB</v>
      </c>
      <c r="M606" s="10" t="str">
        <f>HYPERLINK("mailto:mgravan@crm.otsuka-europe.com", "mgravan@crm.otsuka-europe.com")</f>
        <v>mgravan@crm.otsuka-europe.com</v>
      </c>
      <c r="N606" s="13">
        <v>46204.375335648147</v>
      </c>
      <c r="O606" s="14" t="str">
        <f>HYPERLINK("https://otsuka-europe-crm.veevavault.com/ui/#object/email_activity__v/V8C000000042851", "EN-002101299")</f>
        <v>EN-002101299</v>
      </c>
    </row>
    <row r="607" spans="1:15" ht="32" x14ac:dyDescent="0.2">
      <c r="A607" s="7" t="str">
        <f>HYPERLINK("https://otsuka-europe-crm.veevavault.com/ui/#object/account__v/V4TZ06G6O71T7I1", "JOSE ILDEFONSO PEREZ REVUELTA")</f>
        <v>JOSE ILDEFONSO PEREZ REVUELTA</v>
      </c>
      <c r="B607" s="7" t="str">
        <f>HYPERLINK("https://otsuka-europe-crm.veevavault.com/ui/#object/vcountry__v/VENZ000004SONF5", "ES")</f>
        <v>ES</v>
      </c>
      <c r="C607" s="8" t="s">
        <v>39</v>
      </c>
      <c r="D607" s="9" t="str">
        <f>HYPERLINK("https://otsuka-europe-crm.veevavault.com/ui/#object/approved_document__v/V5O00000001R002", "Programa X Jornada UHB")</f>
        <v>Programa X Jornada UHB</v>
      </c>
      <c r="E607" s="10" t="str">
        <f>HYPERLINK("https://otsuka-europe-crm.veevavault.com/ui/#object/sent_email__v/VBL00000002Z409", "SE-001439119")</f>
        <v>SE-001439119</v>
      </c>
      <c r="F607" s="11"/>
      <c r="G607" s="12">
        <v>0</v>
      </c>
      <c r="H607" s="12">
        <v>0</v>
      </c>
      <c r="I607" s="12">
        <v>0</v>
      </c>
      <c r="J607" s="11"/>
      <c r="K607" s="12">
        <v>0</v>
      </c>
      <c r="L607" s="10" t="str">
        <f>HYPERLINK("https://otsuka-europe-crm.veevavault.com/ui/#object/approved_document__v/V5O00000001R002", "Programa X Jornada UHB")</f>
        <v>Programa X Jornada UHB</v>
      </c>
      <c r="M607" s="10" t="str">
        <f>HYPERLINK("mailto:mgravan@crm.otsuka-europe.com", "mgravan@crm.otsuka-europe.com")</f>
        <v>mgravan@crm.otsuka-europe.com</v>
      </c>
      <c r="N607" s="13">
        <v>46204.375347222223</v>
      </c>
      <c r="O607" s="14" t="str">
        <f>HYPERLINK("https://otsuka-europe-crm.veevavault.com/ui/#object/email_activity__v/V8C000000042849", "EN-002101297")</f>
        <v>EN-002101297</v>
      </c>
    </row>
    <row r="608" spans="1:15" ht="16" x14ac:dyDescent="0.2">
      <c r="A608" s="18" t="str">
        <f>HYPERLINK("https://otsuka-europe-crm.veevavault.com/ui/#object/account__v/V4TZ06G6O71TCLN", "JOSE MARIA VILLAGRAN MORENO")</f>
        <v>JOSE MARIA VILLAGRAN MORENO</v>
      </c>
      <c r="B608" s="18" t="str">
        <f>HYPERLINK("https://otsuka-europe-crm.veevavault.com/ui/#object/vcountry__v/VENZ000004SONF5", "ES")</f>
        <v>ES</v>
      </c>
      <c r="C608" s="20" t="s">
        <v>39</v>
      </c>
      <c r="D608" s="21" t="str">
        <f>HYPERLINK("https://otsuka-europe-crm.veevavault.com/ui/#object/approved_document__v/V5O00000001R002", "Programa X Jornada UHB")</f>
        <v>Programa X Jornada UHB</v>
      </c>
      <c r="E608" s="22" t="str">
        <f>HYPERLINK("https://otsuka-europe-crm.veevavault.com/ui/#object/sent_email__v/VBL00000002Z410", "SE-001439120")</f>
        <v>SE-001439120</v>
      </c>
      <c r="F608" s="25">
        <v>46204.376817129632</v>
      </c>
      <c r="G608" s="24">
        <v>1</v>
      </c>
      <c r="H608" s="24">
        <v>1</v>
      </c>
      <c r="I608" s="24">
        <v>1</v>
      </c>
      <c r="J608" s="25">
        <v>46204.376817129632</v>
      </c>
      <c r="K608" s="24">
        <v>1</v>
      </c>
      <c r="L608" s="22" t="str">
        <f>HYPERLINK("https://otsuka-europe-crm.veevavault.com/ui/#object/approved_document__v/V5O00000001R002", "Programa X Jornada UHB")</f>
        <v>Programa X Jornada UHB</v>
      </c>
      <c r="M608" s="22" t="str">
        <f>HYPERLINK("mailto:mgravan@crm.otsuka-europe.com", "mgravan@crm.otsuka-europe.com")</f>
        <v>mgravan@crm.otsuka-europe.com</v>
      </c>
      <c r="N608" s="25">
        <v>46204.375324074077</v>
      </c>
      <c r="O608" s="14" t="str">
        <f>HYPERLINK("https://otsuka-europe-crm.veevavault.com/ui/#object/email_activity__v/V8C000000041795", "EN-002101296")</f>
        <v>EN-002101296</v>
      </c>
    </row>
    <row r="609" spans="1:15" ht="16" x14ac:dyDescent="0.2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14" t="str">
        <f>HYPERLINK("https://otsuka-europe-crm.veevavault.com/ui/#object/email_activity__v/V8C000000041804", "EN-002101323")</f>
        <v>EN-002101323</v>
      </c>
    </row>
    <row r="610" spans="1:15" ht="16" x14ac:dyDescent="0.2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14" t="str">
        <f>HYPERLINK("https://otsuka-europe-crm.veevavault.com/ui/#object/email_activity__v/V8C000000041805", "EN-002101324")</f>
        <v>EN-002101324</v>
      </c>
    </row>
    <row r="611" spans="1:15" ht="16" x14ac:dyDescent="0.2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14" t="str">
        <f>HYPERLINK("https://otsuka-europe-crm.veevavault.com/ui/#object/email_activity__v/V8C000000042859", "EN-002101310")</f>
        <v>EN-002101310</v>
      </c>
    </row>
    <row r="612" spans="1:15" ht="16" x14ac:dyDescent="0.2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4" t="str">
        <f>HYPERLINK("https://otsuka-europe-crm.veevavault.com/ui/#object/email_activity__v/V8C000000042860", "EN-002101309")</f>
        <v>EN-002101309</v>
      </c>
    </row>
    <row r="613" spans="1:15" ht="16" x14ac:dyDescent="0.2">
      <c r="A613" s="18" t="str">
        <f>HYPERLINK("https://otsuka-europe-crm.veevavault.com/ui/#object/account__v/V4TZ06G6O71T8JR", "MARIA SUSANA HERRERA CABALLERO")</f>
        <v>MARIA SUSANA HERRERA CABALLERO</v>
      </c>
      <c r="B613" s="18" t="str">
        <f>HYPERLINK("https://otsuka-europe-crm.veevavault.com/ui/#object/vcountry__v/VENZ000004SONF5", "ES")</f>
        <v>ES</v>
      </c>
      <c r="C613" s="20" t="s">
        <v>39</v>
      </c>
      <c r="D613" s="21" t="str">
        <f>HYPERLINK("https://otsuka-europe-crm.veevavault.com/ui/#object/approved_document__v/V5O00000001R002", "Programa X Jornada UHB")</f>
        <v>Programa X Jornada UHB</v>
      </c>
      <c r="E613" s="22" t="str">
        <f>HYPERLINK("https://otsuka-europe-crm.veevavault.com/ui/#object/sent_email__v/VBL00000002Z411", "SE-001439124")</f>
        <v>SE-001439124</v>
      </c>
      <c r="F613" s="23"/>
      <c r="G613" s="24">
        <v>0</v>
      </c>
      <c r="H613" s="24">
        <v>0</v>
      </c>
      <c r="I613" s="24">
        <v>0</v>
      </c>
      <c r="J613" s="23"/>
      <c r="K613" s="24">
        <v>0</v>
      </c>
      <c r="L613" s="22" t="str">
        <f>HYPERLINK("https://otsuka-europe-crm.veevavault.com/ui/#object/approved_document__v/V5O00000001R002", "Programa X Jornada UHB")</f>
        <v>Programa X Jornada UHB</v>
      </c>
      <c r="M613" s="22" t="str">
        <f>HYPERLINK("mailto:mgravan@crm.otsuka-europe.com", "mgravan@crm.otsuka-europe.com")</f>
        <v>mgravan@crm.otsuka-europe.com</v>
      </c>
      <c r="N613" s="25">
        <v>46204.37636574074</v>
      </c>
      <c r="O613" s="14" t="str">
        <f>HYPERLINK("https://otsuka-europe-crm.veevavault.com/ui/#object/email_activity__v/V8C000000041918", "EN-002101556")</f>
        <v>EN-002101556</v>
      </c>
    </row>
    <row r="614" spans="1:15" ht="16" x14ac:dyDescent="0.2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14" t="str">
        <f>HYPERLINK("https://otsuka-europe-crm.veevavault.com/ui/#object/email_activity__v/V8C000000042855", "EN-002101305")</f>
        <v>EN-002101305</v>
      </c>
    </row>
    <row r="615" spans="1:15" ht="16" x14ac:dyDescent="0.2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14" t="str">
        <f>HYPERLINK("https://otsuka-europe-crm.veevavault.com/ui/#object/email_activity__v/V8C000000043413", "EN-002102362")</f>
        <v>EN-002102362</v>
      </c>
    </row>
    <row r="616" spans="1:15" ht="16" x14ac:dyDescent="0.2">
      <c r="A616" s="19"/>
      <c r="B616" s="19"/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4" t="str">
        <f>HYPERLINK("https://otsuka-europe-crm.veevavault.com/ui/#object/email_activity__v/V8C000000044156", "EN-002101905")</f>
        <v>EN-002101905</v>
      </c>
    </row>
    <row r="617" spans="1:15" ht="16" x14ac:dyDescent="0.2">
      <c r="A617" s="18" t="str">
        <f>HYPERLINK("https://otsuka-europe-crm.veevavault.com/ui/#object/account__v/V4TZ06G6O71TCEU", "EULALIO JUAN VALMISA GOMEZ DE LARA")</f>
        <v>EULALIO JUAN VALMISA GOMEZ DE LARA</v>
      </c>
      <c r="B617" s="18" t="str">
        <f>HYPERLINK("https://otsuka-europe-crm.veevavault.com/ui/#object/vcountry__v/VENZ000004SONF5", "ES")</f>
        <v>ES</v>
      </c>
      <c r="C617" s="20" t="s">
        <v>39</v>
      </c>
      <c r="D617" s="21" t="str">
        <f>HYPERLINK("https://otsuka-europe-crm.veevavault.com/ui/#object/approved_document__v/V5O00000001R002", "Programa X Jornada UHB")</f>
        <v>Programa X Jornada UHB</v>
      </c>
      <c r="E617" s="22" t="str">
        <f>HYPERLINK("https://otsuka-europe-crm.veevavault.com/ui/#object/sent_email__v/VBL00000002Z412", "SE-001439125")</f>
        <v>SE-001439125</v>
      </c>
      <c r="F617" s="25">
        <v>46207.787361111114</v>
      </c>
      <c r="G617" s="24">
        <v>1</v>
      </c>
      <c r="H617" s="24">
        <v>3</v>
      </c>
      <c r="I617" s="24">
        <v>1</v>
      </c>
      <c r="J617" s="25">
        <v>46207.787465277775</v>
      </c>
      <c r="K617" s="24">
        <v>1</v>
      </c>
      <c r="L617" s="22" t="str">
        <f>HYPERLINK("https://otsuka-europe-crm.veevavault.com/ui/#object/approved_document__v/V5O00000001R002", "Programa X Jornada UHB")</f>
        <v>Programa X Jornada UHB</v>
      </c>
      <c r="M617" s="22" t="str">
        <f>HYPERLINK("mailto:mgravan@crm.otsuka-europe.com", "mgravan@crm.otsuka-europe.com")</f>
        <v>mgravan@crm.otsuka-europe.com</v>
      </c>
      <c r="N617" s="25">
        <v>46204.37636574074</v>
      </c>
      <c r="O617" s="14" t="str">
        <f>HYPERLINK("https://otsuka-europe-crm.veevavault.com/ui/#object/email_activity__v/V8C000000042853", "EN-002101303")</f>
        <v>EN-002101303</v>
      </c>
    </row>
    <row r="618" spans="1:15" ht="16" x14ac:dyDescent="0.2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14" t="str">
        <f>HYPERLINK("https://otsuka-europe-crm.veevavault.com/ui/#object/email_activity__v/V8C000000042854", "EN-002101304")</f>
        <v>EN-002101304</v>
      </c>
    </row>
    <row r="619" spans="1:15" ht="16" x14ac:dyDescent="0.2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14" t="str">
        <f>HYPERLINK("https://otsuka-europe-crm.veevavault.com/ui/#object/email_activity__v/V8C000000042869", "EN-002101327")</f>
        <v>EN-002101327</v>
      </c>
    </row>
    <row r="620" spans="1:15" ht="16" x14ac:dyDescent="0.2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14" t="str">
        <f>HYPERLINK("https://otsuka-europe-crm.veevavault.com/ui/#object/email_activity__v/V8C000000043189", "EN-002101894")</f>
        <v>EN-002101894</v>
      </c>
    </row>
    <row r="621" spans="1:15" ht="16" x14ac:dyDescent="0.2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14" t="str">
        <f>HYPERLINK("https://otsuka-europe-crm.veevavault.com/ui/#object/email_activity__v/V8C000000043190", "EN-002101896")</f>
        <v>EN-002101896</v>
      </c>
    </row>
    <row r="622" spans="1:15" ht="16" x14ac:dyDescent="0.2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14" t="str">
        <f>HYPERLINK("https://otsuka-europe-crm.veevavault.com/ui/#object/email_activity__v/V8C000000043191", "EN-002101898")</f>
        <v>EN-002101898</v>
      </c>
    </row>
    <row r="623" spans="1:15" ht="16" x14ac:dyDescent="0.2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4" t="str">
        <f>HYPERLINK("https://otsuka-europe-crm.veevavault.com/ui/#object/email_activity__v/V8C000000044150", "EN-002101895")</f>
        <v>EN-002101895</v>
      </c>
    </row>
    <row r="624" spans="1:15" ht="32" x14ac:dyDescent="0.2">
      <c r="A624" s="7" t="str">
        <f>HYPERLINK("https://otsuka-europe-crm.veevavault.com/ui/#object/account__v/V4TZ06G6O71T7A7", "NAZARET MARIN BASALLOTE")</f>
        <v>NAZARET MARIN BASALLOTE</v>
      </c>
      <c r="B624" s="7" t="str">
        <f>HYPERLINK("https://otsuka-europe-crm.veevavault.com/ui/#object/vcountry__v/VENZ000004SONF5", "ES")</f>
        <v>ES</v>
      </c>
      <c r="C624" s="8" t="s">
        <v>39</v>
      </c>
      <c r="D624" s="9" t="str">
        <f>HYPERLINK("https://otsuka-europe-crm.veevavault.com/ui/#object/approved_document__v/V5O00000001R002", "Programa X Jornada UHB")</f>
        <v>Programa X Jornada UHB</v>
      </c>
      <c r="E624" s="10" t="str">
        <f>HYPERLINK("https://otsuka-europe-crm.veevavault.com/ui/#object/sent_email__v/VBL00000002Z413", "SE-001439126")</f>
        <v>SE-001439126</v>
      </c>
      <c r="F624" s="11"/>
      <c r="G624" s="12">
        <v>0</v>
      </c>
      <c r="H624" s="12">
        <v>0</v>
      </c>
      <c r="I624" s="12">
        <v>0</v>
      </c>
      <c r="J624" s="11"/>
      <c r="K624" s="12">
        <v>0</v>
      </c>
      <c r="L624" s="10" t="str">
        <f>HYPERLINK("https://otsuka-europe-crm.veevavault.com/ui/#object/approved_document__v/V5O00000001R002", "Programa X Jornada UHB")</f>
        <v>Programa X Jornada UHB</v>
      </c>
      <c r="M624" s="10" t="str">
        <f>HYPERLINK("mailto:mgravan@crm.otsuka-europe.com", "mgravan@crm.otsuka-europe.com")</f>
        <v>mgravan@crm.otsuka-europe.com</v>
      </c>
      <c r="N624" s="13">
        <v>46204.37636574074</v>
      </c>
      <c r="O624" s="14" t="str">
        <f>HYPERLINK("https://otsuka-europe-crm.veevavault.com/ui/#object/email_activity__v/V8C000000042856", "EN-002101306")</f>
        <v>EN-002101306</v>
      </c>
    </row>
    <row r="625" spans="1:15" ht="32" x14ac:dyDescent="0.2">
      <c r="A625" s="7" t="str">
        <f>HYPERLINK("https://otsuka-europe-crm.veevavault.com/ui/#object/account__v/V4TZ06G6O71T9WC", "JOSE MANUEL GALLEGO RODRIGUEZ")</f>
        <v>JOSE MANUEL GALLEGO RODRIGUEZ</v>
      </c>
      <c r="B625" s="7" t="str">
        <f>HYPERLINK("https://otsuka-europe-crm.veevavault.com/ui/#object/vcountry__v/VENZ000004SONF5", "ES")</f>
        <v>ES</v>
      </c>
      <c r="C625" s="8" t="s">
        <v>39</v>
      </c>
      <c r="D625" s="9" t="str">
        <f>HYPERLINK("https://otsuka-europe-crm.veevavault.com/ui/#object/approved_document__v/V5O00000001R002", "Programa X Jornada UHB")</f>
        <v>Programa X Jornada UHB</v>
      </c>
      <c r="E625" s="10" t="str">
        <f>HYPERLINK("https://otsuka-europe-crm.veevavault.com/ui/#object/sent_email__v/VBL00000002Z414", "SE-001439127")</f>
        <v>SE-001439127</v>
      </c>
      <c r="F625" s="11"/>
      <c r="G625" s="12">
        <v>0</v>
      </c>
      <c r="H625" s="12">
        <v>0</v>
      </c>
      <c r="I625" s="12">
        <v>0</v>
      </c>
      <c r="J625" s="11"/>
      <c r="K625" s="12">
        <v>0</v>
      </c>
      <c r="L625" s="10" t="str">
        <f>HYPERLINK("https://otsuka-europe-crm.veevavault.com/ui/#object/approved_document__v/V5O00000001R002", "Programa X Jornada UHB")</f>
        <v>Programa X Jornada UHB</v>
      </c>
      <c r="M625" s="10" t="str">
        <f>HYPERLINK("mailto:mgravan@crm.otsuka-europe.com", "mgravan@crm.otsuka-europe.com")</f>
        <v>mgravan@crm.otsuka-europe.com</v>
      </c>
      <c r="N625" s="13">
        <v>46204.37636574074</v>
      </c>
      <c r="O625" s="14" t="str">
        <f>HYPERLINK("https://otsuka-europe-crm.veevavault.com/ui/#object/email_activity__v/V8C000000042852", "EN-002101302")</f>
        <v>EN-002101302</v>
      </c>
    </row>
    <row r="626" spans="1:15" ht="16" x14ac:dyDescent="0.2">
      <c r="A626" s="18" t="str">
        <f>HYPERLINK("https://otsuka-europe-crm.veevavault.com/ui/#object/account__v/V4TZ06G6O71TCLJ", "ALICIA VIGLERIO MONTERO")</f>
        <v>ALICIA VIGLERIO MONTERO</v>
      </c>
      <c r="B626" s="18" t="str">
        <f>HYPERLINK("https://otsuka-europe-crm.veevavault.com/ui/#object/vcountry__v/VENZ000004SONF5", "ES")</f>
        <v>ES</v>
      </c>
      <c r="C626" s="20" t="s">
        <v>39</v>
      </c>
      <c r="D626" s="21" t="str">
        <f>HYPERLINK("https://otsuka-europe-crm.veevavault.com/ui/#object/approved_document__v/V5O00000001R002", "Programa X Jornada UHB")</f>
        <v>Programa X Jornada UHB</v>
      </c>
      <c r="E626" s="22" t="str">
        <f>HYPERLINK("https://otsuka-europe-crm.veevavault.com/ui/#object/sent_email__v/VBL00000002Z415", "SE-001439128")</f>
        <v>SE-001439128</v>
      </c>
      <c r="F626" s="25">
        <v>46207.680219907408</v>
      </c>
      <c r="G626" s="24">
        <v>1</v>
      </c>
      <c r="H626" s="24">
        <v>2</v>
      </c>
      <c r="I626" s="24">
        <v>1</v>
      </c>
      <c r="J626" s="25">
        <v>46207.680439814816</v>
      </c>
      <c r="K626" s="24">
        <v>2</v>
      </c>
      <c r="L626" s="22" t="str">
        <f>HYPERLINK("https://otsuka-europe-crm.veevavault.com/ui/#object/approved_document__v/V5O00000001R002", "Programa X Jornada UHB")</f>
        <v>Programa X Jornada UHB</v>
      </c>
      <c r="M626" s="22" t="str">
        <f>HYPERLINK("mailto:mgravan@crm.otsuka-europe.com", "mgravan@crm.otsuka-europe.com")</f>
        <v>mgravan@crm.otsuka-europe.com</v>
      </c>
      <c r="N626" s="25">
        <v>46204.37636574074</v>
      </c>
      <c r="O626" s="14" t="str">
        <f>HYPERLINK("https://otsuka-europe-crm.veevavault.com/ui/#object/email_activity__v/V8C000000041875", "EN-002101469")</f>
        <v>EN-002101469</v>
      </c>
    </row>
    <row r="627" spans="1:15" ht="16" x14ac:dyDescent="0.2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14" t="str">
        <f>HYPERLINK("https://otsuka-europe-crm.veevavault.com/ui/#object/email_activity__v/V8C000000042857", "EN-002101307")</f>
        <v>EN-002101307</v>
      </c>
    </row>
    <row r="628" spans="1:15" ht="16" x14ac:dyDescent="0.2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14" t="str">
        <f>HYPERLINK("https://otsuka-europe-crm.veevavault.com/ui/#object/email_activity__v/V8C000000042864", "EN-002101318")</f>
        <v>EN-002101318</v>
      </c>
    </row>
    <row r="629" spans="1:15" ht="16" x14ac:dyDescent="0.2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14" t="str">
        <f>HYPERLINK("https://otsuka-europe-crm.veevavault.com/ui/#object/email_activity__v/V8C000000044002", "EN-002101563")</f>
        <v>EN-002101563</v>
      </c>
    </row>
    <row r="630" spans="1:15" ht="16" x14ac:dyDescent="0.2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14" t="str">
        <f>HYPERLINK("https://otsuka-europe-crm.veevavault.com/ui/#object/email_activity__v/V8C000000044143", "EN-002101881")</f>
        <v>EN-002101881</v>
      </c>
    </row>
    <row r="631" spans="1:15" ht="16" x14ac:dyDescent="0.2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14" t="str">
        <f>HYPERLINK("https://otsuka-europe-crm.veevavault.com/ui/#object/email_activity__v/V8C000000044144", "EN-002101882")</f>
        <v>EN-002101882</v>
      </c>
    </row>
    <row r="632" spans="1:15" ht="16" x14ac:dyDescent="0.2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14" t="str">
        <f>HYPERLINK("https://otsuka-europe-crm.veevavault.com/ui/#object/email_activity__v/V8C000000044145", "EN-002101883")</f>
        <v>EN-002101883</v>
      </c>
    </row>
    <row r="633" spans="1:15" ht="16" x14ac:dyDescent="0.2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14" t="str">
        <f>HYPERLINK("https://otsuka-europe-crm.veevavault.com/ui/#object/email_activity__v/V8C000000044146", "EN-002101888")</f>
        <v>EN-002101888</v>
      </c>
    </row>
    <row r="634" spans="1:15" ht="16" x14ac:dyDescent="0.2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14" t="str">
        <f>HYPERLINK("https://otsuka-europe-crm.veevavault.com/ui/#object/email_activity__v/V8C000000044147", "EN-002101889")</f>
        <v>EN-002101889</v>
      </c>
    </row>
    <row r="635" spans="1:15" ht="16" x14ac:dyDescent="0.2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14" t="str">
        <f>HYPERLINK("https://otsuka-europe-crm.veevavault.com/ui/#object/email_activity__v/V8C000000044148", "EN-002101890")</f>
        <v>EN-002101890</v>
      </c>
    </row>
    <row r="636" spans="1:15" ht="16" x14ac:dyDescent="0.2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4" t="str">
        <f>HYPERLINK("https://otsuka-europe-crm.veevavault.com/ui/#object/email_activity__v/V8C000000044531", "EN-002102650")</f>
        <v>EN-002102650</v>
      </c>
    </row>
    <row r="637" spans="1:15" ht="32" x14ac:dyDescent="0.2">
      <c r="A637" s="7" t="str">
        <f>HYPERLINK("https://otsuka-europe-crm.veevavault.com/ui/#object/account__v/V4TZ06G6O71TBRF", "ROSARIO REGUERA FERNANDEZ")</f>
        <v>ROSARIO REGUERA FERNANDEZ</v>
      </c>
      <c r="B637" s="7" t="str">
        <f>HYPERLINK("https://otsuka-europe-crm.veevavault.com/ui/#object/vcountry__v/VENZ000004SONF5", "ES")</f>
        <v>ES</v>
      </c>
      <c r="C637" s="8" t="s">
        <v>39</v>
      </c>
      <c r="D637" s="9" t="str">
        <f>HYPERLINK("https://otsuka-europe-crm.veevavault.com/ui/#object/approved_document__v/V5O00000001R002", "Programa X Jornada UHB")</f>
        <v>Programa X Jornada UHB</v>
      </c>
      <c r="E637" s="10" t="str">
        <f>HYPERLINK("https://otsuka-europe-crm.veevavault.com/ui/#object/sent_email__v/VBL00000002Z416", "SE-001439129")</f>
        <v>SE-001439129</v>
      </c>
      <c r="F637" s="11"/>
      <c r="G637" s="12">
        <v>0</v>
      </c>
      <c r="H637" s="12">
        <v>0</v>
      </c>
      <c r="I637" s="12">
        <v>0</v>
      </c>
      <c r="J637" s="11"/>
      <c r="K637" s="12">
        <v>0</v>
      </c>
      <c r="L637" s="10" t="str">
        <f>HYPERLINK("https://otsuka-europe-crm.veevavault.com/ui/#object/approved_document__v/V5O00000001R002", "Programa X Jornada UHB")</f>
        <v>Programa X Jornada UHB</v>
      </c>
      <c r="M637" s="10" t="str">
        <f>HYPERLINK("mailto:mgravan@crm.otsuka-europe.com", "mgravan@crm.otsuka-europe.com")</f>
        <v>mgravan@crm.otsuka-europe.com</v>
      </c>
      <c r="N637" s="13">
        <v>46204.37636574074</v>
      </c>
      <c r="O637" s="14" t="str">
        <f>HYPERLINK("https://otsuka-europe-crm.veevavault.com/ui/#object/email_activity__v/V8C000000041796", "EN-002101300")</f>
        <v>EN-002101300</v>
      </c>
    </row>
    <row r="638" spans="1:15" ht="32" x14ac:dyDescent="0.2">
      <c r="A638" s="7" t="str">
        <f>HYPERLINK("https://otsuka-europe-crm.veevavault.com/ui/#object/account__v/V4TZ06G6O71TBVI", "IRENE RAMIREZ GUTIERREZ")</f>
        <v>IRENE RAMIREZ GUTIERREZ</v>
      </c>
      <c r="B638" s="7" t="str">
        <f>HYPERLINK("https://otsuka-europe-crm.veevavault.com/ui/#object/vcountry__v/VENZ000004SONF5", "ES")</f>
        <v>ES</v>
      </c>
      <c r="C638" s="8" t="s">
        <v>39</v>
      </c>
      <c r="D638" s="9" t="str">
        <f>HYPERLINK("https://otsuka-europe-crm.veevavault.com/ui/#object/approved_document__v/V5O00000001R002", "Programa X Jornada UHB")</f>
        <v>Programa X Jornada UHB</v>
      </c>
      <c r="E638" s="10" t="str">
        <f>HYPERLINK("https://otsuka-europe-crm.veevavault.com/ui/#object/sent_email__v/VBL00000002Y372", "SE-001439130")</f>
        <v>SE-001439130</v>
      </c>
      <c r="F638" s="11"/>
      <c r="G638" s="12">
        <v>0</v>
      </c>
      <c r="H638" s="12">
        <v>0</v>
      </c>
      <c r="I638" s="12">
        <v>0</v>
      </c>
      <c r="J638" s="11"/>
      <c r="K638" s="12">
        <v>0</v>
      </c>
      <c r="L638" s="10" t="str">
        <f>HYPERLINK("https://otsuka-europe-crm.veevavault.com/ui/#object/approved_document__v/V5O00000001R002", "Programa X Jornada UHB")</f>
        <v>Programa X Jornada UHB</v>
      </c>
      <c r="M638" s="10" t="str">
        <f>HYPERLINK("mailto:mgravan@crm.otsuka-europe.com", "mgravan@crm.otsuka-europe.com")</f>
        <v>mgravan@crm.otsuka-europe.com</v>
      </c>
      <c r="N638" s="13">
        <v>46204.377569444441</v>
      </c>
      <c r="O638" s="14" t="str">
        <f>HYPERLINK("https://otsuka-europe-crm.veevavault.com/ui/#object/email_activity__v/V8C000000042862", "EN-002101314")</f>
        <v>EN-002101314</v>
      </c>
    </row>
    <row r="639" spans="1:15" ht="32" x14ac:dyDescent="0.2">
      <c r="A639" s="7" t="str">
        <f>HYPERLINK("https://otsuka-europe-crm.veevavault.com/ui/#object/account__v/V4TZ06G6O71T8EX", "MANUEL ALEJANDRO MACIAS RUIZ")</f>
        <v>MANUEL ALEJANDRO MACIAS RUIZ</v>
      </c>
      <c r="B639" s="7" t="str">
        <f>HYPERLINK("https://otsuka-europe-crm.veevavault.com/ui/#object/vcountry__v/VENZ000004SONF5", "ES")</f>
        <v>ES</v>
      </c>
      <c r="C639" s="8" t="s">
        <v>39</v>
      </c>
      <c r="D639" s="9" t="str">
        <f>HYPERLINK("https://otsuka-europe-crm.veevavault.com/ui/#object/approved_document__v/V5O00000001R002", "Programa X Jornada UHB")</f>
        <v>Programa X Jornada UHB</v>
      </c>
      <c r="E639" s="10" t="str">
        <f>HYPERLINK("https://otsuka-europe-crm.veevavault.com/ui/#object/sent_email__v/VBL00000002Y373", "SE-001439131")</f>
        <v>SE-001439131</v>
      </c>
      <c r="F639" s="11"/>
      <c r="G639" s="12">
        <v>0</v>
      </c>
      <c r="H639" s="12">
        <v>0</v>
      </c>
      <c r="I639" s="12">
        <v>0</v>
      </c>
      <c r="J639" s="11"/>
      <c r="K639" s="12">
        <v>0</v>
      </c>
      <c r="L639" s="10" t="str">
        <f>HYPERLINK("https://otsuka-europe-crm.veevavault.com/ui/#object/approved_document__v/V5O00000001R002", "Programa X Jornada UHB")</f>
        <v>Programa X Jornada UHB</v>
      </c>
      <c r="M639" s="10" t="str">
        <f>HYPERLINK("mailto:mgravan@crm.otsuka-europe.com", "mgravan@crm.otsuka-europe.com")</f>
        <v>mgravan@crm.otsuka-europe.com</v>
      </c>
      <c r="N639" s="13">
        <v>46204.377569444441</v>
      </c>
      <c r="O639" s="14" t="str">
        <f>HYPERLINK("https://otsuka-europe-crm.veevavault.com/ui/#object/email_activity__v/V8C000000042863", "EN-002101315")</f>
        <v>EN-002101315</v>
      </c>
    </row>
    <row r="640" spans="1:15" ht="16" x14ac:dyDescent="0.2">
      <c r="A640" s="18" t="str">
        <f>HYPERLINK("https://otsuka-europe-crm.veevavault.com/ui/#object/account__v/V4TZ04ASG79ZVZI", "LUNA PALMA MALDONADO")</f>
        <v>LUNA PALMA MALDONADO</v>
      </c>
      <c r="B640" s="18" t="str">
        <f>HYPERLINK("https://otsuka-europe-crm.veevavault.com/ui/#object/vcountry__v/VENZ000004SONF5", "ES")</f>
        <v>ES</v>
      </c>
      <c r="C640" s="20" t="s">
        <v>39</v>
      </c>
      <c r="D640" s="21" t="str">
        <f>HYPERLINK("https://otsuka-europe-crm.veevavault.com/ui/#object/approved_document__v/V5O00000001R002", "Programa X Jornada UHB")</f>
        <v>Programa X Jornada UHB</v>
      </c>
      <c r="E640" s="22" t="str">
        <f>HYPERLINK("https://otsuka-europe-crm.veevavault.com/ui/#object/sent_email__v/VBL00000002Y374", "SE-001439132")</f>
        <v>SE-001439132</v>
      </c>
      <c r="F640" s="25">
        <v>46205.523078703707</v>
      </c>
      <c r="G640" s="24">
        <v>1</v>
      </c>
      <c r="H640" s="24">
        <v>1</v>
      </c>
      <c r="I640" s="24">
        <v>0</v>
      </c>
      <c r="J640" s="23"/>
      <c r="K640" s="24">
        <v>0</v>
      </c>
      <c r="L640" s="22" t="str">
        <f>HYPERLINK("https://otsuka-europe-crm.veevavault.com/ui/#object/approved_document__v/V5O00000001R002", "Programa X Jornada UHB")</f>
        <v>Programa X Jornada UHB</v>
      </c>
      <c r="M640" s="22" t="str">
        <f>HYPERLINK("mailto:mgravan@crm.otsuka-europe.com", "mgravan@crm.otsuka-europe.com")</f>
        <v>mgravan@crm.otsuka-europe.com</v>
      </c>
      <c r="N640" s="25">
        <v>46204.377569444441</v>
      </c>
      <c r="O640" s="14" t="str">
        <f>HYPERLINK("https://otsuka-europe-crm.veevavault.com/ui/#object/email_activity__v/V8C000000042861", "EN-002101313")</f>
        <v>EN-002101313</v>
      </c>
    </row>
    <row r="641" spans="1:15" ht="16" x14ac:dyDescent="0.2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4" t="str">
        <f>HYPERLINK("https://otsuka-europe-crm.veevavault.com/ui/#object/email_activity__v/V8C000000044033", "EN-002101661")</f>
        <v>EN-002101661</v>
      </c>
    </row>
    <row r="642" spans="1:15" ht="32" x14ac:dyDescent="0.2">
      <c r="A642" s="7" t="str">
        <f>HYPERLINK("https://otsuka-europe-crm.veevavault.com/ui/#object/account__v/V4TZ04ASGCYWSVK", "SERGIO ANDRES FERRANDIZ")</f>
        <v>SERGIO ANDRES FERRANDIZ</v>
      </c>
      <c r="B642" s="7" t="str">
        <f>HYPERLINK("https://otsuka-europe-crm.veevavault.com/ui/#object/vcountry__v/VENZ000004SONF5", "ES")</f>
        <v>ES</v>
      </c>
      <c r="C642" s="8" t="s">
        <v>39</v>
      </c>
      <c r="D642" s="9" t="str">
        <f>HYPERLINK("https://otsuka-europe-crm.veevavault.com/ui/#object/approved_document__v/V5O00000001R002", "Programa X Jornada UHB")</f>
        <v>Programa X Jornada UHB</v>
      </c>
      <c r="E642" s="10" t="str">
        <f>HYPERLINK("https://otsuka-europe-crm.veevavault.com/ui/#object/sent_email__v/VBL00000002Y375", "SE-001439133")</f>
        <v>SE-001439133</v>
      </c>
      <c r="F642" s="11"/>
      <c r="G642" s="12">
        <v>0</v>
      </c>
      <c r="H642" s="12">
        <v>0</v>
      </c>
      <c r="I642" s="12">
        <v>0</v>
      </c>
      <c r="J642" s="11"/>
      <c r="K642" s="12">
        <v>0</v>
      </c>
      <c r="L642" s="10" t="str">
        <f>HYPERLINK("https://otsuka-europe-crm.veevavault.com/ui/#object/approved_document__v/V5O00000001R002", "Programa X Jornada UHB")</f>
        <v>Programa X Jornada UHB</v>
      </c>
      <c r="M642" s="10" t="str">
        <f>HYPERLINK("mailto:mgravan@crm.otsuka-europe.com", "mgravan@crm.otsuka-europe.com")</f>
        <v>mgravan@crm.otsuka-europe.com</v>
      </c>
      <c r="N642" s="13">
        <v>46204.377569444441</v>
      </c>
      <c r="O642" s="14" t="str">
        <f>HYPERLINK("https://otsuka-europe-crm.veevavault.com/ui/#object/email_activity__v/V8C000000041799", "EN-002101312")</f>
        <v>EN-002101312</v>
      </c>
    </row>
    <row r="643" spans="1:15" ht="16" x14ac:dyDescent="0.2">
      <c r="A643" s="18" t="str">
        <f>HYPERLINK("https://otsuka-europe-crm.veevavault.com/ui/#object/account__v/V4TZ00000633J1E", "MANUEL DIAS ALVES")</f>
        <v>MANUEL DIAS ALVES</v>
      </c>
      <c r="B643" s="18" t="str">
        <f>HYPERLINK("https://otsuka-europe-crm.veevavault.com/ui/#object/vcountry__v/VENZ000004SONFA", "FR")</f>
        <v>FR</v>
      </c>
      <c r="C643" s="20" t="s">
        <v>40</v>
      </c>
      <c r="D643" s="21" t="str">
        <f>HYPERLINK("https://otsuka-europe-crm.veevavault.com/ui/#object/approved_document__v/V5OZ04ASG4G02Y6", "INVITATION_VAD_2023")</f>
        <v>INVITATION_VAD_2023</v>
      </c>
      <c r="E643" s="22" t="str">
        <f>HYPERLINK("https://otsuka-europe-crm.veevavault.com/ui/#object/sent_email__v/VBL00000002Y376", "SE-001439134")</f>
        <v>SE-001439134</v>
      </c>
      <c r="F643" s="25">
        <v>46204.434618055559</v>
      </c>
      <c r="G643" s="24">
        <v>1</v>
      </c>
      <c r="H643" s="24">
        <v>1</v>
      </c>
      <c r="I643" s="24">
        <v>0</v>
      </c>
      <c r="J643" s="23"/>
      <c r="K643" s="24">
        <v>0</v>
      </c>
      <c r="L643" s="22" t="str">
        <f>HYPERLINK("https://otsuka-europe-crm.veevavault.com/ui/#object/approved_document__v/V5OZ04ASG4G02Y6", "INVITATION_VAD_2023")</f>
        <v>INVITATION_VAD_2023</v>
      </c>
      <c r="M643" s="22" t="str">
        <f>HYPERLINK("mailto:kpoperen@crm.otsuka-europe.com", "kpoperen@crm.otsuka-europe.com")</f>
        <v>kpoperen@crm.otsuka-europe.com</v>
      </c>
      <c r="N643" s="25">
        <v>46204.434363425928</v>
      </c>
      <c r="O643" s="14" t="str">
        <f>HYPERLINK("https://otsuka-europe-crm.veevavault.com/ui/#object/email_activity__v/V8C000000042885", "EN-002101349")</f>
        <v>EN-002101349</v>
      </c>
    </row>
    <row r="644" spans="1:15" ht="16" x14ac:dyDescent="0.2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4" t="str">
        <f>HYPERLINK("https://otsuka-europe-crm.veevavault.com/ui/#object/email_activity__v/V8C000000042886", "EN-002101350")</f>
        <v>EN-002101350</v>
      </c>
    </row>
    <row r="645" spans="1:15" ht="16" x14ac:dyDescent="0.2">
      <c r="A645" s="18" t="str">
        <f>HYPERLINK("https://otsuka-europe-crm.veevavault.com/ui/#object/account__v/V4TZ06G6O71TARI", "FRANCISCO JOSE LOPEZ SANCHEZ")</f>
        <v>FRANCISCO JOSE LOPEZ SANCHEZ</v>
      </c>
      <c r="B645" s="18" t="str">
        <f>HYPERLINK("https://otsuka-europe-crm.veevavault.com/ui/#object/vcountry__v/VENZ000004SONF5", "ES")</f>
        <v>ES</v>
      </c>
      <c r="C645" s="20" t="s">
        <v>39</v>
      </c>
      <c r="D645" s="21" t="str">
        <f>HYPERLINK("https://otsuka-europe-crm.veevavault.com/ui/#object/approved_document__v/V5O00000001R002", "Programa X Jornada UHB")</f>
        <v>Programa X Jornada UHB</v>
      </c>
      <c r="E645" s="22" t="str">
        <f>HYPERLINK("https://otsuka-europe-crm.veevavault.com/ui/#object/sent_email__v/VBL00000002Z426", "SE-001439135")</f>
        <v>SE-001439135</v>
      </c>
      <c r="F645" s="25">
        <v>46204.782939814817</v>
      </c>
      <c r="G645" s="24">
        <v>1</v>
      </c>
      <c r="H645" s="24">
        <v>1</v>
      </c>
      <c r="I645" s="24">
        <v>1</v>
      </c>
      <c r="J645" s="25">
        <v>46204.783055555556</v>
      </c>
      <c r="K645" s="24">
        <v>1</v>
      </c>
      <c r="L645" s="22" t="str">
        <f>HYPERLINK("https://otsuka-europe-crm.veevavault.com/ui/#object/approved_document__v/V5O00000001R002", "Programa X Jornada UHB")</f>
        <v>Programa X Jornada UHB</v>
      </c>
      <c r="M645" s="22" t="str">
        <f>HYPERLINK("mailto:sruiz@crm.otsuka-europe.com", "sruiz@crm.otsuka-europe.com")</f>
        <v>sruiz@crm.otsuka-europe.com</v>
      </c>
      <c r="N645" s="25">
        <v>46204.477881944447</v>
      </c>
      <c r="O645" s="14" t="str">
        <f>HYPERLINK("https://otsuka-europe-crm.veevavault.com/ui/#object/email_activity__v/V8C000000041824", "EN-002101366")</f>
        <v>EN-002101366</v>
      </c>
    </row>
    <row r="646" spans="1:15" ht="16" x14ac:dyDescent="0.2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14" t="str">
        <f>HYPERLINK("https://otsuka-europe-crm.veevavault.com/ui/#object/email_activity__v/V8C000000041906", "EN-002101530")</f>
        <v>EN-002101530</v>
      </c>
    </row>
    <row r="647" spans="1:15" ht="16" x14ac:dyDescent="0.2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14" t="str">
        <f>HYPERLINK("https://otsuka-europe-crm.veevavault.com/ui/#object/email_activity__v/V8C000000041907", "EN-002101531")</f>
        <v>EN-002101531</v>
      </c>
    </row>
    <row r="648" spans="1:15" ht="16" x14ac:dyDescent="0.2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4" t="str">
        <f>HYPERLINK("https://otsuka-europe-crm.veevavault.com/ui/#object/email_activity__v/V8C000000042982", "EN-002101534")</f>
        <v>EN-002101534</v>
      </c>
    </row>
    <row r="649" spans="1:15" ht="32" x14ac:dyDescent="0.2">
      <c r="A649" s="7" t="str">
        <f>HYPERLINK("https://otsuka-europe-crm.veevavault.com/ui/#object/account__v/V4TZ06G6O71T80Z", "JUAN ANTONIO QUINTERO RUEDA")</f>
        <v>JUAN ANTONIO QUINTERO RUEDA</v>
      </c>
      <c r="B649" s="7" t="str">
        <f>HYPERLINK("https://otsuka-europe-crm.veevavault.com/ui/#object/vcountry__v/VENZ000004SONF5", "ES")</f>
        <v>ES</v>
      </c>
      <c r="C649" s="8" t="s">
        <v>39</v>
      </c>
      <c r="D649" s="9" t="str">
        <f>HYPERLINK("https://otsuka-europe-crm.veevavault.com/ui/#object/approved_document__v/V5O00000001R002", "Programa X Jornada UHB")</f>
        <v>Programa X Jornada UHB</v>
      </c>
      <c r="E649" s="10" t="str">
        <f>HYPERLINK("https://otsuka-europe-crm.veevavault.com/ui/#object/sent_email__v/VBL00000002Z427", "SE-001439136")</f>
        <v>SE-001439136</v>
      </c>
      <c r="F649" s="11"/>
      <c r="G649" s="12">
        <v>0</v>
      </c>
      <c r="H649" s="12">
        <v>0</v>
      </c>
      <c r="I649" s="12">
        <v>0</v>
      </c>
      <c r="J649" s="11"/>
      <c r="K649" s="12">
        <v>0</v>
      </c>
      <c r="L649" s="10" t="str">
        <f>HYPERLINK("https://otsuka-europe-crm.veevavault.com/ui/#object/approved_document__v/V5O00000001R002", "Programa X Jornada UHB")</f>
        <v>Programa X Jornada UHB</v>
      </c>
      <c r="M649" s="10" t="str">
        <f>HYPERLINK("mailto:sruiz@crm.otsuka-europe.com", "sruiz@crm.otsuka-europe.com")</f>
        <v>sruiz@crm.otsuka-europe.com</v>
      </c>
      <c r="N649" s="13">
        <v>46204.478819444441</v>
      </c>
      <c r="O649" s="14" t="str">
        <f>HYPERLINK("https://otsuka-europe-crm.veevavault.com/ui/#object/email_activity__v/V8C000000041826", "EN-002101368")</f>
        <v>EN-002101368</v>
      </c>
    </row>
    <row r="650" spans="1:15" ht="32" x14ac:dyDescent="0.2">
      <c r="A650" s="7" t="str">
        <f>HYPERLINK("https://otsuka-europe-crm.veevavault.com/ui/#object/account__v/V4TZ06G6OBI8B10", "MARIA ELENA VILLALOBOS MARTINEZ")</f>
        <v>MARIA ELENA VILLALOBOS MARTINEZ</v>
      </c>
      <c r="B650" s="7" t="str">
        <f>HYPERLINK("https://otsuka-europe-crm.veevavault.com/ui/#object/vcountry__v/VENZ000004SONF5", "ES")</f>
        <v>ES</v>
      </c>
      <c r="C650" s="8" t="s">
        <v>39</v>
      </c>
      <c r="D650" s="9" t="str">
        <f>HYPERLINK("https://otsuka-europe-crm.veevavault.com/ui/#object/approved_document__v/V5O00000001R002", "Programa X Jornada UHB")</f>
        <v>Programa X Jornada UHB</v>
      </c>
      <c r="E650" s="10" t="str">
        <f>HYPERLINK("https://otsuka-europe-crm.veevavault.com/ui/#object/sent_email__v/VBL00000002Z428", "SE-001439137")</f>
        <v>SE-001439137</v>
      </c>
      <c r="F650" s="11"/>
      <c r="G650" s="12">
        <v>0</v>
      </c>
      <c r="H650" s="12">
        <v>0</v>
      </c>
      <c r="I650" s="12">
        <v>0</v>
      </c>
      <c r="J650" s="11"/>
      <c r="K650" s="12">
        <v>0</v>
      </c>
      <c r="L650" s="10" t="str">
        <f>HYPERLINK("https://otsuka-europe-crm.veevavault.com/ui/#object/approved_document__v/V5O00000001R002", "Programa X Jornada UHB")</f>
        <v>Programa X Jornada UHB</v>
      </c>
      <c r="M650" s="10" t="str">
        <f>HYPERLINK("mailto:sruiz@crm.otsuka-europe.com", "sruiz@crm.otsuka-europe.com")</f>
        <v>sruiz@crm.otsuka-europe.com</v>
      </c>
      <c r="N650" s="13">
        <v>46204.478819444441</v>
      </c>
      <c r="O650" s="14" t="str">
        <f>HYPERLINK("https://otsuka-europe-crm.veevavault.com/ui/#object/email_activity__v/V8C000000041829", "EN-002101371")</f>
        <v>EN-002101371</v>
      </c>
    </row>
    <row r="651" spans="1:15" ht="32" x14ac:dyDescent="0.2">
      <c r="A651" s="7" t="str">
        <f>HYPERLINK("https://otsuka-europe-crm.veevavault.com/ui/#object/account__v/V4TZ06G6O71T8JI", "MARTA HERRERA DURAN")</f>
        <v>MARTA HERRERA DURAN</v>
      </c>
      <c r="B651" s="7" t="str">
        <f>HYPERLINK("https://otsuka-europe-crm.veevavault.com/ui/#object/vcountry__v/VENZ000004SONF5", "ES")</f>
        <v>ES</v>
      </c>
      <c r="C651" s="8" t="s">
        <v>39</v>
      </c>
      <c r="D651" s="9" t="str">
        <f>HYPERLINK("https://otsuka-europe-crm.veevavault.com/ui/#object/approved_document__v/V5O00000001R002", "Programa X Jornada UHB")</f>
        <v>Programa X Jornada UHB</v>
      </c>
      <c r="E651" s="10" t="str">
        <f>HYPERLINK("https://otsuka-europe-crm.veevavault.com/ui/#object/sent_email__v/VBL00000002Z429", "SE-001439138")</f>
        <v>SE-001439138</v>
      </c>
      <c r="F651" s="11"/>
      <c r="G651" s="12">
        <v>0</v>
      </c>
      <c r="H651" s="12">
        <v>0</v>
      </c>
      <c r="I651" s="12">
        <v>0</v>
      </c>
      <c r="J651" s="11"/>
      <c r="K651" s="12">
        <v>0</v>
      </c>
      <c r="L651" s="10" t="str">
        <f>HYPERLINK("https://otsuka-europe-crm.veevavault.com/ui/#object/approved_document__v/V5O00000001R002", "Programa X Jornada UHB")</f>
        <v>Programa X Jornada UHB</v>
      </c>
      <c r="M651" s="10" t="str">
        <f>HYPERLINK("mailto:sruiz@crm.otsuka-europe.com", "sruiz@crm.otsuka-europe.com")</f>
        <v>sruiz@crm.otsuka-europe.com</v>
      </c>
      <c r="N651" s="13">
        <v>46204.478819444441</v>
      </c>
      <c r="O651" s="14" t="str">
        <f>HYPERLINK("https://otsuka-europe-crm.veevavault.com/ui/#object/email_activity__v/V8C000000041830", "EN-002101372")</f>
        <v>EN-002101372</v>
      </c>
    </row>
    <row r="652" spans="1:15" ht="32" x14ac:dyDescent="0.2">
      <c r="A652" s="7" t="str">
        <f>HYPERLINK("https://otsuka-europe-crm.veevavault.com/ui/#object/account__v/V4TZ06G6O71TCLX", "NIEVES VILCHES CRUZ")</f>
        <v>NIEVES VILCHES CRUZ</v>
      </c>
      <c r="B652" s="7" t="str">
        <f>HYPERLINK("https://otsuka-europe-crm.veevavault.com/ui/#object/vcountry__v/VENZ000004SONF5", "ES")</f>
        <v>ES</v>
      </c>
      <c r="C652" s="8" t="s">
        <v>39</v>
      </c>
      <c r="D652" s="9" t="str">
        <f>HYPERLINK("https://otsuka-europe-crm.veevavault.com/ui/#object/approved_document__v/V5O00000001R002", "Programa X Jornada UHB")</f>
        <v>Programa X Jornada UHB</v>
      </c>
      <c r="E652" s="10" t="str">
        <f>HYPERLINK("https://otsuka-europe-crm.veevavault.com/ui/#object/sent_email__v/VBL00000002Z430", "SE-001439139")</f>
        <v>SE-001439139</v>
      </c>
      <c r="F652" s="11"/>
      <c r="G652" s="12">
        <v>0</v>
      </c>
      <c r="H652" s="12">
        <v>0</v>
      </c>
      <c r="I652" s="12">
        <v>0</v>
      </c>
      <c r="J652" s="11"/>
      <c r="K652" s="12">
        <v>0</v>
      </c>
      <c r="L652" s="10" t="str">
        <f>HYPERLINK("https://otsuka-europe-crm.veevavault.com/ui/#object/approved_document__v/V5O00000001R002", "Programa X Jornada UHB")</f>
        <v>Programa X Jornada UHB</v>
      </c>
      <c r="M652" s="10" t="str">
        <f>HYPERLINK("mailto:sruiz@crm.otsuka-europe.com", "sruiz@crm.otsuka-europe.com")</f>
        <v>sruiz@crm.otsuka-europe.com</v>
      </c>
      <c r="N652" s="13">
        <v>46204.478819444441</v>
      </c>
      <c r="O652" s="14" t="str">
        <f>HYPERLINK("https://otsuka-europe-crm.veevavault.com/ui/#object/email_activity__v/V8C000000041828", "EN-002101370")</f>
        <v>EN-002101370</v>
      </c>
    </row>
    <row r="653" spans="1:15" ht="16" x14ac:dyDescent="0.2">
      <c r="A653" s="18" t="str">
        <f>HYPERLINK("https://otsuka-europe-crm.veevavault.com/ui/#object/account__v/V4TZ06G6O71T75Z", "ELMA AVANESI MOLINA")</f>
        <v>ELMA AVANESI MOLINA</v>
      </c>
      <c r="B653" s="18" t="str">
        <f>HYPERLINK("https://otsuka-europe-crm.veevavault.com/ui/#object/vcountry__v/VENZ000004SONF5", "ES")</f>
        <v>ES</v>
      </c>
      <c r="C653" s="20" t="s">
        <v>39</v>
      </c>
      <c r="D653" s="21" t="str">
        <f>HYPERLINK("https://otsuka-europe-crm.veevavault.com/ui/#object/approved_document__v/V5O00000001R002", "Programa X Jornada UHB")</f>
        <v>Programa X Jornada UHB</v>
      </c>
      <c r="E653" s="22" t="str">
        <f>HYPERLINK("https://otsuka-europe-crm.veevavault.com/ui/#object/sent_email__v/VBL00000002Z431", "SE-001439140")</f>
        <v>SE-001439140</v>
      </c>
      <c r="F653" s="25">
        <v>46204.479594907411</v>
      </c>
      <c r="G653" s="24">
        <v>1</v>
      </c>
      <c r="H653" s="24">
        <v>1</v>
      </c>
      <c r="I653" s="24">
        <v>0</v>
      </c>
      <c r="J653" s="23"/>
      <c r="K653" s="24">
        <v>0</v>
      </c>
      <c r="L653" s="22" t="str">
        <f>HYPERLINK("https://otsuka-europe-crm.veevavault.com/ui/#object/approved_document__v/V5O00000001R002", "Programa X Jornada UHB")</f>
        <v>Programa X Jornada UHB</v>
      </c>
      <c r="M653" s="22" t="str">
        <f>HYPERLINK("mailto:sruiz@crm.otsuka-europe.com", "sruiz@crm.otsuka-europe.com")</f>
        <v>sruiz@crm.otsuka-europe.com</v>
      </c>
      <c r="N653" s="25">
        <v>46204.478819444441</v>
      </c>
      <c r="O653" s="14" t="str">
        <f>HYPERLINK("https://otsuka-europe-crm.veevavault.com/ui/#object/email_activity__v/V8C000000041827", "EN-002101369")</f>
        <v>EN-002101369</v>
      </c>
    </row>
    <row r="654" spans="1:15" ht="16" x14ac:dyDescent="0.2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4" t="str">
        <f>HYPERLINK("https://otsuka-europe-crm.veevavault.com/ui/#object/email_activity__v/V8C000000041831", "EN-002101373")</f>
        <v>EN-002101373</v>
      </c>
    </row>
    <row r="655" spans="1:15" ht="32" x14ac:dyDescent="0.2">
      <c r="A655" s="7" t="str">
        <f>HYPERLINK("https://otsuka-europe-crm.veevavault.com/ui/#object/account__v/V4TZ06G6O71TC68", "NURIA CEREZO RAMIREZ")</f>
        <v>NURIA CEREZO RAMIREZ</v>
      </c>
      <c r="B655" s="7" t="str">
        <f>HYPERLINK("https://otsuka-europe-crm.veevavault.com/ui/#object/vcountry__v/VENZ000004SONF5", "ES")</f>
        <v>ES</v>
      </c>
      <c r="C655" s="8" t="s">
        <v>39</v>
      </c>
      <c r="D655" s="9" t="str">
        <f>HYPERLINK("https://otsuka-europe-crm.veevavault.com/ui/#object/approved_document__v/V5O00000001R002", "Programa X Jornada UHB")</f>
        <v>Programa X Jornada UHB</v>
      </c>
      <c r="E655" s="10" t="str">
        <f>HYPERLINK("https://otsuka-europe-crm.veevavault.com/ui/#object/sent_email__v/VBL00000002Z432", "SE-001439141")</f>
        <v>SE-001439141</v>
      </c>
      <c r="F655" s="11"/>
      <c r="G655" s="12">
        <v>0</v>
      </c>
      <c r="H655" s="12">
        <v>0</v>
      </c>
      <c r="I655" s="12">
        <v>0</v>
      </c>
      <c r="J655" s="11"/>
      <c r="K655" s="12">
        <v>0</v>
      </c>
      <c r="L655" s="10" t="str">
        <f>HYPERLINK("https://otsuka-europe-crm.veevavault.com/ui/#object/approved_document__v/V5O00000001R002", "Programa X Jornada UHB")</f>
        <v>Programa X Jornada UHB</v>
      </c>
      <c r="M655" s="10" t="str">
        <f>HYPERLINK("mailto:sruiz@crm.otsuka-europe.com", "sruiz@crm.otsuka-europe.com")</f>
        <v>sruiz@crm.otsuka-europe.com</v>
      </c>
      <c r="N655" s="13">
        <v>46204.478819444441</v>
      </c>
      <c r="O655" s="14" t="str">
        <f>HYPERLINK("https://otsuka-europe-crm.veevavault.com/ui/#object/email_activity__v/V8C000000041825", "EN-002101367")</f>
        <v>EN-002101367</v>
      </c>
    </row>
    <row r="656" spans="1:15" ht="32" x14ac:dyDescent="0.2">
      <c r="A656" s="7" t="str">
        <f>HYPERLINK("https://otsuka-europe-crm.veevavault.com/ui/#object/account__v/V4TZ06G6O71T8EZ", "FELIX MORENO DE LARA")</f>
        <v>FELIX MORENO DE LARA</v>
      </c>
      <c r="B656" s="7" t="str">
        <f>HYPERLINK("https://otsuka-europe-crm.veevavault.com/ui/#object/vcountry__v/VENZ000004SONF5", "ES")</f>
        <v>ES</v>
      </c>
      <c r="C656" s="8" t="s">
        <v>39</v>
      </c>
      <c r="D656" s="9" t="str">
        <f>HYPERLINK("https://otsuka-europe-crm.veevavault.com/ui/#object/approved_document__v/V5O00000001R002", "Programa X Jornada UHB")</f>
        <v>Programa X Jornada UHB</v>
      </c>
      <c r="E656" s="10" t="str">
        <f>HYPERLINK("https://otsuka-europe-crm.veevavault.com/ui/#object/sent_email__v/VBL00000002Y378", "SE-001439142")</f>
        <v>SE-001439142</v>
      </c>
      <c r="F656" s="11"/>
      <c r="G656" s="12">
        <v>0</v>
      </c>
      <c r="H656" s="12">
        <v>0</v>
      </c>
      <c r="I656" s="12">
        <v>0</v>
      </c>
      <c r="J656" s="11"/>
      <c r="K656" s="12">
        <v>0</v>
      </c>
      <c r="L656" s="10" t="str">
        <f>HYPERLINK("https://otsuka-europe-crm.veevavault.com/ui/#object/approved_document__v/V5O00000001R002", "Programa X Jornada UHB")</f>
        <v>Programa X Jornada UHB</v>
      </c>
      <c r="M656" s="10" t="str">
        <f>HYPERLINK("mailto:sruiz@crm.otsuka-europe.com", "sruiz@crm.otsuka-europe.com")</f>
        <v>sruiz@crm.otsuka-europe.com</v>
      </c>
      <c r="N656" s="13">
        <v>46204.480057870373</v>
      </c>
      <c r="O656" s="14" t="str">
        <f>HYPERLINK("https://otsuka-europe-crm.veevavault.com/ui/#object/email_activity__v/V8C000000041840", "EN-002101386")</f>
        <v>EN-002101386</v>
      </c>
    </row>
    <row r="657" spans="1:15" ht="16" x14ac:dyDescent="0.2">
      <c r="A657" s="18" t="str">
        <f>HYPERLINK("https://otsuka-europe-crm.veevavault.com/ui/#object/account__v/V4T000000013043", "DANIELE ZUCCARETTI")</f>
        <v>DANIELE ZUCCARETTI</v>
      </c>
      <c r="B657" s="18" t="str">
        <f>HYPERLINK("https://otsuka-europe-crm.veevavault.com/ui/#object/vcountry__v/VENZ000004SONF5", "ES")</f>
        <v>ES</v>
      </c>
      <c r="C657" s="20" t="s">
        <v>39</v>
      </c>
      <c r="D657" s="21" t="str">
        <f>HYPERLINK("https://otsuka-europe-crm.veevavault.com/ui/#object/approved_document__v/V5O00000001R002", "Programa X Jornada UHB")</f>
        <v>Programa X Jornada UHB</v>
      </c>
      <c r="E657" s="22" t="str">
        <f>HYPERLINK("https://otsuka-europe-crm.veevavault.com/ui/#object/sent_email__v/VBL00000002Y379", "SE-001439143")</f>
        <v>SE-001439143</v>
      </c>
      <c r="F657" s="25">
        <v>46204.561041666668</v>
      </c>
      <c r="G657" s="24">
        <v>1</v>
      </c>
      <c r="H657" s="24">
        <v>2</v>
      </c>
      <c r="I657" s="24">
        <v>0</v>
      </c>
      <c r="J657" s="23"/>
      <c r="K657" s="24">
        <v>0</v>
      </c>
      <c r="L657" s="22" t="str">
        <f>HYPERLINK("https://otsuka-europe-crm.veevavault.com/ui/#object/approved_document__v/V5O00000001R002", "Programa X Jornada UHB")</f>
        <v>Programa X Jornada UHB</v>
      </c>
      <c r="M657" s="22" t="str">
        <f>HYPERLINK("mailto:sruiz@crm.otsuka-europe.com", "sruiz@crm.otsuka-europe.com")</f>
        <v>sruiz@crm.otsuka-europe.com</v>
      </c>
      <c r="N657" s="25">
        <v>46204.480057870373</v>
      </c>
      <c r="O657" s="14" t="str">
        <f>HYPERLINK("https://otsuka-europe-crm.veevavault.com/ui/#object/email_activity__v/V8C000000041837", "EN-002101383")</f>
        <v>EN-002101383</v>
      </c>
    </row>
    <row r="658" spans="1:15" ht="16" x14ac:dyDescent="0.2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14" t="str">
        <f>HYPERLINK("https://otsuka-europe-crm.veevavault.com/ui/#object/email_activity__v/V8C000000042894", "EN-002101379")</f>
        <v>EN-002101379</v>
      </c>
    </row>
    <row r="659" spans="1:15" ht="16" x14ac:dyDescent="0.2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4" t="str">
        <f>HYPERLINK("https://otsuka-europe-crm.veevavault.com/ui/#object/email_activity__v/V8C000000042930", "EN-002101438")</f>
        <v>EN-002101438</v>
      </c>
    </row>
    <row r="660" spans="1:15" ht="32" x14ac:dyDescent="0.2">
      <c r="A660" s="7" t="str">
        <f>HYPERLINK("https://otsuka-europe-crm.veevavault.com/ui/#object/account__v/V4TZ06G6O71T8XN", "MERCEDES ALBA VALLEJO")</f>
        <v>MERCEDES ALBA VALLEJO</v>
      </c>
      <c r="B660" s="7" t="str">
        <f>HYPERLINK("https://otsuka-europe-crm.veevavault.com/ui/#object/vcountry__v/VENZ000004SONF5", "ES")</f>
        <v>ES</v>
      </c>
      <c r="C660" s="8" t="s">
        <v>39</v>
      </c>
      <c r="D660" s="9" t="str">
        <f>HYPERLINK("https://otsuka-europe-crm.veevavault.com/ui/#object/approved_document__v/V5O00000001R002", "Programa X Jornada UHB")</f>
        <v>Programa X Jornada UHB</v>
      </c>
      <c r="E660" s="10" t="str">
        <f>HYPERLINK("https://otsuka-europe-crm.veevavault.com/ui/#object/sent_email__v/VBL00000002Y380", "SE-001439144")</f>
        <v>SE-001439144</v>
      </c>
      <c r="F660" s="11"/>
      <c r="G660" s="12">
        <v>0</v>
      </c>
      <c r="H660" s="12">
        <v>0</v>
      </c>
      <c r="I660" s="12">
        <v>0</v>
      </c>
      <c r="J660" s="11"/>
      <c r="K660" s="12">
        <v>0</v>
      </c>
      <c r="L660" s="10" t="str">
        <f>HYPERLINK("https://otsuka-europe-crm.veevavault.com/ui/#object/approved_document__v/V5O00000001R002", "Programa X Jornada UHB")</f>
        <v>Programa X Jornada UHB</v>
      </c>
      <c r="M660" s="10" t="str">
        <f>HYPERLINK("mailto:sruiz@crm.otsuka-europe.com", "sruiz@crm.otsuka-europe.com")</f>
        <v>sruiz@crm.otsuka-europe.com</v>
      </c>
      <c r="N660" s="13">
        <v>46204.480057870373</v>
      </c>
      <c r="O660" s="14" t="str">
        <f>HYPERLINK("https://otsuka-europe-crm.veevavault.com/ui/#object/email_activity__v/V8C000000041832", "EN-002101374")</f>
        <v>EN-002101374</v>
      </c>
    </row>
    <row r="661" spans="1:15" ht="16" x14ac:dyDescent="0.2">
      <c r="A661" s="18" t="str">
        <f>HYPERLINK("https://otsuka-europe-crm.veevavault.com/ui/#object/account__v/V4TZ06G6O71TAJB", "EVA CASTELLS BESCOS")</f>
        <v>EVA CASTELLS BESCOS</v>
      </c>
      <c r="B661" s="18" t="str">
        <f>HYPERLINK("https://otsuka-europe-crm.veevavault.com/ui/#object/vcountry__v/VENZ000004SONF5", "ES")</f>
        <v>ES</v>
      </c>
      <c r="C661" s="20" t="s">
        <v>39</v>
      </c>
      <c r="D661" s="21" t="str">
        <f>HYPERLINK("https://otsuka-europe-crm.veevavault.com/ui/#object/approved_document__v/V5O00000001R002", "Programa X Jornada UHB")</f>
        <v>Programa X Jornada UHB</v>
      </c>
      <c r="E661" s="22" t="str">
        <f>HYPERLINK("https://otsuka-europe-crm.veevavault.com/ui/#object/sent_email__v/VBL00000002Y381", "SE-001439145")</f>
        <v>SE-001439145</v>
      </c>
      <c r="F661" s="23"/>
      <c r="G661" s="24">
        <v>0</v>
      </c>
      <c r="H661" s="24">
        <v>0</v>
      </c>
      <c r="I661" s="24">
        <v>0</v>
      </c>
      <c r="J661" s="23"/>
      <c r="K661" s="24">
        <v>0</v>
      </c>
      <c r="L661" s="22" t="str">
        <f>HYPERLINK("https://otsuka-europe-crm.veevavault.com/ui/#object/approved_document__v/V5O00000001R002", "Programa X Jornada UHB")</f>
        <v>Programa X Jornada UHB</v>
      </c>
      <c r="M661" s="22" t="str">
        <f>HYPERLINK("mailto:sruiz@crm.otsuka-europe.com", "sruiz@crm.otsuka-europe.com")</f>
        <v>sruiz@crm.otsuka-europe.com</v>
      </c>
      <c r="N661" s="25">
        <v>46204.480057870373</v>
      </c>
      <c r="O661" s="14" t="str">
        <f>HYPERLINK("https://otsuka-europe-crm.veevavault.com/ui/#object/email_activity__v/V8C000000041839", "EN-002101385")</f>
        <v>EN-002101385</v>
      </c>
    </row>
    <row r="662" spans="1:15" ht="16" x14ac:dyDescent="0.2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4" t="str">
        <f>HYPERLINK("https://otsuka-europe-crm.veevavault.com/ui/#object/email_activity__v/V8C000000044153", "EN-002101901")</f>
        <v>EN-002101901</v>
      </c>
    </row>
    <row r="663" spans="1:15" ht="16" x14ac:dyDescent="0.2">
      <c r="A663" s="18" t="str">
        <f>HYPERLINK("https://otsuka-europe-crm.veevavault.com/ui/#object/account__v/V4TZ06G6O71T8JH", "JOSE MANUEL HERRERO MARFIL")</f>
        <v>JOSE MANUEL HERRERO MARFIL</v>
      </c>
      <c r="B663" s="18" t="str">
        <f>HYPERLINK("https://otsuka-europe-crm.veevavault.com/ui/#object/vcountry__v/VENZ000004SONF5", "ES")</f>
        <v>ES</v>
      </c>
      <c r="C663" s="20" t="s">
        <v>39</v>
      </c>
      <c r="D663" s="21" t="str">
        <f>HYPERLINK("https://otsuka-europe-crm.veevavault.com/ui/#object/approved_document__v/V5O00000001R002", "Programa X Jornada UHB")</f>
        <v>Programa X Jornada UHB</v>
      </c>
      <c r="E663" s="22" t="str">
        <f>HYPERLINK("https://otsuka-europe-crm.veevavault.com/ui/#object/sent_email__v/VBL00000002Y382", "SE-001439146")</f>
        <v>SE-001439146</v>
      </c>
      <c r="F663" s="25">
        <v>46204.528773148151</v>
      </c>
      <c r="G663" s="24">
        <v>1</v>
      </c>
      <c r="H663" s="24">
        <v>1</v>
      </c>
      <c r="I663" s="24">
        <v>0</v>
      </c>
      <c r="J663" s="23"/>
      <c r="K663" s="24">
        <v>0</v>
      </c>
      <c r="L663" s="22" t="str">
        <f>HYPERLINK("https://otsuka-europe-crm.veevavault.com/ui/#object/approved_document__v/V5O00000001R002", "Programa X Jornada UHB")</f>
        <v>Programa X Jornada UHB</v>
      </c>
      <c r="M663" s="22" t="str">
        <f>HYPERLINK("mailto:sruiz@crm.otsuka-europe.com", "sruiz@crm.otsuka-europe.com")</f>
        <v>sruiz@crm.otsuka-europe.com</v>
      </c>
      <c r="N663" s="25">
        <v>46204.480057870373</v>
      </c>
      <c r="O663" s="14" t="str">
        <f>HYPERLINK("https://otsuka-europe-crm.veevavault.com/ui/#object/email_activity__v/V8C000000041833", "EN-002101375")</f>
        <v>EN-002101375</v>
      </c>
    </row>
    <row r="664" spans="1:15" ht="16" x14ac:dyDescent="0.2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4" t="str">
        <f>HYPERLINK("https://otsuka-europe-crm.veevavault.com/ui/#object/email_activity__v/V8C000000042920", "EN-002101417")</f>
        <v>EN-002101417</v>
      </c>
    </row>
    <row r="665" spans="1:15" ht="16" x14ac:dyDescent="0.2">
      <c r="A665" s="18" t="str">
        <f>HYPERLINK("https://otsuka-europe-crm.veevavault.com/ui/#object/account__v/V4TZ06G6O71UQQW", "JAVIER MACHUCA SICILIA")</f>
        <v>JAVIER MACHUCA SICILIA</v>
      </c>
      <c r="B665" s="18" t="str">
        <f>HYPERLINK("https://otsuka-europe-crm.veevavault.com/ui/#object/vcountry__v/VENZ000004SONF5", "ES")</f>
        <v>ES</v>
      </c>
      <c r="C665" s="20" t="s">
        <v>39</v>
      </c>
      <c r="D665" s="21" t="str">
        <f>HYPERLINK("https://otsuka-europe-crm.veevavault.com/ui/#object/approved_document__v/V5O00000001R002", "Programa X Jornada UHB")</f>
        <v>Programa X Jornada UHB</v>
      </c>
      <c r="E665" s="22" t="str">
        <f>HYPERLINK("https://otsuka-europe-crm.veevavault.com/ui/#object/sent_email__v/VBL00000002Y383", "SE-001439147")</f>
        <v>SE-001439147</v>
      </c>
      <c r="F665" s="23"/>
      <c r="G665" s="24">
        <v>0</v>
      </c>
      <c r="H665" s="24">
        <v>0</v>
      </c>
      <c r="I665" s="24">
        <v>0</v>
      </c>
      <c r="J665" s="23"/>
      <c r="K665" s="24">
        <v>0</v>
      </c>
      <c r="L665" s="22" t="str">
        <f>HYPERLINK("https://otsuka-europe-crm.veevavault.com/ui/#object/approved_document__v/V5O00000001R002", "Programa X Jornada UHB")</f>
        <v>Programa X Jornada UHB</v>
      </c>
      <c r="M665" s="22" t="str">
        <f>HYPERLINK("mailto:sruiz@crm.otsuka-europe.com", "sruiz@crm.otsuka-europe.com")</f>
        <v>sruiz@crm.otsuka-europe.com</v>
      </c>
      <c r="N665" s="25">
        <v>46204.480057870373</v>
      </c>
      <c r="O665" s="14" t="str">
        <f>HYPERLINK("https://otsuka-europe-crm.veevavault.com/ui/#object/email_activity__v/V8C000000041836", "EN-002101380")</f>
        <v>EN-002101380</v>
      </c>
    </row>
    <row r="666" spans="1:15" ht="16" x14ac:dyDescent="0.2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4" t="str">
        <f>HYPERLINK("https://otsuka-europe-crm.veevavault.com/ui/#object/email_activity__v/V8C000000043092", "EN-002101707")</f>
        <v>EN-002101707</v>
      </c>
    </row>
    <row r="667" spans="1:15" ht="16" x14ac:dyDescent="0.2">
      <c r="A667" s="18" t="str">
        <f>HYPERLINK("https://otsuka-europe-crm.veevavault.com/ui/#object/account__v/V4TZ06G6O71T88R", "CARLOS GOMEZ SANCHEZ-LAFUENTE")</f>
        <v>CARLOS GOMEZ SANCHEZ-LAFUENTE</v>
      </c>
      <c r="B667" s="18" t="str">
        <f>HYPERLINK("https://otsuka-europe-crm.veevavault.com/ui/#object/vcountry__v/VENZ000004SONF5", "ES")</f>
        <v>ES</v>
      </c>
      <c r="C667" s="20" t="s">
        <v>39</v>
      </c>
      <c r="D667" s="21" t="str">
        <f>HYPERLINK("https://otsuka-europe-crm.veevavault.com/ui/#object/approved_document__v/V5O00000001R002", "Programa X Jornada UHB")</f>
        <v>Programa X Jornada UHB</v>
      </c>
      <c r="E667" s="22" t="str">
        <f>HYPERLINK("https://otsuka-europe-crm.veevavault.com/ui/#object/sent_email__v/VBL00000002Y384", "SE-001439148")</f>
        <v>SE-001439148</v>
      </c>
      <c r="F667" s="25">
        <v>46205.212222222224</v>
      </c>
      <c r="G667" s="24">
        <v>1</v>
      </c>
      <c r="H667" s="24">
        <v>1</v>
      </c>
      <c r="I667" s="24">
        <v>0</v>
      </c>
      <c r="J667" s="23"/>
      <c r="K667" s="24">
        <v>0</v>
      </c>
      <c r="L667" s="22" t="str">
        <f>HYPERLINK("https://otsuka-europe-crm.veevavault.com/ui/#object/approved_document__v/V5O00000001R002", "Programa X Jornada UHB")</f>
        <v>Programa X Jornada UHB</v>
      </c>
      <c r="M667" s="22" t="str">
        <f>HYPERLINK("mailto:sruiz@crm.otsuka-europe.com", "sruiz@crm.otsuka-europe.com")</f>
        <v>sruiz@crm.otsuka-europe.com</v>
      </c>
      <c r="N667" s="25">
        <v>46204.480057870373</v>
      </c>
      <c r="O667" s="14" t="str">
        <f>HYPERLINK("https://otsuka-europe-crm.veevavault.com/ui/#object/email_activity__v/V8C000000041838", "EN-002101384")</f>
        <v>EN-002101384</v>
      </c>
    </row>
    <row r="668" spans="1:15" ht="16" x14ac:dyDescent="0.2">
      <c r="A668" s="19"/>
      <c r="B668" s="19"/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4" t="str">
        <f>HYPERLINK("https://otsuka-europe-crm.veevavault.com/ui/#object/email_activity__v/V8C000000043005", "EN-002101569")</f>
        <v>EN-002101569</v>
      </c>
    </row>
    <row r="669" spans="1:15" ht="16" x14ac:dyDescent="0.2">
      <c r="A669" s="18" t="str">
        <f>HYPERLINK("https://otsuka-europe-crm.veevavault.com/ui/#object/account__v/V4TZ06G6O71TAWZ", "CHRISTOPHER MELENDEZ GARCIA")</f>
        <v>CHRISTOPHER MELENDEZ GARCIA</v>
      </c>
      <c r="B669" s="18" t="str">
        <f>HYPERLINK("https://otsuka-europe-crm.veevavault.com/ui/#object/vcountry__v/VENZ000004SONF5", "ES")</f>
        <v>ES</v>
      </c>
      <c r="C669" s="20" t="s">
        <v>39</v>
      </c>
      <c r="D669" s="21" t="str">
        <f>HYPERLINK("https://otsuka-europe-crm.veevavault.com/ui/#object/approved_document__v/V5O00000001R002", "Programa X Jornada UHB")</f>
        <v>Programa X Jornada UHB</v>
      </c>
      <c r="E669" s="22" t="str">
        <f>HYPERLINK("https://otsuka-europe-crm.veevavault.com/ui/#object/sent_email__v/VBL00000002Y385", "SE-001439149")</f>
        <v>SE-001439149</v>
      </c>
      <c r="F669" s="25">
        <v>46204.480219907404</v>
      </c>
      <c r="G669" s="24">
        <v>1</v>
      </c>
      <c r="H669" s="24">
        <v>1</v>
      </c>
      <c r="I669" s="24">
        <v>1</v>
      </c>
      <c r="J669" s="25">
        <v>46204.535057870373</v>
      </c>
      <c r="K669" s="24">
        <v>2</v>
      </c>
      <c r="L669" s="22" t="str">
        <f>HYPERLINK("https://otsuka-europe-crm.veevavault.com/ui/#object/approved_document__v/V5O00000001R002", "Programa X Jornada UHB")</f>
        <v>Programa X Jornada UHB</v>
      </c>
      <c r="M669" s="22" t="str">
        <f>HYPERLINK("mailto:sruiz@crm.otsuka-europe.com", "sruiz@crm.otsuka-europe.com")</f>
        <v>sruiz@crm.otsuka-europe.com</v>
      </c>
      <c r="N669" s="25">
        <v>46204.480057870373</v>
      </c>
      <c r="O669" s="14" t="str">
        <f>HYPERLINK("https://otsuka-europe-crm.veevavault.com/ui/#object/email_activity__v/V8C000000041848", "EN-002101418")</f>
        <v>EN-002101418</v>
      </c>
    </row>
    <row r="670" spans="1:15" ht="16" x14ac:dyDescent="0.2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14" t="str">
        <f>HYPERLINK("https://otsuka-europe-crm.veevavault.com/ui/#object/email_activity__v/V8C000000041849", "EN-002101419")</f>
        <v>EN-002101419</v>
      </c>
    </row>
    <row r="671" spans="1:15" ht="16" x14ac:dyDescent="0.2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14" t="str">
        <f>HYPERLINK("https://otsuka-europe-crm.veevavault.com/ui/#object/email_activity__v/V8C000000041854", "EN-002101430")</f>
        <v>EN-002101430</v>
      </c>
    </row>
    <row r="672" spans="1:15" ht="16" x14ac:dyDescent="0.2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14" t="str">
        <f>HYPERLINK("https://otsuka-europe-crm.veevavault.com/ui/#object/email_activity__v/V8C000000041858", "EN-002101434")</f>
        <v>EN-002101434</v>
      </c>
    </row>
    <row r="673" spans="1:15" ht="16" x14ac:dyDescent="0.2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14" t="str">
        <f>HYPERLINK("https://otsuka-europe-crm.veevavault.com/ui/#object/email_activity__v/V8C000000042895", "EN-002101381")</f>
        <v>EN-002101381</v>
      </c>
    </row>
    <row r="674" spans="1:15" ht="16" x14ac:dyDescent="0.2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14" t="str">
        <f>HYPERLINK("https://otsuka-europe-crm.veevavault.com/ui/#object/email_activity__v/V8C000000042897", "EN-002101387")</f>
        <v>EN-002101387</v>
      </c>
    </row>
    <row r="675" spans="1:15" ht="16" x14ac:dyDescent="0.2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14" t="str">
        <f>HYPERLINK("https://otsuka-europe-crm.veevavault.com/ui/#object/email_activity__v/V8C000000042923", "EN-002101425")</f>
        <v>EN-002101425</v>
      </c>
    </row>
    <row r="676" spans="1:15" ht="16" x14ac:dyDescent="0.2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14" t="str">
        <f>HYPERLINK("https://otsuka-europe-crm.veevavault.com/ui/#object/email_activity__v/V8C000000042968", "EN-002101507")</f>
        <v>EN-002101507</v>
      </c>
    </row>
    <row r="677" spans="1:15" ht="16" x14ac:dyDescent="0.2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/>
      <c r="N677" s="19"/>
      <c r="O677" s="14" t="str">
        <f>HYPERLINK("https://otsuka-europe-crm.veevavault.com/ui/#object/email_activity__v/V8C00000004D453", "EN-002108988")</f>
        <v>EN-002108988</v>
      </c>
    </row>
    <row r="678" spans="1:15" ht="16" x14ac:dyDescent="0.2">
      <c r="A678" s="18" t="str">
        <f>HYPERLINK("https://otsuka-europe-crm.veevavault.com/ui/#object/account__v/V4TZ025E85NQQYW", "ESTHER GARCIA FERNANDEZ")</f>
        <v>ESTHER GARCIA FERNANDEZ</v>
      </c>
      <c r="B678" s="18" t="str">
        <f>HYPERLINK("https://otsuka-europe-crm.veevavault.com/ui/#object/vcountry__v/VENZ000004SONF5", "ES")</f>
        <v>ES</v>
      </c>
      <c r="C678" s="20" t="s">
        <v>39</v>
      </c>
      <c r="D678" s="21" t="str">
        <f>HYPERLINK("https://otsuka-europe-crm.veevavault.com/ui/#object/approved_document__v/V5O00000001R002", "Programa X Jornada UHB")</f>
        <v>Programa X Jornada UHB</v>
      </c>
      <c r="E678" s="22" t="str">
        <f>HYPERLINK("https://otsuka-europe-crm.veevavault.com/ui/#object/sent_email__v/VBL00000002Y386", "SE-001439150")</f>
        <v>SE-001439150</v>
      </c>
      <c r="F678" s="25">
        <v>46204.869895833333</v>
      </c>
      <c r="G678" s="24">
        <v>1</v>
      </c>
      <c r="H678" s="24">
        <v>1</v>
      </c>
      <c r="I678" s="24">
        <v>0</v>
      </c>
      <c r="J678" s="23"/>
      <c r="K678" s="24">
        <v>0</v>
      </c>
      <c r="L678" s="22" t="str">
        <f>HYPERLINK("https://otsuka-europe-crm.veevavault.com/ui/#object/approved_document__v/V5O00000001R002", "Programa X Jornada UHB")</f>
        <v>Programa X Jornada UHB</v>
      </c>
      <c r="M678" s="22" t="str">
        <f>HYPERLINK("mailto:sruiz@crm.otsuka-europe.com", "sruiz@crm.otsuka-europe.com")</f>
        <v>sruiz@crm.otsuka-europe.com</v>
      </c>
      <c r="N678" s="25">
        <v>46204.480057870373</v>
      </c>
      <c r="O678" s="14" t="str">
        <f>HYPERLINK("https://otsuka-europe-crm.veevavault.com/ui/#object/email_activity__v/V8C000000041915", "EN-002101549")</f>
        <v>EN-002101549</v>
      </c>
    </row>
    <row r="679" spans="1:15" ht="16" x14ac:dyDescent="0.2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/>
      <c r="N679" s="19"/>
      <c r="O679" s="14" t="str">
        <f>HYPERLINK("https://otsuka-europe-crm.veevavault.com/ui/#object/email_activity__v/V8C000000042893", "EN-002101378")</f>
        <v>EN-002101378</v>
      </c>
    </row>
    <row r="680" spans="1:15" ht="16" x14ac:dyDescent="0.2">
      <c r="A680" s="18" t="str">
        <f>HYPERLINK("https://otsuka-europe-crm.veevavault.com/ui/#object/account__v/V4TZ025E86JQC7Z", "CRISTINA ILIE")</f>
        <v>CRISTINA ILIE</v>
      </c>
      <c r="B680" s="18" t="str">
        <f>HYPERLINK("https://otsuka-europe-crm.veevavault.com/ui/#object/vcountry__v/VENZ000004SONF5", "ES")</f>
        <v>ES</v>
      </c>
      <c r="C680" s="20" t="s">
        <v>39</v>
      </c>
      <c r="D680" s="21" t="str">
        <f>HYPERLINK("https://otsuka-europe-crm.veevavault.com/ui/#object/approved_document__v/V5O00000001R002", "Programa X Jornada UHB")</f>
        <v>Programa X Jornada UHB</v>
      </c>
      <c r="E680" s="22" t="str">
        <f>HYPERLINK("https://otsuka-europe-crm.veevavault.com/ui/#object/sent_email__v/VBL00000002Y387", "SE-001439151")</f>
        <v>SE-001439151</v>
      </c>
      <c r="F680" s="25">
        <v>46204.483194444445</v>
      </c>
      <c r="G680" s="24">
        <v>1</v>
      </c>
      <c r="H680" s="24">
        <v>1</v>
      </c>
      <c r="I680" s="24">
        <v>1</v>
      </c>
      <c r="J680" s="25">
        <v>46204.687534722223</v>
      </c>
      <c r="K680" s="24">
        <v>3</v>
      </c>
      <c r="L680" s="22" t="str">
        <f>HYPERLINK("https://otsuka-europe-crm.veevavault.com/ui/#object/approved_document__v/V5O00000001R002", "Programa X Jornada UHB")</f>
        <v>Programa X Jornada UHB</v>
      </c>
      <c r="M680" s="22" t="str">
        <f>HYPERLINK("mailto:sruiz@crm.otsuka-europe.com", "sruiz@crm.otsuka-europe.com")</f>
        <v>sruiz@crm.otsuka-europe.com</v>
      </c>
      <c r="N680" s="25">
        <v>46204.480057870373</v>
      </c>
      <c r="O680" s="14" t="str">
        <f>HYPERLINK("https://otsuka-europe-crm.veevavault.com/ui/#object/email_activity__v/V8C000000041834", "EN-002101376")</f>
        <v>EN-002101376</v>
      </c>
    </row>
    <row r="681" spans="1:15" ht="16" x14ac:dyDescent="0.2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14" t="str">
        <f>HYPERLINK("https://otsuka-europe-crm.veevavault.com/ui/#object/email_activity__v/V8C000000041888", "EN-002101486")</f>
        <v>EN-002101486</v>
      </c>
    </row>
    <row r="682" spans="1:15" ht="16" x14ac:dyDescent="0.2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14" t="str">
        <f>HYPERLINK("https://otsuka-europe-crm.veevavault.com/ui/#object/email_activity__v/V8C000000042898", "EN-002101389")</f>
        <v>EN-002101389</v>
      </c>
    </row>
    <row r="683" spans="1:15" ht="16" x14ac:dyDescent="0.2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14" t="str">
        <f>HYPERLINK("https://otsuka-europe-crm.veevavault.com/ui/#object/email_activity__v/V8C000000042899", "EN-002101388")</f>
        <v>EN-002101388</v>
      </c>
    </row>
    <row r="684" spans="1:15" ht="16" x14ac:dyDescent="0.2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14" t="str">
        <f>HYPERLINK("https://otsuka-europe-crm.veevavault.com/ui/#object/email_activity__v/V8C000000042900", "EN-002101390")</f>
        <v>EN-002101390</v>
      </c>
    </row>
    <row r="685" spans="1:15" ht="16" x14ac:dyDescent="0.2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14" t="str">
        <f>HYPERLINK("https://otsuka-europe-crm.veevavault.com/ui/#object/email_activity__v/V8C000000042911", "EN-002101407")</f>
        <v>EN-002101407</v>
      </c>
    </row>
    <row r="686" spans="1:15" ht="16" x14ac:dyDescent="0.2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14" t="str">
        <f>HYPERLINK("https://otsuka-europe-crm.veevavault.com/ui/#object/email_activity__v/V8C000000042912", "EN-002101408")</f>
        <v>EN-002101408</v>
      </c>
    </row>
    <row r="687" spans="1:15" ht="16" x14ac:dyDescent="0.2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14" t="str">
        <f>HYPERLINK("https://otsuka-europe-crm.veevavault.com/ui/#object/email_activity__v/V8C000000042967", "EN-002101506")</f>
        <v>EN-002101506</v>
      </c>
    </row>
    <row r="688" spans="1:15" ht="16" x14ac:dyDescent="0.2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14" t="str">
        <f>HYPERLINK("https://otsuka-europe-crm.veevavault.com/ui/#object/email_activity__v/V8C00000004A025", "EN-002104917")</f>
        <v>EN-002104917</v>
      </c>
    </row>
    <row r="689" spans="1:15" ht="16" x14ac:dyDescent="0.2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14" t="str">
        <f>HYPERLINK("https://otsuka-europe-crm.veevavault.com/ui/#object/email_activity__v/V8C00000004A763", "EN-002106418")</f>
        <v>EN-002106418</v>
      </c>
    </row>
    <row r="690" spans="1:15" ht="16" x14ac:dyDescent="0.2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14" t="str">
        <f>HYPERLINK("https://otsuka-europe-crm.veevavault.com/ui/#object/email_activity__v/V8C00000004B306", "EN-002107266")</f>
        <v>EN-002107266</v>
      </c>
    </row>
    <row r="691" spans="1:15" ht="16" x14ac:dyDescent="0.2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/>
      <c r="L691" s="19"/>
      <c r="M691" s="19"/>
      <c r="N691" s="19"/>
      <c r="O691" s="14" t="str">
        <f>HYPERLINK("https://otsuka-europe-crm.veevavault.com/ui/#object/email_activity__v/V8C00000004C075", "EN-002106901")</f>
        <v>EN-002106901</v>
      </c>
    </row>
    <row r="692" spans="1:15" ht="32" x14ac:dyDescent="0.2">
      <c r="A692" s="7" t="str">
        <f>HYPERLINK("https://otsuka-europe-crm.veevavault.com/ui/#object/account__v/V4TZ06G6O71TBJO", "MARIA ISABEL OSUNA CARMONA")</f>
        <v>MARIA ISABEL OSUNA CARMONA</v>
      </c>
      <c r="B692" s="7" t="str">
        <f>HYPERLINK("https://otsuka-europe-crm.veevavault.com/ui/#object/vcountry__v/VENZ000004SONF5", "ES")</f>
        <v>ES</v>
      </c>
      <c r="C692" s="8" t="s">
        <v>39</v>
      </c>
      <c r="D692" s="9" t="str">
        <f>HYPERLINK("https://otsuka-europe-crm.veevavault.com/ui/#object/approved_document__v/V5O00000001R002", "Programa X Jornada UHB")</f>
        <v>Programa X Jornada UHB</v>
      </c>
      <c r="E692" s="10" t="str">
        <f>HYPERLINK("https://otsuka-europe-crm.veevavault.com/ui/#object/sent_email__v/VBL00000002Y388", "SE-001439152")</f>
        <v>SE-001439152</v>
      </c>
      <c r="F692" s="11"/>
      <c r="G692" s="12">
        <v>0</v>
      </c>
      <c r="H692" s="12">
        <v>0</v>
      </c>
      <c r="I692" s="12">
        <v>0</v>
      </c>
      <c r="J692" s="11"/>
      <c r="K692" s="12">
        <v>0</v>
      </c>
      <c r="L692" s="10" t="str">
        <f>HYPERLINK("https://otsuka-europe-crm.veevavault.com/ui/#object/approved_document__v/V5O00000001R002", "Programa X Jornada UHB")</f>
        <v>Programa X Jornada UHB</v>
      </c>
      <c r="M692" s="10" t="str">
        <f>HYPERLINK("mailto:sruiz@crm.otsuka-europe.com", "sruiz@crm.otsuka-europe.com")</f>
        <v>sruiz@crm.otsuka-europe.com</v>
      </c>
      <c r="N692" s="13">
        <v>46204.480057870373</v>
      </c>
      <c r="O692" s="14" t="str">
        <f>HYPERLINK("https://otsuka-europe-crm.veevavault.com/ui/#object/email_activity__v/V8C000000042896", "EN-002101382")</f>
        <v>EN-002101382</v>
      </c>
    </row>
    <row r="693" spans="1:15" ht="16" x14ac:dyDescent="0.2">
      <c r="A693" s="18" t="str">
        <f>HYPERLINK("https://otsuka-europe-crm.veevavault.com/ui/#object/account__v/V4TZ06G6O71T7XT", "ALBERTO FLORES MARTINEZ")</f>
        <v>ALBERTO FLORES MARTINEZ</v>
      </c>
      <c r="B693" s="18" t="str">
        <f>HYPERLINK("https://otsuka-europe-crm.veevavault.com/ui/#object/vcountry__v/VENZ000004SONF5", "ES")</f>
        <v>ES</v>
      </c>
      <c r="C693" s="20" t="s">
        <v>39</v>
      </c>
      <c r="D693" s="21" t="str">
        <f>HYPERLINK("https://otsuka-europe-crm.veevavault.com/ui/#object/approved_document__v/V5O00000001R002", "Programa X Jornada UHB")</f>
        <v>Programa X Jornada UHB</v>
      </c>
      <c r="E693" s="22" t="str">
        <f>HYPERLINK("https://otsuka-europe-crm.veevavault.com/ui/#object/sent_email__v/VBL00000002Y389", "SE-001439153")</f>
        <v>SE-001439153</v>
      </c>
      <c r="F693" s="25">
        <v>46212.693784722222</v>
      </c>
      <c r="G693" s="24">
        <v>1</v>
      </c>
      <c r="H693" s="24">
        <v>3</v>
      </c>
      <c r="I693" s="24">
        <v>1</v>
      </c>
      <c r="J693" s="25">
        <v>46212.693854166668</v>
      </c>
      <c r="K693" s="24">
        <v>2</v>
      </c>
      <c r="L693" s="22" t="str">
        <f>HYPERLINK("https://otsuka-europe-crm.veevavault.com/ui/#object/approved_document__v/V5O00000001R002", "Programa X Jornada UHB")</f>
        <v>Programa X Jornada UHB</v>
      </c>
      <c r="M693" s="22" t="str">
        <f>HYPERLINK("mailto:sruiz@crm.otsuka-europe.com", "sruiz@crm.otsuka-europe.com")</f>
        <v>sruiz@crm.otsuka-europe.com</v>
      </c>
      <c r="N693" s="25">
        <v>46204.480057870373</v>
      </c>
      <c r="O693" s="14" t="str">
        <f>HYPERLINK("https://otsuka-europe-crm.veevavault.com/ui/#object/email_activity__v/V8C000000041835", "EN-002101377")</f>
        <v>EN-002101377</v>
      </c>
    </row>
    <row r="694" spans="1:15" ht="16" x14ac:dyDescent="0.2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14" t="str">
        <f>HYPERLINK("https://otsuka-europe-crm.veevavault.com/ui/#object/email_activity__v/V8C000000042901", "EN-002101392")</f>
        <v>EN-002101392</v>
      </c>
    </row>
    <row r="695" spans="1:15" ht="16" x14ac:dyDescent="0.2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14" t="str">
        <f>HYPERLINK("https://otsuka-europe-crm.veevavault.com/ui/#object/email_activity__v/V8C000000042902", "EN-002101391")</f>
        <v>EN-002101391</v>
      </c>
    </row>
    <row r="696" spans="1:15" ht="16" x14ac:dyDescent="0.2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14" t="str">
        <f>HYPERLINK("https://otsuka-europe-crm.veevavault.com/ui/#object/email_activity__v/V8C000000042903", "EN-002101393")</f>
        <v>EN-002101393</v>
      </c>
    </row>
    <row r="697" spans="1:15" ht="16" x14ac:dyDescent="0.2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14" t="str">
        <f>HYPERLINK("https://otsuka-europe-crm.veevavault.com/ui/#object/email_activity__v/V8C000000042907", "EN-002101403")</f>
        <v>EN-002101403</v>
      </c>
    </row>
    <row r="698" spans="1:15" ht="16" x14ac:dyDescent="0.2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14" t="str">
        <f>HYPERLINK("https://otsuka-europe-crm.veevavault.com/ui/#object/email_activity__v/V8C000000042908", "EN-002101404")</f>
        <v>EN-002101404</v>
      </c>
    </row>
    <row r="699" spans="1:15" ht="16" x14ac:dyDescent="0.2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14" t="str">
        <f>HYPERLINK("https://otsuka-europe-crm.veevavault.com/ui/#object/email_activity__v/V8C000000042909", "EN-002101405")</f>
        <v>EN-002101405</v>
      </c>
    </row>
    <row r="700" spans="1:15" ht="16" x14ac:dyDescent="0.2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14" t="str">
        <f>HYPERLINK("https://otsuka-europe-crm.veevavault.com/ui/#object/email_activity__v/V8C000000042910", "EN-002101406")</f>
        <v>EN-002101406</v>
      </c>
    </row>
    <row r="701" spans="1:15" ht="16" x14ac:dyDescent="0.2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14" t="str">
        <f>HYPERLINK("https://otsuka-europe-crm.veevavault.com/ui/#object/email_activity__v/V8C000000045388", "EN-002104110")</f>
        <v>EN-002104110</v>
      </c>
    </row>
    <row r="702" spans="1:15" ht="16" x14ac:dyDescent="0.2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14" t="str">
        <f>HYPERLINK("https://otsuka-europe-crm.veevavault.com/ui/#object/email_activity__v/V8C000000046171", "EN-002104109")</f>
        <v>EN-002104109</v>
      </c>
    </row>
    <row r="703" spans="1:15" ht="16" x14ac:dyDescent="0.2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14" t="str">
        <f>HYPERLINK("https://otsuka-europe-crm.veevavault.com/ui/#object/email_activity__v/V8C000000046183", "EN-002104130")</f>
        <v>EN-002104130</v>
      </c>
    </row>
    <row r="704" spans="1:15" ht="16" x14ac:dyDescent="0.2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14" t="str">
        <f>HYPERLINK("https://otsuka-europe-crm.veevavault.com/ui/#object/email_activity__v/V8C000000046184", "EN-002104131")</f>
        <v>EN-002104131</v>
      </c>
    </row>
    <row r="705" spans="1:15" ht="16" x14ac:dyDescent="0.2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14" t="str">
        <f>HYPERLINK("https://otsuka-europe-crm.veevavault.com/ui/#object/email_activity__v/V8C000000046185", "EN-002104132")</f>
        <v>EN-002104132</v>
      </c>
    </row>
    <row r="706" spans="1:15" ht="16" x14ac:dyDescent="0.2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/>
      <c r="L706" s="19"/>
      <c r="M706" s="19"/>
      <c r="N706" s="19"/>
      <c r="O706" s="14" t="str">
        <f>HYPERLINK("https://otsuka-europe-crm.veevavault.com/ui/#object/email_activity__v/V8C000000046186", "EN-002104133")</f>
        <v>EN-002104133</v>
      </c>
    </row>
    <row r="707" spans="1:15" ht="16" x14ac:dyDescent="0.2">
      <c r="A707" s="18" t="str">
        <f>HYPERLINK("https://otsuka-europe-crm.veevavault.com/ui/#object/account__v/V4TZ06G6O71TCEU", "EULALIO JUAN VALMISA GOMEZ DE LARA")</f>
        <v>EULALIO JUAN VALMISA GOMEZ DE LARA</v>
      </c>
      <c r="B707" s="18" t="str">
        <f>HYPERLINK("https://otsuka-europe-crm.veevavault.com/ui/#object/vcountry__v/VENZ000004SONF5", "ES")</f>
        <v>ES</v>
      </c>
      <c r="C707" s="20" t="s">
        <v>39</v>
      </c>
      <c r="D707" s="21" t="str">
        <f>HYPERLINK("https://otsuka-europe-crm.veevavault.com/ui/#object/approved_document__v/V5OZ04ASG4FWKA9", "Documento Autorizaciขn Centro Empleador")</f>
        <v>Documento Autorizaciขn Centro Empleador</v>
      </c>
      <c r="E707" s="22" t="str">
        <f>HYPERLINK("https://otsuka-europe-crm.veevavault.com/ui/#object/sent_email__v/VBL00000002Y390", "SE-001439154")</f>
        <v>SE-001439154</v>
      </c>
      <c r="F707" s="25">
        <v>46204.498078703706</v>
      </c>
      <c r="G707" s="24">
        <v>1</v>
      </c>
      <c r="H707" s="24">
        <v>2</v>
      </c>
      <c r="I707" s="24">
        <v>0</v>
      </c>
      <c r="J707" s="23"/>
      <c r="K707" s="24">
        <v>0</v>
      </c>
      <c r="L707" s="22" t="str">
        <f>HYPERLINK("https://otsuka-europe-crm.veevavault.com/ui/#object/approved_document__v/V5OZ04ASG4FWKA9", "Documento Autorizaciขn Centro Empleador")</f>
        <v>Documento Autorizaciขn Centro Empleador</v>
      </c>
      <c r="M707" s="22" t="str">
        <f>HYPERLINK("mailto:mgravan@crm.otsuka-europe.com", "mgravan@crm.otsuka-europe.com")</f>
        <v>mgravan@crm.otsuka-europe.com</v>
      </c>
      <c r="N707" s="25">
        <v>46204.494201388887</v>
      </c>
      <c r="O707" s="14" t="str">
        <f>HYPERLINK("https://otsuka-europe-crm.veevavault.com/ui/#object/email_activity__v/V8C000000041843", "EN-002101398")</f>
        <v>EN-002101398</v>
      </c>
    </row>
    <row r="708" spans="1:15" ht="16" x14ac:dyDescent="0.2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14" t="str">
        <f>HYPERLINK("https://otsuka-europe-crm.veevavault.com/ui/#object/email_activity__v/V8C000000041844", "EN-002101399")</f>
        <v>EN-002101399</v>
      </c>
    </row>
    <row r="709" spans="1:15" ht="16" x14ac:dyDescent="0.2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/>
      <c r="N709" s="19"/>
      <c r="O709" s="14" t="str">
        <f>HYPERLINK("https://otsuka-europe-crm.veevavault.com/ui/#object/email_activity__v/V8C000000042906", "EN-002101402")</f>
        <v>EN-002101402</v>
      </c>
    </row>
    <row r="710" spans="1:15" ht="16" x14ac:dyDescent="0.2">
      <c r="A710" s="18" t="str">
        <f>HYPERLINK("https://otsuka-europe-crm.veevavault.com/ui/#object/account__v/V4TZ06G6O71TCLJ", "ALICIA VIGLERIO MONTERO")</f>
        <v>ALICIA VIGLERIO MONTERO</v>
      </c>
      <c r="B710" s="18" t="str">
        <f>HYPERLINK("https://otsuka-europe-crm.veevavault.com/ui/#object/vcountry__v/VENZ000004SONF5", "ES")</f>
        <v>ES</v>
      </c>
      <c r="C710" s="20" t="s">
        <v>39</v>
      </c>
      <c r="D710" s="21" t="str">
        <f>HYPERLINK("https://otsuka-europe-crm.veevavault.com/ui/#object/approved_document__v/V5OZ04ASG4FWKA9", "Documento Autorizaciขn Centro Empleador")</f>
        <v>Documento Autorizaciขn Centro Empleador</v>
      </c>
      <c r="E710" s="22" t="str">
        <f>HYPERLINK("https://otsuka-europe-crm.veevavault.com/ui/#object/sent_email__v/VBL00000002Z433", "SE-001439155")</f>
        <v>SE-001439155</v>
      </c>
      <c r="F710" s="25">
        <v>46207.684270833335</v>
      </c>
      <c r="G710" s="24">
        <v>1</v>
      </c>
      <c r="H710" s="24">
        <v>3</v>
      </c>
      <c r="I710" s="24">
        <v>1</v>
      </c>
      <c r="J710" s="25">
        <v>46207.68440972222</v>
      </c>
      <c r="K710" s="24">
        <v>2</v>
      </c>
      <c r="L710" s="22" t="str">
        <f>HYPERLINK("https://otsuka-europe-crm.veevavault.com/ui/#object/approved_document__v/V5OZ04ASG4FWKA9", "Documento Autorizaciขn Centro Empleador")</f>
        <v>Documento Autorizaciขn Centro Empleador</v>
      </c>
      <c r="M710" s="22" t="str">
        <f>HYPERLINK("mailto:mgravan@crm.otsuka-europe.com", "mgravan@crm.otsuka-europe.com")</f>
        <v>mgravan@crm.otsuka-europe.com</v>
      </c>
      <c r="N710" s="25">
        <v>46204.494386574072</v>
      </c>
      <c r="O710" s="14" t="str">
        <f>HYPERLINK("https://otsuka-europe-crm.veevavault.com/ui/#object/email_activity__v/V8C000000041845", "EN-002101400")</f>
        <v>EN-002101400</v>
      </c>
    </row>
    <row r="711" spans="1:15" ht="16" x14ac:dyDescent="0.2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14" t="str">
        <f>HYPERLINK("https://otsuka-europe-crm.veevavault.com/ui/#object/email_activity__v/V8C000000041846", "EN-002101401")</f>
        <v>EN-002101401</v>
      </c>
    </row>
    <row r="712" spans="1:15" ht="16" x14ac:dyDescent="0.2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14" t="str">
        <f>HYPERLINK("https://otsuka-europe-crm.veevavault.com/ui/#object/email_activity__v/V8C000000041847", "EN-002101409")</f>
        <v>EN-002101409</v>
      </c>
    </row>
    <row r="713" spans="1:15" ht="16" x14ac:dyDescent="0.2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14" t="str">
        <f>HYPERLINK("https://otsuka-europe-crm.veevavault.com/ui/#object/email_activity__v/V8C000000042913", "EN-002101410")</f>
        <v>EN-002101410</v>
      </c>
    </row>
    <row r="714" spans="1:15" ht="16" x14ac:dyDescent="0.2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14" t="str">
        <f>HYPERLINK("https://otsuka-europe-crm.veevavault.com/ui/#object/email_activity__v/V8C000000042919", "EN-002101416")</f>
        <v>EN-002101416</v>
      </c>
    </row>
    <row r="715" spans="1:15" ht="16" x14ac:dyDescent="0.2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14" t="str">
        <f>HYPERLINK("https://otsuka-europe-crm.veevavault.com/ui/#object/email_activity__v/V8C000000043184", "EN-002101885")</f>
        <v>EN-002101885</v>
      </c>
    </row>
    <row r="716" spans="1:15" ht="16" x14ac:dyDescent="0.2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14" t="str">
        <f>HYPERLINK("https://otsuka-europe-crm.veevavault.com/ui/#object/email_activity__v/V8C000000043185", "EN-002101886")</f>
        <v>EN-002101886</v>
      </c>
    </row>
    <row r="717" spans="1:15" ht="16" x14ac:dyDescent="0.2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14" t="str">
        <f>HYPERLINK("https://otsuka-europe-crm.veevavault.com/ui/#object/email_activity__v/V8C000000044003", "EN-002101564")</f>
        <v>EN-002101564</v>
      </c>
    </row>
    <row r="718" spans="1:15" ht="16" x14ac:dyDescent="0.2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/>
      <c r="N718" s="19"/>
      <c r="O718" s="14" t="str">
        <f>HYPERLINK("https://otsuka-europe-crm.veevavault.com/ui/#object/email_activity__v/V8C000000049467", "EN-002105735")</f>
        <v>EN-002105735</v>
      </c>
    </row>
    <row r="719" spans="1:15" ht="16" x14ac:dyDescent="0.2">
      <c r="A719" s="18" t="str">
        <f>HYPERLINK("https://otsuka-europe-crm.veevavault.com/ui/#object/account__v/V4TZ00000633IKB", "EDOUARD HENRI GRADT")</f>
        <v>EDOUARD HENRI GRADT</v>
      </c>
      <c r="B719" s="18" t="str">
        <f>HYPERLINK("https://otsuka-europe-crm.veevavault.com/ui/#object/vcountry__v/VENZ000004SONFA", "FR")</f>
        <v>FR</v>
      </c>
      <c r="C719" s="20" t="s">
        <v>40</v>
      </c>
      <c r="D719" s="21" t="str">
        <f>HYPERLINK("https://otsuka-europe-crm.veevavault.com/ui/#object/approved_document__v/V5OZ04ASG4G02Y6", "INVITATION_VAD_2023")</f>
        <v>INVITATION_VAD_2023</v>
      </c>
      <c r="E719" s="22" t="str">
        <f>HYPERLINK("https://otsuka-europe-crm.veevavault.com/ui/#object/sent_email__v/VBL00000002Z434", "SE-001439156")</f>
        <v>SE-001439156</v>
      </c>
      <c r="F719" s="25">
        <v>46204.749189814815</v>
      </c>
      <c r="G719" s="24">
        <v>1</v>
      </c>
      <c r="H719" s="24">
        <v>3</v>
      </c>
      <c r="I719" s="24">
        <v>0</v>
      </c>
      <c r="J719" s="23"/>
      <c r="K719" s="24">
        <v>0</v>
      </c>
      <c r="L719" s="22" t="str">
        <f>HYPERLINK("https://otsuka-europe-crm.veevavault.com/ui/#object/approved_document__v/V5OZ04ASG4G02Y6", "INVITATION_VAD_2023")</f>
        <v>INVITATION_VAD_2023</v>
      </c>
      <c r="M719" s="22" t="str">
        <f>HYPERLINK("mailto:cchevalliermiserole@crm.otsuka-europe.com", "cchevalliermiserole@crm.otsuka-europe.com")</f>
        <v>cchevalliermiserole@crm.otsuka-europe.com</v>
      </c>
      <c r="N719" s="25">
        <v>46204.53628472222</v>
      </c>
      <c r="O719" s="14" t="str">
        <f>HYPERLINK("https://otsuka-europe-crm.veevavault.com/ui/#object/email_activity__v/V8C000000041853", "EN-002101426")</f>
        <v>EN-002101426</v>
      </c>
    </row>
    <row r="720" spans="1:15" ht="16" x14ac:dyDescent="0.2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14" t="str">
        <f>HYPERLINK("https://otsuka-europe-crm.veevavault.com/ui/#object/email_activity__v/V8C000000041860", "EN-002101436")</f>
        <v>EN-002101436</v>
      </c>
    </row>
    <row r="721" spans="1:15" ht="16" x14ac:dyDescent="0.2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14" t="str">
        <f>HYPERLINK("https://otsuka-europe-crm.veevavault.com/ui/#object/email_activity__v/V8C000000041902", "EN-002101522")</f>
        <v>EN-002101522</v>
      </c>
    </row>
    <row r="722" spans="1:15" ht="16" x14ac:dyDescent="0.2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/>
      <c r="N722" s="19"/>
      <c r="O722" s="14" t="str">
        <f>HYPERLINK("https://otsuka-europe-crm.veevavault.com/ui/#object/email_activity__v/V8C000000042975", "EN-002101521")</f>
        <v>EN-002101521</v>
      </c>
    </row>
    <row r="723" spans="1:15" ht="32" x14ac:dyDescent="0.2">
      <c r="A723" s="7" t="str">
        <f>HYPERLINK("https://otsuka-europe-crm.veevavault.com/ui/#object/account__v/V4T00000001W019", "Ciro Rinaldi")</f>
        <v>Ciro Rinaldi</v>
      </c>
      <c r="B723" s="7" t="str">
        <f>HYPERLINK("https://otsuka-europe-crm.veevavault.com/ui/#object/vcountry__v/VENZ000004SONFK", "GB")</f>
        <v>GB</v>
      </c>
      <c r="C723" s="8" t="s">
        <v>41</v>
      </c>
      <c r="D723" s="9" t="str">
        <f>HYPERLINK("https://otsuka-europe-crm.veevavault.com/ui/#object/approved_document__v/V5O00000000D081", "UK - Consent Email 1 Aug 25")</f>
        <v>UK - Consent Email 1 Aug 25</v>
      </c>
      <c r="E723" s="10" t="str">
        <f>HYPERLINK("https://otsuka-europe-crm.veevavault.com/ui/#object/sent_email__v/VBL00000002Z435", "SE-001439157")</f>
        <v>SE-001439157</v>
      </c>
      <c r="F723" s="11"/>
      <c r="G723" s="12">
        <v>0</v>
      </c>
      <c r="H723" s="12">
        <v>0</v>
      </c>
      <c r="I723" s="12">
        <v>0</v>
      </c>
      <c r="J723" s="11"/>
      <c r="K723" s="12">
        <v>0</v>
      </c>
      <c r="L723" s="10" t="str">
        <f>HYPERLINK("https://otsuka-europe-crm.veevavault.com/ui/#object/approved_document__v/V5O00000000D081", "UK - Consent Email 1 Aug 25")</f>
        <v>UK - Consent Email 1 Aug 25</v>
      </c>
      <c r="M723" s="10" t="str">
        <f>HYPERLINK("mailto:ldimambro@crm.otsuka-europe.com", "ldimambro@crm.otsuka-europe.com")</f>
        <v>ldimambro@crm.otsuka-europe.com</v>
      </c>
      <c r="N723" s="13">
        <v>46204.559930555559</v>
      </c>
      <c r="O723" s="14" t="str">
        <f>HYPERLINK("https://otsuka-europe-crm.veevavault.com/ui/#object/email_activity__v/V8C000000042929", "EN-002101437")</f>
        <v>EN-002101437</v>
      </c>
    </row>
    <row r="724" spans="1:15" ht="16" x14ac:dyDescent="0.2">
      <c r="A724" s="18" t="str">
        <f>HYPERLINK("https://otsuka-europe-crm.veevavault.com/ui/#object/account__v/V4T000000028063", "Gamal Sidra")</f>
        <v>Gamal Sidra</v>
      </c>
      <c r="B724" s="18" t="str">
        <f>HYPERLINK("https://otsuka-europe-crm.veevavault.com/ui/#object/vcountry__v/VENZ000004SONFK", "GB")</f>
        <v>GB</v>
      </c>
      <c r="C724" s="20" t="s">
        <v>41</v>
      </c>
      <c r="D724" s="21" t="str">
        <f>HYPERLINK("https://otsuka-europe-crm.veevavault.com/ui/#object/approved_document__v/V5OZ025E82PXJSL", "Otsuka Privacy Notice - UK (v2)")</f>
        <v>Otsuka Privacy Notice - UK (v2)</v>
      </c>
      <c r="E724" s="22" t="str">
        <f>HYPERLINK("https://otsuka-europe-crm.veevavault.com/ui/#object/sent_email__v/VBL00000002Z436", "SE-001439158")</f>
        <v>SE-001439158</v>
      </c>
      <c r="F724" s="25">
        <v>46204.678935185184</v>
      </c>
      <c r="G724" s="24">
        <v>1</v>
      </c>
      <c r="H724" s="24">
        <v>1</v>
      </c>
      <c r="I724" s="24">
        <v>0</v>
      </c>
      <c r="J724" s="23"/>
      <c r="K724" s="24">
        <v>0</v>
      </c>
      <c r="L724" s="22" t="str">
        <f>HYPERLINK("https://otsuka-europe-crm.veevavault.com/ui/#object/approved_document__v/V5OZ025E82PXJSL", "Otsuka Privacy Notice - UK (v2)")</f>
        <v>Otsuka Privacy Notice - UK (v2)</v>
      </c>
      <c r="M724" s="22" t="str">
        <f>HYPERLINK("mailto:ldimambro@crm.otsuka-europe.com", "ldimambro@crm.otsuka-europe.com")</f>
        <v>ldimambro@crm.otsuka-europe.com</v>
      </c>
      <c r="N724" s="25">
        <v>46204.594525462962</v>
      </c>
      <c r="O724" s="14" t="str">
        <f>HYPERLINK("https://otsuka-europe-crm.veevavault.com/ui/#object/email_activity__v/V8C000000041879", "EN-002101475")</f>
        <v>EN-002101475</v>
      </c>
    </row>
    <row r="725" spans="1:15" ht="16" x14ac:dyDescent="0.2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/>
      <c r="N725" s="19"/>
      <c r="O725" s="14" t="str">
        <f>HYPERLINK("https://otsuka-europe-crm.veevavault.com/ui/#object/email_activity__v/V8C000000042944", "EN-002101460")</f>
        <v>EN-002101460</v>
      </c>
    </row>
    <row r="726" spans="1:15" ht="32" x14ac:dyDescent="0.2">
      <c r="A726" s="7" t="str">
        <f>HYPERLINK("https://otsuka-europe-crm.veevavault.com/ui/#object/account__v/V4T000000028059", "JONE ALBERDI BALLINA")</f>
        <v>JONE ALBERDI BALLINA</v>
      </c>
      <c r="B726" s="7" t="str">
        <f>HYPERLINK("https://otsuka-europe-crm.veevavault.com/ui/#object/vcountry__v/VENZ000004SONF5", "ES")</f>
        <v>ES</v>
      </c>
      <c r="C726" s="8" t="s">
        <v>39</v>
      </c>
      <c r="D726" s="9" t="str">
        <f>HYPERLINK("https://otsuka-europe-crm.veevavault.com/ui/#object/approved_document__v/V5OZ06G6O6RFL1P", "ES Veeva Privacy Notice Email")</f>
        <v>ES Veeva Privacy Notice Email</v>
      </c>
      <c r="E726" s="10" t="str">
        <f>HYPERLINK("https://otsuka-europe-crm.veevavault.com/ui/#object/sent_email__v/VBL00000002Z437", "SE-001439159")</f>
        <v>SE-001439159</v>
      </c>
      <c r="F726" s="11"/>
      <c r="G726" s="12">
        <v>0</v>
      </c>
      <c r="H726" s="12">
        <v>0</v>
      </c>
      <c r="I726" s="12">
        <v>0</v>
      </c>
      <c r="J726" s="11"/>
      <c r="K726" s="12">
        <v>0</v>
      </c>
      <c r="L726" s="10" t="str">
        <f>HYPERLINK("https://otsuka-europe-crm.veevavault.com/ui/#object/approved_document__v/V5OZ06G6O6RFL1P", "ES Veeva Privacy Notice Email")</f>
        <v>ES Veeva Privacy Notice Email</v>
      </c>
      <c r="M726" s="10" t="str">
        <f>HYPERLINK("mailto:abarral@crm.otsuka-europe.com", "abarral@crm.otsuka-europe.com")</f>
        <v>abarral@crm.otsuka-europe.com</v>
      </c>
      <c r="N726" s="13">
        <v>46204.649236111109</v>
      </c>
      <c r="O726" s="14" t="str">
        <f>HYPERLINK("https://otsuka-europe-crm.veevavault.com/ui/#object/email_activity__v/V8C000000041878", "EN-002101474")</f>
        <v>EN-002101474</v>
      </c>
    </row>
    <row r="727" spans="1:15" ht="16" x14ac:dyDescent="0.2">
      <c r="A727" s="18" t="str">
        <f>HYPERLINK("https://otsuka-europe-crm.veevavault.com/ui/#object/account__v/V4TZ025E85JE48D", "VICTORIA GOMEZ DORANTES")</f>
        <v>VICTORIA GOMEZ DORANTES</v>
      </c>
      <c r="B727" s="18" t="str">
        <f>HYPERLINK("https://otsuka-europe-crm.veevavault.com/ui/#object/vcountry__v/VENZ000004SONF5", "ES")</f>
        <v>ES</v>
      </c>
      <c r="C727" s="20" t="s">
        <v>39</v>
      </c>
      <c r="D727" s="21" t="str">
        <f>HYPERLINK("https://otsuka-europe-crm.veevavault.com/ui/#object/approved_document__v/V5O00000001R002", "Programa X Jornada UHB")</f>
        <v>Programa X Jornada UHB</v>
      </c>
      <c r="E727" s="22" t="str">
        <f>HYPERLINK("https://otsuka-europe-crm.veevavault.com/ui/#object/sent_email__v/VBL00000002Y391", "SE-001439160")</f>
        <v>SE-001439160</v>
      </c>
      <c r="F727" s="25">
        <v>46216.603090277778</v>
      </c>
      <c r="G727" s="24">
        <v>1</v>
      </c>
      <c r="H727" s="24">
        <v>15</v>
      </c>
      <c r="I727" s="24">
        <v>1</v>
      </c>
      <c r="J727" s="25">
        <v>46204.812974537039</v>
      </c>
      <c r="K727" s="24">
        <v>3</v>
      </c>
      <c r="L727" s="22" t="str">
        <f>HYPERLINK("https://otsuka-europe-crm.veevavault.com/ui/#object/approved_document__v/V5O00000001R002", "Programa X Jornada UHB")</f>
        <v>Programa X Jornada UHB</v>
      </c>
      <c r="M727" s="22" t="str">
        <f>HYPERLINK("mailto:mgravan@crm.otsuka-europe.com", "mgravan@crm.otsuka-europe.com")</f>
        <v>mgravan@crm.otsuka-europe.com</v>
      </c>
      <c r="N727" s="25">
        <v>46204.686319444445</v>
      </c>
      <c r="O727" s="14" t="str">
        <f>HYPERLINK("https://otsuka-europe-crm.veevavault.com/ui/#object/email_activity__v/V8C000000041887", "EN-002101485")</f>
        <v>EN-002101485</v>
      </c>
    </row>
    <row r="728" spans="1:15" ht="16" x14ac:dyDescent="0.2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14" t="str">
        <f>HYPERLINK("https://otsuka-europe-crm.veevavault.com/ui/#object/email_activity__v/V8C000000041889", "EN-002101495")</f>
        <v>EN-002101495</v>
      </c>
    </row>
    <row r="729" spans="1:15" ht="16" x14ac:dyDescent="0.2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14" t="str">
        <f>HYPERLINK("https://otsuka-europe-crm.veevavault.com/ui/#object/email_activity__v/V8C000000041893", "EN-002101499")</f>
        <v>EN-002101499</v>
      </c>
    </row>
    <row r="730" spans="1:15" ht="16" x14ac:dyDescent="0.2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14" t="str">
        <f>HYPERLINK("https://otsuka-europe-crm.veevavault.com/ui/#object/email_activity__v/V8C000000041894", "EN-002101500")</f>
        <v>EN-002101500</v>
      </c>
    </row>
    <row r="731" spans="1:15" ht="16" x14ac:dyDescent="0.2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14" t="str">
        <f>HYPERLINK("https://otsuka-europe-crm.veevavault.com/ui/#object/email_activity__v/V8C000000041898", "EN-002101513")</f>
        <v>EN-002101513</v>
      </c>
    </row>
    <row r="732" spans="1:15" ht="16" x14ac:dyDescent="0.2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14" t="str">
        <f>HYPERLINK("https://otsuka-europe-crm.veevavault.com/ui/#object/email_activity__v/V8C000000041909", "EN-002101536")</f>
        <v>EN-002101536</v>
      </c>
    </row>
    <row r="733" spans="1:15" ht="16" x14ac:dyDescent="0.2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14" t="str">
        <f>HYPERLINK("https://otsuka-europe-crm.veevavault.com/ui/#object/email_activity__v/V8C000000041910", "EN-002101537")</f>
        <v>EN-002101537</v>
      </c>
    </row>
    <row r="734" spans="1:15" ht="16" x14ac:dyDescent="0.2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14" t="str">
        <f>HYPERLINK("https://otsuka-europe-crm.veevavault.com/ui/#object/email_activity__v/V8C000000041913", "EN-002101545")</f>
        <v>EN-002101545</v>
      </c>
    </row>
    <row r="735" spans="1:15" ht="16" x14ac:dyDescent="0.2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14" t="str">
        <f>HYPERLINK("https://otsuka-europe-crm.veevavault.com/ui/#object/email_activity__v/V8C000000042959", "EN-002101494")</f>
        <v>EN-002101494</v>
      </c>
    </row>
    <row r="736" spans="1:15" ht="16" x14ac:dyDescent="0.2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14" t="str">
        <f>HYPERLINK("https://otsuka-europe-crm.veevavault.com/ui/#object/email_activity__v/V8C000000042960", "EN-002101496")</f>
        <v>EN-002101496</v>
      </c>
    </row>
    <row r="737" spans="1:15" ht="16" x14ac:dyDescent="0.2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14" t="str">
        <f>HYPERLINK("https://otsuka-europe-crm.veevavault.com/ui/#object/email_activity__v/V8C000000042962", "EN-002101501")</f>
        <v>EN-002101501</v>
      </c>
    </row>
    <row r="738" spans="1:15" ht="16" x14ac:dyDescent="0.2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14" t="str">
        <f>HYPERLINK("https://otsuka-europe-crm.veevavault.com/ui/#object/email_activity__v/V8C000000042963", "EN-002101502")</f>
        <v>EN-002101502</v>
      </c>
    </row>
    <row r="739" spans="1:15" ht="16" x14ac:dyDescent="0.2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14" t="str">
        <f>HYPERLINK("https://otsuka-europe-crm.veevavault.com/ui/#object/email_activity__v/V8C000000042966", "EN-002101505")</f>
        <v>EN-002101505</v>
      </c>
    </row>
    <row r="740" spans="1:15" ht="16" x14ac:dyDescent="0.2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14" t="str">
        <f>HYPERLINK("https://otsuka-europe-crm.veevavault.com/ui/#object/email_activity__v/V8C000000042970", "EN-002101512")</f>
        <v>EN-002101512</v>
      </c>
    </row>
    <row r="741" spans="1:15" ht="16" x14ac:dyDescent="0.2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14" t="str">
        <f>HYPERLINK("https://otsuka-europe-crm.veevavault.com/ui/#object/email_activity__v/V8C000000042971", "EN-002101514")</f>
        <v>EN-002101514</v>
      </c>
    </row>
    <row r="742" spans="1:15" ht="16" x14ac:dyDescent="0.2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14" t="str">
        <f>HYPERLINK("https://otsuka-europe-crm.veevavault.com/ui/#object/email_activity__v/V8C000000042972", "EN-002101515")</f>
        <v>EN-002101515</v>
      </c>
    </row>
    <row r="743" spans="1:15" ht="16" x14ac:dyDescent="0.2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14" t="str">
        <f>HYPERLINK("https://otsuka-europe-crm.veevavault.com/ui/#object/email_activity__v/V8C000000042977", "EN-002101524")</f>
        <v>EN-002101524</v>
      </c>
    </row>
    <row r="744" spans="1:15" ht="16" x14ac:dyDescent="0.2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14" t="str">
        <f>HYPERLINK("https://otsuka-europe-crm.veevavault.com/ui/#object/email_activity__v/V8C000000042981", "EN-002101533")</f>
        <v>EN-002101533</v>
      </c>
    </row>
    <row r="745" spans="1:15" ht="16" x14ac:dyDescent="0.2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14" t="str">
        <f>HYPERLINK("https://otsuka-europe-crm.veevavault.com/ui/#object/email_activity__v/V8C000000042984", "EN-002101540")</f>
        <v>EN-002101540</v>
      </c>
    </row>
    <row r="746" spans="1:15" ht="16" x14ac:dyDescent="0.2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14" t="str">
        <f>HYPERLINK("https://otsuka-europe-crm.veevavault.com/ui/#object/email_activity__v/V8C000000042985", "EN-002101541")</f>
        <v>EN-002101541</v>
      </c>
    </row>
    <row r="747" spans="1:15" ht="16" x14ac:dyDescent="0.2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14" t="str">
        <f>HYPERLINK("https://otsuka-europe-crm.veevavault.com/ui/#object/email_activity__v/V8C000000042986", "EN-002101542")</f>
        <v>EN-002101542</v>
      </c>
    </row>
    <row r="748" spans="1:15" ht="16" x14ac:dyDescent="0.2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14" t="str">
        <f>HYPERLINK("https://otsuka-europe-crm.veevavault.com/ui/#object/email_activity__v/V8C000000043071", "EN-002101660")</f>
        <v>EN-002101660</v>
      </c>
    </row>
    <row r="749" spans="1:15" ht="16" x14ac:dyDescent="0.2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14" t="str">
        <f>HYPERLINK("https://otsuka-europe-crm.veevavault.com/ui/#object/email_activity__v/V8C000000049359", "EN-002105524")</f>
        <v>EN-002105524</v>
      </c>
    </row>
    <row r="750" spans="1:15" ht="16" x14ac:dyDescent="0.2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14" t="str">
        <f>HYPERLINK("https://otsuka-europe-crm.veevavault.com/ui/#object/email_activity__v/V8C00000004A299", "EN-002105523")</f>
        <v>EN-002105523</v>
      </c>
    </row>
    <row r="751" spans="1:15" ht="16" x14ac:dyDescent="0.2">
      <c r="A751" s="19"/>
      <c r="B751" s="19"/>
      <c r="C751" s="19"/>
      <c r="D751" s="19"/>
      <c r="E751" s="19"/>
      <c r="F751" s="19"/>
      <c r="G751" s="19"/>
      <c r="H751" s="19"/>
      <c r="I751" s="19"/>
      <c r="J751" s="19"/>
      <c r="K751" s="19"/>
      <c r="L751" s="19"/>
      <c r="M751" s="19"/>
      <c r="N751" s="19"/>
      <c r="O751" s="14" t="str">
        <f>HYPERLINK("https://otsuka-europe-crm.veevavault.com/ui/#object/email_activity__v/V8C00000004A638", "EN-002106188")</f>
        <v>EN-002106188</v>
      </c>
    </row>
    <row r="752" spans="1:15" ht="16" x14ac:dyDescent="0.2">
      <c r="A752" s="18" t="str">
        <f>HYPERLINK("https://otsuka-europe-crm.veevavault.com/ui/#object/account__v/V4TZ025E83XWGD2", "ISMAEL NAJIB RODRIGUEZ")</f>
        <v>ISMAEL NAJIB RODRIGUEZ</v>
      </c>
      <c r="B752" s="18" t="str">
        <f>HYPERLINK("https://otsuka-europe-crm.veevavault.com/ui/#object/vcountry__v/VENZ000004SONF5", "ES")</f>
        <v>ES</v>
      </c>
      <c r="C752" s="20" t="s">
        <v>39</v>
      </c>
      <c r="D752" s="21" t="str">
        <f>HYPERLINK("https://otsuka-europe-crm.veevavault.com/ui/#object/approved_document__v/V5O00000001R002", "Programa X Jornada UHB")</f>
        <v>Programa X Jornada UHB</v>
      </c>
      <c r="E752" s="22" t="str">
        <f>HYPERLINK("https://otsuka-europe-crm.veevavault.com/ui/#object/sent_email__v/VBL00000002Y392", "SE-001439161")</f>
        <v>SE-001439161</v>
      </c>
      <c r="F752" s="25">
        <v>46216.859513888892</v>
      </c>
      <c r="G752" s="24">
        <v>1</v>
      </c>
      <c r="H752" s="24">
        <v>3</v>
      </c>
      <c r="I752" s="24">
        <v>1</v>
      </c>
      <c r="J752" s="25">
        <v>46216.86</v>
      </c>
      <c r="K752" s="24">
        <v>2</v>
      </c>
      <c r="L752" s="22" t="str">
        <f>HYPERLINK("https://otsuka-europe-crm.veevavault.com/ui/#object/approved_document__v/V5O00000001R002", "Programa X Jornada UHB")</f>
        <v>Programa X Jornada UHB</v>
      </c>
      <c r="M752" s="22" t="str">
        <f>HYPERLINK("mailto:mgravan@crm.otsuka-europe.com", "mgravan@crm.otsuka-europe.com")</f>
        <v>mgravan@crm.otsuka-europe.com</v>
      </c>
      <c r="N752" s="25">
        <v>46204.686319444445</v>
      </c>
      <c r="O752" s="14" t="str">
        <f>HYPERLINK("https://otsuka-europe-crm.veevavault.com/ui/#object/email_activity__v/V8C000000041886", "EN-002101484")</f>
        <v>EN-002101484</v>
      </c>
    </row>
    <row r="753" spans="1:15" ht="16" x14ac:dyDescent="0.2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14" t="str">
        <f>HYPERLINK("https://otsuka-europe-crm.veevavault.com/ui/#object/email_activity__v/V8C000000041890", "EN-002101498")</f>
        <v>EN-002101498</v>
      </c>
    </row>
    <row r="754" spans="1:15" ht="16" x14ac:dyDescent="0.2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14" t="str">
        <f>HYPERLINK("https://otsuka-europe-crm.veevavault.com/ui/#object/email_activity__v/V8C000000042973", "EN-002101516")</f>
        <v>EN-002101516</v>
      </c>
    </row>
    <row r="755" spans="1:15" ht="16" x14ac:dyDescent="0.2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14" t="str">
        <f>HYPERLINK("https://otsuka-europe-crm.veevavault.com/ui/#object/email_activity__v/V8C000000042979", "EN-002101526")</f>
        <v>EN-002101526</v>
      </c>
    </row>
    <row r="756" spans="1:15" ht="16" x14ac:dyDescent="0.2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14" t="str">
        <f>HYPERLINK("https://otsuka-europe-crm.veevavault.com/ui/#object/email_activity__v/V8C000000044012", "EN-002101584")</f>
        <v>EN-002101584</v>
      </c>
    </row>
    <row r="757" spans="1:15" ht="16" x14ac:dyDescent="0.2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14" t="str">
        <f>HYPERLINK("https://otsuka-europe-crm.veevavault.com/ui/#object/email_activity__v/V8C00000004A385", "EN-002105706")</f>
        <v>EN-002105706</v>
      </c>
    </row>
    <row r="758" spans="1:15" ht="16" x14ac:dyDescent="0.2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14" t="str">
        <f>HYPERLINK("https://otsuka-europe-crm.veevavault.com/ui/#object/email_activity__v/V8C00000004A386", "EN-002105707")</f>
        <v>EN-002105707</v>
      </c>
    </row>
    <row r="759" spans="1:15" ht="16" x14ac:dyDescent="0.2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/>
      <c r="L759" s="19"/>
      <c r="M759" s="19"/>
      <c r="N759" s="19"/>
      <c r="O759" s="14" t="str">
        <f>HYPERLINK("https://otsuka-europe-crm.veevavault.com/ui/#object/email_activity__v/V8C00000004A388", "EN-002105710")</f>
        <v>EN-002105710</v>
      </c>
    </row>
    <row r="760" spans="1:15" ht="16" x14ac:dyDescent="0.2">
      <c r="A760" s="18" t="str">
        <f>HYPERLINK("https://otsuka-europe-crm.veevavault.com/ui/#object/account__v/V4TZ025E83XSK33", "PILAR LOPEZ SOLER")</f>
        <v>PILAR LOPEZ SOLER</v>
      </c>
      <c r="B760" s="18" t="str">
        <f>HYPERLINK("https://otsuka-europe-crm.veevavault.com/ui/#object/vcountry__v/VENZ000004SONF5", "ES")</f>
        <v>ES</v>
      </c>
      <c r="C760" s="20" t="s">
        <v>39</v>
      </c>
      <c r="D760" s="21" t="str">
        <f>HYPERLINK("https://otsuka-europe-crm.veevavault.com/ui/#object/approved_document__v/V5O00000001R002", "Programa X Jornada UHB")</f>
        <v>Programa X Jornada UHB</v>
      </c>
      <c r="E760" s="22" t="str">
        <f>HYPERLINK("https://otsuka-europe-crm.veevavault.com/ui/#object/sent_email__v/VBL00000002Y393", "SE-001439162")</f>
        <v>SE-001439162</v>
      </c>
      <c r="F760" s="25">
        <v>46204.716921296298</v>
      </c>
      <c r="G760" s="24">
        <v>1</v>
      </c>
      <c r="H760" s="24">
        <v>1</v>
      </c>
      <c r="I760" s="24">
        <v>0</v>
      </c>
      <c r="J760" s="23"/>
      <c r="K760" s="24">
        <v>0</v>
      </c>
      <c r="L760" s="22" t="str">
        <f>HYPERLINK("https://otsuka-europe-crm.veevavault.com/ui/#object/approved_document__v/V5O00000001R002", "Programa X Jornada UHB")</f>
        <v>Programa X Jornada UHB</v>
      </c>
      <c r="M760" s="22" t="str">
        <f>HYPERLINK("mailto:mgravan@crm.otsuka-europe.com", "mgravan@crm.otsuka-europe.com")</f>
        <v>mgravan@crm.otsuka-europe.com</v>
      </c>
      <c r="N760" s="25">
        <v>46204.686307870368</v>
      </c>
      <c r="O760" s="14" t="str">
        <f>HYPERLINK("https://otsuka-europe-crm.veevavault.com/ui/#object/email_activity__v/V8C000000041883", "EN-002101480")</f>
        <v>EN-002101480</v>
      </c>
    </row>
    <row r="761" spans="1:15" ht="16" x14ac:dyDescent="0.2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/>
      <c r="L761" s="19"/>
      <c r="M761" s="19"/>
      <c r="N761" s="19"/>
      <c r="O761" s="14" t="str">
        <f>HYPERLINK("https://otsuka-europe-crm.veevavault.com/ui/#object/email_activity__v/V8C000000041896", "EN-002101510")</f>
        <v>EN-002101510</v>
      </c>
    </row>
    <row r="762" spans="1:15" ht="16" x14ac:dyDescent="0.2">
      <c r="A762" s="18" t="str">
        <f>HYPERLINK("https://otsuka-europe-crm.veevavault.com/ui/#object/account__v/V4TZ06G6O71TA5E", "CARLOS GUTIERREZ SANTALO")</f>
        <v>CARLOS GUTIERREZ SANTALO</v>
      </c>
      <c r="B762" s="18" t="str">
        <f>HYPERLINK("https://otsuka-europe-crm.veevavault.com/ui/#object/vcountry__v/VENZ000004SONF5", "ES")</f>
        <v>ES</v>
      </c>
      <c r="C762" s="20" t="s">
        <v>39</v>
      </c>
      <c r="D762" s="21" t="str">
        <f>HYPERLINK("https://otsuka-europe-crm.veevavault.com/ui/#object/approved_document__v/V5O00000001R002", "Programa X Jornada UHB")</f>
        <v>Programa X Jornada UHB</v>
      </c>
      <c r="E762" s="22" t="str">
        <f>HYPERLINK("https://otsuka-europe-crm.veevavault.com/ui/#object/sent_email__v/VBL00000002Y394", "SE-001439163")</f>
        <v>SE-001439163</v>
      </c>
      <c r="F762" s="25">
        <v>46204.730069444442</v>
      </c>
      <c r="G762" s="24">
        <v>1</v>
      </c>
      <c r="H762" s="24">
        <v>1</v>
      </c>
      <c r="I762" s="24">
        <v>1</v>
      </c>
      <c r="J762" s="25">
        <v>46204.730266203704</v>
      </c>
      <c r="K762" s="24">
        <v>1</v>
      </c>
      <c r="L762" s="22" t="str">
        <f>HYPERLINK("https://otsuka-europe-crm.veevavault.com/ui/#object/approved_document__v/V5O00000001R002", "Programa X Jornada UHB")</f>
        <v>Programa X Jornada UHB</v>
      </c>
      <c r="M762" s="22" t="str">
        <f>HYPERLINK("mailto:mgravan@crm.otsuka-europe.com", "mgravan@crm.otsuka-europe.com")</f>
        <v>mgravan@crm.otsuka-europe.com</v>
      </c>
      <c r="N762" s="25">
        <v>46204.686319444445</v>
      </c>
      <c r="O762" s="14" t="str">
        <f>HYPERLINK("https://otsuka-europe-crm.veevavault.com/ui/#object/email_activity__v/V8C000000041885", "EN-002101482")</f>
        <v>EN-002101482</v>
      </c>
    </row>
    <row r="763" spans="1:15" ht="16" x14ac:dyDescent="0.2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14" t="str">
        <f>HYPERLINK("https://otsuka-europe-crm.veevavault.com/ui/#object/email_activity__v/V8C000000041899", "EN-002101517")</f>
        <v>EN-002101517</v>
      </c>
    </row>
    <row r="764" spans="1:15" ht="16" x14ac:dyDescent="0.2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14" t="str">
        <f>HYPERLINK("https://otsuka-europe-crm.veevavault.com/ui/#object/email_activity__v/V8C000000042974", "EN-002101518")</f>
        <v>EN-002101518</v>
      </c>
    </row>
    <row r="765" spans="1:15" ht="16" x14ac:dyDescent="0.2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/>
      <c r="L765" s="19"/>
      <c r="M765" s="19"/>
      <c r="N765" s="19"/>
      <c r="O765" s="14" t="str">
        <f>HYPERLINK("https://otsuka-europe-crm.veevavault.com/ui/#object/email_activity__v/V8C000000042978", "EN-002101525")</f>
        <v>EN-002101525</v>
      </c>
    </row>
    <row r="766" spans="1:15" ht="16" x14ac:dyDescent="0.2">
      <c r="A766" s="18" t="str">
        <f>HYPERLINK("https://otsuka-europe-crm.veevavault.com/ui/#object/account__v/V4TZ025E85AY5SL", "MARTA CENTENO SANTANA")</f>
        <v>MARTA CENTENO SANTANA</v>
      </c>
      <c r="B766" s="18" t="str">
        <f>HYPERLINK("https://otsuka-europe-crm.veevavault.com/ui/#object/vcountry__v/VENZ000004SONF5", "ES")</f>
        <v>ES</v>
      </c>
      <c r="C766" s="20" t="s">
        <v>39</v>
      </c>
      <c r="D766" s="21" t="str">
        <f>HYPERLINK("https://otsuka-europe-crm.veevavault.com/ui/#object/approved_document__v/V5O00000001R002", "Programa X Jornada UHB")</f>
        <v>Programa X Jornada UHB</v>
      </c>
      <c r="E766" s="22" t="str">
        <f>HYPERLINK("https://otsuka-europe-crm.veevavault.com/ui/#object/sent_email__v/VBL00000002Y395", "SE-001439164")</f>
        <v>SE-001439164</v>
      </c>
      <c r="F766" s="25">
        <v>46204.688414351855</v>
      </c>
      <c r="G766" s="24">
        <v>1</v>
      </c>
      <c r="H766" s="24">
        <v>2</v>
      </c>
      <c r="I766" s="24">
        <v>0</v>
      </c>
      <c r="J766" s="23"/>
      <c r="K766" s="24">
        <v>0</v>
      </c>
      <c r="L766" s="22" t="str">
        <f>HYPERLINK("https://otsuka-europe-crm.veevavault.com/ui/#object/approved_document__v/V5O00000001R002", "Programa X Jornada UHB")</f>
        <v>Programa X Jornada UHB</v>
      </c>
      <c r="M766" s="22" t="str">
        <f>HYPERLINK("mailto:mgravan@crm.otsuka-europe.com", "mgravan@crm.otsuka-europe.com")</f>
        <v>mgravan@crm.otsuka-europe.com</v>
      </c>
      <c r="N766" s="25">
        <v>46204.686342592591</v>
      </c>
      <c r="O766" s="14" t="str">
        <f>HYPERLINK("https://otsuka-europe-crm.veevavault.com/ui/#object/email_activity__v/V8C000000042951", "EN-002101483")</f>
        <v>EN-002101483</v>
      </c>
    </row>
    <row r="767" spans="1:15" ht="16" x14ac:dyDescent="0.2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14" t="str">
        <f>HYPERLINK("https://otsuka-europe-crm.veevavault.com/ui/#object/email_activity__v/V8C000000042952", "EN-002101487")</f>
        <v>EN-002101487</v>
      </c>
    </row>
    <row r="768" spans="1:15" ht="16" x14ac:dyDescent="0.2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/>
      <c r="L768" s="19"/>
      <c r="M768" s="19"/>
      <c r="N768" s="19"/>
      <c r="O768" s="14" t="str">
        <f>HYPERLINK("https://otsuka-europe-crm.veevavault.com/ui/#object/email_activity__v/V8C000000042953", "EN-002101488")</f>
        <v>EN-002101488</v>
      </c>
    </row>
    <row r="769" spans="1:15" ht="16" x14ac:dyDescent="0.2">
      <c r="A769" s="18" t="str">
        <f>HYPERLINK("https://otsuka-europe-crm.veevavault.com/ui/#object/account__v/V4TZ06G6O71TB9L", "CARMEN MORALES GOMEZ")</f>
        <v>CARMEN MORALES GOMEZ</v>
      </c>
      <c r="B769" s="18" t="str">
        <f>HYPERLINK("https://otsuka-europe-crm.veevavault.com/ui/#object/vcountry__v/VENZ000004SONF5", "ES")</f>
        <v>ES</v>
      </c>
      <c r="C769" s="20" t="s">
        <v>39</v>
      </c>
      <c r="D769" s="21" t="str">
        <f>HYPERLINK("https://otsuka-europe-crm.veevavault.com/ui/#object/approved_document__v/V5O00000001R002", "Programa X Jornada UHB")</f>
        <v>Programa X Jornada UHB</v>
      </c>
      <c r="E769" s="22" t="str">
        <f>HYPERLINK("https://otsuka-europe-crm.veevavault.com/ui/#object/sent_email__v/VBL00000002Y396", "SE-001439165")</f>
        <v>SE-001439165</v>
      </c>
      <c r="F769" s="25">
        <v>46205.567314814813</v>
      </c>
      <c r="G769" s="24">
        <v>1</v>
      </c>
      <c r="H769" s="24">
        <v>1</v>
      </c>
      <c r="I769" s="24">
        <v>1</v>
      </c>
      <c r="J769" s="25">
        <v>46205.567314814813</v>
      </c>
      <c r="K769" s="24">
        <v>1</v>
      </c>
      <c r="L769" s="22" t="str">
        <f>HYPERLINK("https://otsuka-europe-crm.veevavault.com/ui/#object/approved_document__v/V5O00000001R002", "Programa X Jornada UHB")</f>
        <v>Programa X Jornada UHB</v>
      </c>
      <c r="M769" s="22" t="str">
        <f>HYPERLINK("mailto:mgravan@crm.otsuka-europe.com", "mgravan@crm.otsuka-europe.com")</f>
        <v>mgravan@crm.otsuka-europe.com</v>
      </c>
      <c r="N769" s="25">
        <v>46204.686307870368</v>
      </c>
      <c r="O769" s="14" t="str">
        <f>HYPERLINK("https://otsuka-europe-crm.veevavault.com/ui/#object/email_activity__v/V8C000000041884", "EN-002101481")</f>
        <v>EN-002101481</v>
      </c>
    </row>
    <row r="770" spans="1:15" ht="16" x14ac:dyDescent="0.2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14" t="str">
        <f>HYPERLINK("https://otsuka-europe-crm.veevavault.com/ui/#object/email_activity__v/V8C000000044042", "EN-002101682")</f>
        <v>EN-002101682</v>
      </c>
    </row>
    <row r="771" spans="1:15" ht="16" x14ac:dyDescent="0.2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14" t="str">
        <f>HYPERLINK("https://otsuka-europe-crm.veevavault.com/ui/#object/email_activity__v/V8C000000044043", "EN-002101681")</f>
        <v>EN-002101681</v>
      </c>
    </row>
    <row r="772" spans="1:15" ht="16" x14ac:dyDescent="0.2">
      <c r="A772" s="19"/>
      <c r="B772" s="19"/>
      <c r="C772" s="19"/>
      <c r="D772" s="19"/>
      <c r="E772" s="19"/>
      <c r="F772" s="19"/>
      <c r="G772" s="19"/>
      <c r="H772" s="19"/>
      <c r="I772" s="19"/>
      <c r="J772" s="19"/>
      <c r="K772" s="19"/>
      <c r="L772" s="19"/>
      <c r="M772" s="19"/>
      <c r="N772" s="19"/>
      <c r="O772" s="14" t="str">
        <f>HYPERLINK("https://otsuka-europe-crm.veevavault.com/ui/#object/email_activity__v/V8C000000044049", "EN-002101691")</f>
        <v>EN-002101691</v>
      </c>
    </row>
    <row r="773" spans="1:15" ht="16" x14ac:dyDescent="0.2">
      <c r="A773" s="18" t="str">
        <f>HYPERLINK("https://otsuka-europe-crm.veevavault.com/ui/#object/account__v/V4TZ000006348AY", "FLORENCE REBUEL")</f>
        <v>FLORENCE REBUEL</v>
      </c>
      <c r="B773" s="18" t="str">
        <f>HYPERLINK("https://otsuka-europe-crm.veevavault.com/ui/#object/vcountry__v/VENZ000004SONFA", "FR")</f>
        <v>FR</v>
      </c>
      <c r="C773" s="20" t="s">
        <v>40</v>
      </c>
      <c r="D773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773" s="22" t="str">
        <f>HYPERLINK("https://otsuka-europe-crm.veevavault.com/ui/#object/sent_email__v/VBL00000002Z438", "SE-001439166")</f>
        <v>SE-001439166</v>
      </c>
      <c r="F773" s="25">
        <v>46233.646643518521</v>
      </c>
      <c r="G773" s="24">
        <v>1</v>
      </c>
      <c r="H773" s="24">
        <v>13</v>
      </c>
      <c r="I773" s="24">
        <v>0</v>
      </c>
      <c r="J773" s="23"/>
      <c r="K773" s="24">
        <v>0</v>
      </c>
      <c r="L773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773" s="22" t="str">
        <f>HYPERLINK("mailto:mperrin@crm.otsuka-europe.com", "mperrin@crm.otsuka-europe.com")</f>
        <v>mperrin@crm.otsuka-europe.com</v>
      </c>
      <c r="N773" s="25">
        <v>46204.68849537037</v>
      </c>
      <c r="O773" s="14" t="str">
        <f>HYPERLINK("https://otsuka-europe-crm.veevavault.com/ui/#object/email_activity__v/V8C000000042954", "EN-002101489")</f>
        <v>EN-002101489</v>
      </c>
    </row>
    <row r="774" spans="1:15" ht="16" x14ac:dyDescent="0.2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14" t="str">
        <f>HYPERLINK("https://otsuka-europe-crm.veevavault.com/ui/#object/email_activity__v/V8C000000042955", "EN-002101490")</f>
        <v>EN-002101490</v>
      </c>
    </row>
    <row r="775" spans="1:15" ht="16" x14ac:dyDescent="0.2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14" t="str">
        <f>HYPERLINK("https://otsuka-europe-crm.veevavault.com/ui/#object/email_activity__v/V8C000000042956", "EN-002101491")</f>
        <v>EN-002101491</v>
      </c>
    </row>
    <row r="776" spans="1:15" ht="16" x14ac:dyDescent="0.2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14" t="str">
        <f>HYPERLINK("https://otsuka-europe-crm.veevavault.com/ui/#object/email_activity__v/V8C000000043015", "EN-002101583")</f>
        <v>EN-002101583</v>
      </c>
    </row>
    <row r="777" spans="1:15" ht="16" x14ac:dyDescent="0.2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14" t="str">
        <f>HYPERLINK("https://otsuka-europe-crm.veevavault.com/ui/#object/email_activity__v/V8C000000043016", "EN-002101586")</f>
        <v>EN-002101586</v>
      </c>
    </row>
    <row r="778" spans="1:15" ht="16" x14ac:dyDescent="0.2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14" t="str">
        <f>HYPERLINK("https://otsuka-europe-crm.veevavault.com/ui/#object/email_activity__v/V8C000000043017", "EN-002101587")</f>
        <v>EN-002101587</v>
      </c>
    </row>
    <row r="779" spans="1:15" ht="16" x14ac:dyDescent="0.2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14" t="str">
        <f>HYPERLINK("https://otsuka-europe-crm.veevavault.com/ui/#object/email_activity__v/V8C000000043018", "EN-002101589")</f>
        <v>EN-002101589</v>
      </c>
    </row>
    <row r="780" spans="1:15" ht="16" x14ac:dyDescent="0.2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14" t="str">
        <f>HYPERLINK("https://otsuka-europe-crm.veevavault.com/ui/#object/email_activity__v/V8C000000043019", "EN-002101590")</f>
        <v>EN-002101590</v>
      </c>
    </row>
    <row r="781" spans="1:15" ht="16" x14ac:dyDescent="0.2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14" t="str">
        <f>HYPERLINK("https://otsuka-europe-crm.veevavault.com/ui/#object/email_activity__v/V8C000000043021", "EN-002101592")</f>
        <v>EN-002101592</v>
      </c>
    </row>
    <row r="782" spans="1:15" ht="16" x14ac:dyDescent="0.2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14" t="str">
        <f>HYPERLINK("https://otsuka-europe-crm.veevavault.com/ui/#object/email_activity__v/V8C000000043492", "EN-002102514")</f>
        <v>EN-002102514</v>
      </c>
    </row>
    <row r="783" spans="1:15" ht="16" x14ac:dyDescent="0.2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14" t="str">
        <f>HYPERLINK("https://otsuka-europe-crm.veevavault.com/ui/#object/email_activity__v/V8C000000044011", "EN-002101582")</f>
        <v>EN-002101582</v>
      </c>
    </row>
    <row r="784" spans="1:15" ht="16" x14ac:dyDescent="0.2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14" t="str">
        <f>HYPERLINK("https://otsuka-europe-crm.veevavault.com/ui/#object/email_activity__v/V8C000000047355", "EN-002104776")</f>
        <v>EN-002104776</v>
      </c>
    </row>
    <row r="785" spans="1:15" ht="16" x14ac:dyDescent="0.2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14" t="str">
        <f>HYPERLINK("https://otsuka-europe-crm.veevavault.com/ui/#object/email_activity__v/V8C00000004A076", "EN-002105034")</f>
        <v>EN-002105034</v>
      </c>
    </row>
    <row r="786" spans="1:15" ht="16" x14ac:dyDescent="0.2">
      <c r="A786" s="19"/>
      <c r="B786" s="19"/>
      <c r="C786" s="19"/>
      <c r="D786" s="19"/>
      <c r="E786" s="19"/>
      <c r="F786" s="19"/>
      <c r="G786" s="19"/>
      <c r="H786" s="19"/>
      <c r="I786" s="19"/>
      <c r="J786" s="19"/>
      <c r="K786" s="19"/>
      <c r="L786" s="19"/>
      <c r="M786" s="19"/>
      <c r="N786" s="19"/>
      <c r="O786" s="14" t="str">
        <f>HYPERLINK("https://otsuka-europe-crm.veevavault.com/ui/#object/email_activity__v/V8C00000004D821", "EN-002109773")</f>
        <v>EN-002109773</v>
      </c>
    </row>
    <row r="787" spans="1:15" ht="16" x14ac:dyDescent="0.2">
      <c r="A787" s="18" t="str">
        <f>HYPERLINK("https://otsuka-europe-crm.veevavault.com/ui/#object/account__v/V4TZ025E87X88G1", "ALAE EL BAGARI EL FRAOUI")</f>
        <v>ALAE EL BAGARI EL FRAOUI</v>
      </c>
      <c r="B787" s="18" t="str">
        <f>HYPERLINK("https://otsuka-europe-crm.veevavault.com/ui/#object/vcountry__v/VENZ000004SONF5", "ES")</f>
        <v>ES</v>
      </c>
      <c r="C787" s="20" t="s">
        <v>39</v>
      </c>
      <c r="D787" s="21" t="str">
        <f>HYPERLINK("https://otsuka-europe-crm.veevavault.com/ui/#object/approved_document__v/V5O00000001R002", "Programa X Jornada UHB")</f>
        <v>Programa X Jornada UHB</v>
      </c>
      <c r="E787" s="22" t="str">
        <f>HYPERLINK("https://otsuka-europe-crm.veevavault.com/ui/#object/sent_email__v/VBL00000002Z439", "SE-001439167")</f>
        <v>SE-001439167</v>
      </c>
      <c r="F787" s="25">
        <v>46210.351238425923</v>
      </c>
      <c r="G787" s="24">
        <v>1</v>
      </c>
      <c r="H787" s="24">
        <v>1</v>
      </c>
      <c r="I787" s="24">
        <v>1</v>
      </c>
      <c r="J787" s="25">
        <v>46210.351238425923</v>
      </c>
      <c r="K787" s="24">
        <v>1</v>
      </c>
      <c r="L787" s="22" t="str">
        <f>HYPERLINK("https://otsuka-europe-crm.veevavault.com/ui/#object/approved_document__v/V5O00000001R002", "Programa X Jornada UHB")</f>
        <v>Programa X Jornada UHB</v>
      </c>
      <c r="M787" s="22" t="str">
        <f>HYPERLINK("mailto:mgravan@crm.otsuka-europe.com", "mgravan@crm.otsuka-europe.com")</f>
        <v>mgravan@crm.otsuka-europe.com</v>
      </c>
      <c r="N787" s="25">
        <v>46204.690300925926</v>
      </c>
      <c r="O787" s="14" t="str">
        <f>HYPERLINK("https://otsuka-europe-crm.veevavault.com/ui/#object/email_activity__v/V8C000000042957", "EN-002101492")</f>
        <v>EN-002101492</v>
      </c>
    </row>
    <row r="788" spans="1:15" ht="16" x14ac:dyDescent="0.2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14" t="str">
        <f>HYPERLINK("https://otsuka-europe-crm.veevavault.com/ui/#object/email_activity__v/V8C000000043567", "EN-002102663")</f>
        <v>EN-002102663</v>
      </c>
    </row>
    <row r="789" spans="1:15" ht="16" x14ac:dyDescent="0.2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14" t="str">
        <f>HYPERLINK("https://otsuka-europe-crm.veevavault.com/ui/#object/email_activity__v/V8C000000043568", "EN-002102664")</f>
        <v>EN-002102664</v>
      </c>
    </row>
    <row r="790" spans="1:15" ht="16" x14ac:dyDescent="0.2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14" t="str">
        <f>HYPERLINK("https://otsuka-europe-crm.veevavault.com/ui/#object/email_activity__v/V8C000000044534", "EN-002102655")</f>
        <v>EN-002102655</v>
      </c>
    </row>
    <row r="791" spans="1:15" ht="16" x14ac:dyDescent="0.2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/>
      <c r="L791" s="19"/>
      <c r="M791" s="19"/>
      <c r="N791" s="19"/>
      <c r="O791" s="14" t="str">
        <f>HYPERLINK("https://otsuka-europe-crm.veevavault.com/ui/#object/email_activity__v/V8C000000044535", "EN-002102654")</f>
        <v>EN-002102654</v>
      </c>
    </row>
    <row r="792" spans="1:15" ht="16" x14ac:dyDescent="0.2">
      <c r="A792" s="18" t="str">
        <f>HYPERLINK("https://otsuka-europe-crm.veevavault.com/ui/#object/account__v/V4TZ025E87X8721", "SOFIA MARRON FERNANDEZ")</f>
        <v>SOFIA MARRON FERNANDEZ</v>
      </c>
      <c r="B792" s="18" t="str">
        <f>HYPERLINK("https://otsuka-europe-crm.veevavault.com/ui/#object/vcountry__v/VENZ000004SONF5", "ES")</f>
        <v>ES</v>
      </c>
      <c r="C792" s="20" t="s">
        <v>39</v>
      </c>
      <c r="D792" s="21" t="str">
        <f>HYPERLINK("https://otsuka-europe-crm.veevavault.com/ui/#object/approved_document__v/V5O00000001R002", "Programa X Jornada UHB")</f>
        <v>Programa X Jornada UHB</v>
      </c>
      <c r="E792" s="22" t="str">
        <f>HYPERLINK("https://otsuka-europe-crm.veevavault.com/ui/#object/sent_email__v/VBL00000002Z440", "SE-001439168")</f>
        <v>SE-001439168</v>
      </c>
      <c r="F792" s="25">
        <v>46205.319131944445</v>
      </c>
      <c r="G792" s="24">
        <v>1</v>
      </c>
      <c r="H792" s="24">
        <v>2</v>
      </c>
      <c r="I792" s="24">
        <v>1</v>
      </c>
      <c r="J792" s="25">
        <v>46205.344201388885</v>
      </c>
      <c r="K792" s="24">
        <v>1</v>
      </c>
      <c r="L792" s="22" t="str">
        <f>HYPERLINK("https://otsuka-europe-crm.veevavault.com/ui/#object/approved_document__v/V5O00000001R002", "Programa X Jornada UHB")</f>
        <v>Programa X Jornada UHB</v>
      </c>
      <c r="M792" s="22" t="str">
        <f>HYPERLINK("mailto:mgravan@crm.otsuka-europe.com", "mgravan@crm.otsuka-europe.com")</f>
        <v>mgravan@crm.otsuka-europe.com</v>
      </c>
      <c r="N792" s="25">
        <v>46204.690300925926</v>
      </c>
      <c r="O792" s="14" t="str">
        <f>HYPERLINK("https://otsuka-europe-crm.veevavault.com/ui/#object/email_activity__v/V8C000000041901", "EN-002101520")</f>
        <v>EN-002101520</v>
      </c>
    </row>
    <row r="793" spans="1:15" ht="16" x14ac:dyDescent="0.2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14" t="str">
        <f>HYPERLINK("https://otsuka-europe-crm.veevavault.com/ui/#object/email_activity__v/V8C000000042958", "EN-002101493")</f>
        <v>EN-002101493</v>
      </c>
    </row>
    <row r="794" spans="1:15" ht="16" x14ac:dyDescent="0.2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14" t="str">
        <f>HYPERLINK("https://otsuka-europe-crm.veevavault.com/ui/#object/email_activity__v/V8C000000043008", "EN-002101572")</f>
        <v>EN-002101572</v>
      </c>
    </row>
    <row r="795" spans="1:15" ht="16" x14ac:dyDescent="0.2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14" t="str">
        <f>HYPERLINK("https://otsuka-europe-crm.veevavault.com/ui/#object/email_activity__v/V8C000000043014", "EN-002101581")</f>
        <v>EN-002101581</v>
      </c>
    </row>
    <row r="796" spans="1:15" ht="16" x14ac:dyDescent="0.2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14" t="str">
        <f>HYPERLINK("https://otsuka-europe-crm.veevavault.com/ui/#object/email_activity__v/V8C000000043070", "EN-002101659")</f>
        <v>EN-002101659</v>
      </c>
    </row>
    <row r="797" spans="1:15" ht="16" x14ac:dyDescent="0.2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/>
      <c r="L797" s="19"/>
      <c r="M797" s="19"/>
      <c r="N797" s="19"/>
      <c r="O797" s="14" t="str">
        <f>HYPERLINK("https://otsuka-europe-crm.veevavault.com/ui/#object/email_activity__v/V8C000000044014", "EN-002101588")</f>
        <v>EN-002101588</v>
      </c>
    </row>
    <row r="798" spans="1:15" ht="32" x14ac:dyDescent="0.2">
      <c r="A798" s="7" t="str">
        <f>HYPERLINK("https://otsuka-europe-crm.veevavault.com/ui/#object/account__v/V4T000000028052", "REBECCA CEZZA")</f>
        <v>REBECCA CEZZA</v>
      </c>
      <c r="B798" s="7" t="str">
        <f>HYPERLINK("https://otsuka-europe-crm.veevavault.com/ui/#object/vcountry__v/VENZ000004SONFQ", "IT")</f>
        <v>IT</v>
      </c>
      <c r="C798" s="8" t="s">
        <v>42</v>
      </c>
      <c r="D798" s="9" t="str">
        <f>HYPERLINK("https://otsuka-europe-crm.veevavault.com/ui/#object/approved_document__v/V5OZ06G6O6RG2EV", "IT Veeva Privacy Notice Email")</f>
        <v>IT Veeva Privacy Notice Email</v>
      </c>
      <c r="E798" s="10" t="str">
        <f>HYPERLINK("https://otsuka-europe-crm.veevavault.com/ui/#object/sent_email__v/VBL00000002Y397", "SE-001439169")</f>
        <v>SE-001439169</v>
      </c>
      <c r="F798" s="11"/>
      <c r="G798" s="12">
        <v>0</v>
      </c>
      <c r="H798" s="12">
        <v>0</v>
      </c>
      <c r="I798" s="12">
        <v>0</v>
      </c>
      <c r="J798" s="11"/>
      <c r="K798" s="12">
        <v>0</v>
      </c>
      <c r="L798" s="10" t="str">
        <f>HYPERLINK("https://otsuka-europe-crm.veevavault.com/ui/#object/approved_document__v/V5OZ06G6O6RG2EV", "IT Veeva Privacy Notice Email")</f>
        <v>IT Veeva Privacy Notice Email</v>
      </c>
      <c r="M798" s="10" t="str">
        <f>HYPERLINK("mailto:laura.mallia@crm.otsuka-europe.com", "laura.mallia@crm.otsuka-europe.com")</f>
        <v>laura.mallia@crm.otsuka-europe.com</v>
      </c>
      <c r="N798" s="13">
        <v>46204.716168981482</v>
      </c>
      <c r="O798" s="14" t="str">
        <f>HYPERLINK("https://otsuka-europe-crm.veevavault.com/ui/#object/email_activity__v/V8C000000042969", "EN-002101508")</f>
        <v>EN-002101508</v>
      </c>
    </row>
    <row r="799" spans="1:15" ht="16" x14ac:dyDescent="0.2">
      <c r="A799" s="18" t="str">
        <f>HYPERLINK("https://otsuka-europe-crm.veevavault.com/ui/#object/account__v/V4TZ00000633IKB", "EDOUARD HENRI GRADT")</f>
        <v>EDOUARD HENRI GRADT</v>
      </c>
      <c r="B799" s="18" t="str">
        <f>HYPERLINK("https://otsuka-europe-crm.veevavault.com/ui/#object/vcountry__v/VENZ000004SONFA", "FR")</f>
        <v>FR</v>
      </c>
      <c r="C799" s="20" t="s">
        <v>40</v>
      </c>
      <c r="D799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799" s="22" t="str">
        <f>HYPERLINK("https://otsuka-europe-crm.veevavault.com/ui/#object/sent_email__v/VBL00000002Y398", "SE-001439170")</f>
        <v>SE-001439170</v>
      </c>
      <c r="F799" s="25">
        <v>46205.64439814815</v>
      </c>
      <c r="G799" s="24">
        <v>1</v>
      </c>
      <c r="H799" s="24">
        <v>1</v>
      </c>
      <c r="I799" s="24">
        <v>0</v>
      </c>
      <c r="J799" s="23"/>
      <c r="K799" s="24">
        <v>0</v>
      </c>
      <c r="L799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799" s="22" t="str">
        <f>HYPERLINK("mailto:cchevalliermiserole@crm.otsuka-europe.com", "cchevalliermiserole@crm.otsuka-europe.com")</f>
        <v>cchevalliermiserole@crm.otsuka-europe.com</v>
      </c>
      <c r="N799" s="25">
        <v>46204.840405092589</v>
      </c>
      <c r="O799" s="14" t="str">
        <f>HYPERLINK("https://otsuka-europe-crm.veevavault.com/ui/#object/email_activity__v/V8C000000042988", "EN-002101546")</f>
        <v>EN-002101546</v>
      </c>
    </row>
    <row r="800" spans="1:15" ht="16" x14ac:dyDescent="0.2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/>
      <c r="L800" s="19"/>
      <c r="M800" s="19"/>
      <c r="N800" s="19"/>
      <c r="O800" s="14" t="str">
        <f>HYPERLINK("https://otsuka-europe-crm.veevavault.com/ui/#object/email_activity__v/V8C000000044052", "EN-002101695")</f>
        <v>EN-002101695</v>
      </c>
    </row>
    <row r="801" spans="1:15" ht="16" x14ac:dyDescent="0.2">
      <c r="A801" s="18" t="str">
        <f>HYPERLINK("https://otsuka-europe-crm.veevavault.com/ui/#object/account__v/V4TZ00000633IKB", "EDOUARD HENRI GRADT")</f>
        <v>EDOUARD HENRI GRADT</v>
      </c>
      <c r="B801" s="18" t="str">
        <f>HYPERLINK("https://otsuka-europe-crm.veevavault.com/ui/#object/vcountry__v/VENZ000004SONFA", "FR")</f>
        <v>FR</v>
      </c>
      <c r="C801" s="20" t="s">
        <v>40</v>
      </c>
      <c r="D801" s="21" t="str">
        <f>HYPERLINK("https://otsuka-europe-crm.veevavault.com/ui/#object/approved_document__v/V5OZ04ASG4G02Y7", "REMERCIEMENTS_VAD_2023")</f>
        <v>REMERCIEMENTS_VAD_2023</v>
      </c>
      <c r="E801" s="22" t="str">
        <f>HYPERLINK("https://otsuka-europe-crm.veevavault.com/ui/#object/sent_email__v/VBL00000002Y399", "SE-001439171")</f>
        <v>SE-001439171</v>
      </c>
      <c r="F801" s="25">
        <v>46205.64439814815</v>
      </c>
      <c r="G801" s="24">
        <v>1</v>
      </c>
      <c r="H801" s="24">
        <v>1</v>
      </c>
      <c r="I801" s="24">
        <v>0</v>
      </c>
      <c r="J801" s="23"/>
      <c r="K801" s="24">
        <v>0</v>
      </c>
      <c r="L801" s="22" t="str">
        <f>HYPERLINK("https://otsuka-europe-crm.veevavault.com/ui/#object/approved_document__v/V5OZ04ASG4G02Y7", "REMERCIEMENTS_VAD_2023")</f>
        <v>REMERCIEMENTS_VAD_2023</v>
      </c>
      <c r="M801" s="22" t="str">
        <f>HYPERLINK("mailto:cchevalliermiserole@crm.otsuka-europe.com", "cchevalliermiserole@crm.otsuka-europe.com")</f>
        <v>cchevalliermiserole@crm.otsuka-europe.com</v>
      </c>
      <c r="N801" s="25">
        <v>46204.750277777777</v>
      </c>
      <c r="O801" s="14" t="str">
        <f>HYPERLINK("https://otsuka-europe-crm.veevavault.com/ui/#object/email_activity__v/V8C000000042976", "EN-002101523")</f>
        <v>EN-002101523</v>
      </c>
    </row>
    <row r="802" spans="1:15" ht="16" x14ac:dyDescent="0.2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/>
      <c r="L802" s="19"/>
      <c r="M802" s="19"/>
      <c r="N802" s="19"/>
      <c r="O802" s="14" t="str">
        <f>HYPERLINK("https://otsuka-europe-crm.veevavault.com/ui/#object/email_activity__v/V8C000000044053", "EN-002101696")</f>
        <v>EN-002101696</v>
      </c>
    </row>
    <row r="803" spans="1:15" ht="16" x14ac:dyDescent="0.2">
      <c r="A803" s="18" t="str">
        <f>HYPERLINK("https://otsuka-europe-crm.veevavault.com/ui/#object/account__v/V4TZ025E86WVNQ8", "Sebastian Volc")</f>
        <v>Sebastian Volc</v>
      </c>
      <c r="B803" s="18" t="str">
        <f>HYPERLINK("https://otsuka-europe-crm.veevavault.com/ui/#object/vcountry__v/VENZ000004SONFP", "DE")</f>
        <v>DE</v>
      </c>
      <c r="C803" s="20" t="s">
        <v>43</v>
      </c>
      <c r="D803" s="21" t="str">
        <f>HYPERLINK("https://otsuka-europe-crm.veevavault.com/ui/#object/approved_document__v/V5OZ04ASG4FZ1H4", "DE - HCP Einwilligung für Remote Calls Deutschland")</f>
        <v>DE - HCP Einwilligung für Remote Calls Deutschland</v>
      </c>
      <c r="E803" s="22" t="str">
        <f>HYPERLINK("https://otsuka-europe-crm.veevavault.com/ui/#object/sent_email__v/VBL000000030001", "SE-001439172")</f>
        <v>SE-001439172</v>
      </c>
      <c r="F803" s="25">
        <v>46205.70003472222</v>
      </c>
      <c r="G803" s="24">
        <v>1</v>
      </c>
      <c r="H803" s="24">
        <v>1</v>
      </c>
      <c r="I803" s="24">
        <v>1</v>
      </c>
      <c r="J803" s="25">
        <v>46205.70003472222</v>
      </c>
      <c r="K803" s="24">
        <v>1</v>
      </c>
      <c r="L803" s="22" t="str">
        <f>HYPERLINK("https://otsuka-europe-crm.veevavault.com/ui/#object/approved_document__v/V5OZ04ASG4FZ1H4", "DE - HCP Einwilligung für Remote Calls Deutschland")</f>
        <v>DE - HCP Einwilligung für Remote Calls Deutschland</v>
      </c>
      <c r="M803" s="22" t="str">
        <f>HYPERLINK("mailto:pstenert@crm.otsuka-europe.com", "pstenert@crm.otsuka-europe.com")</f>
        <v>pstenert@crm.otsuka-europe.com</v>
      </c>
      <c r="N803" s="25">
        <v>46205.338310185187</v>
      </c>
      <c r="O803" s="14" t="str">
        <f>HYPERLINK("https://otsuka-europe-crm.veevavault.com/ui/#object/email_activity__v/V8C000000043012", "EN-002101576")</f>
        <v>EN-002101576</v>
      </c>
    </row>
    <row r="804" spans="1:15" ht="16" x14ac:dyDescent="0.2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14" t="str">
        <f>HYPERLINK("https://otsuka-europe-crm.veevavault.com/ui/#object/email_activity__v/V8C000000044056", "EN-002101702")</f>
        <v>EN-002101702</v>
      </c>
    </row>
    <row r="805" spans="1:15" ht="16" x14ac:dyDescent="0.2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/>
      <c r="L805" s="19"/>
      <c r="M805" s="19"/>
      <c r="N805" s="19"/>
      <c r="O805" s="14" t="str">
        <f>HYPERLINK("https://otsuka-europe-crm.veevavault.com/ui/#object/email_activity__v/V8C000000044057", "EN-002101701")</f>
        <v>EN-002101701</v>
      </c>
    </row>
    <row r="806" spans="1:15" ht="16" x14ac:dyDescent="0.2">
      <c r="A806" s="18" t="str">
        <f>HYPERLINK("https://otsuka-europe-crm.veevavault.com/ui/#object/account__v/V4TZ025E86WVNQ8", "Sebastian Volc")</f>
        <v>Sebastian Volc</v>
      </c>
      <c r="B806" s="18" t="str">
        <f>HYPERLINK("https://otsuka-europe-crm.veevavault.com/ui/#object/vcountry__v/VENZ000004SONFP", "DE")</f>
        <v>DE</v>
      </c>
      <c r="C806" s="20" t="s">
        <v>43</v>
      </c>
      <c r="D806" s="21" t="str">
        <f>HYPERLINK("https://otsuka-europe-crm.veevavault.com/ui/#object/approved_document__v/V5O00000000V003", "Germany Consent Email  v4")</f>
        <v>Germany Consent Email  v4</v>
      </c>
      <c r="E806" s="22" t="str">
        <f>HYPERLINK("https://otsuka-europe-crm.veevavault.com/ui/#object/sent_email__v/VBL000000030002", "SE-001439173")</f>
        <v>SE-001439173</v>
      </c>
      <c r="F806" s="25">
        <v>46205.699837962966</v>
      </c>
      <c r="G806" s="24">
        <v>1</v>
      </c>
      <c r="H806" s="24">
        <v>1</v>
      </c>
      <c r="I806" s="24">
        <v>1</v>
      </c>
      <c r="J806" s="25">
        <v>46205.699837962966</v>
      </c>
      <c r="K806" s="24">
        <v>1</v>
      </c>
      <c r="L806" s="22" t="str">
        <f>HYPERLINK("https://otsuka-europe-crm.veevavault.com/ui/#object/approved_document__v/V5O00000000V003", "Germany Consent Email  v4")</f>
        <v>Germany Consent Email  v4</v>
      </c>
      <c r="M806" s="22" t="str">
        <f>HYPERLINK("mailto:pstenert@crm.otsuka-europe.com", "pstenert@crm.otsuka-europe.com")</f>
        <v>pstenert@crm.otsuka-europe.com</v>
      </c>
      <c r="N806" s="25">
        <v>46205.338321759256</v>
      </c>
      <c r="O806" s="14" t="str">
        <f>HYPERLINK("https://otsuka-europe-crm.veevavault.com/ui/#object/email_activity__v/V8C000000043013", "EN-002101577")</f>
        <v>EN-002101577</v>
      </c>
    </row>
    <row r="807" spans="1:15" ht="16" x14ac:dyDescent="0.2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14" t="str">
        <f>HYPERLINK("https://otsuka-europe-crm.veevavault.com/ui/#object/email_activity__v/V8C000000044054", "EN-002101700")</f>
        <v>EN-002101700</v>
      </c>
    </row>
    <row r="808" spans="1:15" ht="16" x14ac:dyDescent="0.2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/>
      <c r="N808" s="19"/>
      <c r="O808" s="14" t="str">
        <f>HYPERLINK("https://otsuka-europe-crm.veevavault.com/ui/#object/email_activity__v/V8C000000044055", "EN-002101699")</f>
        <v>EN-002101699</v>
      </c>
    </row>
    <row r="809" spans="1:15" ht="32" x14ac:dyDescent="0.2">
      <c r="A809" s="7" t="str">
        <f>HYPERLINK("https://otsuka-europe-crm.veevavault.com/ui/#object/account__v/V4T00000002A004", "Lisa Thompson")</f>
        <v>Lisa Thompson</v>
      </c>
      <c r="B809" s="7" t="str">
        <f>HYPERLINK("https://otsuka-europe-crm.veevavault.com/ui/#object/vcountry__v/VENZ000004SONFK", "GB")</f>
        <v>GB</v>
      </c>
      <c r="C809" s="8" t="s">
        <v>41</v>
      </c>
      <c r="D809" s="9" t="str">
        <f>HYPERLINK("https://otsuka-europe-crm.veevavault.com/ui/#object/approved_document__v/V5OZ025E82PXJSL", "Otsuka Privacy Notice - UK (v2)")</f>
        <v>Otsuka Privacy Notice - UK (v2)</v>
      </c>
      <c r="E809" s="10" t="str">
        <f>HYPERLINK("https://otsuka-europe-crm.veevavault.com/ui/#object/sent_email__v/VBL000000030013", "SE-001439174")</f>
        <v>SE-001439174</v>
      </c>
      <c r="F809" s="11"/>
      <c r="G809" s="12">
        <v>0</v>
      </c>
      <c r="H809" s="12">
        <v>0</v>
      </c>
      <c r="I809" s="12">
        <v>0</v>
      </c>
      <c r="J809" s="11"/>
      <c r="K809" s="12">
        <v>0</v>
      </c>
      <c r="L809" s="10" t="str">
        <f>HYPERLINK("https://otsuka-europe-crm.veevavault.com/ui/#object/approved_document__v/V5OZ025E82PXJSL", "Otsuka Privacy Notice - UK (v2)")</f>
        <v>Otsuka Privacy Notice - UK (v2)</v>
      </c>
      <c r="M809" s="10" t="str">
        <f>HYPERLINK("mailto:ldimambro@crm.otsuka-europe.com", "ldimambro@crm.otsuka-europe.com")</f>
        <v>ldimambro@crm.otsuka-europe.com</v>
      </c>
      <c r="N809" s="13">
        <v>46205.433576388888</v>
      </c>
      <c r="O809" s="14" t="str">
        <f>HYPERLINK("https://otsuka-europe-crm.veevavault.com/ui/#object/email_activity__v/V8C000000043023", "EN-002101594")</f>
        <v>EN-002101594</v>
      </c>
    </row>
    <row r="810" spans="1:15" ht="32" x14ac:dyDescent="0.2">
      <c r="A810" s="7" t="str">
        <f>HYPERLINK("https://otsuka-europe-crm.veevavault.com/ui/#object/account__v/V4TZ025E83OAJYY", "EMILIA PARDAL DE LA MANO")</f>
        <v>EMILIA PARDAL DE LA MANO</v>
      </c>
      <c r="B810" s="7" t="str">
        <f>HYPERLINK("https://otsuka-europe-crm.veevavault.com/ui/#object/vcountry__v/VENZ000004SONF5", "ES")</f>
        <v>ES</v>
      </c>
      <c r="C810" s="8" t="s">
        <v>39</v>
      </c>
      <c r="D810" s="9" t="str">
        <f>HYPERLINK("https://otsuka-europe-crm.veevavault.com/ui/#object/approved_document__v/V5O00000001R001", "INA - VAE Cierre ""Nos quedamos en Casa""")</f>
        <v>INA - VAE Cierre "Nos quedamos en Casa"</v>
      </c>
      <c r="E810" s="10" t="str">
        <f>HYPERLINK("https://otsuka-europe-crm.veevavault.com/ui/#object/sent_email__v/VBL000000031001", "SE-001439175")</f>
        <v>SE-001439175</v>
      </c>
      <c r="F810" s="11"/>
      <c r="G810" s="12">
        <v>0</v>
      </c>
      <c r="H810" s="12">
        <v>0</v>
      </c>
      <c r="I810" s="12">
        <v>0</v>
      </c>
      <c r="J810" s="11"/>
      <c r="K810" s="12">
        <v>0</v>
      </c>
      <c r="L810" s="10" t="str">
        <f>HYPERLINK("https://otsuka-europe-crm.veevavault.com/ui/#object/approved_document__v/V5O00000001R001", "INA - VAE Cierre ""Nos quedamos en Casa""")</f>
        <v>INA - VAE Cierre "Nos quedamos en Casa"</v>
      </c>
      <c r="M810" s="10" t="str">
        <f>HYPERLINK("mailto:jguri@crm.otsuka-europe.com", "jguri@crm.otsuka-europe.com")</f>
        <v>jguri@crm.otsuka-europe.com</v>
      </c>
      <c r="N810" s="13">
        <v>46205.461157407408</v>
      </c>
      <c r="O810" s="14" t="str">
        <f>HYPERLINK("https://otsuka-europe-crm.veevavault.com/ui/#object/email_activity__v/V8C000000043035", "EN-002101608")</f>
        <v>EN-002101608</v>
      </c>
    </row>
    <row r="811" spans="1:15" ht="32" x14ac:dyDescent="0.2">
      <c r="A811" s="7" t="str">
        <f>HYPERLINK("https://otsuka-europe-crm.veevavault.com/ui/#object/account__v/V4TZ025E84EDWK8", "CLARA ISABEL GONZALEZ SANTILLANA")</f>
        <v>CLARA ISABEL GONZALEZ SANTILLANA</v>
      </c>
      <c r="B811" s="7" t="str">
        <f>HYPERLINK("https://otsuka-europe-crm.veevavault.com/ui/#object/vcountry__v/VENZ000004SONF5", "ES")</f>
        <v>ES</v>
      </c>
      <c r="C811" s="8" t="s">
        <v>39</v>
      </c>
      <c r="D811" s="9" t="str">
        <f>HYPERLINK("https://otsuka-europe-crm.veevavault.com/ui/#object/approved_document__v/V5O00000001R001", "INA - VAE Cierre ""Nos quedamos en Casa""")</f>
        <v>INA - VAE Cierre "Nos quedamos en Casa"</v>
      </c>
      <c r="E811" s="10" t="str">
        <f>HYPERLINK("https://otsuka-europe-crm.veevavault.com/ui/#object/sent_email__v/VBL000000031002", "SE-001439176")</f>
        <v>SE-001439176</v>
      </c>
      <c r="F811" s="11"/>
      <c r="G811" s="12">
        <v>0</v>
      </c>
      <c r="H811" s="12">
        <v>0</v>
      </c>
      <c r="I811" s="12">
        <v>0</v>
      </c>
      <c r="J811" s="11"/>
      <c r="K811" s="12">
        <v>0</v>
      </c>
      <c r="L811" s="10" t="str">
        <f>HYPERLINK("https://otsuka-europe-crm.veevavault.com/ui/#object/approved_document__v/V5O00000001R001", "INA - VAE Cierre ""Nos quedamos en Casa""")</f>
        <v>INA - VAE Cierre "Nos quedamos en Casa"</v>
      </c>
      <c r="M811" s="10" t="str">
        <f>HYPERLINK("mailto:jguri@crm.otsuka-europe.com", "jguri@crm.otsuka-europe.com")</f>
        <v>jguri@crm.otsuka-europe.com</v>
      </c>
      <c r="N811" s="13">
        <v>46205.461134259262</v>
      </c>
      <c r="O811" s="14" t="str">
        <f>HYPERLINK("https://otsuka-europe-crm.veevavault.com/ui/#object/email_activity__v/V8C000000043030", "EN-002101603")</f>
        <v>EN-002101603</v>
      </c>
    </row>
    <row r="812" spans="1:15" ht="16" x14ac:dyDescent="0.2">
      <c r="A812" s="18" t="str">
        <f>HYPERLINK("https://otsuka-europe-crm.veevavault.com/ui/#object/account__v/V4TZ025E87JDLR2", "JUAN CARLOS VALLEJO LLAMAS")</f>
        <v>JUAN CARLOS VALLEJO LLAMAS</v>
      </c>
      <c r="B812" s="18" t="str">
        <f>HYPERLINK("https://otsuka-europe-crm.veevavault.com/ui/#object/vcountry__v/VENZ000004SONF5", "ES")</f>
        <v>ES</v>
      </c>
      <c r="C812" s="20" t="s">
        <v>39</v>
      </c>
      <c r="D812" s="21" t="str">
        <f>HYPERLINK("https://otsuka-europe-crm.veevavault.com/ui/#object/approved_document__v/V5O00000001R001", "INA - VAE Cierre ""Nos quedamos en Casa""")</f>
        <v>INA - VAE Cierre "Nos quedamos en Casa"</v>
      </c>
      <c r="E812" s="22" t="str">
        <f>HYPERLINK("https://otsuka-europe-crm.veevavault.com/ui/#object/sent_email__v/VBL000000031003", "SE-001439177")</f>
        <v>SE-001439177</v>
      </c>
      <c r="F812" s="25">
        <v>46205.461458333331</v>
      </c>
      <c r="G812" s="24">
        <v>1</v>
      </c>
      <c r="H812" s="24">
        <v>1</v>
      </c>
      <c r="I812" s="24">
        <v>0</v>
      </c>
      <c r="J812" s="23"/>
      <c r="K812" s="24">
        <v>0</v>
      </c>
      <c r="L812" s="22" t="str">
        <f>HYPERLINK("https://otsuka-europe-crm.veevavault.com/ui/#object/approved_document__v/V5O00000001R001", "INA - VAE Cierre ""Nos quedamos en Casa""")</f>
        <v>INA - VAE Cierre "Nos quedamos en Casa"</v>
      </c>
      <c r="M812" s="22" t="str">
        <f>HYPERLINK("mailto:jguri@crm.otsuka-europe.com", "jguri@crm.otsuka-europe.com")</f>
        <v>jguri@crm.otsuka-europe.com</v>
      </c>
      <c r="N812" s="25">
        <v>46205.461134259262</v>
      </c>
      <c r="O812" s="14" t="str">
        <f>HYPERLINK("https://otsuka-europe-crm.veevavault.com/ui/#object/email_activity__v/V8C000000043049", "EN-002101631")</f>
        <v>EN-002101631</v>
      </c>
    </row>
    <row r="813" spans="1:15" ht="16" x14ac:dyDescent="0.2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/>
      <c r="L813" s="19"/>
      <c r="M813" s="19"/>
      <c r="N813" s="19"/>
      <c r="O813" s="14" t="str">
        <f>HYPERLINK("https://otsuka-europe-crm.veevavault.com/ui/#object/email_activity__v/V8C000000043065", "EN-002101647")</f>
        <v>EN-002101647</v>
      </c>
    </row>
    <row r="814" spans="1:15" ht="16" x14ac:dyDescent="0.2">
      <c r="A814" s="18" t="str">
        <f>HYPERLINK("https://otsuka-europe-crm.veevavault.com/ui/#object/account__v/V4T00000001D066", "JAVIER ORTIZ MARTIN")</f>
        <v>JAVIER ORTIZ MARTIN</v>
      </c>
      <c r="B814" s="18" t="str">
        <f>HYPERLINK("https://otsuka-europe-crm.veevavault.com/ui/#object/vcountry__v/VENZ000004SONF5", "ES")</f>
        <v>ES</v>
      </c>
      <c r="C814" s="20" t="s">
        <v>39</v>
      </c>
      <c r="D814" s="21" t="str">
        <f>HYPERLINK("https://otsuka-europe-crm.veevavault.com/ui/#object/approved_document__v/V5O00000001R001", "INA - VAE Cierre ""Nos quedamos en Casa""")</f>
        <v>INA - VAE Cierre "Nos quedamos en Casa"</v>
      </c>
      <c r="E814" s="22" t="str">
        <f>HYPERLINK("https://otsuka-europe-crm.veevavault.com/ui/#object/sent_email__v/VBL000000031004", "SE-001439178")</f>
        <v>SE-001439178</v>
      </c>
      <c r="F814" s="25">
        <v>46205.481354166666</v>
      </c>
      <c r="G814" s="24">
        <v>1</v>
      </c>
      <c r="H814" s="24">
        <v>1</v>
      </c>
      <c r="I814" s="24">
        <v>0</v>
      </c>
      <c r="J814" s="23"/>
      <c r="K814" s="24">
        <v>0</v>
      </c>
      <c r="L814" s="22" t="str">
        <f>HYPERLINK("https://otsuka-europe-crm.veevavault.com/ui/#object/approved_document__v/V5O00000001R001", "INA - VAE Cierre ""Nos quedamos en Casa""")</f>
        <v>INA - VAE Cierre "Nos quedamos en Casa"</v>
      </c>
      <c r="M814" s="22" t="str">
        <f>HYPERLINK("mailto:jguri@crm.otsuka-europe.com", "jguri@crm.otsuka-europe.com")</f>
        <v>jguri@crm.otsuka-europe.com</v>
      </c>
      <c r="N814" s="25">
        <v>46205.461157407408</v>
      </c>
      <c r="O814" s="14" t="str">
        <f>HYPERLINK("https://otsuka-europe-crm.veevavault.com/ui/#object/email_activity__v/V8C000000043024", "EN-002101597")</f>
        <v>EN-002101597</v>
      </c>
    </row>
    <row r="815" spans="1:15" ht="16" x14ac:dyDescent="0.2">
      <c r="A815" s="19"/>
      <c r="B815" s="19"/>
      <c r="C815" s="19"/>
      <c r="D815" s="19"/>
      <c r="E815" s="19"/>
      <c r="F815" s="19"/>
      <c r="G815" s="19"/>
      <c r="H815" s="19"/>
      <c r="I815" s="19"/>
      <c r="J815" s="19"/>
      <c r="K815" s="19"/>
      <c r="L815" s="19"/>
      <c r="M815" s="19"/>
      <c r="N815" s="19"/>
      <c r="O815" s="14" t="str">
        <f>HYPERLINK("https://otsuka-europe-crm.veevavault.com/ui/#object/email_activity__v/V8C000000044029", "EN-002101654")</f>
        <v>EN-002101654</v>
      </c>
    </row>
    <row r="816" spans="1:15" ht="16" x14ac:dyDescent="0.2">
      <c r="A816" s="18" t="str">
        <f>HYPERLINK("https://otsuka-europe-crm.veevavault.com/ui/#object/account__v/V4TZ025E85UNO04", "LUIS MIGUEL JUAREZ SALCEDO")</f>
        <v>LUIS MIGUEL JUAREZ SALCEDO</v>
      </c>
      <c r="B816" s="18" t="str">
        <f>HYPERLINK("https://otsuka-europe-crm.veevavault.com/ui/#object/vcountry__v/VENZ000004SONF5", "ES")</f>
        <v>ES</v>
      </c>
      <c r="C816" s="20" t="s">
        <v>39</v>
      </c>
      <c r="D816" s="21" t="str">
        <f>HYPERLINK("https://otsuka-europe-crm.veevavault.com/ui/#object/approved_document__v/V5O00000001R001", "INA - VAE Cierre ""Nos quedamos en Casa""")</f>
        <v>INA - VAE Cierre "Nos quedamos en Casa"</v>
      </c>
      <c r="E816" s="22" t="str">
        <f>HYPERLINK("https://otsuka-europe-crm.veevavault.com/ui/#object/sent_email__v/VBL000000031005", "SE-001439179")</f>
        <v>SE-001439179</v>
      </c>
      <c r="F816" s="25">
        <v>46205.685208333336</v>
      </c>
      <c r="G816" s="24">
        <v>1</v>
      </c>
      <c r="H816" s="24">
        <v>4</v>
      </c>
      <c r="I816" s="24">
        <v>0</v>
      </c>
      <c r="J816" s="23"/>
      <c r="K816" s="24">
        <v>0</v>
      </c>
      <c r="L816" s="22" t="str">
        <f>HYPERLINK("https://otsuka-europe-crm.veevavault.com/ui/#object/approved_document__v/V5O00000001R001", "INA - VAE Cierre ""Nos quedamos en Casa""")</f>
        <v>INA - VAE Cierre "Nos quedamos en Casa"</v>
      </c>
      <c r="M816" s="22" t="str">
        <f>HYPERLINK("mailto:jguri@crm.otsuka-europe.com", "jguri@crm.otsuka-europe.com")</f>
        <v>jguri@crm.otsuka-europe.com</v>
      </c>
      <c r="N816" s="25">
        <v>46205.461145833331</v>
      </c>
      <c r="O816" s="14" t="str">
        <f>HYPERLINK("https://otsuka-europe-crm.veevavault.com/ui/#object/email_activity__v/V8C000000043029", "EN-002101602")</f>
        <v>EN-002101602</v>
      </c>
    </row>
    <row r="817" spans="1:15" ht="16" x14ac:dyDescent="0.2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14" t="str">
        <f>HYPERLINK("https://otsuka-europe-crm.veevavault.com/ui/#object/email_activity__v/V8C000000043059", "EN-002101641")</f>
        <v>EN-002101641</v>
      </c>
    </row>
    <row r="818" spans="1:15" ht="16" x14ac:dyDescent="0.2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14" t="str">
        <f>HYPERLINK("https://otsuka-europe-crm.veevavault.com/ui/#object/email_activity__v/V8C000000043082", "EN-002101680")</f>
        <v>EN-002101680</v>
      </c>
    </row>
    <row r="819" spans="1:15" ht="16" x14ac:dyDescent="0.2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14" t="str">
        <f>HYPERLINK("https://otsuka-europe-crm.veevavault.com/ui/#object/email_activity__v/V8C000000043088", "EN-002101698")</f>
        <v>EN-002101698</v>
      </c>
    </row>
    <row r="820" spans="1:15" ht="16" x14ac:dyDescent="0.2">
      <c r="A820" s="19"/>
      <c r="B820" s="19"/>
      <c r="C820" s="19"/>
      <c r="D820" s="19"/>
      <c r="E820" s="19"/>
      <c r="F820" s="19"/>
      <c r="G820" s="19"/>
      <c r="H820" s="19"/>
      <c r="I820" s="19"/>
      <c r="J820" s="19"/>
      <c r="K820" s="19"/>
      <c r="L820" s="19"/>
      <c r="M820" s="19"/>
      <c r="N820" s="19"/>
      <c r="O820" s="14" t="str">
        <f>HYPERLINK("https://otsuka-europe-crm.veevavault.com/ui/#object/email_activity__v/V8C000000044041", "EN-002101679")</f>
        <v>EN-002101679</v>
      </c>
    </row>
    <row r="821" spans="1:15" ht="32" x14ac:dyDescent="0.2">
      <c r="A821" s="7" t="str">
        <f>HYPERLINK("https://otsuka-europe-crm.veevavault.com/ui/#object/account__v/V4TZ025E86KXALE", "ANA SEBRANGO SADIA")</f>
        <v>ANA SEBRANGO SADIA</v>
      </c>
      <c r="B821" s="7" t="str">
        <f>HYPERLINK("https://otsuka-europe-crm.veevavault.com/ui/#object/vcountry__v/VENZ000004SONF5", "ES")</f>
        <v>ES</v>
      </c>
      <c r="C821" s="8" t="s">
        <v>39</v>
      </c>
      <c r="D821" s="9" t="str">
        <f>HYPERLINK("https://otsuka-europe-crm.veevavault.com/ui/#object/approved_document__v/V5O00000001R001", "INA - VAE Cierre ""Nos quedamos en Casa""")</f>
        <v>INA - VAE Cierre "Nos quedamos en Casa"</v>
      </c>
      <c r="E821" s="10" t="str">
        <f>HYPERLINK("https://otsuka-europe-crm.veevavault.com/ui/#object/sent_email__v/VBL000000031006", "SE-001439180")</f>
        <v>SE-001439180</v>
      </c>
      <c r="F821" s="11"/>
      <c r="G821" s="12">
        <v>0</v>
      </c>
      <c r="H821" s="12">
        <v>0</v>
      </c>
      <c r="I821" s="12">
        <v>0</v>
      </c>
      <c r="J821" s="11"/>
      <c r="K821" s="12">
        <v>0</v>
      </c>
      <c r="L821" s="10" t="str">
        <f>HYPERLINK("https://otsuka-europe-crm.veevavault.com/ui/#object/approved_document__v/V5O00000001R001", "INA - VAE Cierre ""Nos quedamos en Casa""")</f>
        <v>INA - VAE Cierre "Nos quedamos en Casa"</v>
      </c>
      <c r="M821" s="10" t="str">
        <f>HYPERLINK("mailto:jguri@crm.otsuka-europe.com", "jguri@crm.otsuka-europe.com")</f>
        <v>jguri@crm.otsuka-europe.com</v>
      </c>
      <c r="N821" s="13">
        <v>46205.461157407408</v>
      </c>
      <c r="O821" s="14" t="str">
        <f>HYPERLINK("https://otsuka-europe-crm.veevavault.com/ui/#object/email_activity__v/V8C000000043038", "EN-002101616")</f>
        <v>EN-002101616</v>
      </c>
    </row>
    <row r="822" spans="1:15" ht="32" x14ac:dyDescent="0.2">
      <c r="A822" s="7" t="str">
        <f>HYPERLINK("https://otsuka-europe-crm.veevavault.com/ui/#object/account__v/V4TZ025E861OJ62", "AIDA CALO PEREZ")</f>
        <v>AIDA CALO PEREZ</v>
      </c>
      <c r="B822" s="7" t="str">
        <f>HYPERLINK("https://otsuka-europe-crm.veevavault.com/ui/#object/vcountry__v/VENZ000004SONF5", "ES")</f>
        <v>ES</v>
      </c>
      <c r="C822" s="8" t="s">
        <v>39</v>
      </c>
      <c r="D822" s="9" t="str">
        <f>HYPERLINK("https://otsuka-europe-crm.veevavault.com/ui/#object/approved_document__v/V5O00000001R001", "INA - VAE Cierre ""Nos quedamos en Casa""")</f>
        <v>INA - VAE Cierre "Nos quedamos en Casa"</v>
      </c>
      <c r="E822" s="10" t="str">
        <f>HYPERLINK("https://otsuka-europe-crm.veevavault.com/ui/#object/sent_email__v/VBL000000031007", "SE-001439181")</f>
        <v>SE-001439181</v>
      </c>
      <c r="F822" s="11"/>
      <c r="G822" s="12">
        <v>0</v>
      </c>
      <c r="H822" s="12">
        <v>0</v>
      </c>
      <c r="I822" s="12">
        <v>0</v>
      </c>
      <c r="J822" s="11"/>
      <c r="K822" s="12">
        <v>0</v>
      </c>
      <c r="L822" s="10" t="str">
        <f>HYPERLINK("https://otsuka-europe-crm.veevavault.com/ui/#object/approved_document__v/V5O00000001R001", "INA - VAE Cierre ""Nos quedamos en Casa""")</f>
        <v>INA - VAE Cierre "Nos quedamos en Casa"</v>
      </c>
      <c r="M822" s="10" t="str">
        <f>HYPERLINK("mailto:jguri@crm.otsuka-europe.com", "jguri@crm.otsuka-europe.com")</f>
        <v>jguri@crm.otsuka-europe.com</v>
      </c>
      <c r="N822" s="13">
        <v>46205.461157407408</v>
      </c>
      <c r="O822" s="14" t="str">
        <f>HYPERLINK("https://otsuka-europe-crm.veevavault.com/ui/#object/email_activity__v/V8C000000043043", "EN-002101625")</f>
        <v>EN-002101625</v>
      </c>
    </row>
    <row r="823" spans="1:15" ht="16" x14ac:dyDescent="0.2">
      <c r="A823" s="18" t="str">
        <f>HYPERLINK("https://otsuka-europe-crm.veevavault.com/ui/#object/account__v/V4TZ025E82D5OMH", "MARIA DIEZ CAMPELO")</f>
        <v>MARIA DIEZ CAMPELO</v>
      </c>
      <c r="B823" s="18" t="str">
        <f>HYPERLINK("https://otsuka-europe-crm.veevavault.com/ui/#object/vcountry__v/VENZ000004SONF5", "ES")</f>
        <v>ES</v>
      </c>
      <c r="C823" s="20" t="s">
        <v>39</v>
      </c>
      <c r="D823" s="21" t="str">
        <f>HYPERLINK("https://otsuka-europe-crm.veevavault.com/ui/#object/approved_document__v/V5O00000001R001", "INA - VAE Cierre ""Nos quedamos en Casa""")</f>
        <v>INA - VAE Cierre "Nos quedamos en Casa"</v>
      </c>
      <c r="E823" s="22" t="str">
        <f>HYPERLINK("https://otsuka-europe-crm.veevavault.com/ui/#object/sent_email__v/VBL000000031008", "SE-001439182")</f>
        <v>SE-001439182</v>
      </c>
      <c r="F823" s="23"/>
      <c r="G823" s="24">
        <v>0</v>
      </c>
      <c r="H823" s="24">
        <v>0</v>
      </c>
      <c r="I823" s="24">
        <v>0</v>
      </c>
      <c r="J823" s="23"/>
      <c r="K823" s="24">
        <v>0</v>
      </c>
      <c r="L823" s="22" t="str">
        <f>HYPERLINK("https://otsuka-europe-crm.veevavault.com/ui/#object/approved_document__v/V5O00000001R001", "INA - VAE Cierre ""Nos quedamos en Casa""")</f>
        <v>INA - VAE Cierre "Nos quedamos en Casa"</v>
      </c>
      <c r="M823" s="22" t="str">
        <f>HYPERLINK("mailto:jguri@crm.otsuka-europe.com", "jguri@crm.otsuka-europe.com")</f>
        <v>jguri@crm.otsuka-europe.com</v>
      </c>
      <c r="N823" s="25">
        <v>46205.461157407408</v>
      </c>
      <c r="O823" s="14" t="str">
        <f>HYPERLINK("https://otsuka-europe-crm.veevavault.com/ui/#object/email_activity__v/V8C000000043555", "EN-002102639")</f>
        <v>EN-002102639</v>
      </c>
    </row>
    <row r="824" spans="1:15" ht="16" x14ac:dyDescent="0.2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/>
      <c r="L824" s="19"/>
      <c r="M824" s="19"/>
      <c r="N824" s="19"/>
      <c r="O824" s="14" t="str">
        <f>HYPERLINK("https://otsuka-europe-crm.veevavault.com/ui/#object/email_activity__v/V8C000000044020", "EN-002101614")</f>
        <v>EN-002101614</v>
      </c>
    </row>
    <row r="825" spans="1:15" ht="32" x14ac:dyDescent="0.2">
      <c r="A825" s="7" t="str">
        <f>HYPERLINK("https://otsuka-europe-crm.veevavault.com/ui/#object/account__v/V4TZ025E86WIBK1", "BLANCA VEGAS VILLALMANZO")</f>
        <v>BLANCA VEGAS VILLALMANZO</v>
      </c>
      <c r="B825" s="7" t="str">
        <f>HYPERLINK("https://otsuka-europe-crm.veevavault.com/ui/#object/vcountry__v/VENZ000004SONF5", "ES")</f>
        <v>ES</v>
      </c>
      <c r="C825" s="8" t="s">
        <v>39</v>
      </c>
      <c r="D825" s="9" t="str">
        <f>HYPERLINK("https://otsuka-europe-crm.veevavault.com/ui/#object/approved_document__v/V5O00000001R001", "INA - VAE Cierre ""Nos quedamos en Casa""")</f>
        <v>INA - VAE Cierre "Nos quedamos en Casa"</v>
      </c>
      <c r="E825" s="10" t="str">
        <f>HYPERLINK("https://otsuka-europe-crm.veevavault.com/ui/#object/sent_email__v/VBL000000031009", "SE-001439183")</f>
        <v>SE-001439183</v>
      </c>
      <c r="F825" s="11"/>
      <c r="G825" s="12">
        <v>0</v>
      </c>
      <c r="H825" s="12">
        <v>0</v>
      </c>
      <c r="I825" s="12">
        <v>0</v>
      </c>
      <c r="J825" s="11"/>
      <c r="K825" s="12">
        <v>0</v>
      </c>
      <c r="L825" s="10" t="str">
        <f>HYPERLINK("https://otsuka-europe-crm.veevavault.com/ui/#object/approved_document__v/V5O00000001R001", "INA - VAE Cierre ""Nos quedamos en Casa""")</f>
        <v>INA - VAE Cierre "Nos quedamos en Casa"</v>
      </c>
      <c r="M825" s="10" t="str">
        <f>HYPERLINK("mailto:jguri@crm.otsuka-europe.com", "jguri@crm.otsuka-europe.com")</f>
        <v>jguri@crm.otsuka-europe.com</v>
      </c>
      <c r="N825" s="13">
        <v>46205.461157407408</v>
      </c>
      <c r="O825" s="14" t="str">
        <f>HYPERLINK("https://otsuka-europe-crm.veevavault.com/ui/#object/email_activity__v/V8C000000043034", "EN-002101607")</f>
        <v>EN-002101607</v>
      </c>
    </row>
    <row r="826" spans="1:15" ht="32" x14ac:dyDescent="0.2">
      <c r="A826" s="7" t="str">
        <f>HYPERLINK("https://otsuka-europe-crm.veevavault.com/ui/#object/account__v/V4T00000001X076", "ALVARO BIENERT GARCIA")</f>
        <v>ALVARO BIENERT GARCIA</v>
      </c>
      <c r="B826" s="7" t="str">
        <f>HYPERLINK("https://otsuka-europe-crm.veevavault.com/ui/#object/vcountry__v/VENZ000004SONF5", "ES")</f>
        <v>ES</v>
      </c>
      <c r="C826" s="8" t="s">
        <v>39</v>
      </c>
      <c r="D826" s="9" t="str">
        <f>HYPERLINK("https://otsuka-europe-crm.veevavault.com/ui/#object/approved_document__v/V5O00000001R001", "INA - VAE Cierre ""Nos quedamos en Casa""")</f>
        <v>INA - VAE Cierre "Nos quedamos en Casa"</v>
      </c>
      <c r="E826" s="10" t="str">
        <f>HYPERLINK("https://otsuka-europe-crm.veevavault.com/ui/#object/sent_email__v/VBL000000031010", "SE-001439184")</f>
        <v>SE-001439184</v>
      </c>
      <c r="F826" s="11"/>
      <c r="G826" s="12">
        <v>0</v>
      </c>
      <c r="H826" s="12">
        <v>0</v>
      </c>
      <c r="I826" s="12">
        <v>0</v>
      </c>
      <c r="J826" s="11"/>
      <c r="K826" s="12">
        <v>0</v>
      </c>
      <c r="L826" s="10" t="str">
        <f>HYPERLINK("https://otsuka-europe-crm.veevavault.com/ui/#object/approved_document__v/V5O00000001R001", "INA - VAE Cierre ""Nos quedamos en Casa""")</f>
        <v>INA - VAE Cierre "Nos quedamos en Casa"</v>
      </c>
      <c r="M826" s="10" t="str">
        <f>HYPERLINK("mailto:jguri@crm.otsuka-europe.com", "jguri@crm.otsuka-europe.com")</f>
        <v>jguri@crm.otsuka-europe.com</v>
      </c>
      <c r="N826" s="13">
        <v>46205.461157407408</v>
      </c>
      <c r="O826" s="14" t="str">
        <f>HYPERLINK("https://otsuka-europe-crm.veevavault.com/ui/#object/email_activity__v/V8C000000044019", "EN-002101613")</f>
        <v>EN-002101613</v>
      </c>
    </row>
    <row r="827" spans="1:15" ht="32" x14ac:dyDescent="0.2">
      <c r="A827" s="7" t="str">
        <f>HYPERLINK("https://otsuka-europe-crm.veevavault.com/ui/#object/account__v/V4TZ025E84IKZIY", "CRISTIAN ESCOLANO ESCOBAR")</f>
        <v>CRISTIAN ESCOLANO ESCOBAR</v>
      </c>
      <c r="B827" s="7" t="str">
        <f>HYPERLINK("https://otsuka-europe-crm.veevavault.com/ui/#object/vcountry__v/VENZ000004SONF5", "ES")</f>
        <v>ES</v>
      </c>
      <c r="C827" s="8" t="s">
        <v>39</v>
      </c>
      <c r="D827" s="9" t="str">
        <f>HYPERLINK("https://otsuka-europe-crm.veevavault.com/ui/#object/approved_document__v/V5O00000001R001", "INA - VAE Cierre ""Nos quedamos en Casa""")</f>
        <v>INA - VAE Cierre "Nos quedamos en Casa"</v>
      </c>
      <c r="E827" s="10" t="str">
        <f>HYPERLINK("https://otsuka-europe-crm.veevavault.com/ui/#object/sent_email__v/VBL000000031011", "SE-001439185")</f>
        <v>SE-001439185</v>
      </c>
      <c r="F827" s="11"/>
      <c r="G827" s="12">
        <v>0</v>
      </c>
      <c r="H827" s="12">
        <v>0</v>
      </c>
      <c r="I827" s="12">
        <v>0</v>
      </c>
      <c r="J827" s="11"/>
      <c r="K827" s="12">
        <v>0</v>
      </c>
      <c r="L827" s="10" t="str">
        <f>HYPERLINK("https://otsuka-europe-crm.veevavault.com/ui/#object/approved_document__v/V5O00000001R001", "INA - VAE Cierre ""Nos quedamos en Casa""")</f>
        <v>INA - VAE Cierre "Nos quedamos en Casa"</v>
      </c>
      <c r="M827" s="10" t="str">
        <f>HYPERLINK("mailto:jguri@crm.otsuka-europe.com", "jguri@crm.otsuka-europe.com")</f>
        <v>jguri@crm.otsuka-europe.com</v>
      </c>
      <c r="N827" s="13">
        <v>46205.461157407408</v>
      </c>
      <c r="O827" s="14" t="str">
        <f>HYPERLINK("https://otsuka-europe-crm.veevavault.com/ui/#object/email_activity__v/V8C000000044018", "EN-002101612")</f>
        <v>EN-002101612</v>
      </c>
    </row>
    <row r="828" spans="1:15" ht="16" x14ac:dyDescent="0.2">
      <c r="A828" s="18" t="str">
        <f>HYPERLINK("https://otsuka-europe-crm.veevavault.com/ui/#object/account__v/V4TZ025E87VHGCD", "RAQUEL DE PAZ ARIAS")</f>
        <v>RAQUEL DE PAZ ARIAS</v>
      </c>
      <c r="B828" s="18" t="str">
        <f>HYPERLINK("https://otsuka-europe-crm.veevavault.com/ui/#object/vcountry__v/VENZ000004SONF5", "ES")</f>
        <v>ES</v>
      </c>
      <c r="C828" s="20" t="s">
        <v>39</v>
      </c>
      <c r="D828" s="21" t="str">
        <f>HYPERLINK("https://otsuka-europe-crm.veevavault.com/ui/#object/approved_document__v/V5O00000001R001", "INA - VAE Cierre ""Nos quedamos en Casa""")</f>
        <v>INA - VAE Cierre "Nos quedamos en Casa"</v>
      </c>
      <c r="E828" s="22" t="str">
        <f>HYPERLINK("https://otsuka-europe-crm.veevavault.com/ui/#object/sent_email__v/VBL000000031012", "SE-001439186")</f>
        <v>SE-001439186</v>
      </c>
      <c r="F828" s="25">
        <v>46232.707337962966</v>
      </c>
      <c r="G828" s="24">
        <v>1</v>
      </c>
      <c r="H828" s="24">
        <v>3</v>
      </c>
      <c r="I828" s="24">
        <v>0</v>
      </c>
      <c r="J828" s="23"/>
      <c r="K828" s="24">
        <v>0</v>
      </c>
      <c r="L828" s="22" t="str">
        <f>HYPERLINK("https://otsuka-europe-crm.veevavault.com/ui/#object/approved_document__v/V5O00000001R001", "INA - VAE Cierre ""Nos quedamos en Casa""")</f>
        <v>INA - VAE Cierre "Nos quedamos en Casa"</v>
      </c>
      <c r="M828" s="22" t="str">
        <f>HYPERLINK("mailto:jguri@crm.otsuka-europe.com", "jguri@crm.otsuka-europe.com")</f>
        <v>jguri@crm.otsuka-europe.com</v>
      </c>
      <c r="N828" s="25">
        <v>46205.461157407408</v>
      </c>
      <c r="O828" s="14" t="str">
        <f>HYPERLINK("https://otsuka-europe-crm.veevavault.com/ui/#object/email_activity__v/V8C000000043050", "EN-002101632")</f>
        <v>EN-002101632</v>
      </c>
    </row>
    <row r="829" spans="1:15" ht="16" x14ac:dyDescent="0.2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14" t="str">
        <f>HYPERLINK("https://otsuka-europe-crm.veevavault.com/ui/#object/email_activity__v/V8C000000043067", "EN-002101651")</f>
        <v>EN-002101651</v>
      </c>
    </row>
    <row r="830" spans="1:15" ht="16" x14ac:dyDescent="0.2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14" t="str">
        <f>HYPERLINK("https://otsuka-europe-crm.veevavault.com/ui/#object/email_activity__v/V8C000000043081", "EN-002101678")</f>
        <v>EN-002101678</v>
      </c>
    </row>
    <row r="831" spans="1:15" ht="16" x14ac:dyDescent="0.2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14" t="str">
        <f>HYPERLINK("https://otsuka-europe-crm.veevavault.com/ui/#object/email_activity__v/V8C000000043119", "EN-002101765")</f>
        <v>EN-002101765</v>
      </c>
    </row>
    <row r="832" spans="1:15" ht="16" x14ac:dyDescent="0.2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14" t="str">
        <f>HYPERLINK("https://otsuka-europe-crm.veevavault.com/ui/#object/email_activity__v/V8C000000043183", "EN-002101884")</f>
        <v>EN-002101884</v>
      </c>
    </row>
    <row r="833" spans="1:15" ht="16" x14ac:dyDescent="0.2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14" t="str">
        <f>HYPERLINK("https://otsuka-europe-crm.veevavault.com/ui/#object/email_activity__v/V8C000000043861", "EN-002103249")</f>
        <v>EN-002103249</v>
      </c>
    </row>
    <row r="834" spans="1:15" ht="16" x14ac:dyDescent="0.2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/>
      <c r="L834" s="19"/>
      <c r="M834" s="19"/>
      <c r="N834" s="19"/>
      <c r="O834" s="14" t="str">
        <f>HYPERLINK("https://otsuka-europe-crm.veevavault.com/ui/#object/email_activity__v/V8C00000004E636", "EN-002109593")</f>
        <v>EN-002109593</v>
      </c>
    </row>
    <row r="835" spans="1:15" ht="16" x14ac:dyDescent="0.2">
      <c r="A835" s="18" t="str">
        <f>HYPERLINK("https://otsuka-europe-crm.veevavault.com/ui/#object/account__v/V4TZ025E84EDD9T", "CECILIA HERAS BENITO")</f>
        <v>CECILIA HERAS BENITO</v>
      </c>
      <c r="B835" s="18" t="str">
        <f>HYPERLINK("https://otsuka-europe-crm.veevavault.com/ui/#object/vcountry__v/VENZ000004SONF5", "ES")</f>
        <v>ES</v>
      </c>
      <c r="C835" s="20" t="s">
        <v>39</v>
      </c>
      <c r="D835" s="21" t="str">
        <f>HYPERLINK("https://otsuka-europe-crm.veevavault.com/ui/#object/approved_document__v/V5O00000001R001", "INA - VAE Cierre ""Nos quedamos en Casa""")</f>
        <v>INA - VAE Cierre "Nos quedamos en Casa"</v>
      </c>
      <c r="E835" s="22" t="str">
        <f>HYPERLINK("https://otsuka-europe-crm.veevavault.com/ui/#object/sent_email__v/VBL000000031013", "SE-001439187")</f>
        <v>SE-001439187</v>
      </c>
      <c r="F835" s="25">
        <v>46205.75540509259</v>
      </c>
      <c r="G835" s="24">
        <v>1</v>
      </c>
      <c r="H835" s="24">
        <v>2</v>
      </c>
      <c r="I835" s="24">
        <v>0</v>
      </c>
      <c r="J835" s="23"/>
      <c r="K835" s="24">
        <v>0</v>
      </c>
      <c r="L835" s="22" t="str">
        <f>HYPERLINK("https://otsuka-europe-crm.veevavault.com/ui/#object/approved_document__v/V5O00000001R001", "INA - VAE Cierre ""Nos quedamos en Casa""")</f>
        <v>INA - VAE Cierre "Nos quedamos en Casa"</v>
      </c>
      <c r="M835" s="22" t="str">
        <f>HYPERLINK("mailto:jguri@crm.otsuka-europe.com", "jguri@crm.otsuka-europe.com")</f>
        <v>jguri@crm.otsuka-europe.com</v>
      </c>
      <c r="N835" s="25">
        <v>46205.461157407408</v>
      </c>
      <c r="O835" s="14" t="str">
        <f>HYPERLINK("https://otsuka-europe-crm.veevavault.com/ui/#object/email_activity__v/V8C000000043047", "EN-002101629")</f>
        <v>EN-002101629</v>
      </c>
    </row>
    <row r="836" spans="1:15" ht="16" x14ac:dyDescent="0.2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14" t="str">
        <f>HYPERLINK("https://otsuka-europe-crm.veevavault.com/ui/#object/email_activity__v/V8C000000043094", "EN-002101709")</f>
        <v>EN-002101709</v>
      </c>
    </row>
    <row r="837" spans="1:15" ht="16" x14ac:dyDescent="0.2">
      <c r="A837" s="19"/>
      <c r="B837" s="19"/>
      <c r="C837" s="19"/>
      <c r="D837" s="19"/>
      <c r="E837" s="19"/>
      <c r="F837" s="19"/>
      <c r="G837" s="19"/>
      <c r="H837" s="19"/>
      <c r="I837" s="19"/>
      <c r="J837" s="19"/>
      <c r="K837" s="19"/>
      <c r="L837" s="19"/>
      <c r="M837" s="19"/>
      <c r="N837" s="19"/>
      <c r="O837" s="14" t="str">
        <f>HYPERLINK("https://otsuka-europe-crm.veevavault.com/ui/#object/email_activity__v/V8C000000043095", "EN-002101710")</f>
        <v>EN-002101710</v>
      </c>
    </row>
    <row r="838" spans="1:15" ht="16" x14ac:dyDescent="0.2">
      <c r="A838" s="18" t="str">
        <f>HYPERLINK("https://otsuka-europe-crm.veevavault.com/ui/#object/account__v/V4TZ025E86OXDXZ", "ERIEL ALEXIS MARCHECO PUPO")</f>
        <v>ERIEL ALEXIS MARCHECO PUPO</v>
      </c>
      <c r="B838" s="18" t="str">
        <f>HYPERLINK("https://otsuka-europe-crm.veevavault.com/ui/#object/vcountry__v/VENZ000004SONF5", "ES")</f>
        <v>ES</v>
      </c>
      <c r="C838" s="20" t="s">
        <v>39</v>
      </c>
      <c r="D838" s="21" t="str">
        <f>HYPERLINK("https://otsuka-europe-crm.veevavault.com/ui/#object/approved_document__v/V5O00000001R001", "INA - VAE Cierre ""Nos quedamos en Casa""")</f>
        <v>INA - VAE Cierre "Nos quedamos en Casa"</v>
      </c>
      <c r="E838" s="22" t="str">
        <f>HYPERLINK("https://otsuka-europe-crm.veevavault.com/ui/#object/sent_email__v/VBL000000031014", "SE-001439188")</f>
        <v>SE-001439188</v>
      </c>
      <c r="F838" s="23"/>
      <c r="G838" s="24">
        <v>0</v>
      </c>
      <c r="H838" s="24">
        <v>0</v>
      </c>
      <c r="I838" s="24">
        <v>0</v>
      </c>
      <c r="J838" s="23"/>
      <c r="K838" s="24">
        <v>0</v>
      </c>
      <c r="L838" s="22" t="str">
        <f>HYPERLINK("https://otsuka-europe-crm.veevavault.com/ui/#object/approved_document__v/V5O00000001R001", "INA - VAE Cierre ""Nos quedamos en Casa""")</f>
        <v>INA - VAE Cierre "Nos quedamos en Casa"</v>
      </c>
      <c r="M838" s="22" t="str">
        <f>HYPERLINK("mailto:jguri@crm.otsuka-europe.com", "jguri@crm.otsuka-europe.com")</f>
        <v>jguri@crm.otsuka-europe.com</v>
      </c>
      <c r="N838" s="25">
        <v>46205.461157407408</v>
      </c>
      <c r="O838" s="14" t="str">
        <f>HYPERLINK("https://otsuka-europe-crm.veevavault.com/ui/#object/email_activity__v/V8C000000043042", "EN-002101620")</f>
        <v>EN-002101620</v>
      </c>
    </row>
    <row r="839" spans="1:15" ht="16" x14ac:dyDescent="0.2">
      <c r="A839" s="19"/>
      <c r="B839" s="19"/>
      <c r="C839" s="19"/>
      <c r="D839" s="19"/>
      <c r="E839" s="19"/>
      <c r="F839" s="19"/>
      <c r="G839" s="19"/>
      <c r="H839" s="19"/>
      <c r="I839" s="19"/>
      <c r="J839" s="19"/>
      <c r="K839" s="19"/>
      <c r="L839" s="19"/>
      <c r="M839" s="19"/>
      <c r="N839" s="19"/>
      <c r="O839" s="14" t="str">
        <f>HYPERLINK("https://otsuka-europe-crm.veevavault.com/ui/#object/email_activity__v/V8C000000044064", "EN-002101724")</f>
        <v>EN-002101724</v>
      </c>
    </row>
    <row r="840" spans="1:15" ht="32" x14ac:dyDescent="0.2">
      <c r="A840" s="7" t="str">
        <f>HYPERLINK("https://otsuka-europe-crm.veevavault.com/ui/#object/account__v/V4TZ06G6O71T9CP", "JUAN MIGUEL BERGUA BURGUES")</f>
        <v>JUAN MIGUEL BERGUA BURGUES</v>
      </c>
      <c r="B840" s="7" t="str">
        <f>HYPERLINK("https://otsuka-europe-crm.veevavault.com/ui/#object/vcountry__v/VENZ000004SONF5", "ES")</f>
        <v>ES</v>
      </c>
      <c r="C840" s="8" t="s">
        <v>39</v>
      </c>
      <c r="D840" s="9" t="str">
        <f>HYPERLINK("https://otsuka-europe-crm.veevavault.com/ui/#object/approved_document__v/V5O00000001R001", "INA - VAE Cierre ""Nos quedamos en Casa""")</f>
        <v>INA - VAE Cierre "Nos quedamos en Casa"</v>
      </c>
      <c r="E840" s="10" t="str">
        <f>HYPERLINK("https://otsuka-europe-crm.veevavault.com/ui/#object/sent_email__v/VBL000000031015", "SE-001439189")</f>
        <v>SE-001439189</v>
      </c>
      <c r="F840" s="11"/>
      <c r="G840" s="12">
        <v>0</v>
      </c>
      <c r="H840" s="12">
        <v>0</v>
      </c>
      <c r="I840" s="12">
        <v>0</v>
      </c>
      <c r="J840" s="11"/>
      <c r="K840" s="12">
        <v>0</v>
      </c>
      <c r="L840" s="10" t="str">
        <f>HYPERLINK("https://otsuka-europe-crm.veevavault.com/ui/#object/approved_document__v/V5O00000001R001", "INA - VAE Cierre ""Nos quedamos en Casa""")</f>
        <v>INA - VAE Cierre "Nos quedamos en Casa"</v>
      </c>
      <c r="M840" s="10" t="str">
        <f>HYPERLINK("mailto:jguri@crm.otsuka-europe.com", "jguri@crm.otsuka-europe.com")</f>
        <v>jguri@crm.otsuka-europe.com</v>
      </c>
      <c r="N840" s="13">
        <v>46205.461180555554</v>
      </c>
      <c r="O840" s="14" t="str">
        <f>HYPERLINK("https://otsuka-europe-crm.veevavault.com/ui/#object/email_activity__v/V8C000000043054", "EN-002101636")</f>
        <v>EN-002101636</v>
      </c>
    </row>
    <row r="841" spans="1:15" ht="32" x14ac:dyDescent="0.2">
      <c r="A841" s="7" t="str">
        <f>HYPERLINK("https://otsuka-europe-crm.veevavault.com/ui/#object/account__v/V4TZ025E84EDRUT", "MARIA PILAR BRAVO BARAHONA")</f>
        <v>MARIA PILAR BRAVO BARAHONA</v>
      </c>
      <c r="B841" s="7" t="str">
        <f>HYPERLINK("https://otsuka-europe-crm.veevavault.com/ui/#object/vcountry__v/VENZ000004SONF5", "ES")</f>
        <v>ES</v>
      </c>
      <c r="C841" s="8" t="s">
        <v>39</v>
      </c>
      <c r="D841" s="9" t="str">
        <f>HYPERLINK("https://otsuka-europe-crm.veevavault.com/ui/#object/approved_document__v/V5O00000001R001", "INA - VAE Cierre ""Nos quedamos en Casa""")</f>
        <v>INA - VAE Cierre "Nos quedamos en Casa"</v>
      </c>
      <c r="E841" s="10" t="str">
        <f>HYPERLINK("https://otsuka-europe-crm.veevavault.com/ui/#object/sent_email__v/VBL000000031016", "SE-001439190")</f>
        <v>SE-001439190</v>
      </c>
      <c r="F841" s="11"/>
      <c r="G841" s="12">
        <v>0</v>
      </c>
      <c r="H841" s="12">
        <v>0</v>
      </c>
      <c r="I841" s="12">
        <v>0</v>
      </c>
      <c r="J841" s="11"/>
      <c r="K841" s="12">
        <v>0</v>
      </c>
      <c r="L841" s="10" t="str">
        <f>HYPERLINK("https://otsuka-europe-crm.veevavault.com/ui/#object/approved_document__v/V5O00000001R001", "INA - VAE Cierre ""Nos quedamos en Casa""")</f>
        <v>INA - VAE Cierre "Nos quedamos en Casa"</v>
      </c>
      <c r="M841" s="10" t="str">
        <f>HYPERLINK("mailto:jguri@crm.otsuka-europe.com", "jguri@crm.otsuka-europe.com")</f>
        <v>jguri@crm.otsuka-europe.com</v>
      </c>
      <c r="N841" s="13">
        <v>46205.461157407408</v>
      </c>
      <c r="O841" s="14" t="str">
        <f>HYPERLINK("https://otsuka-europe-crm.veevavault.com/ui/#object/email_activity__v/V8C000000043027", "EN-002101600")</f>
        <v>EN-002101600</v>
      </c>
    </row>
    <row r="842" spans="1:15" ht="16" x14ac:dyDescent="0.2">
      <c r="A842" s="18" t="str">
        <f>HYPERLINK("https://otsuka-europe-crm.veevavault.com/ui/#object/account__v/V4TZ025E83POZ65", "MARTA POLO ZARZUELA")</f>
        <v>MARTA POLO ZARZUELA</v>
      </c>
      <c r="B842" s="18" t="str">
        <f>HYPERLINK("https://otsuka-europe-crm.veevavault.com/ui/#object/vcountry__v/VENZ000004SONF5", "ES")</f>
        <v>ES</v>
      </c>
      <c r="C842" s="20" t="s">
        <v>39</v>
      </c>
      <c r="D842" s="21" t="str">
        <f>HYPERLINK("https://otsuka-europe-crm.veevavault.com/ui/#object/approved_document__v/V5O00000001R001", "INA - VAE Cierre ""Nos quedamos en Casa""")</f>
        <v>INA - VAE Cierre "Nos quedamos en Casa"</v>
      </c>
      <c r="E842" s="22" t="str">
        <f>HYPERLINK("https://otsuka-europe-crm.veevavault.com/ui/#object/sent_email__v/VBL000000031017", "SE-001439191")</f>
        <v>SE-001439191</v>
      </c>
      <c r="F842" s="25">
        <v>46209.492974537039</v>
      </c>
      <c r="G842" s="24">
        <v>1</v>
      </c>
      <c r="H842" s="24">
        <v>3</v>
      </c>
      <c r="I842" s="24">
        <v>0</v>
      </c>
      <c r="J842" s="23"/>
      <c r="K842" s="24">
        <v>0</v>
      </c>
      <c r="L842" s="22" t="str">
        <f>HYPERLINK("https://otsuka-europe-crm.veevavault.com/ui/#object/approved_document__v/V5O00000001R001", "INA - VAE Cierre ""Nos quedamos en Casa""")</f>
        <v>INA - VAE Cierre "Nos quedamos en Casa"</v>
      </c>
      <c r="M842" s="22" t="str">
        <f>HYPERLINK("mailto:jguri@crm.otsuka-europe.com", "jguri@crm.otsuka-europe.com")</f>
        <v>jguri@crm.otsuka-europe.com</v>
      </c>
      <c r="N842" s="25">
        <v>46205.461157407408</v>
      </c>
      <c r="O842" s="14" t="str">
        <f>HYPERLINK("https://otsuka-europe-crm.veevavault.com/ui/#object/email_activity__v/V8C000000043061", "EN-002101643")</f>
        <v>EN-002101643</v>
      </c>
    </row>
    <row r="843" spans="1:15" ht="16" x14ac:dyDescent="0.2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14" t="str">
        <f>HYPERLINK("https://otsuka-europe-crm.veevavault.com/ui/#object/email_activity__v/V8C000000044035", "EN-002101666")</f>
        <v>EN-002101666</v>
      </c>
    </row>
    <row r="844" spans="1:15" ht="16" x14ac:dyDescent="0.2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14" t="str">
        <f>HYPERLINK("https://otsuka-europe-crm.veevavault.com/ui/#object/email_activity__v/V8C000000044060", "EN-002101714")</f>
        <v>EN-002101714</v>
      </c>
    </row>
    <row r="845" spans="1:15" ht="16" x14ac:dyDescent="0.2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/>
      <c r="L845" s="19"/>
      <c r="M845" s="19"/>
      <c r="N845" s="19"/>
      <c r="O845" s="14" t="str">
        <f>HYPERLINK("https://otsuka-europe-crm.veevavault.com/ui/#object/email_activity__v/V8C000000044450", "EN-002102480")</f>
        <v>EN-002102480</v>
      </c>
    </row>
    <row r="846" spans="1:15" ht="16" x14ac:dyDescent="0.2">
      <c r="A846" s="18" t="str">
        <f>HYPERLINK("https://otsuka-europe-crm.veevavault.com/ui/#object/account__v/V4TZ025E83OC4WX", "MARIA ANGELES FERNANDEZ GALAN")</f>
        <v>MARIA ANGELES FERNANDEZ GALAN</v>
      </c>
      <c r="B846" s="18" t="str">
        <f>HYPERLINK("https://otsuka-europe-crm.veevavault.com/ui/#object/vcountry__v/VENZ000004SONF5", "ES")</f>
        <v>ES</v>
      </c>
      <c r="C846" s="20" t="s">
        <v>39</v>
      </c>
      <c r="D846" s="21" t="str">
        <f>HYPERLINK("https://otsuka-europe-crm.veevavault.com/ui/#object/approved_document__v/V5O00000001R001", "INA - VAE Cierre ""Nos quedamos en Casa""")</f>
        <v>INA - VAE Cierre "Nos quedamos en Casa"</v>
      </c>
      <c r="E846" s="22" t="str">
        <f>HYPERLINK("https://otsuka-europe-crm.veevavault.com/ui/#object/sent_email__v/VBL000000031018", "SE-001439192")</f>
        <v>SE-001439192</v>
      </c>
      <c r="F846" s="25">
        <v>46205.547025462962</v>
      </c>
      <c r="G846" s="24">
        <v>1</v>
      </c>
      <c r="H846" s="24">
        <v>2</v>
      </c>
      <c r="I846" s="24">
        <v>0</v>
      </c>
      <c r="J846" s="23"/>
      <c r="K846" s="24">
        <v>0</v>
      </c>
      <c r="L846" s="22" t="str">
        <f>HYPERLINK("https://otsuka-europe-crm.veevavault.com/ui/#object/approved_document__v/V5O00000001R001", "INA - VAE Cierre ""Nos quedamos en Casa""")</f>
        <v>INA - VAE Cierre "Nos quedamos en Casa"</v>
      </c>
      <c r="M846" s="22" t="str">
        <f>HYPERLINK("mailto:jguri@crm.otsuka-europe.com", "jguri@crm.otsuka-europe.com")</f>
        <v>jguri@crm.otsuka-europe.com</v>
      </c>
      <c r="N846" s="25">
        <v>46205.461192129631</v>
      </c>
      <c r="O846" s="14" t="str">
        <f>HYPERLINK("https://otsuka-europe-crm.veevavault.com/ui/#object/email_activity__v/V8C000000043056", "EN-002101638")</f>
        <v>EN-002101638</v>
      </c>
    </row>
    <row r="847" spans="1:15" ht="16" x14ac:dyDescent="0.2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14" t="str">
        <f>HYPERLINK("https://otsuka-europe-crm.veevavault.com/ui/#object/email_activity__v/V8C000000043076", "EN-002101668")</f>
        <v>EN-002101668</v>
      </c>
    </row>
    <row r="848" spans="1:15" ht="16" x14ac:dyDescent="0.2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/>
      <c r="L848" s="19"/>
      <c r="M848" s="19"/>
      <c r="N848" s="19"/>
      <c r="O848" s="14" t="str">
        <f>HYPERLINK("https://otsuka-europe-crm.veevavault.com/ui/#object/email_activity__v/V8C000000043077", "EN-002101669")</f>
        <v>EN-002101669</v>
      </c>
    </row>
    <row r="849" spans="1:15" ht="32" x14ac:dyDescent="0.2">
      <c r="A849" s="7" t="str">
        <f>HYPERLINK("https://otsuka-europe-crm.veevavault.com/ui/#object/account__v/V4TZ025E84EEBU5", "ANA CAROLINA FRANCO VILLEGAS")</f>
        <v>ANA CAROLINA FRANCO VILLEGAS</v>
      </c>
      <c r="B849" s="7" t="str">
        <f>HYPERLINK("https://otsuka-europe-crm.veevavault.com/ui/#object/vcountry__v/VENZ000004SONF5", "ES")</f>
        <v>ES</v>
      </c>
      <c r="C849" s="8" t="s">
        <v>39</v>
      </c>
      <c r="D849" s="9" t="str">
        <f>HYPERLINK("https://otsuka-europe-crm.veevavault.com/ui/#object/approved_document__v/V5O00000001R001", "INA - VAE Cierre ""Nos quedamos en Casa""")</f>
        <v>INA - VAE Cierre "Nos quedamos en Casa"</v>
      </c>
      <c r="E849" s="10" t="str">
        <f>HYPERLINK("https://otsuka-europe-crm.veevavault.com/ui/#object/sent_email__v/VBL000000031019", "SE-001439193")</f>
        <v>SE-001439193</v>
      </c>
      <c r="F849" s="11"/>
      <c r="G849" s="12">
        <v>0</v>
      </c>
      <c r="H849" s="12">
        <v>0</v>
      </c>
      <c r="I849" s="12">
        <v>0</v>
      </c>
      <c r="J849" s="11"/>
      <c r="K849" s="12">
        <v>0</v>
      </c>
      <c r="L849" s="10" t="str">
        <f>HYPERLINK("https://otsuka-europe-crm.veevavault.com/ui/#object/approved_document__v/V5O00000001R001", "INA - VAE Cierre ""Nos quedamos en Casa""")</f>
        <v>INA - VAE Cierre "Nos quedamos en Casa"</v>
      </c>
      <c r="M849" s="10" t="str">
        <f>HYPERLINK("mailto:jguri@crm.otsuka-europe.com", "jguri@crm.otsuka-europe.com")</f>
        <v>jguri@crm.otsuka-europe.com</v>
      </c>
      <c r="N849" s="13">
        <v>46205.461192129631</v>
      </c>
      <c r="O849" s="14" t="str">
        <f>HYPERLINK("https://otsuka-europe-crm.veevavault.com/ui/#object/email_activity__v/V8C000000043057", "EN-002101639")</f>
        <v>EN-002101639</v>
      </c>
    </row>
    <row r="850" spans="1:15" ht="16" x14ac:dyDescent="0.2">
      <c r="A850" s="18" t="str">
        <f>HYPERLINK("https://otsuka-europe-crm.veevavault.com/ui/#object/account__v/V4TZ025E861Q6VX", "MARIA ANGELES MUÑOZ JAREÑO")</f>
        <v>MARIA ANGELES MUÑOZ JAREÑO</v>
      </c>
      <c r="B850" s="18" t="str">
        <f>HYPERLINK("https://otsuka-europe-crm.veevavault.com/ui/#object/vcountry__v/VENZ000004SONF5", "ES")</f>
        <v>ES</v>
      </c>
      <c r="C850" s="20" t="s">
        <v>39</v>
      </c>
      <c r="D850" s="21" t="str">
        <f>HYPERLINK("https://otsuka-europe-crm.veevavault.com/ui/#object/approved_document__v/V5O00000001R001", "INA - VAE Cierre ""Nos quedamos en Casa""")</f>
        <v>INA - VAE Cierre "Nos quedamos en Casa"</v>
      </c>
      <c r="E850" s="22" t="str">
        <f>HYPERLINK("https://otsuka-europe-crm.veevavault.com/ui/#object/sent_email__v/VBL000000031020", "SE-001439194")</f>
        <v>SE-001439194</v>
      </c>
      <c r="F850" s="25">
        <v>46210.75712962963</v>
      </c>
      <c r="G850" s="24">
        <v>1</v>
      </c>
      <c r="H850" s="24">
        <v>2</v>
      </c>
      <c r="I850" s="24">
        <v>1</v>
      </c>
      <c r="J850" s="25">
        <v>46210.757592592592</v>
      </c>
      <c r="K850" s="24">
        <v>1</v>
      </c>
      <c r="L850" s="22" t="str">
        <f>HYPERLINK("https://otsuka-europe-crm.veevavault.com/ui/#object/approved_document__v/V5O00000001R001", "INA - VAE Cierre ""Nos quedamos en Casa""")</f>
        <v>INA - VAE Cierre "Nos quedamos en Casa"</v>
      </c>
      <c r="M850" s="22" t="str">
        <f>HYPERLINK("mailto:jguri@crm.otsuka-europe.com", "jguri@crm.otsuka-europe.com")</f>
        <v>jguri@crm.otsuka-europe.com</v>
      </c>
      <c r="N850" s="25">
        <v>46205.461157407408</v>
      </c>
      <c r="O850" s="14" t="str">
        <f>HYPERLINK("https://otsuka-europe-crm.veevavault.com/ui/#object/email_activity__v/V8C000000043772", "EN-002103079")</f>
        <v>EN-002103079</v>
      </c>
    </row>
    <row r="851" spans="1:15" ht="16" x14ac:dyDescent="0.2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14" t="str">
        <f>HYPERLINK("https://otsuka-europe-crm.veevavault.com/ui/#object/email_activity__v/V8C000000044025", "EN-002101624")</f>
        <v>EN-002101624</v>
      </c>
    </row>
    <row r="852" spans="1:15" ht="16" x14ac:dyDescent="0.2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14" t="str">
        <f>HYPERLINK("https://otsuka-europe-crm.veevavault.com/ui/#object/email_activity__v/V8C000000044050", "EN-002101692")</f>
        <v>EN-002101692</v>
      </c>
    </row>
    <row r="853" spans="1:15" ht="16" x14ac:dyDescent="0.2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/>
      <c r="L853" s="19"/>
      <c r="M853" s="19"/>
      <c r="N853" s="19"/>
      <c r="O853" s="14" t="str">
        <f>HYPERLINK("https://otsuka-europe-crm.veevavault.com/ui/#object/email_activity__v/V8C000000044752", "EN-002103078")</f>
        <v>EN-002103078</v>
      </c>
    </row>
    <row r="854" spans="1:15" ht="32" x14ac:dyDescent="0.2">
      <c r="A854" s="7" t="str">
        <f>HYPERLINK("https://otsuka-europe-crm.veevavault.com/ui/#object/account__v/V4TZ025E84E72VU", "PAOLA SANDRA VILLAFUERTE GUTIERREZ")</f>
        <v>PAOLA SANDRA VILLAFUERTE GUTIERREZ</v>
      </c>
      <c r="B854" s="7" t="str">
        <f>HYPERLINK("https://otsuka-europe-crm.veevavault.com/ui/#object/vcountry__v/VENZ000004SONF5", "ES")</f>
        <v>ES</v>
      </c>
      <c r="C854" s="8" t="s">
        <v>39</v>
      </c>
      <c r="D854" s="9" t="str">
        <f>HYPERLINK("https://otsuka-europe-crm.veevavault.com/ui/#object/approved_document__v/V5O00000001R001", "INA - VAE Cierre ""Nos quedamos en Casa""")</f>
        <v>INA - VAE Cierre "Nos quedamos en Casa"</v>
      </c>
      <c r="E854" s="10" t="str">
        <f>HYPERLINK("https://otsuka-europe-crm.veevavault.com/ui/#object/sent_email__v/VBL000000031021", "SE-001439195")</f>
        <v>SE-001439195</v>
      </c>
      <c r="F854" s="11"/>
      <c r="G854" s="12">
        <v>0</v>
      </c>
      <c r="H854" s="12">
        <v>0</v>
      </c>
      <c r="I854" s="12">
        <v>0</v>
      </c>
      <c r="J854" s="11"/>
      <c r="K854" s="12">
        <v>0</v>
      </c>
      <c r="L854" s="10" t="str">
        <f>HYPERLINK("https://otsuka-europe-crm.veevavault.com/ui/#object/approved_document__v/V5O00000001R001", "INA - VAE Cierre ""Nos quedamos en Casa""")</f>
        <v>INA - VAE Cierre "Nos quedamos en Casa"</v>
      </c>
      <c r="M854" s="10" t="str">
        <f>HYPERLINK("mailto:jguri@crm.otsuka-europe.com", "jguri@crm.otsuka-europe.com")</f>
        <v>jguri@crm.otsuka-europe.com</v>
      </c>
      <c r="N854" s="13">
        <v>46205.461157407408</v>
      </c>
      <c r="O854" s="14" t="str">
        <f>HYPERLINK("https://otsuka-europe-crm.veevavault.com/ui/#object/email_activity__v/V8C000000043025", "EN-002101598")</f>
        <v>EN-002101598</v>
      </c>
    </row>
    <row r="855" spans="1:15" ht="32" x14ac:dyDescent="0.2">
      <c r="A855" s="7" t="str">
        <f>HYPERLINK("https://otsuka-europe-crm.veevavault.com/ui/#object/account__v/V4TZ025E861PASF", "FABIO AUGUSTO RUIZ GOMEZ")</f>
        <v>FABIO AUGUSTO RUIZ GOMEZ</v>
      </c>
      <c r="B855" s="7" t="str">
        <f>HYPERLINK("https://otsuka-europe-crm.veevavault.com/ui/#object/vcountry__v/VENZ000004SONF5", "ES")</f>
        <v>ES</v>
      </c>
      <c r="C855" s="8" t="s">
        <v>39</v>
      </c>
      <c r="D855" s="9" t="str">
        <f>HYPERLINK("https://otsuka-europe-crm.veevavault.com/ui/#object/approved_document__v/V5O00000001R001", "INA - VAE Cierre ""Nos quedamos en Casa""")</f>
        <v>INA - VAE Cierre "Nos quedamos en Casa"</v>
      </c>
      <c r="E855" s="10" t="str">
        <f>HYPERLINK("https://otsuka-europe-crm.veevavault.com/ui/#object/sent_email__v/VBL000000031022", "SE-001439196")</f>
        <v>SE-001439196</v>
      </c>
      <c r="F855" s="11"/>
      <c r="G855" s="12">
        <v>0</v>
      </c>
      <c r="H855" s="12">
        <v>0</v>
      </c>
      <c r="I855" s="12">
        <v>0</v>
      </c>
      <c r="J855" s="11"/>
      <c r="K855" s="12">
        <v>0</v>
      </c>
      <c r="L855" s="10" t="str">
        <f>HYPERLINK("https://otsuka-europe-crm.veevavault.com/ui/#object/approved_document__v/V5O00000001R001", "INA - VAE Cierre ""Nos quedamos en Casa""")</f>
        <v>INA - VAE Cierre "Nos quedamos en Casa"</v>
      </c>
      <c r="M855" s="10" t="str">
        <f>HYPERLINK("mailto:jguri@crm.otsuka-europe.com", "jguri@crm.otsuka-europe.com")</f>
        <v>jguri@crm.otsuka-europe.com</v>
      </c>
      <c r="N855" s="13">
        <v>46205.461157407408</v>
      </c>
      <c r="O855" s="14" t="str">
        <f>HYPERLINK("https://otsuka-europe-crm.veevavault.com/ui/#object/email_activity__v/V8C000000043033", "EN-002101606")</f>
        <v>EN-002101606</v>
      </c>
    </row>
    <row r="856" spans="1:15" ht="32" x14ac:dyDescent="0.2">
      <c r="A856" s="7" t="str">
        <f>HYPERLINK("https://otsuka-europe-crm.veevavault.com/ui/#object/account__v/V4TZ06G6O71T8BW", "JORGE SILVA RUIZ")</f>
        <v>JORGE SILVA RUIZ</v>
      </c>
      <c r="B856" s="7" t="str">
        <f>HYPERLINK("https://otsuka-europe-crm.veevavault.com/ui/#object/vcountry__v/VENZ000004SONF5", "ES")</f>
        <v>ES</v>
      </c>
      <c r="C856" s="8" t="s">
        <v>39</v>
      </c>
      <c r="D856" s="9" t="str">
        <f>HYPERLINK("https://otsuka-europe-crm.veevavault.com/ui/#object/approved_document__v/V5O00000001R001", "INA - VAE Cierre ""Nos quedamos en Casa""")</f>
        <v>INA - VAE Cierre "Nos quedamos en Casa"</v>
      </c>
      <c r="E856" s="10" t="str">
        <f>HYPERLINK("https://otsuka-europe-crm.veevavault.com/ui/#object/sent_email__v/VBL000000031023", "SE-001439197")</f>
        <v>SE-001439197</v>
      </c>
      <c r="F856" s="11"/>
      <c r="G856" s="12">
        <v>0</v>
      </c>
      <c r="H856" s="12">
        <v>0</v>
      </c>
      <c r="I856" s="12">
        <v>0</v>
      </c>
      <c r="J856" s="11"/>
      <c r="K856" s="12">
        <v>0</v>
      </c>
      <c r="L856" s="10" t="str">
        <f>HYPERLINK("https://otsuka-europe-crm.veevavault.com/ui/#object/approved_document__v/V5O00000001R001", "INA - VAE Cierre ""Nos quedamos en Casa""")</f>
        <v>INA - VAE Cierre "Nos quedamos en Casa"</v>
      </c>
      <c r="M856" s="10" t="str">
        <f>HYPERLINK("mailto:jguri@crm.otsuka-europe.com", "jguri@crm.otsuka-europe.com")</f>
        <v>jguri@crm.otsuka-europe.com</v>
      </c>
      <c r="N856" s="13">
        <v>46205.461192129631</v>
      </c>
      <c r="O856" s="14" t="str">
        <f>HYPERLINK("https://otsuka-europe-crm.veevavault.com/ui/#object/email_activity__v/V8C000000043058", "EN-002101640")</f>
        <v>EN-002101640</v>
      </c>
    </row>
    <row r="857" spans="1:15" ht="16" x14ac:dyDescent="0.2">
      <c r="A857" s="18" t="str">
        <f>HYPERLINK("https://otsuka-europe-crm.veevavault.com/ui/#object/account__v/V4TZ025E83POFNM", "CELINA MARIA BENAVENTE CUESTA")</f>
        <v>CELINA MARIA BENAVENTE CUESTA</v>
      </c>
      <c r="B857" s="18" t="str">
        <f>HYPERLINK("https://otsuka-europe-crm.veevavault.com/ui/#object/vcountry__v/VENZ000004SONF5", "ES")</f>
        <v>ES</v>
      </c>
      <c r="C857" s="20" t="s">
        <v>39</v>
      </c>
      <c r="D857" s="21" t="str">
        <f>HYPERLINK("https://otsuka-europe-crm.veevavault.com/ui/#object/approved_document__v/V5O00000001R001", "INA - VAE Cierre ""Nos quedamos en Casa""")</f>
        <v>INA - VAE Cierre "Nos quedamos en Casa"</v>
      </c>
      <c r="E857" s="22" t="str">
        <f>HYPERLINK("https://otsuka-europe-crm.veevavault.com/ui/#object/sent_email__v/VBL000000031024", "SE-001439198")</f>
        <v>SE-001439198</v>
      </c>
      <c r="F857" s="23"/>
      <c r="G857" s="24">
        <v>0</v>
      </c>
      <c r="H857" s="24">
        <v>0</v>
      </c>
      <c r="I857" s="24">
        <v>0</v>
      </c>
      <c r="J857" s="23"/>
      <c r="K857" s="24">
        <v>0</v>
      </c>
      <c r="L857" s="22" t="str">
        <f>HYPERLINK("https://otsuka-europe-crm.veevavault.com/ui/#object/approved_document__v/V5O00000001R001", "INA - VAE Cierre ""Nos quedamos en Casa""")</f>
        <v>INA - VAE Cierre "Nos quedamos en Casa"</v>
      </c>
      <c r="M857" s="22" t="str">
        <f>HYPERLINK("mailto:jguri@crm.otsuka-europe.com", "jguri@crm.otsuka-europe.com")</f>
        <v>jguri@crm.otsuka-europe.com</v>
      </c>
      <c r="N857" s="25">
        <v>46205.461134259262</v>
      </c>
      <c r="O857" s="14" t="str">
        <f>HYPERLINK("https://otsuka-europe-crm.veevavault.com/ui/#object/email_activity__v/V8C000000043098", "EN-002101716")</f>
        <v>EN-002101716</v>
      </c>
    </row>
    <row r="858" spans="1:15" ht="16" x14ac:dyDescent="0.2">
      <c r="A858" s="19"/>
      <c r="B858" s="19"/>
      <c r="C858" s="19"/>
      <c r="D858" s="19"/>
      <c r="E858" s="19"/>
      <c r="F858" s="19"/>
      <c r="G858" s="19"/>
      <c r="H858" s="19"/>
      <c r="I858" s="19"/>
      <c r="J858" s="19"/>
      <c r="K858" s="19"/>
      <c r="L858" s="19"/>
      <c r="M858" s="19"/>
      <c r="N858" s="19"/>
      <c r="O858" s="14" t="str">
        <f>HYPERLINK("https://otsuka-europe-crm.veevavault.com/ui/#object/email_activity__v/V8C000000044022", "EN-002101621")</f>
        <v>EN-002101621</v>
      </c>
    </row>
    <row r="859" spans="1:15" ht="32" x14ac:dyDescent="0.2">
      <c r="A859" s="7" t="str">
        <f>HYPERLINK("https://otsuka-europe-crm.veevavault.com/ui/#object/account__v/V4TZ06G6O71T8NZ", "JORGE BARTOLOME ARCILLA")</f>
        <v>JORGE BARTOLOME ARCILLA</v>
      </c>
      <c r="B859" s="7" t="str">
        <f>HYPERLINK("https://otsuka-europe-crm.veevavault.com/ui/#object/vcountry__v/VENZ000004SONF5", "ES")</f>
        <v>ES</v>
      </c>
      <c r="C859" s="8" t="s">
        <v>39</v>
      </c>
      <c r="D859" s="9" t="str">
        <f>HYPERLINK("https://otsuka-europe-crm.veevavault.com/ui/#object/approved_document__v/V5O00000001R001", "INA - VAE Cierre ""Nos quedamos en Casa""")</f>
        <v>INA - VAE Cierre "Nos quedamos en Casa"</v>
      </c>
      <c r="E859" s="10" t="str">
        <f>HYPERLINK("https://otsuka-europe-crm.veevavault.com/ui/#object/sent_email__v/VBL000000031025", "SE-001439199")</f>
        <v>SE-001439199</v>
      </c>
      <c r="F859" s="11"/>
      <c r="G859" s="12">
        <v>0</v>
      </c>
      <c r="H859" s="12">
        <v>0</v>
      </c>
      <c r="I859" s="12">
        <v>0</v>
      </c>
      <c r="J859" s="11"/>
      <c r="K859" s="12">
        <v>0</v>
      </c>
      <c r="L859" s="10" t="str">
        <f>HYPERLINK("https://otsuka-europe-crm.veevavault.com/ui/#object/approved_document__v/V5O00000001R001", "INA - VAE Cierre ""Nos quedamos en Casa""")</f>
        <v>INA - VAE Cierre "Nos quedamos en Casa"</v>
      </c>
      <c r="M859" s="10" t="str">
        <f>HYPERLINK("mailto:jguri@crm.otsuka-europe.com", "jguri@crm.otsuka-europe.com")</f>
        <v>jguri@crm.otsuka-europe.com</v>
      </c>
      <c r="N859" s="13">
        <v>46205.461134259262</v>
      </c>
      <c r="O859" s="14" t="str">
        <f>HYPERLINK("https://otsuka-europe-crm.veevavault.com/ui/#object/email_activity__v/V8C000000043040", "EN-002101618")</f>
        <v>EN-002101618</v>
      </c>
    </row>
    <row r="860" spans="1:15" ht="16" x14ac:dyDescent="0.2">
      <c r="A860" s="18" t="str">
        <f>HYPERLINK("https://otsuka-europe-crm.veevavault.com/ui/#object/account__v/V4TZ06G6O71T9E0", "ANA ISABEL BALLESTEROS GARCIA")</f>
        <v>ANA ISABEL BALLESTEROS GARCIA</v>
      </c>
      <c r="B860" s="18" t="str">
        <f>HYPERLINK("https://otsuka-europe-crm.veevavault.com/ui/#object/vcountry__v/VENZ000004SONF5", "ES")</f>
        <v>ES</v>
      </c>
      <c r="C860" s="20" t="s">
        <v>39</v>
      </c>
      <c r="D860" s="21" t="str">
        <f>HYPERLINK("https://otsuka-europe-crm.veevavault.com/ui/#object/approved_document__v/V5O00000001R001", "INA - VAE Cierre ""Nos quedamos en Casa""")</f>
        <v>INA - VAE Cierre "Nos quedamos en Casa"</v>
      </c>
      <c r="E860" s="22" t="str">
        <f>HYPERLINK("https://otsuka-europe-crm.veevavault.com/ui/#object/sent_email__v/VBL000000031026", "SE-001439200")</f>
        <v>SE-001439200</v>
      </c>
      <c r="F860" s="23"/>
      <c r="G860" s="24">
        <v>0</v>
      </c>
      <c r="H860" s="24">
        <v>0</v>
      </c>
      <c r="I860" s="24">
        <v>0</v>
      </c>
      <c r="J860" s="23"/>
      <c r="K860" s="24">
        <v>0</v>
      </c>
      <c r="L860" s="22" t="str">
        <f>HYPERLINK("https://otsuka-europe-crm.veevavault.com/ui/#object/approved_document__v/V5O00000001R001", "INA - VAE Cierre ""Nos quedamos en Casa""")</f>
        <v>INA - VAE Cierre "Nos quedamos en Casa"</v>
      </c>
      <c r="M860" s="22" t="str">
        <f>HYPERLINK("mailto:jguri@crm.otsuka-europe.com", "jguri@crm.otsuka-europe.com")</f>
        <v>jguri@crm.otsuka-europe.com</v>
      </c>
      <c r="N860" s="25">
        <v>46205.461157407408</v>
      </c>
      <c r="O860" s="14" t="str">
        <f>HYPERLINK("https://otsuka-europe-crm.veevavault.com/ui/#object/email_activity__v/V8C000000043031", "EN-002101604")</f>
        <v>EN-002101604</v>
      </c>
    </row>
    <row r="861" spans="1:15" ht="16" x14ac:dyDescent="0.2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/>
      <c r="L861" s="19"/>
      <c r="M861" s="19"/>
      <c r="N861" s="19"/>
      <c r="O861" s="14" t="str">
        <f>HYPERLINK("https://otsuka-europe-crm.veevavault.com/ui/#object/email_activity__v/V8C000000044163", "EN-002101920")</f>
        <v>EN-002101920</v>
      </c>
    </row>
    <row r="862" spans="1:15" ht="16" x14ac:dyDescent="0.2">
      <c r="A862" s="18" t="str">
        <f>HYPERLINK("https://otsuka-europe-crm.veevavault.com/ui/#object/account__v/V4TZ06G6O71TCHJ", "MARIA BELEN VIDRIALES VICENTE")</f>
        <v>MARIA BELEN VIDRIALES VICENTE</v>
      </c>
      <c r="B862" s="18" t="str">
        <f>HYPERLINK("https://otsuka-europe-crm.veevavault.com/ui/#object/vcountry__v/VENZ000004SONF5", "ES")</f>
        <v>ES</v>
      </c>
      <c r="C862" s="20" t="s">
        <v>39</v>
      </c>
      <c r="D862" s="21" t="str">
        <f>HYPERLINK("https://otsuka-europe-crm.veevavault.com/ui/#object/approved_document__v/V5O00000001R001", "INA - VAE Cierre ""Nos quedamos en Casa""")</f>
        <v>INA - VAE Cierre "Nos quedamos en Casa"</v>
      </c>
      <c r="E862" s="22" t="str">
        <f>HYPERLINK("https://otsuka-europe-crm.veevavault.com/ui/#object/sent_email__v/VBL000000031027", "SE-001439201")</f>
        <v>SE-001439201</v>
      </c>
      <c r="F862" s="25">
        <v>46205.461400462962</v>
      </c>
      <c r="G862" s="24">
        <v>1</v>
      </c>
      <c r="H862" s="24">
        <v>1</v>
      </c>
      <c r="I862" s="24">
        <v>0</v>
      </c>
      <c r="J862" s="23"/>
      <c r="K862" s="24">
        <v>0</v>
      </c>
      <c r="L862" s="22" t="str">
        <f>HYPERLINK("https://otsuka-europe-crm.veevavault.com/ui/#object/approved_document__v/V5O00000001R001", "INA - VAE Cierre ""Nos quedamos en Casa""")</f>
        <v>INA - VAE Cierre "Nos quedamos en Casa"</v>
      </c>
      <c r="M862" s="22" t="str">
        <f>HYPERLINK("mailto:jguri@crm.otsuka-europe.com", "jguri@crm.otsuka-europe.com")</f>
        <v>jguri@crm.otsuka-europe.com</v>
      </c>
      <c r="N862" s="25">
        <v>46205.461145833331</v>
      </c>
      <c r="O862" s="14" t="str">
        <f>HYPERLINK("https://otsuka-europe-crm.veevavault.com/ui/#object/email_activity__v/V8C000000043064", "EN-002101646")</f>
        <v>EN-002101646</v>
      </c>
    </row>
    <row r="863" spans="1:15" ht="16" x14ac:dyDescent="0.2">
      <c r="A863" s="19"/>
      <c r="B863" s="19"/>
      <c r="C863" s="19"/>
      <c r="D863" s="19"/>
      <c r="E863" s="19"/>
      <c r="F863" s="19"/>
      <c r="G863" s="19"/>
      <c r="H863" s="19"/>
      <c r="I863" s="19"/>
      <c r="J863" s="19"/>
      <c r="K863" s="19"/>
      <c r="L863" s="19"/>
      <c r="M863" s="19"/>
      <c r="N863" s="19"/>
      <c r="O863" s="14" t="str">
        <f>HYPERLINK("https://otsuka-europe-crm.veevavault.com/ui/#object/email_activity__v/V8C000000044017", "EN-002101611")</f>
        <v>EN-002101611</v>
      </c>
    </row>
    <row r="864" spans="1:15" ht="32" x14ac:dyDescent="0.2">
      <c r="A864" s="7" t="str">
        <f>HYPERLINK("https://otsuka-europe-crm.veevavault.com/ui/#object/account__v/V4TZ025E877J2W1", "IRENE SANCHEZ VADILLO")</f>
        <v>IRENE SANCHEZ VADILLO</v>
      </c>
      <c r="B864" s="7" t="str">
        <f>HYPERLINK("https://otsuka-europe-crm.veevavault.com/ui/#object/vcountry__v/VENZ000004SONF5", "ES")</f>
        <v>ES</v>
      </c>
      <c r="C864" s="8" t="s">
        <v>39</v>
      </c>
      <c r="D864" s="9" t="str">
        <f>HYPERLINK("https://otsuka-europe-crm.veevavault.com/ui/#object/approved_document__v/V5O00000001R001", "INA - VAE Cierre ""Nos quedamos en Casa""")</f>
        <v>INA - VAE Cierre "Nos quedamos en Casa"</v>
      </c>
      <c r="E864" s="10" t="str">
        <f>HYPERLINK("https://otsuka-europe-crm.veevavault.com/ui/#object/sent_email__v/VBL000000031028", "SE-001439202")</f>
        <v>SE-001439202</v>
      </c>
      <c r="F864" s="11"/>
      <c r="G864" s="12">
        <v>0</v>
      </c>
      <c r="H864" s="12">
        <v>0</v>
      </c>
      <c r="I864" s="12">
        <v>0</v>
      </c>
      <c r="J864" s="11"/>
      <c r="K864" s="12">
        <v>0</v>
      </c>
      <c r="L864" s="10" t="str">
        <f>HYPERLINK("https://otsuka-europe-crm.veevavault.com/ui/#object/approved_document__v/V5O00000001R001", "INA - VAE Cierre ""Nos quedamos en Casa""")</f>
        <v>INA - VAE Cierre "Nos quedamos en Casa"</v>
      </c>
      <c r="M864" s="10" t="str">
        <f>HYPERLINK("mailto:jguri@crm.otsuka-europe.com", "jguri@crm.otsuka-europe.com")</f>
        <v>jguri@crm.otsuka-europe.com</v>
      </c>
      <c r="N864" s="13">
        <v>46205.461157407408</v>
      </c>
      <c r="O864" s="14" t="str">
        <f>HYPERLINK("https://otsuka-europe-crm.veevavault.com/ui/#object/email_activity__v/V8C000000044024", "EN-002101623")</f>
        <v>EN-002101623</v>
      </c>
    </row>
    <row r="865" spans="1:15" ht="16" x14ac:dyDescent="0.2">
      <c r="A865" s="18" t="str">
        <f>HYPERLINK("https://otsuka-europe-crm.veevavault.com/ui/#object/account__v/V4TZ025E88Y8G39", "MARIA VELASCO TROYANO")</f>
        <v>MARIA VELASCO TROYANO</v>
      </c>
      <c r="B865" s="18" t="str">
        <f>HYPERLINK("https://otsuka-europe-crm.veevavault.com/ui/#object/vcountry__v/VENZ000004SONF5", "ES")</f>
        <v>ES</v>
      </c>
      <c r="C865" s="20" t="s">
        <v>39</v>
      </c>
      <c r="D865" s="21" t="str">
        <f>HYPERLINK("https://otsuka-europe-crm.veevavault.com/ui/#object/approved_document__v/V5O00000001R001", "INA - VAE Cierre ""Nos quedamos en Casa""")</f>
        <v>INA - VAE Cierre "Nos quedamos en Casa"</v>
      </c>
      <c r="E865" s="22" t="str">
        <f>HYPERLINK("https://otsuka-europe-crm.veevavault.com/ui/#object/sent_email__v/VBL000000031029", "SE-001439203")</f>
        <v>SE-001439203</v>
      </c>
      <c r="F865" s="25">
        <v>46205.559490740743</v>
      </c>
      <c r="G865" s="24">
        <v>1</v>
      </c>
      <c r="H865" s="24">
        <v>1</v>
      </c>
      <c r="I865" s="24">
        <v>0</v>
      </c>
      <c r="J865" s="23"/>
      <c r="K865" s="24">
        <v>0</v>
      </c>
      <c r="L865" s="22" t="str">
        <f>HYPERLINK("https://otsuka-europe-crm.veevavault.com/ui/#object/approved_document__v/V5O00000001R001", "INA - VAE Cierre ""Nos quedamos en Casa""")</f>
        <v>INA - VAE Cierre "Nos quedamos en Casa"</v>
      </c>
      <c r="M865" s="22" t="str">
        <f>HYPERLINK("mailto:jguri@crm.otsuka-europe.com", "jguri@crm.otsuka-europe.com")</f>
        <v>jguri@crm.otsuka-europe.com</v>
      </c>
      <c r="N865" s="25">
        <v>46205.461157407408</v>
      </c>
      <c r="O865" s="14" t="str">
        <f>HYPERLINK("https://otsuka-europe-crm.veevavault.com/ui/#object/email_activity__v/V8C000000044023", "EN-002101622")</f>
        <v>EN-002101622</v>
      </c>
    </row>
    <row r="866" spans="1:15" ht="16" x14ac:dyDescent="0.2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/>
      <c r="L866" s="19"/>
      <c r="M866" s="19"/>
      <c r="N866" s="19"/>
      <c r="O866" s="14" t="str">
        <f>HYPERLINK("https://otsuka-europe-crm.veevavault.com/ui/#object/email_activity__v/V8C000000044040", "EN-002101677")</f>
        <v>EN-002101677</v>
      </c>
    </row>
    <row r="867" spans="1:15" ht="16" x14ac:dyDescent="0.2">
      <c r="A867" s="18" t="str">
        <f>HYPERLINK("https://otsuka-europe-crm.veevavault.com/ui/#object/account__v/V4TZ025E87QDOCC", "MARIA JESUS RODRIGUEZ DOMINGUEZ")</f>
        <v>MARIA JESUS RODRIGUEZ DOMINGUEZ</v>
      </c>
      <c r="B867" s="18" t="str">
        <f>HYPERLINK("https://otsuka-europe-crm.veevavault.com/ui/#object/vcountry__v/VENZ000004SONF5", "ES")</f>
        <v>ES</v>
      </c>
      <c r="C867" s="20" t="s">
        <v>39</v>
      </c>
      <c r="D867" s="21" t="str">
        <f>HYPERLINK("https://otsuka-europe-crm.veevavault.com/ui/#object/approved_document__v/V5O00000001R001", "INA - VAE Cierre ""Nos quedamos en Casa""")</f>
        <v>INA - VAE Cierre "Nos quedamos en Casa"</v>
      </c>
      <c r="E867" s="22" t="str">
        <f>HYPERLINK("https://otsuka-europe-crm.veevavault.com/ui/#object/sent_email__v/VBL000000031030", "SE-001439204")</f>
        <v>SE-001439204</v>
      </c>
      <c r="F867" s="25">
        <v>46216.605300925927</v>
      </c>
      <c r="G867" s="24">
        <v>1</v>
      </c>
      <c r="H867" s="24">
        <v>6</v>
      </c>
      <c r="I867" s="24">
        <v>0</v>
      </c>
      <c r="J867" s="23"/>
      <c r="K867" s="24">
        <v>0</v>
      </c>
      <c r="L867" s="22" t="str">
        <f>HYPERLINK("https://otsuka-europe-crm.veevavault.com/ui/#object/approved_document__v/V5O00000001R001", "INA - VAE Cierre ""Nos quedamos en Casa""")</f>
        <v>INA - VAE Cierre "Nos quedamos en Casa"</v>
      </c>
      <c r="M867" s="22" t="str">
        <f>HYPERLINK("mailto:jguri@crm.otsuka-europe.com", "jguri@crm.otsuka-europe.com")</f>
        <v>jguri@crm.otsuka-europe.com</v>
      </c>
      <c r="N867" s="25">
        <v>46205.461157407408</v>
      </c>
      <c r="O867" s="14" t="str">
        <f>HYPERLINK("https://otsuka-europe-crm.veevavault.com/ui/#object/email_activity__v/V8C000000043063", "EN-002101645")</f>
        <v>EN-002101645</v>
      </c>
    </row>
    <row r="868" spans="1:15" ht="16" x14ac:dyDescent="0.2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14" t="str">
        <f>HYPERLINK("https://otsuka-europe-crm.veevavault.com/ui/#object/email_activity__v/V8C000000043066", "EN-002101648")</f>
        <v>EN-002101648</v>
      </c>
    </row>
    <row r="869" spans="1:15" ht="16" x14ac:dyDescent="0.2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14" t="str">
        <f>HYPERLINK("https://otsuka-europe-crm.veevavault.com/ui/#object/email_activity__v/V8C000000043075", "EN-002101667")</f>
        <v>EN-002101667</v>
      </c>
    </row>
    <row r="870" spans="1:15" ht="16" x14ac:dyDescent="0.2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14" t="str">
        <f>HYPERLINK("https://otsuka-europe-crm.veevavault.com/ui/#object/email_activity__v/V8C000000043102", "EN-002101721")</f>
        <v>EN-002101721</v>
      </c>
    </row>
    <row r="871" spans="1:15" ht="16" x14ac:dyDescent="0.2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14" t="str">
        <f>HYPERLINK("https://otsuka-europe-crm.veevavault.com/ui/#object/email_activity__v/V8C000000044026", "EN-002101649")</f>
        <v>EN-002101649</v>
      </c>
    </row>
    <row r="872" spans="1:15" ht="16" x14ac:dyDescent="0.2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14" t="str">
        <f>HYPERLINK("https://otsuka-europe-crm.veevavault.com/ui/#object/email_activity__v/V8C000000044045", "EN-002101685")</f>
        <v>EN-002101685</v>
      </c>
    </row>
    <row r="873" spans="1:15" ht="16" x14ac:dyDescent="0.2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14" t="str">
        <f>HYPERLINK("https://otsuka-europe-crm.veevavault.com/ui/#object/email_activity__v/V8C000000044065", "EN-002101725")</f>
        <v>EN-002101725</v>
      </c>
    </row>
    <row r="874" spans="1:15" ht="16" x14ac:dyDescent="0.2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14" t="str">
        <f>HYPERLINK("https://otsuka-europe-crm.veevavault.com/ui/#object/email_activity__v/V8C000000049361", "EN-002105527")</f>
        <v>EN-002105527</v>
      </c>
    </row>
    <row r="875" spans="1:15" ht="16" x14ac:dyDescent="0.2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/>
      <c r="N875" s="19"/>
      <c r="O875" s="14" t="str">
        <f>HYPERLINK("https://otsuka-europe-crm.veevavault.com/ui/#object/email_activity__v/V8C000000049362", "EN-002105528")</f>
        <v>EN-002105528</v>
      </c>
    </row>
    <row r="876" spans="1:15" ht="32" x14ac:dyDescent="0.2">
      <c r="A876" s="7" t="str">
        <f>HYPERLINK("https://otsuka-europe-crm.veevavault.com/ui/#object/account__v/V4T00000000O040", "JULIO GARCIA SUAREZ")</f>
        <v>JULIO GARCIA SUAREZ</v>
      </c>
      <c r="B876" s="7" t="str">
        <f>HYPERLINK("https://otsuka-europe-crm.veevavault.com/ui/#object/vcountry__v/VENZ000004SONF5", "ES")</f>
        <v>ES</v>
      </c>
      <c r="C876" s="8" t="s">
        <v>39</v>
      </c>
      <c r="D876" s="9" t="str">
        <f>HYPERLINK("https://otsuka-europe-crm.veevavault.com/ui/#object/approved_document__v/V5O00000001R001", "INA - VAE Cierre ""Nos quedamos en Casa""")</f>
        <v>INA - VAE Cierre "Nos quedamos en Casa"</v>
      </c>
      <c r="E876" s="10" t="str">
        <f>HYPERLINK("https://otsuka-europe-crm.veevavault.com/ui/#object/sent_email__v/VBL000000031031", "SE-001439205")</f>
        <v>SE-001439205</v>
      </c>
      <c r="F876" s="11"/>
      <c r="G876" s="12">
        <v>0</v>
      </c>
      <c r="H876" s="12">
        <v>0</v>
      </c>
      <c r="I876" s="12">
        <v>0</v>
      </c>
      <c r="J876" s="11"/>
      <c r="K876" s="12">
        <v>0</v>
      </c>
      <c r="L876" s="10" t="str">
        <f>HYPERLINK("https://otsuka-europe-crm.veevavault.com/ui/#object/approved_document__v/V5O00000001R001", "INA - VAE Cierre ""Nos quedamos en Casa""")</f>
        <v>INA - VAE Cierre "Nos quedamos en Casa"</v>
      </c>
      <c r="M876" s="10" t="str">
        <f>HYPERLINK("mailto:jguri@crm.otsuka-europe.com", "jguri@crm.otsuka-europe.com")</f>
        <v>jguri@crm.otsuka-europe.com</v>
      </c>
      <c r="N876" s="13">
        <v>46205.461157407408</v>
      </c>
      <c r="O876" s="14" t="str">
        <f>HYPERLINK("https://otsuka-europe-crm.veevavault.com/ui/#object/email_activity__v/V8C000000043026", "EN-002101599")</f>
        <v>EN-002101599</v>
      </c>
    </row>
    <row r="877" spans="1:15" ht="32" x14ac:dyDescent="0.2">
      <c r="A877" s="7" t="str">
        <f>HYPERLINK("https://otsuka-europe-crm.veevavault.com/ui/#object/account__v/V4TZ025E834QQS2", "FRANCISCO JAVIER PEÑALVER PARRAGA")</f>
        <v>FRANCISCO JAVIER PEÑALVER PARRAGA</v>
      </c>
      <c r="B877" s="7" t="str">
        <f>HYPERLINK("https://otsuka-europe-crm.veevavault.com/ui/#object/vcountry__v/VENZ000004SONF5", "ES")</f>
        <v>ES</v>
      </c>
      <c r="C877" s="8" t="s">
        <v>39</v>
      </c>
      <c r="D877" s="9" t="str">
        <f>HYPERLINK("https://otsuka-europe-crm.veevavault.com/ui/#object/approved_document__v/V5O00000001R001", "INA - VAE Cierre ""Nos quedamos en Casa""")</f>
        <v>INA - VAE Cierre "Nos quedamos en Casa"</v>
      </c>
      <c r="E877" s="10" t="str">
        <f>HYPERLINK("https://otsuka-europe-crm.veevavault.com/ui/#object/sent_email__v/VBL000000031032", "SE-001439206")</f>
        <v>SE-001439206</v>
      </c>
      <c r="F877" s="11"/>
      <c r="G877" s="12">
        <v>0</v>
      </c>
      <c r="H877" s="12">
        <v>0</v>
      </c>
      <c r="I877" s="12">
        <v>0</v>
      </c>
      <c r="J877" s="11"/>
      <c r="K877" s="12">
        <v>0</v>
      </c>
      <c r="L877" s="10" t="str">
        <f>HYPERLINK("https://otsuka-europe-crm.veevavault.com/ui/#object/approved_document__v/V5O00000001R001", "INA - VAE Cierre ""Nos quedamos en Casa""")</f>
        <v>INA - VAE Cierre "Nos quedamos en Casa"</v>
      </c>
      <c r="M877" s="10" t="str">
        <f>HYPERLINK("mailto:jguri@crm.otsuka-europe.com", "jguri@crm.otsuka-europe.com")</f>
        <v>jguri@crm.otsuka-europe.com</v>
      </c>
      <c r="N877" s="13">
        <v>46205.461157407408</v>
      </c>
      <c r="O877" s="14" t="str">
        <f>HYPERLINK("https://otsuka-europe-crm.veevavault.com/ui/#object/email_activity__v/V8C000000043037", "EN-002101610")</f>
        <v>EN-002101610</v>
      </c>
    </row>
    <row r="878" spans="1:15" ht="16" x14ac:dyDescent="0.2">
      <c r="A878" s="18" t="str">
        <f>HYPERLINK("https://otsuka-europe-crm.veevavault.com/ui/#object/account__v/V4TZ025E83PNUFI", "ROSA MARIA LOPEZ LOPEZ")</f>
        <v>ROSA MARIA LOPEZ LOPEZ</v>
      </c>
      <c r="B878" s="18" t="str">
        <f>HYPERLINK("https://otsuka-europe-crm.veevavault.com/ui/#object/vcountry__v/VENZ000004SONF5", "ES")</f>
        <v>ES</v>
      </c>
      <c r="C878" s="20" t="s">
        <v>39</v>
      </c>
      <c r="D878" s="21" t="str">
        <f>HYPERLINK("https://otsuka-europe-crm.veevavault.com/ui/#object/approved_document__v/V5O00000001R001", "INA - VAE Cierre ""Nos quedamos en Casa""")</f>
        <v>INA - VAE Cierre "Nos quedamos en Casa"</v>
      </c>
      <c r="E878" s="22" t="str">
        <f>HYPERLINK("https://otsuka-europe-crm.veevavault.com/ui/#object/sent_email__v/VBL000000031033", "SE-001439207")</f>
        <v>SE-001439207</v>
      </c>
      <c r="F878" s="25">
        <v>46205.483749999999</v>
      </c>
      <c r="G878" s="24">
        <v>1</v>
      </c>
      <c r="H878" s="24">
        <v>2</v>
      </c>
      <c r="I878" s="24">
        <v>0</v>
      </c>
      <c r="J878" s="23"/>
      <c r="K878" s="24">
        <v>0</v>
      </c>
      <c r="L878" s="22" t="str">
        <f>HYPERLINK("https://otsuka-europe-crm.veevavault.com/ui/#object/approved_document__v/V5O00000001R001", "INA - VAE Cierre ""Nos quedamos en Casa""")</f>
        <v>INA - VAE Cierre "Nos quedamos en Casa"</v>
      </c>
      <c r="M878" s="22" t="str">
        <f>HYPERLINK("mailto:jguri@crm.otsuka-europe.com", "jguri@crm.otsuka-europe.com")</f>
        <v>jguri@crm.otsuka-europe.com</v>
      </c>
      <c r="N878" s="25">
        <v>46205.461157407408</v>
      </c>
      <c r="O878" s="14" t="str">
        <f>HYPERLINK("https://otsuka-europe-crm.veevavault.com/ui/#object/email_activity__v/V8C000000043045", "EN-002101627")</f>
        <v>EN-002101627</v>
      </c>
    </row>
    <row r="879" spans="1:15" ht="16" x14ac:dyDescent="0.2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14" t="str">
        <f>HYPERLINK("https://otsuka-europe-crm.veevavault.com/ui/#object/email_activity__v/V8C000000044030", "EN-002101655")</f>
        <v>EN-002101655</v>
      </c>
    </row>
    <row r="880" spans="1:15" ht="16" x14ac:dyDescent="0.2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/>
      <c r="L880" s="19"/>
      <c r="M880" s="19"/>
      <c r="N880" s="19"/>
      <c r="O880" s="14" t="str">
        <f>HYPERLINK("https://otsuka-europe-crm.veevavault.com/ui/#object/email_activity__v/V8C000000044031", "EN-002101656")</f>
        <v>EN-002101656</v>
      </c>
    </row>
    <row r="881" spans="1:15" ht="16" x14ac:dyDescent="0.2">
      <c r="A881" s="18" t="str">
        <f>HYPERLINK("https://otsuka-europe-crm.veevavault.com/ui/#object/account__v/V4TZ025E86P7SMP", "PERLA SALAMA BENDAYAN")</f>
        <v>PERLA SALAMA BENDAYAN</v>
      </c>
      <c r="B881" s="18" t="str">
        <f>HYPERLINK("https://otsuka-europe-crm.veevavault.com/ui/#object/vcountry__v/VENZ000004SONF5", "ES")</f>
        <v>ES</v>
      </c>
      <c r="C881" s="20" t="s">
        <v>39</v>
      </c>
      <c r="D881" s="21" t="str">
        <f>HYPERLINK("https://otsuka-europe-crm.veevavault.com/ui/#object/approved_document__v/V5O00000001R001", "INA - VAE Cierre ""Nos quedamos en Casa""")</f>
        <v>INA - VAE Cierre "Nos quedamos en Casa"</v>
      </c>
      <c r="E881" s="22" t="str">
        <f>HYPERLINK("https://otsuka-europe-crm.veevavault.com/ui/#object/sent_email__v/VBL000000031034", "SE-001439208")</f>
        <v>SE-001439208</v>
      </c>
      <c r="F881" s="25">
        <v>46206.016192129631</v>
      </c>
      <c r="G881" s="24">
        <v>1</v>
      </c>
      <c r="H881" s="24">
        <v>1</v>
      </c>
      <c r="I881" s="24">
        <v>0</v>
      </c>
      <c r="J881" s="23"/>
      <c r="K881" s="24">
        <v>0</v>
      </c>
      <c r="L881" s="22" t="str">
        <f>HYPERLINK("https://otsuka-europe-crm.veevavault.com/ui/#object/approved_document__v/V5O00000001R001", "INA - VAE Cierre ""Nos quedamos en Casa""")</f>
        <v>INA - VAE Cierre "Nos quedamos en Casa"</v>
      </c>
      <c r="M881" s="22" t="str">
        <f>HYPERLINK("mailto:jguri@crm.otsuka-europe.com", "jguri@crm.otsuka-europe.com")</f>
        <v>jguri@crm.otsuka-europe.com</v>
      </c>
      <c r="N881" s="25">
        <v>46205.461157407408</v>
      </c>
      <c r="O881" s="14" t="str">
        <f>HYPERLINK("https://otsuka-europe-crm.veevavault.com/ui/#object/email_activity__v/V8C000000043048", "EN-002101630")</f>
        <v>EN-002101630</v>
      </c>
    </row>
    <row r="882" spans="1:15" ht="16" x14ac:dyDescent="0.2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14" t="str">
        <f>HYPERLINK("https://otsuka-europe-crm.veevavault.com/ui/#object/email_activity__v/V8C000000043106", "EN-002101729")</f>
        <v>EN-002101729</v>
      </c>
    </row>
    <row r="883" spans="1:15" ht="16" x14ac:dyDescent="0.2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19"/>
      <c r="L883" s="19"/>
      <c r="M883" s="19"/>
      <c r="N883" s="19"/>
      <c r="O883" s="14" t="str">
        <f>HYPERLINK("https://otsuka-europe-crm.veevavault.com/ui/#object/email_activity__v/V8C000000043128", "EN-002101780")</f>
        <v>EN-002101780</v>
      </c>
    </row>
    <row r="884" spans="1:15" ht="32" x14ac:dyDescent="0.2">
      <c r="A884" s="7" t="str">
        <f>HYPERLINK("https://otsuka-europe-crm.veevavault.com/ui/#object/account__v/V4TZ025E83OT2Y1", "SARA CACERES HERNANDEZ")</f>
        <v>SARA CACERES HERNANDEZ</v>
      </c>
      <c r="B884" s="7" t="str">
        <f>HYPERLINK("https://otsuka-europe-crm.veevavault.com/ui/#object/vcountry__v/VENZ000004SONF5", "ES")</f>
        <v>ES</v>
      </c>
      <c r="C884" s="8" t="s">
        <v>39</v>
      </c>
      <c r="D884" s="9" t="str">
        <f>HYPERLINK("https://otsuka-europe-crm.veevavault.com/ui/#object/approved_document__v/V5O00000001R001", "INA - VAE Cierre ""Nos quedamos en Casa""")</f>
        <v>INA - VAE Cierre "Nos quedamos en Casa"</v>
      </c>
      <c r="E884" s="10" t="str">
        <f>HYPERLINK("https://otsuka-europe-crm.veevavault.com/ui/#object/sent_email__v/VBL000000031035", "SE-001439209")</f>
        <v>SE-001439209</v>
      </c>
      <c r="F884" s="11"/>
      <c r="G884" s="12">
        <v>0</v>
      </c>
      <c r="H884" s="12">
        <v>0</v>
      </c>
      <c r="I884" s="12">
        <v>0</v>
      </c>
      <c r="J884" s="11"/>
      <c r="K884" s="12">
        <v>0</v>
      </c>
      <c r="L884" s="10" t="str">
        <f>HYPERLINK("https://otsuka-europe-crm.veevavault.com/ui/#object/approved_document__v/V5O00000001R001", "INA - VAE Cierre ""Nos quedamos en Casa""")</f>
        <v>INA - VAE Cierre "Nos quedamos en Casa"</v>
      </c>
      <c r="M884" s="10" t="str">
        <f>HYPERLINK("mailto:jguri@crm.otsuka-europe.com", "jguri@crm.otsuka-europe.com")</f>
        <v>jguri@crm.otsuka-europe.com</v>
      </c>
      <c r="N884" s="13">
        <v>46205.461157407408</v>
      </c>
      <c r="O884" s="14" t="str">
        <f>HYPERLINK("https://otsuka-europe-crm.veevavault.com/ui/#object/email_activity__v/V8C000000043032", "EN-002101605")</f>
        <v>EN-002101605</v>
      </c>
    </row>
    <row r="885" spans="1:15" ht="16" x14ac:dyDescent="0.2">
      <c r="A885" s="18" t="str">
        <f>HYPERLINK("https://otsuka-europe-crm.veevavault.com/ui/#object/account__v/V4T000000010126", "SISSY FIORELLA MEDINA SALAZAR")</f>
        <v>SISSY FIORELLA MEDINA SALAZAR</v>
      </c>
      <c r="B885" s="18" t="str">
        <f>HYPERLINK("https://otsuka-europe-crm.veevavault.com/ui/#object/vcountry__v/VENZ000004SONF5", "ES")</f>
        <v>ES</v>
      </c>
      <c r="C885" s="20" t="s">
        <v>39</v>
      </c>
      <c r="D885" s="21" t="str">
        <f>HYPERLINK("https://otsuka-europe-crm.veevavault.com/ui/#object/approved_document__v/V5O00000001R001", "INA - VAE Cierre ""Nos quedamos en Casa""")</f>
        <v>INA - VAE Cierre "Nos quedamos en Casa"</v>
      </c>
      <c r="E885" s="22" t="str">
        <f>HYPERLINK("https://otsuka-europe-crm.veevavault.com/ui/#object/sent_email__v/VBL000000031036", "SE-001439210")</f>
        <v>SE-001439210</v>
      </c>
      <c r="F885" s="23"/>
      <c r="G885" s="24">
        <v>0</v>
      </c>
      <c r="H885" s="24">
        <v>0</v>
      </c>
      <c r="I885" s="24">
        <v>0</v>
      </c>
      <c r="J885" s="23"/>
      <c r="K885" s="24">
        <v>0</v>
      </c>
      <c r="L885" s="22" t="str">
        <f>HYPERLINK("https://otsuka-europe-crm.veevavault.com/ui/#object/approved_document__v/V5O00000001R001", "INA - VAE Cierre ""Nos quedamos en Casa""")</f>
        <v>INA - VAE Cierre "Nos quedamos en Casa"</v>
      </c>
      <c r="M885" s="22" t="str">
        <f>HYPERLINK("mailto:jguri@crm.otsuka-europe.com", "jguri@crm.otsuka-europe.com")</f>
        <v>jguri@crm.otsuka-europe.com</v>
      </c>
      <c r="N885" s="25">
        <v>46205.461157407408</v>
      </c>
      <c r="O885" s="14" t="str">
        <f>HYPERLINK("https://otsuka-europe-crm.veevavault.com/ui/#object/email_activity__v/V8C000000043051", "EN-002101633")</f>
        <v>EN-002101633</v>
      </c>
    </row>
    <row r="886" spans="1:15" ht="16" x14ac:dyDescent="0.2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/>
      <c r="N886" s="19"/>
      <c r="O886" s="14" t="str">
        <f>HYPERLINK("https://otsuka-europe-crm.veevavault.com/ui/#object/email_activity__v/V8C000000043087", "EN-002101697")</f>
        <v>EN-002101697</v>
      </c>
    </row>
    <row r="887" spans="1:15" ht="32" x14ac:dyDescent="0.2">
      <c r="A887" s="7" t="str">
        <f>HYPERLINK("https://otsuka-europe-crm.veevavault.com/ui/#object/account__v/V4TZ025E861QDG1", "RAQUEL MARTINEZ FERNANDEZ")</f>
        <v>RAQUEL MARTINEZ FERNANDEZ</v>
      </c>
      <c r="B887" s="7" t="str">
        <f>HYPERLINK("https://otsuka-europe-crm.veevavault.com/ui/#object/vcountry__v/VENZ000004SONF5", "ES")</f>
        <v>ES</v>
      </c>
      <c r="C887" s="8" t="s">
        <v>39</v>
      </c>
      <c r="D887" s="9" t="str">
        <f>HYPERLINK("https://otsuka-europe-crm.veevavault.com/ui/#object/approved_document__v/V5O00000001R001", "INA - VAE Cierre ""Nos quedamos en Casa""")</f>
        <v>INA - VAE Cierre "Nos quedamos en Casa"</v>
      </c>
      <c r="E887" s="10" t="str">
        <f>HYPERLINK("https://otsuka-europe-crm.veevavault.com/ui/#object/sent_email__v/VBL000000031037", "SE-001439211")</f>
        <v>SE-001439211</v>
      </c>
      <c r="F887" s="11"/>
      <c r="G887" s="12">
        <v>0</v>
      </c>
      <c r="H887" s="12">
        <v>0</v>
      </c>
      <c r="I887" s="12">
        <v>0</v>
      </c>
      <c r="J887" s="11"/>
      <c r="K887" s="12">
        <v>0</v>
      </c>
      <c r="L887" s="10" t="str">
        <f>HYPERLINK("https://otsuka-europe-crm.veevavault.com/ui/#object/approved_document__v/V5O00000001R001", "INA - VAE Cierre ""Nos quedamos en Casa""")</f>
        <v>INA - VAE Cierre "Nos quedamos en Casa"</v>
      </c>
      <c r="M887" s="10" t="str">
        <f>HYPERLINK("mailto:jguri@crm.otsuka-europe.com", "jguri@crm.otsuka-europe.com")</f>
        <v>jguri@crm.otsuka-europe.com</v>
      </c>
      <c r="N887" s="13">
        <v>46205.461157407408</v>
      </c>
      <c r="O887" s="14" t="str">
        <f>HYPERLINK("https://otsuka-europe-crm.veevavault.com/ui/#object/email_activity__v/V8C000000043060", "EN-002101642")</f>
        <v>EN-002101642</v>
      </c>
    </row>
    <row r="888" spans="1:15" ht="32" x14ac:dyDescent="0.2">
      <c r="A888" s="7" t="str">
        <f>HYPERLINK("https://otsuka-europe-crm.veevavault.com/ui/#object/account__v/V4TZ025E83OC0A9", "DANYLO PALOMINO MENDOZA")</f>
        <v>DANYLO PALOMINO MENDOZA</v>
      </c>
      <c r="B888" s="7" t="str">
        <f>HYPERLINK("https://otsuka-europe-crm.veevavault.com/ui/#object/vcountry__v/VENZ000004SONF5", "ES")</f>
        <v>ES</v>
      </c>
      <c r="C888" s="8" t="s">
        <v>39</v>
      </c>
      <c r="D888" s="9" t="str">
        <f>HYPERLINK("https://otsuka-europe-crm.veevavault.com/ui/#object/approved_document__v/V5O00000001R001", "INA - VAE Cierre ""Nos quedamos en Casa""")</f>
        <v>INA - VAE Cierre "Nos quedamos en Casa"</v>
      </c>
      <c r="E888" s="10" t="str">
        <f>HYPERLINK("https://otsuka-europe-crm.veevavault.com/ui/#object/sent_email__v/VBL000000031038", "SE-001439212")</f>
        <v>SE-001439212</v>
      </c>
      <c r="F888" s="11"/>
      <c r="G888" s="12">
        <v>0</v>
      </c>
      <c r="H888" s="12">
        <v>0</v>
      </c>
      <c r="I888" s="12">
        <v>0</v>
      </c>
      <c r="J888" s="11"/>
      <c r="K888" s="12">
        <v>0</v>
      </c>
      <c r="L888" s="10" t="str">
        <f>HYPERLINK("https://otsuka-europe-crm.veevavault.com/ui/#object/approved_document__v/V5O00000001R001", "INA - VAE Cierre ""Nos quedamos en Casa""")</f>
        <v>INA - VAE Cierre "Nos quedamos en Casa"</v>
      </c>
      <c r="M888" s="10" t="str">
        <f>HYPERLINK("mailto:jguri@crm.otsuka-europe.com", "jguri@crm.otsuka-europe.com")</f>
        <v>jguri@crm.otsuka-europe.com</v>
      </c>
      <c r="N888" s="13">
        <v>46205.461157407408</v>
      </c>
      <c r="O888" s="14" t="str">
        <f>HYPERLINK("https://otsuka-europe-crm.veevavault.com/ui/#object/email_activity__v/V8C000000043028", "EN-002101601")</f>
        <v>EN-002101601</v>
      </c>
    </row>
    <row r="889" spans="1:15" ht="32" x14ac:dyDescent="0.2">
      <c r="A889" s="7" t="str">
        <f>HYPERLINK("https://otsuka-europe-crm.veevavault.com/ui/#object/account__v/V4TZ06G6O71T83I", "PATRICIA GARCIA RAMIREZ")</f>
        <v>PATRICIA GARCIA RAMIREZ</v>
      </c>
      <c r="B889" s="7" t="str">
        <f>HYPERLINK("https://otsuka-europe-crm.veevavault.com/ui/#object/vcountry__v/VENZ000004SONF5", "ES")</f>
        <v>ES</v>
      </c>
      <c r="C889" s="8" t="s">
        <v>39</v>
      </c>
      <c r="D889" s="9" t="str">
        <f>HYPERLINK("https://otsuka-europe-crm.veevavault.com/ui/#object/approved_document__v/V5O00000001R001", "INA - VAE Cierre ""Nos quedamos en Casa""")</f>
        <v>INA - VAE Cierre "Nos quedamos en Casa"</v>
      </c>
      <c r="E889" s="10" t="str">
        <f>HYPERLINK("https://otsuka-europe-crm.veevavault.com/ui/#object/sent_email__v/VBL000000031039", "SE-001439213")</f>
        <v>SE-001439213</v>
      </c>
      <c r="F889" s="11"/>
      <c r="G889" s="12">
        <v>0</v>
      </c>
      <c r="H889" s="12">
        <v>0</v>
      </c>
      <c r="I889" s="12">
        <v>0</v>
      </c>
      <c r="J889" s="11"/>
      <c r="K889" s="12">
        <v>0</v>
      </c>
      <c r="L889" s="10" t="str">
        <f>HYPERLINK("https://otsuka-europe-crm.veevavault.com/ui/#object/approved_document__v/V5O00000001R001", "INA - VAE Cierre ""Nos quedamos en Casa""")</f>
        <v>INA - VAE Cierre "Nos quedamos en Casa"</v>
      </c>
      <c r="M889" s="10" t="str">
        <f>HYPERLINK("mailto:jguri@crm.otsuka-europe.com", "jguri@crm.otsuka-europe.com")</f>
        <v>jguri@crm.otsuka-europe.com</v>
      </c>
      <c r="N889" s="13">
        <v>46205.461157407408</v>
      </c>
      <c r="O889" s="14" t="str">
        <f>HYPERLINK("https://otsuka-europe-crm.veevavault.com/ui/#object/email_activity__v/V8C000000043041", "EN-002101619")</f>
        <v>EN-002101619</v>
      </c>
    </row>
    <row r="890" spans="1:15" ht="16" x14ac:dyDescent="0.2">
      <c r="A890" s="18" t="str">
        <f>HYPERLINK("https://otsuka-europe-crm.veevavault.com/ui/#object/account__v/V4TZ06G6O71T83Y", "JACOBO ROGADO REVUELTA")</f>
        <v>JACOBO ROGADO REVUELTA</v>
      </c>
      <c r="B890" s="18" t="str">
        <f>HYPERLINK("https://otsuka-europe-crm.veevavault.com/ui/#object/vcountry__v/VENZ000004SONF5", "ES")</f>
        <v>ES</v>
      </c>
      <c r="C890" s="20" t="s">
        <v>39</v>
      </c>
      <c r="D890" s="21" t="str">
        <f>HYPERLINK("https://otsuka-europe-crm.veevavault.com/ui/#object/approved_document__v/V5O00000001R001", "INA - VAE Cierre ""Nos quedamos en Casa""")</f>
        <v>INA - VAE Cierre "Nos quedamos en Casa"</v>
      </c>
      <c r="E890" s="22" t="str">
        <f>HYPERLINK("https://otsuka-europe-crm.veevavault.com/ui/#object/sent_email__v/VBL000000031040", "SE-001439214")</f>
        <v>SE-001439214</v>
      </c>
      <c r="F890" s="25">
        <v>46205.466550925928</v>
      </c>
      <c r="G890" s="24">
        <v>1</v>
      </c>
      <c r="H890" s="24">
        <v>1</v>
      </c>
      <c r="I890" s="24">
        <v>0</v>
      </c>
      <c r="J890" s="23"/>
      <c r="K890" s="24">
        <v>0</v>
      </c>
      <c r="L890" s="22" t="str">
        <f>HYPERLINK("https://otsuka-europe-crm.veevavault.com/ui/#object/approved_document__v/V5O00000001R001", "INA - VAE Cierre ""Nos quedamos en Casa""")</f>
        <v>INA - VAE Cierre "Nos quedamos en Casa"</v>
      </c>
      <c r="M890" s="22" t="str">
        <f>HYPERLINK("mailto:jguri@crm.otsuka-europe.com", "jguri@crm.otsuka-europe.com")</f>
        <v>jguri@crm.otsuka-europe.com</v>
      </c>
      <c r="N890" s="25">
        <v>46205.461157407408</v>
      </c>
      <c r="O890" s="14" t="str">
        <f>HYPERLINK("https://otsuka-europe-crm.veevavault.com/ui/#object/email_activity__v/V8C000000043068", "EN-002101652")</f>
        <v>EN-002101652</v>
      </c>
    </row>
    <row r="891" spans="1:15" ht="16" x14ac:dyDescent="0.2">
      <c r="A891" s="19"/>
      <c r="B891" s="19"/>
      <c r="C891" s="19"/>
      <c r="D891" s="19"/>
      <c r="E891" s="19"/>
      <c r="F891" s="19"/>
      <c r="G891" s="19"/>
      <c r="H891" s="19"/>
      <c r="I891" s="19"/>
      <c r="J891" s="19"/>
      <c r="K891" s="19"/>
      <c r="L891" s="19"/>
      <c r="M891" s="19"/>
      <c r="N891" s="19"/>
      <c r="O891" s="14" t="str">
        <f>HYPERLINK("https://otsuka-europe-crm.veevavault.com/ui/#object/email_activity__v/V8C000000044021", "EN-002101615")</f>
        <v>EN-002101615</v>
      </c>
    </row>
    <row r="892" spans="1:15" ht="32" x14ac:dyDescent="0.2">
      <c r="A892" s="7" t="str">
        <f>HYPERLINK("https://otsuka-europe-crm.veevavault.com/ui/#object/account__v/V4TZ025E86P31SS", "ESPERANZA ROMERO FERNANDEZ")</f>
        <v>ESPERANZA ROMERO FERNANDEZ</v>
      </c>
      <c r="B892" s="7" t="str">
        <f>HYPERLINK("https://otsuka-europe-crm.veevavault.com/ui/#object/vcountry__v/VENZ000004SONF5", "ES")</f>
        <v>ES</v>
      </c>
      <c r="C892" s="8" t="s">
        <v>39</v>
      </c>
      <c r="D892" s="9" t="str">
        <f>HYPERLINK("https://otsuka-europe-crm.veevavault.com/ui/#object/approved_document__v/V5O00000001R001", "INA - VAE Cierre ""Nos quedamos en Casa""")</f>
        <v>INA - VAE Cierre "Nos quedamos en Casa"</v>
      </c>
      <c r="E892" s="10" t="str">
        <f>HYPERLINK("https://otsuka-europe-crm.veevavault.com/ui/#object/sent_email__v/VBL000000031041", "SE-001439215")</f>
        <v>SE-001439215</v>
      </c>
      <c r="F892" s="11"/>
      <c r="G892" s="12">
        <v>0</v>
      </c>
      <c r="H892" s="12">
        <v>0</v>
      </c>
      <c r="I892" s="12">
        <v>0</v>
      </c>
      <c r="J892" s="11"/>
      <c r="K892" s="12">
        <v>0</v>
      </c>
      <c r="L892" s="10" t="str">
        <f>HYPERLINK("https://otsuka-europe-crm.veevavault.com/ui/#object/approved_document__v/V5O00000001R001", "INA - VAE Cierre ""Nos quedamos en Casa""")</f>
        <v>INA - VAE Cierre "Nos quedamos en Casa"</v>
      </c>
      <c r="M892" s="10" t="str">
        <f>HYPERLINK("mailto:jguri@crm.otsuka-europe.com", "jguri@crm.otsuka-europe.com")</f>
        <v>jguri@crm.otsuka-europe.com</v>
      </c>
      <c r="N892" s="13">
        <v>46205.461157407408</v>
      </c>
      <c r="O892" s="14" t="str">
        <f>HYPERLINK("https://otsuka-europe-crm.veevavault.com/ui/#object/email_activity__v/V8C000000043046", "EN-002101628")</f>
        <v>EN-002101628</v>
      </c>
    </row>
    <row r="893" spans="1:15" ht="32" x14ac:dyDescent="0.2">
      <c r="A893" s="7" t="str">
        <f>HYPERLINK("https://otsuka-europe-crm.veevavault.com/ui/#object/account__v/V4TZ025E83OC2R5", "FRANCISCO FERNANDEZ MORENO")</f>
        <v>FRANCISCO FERNANDEZ MORENO</v>
      </c>
      <c r="B893" s="7" t="str">
        <f>HYPERLINK("https://otsuka-europe-crm.veevavault.com/ui/#object/vcountry__v/VENZ000004SONF5", "ES")</f>
        <v>ES</v>
      </c>
      <c r="C893" s="8" t="s">
        <v>39</v>
      </c>
      <c r="D893" s="9" t="str">
        <f>HYPERLINK("https://otsuka-europe-crm.veevavault.com/ui/#object/approved_document__v/V5O00000001R001", "INA - VAE Cierre ""Nos quedamos en Casa""")</f>
        <v>INA - VAE Cierre "Nos quedamos en Casa"</v>
      </c>
      <c r="E893" s="10" t="str">
        <f>HYPERLINK("https://otsuka-europe-crm.veevavault.com/ui/#object/sent_email__v/VBL000000031042", "SE-001439216")</f>
        <v>SE-001439216</v>
      </c>
      <c r="F893" s="11"/>
      <c r="G893" s="12">
        <v>0</v>
      </c>
      <c r="H893" s="12">
        <v>0</v>
      </c>
      <c r="I893" s="12">
        <v>0</v>
      </c>
      <c r="J893" s="11"/>
      <c r="K893" s="12">
        <v>0</v>
      </c>
      <c r="L893" s="10" t="str">
        <f>HYPERLINK("https://otsuka-europe-crm.veevavault.com/ui/#object/approved_document__v/V5O00000001R001", "INA - VAE Cierre ""Nos quedamos en Casa""")</f>
        <v>INA - VAE Cierre "Nos quedamos en Casa"</v>
      </c>
      <c r="M893" s="10" t="str">
        <f>HYPERLINK("mailto:jguri@crm.otsuka-europe.com", "jguri@crm.otsuka-europe.com")</f>
        <v>jguri@crm.otsuka-europe.com</v>
      </c>
      <c r="N893" s="13">
        <v>46205.461192129631</v>
      </c>
      <c r="O893" s="14" t="str">
        <f>HYPERLINK("https://otsuka-europe-crm.veevavault.com/ui/#object/email_activity__v/V8C000000043055", "EN-002101637")</f>
        <v>EN-002101637</v>
      </c>
    </row>
    <row r="894" spans="1:15" ht="16" x14ac:dyDescent="0.2">
      <c r="A894" s="18" t="str">
        <f>HYPERLINK("https://otsuka-europe-crm.veevavault.com/ui/#object/account__v/V4TZ025E86HY9YZ", "VIRGINIA QUIROS REDONDO")</f>
        <v>VIRGINIA QUIROS REDONDO</v>
      </c>
      <c r="B894" s="18" t="str">
        <f>HYPERLINK("https://otsuka-europe-crm.veevavault.com/ui/#object/vcountry__v/VENZ000004SONF5", "ES")</f>
        <v>ES</v>
      </c>
      <c r="C894" s="20" t="s">
        <v>39</v>
      </c>
      <c r="D894" s="21" t="str">
        <f>HYPERLINK("https://otsuka-europe-crm.veevavault.com/ui/#object/approved_document__v/V5O00000001R001", "INA - VAE Cierre ""Nos quedamos en Casa""")</f>
        <v>INA - VAE Cierre "Nos quedamos en Casa"</v>
      </c>
      <c r="E894" s="22" t="str">
        <f>HYPERLINK("https://otsuka-europe-crm.veevavault.com/ui/#object/sent_email__v/VBL000000031043", "SE-001439217")</f>
        <v>SE-001439217</v>
      </c>
      <c r="F894" s="25">
        <v>46205.465451388889</v>
      </c>
      <c r="G894" s="24">
        <v>1</v>
      </c>
      <c r="H894" s="24">
        <v>1</v>
      </c>
      <c r="I894" s="24">
        <v>0</v>
      </c>
      <c r="J894" s="23"/>
      <c r="K894" s="24">
        <v>0</v>
      </c>
      <c r="L894" s="22" t="str">
        <f>HYPERLINK("https://otsuka-europe-crm.veevavault.com/ui/#object/approved_document__v/V5O00000001R001", "INA - VAE Cierre ""Nos quedamos en Casa""")</f>
        <v>INA - VAE Cierre "Nos quedamos en Casa"</v>
      </c>
      <c r="M894" s="22" t="str">
        <f>HYPERLINK("mailto:jguri@crm.otsuka-europe.com", "jguri@crm.otsuka-europe.com")</f>
        <v>jguri@crm.otsuka-europe.com</v>
      </c>
      <c r="N894" s="25">
        <v>46205.461157407408</v>
      </c>
      <c r="O894" s="14" t="str">
        <f>HYPERLINK("https://otsuka-europe-crm.veevavault.com/ui/#object/email_activity__v/V8C000000043053", "EN-002101635")</f>
        <v>EN-002101635</v>
      </c>
    </row>
    <row r="895" spans="1:15" ht="16" x14ac:dyDescent="0.2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/>
      <c r="L895" s="19"/>
      <c r="M895" s="19"/>
      <c r="N895" s="19"/>
      <c r="O895" s="14" t="str">
        <f>HYPERLINK("https://otsuka-europe-crm.veevavault.com/ui/#object/email_activity__v/V8C000000044027", "EN-002101650")</f>
        <v>EN-002101650</v>
      </c>
    </row>
    <row r="896" spans="1:15" ht="32" x14ac:dyDescent="0.2">
      <c r="A896" s="7" t="str">
        <f>HYPERLINK("https://otsuka-europe-crm.veevavault.com/ui/#object/account__v/V4TZ06G6O71TANF", "PARHAM KHOSRAVI SHAHI")</f>
        <v>PARHAM KHOSRAVI SHAHI</v>
      </c>
      <c r="B896" s="7" t="str">
        <f>HYPERLINK("https://otsuka-europe-crm.veevavault.com/ui/#object/vcountry__v/VENZ000004SONF5", "ES")</f>
        <v>ES</v>
      </c>
      <c r="C896" s="8" t="s">
        <v>39</v>
      </c>
      <c r="D896" s="9" t="str">
        <f>HYPERLINK("https://otsuka-europe-crm.veevavault.com/ui/#object/approved_document__v/V5O00000001R001", "INA - VAE Cierre ""Nos quedamos en Casa""")</f>
        <v>INA - VAE Cierre "Nos quedamos en Casa"</v>
      </c>
      <c r="E896" s="10" t="str">
        <f>HYPERLINK("https://otsuka-europe-crm.veevavault.com/ui/#object/sent_email__v/VBL000000031044", "SE-001439218")</f>
        <v>SE-001439218</v>
      </c>
      <c r="F896" s="11"/>
      <c r="G896" s="12">
        <v>0</v>
      </c>
      <c r="H896" s="12">
        <v>0</v>
      </c>
      <c r="I896" s="12">
        <v>0</v>
      </c>
      <c r="J896" s="11"/>
      <c r="K896" s="12">
        <v>0</v>
      </c>
      <c r="L896" s="10" t="str">
        <f>HYPERLINK("https://otsuka-europe-crm.veevavault.com/ui/#object/approved_document__v/V5O00000001R001", "INA - VAE Cierre ""Nos quedamos en Casa""")</f>
        <v>INA - VAE Cierre "Nos quedamos en Casa"</v>
      </c>
      <c r="M896" s="10" t="str">
        <f>HYPERLINK("mailto:jguri@crm.otsuka-europe.com", "jguri@crm.otsuka-europe.com")</f>
        <v>jguri@crm.otsuka-europe.com</v>
      </c>
      <c r="N896" s="13">
        <v>46205.461157407408</v>
      </c>
      <c r="O896" s="14" t="str">
        <f>HYPERLINK("https://otsuka-europe-crm.veevavault.com/ui/#object/email_activity__v/V8C000000043044", "EN-002101626")</f>
        <v>EN-002101626</v>
      </c>
    </row>
    <row r="897" spans="1:15" ht="32" x14ac:dyDescent="0.2">
      <c r="A897" s="7" t="str">
        <f>HYPERLINK("https://otsuka-europe-crm.veevavault.com/ui/#object/account__v/V4TZ025E84E7679", "MARIA YOLANDA MARTIN GUERRERO")</f>
        <v>MARIA YOLANDA MARTIN GUERRERO</v>
      </c>
      <c r="B897" s="7" t="str">
        <f>HYPERLINK("https://otsuka-europe-crm.veevavault.com/ui/#object/vcountry__v/VENZ000004SONF5", "ES")</f>
        <v>ES</v>
      </c>
      <c r="C897" s="8" t="s">
        <v>39</v>
      </c>
      <c r="D897" s="9" t="str">
        <f>HYPERLINK("https://otsuka-europe-crm.veevavault.com/ui/#object/approved_document__v/V5O00000001R001", "INA - VAE Cierre ""Nos quedamos en Casa""")</f>
        <v>INA - VAE Cierre "Nos quedamos en Casa"</v>
      </c>
      <c r="E897" s="10" t="str">
        <f>HYPERLINK("https://otsuka-europe-crm.veevavault.com/ui/#object/sent_email__v/VBL000000031045", "SE-001439219")</f>
        <v>SE-001439219</v>
      </c>
      <c r="F897" s="11"/>
      <c r="G897" s="12">
        <v>0</v>
      </c>
      <c r="H897" s="12">
        <v>0</v>
      </c>
      <c r="I897" s="12">
        <v>0</v>
      </c>
      <c r="J897" s="11"/>
      <c r="K897" s="12">
        <v>0</v>
      </c>
      <c r="L897" s="10" t="str">
        <f>HYPERLINK("https://otsuka-europe-crm.veevavault.com/ui/#object/approved_document__v/V5O00000001R001", "INA - VAE Cierre ""Nos quedamos en Casa""")</f>
        <v>INA - VAE Cierre "Nos quedamos en Casa"</v>
      </c>
      <c r="M897" s="10" t="str">
        <f>HYPERLINK("mailto:jguri@crm.otsuka-europe.com", "jguri@crm.otsuka-europe.com")</f>
        <v>jguri@crm.otsuka-europe.com</v>
      </c>
      <c r="N897" s="13">
        <v>46205.461157407408</v>
      </c>
      <c r="O897" s="14" t="str">
        <f>HYPERLINK("https://otsuka-europe-crm.veevavault.com/ui/#object/email_activity__v/V8C000000043036", "EN-002101609")</f>
        <v>EN-002101609</v>
      </c>
    </row>
    <row r="898" spans="1:15" ht="32" x14ac:dyDescent="0.2">
      <c r="A898" s="7" t="str">
        <f>HYPERLINK("https://otsuka-europe-crm.veevavault.com/ui/#object/account__v/V4TZ025E86KXDLR", "MIRIAN SANTERO GARCIA")</f>
        <v>MIRIAN SANTERO GARCIA</v>
      </c>
      <c r="B898" s="7" t="str">
        <f>HYPERLINK("https://otsuka-europe-crm.veevavault.com/ui/#object/vcountry__v/VENZ000004SONF5", "ES")</f>
        <v>ES</v>
      </c>
      <c r="C898" s="8" t="s">
        <v>39</v>
      </c>
      <c r="D898" s="9" t="str">
        <f>HYPERLINK("https://otsuka-europe-crm.veevavault.com/ui/#object/approved_document__v/V5O00000001R001", "INA - VAE Cierre ""Nos quedamos en Casa""")</f>
        <v>INA - VAE Cierre "Nos quedamos en Casa"</v>
      </c>
      <c r="E898" s="10" t="str">
        <f>HYPERLINK("https://otsuka-europe-crm.veevavault.com/ui/#object/sent_email__v/VBL000000031046", "SE-001439220")</f>
        <v>SE-001439220</v>
      </c>
      <c r="F898" s="11"/>
      <c r="G898" s="12">
        <v>0</v>
      </c>
      <c r="H898" s="12">
        <v>0</v>
      </c>
      <c r="I898" s="12">
        <v>0</v>
      </c>
      <c r="J898" s="11"/>
      <c r="K898" s="12">
        <v>0</v>
      </c>
      <c r="L898" s="10" t="str">
        <f>HYPERLINK("https://otsuka-europe-crm.veevavault.com/ui/#object/approved_document__v/V5O00000001R001", "INA - VAE Cierre ""Nos quedamos en Casa""")</f>
        <v>INA - VAE Cierre "Nos quedamos en Casa"</v>
      </c>
      <c r="M898" s="10" t="str">
        <f>HYPERLINK("mailto:jguri@crm.otsuka-europe.com", "jguri@crm.otsuka-europe.com")</f>
        <v>jguri@crm.otsuka-europe.com</v>
      </c>
      <c r="N898" s="13">
        <v>46205.461145833331</v>
      </c>
      <c r="O898" s="14" t="str">
        <f>HYPERLINK("https://otsuka-europe-crm.veevavault.com/ui/#object/email_activity__v/V8C000000043052", "EN-002101634")</f>
        <v>EN-002101634</v>
      </c>
    </row>
    <row r="899" spans="1:15" ht="16" x14ac:dyDescent="0.2">
      <c r="A899" s="18" t="str">
        <f>HYPERLINK("https://otsuka-europe-crm.veevavault.com/ui/#object/account__v/V4TZ025E84JAOLP", "ANA MARIA GARCIA-NOBLEJAS MOYA")</f>
        <v>ANA MARIA GARCIA-NOBLEJAS MOYA</v>
      </c>
      <c r="B899" s="18" t="str">
        <f>HYPERLINK("https://otsuka-europe-crm.veevavault.com/ui/#object/vcountry__v/VENZ000004SONF5", "ES")</f>
        <v>ES</v>
      </c>
      <c r="C899" s="20" t="s">
        <v>39</v>
      </c>
      <c r="D899" s="21" t="str">
        <f>HYPERLINK("https://otsuka-europe-crm.veevavault.com/ui/#object/approved_document__v/V5O00000001R001", "INA - VAE Cierre ""Nos quedamos en Casa""")</f>
        <v>INA - VAE Cierre "Nos quedamos en Casa"</v>
      </c>
      <c r="E899" s="22" t="str">
        <f>HYPERLINK("https://otsuka-europe-crm.veevavault.com/ui/#object/sent_email__v/VBL000000031047", "SE-001439221")</f>
        <v>SE-001439221</v>
      </c>
      <c r="F899" s="25">
        <v>46205.55667824074</v>
      </c>
      <c r="G899" s="24">
        <v>1</v>
      </c>
      <c r="H899" s="24">
        <v>1</v>
      </c>
      <c r="I899" s="24">
        <v>0</v>
      </c>
      <c r="J899" s="23"/>
      <c r="K899" s="24">
        <v>0</v>
      </c>
      <c r="L899" s="22" t="str">
        <f>HYPERLINK("https://otsuka-europe-crm.veevavault.com/ui/#object/approved_document__v/V5O00000001R001", "INA - VAE Cierre ""Nos quedamos en Casa""")</f>
        <v>INA - VAE Cierre "Nos quedamos en Casa"</v>
      </c>
      <c r="M899" s="22" t="str">
        <f>HYPERLINK("mailto:jguri@crm.otsuka-europe.com", "jguri@crm.otsuka-europe.com")</f>
        <v>jguri@crm.otsuka-europe.com</v>
      </c>
      <c r="N899" s="25">
        <v>46205.461134259262</v>
      </c>
      <c r="O899" s="14" t="str">
        <f>HYPERLINK("https://otsuka-europe-crm.veevavault.com/ui/#object/email_activity__v/V8C000000043039", "EN-002101617")</f>
        <v>EN-002101617</v>
      </c>
    </row>
    <row r="900" spans="1:15" ht="16" x14ac:dyDescent="0.2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14" t="str">
        <f>HYPERLINK("https://otsuka-europe-crm.veevavault.com/ui/#object/email_activity__v/V8C000000043104", "EN-002101723")</f>
        <v>EN-002101723</v>
      </c>
    </row>
    <row r="901" spans="1:15" ht="16" x14ac:dyDescent="0.2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/>
      <c r="L901" s="19"/>
      <c r="M901" s="19"/>
      <c r="N901" s="19"/>
      <c r="O901" s="14" t="str">
        <f>HYPERLINK("https://otsuka-europe-crm.veevavault.com/ui/#object/email_activity__v/V8C000000044039", "EN-002101676")</f>
        <v>EN-002101676</v>
      </c>
    </row>
    <row r="902" spans="1:15" ht="32" x14ac:dyDescent="0.2">
      <c r="A902" s="7" t="str">
        <f>HYPERLINK("https://otsuka-europe-crm.veevavault.com/ui/#object/account__v/V4TZ025E8791BFT", "MARIA MARTINEZ RODRIGUEZ")</f>
        <v>MARIA MARTINEZ RODRIGUEZ</v>
      </c>
      <c r="B902" s="7" t="str">
        <f>HYPERLINK("https://otsuka-europe-crm.veevavault.com/ui/#object/vcountry__v/VENZ000004SONF5", "ES")</f>
        <v>ES</v>
      </c>
      <c r="C902" s="8" t="s">
        <v>39</v>
      </c>
      <c r="D902" s="9" t="str">
        <f>HYPERLINK("https://otsuka-europe-crm.veevavault.com/ui/#object/approved_document__v/V5O00000001R001", "INA - VAE Cierre ""Nos quedamos en Casa""")</f>
        <v>INA - VAE Cierre "Nos quedamos en Casa"</v>
      </c>
      <c r="E902" s="10" t="str">
        <f>HYPERLINK("https://otsuka-europe-crm.veevavault.com/ui/#object/sent_email__v/VBL000000031048", "SE-001439222")</f>
        <v>SE-001439222</v>
      </c>
      <c r="F902" s="11"/>
      <c r="G902" s="12">
        <v>0</v>
      </c>
      <c r="H902" s="12">
        <v>0</v>
      </c>
      <c r="I902" s="12">
        <v>0</v>
      </c>
      <c r="J902" s="11"/>
      <c r="K902" s="12">
        <v>0</v>
      </c>
      <c r="L902" s="10" t="str">
        <f>HYPERLINK("https://otsuka-europe-crm.veevavault.com/ui/#object/approved_document__v/V5O00000001R001", "INA - VAE Cierre ""Nos quedamos en Casa""")</f>
        <v>INA - VAE Cierre "Nos quedamos en Casa"</v>
      </c>
      <c r="M902" s="10" t="str">
        <f>HYPERLINK("mailto:jguri@crm.otsuka-europe.com", "jguri@crm.otsuka-europe.com")</f>
        <v>jguri@crm.otsuka-europe.com</v>
      </c>
      <c r="N902" s="13">
        <v>46205.461157407408</v>
      </c>
      <c r="O902" s="14" t="str">
        <f>HYPERLINK("https://otsuka-europe-crm.veevavault.com/ui/#object/email_activity__v/V8C000000043062", "EN-002101644")</f>
        <v>EN-002101644</v>
      </c>
    </row>
    <row r="903" spans="1:15" ht="16" x14ac:dyDescent="0.2">
      <c r="A903" s="18" t="str">
        <f>HYPERLINK("https://otsuka-europe-crm.veevavault.com/ui/#object/account__v/V4TZ06G6O71SBES", "CARMELINA MARCANTONI")</f>
        <v>CARMELINA MARCANTONI</v>
      </c>
      <c r="B903" s="18" t="str">
        <f>HYPERLINK("https://otsuka-europe-crm.veevavault.com/ui/#object/vcountry__v/VENZ000004SONFQ", "IT")</f>
        <v>IT</v>
      </c>
      <c r="C903" s="20" t="s">
        <v>42</v>
      </c>
      <c r="D903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03" s="22" t="str">
        <f>HYPERLINK("https://otsuka-europe-crm.veevavault.com/ui/#object/sent_email__v/VBL000000031049", "SE-001439223")</f>
        <v>SE-001439223</v>
      </c>
      <c r="F903" s="23"/>
      <c r="G903" s="24">
        <v>0</v>
      </c>
      <c r="H903" s="24">
        <v>0</v>
      </c>
      <c r="I903" s="24">
        <v>0</v>
      </c>
      <c r="J903" s="23"/>
      <c r="K903" s="24">
        <v>0</v>
      </c>
      <c r="L903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03" s="22" t="str">
        <f>HYPERLINK("mailto:alfredo.pisapia@crm.otsuka-europe.com", "alfredo.pisapia@crm.otsuka-europe.com")</f>
        <v>alfredo.pisapia@crm.otsuka-europe.com</v>
      </c>
      <c r="N903" s="25">
        <v>46205.492025462961</v>
      </c>
      <c r="O903" s="14" t="str">
        <f>HYPERLINK("https://otsuka-europe-crm.veevavault.com/ui/#object/email_activity__v/V8C000000043069", "EN-002101657")</f>
        <v>EN-002101657</v>
      </c>
    </row>
    <row r="904" spans="1:15" ht="16" x14ac:dyDescent="0.2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/>
      <c r="L904" s="19"/>
      <c r="M904" s="19"/>
      <c r="N904" s="19"/>
      <c r="O904" s="14" t="str">
        <f>HYPERLINK("https://otsuka-europe-crm.veevavault.com/ui/#object/email_activity__v/V8C000000043105", "EN-002101727")</f>
        <v>EN-002101727</v>
      </c>
    </row>
    <row r="905" spans="1:15" ht="32" x14ac:dyDescent="0.2">
      <c r="A905" s="7" t="str">
        <f>HYPERLINK("https://otsuka-europe-crm.veevavault.com/ui/#object/account__v/V4TZ04ASGECDSXL", "ROBERTA ALIOTTA")</f>
        <v>ROBERTA ALIOTTA</v>
      </c>
      <c r="B905" s="7" t="str">
        <f>HYPERLINK("https://otsuka-europe-crm.veevavault.com/ui/#object/vcountry__v/VENZ000004SONFQ", "IT")</f>
        <v>IT</v>
      </c>
      <c r="C905" s="8" t="s">
        <v>42</v>
      </c>
      <c r="D905" s="9" t="str">
        <f>HYPERLINK("https://otsuka-europe-crm.veevavault.com/ui/#object/approved_document__v/V5O00000001A024", "Lupkynis - rischio - IT-LUP-2600002 v1.0 -  NEPHRO")</f>
        <v>Lupkynis - rischio - IT-LUP-2600002 v1.0 -  NEPHRO</v>
      </c>
      <c r="E905" s="10" t="str">
        <f>HYPERLINK("https://otsuka-europe-crm.veevavault.com/ui/#object/sent_email__v/VBL000000031050", "SE-001439224")</f>
        <v>SE-001439224</v>
      </c>
      <c r="F905" s="11"/>
      <c r="G905" s="12">
        <v>0</v>
      </c>
      <c r="H905" s="12">
        <v>0</v>
      </c>
      <c r="I905" s="12">
        <v>0</v>
      </c>
      <c r="J905" s="11"/>
      <c r="K905" s="12">
        <v>0</v>
      </c>
      <c r="L905" s="10" t="str">
        <f>HYPERLINK("https://otsuka-europe-crm.veevavault.com/ui/#object/approved_document__v/V5O00000001A024", "Lupkynis - rischio - IT-LUP-2600002 v1.0 -  NEPHRO")</f>
        <v>Lupkynis - rischio - IT-LUP-2600002 v1.0 -  NEPHRO</v>
      </c>
      <c r="M905" s="10" t="str">
        <f>HYPERLINK("mailto:alfredo.pisapia@crm.otsuka-europe.com", "alfredo.pisapia@crm.otsuka-europe.com")</f>
        <v>alfredo.pisapia@crm.otsuka-europe.com</v>
      </c>
      <c r="N905" s="13">
        <v>46205.497407407405</v>
      </c>
      <c r="O905" s="14" t="str">
        <f>HYPERLINK("https://otsuka-europe-crm.veevavault.com/ui/#object/email_activity__v/V8C000000044032", "EN-002101658")</f>
        <v>EN-002101658</v>
      </c>
    </row>
    <row r="906" spans="1:15" ht="16" x14ac:dyDescent="0.2">
      <c r="A906" s="18" t="str">
        <f>HYPERLINK("https://otsuka-europe-crm.veevavault.com/ui/#object/account__v/V4TZ04ASG8Q920Z", "MARIONA ROIG PASANO")</f>
        <v>MARIONA ROIG PASANO</v>
      </c>
      <c r="B906" s="18" t="str">
        <f>HYPERLINK("https://otsuka-europe-crm.veevavault.com/ui/#object/vcountry__v/VENZ000004SONF5", "ES")</f>
        <v>ES</v>
      </c>
      <c r="C906" s="20" t="s">
        <v>39</v>
      </c>
      <c r="D906" s="21" t="str">
        <f>HYPERLINK("https://otsuka-europe-crm.veevavault.com/ui/#object/approved_document__v/V5O000000006010", "RXULTI - Eficaz y fácil de iniciar")</f>
        <v>RXULTI - Eficaz y fácil de iniciar</v>
      </c>
      <c r="E906" s="22" t="str">
        <f>HYPERLINK("https://otsuka-europe-crm.veevavault.com/ui/#object/sent_email__v/VBL000000031051", "SE-001439225")</f>
        <v>SE-001439225</v>
      </c>
      <c r="F906" s="25">
        <v>46205.548784722225</v>
      </c>
      <c r="G906" s="24">
        <v>1</v>
      </c>
      <c r="H906" s="24">
        <v>1</v>
      </c>
      <c r="I906" s="24">
        <v>1</v>
      </c>
      <c r="J906" s="25">
        <v>46205.554467592592</v>
      </c>
      <c r="K906" s="24">
        <v>1</v>
      </c>
      <c r="L906" s="22" t="str">
        <f>HYPERLINK("https://otsuka-europe-crm.veevavault.com/ui/#object/approved_document__v/V5O000000006010", "RXULTI - Eficaz y fácil de iniciar")</f>
        <v>RXULTI - Eficaz y fácil de iniciar</v>
      </c>
      <c r="M906" s="22" t="str">
        <f>HYPERLINK("mailto:aqueralt@crm.otsuka-europe.com", "aqueralt@crm.otsuka-europe.com")</f>
        <v>aqueralt@crm.otsuka-europe.com</v>
      </c>
      <c r="N906" s="25">
        <v>46205.548495370371</v>
      </c>
      <c r="O906" s="14" t="str">
        <f>HYPERLINK("https://otsuka-europe-crm.veevavault.com/ui/#object/email_activity__v/V8C000000043079", "EN-002101673")</f>
        <v>EN-002101673</v>
      </c>
    </row>
    <row r="907" spans="1:15" ht="16" x14ac:dyDescent="0.2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14" t="str">
        <f>HYPERLINK("https://otsuka-europe-crm.veevavault.com/ui/#object/email_activity__v/V8C000000043080", "EN-002101675")</f>
        <v>EN-002101675</v>
      </c>
    </row>
    <row r="908" spans="1:15" ht="16" x14ac:dyDescent="0.2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/>
      <c r="L908" s="19"/>
      <c r="M908" s="19"/>
      <c r="N908" s="19"/>
      <c r="O908" s="14" t="str">
        <f>HYPERLINK("https://otsuka-europe-crm.veevavault.com/ui/#object/email_activity__v/V8C000000044036", "EN-002101670")</f>
        <v>EN-002101670</v>
      </c>
    </row>
    <row r="909" spans="1:15" ht="16" x14ac:dyDescent="0.2">
      <c r="A909" s="18" t="str">
        <f>HYPERLINK("https://otsuka-europe-crm.veevavault.com/ui/#object/account__v/V4TZ04ASG8Q920Z", "MARIONA ROIG PASANO")</f>
        <v>MARIONA ROIG PASANO</v>
      </c>
      <c r="B909" s="18" t="str">
        <f>HYPERLINK("https://otsuka-europe-crm.veevavault.com/ui/#object/vcountry__v/VENZ000004SONF5", "ES")</f>
        <v>ES</v>
      </c>
      <c r="C909" s="20" t="s">
        <v>39</v>
      </c>
      <c r="D909" s="21" t="str">
        <f>HYPERLINK("https://otsuka-europe-crm.veevavault.com/ui/#object/approved_document__v/V5O000000006001", "RXULTI - Comparativa antipsicóticos")</f>
        <v>RXULTI - Comparativa antipsicóticos</v>
      </c>
      <c r="E909" s="22" t="str">
        <f>HYPERLINK("https://otsuka-europe-crm.veevavault.com/ui/#object/sent_email__v/VBL000000030014", "SE-001439226")</f>
        <v>SE-001439226</v>
      </c>
      <c r="F909" s="25">
        <v>46205.548738425925</v>
      </c>
      <c r="G909" s="24">
        <v>1</v>
      </c>
      <c r="H909" s="24">
        <v>1</v>
      </c>
      <c r="I909" s="24">
        <v>1</v>
      </c>
      <c r="J909" s="25">
        <v>46205.549108796295</v>
      </c>
      <c r="K909" s="24">
        <v>1</v>
      </c>
      <c r="L909" s="22" t="str">
        <f>HYPERLINK("https://otsuka-europe-crm.veevavault.com/ui/#object/approved_document__v/V5O000000006001", "RXULTI - Comparativa antipsicóticos")</f>
        <v>RXULTI - Comparativa antipsicóticos</v>
      </c>
      <c r="M909" s="22" t="str">
        <f>HYPERLINK("mailto:aqueralt@crm.otsuka-europe.com", "aqueralt@crm.otsuka-europe.com")</f>
        <v>aqueralt@crm.otsuka-europe.com</v>
      </c>
      <c r="N909" s="25">
        <v>46205.548518518517</v>
      </c>
      <c r="O909" s="14" t="str">
        <f>HYPERLINK("https://otsuka-europe-crm.veevavault.com/ui/#object/email_activity__v/V8C000000043078", "EN-002101671")</f>
        <v>EN-002101671</v>
      </c>
    </row>
    <row r="910" spans="1:15" ht="16" x14ac:dyDescent="0.2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14" t="str">
        <f>HYPERLINK("https://otsuka-europe-crm.veevavault.com/ui/#object/email_activity__v/V8C000000044037", "EN-002101672")</f>
        <v>EN-002101672</v>
      </c>
    </row>
    <row r="911" spans="1:15" ht="16" x14ac:dyDescent="0.2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/>
      <c r="L911" s="19"/>
      <c r="M911" s="19"/>
      <c r="N911" s="19"/>
      <c r="O911" s="14" t="str">
        <f>HYPERLINK("https://otsuka-europe-crm.veevavault.com/ui/#object/email_activity__v/V8C000000044038", "EN-002101674")</f>
        <v>EN-002101674</v>
      </c>
    </row>
    <row r="912" spans="1:15" ht="16" x14ac:dyDescent="0.2">
      <c r="A912" s="18" t="str">
        <f>HYPERLINK("https://otsuka-europe-crm.veevavault.com/ui/#object/account__v/V4T00000001Q071", "Ammar Al-Chalabi")</f>
        <v>Ammar Al-Chalabi</v>
      </c>
      <c r="B912" s="18" t="str">
        <f>HYPERLINK("https://otsuka-europe-crm.veevavault.com/ui/#object/vcountry__v/VENZ000004SONFK", "GB")</f>
        <v>GB</v>
      </c>
      <c r="C912" s="20" t="s">
        <v>41</v>
      </c>
      <c r="D912" s="21" t="str">
        <f>HYPERLINK("https://otsuka-europe-crm.veevavault.com/ui/#object/approved_document__v/V5OZ025E82KBNQL", "Disclosure-Consent__Veeva-CRM__UK")</f>
        <v>Disclosure-Consent__Veeva-CRM__UK</v>
      </c>
      <c r="E912" s="22" t="str">
        <f>HYPERLINK("https://otsuka-europe-crm.veevavault.com/ui/#object/sent_email__v/VBL000000030015", "SE-001439227")</f>
        <v>SE-001439227</v>
      </c>
      <c r="F912" s="25">
        <v>46205.582118055558</v>
      </c>
      <c r="G912" s="24">
        <v>1</v>
      </c>
      <c r="H912" s="24">
        <v>1</v>
      </c>
      <c r="I912" s="24">
        <v>0</v>
      </c>
      <c r="J912" s="23"/>
      <c r="K912" s="24">
        <v>0</v>
      </c>
      <c r="L912" s="22" t="str">
        <f>HYPERLINK("https://otsuka-europe-crm.veevavault.com/ui/#object/approved_document__v/V5OZ025E82KBNQL", "Disclosure-Consent__Veeva-CRM__UK")</f>
        <v>Disclosure-Consent__Veeva-CRM__UK</v>
      </c>
      <c r="M912" s="22" t="str">
        <f>HYPERLINK("mailto:gmontevecchi@crm.otsuka-europe.com", "gmontevecchi@crm.otsuka-europe.com")</f>
        <v>gmontevecchi@crm.otsuka-europe.com</v>
      </c>
      <c r="N912" s="25">
        <v>46205.582002314812</v>
      </c>
      <c r="O912" s="14" t="str">
        <f>HYPERLINK("https://otsuka-europe-crm.veevavault.com/ui/#object/email_activity__v/V8C000000044047", "EN-002101689")</f>
        <v>EN-002101689</v>
      </c>
    </row>
    <row r="913" spans="1:15" ht="16" x14ac:dyDescent="0.2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/>
      <c r="L913" s="19"/>
      <c r="M913" s="19"/>
      <c r="N913" s="19"/>
      <c r="O913" s="14" t="str">
        <f>HYPERLINK("https://otsuka-europe-crm.veevavault.com/ui/#object/email_activity__v/V8C000000044048", "EN-002101690")</f>
        <v>EN-002101690</v>
      </c>
    </row>
    <row r="914" spans="1:15" ht="32" x14ac:dyDescent="0.2">
      <c r="A914" s="7" t="str">
        <f>HYPERLINK("https://otsuka-europe-crm.veevavault.com/ui/#object/account__v/V4TZ00000633QHU", "KAMAL DJEBBAR")</f>
        <v>KAMAL DJEBBAR</v>
      </c>
      <c r="B914" s="7" t="str">
        <f>HYPERLINK("https://otsuka-europe-crm.veevavault.com/ui/#object/vcountry__v/VENZ000004SONFA", "FR")</f>
        <v>FR</v>
      </c>
      <c r="C914" s="8" t="s">
        <v>40</v>
      </c>
      <c r="D914" s="9" t="str">
        <f>HYPERLINK("https://otsuka-europe-crm.veevavault.com/ui/#object/approved_document__v/V5OZ04ASG4G02Y6", "INVITATION_VAD_2023")</f>
        <v>INVITATION_VAD_2023</v>
      </c>
      <c r="E914" s="10" t="str">
        <f>HYPERLINK("https://otsuka-europe-crm.veevavault.com/ui/#object/sent_email__v/VBL000000030021", "SE-001439228")</f>
        <v>SE-001439228</v>
      </c>
      <c r="F914" s="11"/>
      <c r="G914" s="12">
        <v>0</v>
      </c>
      <c r="H914" s="12">
        <v>0</v>
      </c>
      <c r="I914" s="12">
        <v>0</v>
      </c>
      <c r="J914" s="11"/>
      <c r="K914" s="12">
        <v>0</v>
      </c>
      <c r="L914" s="10" t="str">
        <f>HYPERLINK("https://otsuka-europe-crm.veevavault.com/ui/#object/approved_document__v/V5OZ04ASG4G02Y6", "INVITATION_VAD_2023")</f>
        <v>INVITATION_VAD_2023</v>
      </c>
      <c r="M914" s="10" t="str">
        <f>HYPERLINK("mailto:kpoperen@crm.otsuka-europe.com", "kpoperen@crm.otsuka-europe.com")</f>
        <v>kpoperen@crm.otsuka-europe.com</v>
      </c>
      <c r="N914" s="13">
        <v>46206.297754629632</v>
      </c>
      <c r="O914" s="14" t="str">
        <f>HYPERLINK("https://otsuka-europe-crm.veevavault.com/ui/#object/email_activity__v/V8C000000043110", "EN-002101733")</f>
        <v>EN-002101733</v>
      </c>
    </row>
    <row r="915" spans="1:15" ht="32" x14ac:dyDescent="0.2">
      <c r="A915" s="7" t="str">
        <f>HYPERLINK("https://otsuka-europe-crm.veevavault.com/ui/#object/account__v/V4TZ00000633SPR", "MARIE MADELEINE GROSBOIS")</f>
        <v>MARIE MADELEINE GROSBOIS</v>
      </c>
      <c r="B915" s="7" t="str">
        <f>HYPERLINK("https://otsuka-europe-crm.veevavault.com/ui/#object/vcountry__v/VENZ000004SONFA", "FR")</f>
        <v>FR</v>
      </c>
      <c r="C915" s="8" t="s">
        <v>40</v>
      </c>
      <c r="D915" s="9" t="str">
        <f>HYPERLINK("https://otsuka-europe-crm.veevavault.com/ui/#object/approved_document__v/V5OZ04ASG4G02Y6", "INVITATION_VAD_2023")</f>
        <v>INVITATION_VAD_2023</v>
      </c>
      <c r="E915" s="10" t="str">
        <f>HYPERLINK("https://otsuka-europe-crm.veevavault.com/ui/#object/sent_email__v/VBL000000030022", "SE-001439229")</f>
        <v>SE-001439229</v>
      </c>
      <c r="F915" s="11"/>
      <c r="G915" s="12">
        <v>0</v>
      </c>
      <c r="H915" s="12">
        <v>0</v>
      </c>
      <c r="I915" s="12">
        <v>0</v>
      </c>
      <c r="J915" s="11"/>
      <c r="K915" s="12">
        <v>0</v>
      </c>
      <c r="L915" s="10" t="str">
        <f>HYPERLINK("https://otsuka-europe-crm.veevavault.com/ui/#object/approved_document__v/V5OZ04ASG4G02Y6", "INVITATION_VAD_2023")</f>
        <v>INVITATION_VAD_2023</v>
      </c>
      <c r="M915" s="10" t="str">
        <f>HYPERLINK("mailto:kpoperen@crm.otsuka-europe.com", "kpoperen@crm.otsuka-europe.com")</f>
        <v>kpoperen@crm.otsuka-europe.com</v>
      </c>
      <c r="N915" s="13">
        <v>46206.297754629632</v>
      </c>
      <c r="O915" s="14" t="str">
        <f>HYPERLINK("https://otsuka-europe-crm.veevavault.com/ui/#object/email_activity__v/V8C000000044068", "EN-002101734")</f>
        <v>EN-002101734</v>
      </c>
    </row>
    <row r="916" spans="1:15" ht="16" x14ac:dyDescent="0.2">
      <c r="A916" s="18" t="str">
        <f>HYPERLINK("https://otsuka-europe-crm.veevavault.com/ui/#object/account__v/V4TZ04ASG8JLEZL", "ALEXANDRA MAQUEDA BAENAS")</f>
        <v>ALEXANDRA MAQUEDA BAENAS</v>
      </c>
      <c r="B916" s="18" t="str">
        <f>HYPERLINK("https://otsuka-europe-crm.veevavault.com/ui/#object/vcountry__v/VENZ000004SONF5", "ES")</f>
        <v>ES</v>
      </c>
      <c r="C916" s="20" t="s">
        <v>39</v>
      </c>
      <c r="D916" s="21" t="str">
        <f>HYPERLINK("https://otsuka-europe-crm.veevavault.com/ui/#object/approved_document__v/V5O00000001H027", "RXULTI - Monografía de producto")</f>
        <v>RXULTI - Monografía de producto</v>
      </c>
      <c r="E916" s="22" t="str">
        <f>HYPERLINK("https://otsuka-europe-crm.veevavault.com/ui/#object/sent_email__v/VBL000000030023", "SE-001439230")</f>
        <v>SE-001439230</v>
      </c>
      <c r="F916" s="23"/>
      <c r="G916" s="24">
        <v>0</v>
      </c>
      <c r="H916" s="24">
        <v>0</v>
      </c>
      <c r="I916" s="24">
        <v>0</v>
      </c>
      <c r="J916" s="23"/>
      <c r="K916" s="24">
        <v>0</v>
      </c>
      <c r="L916" s="22" t="str">
        <f>HYPERLINK("https://otsuka-europe-crm.veevavault.com/ui/#object/approved_document__v/V5O00000001H027", "RXULTI - Monografía de producto")</f>
        <v>RXULTI - Monografía de producto</v>
      </c>
      <c r="M916" s="22" t="str">
        <f>HYPERLINK("mailto:jjimenez@crm.otsuka-europe.com", "jjimenez@crm.otsuka-europe.com")</f>
        <v>jjimenez@crm.otsuka-europe.com</v>
      </c>
      <c r="N916" s="25">
        <v>46206.308171296296</v>
      </c>
      <c r="O916" s="14" t="str">
        <f>HYPERLINK("https://otsuka-europe-crm.veevavault.com/ui/#object/email_activity__v/V8C000000043111", "EN-002101735")</f>
        <v>EN-002101735</v>
      </c>
    </row>
    <row r="917" spans="1:15" ht="16" x14ac:dyDescent="0.2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14" t="str">
        <f>HYPERLINK("https://otsuka-europe-crm.veevavault.com/ui/#object/email_activity__v/V8C000000044524", "EN-002102622")</f>
        <v>EN-002102622</v>
      </c>
    </row>
    <row r="918" spans="1:15" ht="16" x14ac:dyDescent="0.2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14" t="str">
        <f>HYPERLINK("https://otsuka-europe-crm.veevavault.com/ui/#object/email_activity__v/V8C000000049057", "EN-002104980")</f>
        <v>EN-002104980</v>
      </c>
    </row>
    <row r="919" spans="1:15" ht="16" x14ac:dyDescent="0.2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/>
      <c r="L919" s="19"/>
      <c r="M919" s="19"/>
      <c r="N919" s="19"/>
      <c r="O919" s="14" t="str">
        <f>HYPERLINK("https://otsuka-europe-crm.veevavault.com/ui/#object/email_activity__v/V8C00000004D448", "EN-002108975")</f>
        <v>EN-002108975</v>
      </c>
    </row>
    <row r="920" spans="1:15" ht="16" x14ac:dyDescent="0.2">
      <c r="A920" s="18" t="str">
        <f>HYPERLINK("https://otsuka-europe-crm.veevavault.com/ui/#object/account__v/V4TZ04ASG8JLEZL", "ALEXANDRA MAQUEDA BAENAS")</f>
        <v>ALEXANDRA MAQUEDA BAENAS</v>
      </c>
      <c r="B920" s="18" t="str">
        <f>HYPERLINK("https://otsuka-europe-crm.veevavault.com/ui/#object/vcountry__v/VENZ000004SONF5", "ES")</f>
        <v>ES</v>
      </c>
      <c r="C920" s="20" t="s">
        <v>39</v>
      </c>
      <c r="D920" s="21" t="str">
        <f>HYPERLINK("https://otsuka-europe-crm.veevavault.com/ui/#object/approved_document__v/V5O00000000A064", "RXULTI - Vídeo Carmen Moreno - Retos y necesidades de la esquizofrenia infantojuvenil")</f>
        <v>RXULTI - Vídeo Carmen Moreno - Retos y necesidades de la esquizofrenia infantojuvenil</v>
      </c>
      <c r="E920" s="22" t="str">
        <f>HYPERLINK("https://otsuka-europe-crm.veevavault.com/ui/#object/sent_email__v/VBL000000030024", "SE-001439231")</f>
        <v>SE-001439231</v>
      </c>
      <c r="F920" s="23"/>
      <c r="G920" s="24">
        <v>0</v>
      </c>
      <c r="H920" s="24">
        <v>0</v>
      </c>
      <c r="I920" s="24">
        <v>0</v>
      </c>
      <c r="J920" s="23"/>
      <c r="K920" s="24">
        <v>0</v>
      </c>
      <c r="L920" s="22" t="str">
        <f>HYPERLINK("https://otsuka-europe-crm.veevavault.com/ui/#object/approved_document__v/V5O00000000A064", "RXULTI - Vídeo Carmen Moreno - Retos y necesidades de la esquizofrenia infantojuvenil")</f>
        <v>RXULTI - Vídeo Carmen Moreno - Retos y necesidades de la esquizofrenia infantojuvenil</v>
      </c>
      <c r="M920" s="22" t="str">
        <f>HYPERLINK("mailto:jjimenez@crm.otsuka-europe.com", "jjimenez@crm.otsuka-europe.com")</f>
        <v>jjimenez@crm.otsuka-europe.com</v>
      </c>
      <c r="N920" s="25">
        <v>46206.308194444442</v>
      </c>
      <c r="O920" s="14" t="str">
        <f>HYPERLINK("https://otsuka-europe-crm.veevavault.com/ui/#object/email_activity__v/V8C000000043112", "EN-002101736")</f>
        <v>EN-002101736</v>
      </c>
    </row>
    <row r="921" spans="1:15" ht="16" x14ac:dyDescent="0.2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14" t="str">
        <f>HYPERLINK("https://otsuka-europe-crm.veevavault.com/ui/#object/email_activity__v/V8C000000043122", "EN-002101768")</f>
        <v>EN-002101768</v>
      </c>
    </row>
    <row r="922" spans="1:15" ht="16" x14ac:dyDescent="0.2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14" t="str">
        <f>HYPERLINK("https://otsuka-europe-crm.veevavault.com/ui/#object/email_activity__v/V8C000000044522", "EN-002102619")</f>
        <v>EN-002102619</v>
      </c>
    </row>
    <row r="923" spans="1:15" ht="16" x14ac:dyDescent="0.2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14" t="str">
        <f>HYPERLINK("https://otsuka-europe-crm.veevavault.com/ui/#object/email_activity__v/V8C000000049056", "EN-002104979")</f>
        <v>EN-002104979</v>
      </c>
    </row>
    <row r="924" spans="1:15" ht="16" x14ac:dyDescent="0.2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/>
      <c r="L924" s="19"/>
      <c r="M924" s="19"/>
      <c r="N924" s="19"/>
      <c r="O924" s="14" t="str">
        <f>HYPERLINK("https://otsuka-europe-crm.veevavault.com/ui/#object/email_activity__v/V8C00000004E310", "EN-002108976")</f>
        <v>EN-002108976</v>
      </c>
    </row>
    <row r="925" spans="1:15" ht="16" x14ac:dyDescent="0.2">
      <c r="A925" s="18" t="str">
        <f>HYPERLINK("https://otsuka-europe-crm.veevavault.com/ui/#object/account__v/V4TZ04ASG8JLEZL", "ALEXANDRA MAQUEDA BAENAS")</f>
        <v>ALEXANDRA MAQUEDA BAENAS</v>
      </c>
      <c r="B925" s="18" t="str">
        <f>HYPERLINK("https://otsuka-europe-crm.veevavault.com/ui/#object/vcountry__v/VENZ000004SONF5", "ES")</f>
        <v>ES</v>
      </c>
      <c r="C925" s="20" t="s">
        <v>39</v>
      </c>
      <c r="D925" s="21" t="str">
        <f>HYPERLINK("https://otsuka-europe-crm.veevavault.com/ui/#object/approved_document__v/V5O00000000A066", "RXULTI - Vídeo Isabel Hernández - RXULTI, nueva alternativa para adolescentes con esquizofrenia")</f>
        <v>RXULTI - Vídeo Isabel Hernández - RXULTI, nueva alternativa para adolescentes con esquizofrenia</v>
      </c>
      <c r="E925" s="22" t="str">
        <f>HYPERLINK("https://otsuka-europe-crm.veevavault.com/ui/#object/sent_email__v/VBL000000031059", "SE-001439232")</f>
        <v>SE-001439232</v>
      </c>
      <c r="F925" s="23"/>
      <c r="G925" s="24">
        <v>0</v>
      </c>
      <c r="H925" s="24">
        <v>0</v>
      </c>
      <c r="I925" s="24">
        <v>0</v>
      </c>
      <c r="J925" s="23"/>
      <c r="K925" s="24">
        <v>0</v>
      </c>
      <c r="L925" s="22" t="str">
        <f>HYPERLINK("https://otsuka-europe-crm.veevavault.com/ui/#object/approved_document__v/V5O00000000A066", "RXULTI - Vídeo Isabel Hernández - RXULTI, nueva alternativa para adolescentes con esquizofrenia")</f>
        <v>RXULTI - Vídeo Isabel Hernández - RXULTI, nueva alternativa para adolescentes con esquizofrenia</v>
      </c>
      <c r="M925" s="22" t="str">
        <f>HYPERLINK("mailto:jjimenez@crm.otsuka-europe.com", "jjimenez@crm.otsuka-europe.com")</f>
        <v>jjimenez@crm.otsuka-europe.com</v>
      </c>
      <c r="N925" s="25">
        <v>46206.309537037036</v>
      </c>
      <c r="O925" s="14" t="str">
        <f>HYPERLINK("https://otsuka-europe-crm.veevavault.com/ui/#object/email_activity__v/V8C000000043113", "EN-002101738")</f>
        <v>EN-002101738</v>
      </c>
    </row>
    <row r="926" spans="1:15" ht="16" x14ac:dyDescent="0.2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14" t="str">
        <f>HYPERLINK("https://otsuka-europe-crm.veevavault.com/ui/#object/email_activity__v/V8C000000043121", "EN-002101767")</f>
        <v>EN-002101767</v>
      </c>
    </row>
    <row r="927" spans="1:15" ht="16" x14ac:dyDescent="0.2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14" t="str">
        <f>HYPERLINK("https://otsuka-europe-crm.veevavault.com/ui/#object/email_activity__v/V8C000000043542", "EN-002102621")</f>
        <v>EN-002102621</v>
      </c>
    </row>
    <row r="928" spans="1:15" ht="16" x14ac:dyDescent="0.2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14" t="str">
        <f>HYPERLINK("https://otsuka-europe-crm.veevavault.com/ui/#object/email_activity__v/V8C000000049058", "EN-002104981")</f>
        <v>EN-002104981</v>
      </c>
    </row>
    <row r="929" spans="1:15" ht="16" x14ac:dyDescent="0.2">
      <c r="A929" s="19"/>
      <c r="B929" s="19"/>
      <c r="C929" s="19"/>
      <c r="D929" s="19"/>
      <c r="E929" s="19"/>
      <c r="F929" s="19"/>
      <c r="G929" s="19"/>
      <c r="H929" s="19"/>
      <c r="I929" s="19"/>
      <c r="J929" s="19"/>
      <c r="K929" s="19"/>
      <c r="L929" s="19"/>
      <c r="M929" s="19"/>
      <c r="N929" s="19"/>
      <c r="O929" s="14" t="str">
        <f>HYPERLINK("https://otsuka-europe-crm.veevavault.com/ui/#object/email_activity__v/V8C00000004E311", "EN-002108977")</f>
        <v>EN-002108977</v>
      </c>
    </row>
    <row r="930" spans="1:15" ht="16" x14ac:dyDescent="0.2">
      <c r="A930" s="18" t="str">
        <f>HYPERLINK("https://otsuka-europe-crm.veevavault.com/ui/#object/account__v/V4TZ04ASG8JLEZL", "ALEXANDRA MAQUEDA BAENAS")</f>
        <v>ALEXANDRA MAQUEDA BAENAS</v>
      </c>
      <c r="B930" s="18" t="str">
        <f>HYPERLINK("https://otsuka-europe-crm.veevavault.com/ui/#object/vcountry__v/VENZ000004SONF5", "ES")</f>
        <v>ES</v>
      </c>
      <c r="C930" s="20" t="s">
        <v>39</v>
      </c>
      <c r="D930" s="21" t="str">
        <f>HYPERLINK("https://otsuka-europe-crm.veevavault.com/ui/#object/approved_document__v/V5O00000000A064", "RXULTI - Vídeo Carmen Moreno - Retos y necesidades de la esquizofrenia infantojuvenil")</f>
        <v>RXULTI - Vídeo Carmen Moreno - Retos y necesidades de la esquizofrenia infantojuvenil</v>
      </c>
      <c r="E930" s="22" t="str">
        <f>HYPERLINK("https://otsuka-europe-crm.veevavault.com/ui/#object/sent_email__v/VBL000000031060", "SE-001439233")</f>
        <v>SE-001439233</v>
      </c>
      <c r="F930" s="23"/>
      <c r="G930" s="24">
        <v>0</v>
      </c>
      <c r="H930" s="24">
        <v>0</v>
      </c>
      <c r="I930" s="24">
        <v>0</v>
      </c>
      <c r="J930" s="23"/>
      <c r="K930" s="24">
        <v>0</v>
      </c>
      <c r="L930" s="22" t="str">
        <f>HYPERLINK("https://otsuka-europe-crm.veevavault.com/ui/#object/approved_document__v/V5O00000000A064", "RXULTI - Vídeo Carmen Moreno - Retos y necesidades de la esquizofrenia infantojuvenil")</f>
        <v>RXULTI - Vídeo Carmen Moreno - Retos y necesidades de la esquizofrenia infantojuvenil</v>
      </c>
      <c r="M930" s="22" t="str">
        <f>HYPERLINK("mailto:jjimenez@crm.otsuka-europe.com", "jjimenez@crm.otsuka-europe.com")</f>
        <v>jjimenez@crm.otsuka-europe.com</v>
      </c>
      <c r="N930" s="25">
        <v>46206.309594907405</v>
      </c>
      <c r="O930" s="14" t="str">
        <f>HYPERLINK("https://otsuka-europe-crm.veevavault.com/ui/#object/email_activity__v/V8C000000043120", "EN-002101766")</f>
        <v>EN-002101766</v>
      </c>
    </row>
    <row r="931" spans="1:15" ht="16" x14ac:dyDescent="0.2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14" t="str">
        <f>HYPERLINK("https://otsuka-europe-crm.veevavault.com/ui/#object/email_activity__v/V8C000000044069", "EN-002101737")</f>
        <v>EN-002101737</v>
      </c>
    </row>
    <row r="932" spans="1:15" ht="16" x14ac:dyDescent="0.2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14" t="str">
        <f>HYPERLINK("https://otsuka-europe-crm.veevavault.com/ui/#object/email_activity__v/V8C000000044523", "EN-002102620")</f>
        <v>EN-002102620</v>
      </c>
    </row>
    <row r="933" spans="1:15" ht="16" x14ac:dyDescent="0.2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14" t="str">
        <f>HYPERLINK("https://otsuka-europe-crm.veevavault.com/ui/#object/email_activity__v/V8C00000004A055", "EN-002104978")</f>
        <v>EN-002104978</v>
      </c>
    </row>
    <row r="934" spans="1:15" ht="16" x14ac:dyDescent="0.2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/>
      <c r="L934" s="19"/>
      <c r="M934" s="19"/>
      <c r="N934" s="19"/>
      <c r="O934" s="14" t="str">
        <f>HYPERLINK("https://otsuka-europe-crm.veevavault.com/ui/#object/email_activity__v/V8C00000004C533", "EN-002108035")</f>
        <v>EN-002108035</v>
      </c>
    </row>
    <row r="935" spans="1:15" ht="80" x14ac:dyDescent="0.2">
      <c r="A935" s="7" t="str">
        <f>HYPERLINK("https://otsuka-europe-crm.veevavault.com/ui/#object/account__v/V4TZ025E88DUPL2", "LORENZO LATINO")</f>
        <v>LORENZO LATINO</v>
      </c>
      <c r="B935" s="7" t="str">
        <f t="shared" ref="B935:B953" si="28">HYPERLINK("https://otsuka-europe-crm.veevavault.com/ui/#object/vcountry__v/VENZ000004SONFQ", "IT")</f>
        <v>IT</v>
      </c>
      <c r="C935" s="8" t="s">
        <v>42</v>
      </c>
      <c r="D935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935" s="10" t="str">
        <f>HYPERLINK("https://otsuka-europe-crm.veevavault.com/ui/#object/sent_email__v/VBL000000030025", "SE-001439234")</f>
        <v>SE-001439234</v>
      </c>
      <c r="F935" s="11"/>
      <c r="G935" s="12">
        <v>0</v>
      </c>
      <c r="H935" s="12">
        <v>0</v>
      </c>
      <c r="I935" s="12">
        <v>0</v>
      </c>
      <c r="J935" s="11"/>
      <c r="K935" s="12">
        <v>0</v>
      </c>
      <c r="L935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935" s="10" t="str">
        <f t="shared" ref="M935:M953" si="29">HYPERLINK("mailto:sandro.vitto@crm.otsuka-europe.com", "sandro.vitto@crm.otsuka-europe.com")</f>
        <v>sandro.vitto@crm.otsuka-europe.com</v>
      </c>
      <c r="N935" s="13">
        <v>46206.324097222219</v>
      </c>
      <c r="O935" s="14" t="str">
        <f>HYPERLINK("https://otsuka-europe-crm.veevavault.com/ui/#object/email_activity__v/V8C000000044070", "EN-002101739")</f>
        <v>EN-002101739</v>
      </c>
    </row>
    <row r="936" spans="1:15" ht="48" x14ac:dyDescent="0.2">
      <c r="A936" s="7" t="str">
        <f>HYPERLINK("https://otsuka-europe-crm.veevavault.com/ui/#object/account__v/V4TZ025E88DUPL2", "LORENZO LATINO")</f>
        <v>LORENZO LATINO</v>
      </c>
      <c r="B936" s="7" t="str">
        <f t="shared" si="28"/>
        <v>IT</v>
      </c>
      <c r="C936" s="8" t="s">
        <v>42</v>
      </c>
      <c r="D936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936" s="10" t="str">
        <f>HYPERLINK("https://otsuka-europe-crm.veevavault.com/ui/#object/sent_email__v/VBL000000030026", "SE-001439235")</f>
        <v>SE-001439235</v>
      </c>
      <c r="F936" s="11"/>
      <c r="G936" s="12">
        <v>0</v>
      </c>
      <c r="H936" s="12">
        <v>0</v>
      </c>
      <c r="I936" s="12">
        <v>0</v>
      </c>
      <c r="J936" s="11"/>
      <c r="K936" s="12">
        <v>0</v>
      </c>
      <c r="L936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936" s="10" t="str">
        <f t="shared" si="29"/>
        <v>sandro.vitto@crm.otsuka-europe.com</v>
      </c>
      <c r="N936" s="13">
        <v>46206.324097222219</v>
      </c>
      <c r="O936" s="14" t="str">
        <f>HYPERLINK("https://otsuka-europe-crm.veevavault.com/ui/#object/email_activity__v/V8C000000044073", "EN-002101742")</f>
        <v>EN-002101742</v>
      </c>
    </row>
    <row r="937" spans="1:15" ht="32" x14ac:dyDescent="0.2">
      <c r="A937" s="7" t="str">
        <f>HYPERLINK("https://otsuka-europe-crm.veevavault.com/ui/#object/account__v/V4TZ025E88DUPL2", "LORENZO LATINO")</f>
        <v>LORENZO LATINO</v>
      </c>
      <c r="B937" s="7" t="str">
        <f t="shared" si="28"/>
        <v>IT</v>
      </c>
      <c r="C937" s="8" t="s">
        <v>42</v>
      </c>
      <c r="D937" s="9" t="str">
        <f>HYPERLINK("https://otsuka-europe-crm.veevavault.com/ui/#object/approved_document__v/V5O00000001G004", "Branded_RXULTI_AE Ansia_IT-RXU-2500035")</f>
        <v>Branded_RXULTI_AE Ansia_IT-RXU-2500035</v>
      </c>
      <c r="E937" s="10" t="str">
        <f>HYPERLINK("https://otsuka-europe-crm.veevavault.com/ui/#object/sent_email__v/VBL000000031061", "SE-001439236")</f>
        <v>SE-001439236</v>
      </c>
      <c r="F937" s="11"/>
      <c r="G937" s="12">
        <v>0</v>
      </c>
      <c r="H937" s="12">
        <v>0</v>
      </c>
      <c r="I937" s="12">
        <v>0</v>
      </c>
      <c r="J937" s="11"/>
      <c r="K937" s="12">
        <v>0</v>
      </c>
      <c r="L937" s="10" t="str">
        <f>HYPERLINK("https://otsuka-europe-crm.veevavault.com/ui/#object/approved_document__v/V5O00000001G004", "Branded_RXULTI_AE Ansia_IT-RXU-2500035")</f>
        <v>Branded_RXULTI_AE Ansia_IT-RXU-2500035</v>
      </c>
      <c r="M937" s="10" t="str">
        <f t="shared" si="29"/>
        <v>sandro.vitto@crm.otsuka-europe.com</v>
      </c>
      <c r="N937" s="13">
        <v>46206.324097222219</v>
      </c>
      <c r="O937" s="14" t="str">
        <f>HYPERLINK("https://otsuka-europe-crm.veevavault.com/ui/#object/email_activity__v/V8C000000044072", "EN-002101741")</f>
        <v>EN-002101741</v>
      </c>
    </row>
    <row r="938" spans="1:15" ht="80" x14ac:dyDescent="0.2">
      <c r="A938" s="7" t="str">
        <f>HYPERLINK("https://otsuka-europe-crm.veevavault.com/ui/#object/account__v/V4TZ06G6O71SCQ4", "MARIO VIOLANTE")</f>
        <v>MARIO VIOLANTE</v>
      </c>
      <c r="B938" s="7" t="str">
        <f t="shared" si="28"/>
        <v>IT</v>
      </c>
      <c r="C938" s="8" t="s">
        <v>42</v>
      </c>
      <c r="D938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938" s="10" t="str">
        <f>HYPERLINK("https://otsuka-europe-crm.veevavault.com/ui/#object/sent_email__v/VBL000000031062", "SE-001439237")</f>
        <v>SE-001439237</v>
      </c>
      <c r="F938" s="11"/>
      <c r="G938" s="12">
        <v>0</v>
      </c>
      <c r="H938" s="12">
        <v>0</v>
      </c>
      <c r="I938" s="12">
        <v>0</v>
      </c>
      <c r="J938" s="11"/>
      <c r="K938" s="12">
        <v>0</v>
      </c>
      <c r="L938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938" s="10" t="str">
        <f t="shared" si="29"/>
        <v>sandro.vitto@crm.otsuka-europe.com</v>
      </c>
      <c r="N938" s="13">
        <v>46206.324120370373</v>
      </c>
      <c r="O938" s="14" t="str">
        <f>HYPERLINK("https://otsuka-europe-crm.veevavault.com/ui/#object/email_activity__v/V8C000000044071", "EN-002101740")</f>
        <v>EN-002101740</v>
      </c>
    </row>
    <row r="939" spans="1:15" ht="48" x14ac:dyDescent="0.2">
      <c r="A939" s="7" t="str">
        <f>HYPERLINK("https://otsuka-europe-crm.veevavault.com/ui/#object/account__v/V4TZ06G6O71SCQ4", "MARIO VIOLANTE")</f>
        <v>MARIO VIOLANTE</v>
      </c>
      <c r="B939" s="7" t="str">
        <f t="shared" si="28"/>
        <v>IT</v>
      </c>
      <c r="C939" s="8" t="s">
        <v>42</v>
      </c>
      <c r="D939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939" s="10" t="str">
        <f>HYPERLINK("https://otsuka-europe-crm.veevavault.com/ui/#object/sent_email__v/VBL000000030027", "SE-001439238")</f>
        <v>SE-001439238</v>
      </c>
      <c r="F939" s="11"/>
      <c r="G939" s="12">
        <v>0</v>
      </c>
      <c r="H939" s="12">
        <v>0</v>
      </c>
      <c r="I939" s="12">
        <v>0</v>
      </c>
      <c r="J939" s="11"/>
      <c r="K939" s="12">
        <v>0</v>
      </c>
      <c r="L939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939" s="10" t="str">
        <f t="shared" si="29"/>
        <v>sandro.vitto@crm.otsuka-europe.com</v>
      </c>
      <c r="N939" s="13">
        <v>46206.324166666665</v>
      </c>
      <c r="O939" s="14" t="str">
        <f>HYPERLINK("https://otsuka-europe-crm.veevavault.com/ui/#object/email_activity__v/V8C000000044074", "EN-002101743")</f>
        <v>EN-002101743</v>
      </c>
    </row>
    <row r="940" spans="1:15" ht="32" x14ac:dyDescent="0.2">
      <c r="A940" s="7" t="str">
        <f>HYPERLINK("https://otsuka-europe-crm.veevavault.com/ui/#object/account__v/V4TZ06G6O71SCQ4", "MARIO VIOLANTE")</f>
        <v>MARIO VIOLANTE</v>
      </c>
      <c r="B940" s="7" t="str">
        <f t="shared" si="28"/>
        <v>IT</v>
      </c>
      <c r="C940" s="8" t="s">
        <v>42</v>
      </c>
      <c r="D940" s="9" t="str">
        <f>HYPERLINK("https://otsuka-europe-crm.veevavault.com/ui/#object/approved_document__v/V5O00000001G004", "Branded_RXULTI_AE Ansia_IT-RXU-2500035")</f>
        <v>Branded_RXULTI_AE Ansia_IT-RXU-2500035</v>
      </c>
      <c r="E940" s="10" t="str">
        <f>HYPERLINK("https://otsuka-europe-crm.veevavault.com/ui/#object/sent_email__v/VBL000000030028", "SE-001439239")</f>
        <v>SE-001439239</v>
      </c>
      <c r="F940" s="11"/>
      <c r="G940" s="12">
        <v>0</v>
      </c>
      <c r="H940" s="12">
        <v>0</v>
      </c>
      <c r="I940" s="12">
        <v>0</v>
      </c>
      <c r="J940" s="11"/>
      <c r="K940" s="12">
        <v>0</v>
      </c>
      <c r="L940" s="10" t="str">
        <f>HYPERLINK("https://otsuka-europe-crm.veevavault.com/ui/#object/approved_document__v/V5O00000001G004", "Branded_RXULTI_AE Ansia_IT-RXU-2500035")</f>
        <v>Branded_RXULTI_AE Ansia_IT-RXU-2500035</v>
      </c>
      <c r="M940" s="10" t="str">
        <f t="shared" si="29"/>
        <v>sandro.vitto@crm.otsuka-europe.com</v>
      </c>
      <c r="N940" s="13">
        <v>46206.324212962965</v>
      </c>
      <c r="O940" s="14" t="str">
        <f>HYPERLINK("https://otsuka-europe-crm.veevavault.com/ui/#object/email_activity__v/V8C000000044075", "EN-002101744")</f>
        <v>EN-002101744</v>
      </c>
    </row>
    <row r="941" spans="1:15" ht="80" x14ac:dyDescent="0.2">
      <c r="A941" s="7" t="str">
        <f>HYPERLINK("https://otsuka-europe-crm.veevavault.com/ui/#object/account__v/V4TZ06G6O71SBO4", "GAETANO NAPPI")</f>
        <v>GAETANO NAPPI</v>
      </c>
      <c r="B941" s="7" t="str">
        <f t="shared" si="28"/>
        <v>IT</v>
      </c>
      <c r="C941" s="8" t="s">
        <v>42</v>
      </c>
      <c r="D941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941" s="10" t="str">
        <f>HYPERLINK("https://otsuka-europe-crm.veevavault.com/ui/#object/sent_email__v/VBL000000031063", "SE-001439240")</f>
        <v>SE-001439240</v>
      </c>
      <c r="F941" s="11"/>
      <c r="G941" s="12">
        <v>0</v>
      </c>
      <c r="H941" s="12">
        <v>0</v>
      </c>
      <c r="I941" s="12">
        <v>0</v>
      </c>
      <c r="J941" s="11"/>
      <c r="K941" s="12">
        <v>0</v>
      </c>
      <c r="L941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941" s="10" t="str">
        <f t="shared" si="29"/>
        <v>sandro.vitto@crm.otsuka-europe.com</v>
      </c>
      <c r="N941" s="13">
        <v>46206.324328703704</v>
      </c>
      <c r="O941" s="14" t="str">
        <f>HYPERLINK("https://otsuka-europe-crm.veevavault.com/ui/#object/email_activity__v/V8C000000044078", "EN-002101747")</f>
        <v>EN-002101747</v>
      </c>
    </row>
    <row r="942" spans="1:15" ht="48" x14ac:dyDescent="0.2">
      <c r="A942" s="7" t="str">
        <f>HYPERLINK("https://otsuka-europe-crm.veevavault.com/ui/#object/account__v/V4TZ06G6O71SBO4", "GAETANO NAPPI")</f>
        <v>GAETANO NAPPI</v>
      </c>
      <c r="B942" s="7" t="str">
        <f t="shared" si="28"/>
        <v>IT</v>
      </c>
      <c r="C942" s="8" t="s">
        <v>42</v>
      </c>
      <c r="D942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942" s="10" t="str">
        <f>HYPERLINK("https://otsuka-europe-crm.veevavault.com/ui/#object/sent_email__v/VBL000000030029", "SE-001439241")</f>
        <v>SE-001439241</v>
      </c>
      <c r="F942" s="11"/>
      <c r="G942" s="12">
        <v>0</v>
      </c>
      <c r="H942" s="12">
        <v>0</v>
      </c>
      <c r="I942" s="12">
        <v>0</v>
      </c>
      <c r="J942" s="11"/>
      <c r="K942" s="12">
        <v>0</v>
      </c>
      <c r="L942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942" s="10" t="str">
        <f t="shared" si="29"/>
        <v>sandro.vitto@crm.otsuka-europe.com</v>
      </c>
      <c r="N942" s="13">
        <v>46206.324340277781</v>
      </c>
      <c r="O942" s="14" t="str">
        <f>HYPERLINK("https://otsuka-europe-crm.veevavault.com/ui/#object/email_activity__v/V8C000000044076", "EN-002101745")</f>
        <v>EN-002101745</v>
      </c>
    </row>
    <row r="943" spans="1:15" ht="32" x14ac:dyDescent="0.2">
      <c r="A943" s="7" t="str">
        <f>HYPERLINK("https://otsuka-europe-crm.veevavault.com/ui/#object/account__v/V4TZ06G6O71SBO4", "GAETANO NAPPI")</f>
        <v>GAETANO NAPPI</v>
      </c>
      <c r="B943" s="7" t="str">
        <f t="shared" si="28"/>
        <v>IT</v>
      </c>
      <c r="C943" s="8" t="s">
        <v>42</v>
      </c>
      <c r="D943" s="9" t="str">
        <f>HYPERLINK("https://otsuka-europe-crm.veevavault.com/ui/#object/approved_document__v/V5O00000001G004", "Branded_RXULTI_AE Ansia_IT-RXU-2500035")</f>
        <v>Branded_RXULTI_AE Ansia_IT-RXU-2500035</v>
      </c>
      <c r="E943" s="10" t="str">
        <f>HYPERLINK("https://otsuka-europe-crm.veevavault.com/ui/#object/sent_email__v/VBL000000030030", "SE-001439242")</f>
        <v>SE-001439242</v>
      </c>
      <c r="F943" s="11"/>
      <c r="G943" s="12">
        <v>0</v>
      </c>
      <c r="H943" s="12">
        <v>0</v>
      </c>
      <c r="I943" s="12">
        <v>0</v>
      </c>
      <c r="J943" s="11"/>
      <c r="K943" s="12">
        <v>0</v>
      </c>
      <c r="L943" s="10" t="str">
        <f>HYPERLINK("https://otsuka-europe-crm.veevavault.com/ui/#object/approved_document__v/V5O00000001G004", "Branded_RXULTI_AE Ansia_IT-RXU-2500035")</f>
        <v>Branded_RXULTI_AE Ansia_IT-RXU-2500035</v>
      </c>
      <c r="M943" s="10" t="str">
        <f t="shared" si="29"/>
        <v>sandro.vitto@crm.otsuka-europe.com</v>
      </c>
      <c r="N943" s="13">
        <v>46206.32435185185</v>
      </c>
      <c r="O943" s="14" t="str">
        <f>HYPERLINK("https://otsuka-europe-crm.veevavault.com/ui/#object/email_activity__v/V8C000000044077", "EN-002101746")</f>
        <v>EN-002101746</v>
      </c>
    </row>
    <row r="944" spans="1:15" ht="48" x14ac:dyDescent="0.2">
      <c r="A944" s="7" t="str">
        <f>HYPERLINK("https://otsuka-europe-crm.veevavault.com/ui/#object/account__v/V4TZ04ASGEHY4KF", "LUISA BORRACCINO")</f>
        <v>LUISA BORRACCINO</v>
      </c>
      <c r="B944" s="7" t="str">
        <f t="shared" si="28"/>
        <v>IT</v>
      </c>
      <c r="C944" s="8" t="s">
        <v>42</v>
      </c>
      <c r="D944" s="9" t="str">
        <f>HYPERLINK("https://otsuka-europe-crm.veevavault.com/ui/#object/approved_document__v/V5OZ025E82T9SYM", "ABILIFY 960/720_Branded_AE Burden_IT-AM2-2500124")</f>
        <v>ABILIFY 960/720_Branded_AE Burden_IT-AM2-2500124</v>
      </c>
      <c r="E944" s="10" t="str">
        <f>HYPERLINK("https://otsuka-europe-crm.veevavault.com/ui/#object/sent_email__v/VBL000000030031", "SE-001439243")</f>
        <v>SE-001439243</v>
      </c>
      <c r="F944" s="11"/>
      <c r="G944" s="12">
        <v>0</v>
      </c>
      <c r="H944" s="12">
        <v>0</v>
      </c>
      <c r="I944" s="12">
        <v>0</v>
      </c>
      <c r="J944" s="11"/>
      <c r="K944" s="12">
        <v>0</v>
      </c>
      <c r="L944" s="10" t="str">
        <f>HYPERLINK("https://otsuka-europe-crm.veevavault.com/ui/#object/approved_document__v/V5OZ025E82T9SYM", "ABILIFY 960/720_Branded_AE Burden_IT-AM2-2500124")</f>
        <v>ABILIFY 960/720_Branded_AE Burden_IT-AM2-2500124</v>
      </c>
      <c r="M944" s="10" t="str">
        <f t="shared" si="29"/>
        <v>sandro.vitto@crm.otsuka-europe.com</v>
      </c>
      <c r="N944" s="13">
        <v>46206.324849537035</v>
      </c>
      <c r="O944" s="14" t="str">
        <f>HYPERLINK("https://otsuka-europe-crm.veevavault.com/ui/#object/email_activity__v/V8C000000044079", "EN-002101748")</f>
        <v>EN-002101748</v>
      </c>
    </row>
    <row r="945" spans="1:15" ht="64" x14ac:dyDescent="0.2">
      <c r="A945" s="7" t="str">
        <f>HYPERLINK("https://otsuka-europe-crm.veevavault.com/ui/#object/account__v/V4TZ04ASGEHY4KF", "LUISA BORRACCINO")</f>
        <v>LUISA BORRACCINO</v>
      </c>
      <c r="B945" s="7" t="str">
        <f t="shared" si="28"/>
        <v>IT</v>
      </c>
      <c r="C945" s="8" t="s">
        <v>42</v>
      </c>
      <c r="D945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945" s="10" t="str">
        <f>HYPERLINK("https://otsuka-europe-crm.veevavault.com/ui/#object/sent_email__v/VBL000000030032", "SE-001439244")</f>
        <v>SE-001439244</v>
      </c>
      <c r="F945" s="11"/>
      <c r="G945" s="12">
        <v>0</v>
      </c>
      <c r="H945" s="12">
        <v>0</v>
      </c>
      <c r="I945" s="12">
        <v>0</v>
      </c>
      <c r="J945" s="11"/>
      <c r="K945" s="12">
        <v>0</v>
      </c>
      <c r="L945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945" s="10" t="str">
        <f t="shared" si="29"/>
        <v>sandro.vitto@crm.otsuka-europe.com</v>
      </c>
      <c r="N945" s="13">
        <v>46206.324930555558</v>
      </c>
      <c r="O945" s="14" t="str">
        <f>HYPERLINK("https://otsuka-europe-crm.veevavault.com/ui/#object/email_activity__v/V8C000000044080", "EN-002101749")</f>
        <v>EN-002101749</v>
      </c>
    </row>
    <row r="946" spans="1:15" ht="48" x14ac:dyDescent="0.2">
      <c r="A946" s="7" t="str">
        <f>HYPERLINK("https://otsuka-europe-crm.veevavault.com/ui/#object/account__v/V4TZ04ASGEHY4KF", "LUISA BORRACCINO")</f>
        <v>LUISA BORRACCINO</v>
      </c>
      <c r="B946" s="7" t="str">
        <f t="shared" si="28"/>
        <v>IT</v>
      </c>
      <c r="C946" s="8" t="s">
        <v>42</v>
      </c>
      <c r="D946" s="9" t="str">
        <f>HYPERLINK("https://otsuka-europe-crm.veevavault.com/ui/#object/approved_document__v/V5OZ025E82MQEQD", "ABILIFY MAINTENA 960_Unbranded_AE GU_ IT-NPR-2500045")</f>
        <v>ABILIFY MAINTENA 960_Unbranded_AE GU_ IT-NPR-2500045</v>
      </c>
      <c r="E946" s="10" t="str">
        <f>HYPERLINK("https://otsuka-europe-crm.veevavault.com/ui/#object/sent_email__v/VBL000000031064", "SE-001439245")</f>
        <v>SE-001439245</v>
      </c>
      <c r="F946" s="11"/>
      <c r="G946" s="12">
        <v>0</v>
      </c>
      <c r="H946" s="12">
        <v>0</v>
      </c>
      <c r="I946" s="12">
        <v>0</v>
      </c>
      <c r="J946" s="11"/>
      <c r="K946" s="12">
        <v>0</v>
      </c>
      <c r="L946" s="10" t="str">
        <f>HYPERLINK("https://otsuka-europe-crm.veevavault.com/ui/#object/approved_document__v/V5OZ025E82MQEQD", "ABILIFY MAINTENA 960_Unbranded_AE GU_ IT-NPR-2500045")</f>
        <v>ABILIFY MAINTENA 960_Unbranded_AE GU_ IT-NPR-2500045</v>
      </c>
      <c r="M946" s="10" t="str">
        <f t="shared" si="29"/>
        <v>sandro.vitto@crm.otsuka-europe.com</v>
      </c>
      <c r="N946" s="13">
        <v>46206.325127314813</v>
      </c>
      <c r="O946" s="14" t="str">
        <f>HYPERLINK("https://otsuka-europe-crm.veevavault.com/ui/#object/email_activity__v/V8C000000043114", "EN-002101750")</f>
        <v>EN-002101750</v>
      </c>
    </row>
    <row r="947" spans="1:15" ht="48" x14ac:dyDescent="0.2">
      <c r="A947" s="7" t="str">
        <f>HYPERLINK("https://otsuka-europe-crm.veevavault.com/ui/#object/account__v/V4TZ04ASGCDFYIJ", "PASQUALE PARISI")</f>
        <v>PASQUALE PARISI</v>
      </c>
      <c r="B947" s="7" t="str">
        <f t="shared" si="28"/>
        <v>IT</v>
      </c>
      <c r="C947" s="8" t="s">
        <v>42</v>
      </c>
      <c r="D947" s="9" t="str">
        <f>HYPERLINK("https://otsuka-europe-crm.veevavault.com/ui/#object/approved_document__v/V5OZ025E82T9SYM", "ABILIFY 960/720_Branded_AE Burden_IT-AM2-2500124")</f>
        <v>ABILIFY 960/720_Branded_AE Burden_IT-AM2-2500124</v>
      </c>
      <c r="E947" s="10" t="str">
        <f>HYPERLINK("https://otsuka-europe-crm.veevavault.com/ui/#object/sent_email__v/VBL000000031065", "SE-001439246")</f>
        <v>SE-001439246</v>
      </c>
      <c r="F947" s="11"/>
      <c r="G947" s="12">
        <v>0</v>
      </c>
      <c r="H947" s="12">
        <v>0</v>
      </c>
      <c r="I947" s="12">
        <v>0</v>
      </c>
      <c r="J947" s="11"/>
      <c r="K947" s="12">
        <v>0</v>
      </c>
      <c r="L947" s="10" t="str">
        <f>HYPERLINK("https://otsuka-europe-crm.veevavault.com/ui/#object/approved_document__v/V5OZ025E82T9SYM", "ABILIFY 960/720_Branded_AE Burden_IT-AM2-2500124")</f>
        <v>ABILIFY 960/720_Branded_AE Burden_IT-AM2-2500124</v>
      </c>
      <c r="M947" s="10" t="str">
        <f t="shared" si="29"/>
        <v>sandro.vitto@crm.otsuka-europe.com</v>
      </c>
      <c r="N947" s="13">
        <v>46206.325810185182</v>
      </c>
      <c r="O947" s="14" t="str">
        <f>HYPERLINK("https://otsuka-europe-crm.veevavault.com/ui/#object/email_activity__v/V8C000000043115", "EN-002101751")</f>
        <v>EN-002101751</v>
      </c>
    </row>
    <row r="948" spans="1:15" ht="64" x14ac:dyDescent="0.2">
      <c r="A948" s="7" t="str">
        <f>HYPERLINK("https://otsuka-europe-crm.veevavault.com/ui/#object/account__v/V4TZ04ASGCDFYIJ", "PASQUALE PARISI")</f>
        <v>PASQUALE PARISI</v>
      </c>
      <c r="B948" s="7" t="str">
        <f t="shared" si="28"/>
        <v>IT</v>
      </c>
      <c r="C948" s="8" t="s">
        <v>42</v>
      </c>
      <c r="D948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948" s="10" t="str">
        <f>HYPERLINK("https://otsuka-europe-crm.veevavault.com/ui/#object/sent_email__v/VBL000000030033", "SE-001439247")</f>
        <v>SE-001439247</v>
      </c>
      <c r="F948" s="11"/>
      <c r="G948" s="12">
        <v>0</v>
      </c>
      <c r="H948" s="12">
        <v>0</v>
      </c>
      <c r="I948" s="12">
        <v>0</v>
      </c>
      <c r="J948" s="11"/>
      <c r="K948" s="12">
        <v>0</v>
      </c>
      <c r="L948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948" s="10" t="str">
        <f t="shared" si="29"/>
        <v>sandro.vitto@crm.otsuka-europe.com</v>
      </c>
      <c r="N948" s="13">
        <v>46206.325949074075</v>
      </c>
      <c r="O948" s="14" t="str">
        <f>HYPERLINK("https://otsuka-europe-crm.veevavault.com/ui/#object/email_activity__v/V8C000000044081", "EN-002101752")</f>
        <v>EN-002101752</v>
      </c>
    </row>
    <row r="949" spans="1:15" ht="48" x14ac:dyDescent="0.2">
      <c r="A949" s="7" t="str">
        <f>HYPERLINK("https://otsuka-europe-crm.veevavault.com/ui/#object/account__v/V4TZ04ASGCDFYIJ", "PASQUALE PARISI")</f>
        <v>PASQUALE PARISI</v>
      </c>
      <c r="B949" s="7" t="str">
        <f t="shared" si="28"/>
        <v>IT</v>
      </c>
      <c r="C949" s="8" t="s">
        <v>42</v>
      </c>
      <c r="D949" s="9" t="str">
        <f>HYPERLINK("https://otsuka-europe-crm.veevavault.com/ui/#object/approved_document__v/V5OZ025E82MQEQD", "ABILIFY MAINTENA 960_Unbranded_AE GU_ IT-NPR-2500045")</f>
        <v>ABILIFY MAINTENA 960_Unbranded_AE GU_ IT-NPR-2500045</v>
      </c>
      <c r="E949" s="10" t="str">
        <f>HYPERLINK("https://otsuka-europe-crm.veevavault.com/ui/#object/sent_email__v/VBL000000031066", "SE-001439248")</f>
        <v>SE-001439248</v>
      </c>
      <c r="F949" s="11"/>
      <c r="G949" s="12">
        <v>0</v>
      </c>
      <c r="H949" s="12">
        <v>0</v>
      </c>
      <c r="I949" s="12">
        <v>0</v>
      </c>
      <c r="J949" s="11"/>
      <c r="K949" s="12">
        <v>0</v>
      </c>
      <c r="L949" s="10" t="str">
        <f>HYPERLINK("https://otsuka-europe-crm.veevavault.com/ui/#object/approved_document__v/V5OZ025E82MQEQD", "ABILIFY MAINTENA 960_Unbranded_AE GU_ IT-NPR-2500045")</f>
        <v>ABILIFY MAINTENA 960_Unbranded_AE GU_ IT-NPR-2500045</v>
      </c>
      <c r="M949" s="10" t="str">
        <f t="shared" si="29"/>
        <v>sandro.vitto@crm.otsuka-europe.com</v>
      </c>
      <c r="N949" s="13">
        <v>46206.326053240744</v>
      </c>
      <c r="O949" s="14" t="str">
        <f>HYPERLINK("https://otsuka-europe-crm.veevavault.com/ui/#object/email_activity__v/V8C000000044082", "EN-002101753")</f>
        <v>EN-002101753</v>
      </c>
    </row>
    <row r="950" spans="1:15" ht="48" x14ac:dyDescent="0.2">
      <c r="A950" s="7" t="str">
        <f>HYPERLINK("https://otsuka-europe-crm.veevavault.com/ui/#object/account__v/V4TZ06G6O71SAG0", "VITO DI CAGNO")</f>
        <v>VITO DI CAGNO</v>
      </c>
      <c r="B950" s="7" t="str">
        <f t="shared" si="28"/>
        <v>IT</v>
      </c>
      <c r="C950" s="8" t="s">
        <v>42</v>
      </c>
      <c r="D950" s="9" t="str">
        <f>HYPERLINK("https://otsuka-europe-crm.veevavault.com/ui/#object/approved_document__v/V5OZ025E82T9SYM", "ABILIFY 960/720_Branded_AE Burden_IT-AM2-2500124")</f>
        <v>ABILIFY 960/720_Branded_AE Burden_IT-AM2-2500124</v>
      </c>
      <c r="E950" s="10" t="str">
        <f>HYPERLINK("https://otsuka-europe-crm.veevavault.com/ui/#object/sent_email__v/VBL000000031067", "SE-001439249")</f>
        <v>SE-001439249</v>
      </c>
      <c r="F950" s="11"/>
      <c r="G950" s="12">
        <v>0</v>
      </c>
      <c r="H950" s="12">
        <v>0</v>
      </c>
      <c r="I950" s="12">
        <v>0</v>
      </c>
      <c r="J950" s="11"/>
      <c r="K950" s="12">
        <v>0</v>
      </c>
      <c r="L950" s="10" t="str">
        <f>HYPERLINK("https://otsuka-europe-crm.veevavault.com/ui/#object/approved_document__v/V5OZ025E82T9SYM", "ABILIFY 960/720_Branded_AE Burden_IT-AM2-2500124")</f>
        <v>ABILIFY 960/720_Branded_AE Burden_IT-AM2-2500124</v>
      </c>
      <c r="M950" s="10" t="str">
        <f t="shared" si="29"/>
        <v>sandro.vitto@crm.otsuka-europe.com</v>
      </c>
      <c r="N950" s="13">
        <v>46206.326412037037</v>
      </c>
      <c r="O950" s="14" t="str">
        <f>HYPERLINK("https://otsuka-europe-crm.veevavault.com/ui/#object/email_activity__v/V8C000000043116", "EN-002101754")</f>
        <v>EN-002101754</v>
      </c>
    </row>
    <row r="951" spans="1:15" ht="64" x14ac:dyDescent="0.2">
      <c r="A951" s="7" t="str">
        <f>HYPERLINK("https://otsuka-europe-crm.veevavault.com/ui/#object/account__v/V4TZ06G6O71SAG0", "VITO DI CAGNO")</f>
        <v>VITO DI CAGNO</v>
      </c>
      <c r="B951" s="7" t="str">
        <f t="shared" si="28"/>
        <v>IT</v>
      </c>
      <c r="C951" s="8" t="s">
        <v>42</v>
      </c>
      <c r="D951" s="9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951" s="10" t="str">
        <f>HYPERLINK("https://otsuka-europe-crm.veevavault.com/ui/#object/sent_email__v/VBL000000031068", "SE-001439250")</f>
        <v>SE-001439250</v>
      </c>
      <c r="F951" s="11"/>
      <c r="G951" s="12">
        <v>0</v>
      </c>
      <c r="H951" s="12">
        <v>0</v>
      </c>
      <c r="I951" s="12">
        <v>0</v>
      </c>
      <c r="J951" s="11"/>
      <c r="K951" s="12">
        <v>0</v>
      </c>
      <c r="L951" s="10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951" s="10" t="str">
        <f t="shared" si="29"/>
        <v>sandro.vitto@crm.otsuka-europe.com</v>
      </c>
      <c r="N951" s="13">
        <v>46206.326458333337</v>
      </c>
      <c r="O951" s="14" t="str">
        <f>HYPERLINK("https://otsuka-europe-crm.veevavault.com/ui/#object/email_activity__v/V8C000000044083", "EN-002101756")</f>
        <v>EN-002101756</v>
      </c>
    </row>
    <row r="952" spans="1:15" ht="48" x14ac:dyDescent="0.2">
      <c r="A952" s="7" t="str">
        <f>HYPERLINK("https://otsuka-europe-crm.veevavault.com/ui/#object/account__v/V4TZ06G6O71SAG0", "VITO DI CAGNO")</f>
        <v>VITO DI CAGNO</v>
      </c>
      <c r="B952" s="7" t="str">
        <f t="shared" si="28"/>
        <v>IT</v>
      </c>
      <c r="C952" s="8" t="s">
        <v>42</v>
      </c>
      <c r="D952" s="9" t="str">
        <f>HYPERLINK("https://otsuka-europe-crm.veevavault.com/ui/#object/approved_document__v/V5OZ025E82MQEQD", "ABILIFY MAINTENA 960_Unbranded_AE GU_ IT-NPR-2500045")</f>
        <v>ABILIFY MAINTENA 960_Unbranded_AE GU_ IT-NPR-2500045</v>
      </c>
      <c r="E952" s="10" t="str">
        <f>HYPERLINK("https://otsuka-europe-crm.veevavault.com/ui/#object/sent_email__v/VBL000000031069", "SE-001439251")</f>
        <v>SE-001439251</v>
      </c>
      <c r="F952" s="11"/>
      <c r="G952" s="12">
        <v>0</v>
      </c>
      <c r="H952" s="12">
        <v>0</v>
      </c>
      <c r="I952" s="12">
        <v>0</v>
      </c>
      <c r="J952" s="11"/>
      <c r="K952" s="12">
        <v>0</v>
      </c>
      <c r="L952" s="10" t="str">
        <f>HYPERLINK("https://otsuka-europe-crm.veevavault.com/ui/#object/approved_document__v/V5OZ025E82MQEQD", "ABILIFY MAINTENA 960_Unbranded_AE GU_ IT-NPR-2500045")</f>
        <v>ABILIFY MAINTENA 960_Unbranded_AE GU_ IT-NPR-2500045</v>
      </c>
      <c r="M952" s="10" t="str">
        <f t="shared" si="29"/>
        <v>sandro.vitto@crm.otsuka-europe.com</v>
      </c>
      <c r="N952" s="13">
        <v>46206.326481481483</v>
      </c>
      <c r="O952" s="14" t="str">
        <f>HYPERLINK("https://otsuka-europe-crm.veevavault.com/ui/#object/email_activity__v/V8C000000043117", "EN-002101755")</f>
        <v>EN-002101755</v>
      </c>
    </row>
    <row r="953" spans="1:15" ht="16" x14ac:dyDescent="0.2">
      <c r="A953" s="18" t="str">
        <f>HYPERLINK("https://otsuka-europe-crm.veevavault.com/ui/#object/account__v/V4TZ025E85KNVU9", "DOMENICO SCELZI")</f>
        <v>DOMENICO SCELZI</v>
      </c>
      <c r="B953" s="18" t="str">
        <f t="shared" si="28"/>
        <v>IT</v>
      </c>
      <c r="C953" s="20" t="s">
        <v>42</v>
      </c>
      <c r="D953" s="21" t="str">
        <f>HYPERLINK("https://otsuka-europe-crm.veevavault.com/ui/#object/approved_document__v/V5OZ025E82T9SYM", "ABILIFY 960/720_Branded_AE Burden_IT-AM2-2500124")</f>
        <v>ABILIFY 960/720_Branded_AE Burden_IT-AM2-2500124</v>
      </c>
      <c r="E953" s="22" t="str">
        <f>HYPERLINK("https://otsuka-europe-crm.veevavault.com/ui/#object/sent_email__v/VBL000000030034", "SE-001439252")</f>
        <v>SE-001439252</v>
      </c>
      <c r="F953" s="23"/>
      <c r="G953" s="24">
        <v>0</v>
      </c>
      <c r="H953" s="24">
        <v>0</v>
      </c>
      <c r="I953" s="24">
        <v>0</v>
      </c>
      <c r="J953" s="23"/>
      <c r="K953" s="24">
        <v>0</v>
      </c>
      <c r="L953" s="22" t="str">
        <f>HYPERLINK("https://otsuka-europe-crm.veevavault.com/ui/#object/approved_document__v/V5OZ025E82T9SYM", "ABILIFY 960/720_Branded_AE Burden_IT-AM2-2500124")</f>
        <v>ABILIFY 960/720_Branded_AE Burden_IT-AM2-2500124</v>
      </c>
      <c r="M953" s="22" t="str">
        <f t="shared" si="29"/>
        <v>sandro.vitto@crm.otsuka-europe.com</v>
      </c>
      <c r="N953" s="25">
        <v>46206.327199074076</v>
      </c>
      <c r="O953" s="14" t="str">
        <f>HYPERLINK("https://otsuka-europe-crm.veevavault.com/ui/#object/email_activity__v/V8C000000043162", "EN-002101849")</f>
        <v>EN-002101849</v>
      </c>
    </row>
    <row r="954" spans="1:15" ht="16" x14ac:dyDescent="0.2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/>
      <c r="L954" s="19"/>
      <c r="M954" s="19"/>
      <c r="N954" s="19"/>
      <c r="O954" s="14" t="str">
        <f>HYPERLINK("https://otsuka-europe-crm.veevavault.com/ui/#object/email_activity__v/V8C000000044085", "EN-002101758")</f>
        <v>EN-002101758</v>
      </c>
    </row>
    <row r="955" spans="1:15" ht="16" x14ac:dyDescent="0.2">
      <c r="A955" s="18" t="str">
        <f>HYPERLINK("https://otsuka-europe-crm.veevavault.com/ui/#object/account__v/V4TZ025E85KNVU9", "DOMENICO SCELZI")</f>
        <v>DOMENICO SCELZI</v>
      </c>
      <c r="B955" s="18" t="str">
        <f>HYPERLINK("https://otsuka-europe-crm.veevavault.com/ui/#object/vcountry__v/VENZ000004SONFQ", "IT")</f>
        <v>IT</v>
      </c>
      <c r="C955" s="20" t="s">
        <v>42</v>
      </c>
      <c r="D955" s="21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E955" s="22" t="str">
        <f>HYPERLINK("https://otsuka-europe-crm.veevavault.com/ui/#object/sent_email__v/VBL000000031070", "SE-001439253")</f>
        <v>SE-001439253</v>
      </c>
      <c r="F955" s="23"/>
      <c r="G955" s="24">
        <v>0</v>
      </c>
      <c r="H955" s="24">
        <v>0</v>
      </c>
      <c r="I955" s="24">
        <v>0</v>
      </c>
      <c r="J955" s="23"/>
      <c r="K955" s="24">
        <v>0</v>
      </c>
      <c r="L955" s="22" t="str">
        <f>HYPERLINK("https://otsuka-europe-crm.veevavault.com/ui/#object/approved_document__v/V5OZ025E82T9SYL", "OTSUKA_ABILIFY 960/720_Branded_AE lancio 960/720_IT-AM2-2500122")</f>
        <v>OTSUKA_ABILIFY 960/720_Branded_AE lancio 960/720_IT-AM2-2500122</v>
      </c>
      <c r="M955" s="22" t="str">
        <f>HYPERLINK("mailto:sandro.vitto@crm.otsuka-europe.com", "sandro.vitto@crm.otsuka-europe.com")</f>
        <v>sandro.vitto@crm.otsuka-europe.com</v>
      </c>
      <c r="N955" s="25">
        <v>46206.327256944445</v>
      </c>
      <c r="O955" s="14" t="str">
        <f>HYPERLINK("https://otsuka-europe-crm.veevavault.com/ui/#object/email_activity__v/V8C000000043118", "EN-002101759")</f>
        <v>EN-002101759</v>
      </c>
    </row>
    <row r="956" spans="1:15" ht="16" x14ac:dyDescent="0.2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/>
      <c r="L956" s="19"/>
      <c r="M956" s="19"/>
      <c r="N956" s="19"/>
      <c r="O956" s="14" t="str">
        <f>HYPERLINK("https://otsuka-europe-crm.veevavault.com/ui/#object/email_activity__v/V8C000000043164", "EN-002101851")</f>
        <v>EN-002101851</v>
      </c>
    </row>
    <row r="957" spans="1:15" ht="16" x14ac:dyDescent="0.2">
      <c r="A957" s="18" t="str">
        <f>HYPERLINK("https://otsuka-europe-crm.veevavault.com/ui/#object/account__v/V4TZ025E85KNVU9", "DOMENICO SCELZI")</f>
        <v>DOMENICO SCELZI</v>
      </c>
      <c r="B957" s="18" t="str">
        <f>HYPERLINK("https://otsuka-europe-crm.veevavault.com/ui/#object/vcountry__v/VENZ000004SONFQ", "IT")</f>
        <v>IT</v>
      </c>
      <c r="C957" s="20" t="s">
        <v>42</v>
      </c>
      <c r="D957" s="21" t="str">
        <f>HYPERLINK("https://otsuka-europe-crm.veevavault.com/ui/#object/approved_document__v/V5OZ025E82MQEQD", "ABILIFY MAINTENA 960_Unbranded_AE GU_ IT-NPR-2500045")</f>
        <v>ABILIFY MAINTENA 960_Unbranded_AE GU_ IT-NPR-2500045</v>
      </c>
      <c r="E957" s="22" t="str">
        <f>HYPERLINK("https://otsuka-europe-crm.veevavault.com/ui/#object/sent_email__v/VBL000000030035", "SE-001439254")</f>
        <v>SE-001439254</v>
      </c>
      <c r="F957" s="23"/>
      <c r="G957" s="24">
        <v>0</v>
      </c>
      <c r="H957" s="24">
        <v>0</v>
      </c>
      <c r="I957" s="24">
        <v>0</v>
      </c>
      <c r="J957" s="23"/>
      <c r="K957" s="24">
        <v>0</v>
      </c>
      <c r="L957" s="22" t="str">
        <f>HYPERLINK("https://otsuka-europe-crm.veevavault.com/ui/#object/approved_document__v/V5OZ025E82MQEQD", "ABILIFY MAINTENA 960_Unbranded_AE GU_ IT-NPR-2500045")</f>
        <v>ABILIFY MAINTENA 960_Unbranded_AE GU_ IT-NPR-2500045</v>
      </c>
      <c r="M957" s="22" t="str">
        <f>HYPERLINK("mailto:sandro.vitto@crm.otsuka-europe.com", "sandro.vitto@crm.otsuka-europe.com")</f>
        <v>sandro.vitto@crm.otsuka-europe.com</v>
      </c>
      <c r="N957" s="25">
        <v>46206.327280092592</v>
      </c>
      <c r="O957" s="14" t="str">
        <f>HYPERLINK("https://otsuka-europe-crm.veevavault.com/ui/#object/email_activity__v/V8C000000043163", "EN-002101850")</f>
        <v>EN-002101850</v>
      </c>
    </row>
    <row r="958" spans="1:15" ht="16" x14ac:dyDescent="0.2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/>
      <c r="L958" s="19"/>
      <c r="M958" s="19"/>
      <c r="N958" s="19"/>
      <c r="O958" s="14" t="str">
        <f>HYPERLINK("https://otsuka-europe-crm.veevavault.com/ui/#object/email_activity__v/V8C000000044084", "EN-002101757")</f>
        <v>EN-002101757</v>
      </c>
    </row>
    <row r="959" spans="1:15" ht="32" x14ac:dyDescent="0.2">
      <c r="A959" s="7" t="str">
        <f>HYPERLINK("https://otsuka-europe-crm.veevavault.com/ui/#object/account__v/V4TZ00000633SPR", "MARIE MADELEINE GROSBOIS")</f>
        <v>MARIE MADELEINE GROSBOIS</v>
      </c>
      <c r="B959" s="7" t="str">
        <f>HYPERLINK("https://otsuka-europe-crm.veevavault.com/ui/#object/vcountry__v/VENZ000004SONFA", "FR")</f>
        <v>FR</v>
      </c>
      <c r="C959" s="8" t="s">
        <v>40</v>
      </c>
      <c r="D959" s="9" t="str">
        <f>HYPERLINK("https://otsuka-europe-crm.veevavault.com/ui/#object/approved_document__v/V5OZ04ASG4G02Y7", "REMERCIEMENTS_VAD_2023")</f>
        <v>REMERCIEMENTS_VAD_2023</v>
      </c>
      <c r="E959" s="10" t="str">
        <f>HYPERLINK("https://otsuka-europe-crm.veevavault.com/ui/#object/sent_email__v/VBL000000031071", "SE-001439255")</f>
        <v>SE-001439255</v>
      </c>
      <c r="F959" s="11"/>
      <c r="G959" s="12">
        <v>0</v>
      </c>
      <c r="H959" s="12">
        <v>0</v>
      </c>
      <c r="I959" s="12">
        <v>0</v>
      </c>
      <c r="J959" s="11"/>
      <c r="K959" s="12">
        <v>0</v>
      </c>
      <c r="L959" s="10" t="str">
        <f>HYPERLINK("https://otsuka-europe-crm.veevavault.com/ui/#object/approved_document__v/V5OZ04ASG4G02Y7", "REMERCIEMENTS_VAD_2023")</f>
        <v>REMERCIEMENTS_VAD_2023</v>
      </c>
      <c r="M959" s="10" t="str">
        <f>HYPERLINK("mailto:kpoperen@crm.otsuka-europe.com", "kpoperen@crm.otsuka-europe.com")</f>
        <v>kpoperen@crm.otsuka-europe.com</v>
      </c>
      <c r="N959" s="13">
        <v>46206.343148148146</v>
      </c>
      <c r="O959" s="14" t="str">
        <f>HYPERLINK("https://otsuka-europe-crm.veevavault.com/ui/#object/email_activity__v/V8C000000044086", "EN-002101760")</f>
        <v>EN-002101760</v>
      </c>
    </row>
    <row r="960" spans="1:15" ht="16" x14ac:dyDescent="0.2">
      <c r="A960" s="18" t="str">
        <f>HYPERLINK("https://otsuka-europe-crm.veevavault.com/ui/#object/account__v/V4TZ00000633QHU", "KAMAL DJEBBAR")</f>
        <v>KAMAL DJEBBAR</v>
      </c>
      <c r="B960" s="18" t="str">
        <f>HYPERLINK("https://otsuka-europe-crm.veevavault.com/ui/#object/vcountry__v/VENZ000004SONFA", "FR")</f>
        <v>FR</v>
      </c>
      <c r="C960" s="20" t="s">
        <v>40</v>
      </c>
      <c r="D960" s="21" t="str">
        <f>HYPERLINK("https://otsuka-europe-crm.veevavault.com/ui/#object/approved_document__v/V5OZ04ASG4G02Y7", "REMERCIEMENTS_VAD_2023")</f>
        <v>REMERCIEMENTS_VAD_2023</v>
      </c>
      <c r="E960" s="22" t="str">
        <f>HYPERLINK("https://otsuka-europe-crm.veevavault.com/ui/#object/sent_email__v/VBL000000030036", "SE-001439256")</f>
        <v>SE-001439256</v>
      </c>
      <c r="F960" s="25">
        <v>46206.63349537037</v>
      </c>
      <c r="G960" s="24">
        <v>1</v>
      </c>
      <c r="H960" s="24">
        <v>1</v>
      </c>
      <c r="I960" s="24">
        <v>0</v>
      </c>
      <c r="J960" s="23"/>
      <c r="K960" s="24">
        <v>0</v>
      </c>
      <c r="L960" s="22" t="str">
        <f>HYPERLINK("https://otsuka-europe-crm.veevavault.com/ui/#object/approved_document__v/V5OZ04ASG4G02Y7", "REMERCIEMENTS_VAD_2023")</f>
        <v>REMERCIEMENTS_VAD_2023</v>
      </c>
      <c r="M960" s="22" t="str">
        <f>HYPERLINK("mailto:kpoperen@crm.otsuka-europe.com", "kpoperen@crm.otsuka-europe.com")</f>
        <v>kpoperen@crm.otsuka-europe.com</v>
      </c>
      <c r="N960" s="25">
        <v>46206.343460648146</v>
      </c>
      <c r="O960" s="14" t="str">
        <f>HYPERLINK("https://otsuka-europe-crm.veevavault.com/ui/#object/email_activity__v/V8C000000043158", "EN-002101837")</f>
        <v>EN-002101837</v>
      </c>
    </row>
    <row r="961" spans="1:15" ht="16" x14ac:dyDescent="0.2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/>
      <c r="L961" s="19"/>
      <c r="M961" s="19"/>
      <c r="N961" s="19"/>
      <c r="O961" s="14" t="str">
        <f>HYPERLINK("https://otsuka-europe-crm.veevavault.com/ui/#object/email_activity__v/V8C000000044087", "EN-002101761")</f>
        <v>EN-002101761</v>
      </c>
    </row>
    <row r="962" spans="1:15" ht="16" x14ac:dyDescent="0.2">
      <c r="A962" s="18" t="str">
        <f>HYPERLINK("https://otsuka-europe-crm.veevavault.com/ui/#object/account__v/V4TZ06G6O71ZK7C", "MARIA EGEA RODRIGUEZ")</f>
        <v>MARIA EGEA RODRIGUEZ</v>
      </c>
      <c r="B962" s="18" t="str">
        <f>HYPERLINK("https://otsuka-europe-crm.veevavault.com/ui/#object/vcountry__v/VENZ000004SONF5", "ES")</f>
        <v>ES</v>
      </c>
      <c r="C962" s="20" t="s">
        <v>39</v>
      </c>
      <c r="D962" s="21" t="str">
        <f>HYPERLINK("https://otsuka-europe-crm.veevavault.com/ui/#object/approved_document__v/V5OZ04ASG4FWKA9", "Documento Autorizaciขn Centro Empleador")</f>
        <v>Documento Autorizaciขn Centro Empleador</v>
      </c>
      <c r="E962" s="22" t="str">
        <f>HYPERLINK("https://otsuka-europe-crm.veevavault.com/ui/#object/sent_email__v/VBL000000031072", "SE-001439257")</f>
        <v>SE-001439257</v>
      </c>
      <c r="F962" s="25">
        <v>46206.447256944448</v>
      </c>
      <c r="G962" s="24">
        <v>1</v>
      </c>
      <c r="H962" s="24">
        <v>1</v>
      </c>
      <c r="I962" s="24">
        <v>1</v>
      </c>
      <c r="J962" s="25">
        <v>46206.447314814817</v>
      </c>
      <c r="K962" s="24">
        <v>1</v>
      </c>
      <c r="L962" s="22" t="str">
        <f>HYPERLINK("https://otsuka-europe-crm.veevavault.com/ui/#object/approved_document__v/V5OZ04ASG4FWKA9", "Documento Autorizaciขn Centro Empleador")</f>
        <v>Documento Autorizaciขn Centro Empleador</v>
      </c>
      <c r="M962" s="22" t="str">
        <f>HYPERLINK("mailto:sseco@crm.otsuka-europe.com", "sseco@crm.otsuka-europe.com")</f>
        <v>sseco@crm.otsuka-europe.com</v>
      </c>
      <c r="N962" s="25">
        <v>46206.364201388889</v>
      </c>
      <c r="O962" s="14" t="str">
        <f>HYPERLINK("https://otsuka-europe-crm.veevavault.com/ui/#object/email_activity__v/V8C000000043138", "EN-002101795")</f>
        <v>EN-002101795</v>
      </c>
    </row>
    <row r="963" spans="1:15" ht="16" x14ac:dyDescent="0.2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14" t="str">
        <f>HYPERLINK("https://otsuka-europe-crm.veevavault.com/ui/#object/email_activity__v/V8C000000043139", "EN-002101796")</f>
        <v>EN-002101796</v>
      </c>
    </row>
    <row r="964" spans="1:15" ht="16" x14ac:dyDescent="0.2">
      <c r="A964" s="19"/>
      <c r="B964" s="19"/>
      <c r="C964" s="19"/>
      <c r="D964" s="19"/>
      <c r="E964" s="19"/>
      <c r="F964" s="19"/>
      <c r="G964" s="19"/>
      <c r="H964" s="19"/>
      <c r="I964" s="19"/>
      <c r="J964" s="19"/>
      <c r="K964" s="19"/>
      <c r="L964" s="19"/>
      <c r="M964" s="19"/>
      <c r="N964" s="19"/>
      <c r="O964" s="14" t="str">
        <f>HYPERLINK("https://otsuka-europe-crm.veevavault.com/ui/#object/email_activity__v/V8C000000044088", "EN-002101762")</f>
        <v>EN-002101762</v>
      </c>
    </row>
    <row r="965" spans="1:15" ht="16" x14ac:dyDescent="0.2">
      <c r="A965" s="18" t="str">
        <f>HYPERLINK("https://otsuka-europe-crm.veevavault.com/ui/#object/account__v/V4TZ06G6O71UQQJ", "MARIA ASUNCION CUTILLAS FERNANDEZ")</f>
        <v>MARIA ASUNCION CUTILLAS FERNANDEZ</v>
      </c>
      <c r="B965" s="18" t="str">
        <f>HYPERLINK("https://otsuka-europe-crm.veevavault.com/ui/#object/vcountry__v/VENZ000004SONF5", "ES")</f>
        <v>ES</v>
      </c>
      <c r="C965" s="20" t="s">
        <v>39</v>
      </c>
      <c r="D965" s="21" t="str">
        <f>HYPERLINK("https://otsuka-europe-crm.veevavault.com/ui/#object/approved_document__v/V5OZ04ASG4FWKA9", "Documento Autorizaciขn Centro Empleador")</f>
        <v>Documento Autorizaciขn Centro Empleador</v>
      </c>
      <c r="E965" s="22" t="str">
        <f>HYPERLINK("https://otsuka-europe-crm.veevavault.com/ui/#object/sent_email__v/VBL000000031073", "SE-001439258")</f>
        <v>SE-001439258</v>
      </c>
      <c r="F965" s="25">
        <v>46206.426006944443</v>
      </c>
      <c r="G965" s="24">
        <v>1</v>
      </c>
      <c r="H965" s="24">
        <v>2</v>
      </c>
      <c r="I965" s="24">
        <v>1</v>
      </c>
      <c r="J965" s="25">
        <v>46206.426087962966</v>
      </c>
      <c r="K965" s="24">
        <v>1</v>
      </c>
      <c r="L965" s="22" t="str">
        <f>HYPERLINK("https://otsuka-europe-crm.veevavault.com/ui/#object/approved_document__v/V5OZ04ASG4FWKA9", "Documento Autorizaciขn Centro Empleador")</f>
        <v>Documento Autorizaciขn Centro Empleador</v>
      </c>
      <c r="M965" s="22" t="str">
        <f>HYPERLINK("mailto:sseco@crm.otsuka-europe.com", "sseco@crm.otsuka-europe.com")</f>
        <v>sseco@crm.otsuka-europe.com</v>
      </c>
      <c r="N965" s="25">
        <v>46206.364699074074</v>
      </c>
      <c r="O965" s="14" t="str">
        <f>HYPERLINK("https://otsuka-europe-crm.veevavault.com/ui/#object/email_activity__v/V8C000000043129", "EN-002101781")</f>
        <v>EN-002101781</v>
      </c>
    </row>
    <row r="966" spans="1:15" ht="16" x14ac:dyDescent="0.2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14" t="str">
        <f>HYPERLINK("https://otsuka-europe-crm.veevavault.com/ui/#object/email_activity__v/V8C000000043130", "EN-002101782")</f>
        <v>EN-002101782</v>
      </c>
    </row>
    <row r="967" spans="1:15" ht="16" x14ac:dyDescent="0.2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14" t="str">
        <f>HYPERLINK("https://otsuka-europe-crm.veevavault.com/ui/#object/email_activity__v/V8C000000044089", "EN-002101763")</f>
        <v>EN-002101763</v>
      </c>
    </row>
    <row r="968" spans="1:15" ht="16" x14ac:dyDescent="0.2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4" t="str">
        <f>HYPERLINK("https://otsuka-europe-crm.veevavault.com/ui/#object/email_activity__v/V8C000000044090", "EN-002101764")</f>
        <v>EN-002101764</v>
      </c>
    </row>
    <row r="969" spans="1:15" ht="32" x14ac:dyDescent="0.2">
      <c r="A969" s="7" t="str">
        <f>HYPERLINK("https://otsuka-europe-crm.veevavault.com/ui/#object/account__v/V4T00000002A015", "JUAN NICOLAS RODRIGUEZ RODRIGUEZ")</f>
        <v>JUAN NICOLAS RODRIGUEZ RODRIGUEZ</v>
      </c>
      <c r="B969" s="7" t="str">
        <f>HYPERLINK("https://otsuka-europe-crm.veevavault.com/ui/#object/vcountry__v/VENZ000004SONF5", "ES")</f>
        <v>ES</v>
      </c>
      <c r="C969" s="8" t="s">
        <v>39</v>
      </c>
      <c r="D969" s="9" t="str">
        <f>HYPERLINK("https://otsuka-europe-crm.veevavault.com/ui/#object/approved_document__v/V5OZ06G6O6RFL1P", "ES Veeva Privacy Notice Email")</f>
        <v>ES Veeva Privacy Notice Email</v>
      </c>
      <c r="E969" s="10" t="str">
        <f>HYPERLINK("https://otsuka-europe-crm.veevavault.com/ui/#object/sent_email__v/VBL000000031074", "SE-001439259")</f>
        <v>SE-001439259</v>
      </c>
      <c r="F969" s="11"/>
      <c r="G969" s="12">
        <v>0</v>
      </c>
      <c r="H969" s="12">
        <v>0</v>
      </c>
      <c r="I969" s="12">
        <v>0</v>
      </c>
      <c r="J969" s="11"/>
      <c r="K969" s="12">
        <v>0</v>
      </c>
      <c r="L969" s="10" t="str">
        <f>HYPERLINK("https://otsuka-europe-crm.veevavault.com/ui/#object/approved_document__v/V5OZ06G6O6RFL1P", "ES Veeva Privacy Notice Email")</f>
        <v>ES Veeva Privacy Notice Email</v>
      </c>
      <c r="M969" s="10" t="str">
        <f>HYPERLINK("mailto:oriballo@crm.otsuka-europe.com", "oriballo@crm.otsuka-europe.com")</f>
        <v>oriballo@crm.otsuka-europe.com</v>
      </c>
      <c r="N969" s="13">
        <v>46206.436400462961</v>
      </c>
      <c r="O969" s="14" t="str">
        <f>HYPERLINK("https://otsuka-europe-crm.veevavault.com/ui/#object/email_activity__v/V8C000000043131", "EN-002101784")</f>
        <v>EN-002101784</v>
      </c>
    </row>
    <row r="970" spans="1:15" ht="32" x14ac:dyDescent="0.2">
      <c r="A970" s="7" t="str">
        <f>HYPERLINK("https://otsuka-europe-crm.veevavault.com/ui/#object/account__v/V4T00000002A015", "JUAN NICOLAS RODRIGUEZ RODRIGUEZ")</f>
        <v>JUAN NICOLAS RODRIGUEZ RODRIGUEZ</v>
      </c>
      <c r="B970" s="7" t="str">
        <f>HYPERLINK("https://otsuka-europe-crm.veevavault.com/ui/#object/vcountry__v/VENZ000004SONF5", "ES")</f>
        <v>ES</v>
      </c>
      <c r="C970" s="8" t="s">
        <v>39</v>
      </c>
      <c r="D970" s="9" t="str">
        <f>HYPERLINK("https://otsuka-europe-crm.veevavault.com/ui/#object/approved_document__v/V5O00000000D100", "Spain - Consent Email 1 Aug 25")</f>
        <v>Spain - Consent Email 1 Aug 25</v>
      </c>
      <c r="E970" s="10" t="str">
        <f>HYPERLINK("https://otsuka-europe-crm.veevavault.com/ui/#object/sent_email__v/VBL000000031075", "SE-001439260")</f>
        <v>SE-001439260</v>
      </c>
      <c r="F970" s="11"/>
      <c r="G970" s="12">
        <v>0</v>
      </c>
      <c r="H970" s="12">
        <v>0</v>
      </c>
      <c r="I970" s="12">
        <v>0</v>
      </c>
      <c r="J970" s="11"/>
      <c r="K970" s="12">
        <v>0</v>
      </c>
      <c r="L970" s="10" t="str">
        <f>HYPERLINK("https://otsuka-europe-crm.veevavault.com/ui/#object/approved_document__v/V5O00000000D100", "Spain - Consent Email 1 Aug 25")</f>
        <v>Spain - Consent Email 1 Aug 25</v>
      </c>
      <c r="M970" s="10" t="str">
        <f>HYPERLINK("mailto:oriballo@crm.otsuka-europe.com", "oriballo@crm.otsuka-europe.com")</f>
        <v>oriballo@crm.otsuka-europe.com</v>
      </c>
      <c r="N970" s="13">
        <v>46206.437337962961</v>
      </c>
      <c r="O970" s="14" t="str">
        <f>HYPERLINK("https://otsuka-europe-crm.veevavault.com/ui/#object/email_activity__v/V8C000000043132", "EN-002101785")</f>
        <v>EN-002101785</v>
      </c>
    </row>
    <row r="971" spans="1:15" ht="16" x14ac:dyDescent="0.2">
      <c r="A971" s="18" t="str">
        <f>HYPERLINK("https://otsuka-europe-crm.veevavault.com/ui/#object/account__v/V4T00000002B032", "ANA ROSA CARRANCO FALCON")</f>
        <v>ANA ROSA CARRANCO FALCON</v>
      </c>
      <c r="B971" s="18" t="str">
        <f>HYPERLINK("https://otsuka-europe-crm.veevavault.com/ui/#object/vcountry__v/VENZ000004SONF5", "ES")</f>
        <v>ES</v>
      </c>
      <c r="C971" s="20" t="s">
        <v>39</v>
      </c>
      <c r="D971" s="21" t="str">
        <f>HYPERLINK("https://otsuka-europe-crm.veevavault.com/ui/#object/approved_document__v/V5OZ06G6O6RFL1P", "ES Veeva Privacy Notice Email")</f>
        <v>ES Veeva Privacy Notice Email</v>
      </c>
      <c r="E971" s="22" t="str">
        <f>HYPERLINK("https://otsuka-europe-crm.veevavault.com/ui/#object/sent_email__v/VBL000000030037", "SE-001439261")</f>
        <v>SE-001439261</v>
      </c>
      <c r="F971" s="23"/>
      <c r="G971" s="24">
        <v>0</v>
      </c>
      <c r="H971" s="24">
        <v>0</v>
      </c>
      <c r="I971" s="24">
        <v>0</v>
      </c>
      <c r="J971" s="23"/>
      <c r="K971" s="24">
        <v>0</v>
      </c>
      <c r="L971" s="22" t="str">
        <f>HYPERLINK("https://otsuka-europe-crm.veevavault.com/ui/#object/approved_document__v/V5OZ06G6O6RFL1P", "ES Veeva Privacy Notice Email")</f>
        <v>ES Veeva Privacy Notice Email</v>
      </c>
      <c r="M971" s="22" t="str">
        <f>HYPERLINK("mailto:oriballo@crm.otsuka-europe.com", "oriballo@crm.otsuka-europe.com")</f>
        <v>oriballo@crm.otsuka-europe.com</v>
      </c>
      <c r="N971" s="25">
        <v>46206.437928240739</v>
      </c>
      <c r="O971" s="14" t="str">
        <f>HYPERLINK("https://otsuka-europe-crm.veevavault.com/ui/#object/email_activity__v/V8C000000044098", "EN-002101786")</f>
        <v>EN-002101786</v>
      </c>
    </row>
    <row r="972" spans="1:15" ht="16" x14ac:dyDescent="0.2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/>
      <c r="L972" s="19"/>
      <c r="M972" s="19"/>
      <c r="N972" s="19"/>
      <c r="O972" s="14" t="str">
        <f>HYPERLINK("https://otsuka-europe-crm.veevavault.com/ui/#object/email_activity__v/V8C000000044116", "EN-002101825")</f>
        <v>EN-002101825</v>
      </c>
    </row>
    <row r="973" spans="1:15" ht="16" x14ac:dyDescent="0.2">
      <c r="A973" s="18" t="str">
        <f>HYPERLINK("https://otsuka-europe-crm.veevavault.com/ui/#object/account__v/V4T00000002B032", "ANA ROSA CARRANCO FALCON")</f>
        <v>ANA ROSA CARRANCO FALCON</v>
      </c>
      <c r="B973" s="18" t="str">
        <f>HYPERLINK("https://otsuka-europe-crm.veevavault.com/ui/#object/vcountry__v/VENZ000004SONF5", "ES")</f>
        <v>ES</v>
      </c>
      <c r="C973" s="20" t="s">
        <v>39</v>
      </c>
      <c r="D973" s="21" t="str">
        <f>HYPERLINK("https://otsuka-europe-crm.veevavault.com/ui/#object/approved_document__v/V5O00000000D100", "Spain - Consent Email 1 Aug 25")</f>
        <v>Spain - Consent Email 1 Aug 25</v>
      </c>
      <c r="E973" s="22" t="str">
        <f>HYPERLINK("https://otsuka-europe-crm.veevavault.com/ui/#object/sent_email__v/VBL000000030038", "SE-001439262")</f>
        <v>SE-001439262</v>
      </c>
      <c r="F973" s="23"/>
      <c r="G973" s="24">
        <v>0</v>
      </c>
      <c r="H973" s="24">
        <v>0</v>
      </c>
      <c r="I973" s="24">
        <v>0</v>
      </c>
      <c r="J973" s="23"/>
      <c r="K973" s="24">
        <v>0</v>
      </c>
      <c r="L973" s="22" t="str">
        <f>HYPERLINK("https://otsuka-europe-crm.veevavault.com/ui/#object/approved_document__v/V5O00000000D100", "Spain - Consent Email 1 Aug 25")</f>
        <v>Spain - Consent Email 1 Aug 25</v>
      </c>
      <c r="M973" s="22" t="str">
        <f>HYPERLINK("mailto:oriballo@crm.otsuka-europe.com", "oriballo@crm.otsuka-europe.com")</f>
        <v>oriballo@crm.otsuka-europe.com</v>
      </c>
      <c r="N973" s="25">
        <v>46206.438715277778</v>
      </c>
      <c r="O973" s="14" t="str">
        <f>HYPERLINK("https://otsuka-europe-crm.veevavault.com/ui/#object/email_activity__v/V8C000000044101", "EN-002101789")</f>
        <v>EN-002101789</v>
      </c>
    </row>
    <row r="974" spans="1:15" ht="16" x14ac:dyDescent="0.2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/>
      <c r="L974" s="19"/>
      <c r="M974" s="19"/>
      <c r="N974" s="19"/>
      <c r="O974" s="14" t="str">
        <f>HYPERLINK("https://otsuka-europe-crm.veevavault.com/ui/#object/email_activity__v/V8C000000044118", "EN-002101827")</f>
        <v>EN-002101827</v>
      </c>
    </row>
    <row r="975" spans="1:15" ht="16" x14ac:dyDescent="0.2">
      <c r="A975" s="18" t="str">
        <f>HYPERLINK("https://otsuka-europe-crm.veevavault.com/ui/#object/account__v/V4T00000002B032", "ANA ROSA CARRANCO FALCON")</f>
        <v>ANA ROSA CARRANCO FALCON</v>
      </c>
      <c r="B975" s="18" t="str">
        <f>HYPERLINK("https://otsuka-europe-crm.veevavault.com/ui/#object/vcountry__v/VENZ000004SONF5", "ES")</f>
        <v>ES</v>
      </c>
      <c r="C975" s="20" t="s">
        <v>39</v>
      </c>
      <c r="D975" s="21" t="str">
        <f>HYPERLINK("https://otsuka-europe-crm.veevavault.com/ui/#object/approved_document__v/V5OZ04ASG4FWKA7", "Reuniones Online Consent - 2")</f>
        <v>Reuniones Online Consent - 2</v>
      </c>
      <c r="E975" s="22" t="str">
        <f>HYPERLINK("https://otsuka-europe-crm.veevavault.com/ui/#object/sent_email__v/VBL000000030039", "SE-001439263")</f>
        <v>SE-001439263</v>
      </c>
      <c r="F975" s="23"/>
      <c r="G975" s="24">
        <v>0</v>
      </c>
      <c r="H975" s="24">
        <v>0</v>
      </c>
      <c r="I975" s="24">
        <v>0</v>
      </c>
      <c r="J975" s="23"/>
      <c r="K975" s="24">
        <v>0</v>
      </c>
      <c r="L975" s="22" t="str">
        <f>HYPERLINK("https://otsuka-europe-crm.veevavault.com/ui/#object/approved_document__v/V5OZ04ASG4FWKA7", "Reuniones Online Consent - 2")</f>
        <v>Reuniones Online Consent - 2</v>
      </c>
      <c r="M975" s="22" t="str">
        <f>HYPERLINK("mailto:oriballo@crm.otsuka-europe.com", "oriballo@crm.otsuka-europe.com")</f>
        <v>oriballo@crm.otsuka-europe.com</v>
      </c>
      <c r="N975" s="25">
        <v>46206.438738425924</v>
      </c>
      <c r="O975" s="14" t="str">
        <f>HYPERLINK("https://otsuka-europe-crm.veevavault.com/ui/#object/email_activity__v/V8C000000044099", "EN-002101787")</f>
        <v>EN-002101787</v>
      </c>
    </row>
    <row r="976" spans="1:15" ht="16" x14ac:dyDescent="0.2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/>
      <c r="L976" s="19"/>
      <c r="M976" s="19"/>
      <c r="N976" s="19"/>
      <c r="O976" s="14" t="str">
        <f>HYPERLINK("https://otsuka-europe-crm.veevavault.com/ui/#object/email_activity__v/V8C000000044117", "EN-002101826")</f>
        <v>EN-002101826</v>
      </c>
    </row>
    <row r="977" spans="1:15" ht="16" x14ac:dyDescent="0.2">
      <c r="A977" s="18" t="str">
        <f>HYPERLINK("https://otsuka-europe-crm.veevavault.com/ui/#object/account__v/V4T00000002B032", "ANA ROSA CARRANCO FALCON")</f>
        <v>ANA ROSA CARRANCO FALCON</v>
      </c>
      <c r="B977" s="18" t="str">
        <f>HYPERLINK("https://otsuka-europe-crm.veevavault.com/ui/#object/vcountry__v/VENZ000004SONF5", "ES")</f>
        <v>ES</v>
      </c>
      <c r="C977" s="20" t="s">
        <v>39</v>
      </c>
      <c r="D977" s="21" t="str">
        <f>HYPERLINK("https://otsuka-europe-crm.veevavault.com/ui/#object/approved_document__v/V5OZ04ASG4FWKA9", "Documento Autorizaciขn Centro Empleador")</f>
        <v>Documento Autorizaciขn Centro Empleador</v>
      </c>
      <c r="E977" s="22" t="str">
        <f>HYPERLINK("https://otsuka-europe-crm.veevavault.com/ui/#object/sent_email__v/VBL000000030040", "SE-001439264")</f>
        <v>SE-001439264</v>
      </c>
      <c r="F977" s="23"/>
      <c r="G977" s="24">
        <v>0</v>
      </c>
      <c r="H977" s="24">
        <v>0</v>
      </c>
      <c r="I977" s="24">
        <v>0</v>
      </c>
      <c r="J977" s="23"/>
      <c r="K977" s="24">
        <v>0</v>
      </c>
      <c r="L977" s="22" t="str">
        <f>HYPERLINK("https://otsuka-europe-crm.veevavault.com/ui/#object/approved_document__v/V5OZ04ASG4FWKA9", "Documento Autorizaciขn Centro Empleador")</f>
        <v>Documento Autorizaciขn Centro Empleador</v>
      </c>
      <c r="M977" s="22" t="str">
        <f>HYPERLINK("mailto:oriballo@crm.otsuka-europe.com", "oriballo@crm.otsuka-europe.com")</f>
        <v>oriballo@crm.otsuka-europe.com</v>
      </c>
      <c r="N977" s="25">
        <v>46206.438750000001</v>
      </c>
      <c r="O977" s="14" t="str">
        <f>HYPERLINK("https://otsuka-europe-crm.veevavault.com/ui/#object/email_activity__v/V8C000000044100", "EN-002101788")</f>
        <v>EN-002101788</v>
      </c>
    </row>
    <row r="978" spans="1:15" ht="16" x14ac:dyDescent="0.2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/>
      <c r="L978" s="19"/>
      <c r="M978" s="19"/>
      <c r="N978" s="19"/>
      <c r="O978" s="14" t="str">
        <f>HYPERLINK("https://otsuka-europe-crm.veevavault.com/ui/#object/email_activity__v/V8C000000044102", "EN-002101799")</f>
        <v>EN-002101799</v>
      </c>
    </row>
    <row r="979" spans="1:15" ht="32" x14ac:dyDescent="0.2">
      <c r="A979" s="7" t="str">
        <f>HYPERLINK("https://otsuka-europe-crm.veevavault.com/ui/#object/account__v/V4T00000002B031", "SUSANA RAMIREZ GARCIA")</f>
        <v>SUSANA RAMIREZ GARCIA</v>
      </c>
      <c r="B979" s="7" t="str">
        <f>HYPERLINK("https://otsuka-europe-crm.veevavault.com/ui/#object/vcountry__v/VENZ000004SONF5", "ES")</f>
        <v>ES</v>
      </c>
      <c r="C979" s="8" t="s">
        <v>39</v>
      </c>
      <c r="D979" s="9" t="str">
        <f>HYPERLINK("https://otsuka-europe-crm.veevavault.com/ui/#object/approved_document__v/V5OZ06G6O6RFL1P", "ES Veeva Privacy Notice Email")</f>
        <v>ES Veeva Privacy Notice Email</v>
      </c>
      <c r="E979" s="10" t="str">
        <f>HYPERLINK("https://otsuka-europe-crm.veevavault.com/ui/#object/sent_email__v/VBL000000030041", "SE-001439265")</f>
        <v>SE-001439265</v>
      </c>
      <c r="F979" s="11"/>
      <c r="G979" s="12">
        <v>0</v>
      </c>
      <c r="H979" s="12">
        <v>0</v>
      </c>
      <c r="I979" s="12">
        <v>0</v>
      </c>
      <c r="J979" s="11"/>
      <c r="K979" s="12">
        <v>0</v>
      </c>
      <c r="L979" s="10" t="str">
        <f>HYPERLINK("https://otsuka-europe-crm.veevavault.com/ui/#object/approved_document__v/V5OZ06G6O6RFL1P", "ES Veeva Privacy Notice Email")</f>
        <v>ES Veeva Privacy Notice Email</v>
      </c>
      <c r="M979" s="10" t="str">
        <f>HYPERLINK("mailto:oriballo@crm.otsuka-europe.com", "oriballo@crm.otsuka-europe.com")</f>
        <v>oriballo@crm.otsuka-europe.com</v>
      </c>
      <c r="N979" s="13">
        <v>46206.439583333333</v>
      </c>
      <c r="O979" s="14" t="str">
        <f>HYPERLINK("https://otsuka-europe-crm.veevavault.com/ui/#object/email_activity__v/V8C000000043133", "EN-002101790")</f>
        <v>EN-002101790</v>
      </c>
    </row>
    <row r="980" spans="1:15" ht="32" x14ac:dyDescent="0.2">
      <c r="A980" s="7" t="str">
        <f>HYPERLINK("https://otsuka-europe-crm.veevavault.com/ui/#object/account__v/V4T00000002B031", "SUSANA RAMIREZ GARCIA")</f>
        <v>SUSANA RAMIREZ GARCIA</v>
      </c>
      <c r="B980" s="7" t="str">
        <f>HYPERLINK("https://otsuka-europe-crm.veevavault.com/ui/#object/vcountry__v/VENZ000004SONF5", "ES")</f>
        <v>ES</v>
      </c>
      <c r="C980" s="8" t="s">
        <v>39</v>
      </c>
      <c r="D980" s="9" t="str">
        <f>HYPERLINK("https://otsuka-europe-crm.veevavault.com/ui/#object/approved_document__v/V5O00000000D100", "Spain - Consent Email 1 Aug 25")</f>
        <v>Spain - Consent Email 1 Aug 25</v>
      </c>
      <c r="E980" s="10" t="str">
        <f>HYPERLINK("https://otsuka-europe-crm.veevavault.com/ui/#object/sent_email__v/VBL000000030042", "SE-001439266")</f>
        <v>SE-001439266</v>
      </c>
      <c r="F980" s="11"/>
      <c r="G980" s="12">
        <v>0</v>
      </c>
      <c r="H980" s="12">
        <v>0</v>
      </c>
      <c r="I980" s="12">
        <v>0</v>
      </c>
      <c r="J980" s="11"/>
      <c r="K980" s="12">
        <v>0</v>
      </c>
      <c r="L980" s="10" t="str">
        <f>HYPERLINK("https://otsuka-europe-crm.veevavault.com/ui/#object/approved_document__v/V5O00000000D100", "Spain - Consent Email 1 Aug 25")</f>
        <v>Spain - Consent Email 1 Aug 25</v>
      </c>
      <c r="M980" s="10" t="str">
        <f>HYPERLINK("mailto:oriballo@crm.otsuka-europe.com", "oriballo@crm.otsuka-europe.com")</f>
        <v>oriballo@crm.otsuka-europe.com</v>
      </c>
      <c r="N980" s="13">
        <v>46206.440312500003</v>
      </c>
      <c r="O980" s="14" t="str">
        <f>HYPERLINK("https://otsuka-europe-crm.veevavault.com/ui/#object/email_activity__v/V8C000000043134", "EN-002101791")</f>
        <v>EN-002101791</v>
      </c>
    </row>
    <row r="981" spans="1:15" ht="32" x14ac:dyDescent="0.2">
      <c r="A981" s="7" t="str">
        <f>HYPERLINK("https://otsuka-europe-crm.veevavault.com/ui/#object/account__v/V4T00000002B031", "SUSANA RAMIREZ GARCIA")</f>
        <v>SUSANA RAMIREZ GARCIA</v>
      </c>
      <c r="B981" s="7" t="str">
        <f>HYPERLINK("https://otsuka-europe-crm.veevavault.com/ui/#object/vcountry__v/VENZ000004SONF5", "ES")</f>
        <v>ES</v>
      </c>
      <c r="C981" s="8" t="s">
        <v>39</v>
      </c>
      <c r="D981" s="9" t="str">
        <f>HYPERLINK("https://otsuka-europe-crm.veevavault.com/ui/#object/approved_document__v/V5OZ04ASG4FWKA7", "Reuniones Online Consent - 2")</f>
        <v>Reuniones Online Consent - 2</v>
      </c>
      <c r="E981" s="10" t="str">
        <f>HYPERLINK("https://otsuka-europe-crm.veevavault.com/ui/#object/sent_email__v/VBL000000030043", "SE-001439267")</f>
        <v>SE-001439267</v>
      </c>
      <c r="F981" s="11"/>
      <c r="G981" s="12">
        <v>0</v>
      </c>
      <c r="H981" s="12">
        <v>0</v>
      </c>
      <c r="I981" s="12">
        <v>0</v>
      </c>
      <c r="J981" s="11"/>
      <c r="K981" s="12">
        <v>0</v>
      </c>
      <c r="L981" s="10" t="str">
        <f>HYPERLINK("https://otsuka-europe-crm.veevavault.com/ui/#object/approved_document__v/V5OZ04ASG4FWKA7", "Reuniones Online Consent - 2")</f>
        <v>Reuniones Online Consent - 2</v>
      </c>
      <c r="M981" s="10" t="str">
        <f>HYPERLINK("mailto:oriballo@crm.otsuka-europe.com", "oriballo@crm.otsuka-europe.com")</f>
        <v>oriballo@crm.otsuka-europe.com</v>
      </c>
      <c r="N981" s="13">
        <v>46206.440324074072</v>
      </c>
      <c r="O981" s="14" t="str">
        <f>HYPERLINK("https://otsuka-europe-crm.veevavault.com/ui/#object/email_activity__v/V8C000000043136", "EN-002101793")</f>
        <v>EN-002101793</v>
      </c>
    </row>
    <row r="982" spans="1:15" ht="32" x14ac:dyDescent="0.2">
      <c r="A982" s="7" t="str">
        <f>HYPERLINK("https://otsuka-europe-crm.veevavault.com/ui/#object/account__v/V4T00000002B031", "SUSANA RAMIREZ GARCIA")</f>
        <v>SUSANA RAMIREZ GARCIA</v>
      </c>
      <c r="B982" s="7" t="str">
        <f>HYPERLINK("https://otsuka-europe-crm.veevavault.com/ui/#object/vcountry__v/VENZ000004SONF5", "ES")</f>
        <v>ES</v>
      </c>
      <c r="C982" s="8" t="s">
        <v>39</v>
      </c>
      <c r="D982" s="9" t="str">
        <f>HYPERLINK("https://otsuka-europe-crm.veevavault.com/ui/#object/approved_document__v/V5OZ04ASG4FWKA9", "Documento Autorizaciขn Centro Empleador")</f>
        <v>Documento Autorizaciขn Centro Empleador</v>
      </c>
      <c r="E982" s="10" t="str">
        <f>HYPERLINK("https://otsuka-europe-crm.veevavault.com/ui/#object/sent_email__v/VBL000000030044", "SE-001439268")</f>
        <v>SE-001439268</v>
      </c>
      <c r="F982" s="11"/>
      <c r="G982" s="12">
        <v>0</v>
      </c>
      <c r="H982" s="12">
        <v>0</v>
      </c>
      <c r="I982" s="12">
        <v>0</v>
      </c>
      <c r="J982" s="11"/>
      <c r="K982" s="12">
        <v>0</v>
      </c>
      <c r="L982" s="10" t="str">
        <f>HYPERLINK("https://otsuka-europe-crm.veevavault.com/ui/#object/approved_document__v/V5OZ04ASG4FWKA9", "Documento Autorizaciขn Centro Empleador")</f>
        <v>Documento Autorizaciขn Centro Empleador</v>
      </c>
      <c r="M982" s="10" t="str">
        <f>HYPERLINK("mailto:oriballo@crm.otsuka-europe.com", "oriballo@crm.otsuka-europe.com")</f>
        <v>oriballo@crm.otsuka-europe.com</v>
      </c>
      <c r="N982" s="13">
        <v>46206.440289351849</v>
      </c>
      <c r="O982" s="14" t="str">
        <f>HYPERLINK("https://otsuka-europe-crm.veevavault.com/ui/#object/email_activity__v/V8C000000043135", "EN-002101792")</f>
        <v>EN-002101792</v>
      </c>
    </row>
    <row r="983" spans="1:15" ht="32" x14ac:dyDescent="0.2">
      <c r="A983" s="7" t="str">
        <f>HYPERLINK("https://otsuka-europe-crm.veevavault.com/ui/#object/account__v/V4T00000002B030", "Zar Soe")</f>
        <v>Zar Soe</v>
      </c>
      <c r="B983" s="7" t="str">
        <f>HYPERLINK("https://otsuka-europe-crm.veevavault.com/ui/#object/vcountry__v/VENZ000004SONFK", "GB")</f>
        <v>GB</v>
      </c>
      <c r="C983" s="8" t="s">
        <v>41</v>
      </c>
      <c r="D983" s="9" t="str">
        <f>HYPERLINK("https://otsuka-europe-crm.veevavault.com/ui/#object/approved_document__v/V5OZ025E82PXJSL", "Otsuka Privacy Notice - UK (v2)")</f>
        <v>Otsuka Privacy Notice - UK (v2)</v>
      </c>
      <c r="E983" s="10" t="str">
        <f>HYPERLINK("https://otsuka-europe-crm.veevavault.com/ui/#object/sent_email__v/VBL000000031076", "SE-001439269")</f>
        <v>SE-001439269</v>
      </c>
      <c r="F983" s="11"/>
      <c r="G983" s="12">
        <v>0</v>
      </c>
      <c r="H983" s="12">
        <v>0</v>
      </c>
      <c r="I983" s="12">
        <v>0</v>
      </c>
      <c r="J983" s="11"/>
      <c r="K983" s="12">
        <v>0</v>
      </c>
      <c r="L983" s="10" t="str">
        <f>HYPERLINK("https://otsuka-europe-crm.veevavault.com/ui/#object/approved_document__v/V5OZ025E82PXJSL", "Otsuka Privacy Notice - UK (v2)")</f>
        <v>Otsuka Privacy Notice - UK (v2)</v>
      </c>
      <c r="M983" s="10" t="str">
        <f>HYPERLINK("mailto:ldimambro@crm.otsuka-europe.com", "ldimambro@crm.otsuka-europe.com")</f>
        <v>ldimambro@crm.otsuka-europe.com</v>
      </c>
      <c r="N983" s="13">
        <v>46206.452916666669</v>
      </c>
      <c r="O983" s="14" t="str">
        <f>HYPERLINK("https://otsuka-europe-crm.veevavault.com/ui/#object/email_activity__v/V8C000000043141", "EN-002101798")</f>
        <v>EN-002101798</v>
      </c>
    </row>
    <row r="984" spans="1:15" ht="16" x14ac:dyDescent="0.2">
      <c r="A984" s="18" t="str">
        <f>HYPERLINK("https://otsuka-europe-crm.veevavault.com/ui/#object/account__v/V4TZ025E84BAOBD", "VALENTINA CACCIATORE")</f>
        <v>VALENTINA CACCIATORE</v>
      </c>
      <c r="B984" s="18" t="str">
        <f>HYPERLINK("https://otsuka-europe-crm.veevavault.com/ui/#object/vcountry__v/VENZ000004SONFQ", "IT")</f>
        <v>IT</v>
      </c>
      <c r="C984" s="20" t="s">
        <v>42</v>
      </c>
      <c r="D984" s="21" t="str">
        <f>HYPERLINK("https://otsuka-europe-crm.veevavault.com/ui/#object/approved_document__v/V5O00000001A024", "Lupkynis - rischio - IT-LUP-2600002 v1.0 -  NEPHRO")</f>
        <v>Lupkynis - rischio - IT-LUP-2600002 v1.0 -  NEPHRO</v>
      </c>
      <c r="E984" s="22" t="str">
        <f>HYPERLINK("https://otsuka-europe-crm.veevavault.com/ui/#object/sent_email__v/VBL000000030045", "SE-001439270")</f>
        <v>SE-001439270</v>
      </c>
      <c r="F984" s="25">
        <v>46206.517465277779</v>
      </c>
      <c r="G984" s="24">
        <v>1</v>
      </c>
      <c r="H984" s="24">
        <v>2</v>
      </c>
      <c r="I984" s="24">
        <v>1</v>
      </c>
      <c r="J984" s="25">
        <v>46206.517604166664</v>
      </c>
      <c r="K984" s="24">
        <v>2</v>
      </c>
      <c r="L984" s="22" t="str">
        <f>HYPERLINK("https://otsuka-europe-crm.veevavault.com/ui/#object/approved_document__v/V5O00000001A024", "Lupkynis - rischio - IT-LUP-2600002 v1.0 -  NEPHRO")</f>
        <v>Lupkynis - rischio - IT-LUP-2600002 v1.0 -  NEPHRO</v>
      </c>
      <c r="M984" s="22" t="str">
        <f>HYPERLINK("mailto:alfredo.pisapia@crm.otsuka-europe.com", "alfredo.pisapia@crm.otsuka-europe.com")</f>
        <v>alfredo.pisapia@crm.otsuka-europe.com</v>
      </c>
      <c r="N984" s="25">
        <v>46206.505555555559</v>
      </c>
      <c r="O984" s="14" t="str">
        <f>HYPERLINK("https://otsuka-europe-crm.veevavault.com/ui/#object/email_activity__v/V8C000000043146", "EN-002101814")</f>
        <v>EN-002101814</v>
      </c>
    </row>
    <row r="985" spans="1:15" ht="16" x14ac:dyDescent="0.2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14" t="str">
        <f>HYPERLINK("https://otsuka-europe-crm.veevavault.com/ui/#object/email_activity__v/V8C000000043147", "EN-002101815")</f>
        <v>EN-002101815</v>
      </c>
    </row>
    <row r="986" spans="1:15" ht="16" x14ac:dyDescent="0.2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14" t="str">
        <f>HYPERLINK("https://otsuka-europe-crm.veevavault.com/ui/#object/email_activity__v/V8C000000043148", "EN-002101816")</f>
        <v>EN-002101816</v>
      </c>
    </row>
    <row r="987" spans="1:15" ht="16" x14ac:dyDescent="0.2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14" t="str">
        <f>HYPERLINK("https://otsuka-europe-crm.veevavault.com/ui/#object/email_activity__v/V8C000000043149", "EN-002101817")</f>
        <v>EN-002101817</v>
      </c>
    </row>
    <row r="988" spans="1:15" ht="16" x14ac:dyDescent="0.2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14" t="str">
        <f>HYPERLINK("https://otsuka-europe-crm.veevavault.com/ui/#object/email_activity__v/V8C000000043150", "EN-002101818")</f>
        <v>EN-002101818</v>
      </c>
    </row>
    <row r="989" spans="1:15" ht="16" x14ac:dyDescent="0.2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14" t="str">
        <f>HYPERLINK("https://otsuka-europe-crm.veevavault.com/ui/#object/email_activity__v/V8C000000043151", "EN-002101819")</f>
        <v>EN-002101819</v>
      </c>
    </row>
    <row r="990" spans="1:15" ht="16" x14ac:dyDescent="0.2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14" t="str">
        <f>HYPERLINK("https://otsuka-europe-crm.veevavault.com/ui/#object/email_activity__v/V8C000000044105", "EN-002101805")</f>
        <v>EN-002101805</v>
      </c>
    </row>
    <row r="991" spans="1:15" ht="16" x14ac:dyDescent="0.2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14" t="str">
        <f>HYPERLINK("https://otsuka-europe-crm.veevavault.com/ui/#object/email_activity__v/V8C000000044109", "EN-002101809")</f>
        <v>EN-002101809</v>
      </c>
    </row>
    <row r="992" spans="1:15" ht="16" x14ac:dyDescent="0.2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14" t="str">
        <f>HYPERLINK("https://otsuka-europe-crm.veevavault.com/ui/#object/email_activity__v/V8C000000044110", "EN-002101810")</f>
        <v>EN-002101810</v>
      </c>
    </row>
    <row r="993" spans="1:15" ht="16" x14ac:dyDescent="0.2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14" t="str">
        <f>HYPERLINK("https://otsuka-europe-crm.veevavault.com/ui/#object/email_activity__v/V8C000000044111", "EN-002101811")</f>
        <v>EN-002101811</v>
      </c>
    </row>
    <row r="994" spans="1:15" ht="16" x14ac:dyDescent="0.2">
      <c r="A994" s="19"/>
      <c r="B994" s="19"/>
      <c r="C994" s="19"/>
      <c r="D994" s="19"/>
      <c r="E994" s="19"/>
      <c r="F994" s="19"/>
      <c r="G994" s="19"/>
      <c r="H994" s="19"/>
      <c r="I994" s="19"/>
      <c r="J994" s="19"/>
      <c r="K994" s="19"/>
      <c r="L994" s="19"/>
      <c r="M994" s="19"/>
      <c r="N994" s="19"/>
      <c r="O994" s="14" t="str">
        <f>HYPERLINK("https://otsuka-europe-crm.veevavault.com/ui/#object/email_activity__v/V8C000000044112", "EN-002101812")</f>
        <v>EN-002101812</v>
      </c>
    </row>
    <row r="995" spans="1:15" ht="16" x14ac:dyDescent="0.2">
      <c r="A995" s="18" t="str">
        <f>HYPERLINK("https://otsuka-europe-crm.veevavault.com/ui/#object/account__v/V4TZ025E84BAOBD", "VALENTINA CACCIATORE")</f>
        <v>VALENTINA CACCIATORE</v>
      </c>
      <c r="B995" s="18" t="str">
        <f>HYPERLINK("https://otsuka-europe-crm.veevavault.com/ui/#object/vcountry__v/VENZ000004SONFQ", "IT")</f>
        <v>IT</v>
      </c>
      <c r="C995" s="20" t="s">
        <v>42</v>
      </c>
      <c r="D995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995" s="22" t="str">
        <f>HYPERLINK("https://otsuka-europe-crm.veevavault.com/ui/#object/sent_email__v/VBL000000030046", "SE-001439271")</f>
        <v>SE-001439271</v>
      </c>
      <c r="F995" s="25">
        <v>46206.516145833331</v>
      </c>
      <c r="G995" s="24">
        <v>1</v>
      </c>
      <c r="H995" s="24">
        <v>1</v>
      </c>
      <c r="I995" s="24">
        <v>0</v>
      </c>
      <c r="J995" s="23"/>
      <c r="K995" s="24">
        <v>0</v>
      </c>
      <c r="L995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995" s="22" t="str">
        <f>HYPERLINK("mailto:alfredo.pisapia@crm.otsuka-europe.com", "alfredo.pisapia@crm.otsuka-europe.com")</f>
        <v>alfredo.pisapia@crm.otsuka-europe.com</v>
      </c>
      <c r="N995" s="25">
        <v>46206.505694444444</v>
      </c>
      <c r="O995" s="14" t="str">
        <f>HYPERLINK("https://otsuka-europe-crm.veevavault.com/ui/#object/email_activity__v/V8C000000044106", "EN-002101806")</f>
        <v>EN-002101806</v>
      </c>
    </row>
    <row r="996" spans="1:15" ht="16" x14ac:dyDescent="0.2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/>
      <c r="N996" s="19"/>
      <c r="O996" s="14" t="str">
        <f>HYPERLINK("https://otsuka-europe-crm.veevavault.com/ui/#object/email_activity__v/V8C000000044108", "EN-002101808")</f>
        <v>EN-002101808</v>
      </c>
    </row>
    <row r="997" spans="1:15" ht="32" x14ac:dyDescent="0.2">
      <c r="A997" s="7" t="str">
        <f>HYPERLINK("https://otsuka-europe-crm.veevavault.com/ui/#object/account__v/V4TZ025E8397SGP", "ALFONSO PRINCIPATO")</f>
        <v>ALFONSO PRINCIPATO</v>
      </c>
      <c r="B997" s="7" t="str">
        <f>HYPERLINK("https://otsuka-europe-crm.veevavault.com/ui/#object/vcountry__v/VENZ000004SONFQ", "IT")</f>
        <v>IT</v>
      </c>
      <c r="C997" s="8" t="s">
        <v>42</v>
      </c>
      <c r="D997" s="9" t="str">
        <f>HYPERLINK("https://otsuka-europe-crm.veevavault.com/ui/#object/approved_document__v/V5O00000001A026", "Lupkynis - rischio - IT-LUP-2600002 v1.0 - RHEUMA")</f>
        <v>Lupkynis - rischio - IT-LUP-2600002 v1.0 - RHEUMA</v>
      </c>
      <c r="E997" s="10" t="str">
        <f>HYPERLINK("https://otsuka-europe-crm.veevavault.com/ui/#object/sent_email__v/VBL000000030047", "SE-001439272")</f>
        <v>SE-001439272</v>
      </c>
      <c r="F997" s="11"/>
      <c r="G997" s="12">
        <v>0</v>
      </c>
      <c r="H997" s="12">
        <v>0</v>
      </c>
      <c r="I997" s="12">
        <v>0</v>
      </c>
      <c r="J997" s="11"/>
      <c r="K997" s="12">
        <v>0</v>
      </c>
      <c r="L997" s="10" t="str">
        <f>HYPERLINK("https://otsuka-europe-crm.veevavault.com/ui/#object/approved_document__v/V5O00000001A026", "Lupkynis - rischio - IT-LUP-2600002 v1.0 - RHEUMA")</f>
        <v>Lupkynis - rischio - IT-LUP-2600002 v1.0 - RHEUMA</v>
      </c>
      <c r="M997" s="10" t="str">
        <f>HYPERLINK("mailto:alfredo.pisapia@crm.otsuka-europe.com", "alfredo.pisapia@crm.otsuka-europe.com")</f>
        <v>alfredo.pisapia@crm.otsuka-europe.com</v>
      </c>
      <c r="N997" s="13">
        <v>46206.536006944443</v>
      </c>
      <c r="O997" s="14" t="str">
        <f>HYPERLINK("https://otsuka-europe-crm.veevavault.com/ui/#object/email_activity__v/V8C000000043152", "EN-002101821")</f>
        <v>EN-002101821</v>
      </c>
    </row>
    <row r="998" spans="1:15" ht="48" x14ac:dyDescent="0.2">
      <c r="A998" s="7" t="str">
        <f>HYPERLINK("https://otsuka-europe-crm.veevavault.com/ui/#object/account__v/V4TZ025E8397SGP", "ALFONSO PRINCIPATO")</f>
        <v>ALFONSO PRINCIPATO</v>
      </c>
      <c r="B998" s="7" t="str">
        <f>HYPERLINK("https://otsuka-europe-crm.veevavault.com/ui/#object/vcountry__v/VENZ000004SONFQ", "IT")</f>
        <v>IT</v>
      </c>
      <c r="C998" s="8" t="s">
        <v>42</v>
      </c>
      <c r="D998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998" s="10" t="str">
        <f>HYPERLINK("https://otsuka-europe-crm.veevavault.com/ui/#object/sent_email__v/VBL000000031077", "SE-001439273")</f>
        <v>SE-001439273</v>
      </c>
      <c r="F998" s="11"/>
      <c r="G998" s="12">
        <v>0</v>
      </c>
      <c r="H998" s="12">
        <v>0</v>
      </c>
      <c r="I998" s="12">
        <v>0</v>
      </c>
      <c r="J998" s="11"/>
      <c r="K998" s="12">
        <v>0</v>
      </c>
      <c r="L998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998" s="10" t="str">
        <f>HYPERLINK("mailto:alfredo.pisapia@crm.otsuka-europe.com", "alfredo.pisapia@crm.otsuka-europe.com")</f>
        <v>alfredo.pisapia@crm.otsuka-europe.com</v>
      </c>
      <c r="N998" s="13">
        <v>46206.535995370374</v>
      </c>
      <c r="O998" s="14" t="str">
        <f>HYPERLINK("https://otsuka-europe-crm.veevavault.com/ui/#object/email_activity__v/V8C000000044113", "EN-002101820")</f>
        <v>EN-002101820</v>
      </c>
    </row>
    <row r="999" spans="1:15" ht="16" x14ac:dyDescent="0.2">
      <c r="A999" s="18" t="str">
        <f>HYPERLINK("https://otsuka-europe-crm.veevavault.com/ui/#object/account__v/V4TZ06G6OA5WQFG", "TEST OPSA HCP TEST OPSA HCP")</f>
        <v>TEST OPSA HCP TEST OPSA HCP</v>
      </c>
      <c r="B999" s="18" t="str">
        <f>HYPERLINK("https://otsuka-europe-crm.veevavault.com/ui/#object/vcountry__v/VENZ000004SONF5", "ES")</f>
        <v>ES</v>
      </c>
      <c r="C999" s="20" t="s">
        <v>39</v>
      </c>
      <c r="D99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999" s="22" t="str">
        <f>HYPERLINK("https://otsuka-europe-crm.veevavault.com/ui/#object/sent_email__v/VBL000000031078", "SE-001439274")</f>
        <v>SE-001439274</v>
      </c>
      <c r="F999" s="23"/>
      <c r="G999" s="24">
        <v>0</v>
      </c>
      <c r="H999" s="24">
        <v>0</v>
      </c>
      <c r="I999" s="24">
        <v>0</v>
      </c>
      <c r="J999" s="23"/>
      <c r="K999" s="24">
        <v>0</v>
      </c>
      <c r="L99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999" s="22" t="str">
        <f>HYPERLINK("mailto:amarsal@crm.otsuka-europe.com", "amarsal@crm.otsuka-europe.com")</f>
        <v>amarsal@crm.otsuka-europe.com</v>
      </c>
      <c r="N999" s="25">
        <v>46206.59039351852</v>
      </c>
      <c r="O999" s="14" t="str">
        <f>HYPERLINK("https://otsuka-europe-crm.veevavault.com/ui/#object/email_activity__v/V8C000000043156", "EN-002101830")</f>
        <v>EN-002101830</v>
      </c>
    </row>
    <row r="1000" spans="1:15" ht="16" x14ac:dyDescent="0.2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/>
      <c r="L1000" s="19"/>
      <c r="M1000" s="19"/>
      <c r="N1000" s="19"/>
      <c r="O1000" s="14" t="str">
        <f>HYPERLINK("https://otsuka-europe-crm.veevavault.com/ui/#object/email_activity__v/V8C000000043172", "EN-002101864")</f>
        <v>EN-002101864</v>
      </c>
    </row>
    <row r="1001" spans="1:15" ht="16" x14ac:dyDescent="0.2">
      <c r="A1001" s="18" t="str">
        <f>HYPERLINK("https://otsuka-europe-crm.veevavault.com/ui/#object/account__v/V4TZ06G6OA5WQFG", "TEST OPSA HCP TEST OPSA HCP")</f>
        <v>TEST OPSA HCP TEST OPSA HCP</v>
      </c>
      <c r="B1001" s="18" t="str">
        <f>HYPERLINK("https://otsuka-europe-crm.veevavault.com/ui/#object/vcountry__v/VENZ000004SONF5", "ES")</f>
        <v>ES</v>
      </c>
      <c r="C1001" s="20" t="s">
        <v>39</v>
      </c>
      <c r="D100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001" s="22" t="str">
        <f>HYPERLINK("https://otsuka-europe-crm.veevavault.com/ui/#object/sent_email__v/VBL000000031079", "SE-001439275")</f>
        <v>SE-001439275</v>
      </c>
      <c r="F1001" s="23"/>
      <c r="G1001" s="24">
        <v>0</v>
      </c>
      <c r="H1001" s="24">
        <v>0</v>
      </c>
      <c r="I1001" s="24">
        <v>0</v>
      </c>
      <c r="J1001" s="23"/>
      <c r="K1001" s="24">
        <v>0</v>
      </c>
      <c r="L100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001" s="22" t="str">
        <f>HYPERLINK("mailto:amarsal@crm.otsuka-europe.com", "amarsal@crm.otsuka-europe.com")</f>
        <v>amarsal@crm.otsuka-europe.com</v>
      </c>
      <c r="N1001" s="25">
        <v>46206.59039351852</v>
      </c>
      <c r="O1001" s="14" t="str">
        <f>HYPERLINK("https://otsuka-europe-crm.veevavault.com/ui/#object/email_activity__v/V8C000000043157", "EN-002101831")</f>
        <v>EN-002101831</v>
      </c>
    </row>
    <row r="1002" spans="1:15" ht="16" x14ac:dyDescent="0.2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/>
      <c r="L1002" s="19"/>
      <c r="M1002" s="19"/>
      <c r="N1002" s="19"/>
      <c r="O1002" s="14" t="str">
        <f>HYPERLINK("https://otsuka-europe-crm.veevavault.com/ui/#object/email_activity__v/V8C000000043173", "EN-002101865")</f>
        <v>EN-002101865</v>
      </c>
    </row>
    <row r="1003" spans="1:15" ht="16" x14ac:dyDescent="0.2">
      <c r="A1003" s="18" t="str">
        <f>HYPERLINK("https://otsuka-europe-crm.veevavault.com/ui/#object/account__v/V4TZ06G6OA5WQFG", "TEST OPSA HCP TEST OPSA HCP")</f>
        <v>TEST OPSA HCP TEST OPSA HCP</v>
      </c>
      <c r="B1003" s="18" t="str">
        <f>HYPERLINK("https://otsuka-europe-crm.veevavault.com/ui/#object/vcountry__v/VENZ000004SONF5", "ES")</f>
        <v>ES</v>
      </c>
      <c r="C1003" s="20" t="s">
        <v>39</v>
      </c>
      <c r="D100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003" s="22" t="str">
        <f>HYPERLINK("https://otsuka-europe-crm.veevavault.com/ui/#object/sent_email__v/VBL000000031080", "SE-001439276")</f>
        <v>SE-001439276</v>
      </c>
      <c r="F1003" s="23"/>
      <c r="G1003" s="24">
        <v>0</v>
      </c>
      <c r="H1003" s="24">
        <v>0</v>
      </c>
      <c r="I1003" s="24">
        <v>0</v>
      </c>
      <c r="J1003" s="23"/>
      <c r="K1003" s="24">
        <v>0</v>
      </c>
      <c r="L100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003" s="22" t="str">
        <f>HYPERLINK("mailto:jguri@crm.otsuka-europe.com", "jguri@crm.otsuka-europe.com")</f>
        <v>jguri@crm.otsuka-europe.com</v>
      </c>
      <c r="N1003" s="25">
        <v>46206.590405092589</v>
      </c>
      <c r="O1003" s="14" t="str">
        <f>HYPERLINK("https://otsuka-europe-crm.veevavault.com/ui/#object/email_activity__v/V8C000000043154", "EN-002101828")</f>
        <v>EN-002101828</v>
      </c>
    </row>
    <row r="1004" spans="1:15" ht="16" x14ac:dyDescent="0.2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/>
      <c r="L1004" s="19"/>
      <c r="M1004" s="19"/>
      <c r="N1004" s="19"/>
      <c r="O1004" s="14" t="str">
        <f>HYPERLINK("https://otsuka-europe-crm.veevavault.com/ui/#object/email_activity__v/V8C000000043171", "EN-002101863")</f>
        <v>EN-002101863</v>
      </c>
    </row>
    <row r="1005" spans="1:15" ht="16" x14ac:dyDescent="0.2">
      <c r="A1005" s="18" t="str">
        <f>HYPERLINK("https://otsuka-europe-crm.veevavault.com/ui/#object/account__v/V4TZ06G6OA5WQFG", "TEST OPSA HCP TEST OPSA HCP")</f>
        <v>TEST OPSA HCP TEST OPSA HCP</v>
      </c>
      <c r="B1005" s="18" t="str">
        <f>HYPERLINK("https://otsuka-europe-crm.veevavault.com/ui/#object/vcountry__v/VENZ000004SONF5", "ES")</f>
        <v>ES</v>
      </c>
      <c r="C1005" s="20" t="s">
        <v>39</v>
      </c>
      <c r="D100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005" s="22" t="str">
        <f>HYPERLINK("https://otsuka-europe-crm.veevavault.com/ui/#object/sent_email__v/VBL000000030048", "SE-001439277")</f>
        <v>SE-001439277</v>
      </c>
      <c r="F1005" s="23"/>
      <c r="G1005" s="24">
        <v>0</v>
      </c>
      <c r="H1005" s="24">
        <v>0</v>
      </c>
      <c r="I1005" s="24">
        <v>0</v>
      </c>
      <c r="J1005" s="23"/>
      <c r="K1005" s="24">
        <v>0</v>
      </c>
      <c r="L100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005" s="22" t="str">
        <f>HYPERLINK("mailto:amarsal@crm.otsuka-europe.com", "amarsal@crm.otsuka-europe.com")</f>
        <v>amarsal@crm.otsuka-europe.com</v>
      </c>
      <c r="N1005" s="25">
        <v>46206.59039351852</v>
      </c>
      <c r="O1005" s="14" t="str">
        <f>HYPERLINK("https://otsuka-europe-crm.veevavault.com/ui/#object/email_activity__v/V8C000000043155", "EN-002101829")</f>
        <v>EN-002101829</v>
      </c>
    </row>
    <row r="1006" spans="1:15" ht="16" x14ac:dyDescent="0.2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/>
      <c r="L1006" s="19"/>
      <c r="M1006" s="19"/>
      <c r="N1006" s="19"/>
      <c r="O1006" s="14" t="str">
        <f>HYPERLINK("https://otsuka-europe-crm.veevavault.com/ui/#object/email_activity__v/V8C000000044136", "EN-002101862")</f>
        <v>EN-002101862</v>
      </c>
    </row>
    <row r="1007" spans="1:15" ht="16" x14ac:dyDescent="0.2">
      <c r="A1007" s="18" t="str">
        <f>HYPERLINK("https://otsuka-europe-crm.veevavault.com/ui/#object/account__v/V4TZ06G6OA5WQFG", "TEST OPSA HCP TEST OPSA HCP")</f>
        <v>TEST OPSA HCP TEST OPSA HCP</v>
      </c>
      <c r="B1007" s="18" t="str">
        <f>HYPERLINK("https://otsuka-europe-crm.veevavault.com/ui/#object/vcountry__v/VENZ000004SONF5", "ES")</f>
        <v>ES</v>
      </c>
      <c r="C1007" s="20" t="s">
        <v>39</v>
      </c>
      <c r="D100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007" s="22" t="str">
        <f>HYPERLINK("https://otsuka-europe-crm.veevavault.com/ui/#object/sent_email__v/VBL000000031081", "SE-001439278")</f>
        <v>SE-001439278</v>
      </c>
      <c r="F1007" s="25">
        <v>46206.57203703704</v>
      </c>
      <c r="G1007" s="24">
        <v>1</v>
      </c>
      <c r="H1007" s="24">
        <v>2</v>
      </c>
      <c r="I1007" s="24">
        <v>0</v>
      </c>
      <c r="J1007" s="23"/>
      <c r="K1007" s="24">
        <v>0</v>
      </c>
      <c r="L100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007" s="22" t="str">
        <f>HYPERLINK("mailto:amarsal@crm.otsuka-europe.com", "amarsal@crm.otsuka-europe.com")</f>
        <v>amarsal@crm.otsuka-europe.com</v>
      </c>
      <c r="N1007" s="25">
        <v>46206.547893518517</v>
      </c>
      <c r="O1007" s="14" t="str">
        <f>HYPERLINK("https://otsuka-europe-crm.veevavault.com/ui/#object/email_activity__v/V8C000000043153", "EN-002101822")</f>
        <v>EN-002101822</v>
      </c>
    </row>
    <row r="1008" spans="1:15" ht="16" x14ac:dyDescent="0.2">
      <c r="A1008" s="26"/>
      <c r="B1008" s="26"/>
      <c r="C1008" s="26"/>
      <c r="D1008" s="26"/>
      <c r="E1008" s="26"/>
      <c r="F1008" s="26"/>
      <c r="G1008" s="26"/>
      <c r="H1008" s="26"/>
      <c r="I1008" s="26"/>
      <c r="J1008" s="26"/>
      <c r="K1008" s="26"/>
      <c r="L1008" s="26"/>
      <c r="M1008" s="26"/>
      <c r="N1008" s="26"/>
      <c r="O1008" s="14" t="str">
        <f>HYPERLINK("https://otsuka-europe-crm.veevavault.com/ui/#object/email_activity__v/V8C000000043174", "EN-002101866")</f>
        <v>EN-002101866</v>
      </c>
    </row>
    <row r="1009" spans="1:15" ht="16" x14ac:dyDescent="0.2">
      <c r="A1009" s="26"/>
      <c r="B1009" s="26"/>
      <c r="C1009" s="26"/>
      <c r="D1009" s="26"/>
      <c r="E1009" s="26"/>
      <c r="F1009" s="26"/>
      <c r="G1009" s="26"/>
      <c r="H1009" s="26"/>
      <c r="I1009" s="26"/>
      <c r="J1009" s="26"/>
      <c r="K1009" s="26"/>
      <c r="L1009" s="26"/>
      <c r="M1009" s="26"/>
      <c r="N1009" s="26"/>
      <c r="O1009" s="14" t="str">
        <f>HYPERLINK("https://otsuka-europe-crm.veevavault.com/ui/#object/email_activity__v/V8C000000044114", "EN-002101823")</f>
        <v>EN-002101823</v>
      </c>
    </row>
    <row r="1010" spans="1:15" ht="16" x14ac:dyDescent="0.2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/>
      <c r="N1010" s="19"/>
      <c r="O1010" s="14" t="str">
        <f>HYPERLINK("https://otsuka-europe-crm.veevavault.com/ui/#object/email_activity__v/V8C000000044115", "EN-002101824")</f>
        <v>EN-002101824</v>
      </c>
    </row>
    <row r="1011" spans="1:15" ht="48" x14ac:dyDescent="0.2">
      <c r="A1011" s="7" t="str">
        <f>HYPERLINK("https://otsuka-europe-crm.veevavault.com/ui/#object/account__v/V4TZ06G6OCBHG29", "RAFFAELLA QUERCI")</f>
        <v>RAFFAELLA QUERCI</v>
      </c>
      <c r="B1011" s="7" t="str">
        <f>HYPERLINK("https://otsuka-europe-crm.veevavault.com/ui/#object/vcountry__v/VENZ000004SONFA", "FR")</f>
        <v>FR</v>
      </c>
      <c r="C1011" s="8" t="s">
        <v>40</v>
      </c>
      <c r="D1011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011" s="10" t="str">
        <f>HYPERLINK("https://otsuka-europe-crm.veevavault.com/ui/#object/sent_email__v/VBL000000031082", "SE-001439279")</f>
        <v>SE-001439279</v>
      </c>
      <c r="F1011" s="11"/>
      <c r="G1011" s="12">
        <v>0</v>
      </c>
      <c r="H1011" s="12">
        <v>0</v>
      </c>
      <c r="I1011" s="12">
        <v>0</v>
      </c>
      <c r="J1011" s="11"/>
      <c r="K1011" s="12">
        <v>0</v>
      </c>
      <c r="L1011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011" s="10" t="str">
        <f>HYPERLINK("mailto:mperrin@crm.otsuka-europe.com", "mperrin@crm.otsuka-europe.com")</f>
        <v>mperrin@crm.otsuka-europe.com</v>
      </c>
      <c r="N1011" s="13">
        <v>46206.685798611114</v>
      </c>
      <c r="O1011" s="14" t="str">
        <f>HYPERLINK("https://otsuka-europe-crm.veevavault.com/ui/#object/email_activity__v/V8C000000044133", "EN-002101855")</f>
        <v>EN-002101855</v>
      </c>
    </row>
    <row r="1012" spans="1:15" ht="64" x14ac:dyDescent="0.2">
      <c r="A1012" s="7" t="str">
        <f>HYPERLINK("https://otsuka-europe-crm.veevavault.com/ui/#object/account__v/V4TZ06G6O71T7SJ", "MARIA FERNANDEZ NIETO")</f>
        <v>MARIA FERNANDEZ NIETO</v>
      </c>
      <c r="B1012" s="7" t="str">
        <f>HYPERLINK("https://otsuka-europe-crm.veevavault.com/ui/#object/vcountry__v/VENZ000004SONF5", "ES")</f>
        <v>ES</v>
      </c>
      <c r="C1012" s="8" t="s">
        <v>39</v>
      </c>
      <c r="D101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12" s="10" t="str">
        <f>HYPERLINK("https://otsuka-europe-crm.veevavault.com/ui/#object/sent_email__v/VBL000000031083", "SE-001439280")</f>
        <v>SE-001439280</v>
      </c>
      <c r="F1012" s="11"/>
      <c r="G1012" s="12">
        <v>0</v>
      </c>
      <c r="H1012" s="12">
        <v>0</v>
      </c>
      <c r="I1012" s="12">
        <v>0</v>
      </c>
      <c r="J1012" s="11"/>
      <c r="K1012" s="12">
        <v>0</v>
      </c>
      <c r="L101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12" s="10" t="str">
        <f>HYPERLINK("mailto:jguri@crm.otsuka-europe.com", "jguri@crm.otsuka-europe.com")</f>
        <v>jguri@crm.otsuka-europe.com</v>
      </c>
      <c r="N1012" s="13">
        <v>46209.316736111112</v>
      </c>
      <c r="O1012" s="14" t="str">
        <f>HYPERLINK("https://otsuka-europe-crm.veevavault.com/ui/#object/email_activity__v/V8C000000044182", "EN-002101941")</f>
        <v>EN-002101941</v>
      </c>
    </row>
    <row r="1013" spans="1:15" ht="64" x14ac:dyDescent="0.2">
      <c r="A1013" s="7" t="str">
        <f>HYPERLINK("https://otsuka-europe-crm.veevavault.com/ui/#object/account__v/V4TZ06G6O8A8I8D", "TERESA BADA BOSCH")</f>
        <v>TERESA BADA BOSCH</v>
      </c>
      <c r="B1013" s="7" t="str">
        <f>HYPERLINK("https://otsuka-europe-crm.veevavault.com/ui/#object/vcountry__v/VENZ000004SONF5", "ES")</f>
        <v>ES</v>
      </c>
      <c r="C1013" s="8" t="s">
        <v>39</v>
      </c>
      <c r="D101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13" s="10" t="str">
        <f>HYPERLINK("https://otsuka-europe-crm.veevavault.com/ui/#object/sent_email__v/VBL000000031084", "SE-001439281")</f>
        <v>SE-001439281</v>
      </c>
      <c r="F1013" s="11"/>
      <c r="G1013" s="12">
        <v>0</v>
      </c>
      <c r="H1013" s="12">
        <v>0</v>
      </c>
      <c r="I1013" s="12">
        <v>0</v>
      </c>
      <c r="J1013" s="11"/>
      <c r="K1013" s="12">
        <v>0</v>
      </c>
      <c r="L101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13" s="10" t="str">
        <f>HYPERLINK("mailto:jguri@crm.otsuka-europe.com", "jguri@crm.otsuka-europe.com")</f>
        <v>jguri@crm.otsuka-europe.com</v>
      </c>
      <c r="N1013" s="13">
        <v>46209.316701388889</v>
      </c>
      <c r="O1013" s="14" t="str">
        <f>HYPERLINK("https://otsuka-europe-crm.veevavault.com/ui/#object/email_activity__v/V8C000000044223", "EN-002101982")</f>
        <v>EN-002101982</v>
      </c>
    </row>
    <row r="1014" spans="1:15" ht="64" x14ac:dyDescent="0.2">
      <c r="A1014" s="7" t="str">
        <f>HYPERLINK("https://otsuka-europe-crm.veevavault.com/ui/#object/account__v/V4TZ06G6O71TCBM", "LAURA SALANOVA VILLANUEVA")</f>
        <v>LAURA SALANOVA VILLANUEVA</v>
      </c>
      <c r="B1014" s="7" t="str">
        <f>HYPERLINK("https://otsuka-europe-crm.veevavault.com/ui/#object/vcountry__v/VENZ000004SONF5", "ES")</f>
        <v>ES</v>
      </c>
      <c r="C1014" s="8" t="s">
        <v>39</v>
      </c>
      <c r="D101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14" s="10" t="str">
        <f>HYPERLINK("https://otsuka-europe-crm.veevavault.com/ui/#object/sent_email__v/VBL000000031085", "SE-001439282")</f>
        <v>SE-001439282</v>
      </c>
      <c r="F1014" s="11"/>
      <c r="G1014" s="12">
        <v>0</v>
      </c>
      <c r="H1014" s="12">
        <v>0</v>
      </c>
      <c r="I1014" s="12">
        <v>0</v>
      </c>
      <c r="J1014" s="11"/>
      <c r="K1014" s="12">
        <v>0</v>
      </c>
      <c r="L101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14" s="10" t="str">
        <f>HYPERLINK("mailto:jguri@crm.otsuka-europe.com", "jguri@crm.otsuka-europe.com")</f>
        <v>jguri@crm.otsuka-europe.com</v>
      </c>
      <c r="N1014" s="13">
        <v>46209.316736111112</v>
      </c>
      <c r="O1014" s="14" t="str">
        <f>HYPERLINK("https://otsuka-europe-crm.veevavault.com/ui/#object/email_activity__v/V8C000000044180", "EN-002101939")</f>
        <v>EN-002101939</v>
      </c>
    </row>
    <row r="1015" spans="1:15" ht="64" x14ac:dyDescent="0.2">
      <c r="A1015" s="7" t="str">
        <f>HYPERLINK("https://otsuka-europe-crm.veevavault.com/ui/#object/account__v/V4TZ06G6O95XGQS", "SELENE NUÑEZ GASPAR")</f>
        <v>SELENE NUÑEZ GASPAR</v>
      </c>
      <c r="B1015" s="7" t="str">
        <f>HYPERLINK("https://otsuka-europe-crm.veevavault.com/ui/#object/vcountry__v/VENZ000004SONF5", "ES")</f>
        <v>ES</v>
      </c>
      <c r="C1015" s="8" t="s">
        <v>39</v>
      </c>
      <c r="D101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15" s="10" t="str">
        <f>HYPERLINK("https://otsuka-europe-crm.veevavault.com/ui/#object/sent_email__v/VBL000000031086", "SE-001439283")</f>
        <v>SE-001439283</v>
      </c>
      <c r="F1015" s="11"/>
      <c r="G1015" s="12">
        <v>0</v>
      </c>
      <c r="H1015" s="12">
        <v>0</v>
      </c>
      <c r="I1015" s="12">
        <v>0</v>
      </c>
      <c r="J1015" s="11"/>
      <c r="K1015" s="12">
        <v>0</v>
      </c>
      <c r="L101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15" s="10" t="str">
        <f>HYPERLINK("mailto:jguri@crm.otsuka-europe.com", "jguri@crm.otsuka-europe.com")</f>
        <v>jguri@crm.otsuka-europe.com</v>
      </c>
      <c r="N1015" s="13">
        <v>46209.316736111112</v>
      </c>
      <c r="O1015" s="14" t="str">
        <f>HYPERLINK("https://otsuka-europe-crm.veevavault.com/ui/#object/email_activity__v/V8C000000044186", "EN-002101945")</f>
        <v>EN-002101945</v>
      </c>
    </row>
    <row r="1016" spans="1:15" ht="16" x14ac:dyDescent="0.2">
      <c r="A1016" s="18" t="str">
        <f>HYPERLINK("https://otsuka-europe-crm.veevavault.com/ui/#object/account__v/V4TZ04ASG6ZLHYV", "MARIA DE LAS MERCEDES ACOSTA ROJAS")</f>
        <v>MARIA DE LAS MERCEDES ACOSTA ROJAS</v>
      </c>
      <c r="B1016" s="18" t="str">
        <f>HYPERLINK("https://otsuka-europe-crm.veevavault.com/ui/#object/vcountry__v/VENZ000004SONF5", "ES")</f>
        <v>ES</v>
      </c>
      <c r="C1016" s="20" t="s">
        <v>39</v>
      </c>
      <c r="D101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16" s="22" t="str">
        <f>HYPERLINK("https://otsuka-europe-crm.veevavault.com/ui/#object/sent_email__v/VBL000000031087", "SE-001439284")</f>
        <v>SE-001439284</v>
      </c>
      <c r="F1016" s="23"/>
      <c r="G1016" s="24">
        <v>0</v>
      </c>
      <c r="H1016" s="24">
        <v>0</v>
      </c>
      <c r="I1016" s="24">
        <v>0</v>
      </c>
      <c r="J1016" s="23"/>
      <c r="K1016" s="24">
        <v>0</v>
      </c>
      <c r="L101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16" s="22" t="str">
        <f>HYPERLINK("mailto:jguri@crm.otsuka-europe.com", "jguri@crm.otsuka-europe.com")</f>
        <v>jguri@crm.otsuka-europe.com</v>
      </c>
      <c r="N1016" s="25">
        <v>46209.316724537035</v>
      </c>
      <c r="O1016" s="14" t="str">
        <f>HYPERLINK("https://otsuka-europe-crm.veevavault.com/ui/#object/email_activity__v/V8C000000043530", "EN-002102593")</f>
        <v>EN-002102593</v>
      </c>
    </row>
    <row r="1017" spans="1:15" ht="16" x14ac:dyDescent="0.2">
      <c r="A1017" s="26"/>
      <c r="B1017" s="26"/>
      <c r="C1017" s="26"/>
      <c r="D1017" s="26"/>
      <c r="E1017" s="26"/>
      <c r="F1017" s="26"/>
      <c r="G1017" s="26"/>
      <c r="H1017" s="26"/>
      <c r="I1017" s="26"/>
      <c r="J1017" s="26"/>
      <c r="K1017" s="26"/>
      <c r="L1017" s="26"/>
      <c r="M1017" s="26"/>
      <c r="N1017" s="26"/>
      <c r="O1017" s="14" t="str">
        <f>HYPERLINK("https://otsuka-europe-crm.veevavault.com/ui/#object/email_activity__v/V8C000000044171", "EN-002101930")</f>
        <v>EN-002101930</v>
      </c>
    </row>
    <row r="1018" spans="1:15" ht="16" x14ac:dyDescent="0.2">
      <c r="A1018" s="19"/>
      <c r="B1018" s="19"/>
      <c r="C1018" s="19"/>
      <c r="D1018" s="19"/>
      <c r="E1018" s="19"/>
      <c r="F1018" s="19"/>
      <c r="G1018" s="19"/>
      <c r="H1018" s="19"/>
      <c r="I1018" s="19"/>
      <c r="J1018" s="19"/>
      <c r="K1018" s="19"/>
      <c r="L1018" s="19"/>
      <c r="M1018" s="19"/>
      <c r="N1018" s="19"/>
      <c r="O1018" s="14" t="str">
        <f>HYPERLINK("https://otsuka-europe-crm.veevavault.com/ui/#object/email_activity__v/V8C00000004C007", "EN-002106746")</f>
        <v>EN-002106746</v>
      </c>
    </row>
    <row r="1019" spans="1:15" ht="64" x14ac:dyDescent="0.2">
      <c r="A1019" s="7" t="str">
        <f>HYPERLINK("https://otsuka-europe-crm.veevavault.com/ui/#object/account__v/V4TZ06G6O71T7KQ", "MARTA CALVO AREVALO")</f>
        <v>MARTA CALVO AREVALO</v>
      </c>
      <c r="B1019" s="7" t="str">
        <f>HYPERLINK("https://otsuka-europe-crm.veevavault.com/ui/#object/vcountry__v/VENZ000004SONF5", "ES")</f>
        <v>ES</v>
      </c>
      <c r="C1019" s="8" t="s">
        <v>39</v>
      </c>
      <c r="D101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19" s="10" t="str">
        <f>HYPERLINK("https://otsuka-europe-crm.veevavault.com/ui/#object/sent_email__v/VBL000000031088", "SE-001439285")</f>
        <v>SE-001439285</v>
      </c>
      <c r="F1019" s="11"/>
      <c r="G1019" s="12">
        <v>0</v>
      </c>
      <c r="H1019" s="12">
        <v>0</v>
      </c>
      <c r="I1019" s="12">
        <v>0</v>
      </c>
      <c r="J1019" s="11"/>
      <c r="K1019" s="12">
        <v>0</v>
      </c>
      <c r="L101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19" s="10" t="str">
        <f>HYPERLINK("mailto:jguri@crm.otsuka-europe.com", "jguri@crm.otsuka-europe.com")</f>
        <v>jguri@crm.otsuka-europe.com</v>
      </c>
      <c r="N1019" s="13">
        <v>46209.316701388889</v>
      </c>
      <c r="O1019" s="14" t="str">
        <f>HYPERLINK("https://otsuka-europe-crm.veevavault.com/ui/#object/email_activity__v/V8C000000044206", "EN-002101965")</f>
        <v>EN-002101965</v>
      </c>
    </row>
    <row r="1020" spans="1:15" ht="16" x14ac:dyDescent="0.2">
      <c r="A1020" s="18" t="str">
        <f>HYPERLINK("https://otsuka-europe-crm.veevavault.com/ui/#object/account__v/V4TZ06G6O71T8MR", "RAMON JESUS MIRANDA HERNANDEZ")</f>
        <v>RAMON JESUS MIRANDA HERNANDEZ</v>
      </c>
      <c r="B1020" s="18" t="str">
        <f>HYPERLINK("https://otsuka-europe-crm.veevavault.com/ui/#object/vcountry__v/VENZ000004SONF5", "ES")</f>
        <v>ES</v>
      </c>
      <c r="C1020" s="20" t="s">
        <v>39</v>
      </c>
      <c r="D10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20" s="22" t="str">
        <f>HYPERLINK("https://otsuka-europe-crm.veevavault.com/ui/#object/sent_email__v/VBL000000031089", "SE-001439286")</f>
        <v>SE-001439286</v>
      </c>
      <c r="F1020" s="25">
        <v>46209.396296296298</v>
      </c>
      <c r="G1020" s="24">
        <v>1</v>
      </c>
      <c r="H1020" s="24">
        <v>3</v>
      </c>
      <c r="I1020" s="24">
        <v>0</v>
      </c>
      <c r="J1020" s="23"/>
      <c r="K1020" s="24">
        <v>0</v>
      </c>
      <c r="L10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20" s="22" t="str">
        <f>HYPERLINK("mailto:jguri@crm.otsuka-europe.com", "jguri@crm.otsuka-europe.com")</f>
        <v>jguri@crm.otsuka-europe.com</v>
      </c>
      <c r="N1020" s="25">
        <v>46209.316724537035</v>
      </c>
      <c r="O1020" s="14" t="str">
        <f>HYPERLINK("https://otsuka-europe-crm.veevavault.com/ui/#object/email_activity__v/V8C000000044174", "EN-002101933")</f>
        <v>EN-002101933</v>
      </c>
    </row>
    <row r="1021" spans="1:15" ht="16" x14ac:dyDescent="0.2">
      <c r="A1021" s="26"/>
      <c r="B1021" s="26"/>
      <c r="C1021" s="26"/>
      <c r="D1021" s="26"/>
      <c r="E1021" s="26"/>
      <c r="F1021" s="26"/>
      <c r="G1021" s="26"/>
      <c r="H1021" s="26"/>
      <c r="I1021" s="26"/>
      <c r="J1021" s="26"/>
      <c r="K1021" s="26"/>
      <c r="L1021" s="26"/>
      <c r="M1021" s="26"/>
      <c r="N1021" s="26"/>
      <c r="O1021" s="14" t="str">
        <f>HYPERLINK("https://otsuka-europe-crm.veevavault.com/ui/#object/email_activity__v/V8C000000044378", "EN-002102334")</f>
        <v>EN-002102334</v>
      </c>
    </row>
    <row r="1022" spans="1:15" ht="16" x14ac:dyDescent="0.2">
      <c r="A1022" s="26"/>
      <c r="B1022" s="26"/>
      <c r="C1022" s="26"/>
      <c r="D1022" s="26"/>
      <c r="E1022" s="26"/>
      <c r="F1022" s="26"/>
      <c r="G1022" s="26"/>
      <c r="H1022" s="26"/>
      <c r="I1022" s="26"/>
      <c r="J1022" s="26"/>
      <c r="K1022" s="26"/>
      <c r="L1022" s="26"/>
      <c r="M1022" s="26"/>
      <c r="N1022" s="26"/>
      <c r="O1022" s="14" t="str">
        <f>HYPERLINK("https://otsuka-europe-crm.veevavault.com/ui/#object/email_activity__v/V8C000000044379", "EN-002102335")</f>
        <v>EN-002102335</v>
      </c>
    </row>
    <row r="1023" spans="1:15" ht="16" x14ac:dyDescent="0.2">
      <c r="A1023" s="19"/>
      <c r="B1023" s="19"/>
      <c r="C1023" s="19"/>
      <c r="D1023" s="19"/>
      <c r="E1023" s="19"/>
      <c r="F1023" s="19"/>
      <c r="G1023" s="19"/>
      <c r="H1023" s="19"/>
      <c r="I1023" s="19"/>
      <c r="J1023" s="19"/>
      <c r="K1023" s="19"/>
      <c r="L1023" s="19"/>
      <c r="M1023" s="19"/>
      <c r="N1023" s="19"/>
      <c r="O1023" s="14" t="str">
        <f>HYPERLINK("https://otsuka-europe-crm.veevavault.com/ui/#object/email_activity__v/V8C000000044407", "EN-002102393")</f>
        <v>EN-002102393</v>
      </c>
    </row>
    <row r="1024" spans="1:15" ht="16" x14ac:dyDescent="0.2">
      <c r="A1024" s="18" t="str">
        <f>HYPERLINK("https://otsuka-europe-crm.veevavault.com/ui/#object/account__v/V4TZ06G6O71T8N0", "MARIA PEREZ FERNANDEZ")</f>
        <v>MARIA PEREZ FERNANDEZ</v>
      </c>
      <c r="B1024" s="18" t="str">
        <f>HYPERLINK("https://otsuka-europe-crm.veevavault.com/ui/#object/vcountry__v/VENZ000004SONF5", "ES")</f>
        <v>ES</v>
      </c>
      <c r="C1024" s="20" t="s">
        <v>39</v>
      </c>
      <c r="D102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24" s="22" t="str">
        <f>HYPERLINK("https://otsuka-europe-crm.veevavault.com/ui/#object/sent_email__v/VBL000000031090", "SE-001439287")</f>
        <v>SE-001439287</v>
      </c>
      <c r="F1024" s="25">
        <v>46209.316851851851</v>
      </c>
      <c r="G1024" s="24">
        <v>1</v>
      </c>
      <c r="H1024" s="24">
        <v>1</v>
      </c>
      <c r="I1024" s="24">
        <v>0</v>
      </c>
      <c r="J1024" s="23"/>
      <c r="K1024" s="24">
        <v>0</v>
      </c>
      <c r="L102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24" s="22" t="str">
        <f>HYPERLINK("mailto:jguri@crm.otsuka-europe.com", "jguri@crm.otsuka-europe.com")</f>
        <v>jguri@crm.otsuka-europe.com</v>
      </c>
      <c r="N1024" s="25">
        <v>46209.316701388889</v>
      </c>
      <c r="O1024" s="14" t="str">
        <f>HYPERLINK("https://otsuka-europe-crm.veevavault.com/ui/#object/email_activity__v/V8C000000044218", "EN-002101977")</f>
        <v>EN-002101977</v>
      </c>
    </row>
    <row r="1025" spans="1:15" ht="16" x14ac:dyDescent="0.2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/>
      <c r="L1025" s="19"/>
      <c r="M1025" s="19"/>
      <c r="N1025" s="19"/>
      <c r="O1025" s="14" t="str">
        <f>HYPERLINK("https://otsuka-europe-crm.veevavault.com/ui/#object/email_activity__v/V8C000000044241", "EN-002102000")</f>
        <v>EN-002102000</v>
      </c>
    </row>
    <row r="1026" spans="1:15" ht="64" x14ac:dyDescent="0.2">
      <c r="A1026" s="7" t="str">
        <f>HYPERLINK("https://otsuka-europe-crm.veevavault.com/ui/#object/account__v/V4TZ06G6OCEHPOR", "MARTA ALVAREZ NADAL")</f>
        <v>MARTA ALVAREZ NADAL</v>
      </c>
      <c r="B1026" s="7" t="str">
        <f>HYPERLINK("https://otsuka-europe-crm.veevavault.com/ui/#object/vcountry__v/VENZ000004SONF5", "ES")</f>
        <v>ES</v>
      </c>
      <c r="C1026" s="8" t="s">
        <v>39</v>
      </c>
      <c r="D102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26" s="10" t="str">
        <f>HYPERLINK("https://otsuka-europe-crm.veevavault.com/ui/#object/sent_email__v/VBL000000031091", "SE-001439288")</f>
        <v>SE-001439288</v>
      </c>
      <c r="F1026" s="11"/>
      <c r="G1026" s="12">
        <v>0</v>
      </c>
      <c r="H1026" s="12">
        <v>0</v>
      </c>
      <c r="I1026" s="12">
        <v>0</v>
      </c>
      <c r="J1026" s="11"/>
      <c r="K1026" s="12">
        <v>0</v>
      </c>
      <c r="L102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26" s="10" t="str">
        <f>HYPERLINK("mailto:jguri@crm.otsuka-europe.com", "jguri@crm.otsuka-europe.com")</f>
        <v>jguri@crm.otsuka-europe.com</v>
      </c>
      <c r="N1026" s="13">
        <v>46209.316701388889</v>
      </c>
      <c r="O1026" s="14" t="str">
        <f>HYPERLINK("https://otsuka-europe-crm.veevavault.com/ui/#object/email_activity__v/V8C000000044217", "EN-002101976")</f>
        <v>EN-002101976</v>
      </c>
    </row>
    <row r="1027" spans="1:15" ht="64" x14ac:dyDescent="0.2">
      <c r="A1027" s="7" t="str">
        <f>HYPERLINK("https://otsuka-europe-crm.veevavault.com/ui/#object/account__v/V4TZ06G6O71TBB3", "MARIA TERESA NAYA NIETO")</f>
        <v>MARIA TERESA NAYA NIETO</v>
      </c>
      <c r="B1027" s="7" t="str">
        <f>HYPERLINK("https://otsuka-europe-crm.veevavault.com/ui/#object/vcountry__v/VENZ000004SONF5", "ES")</f>
        <v>ES</v>
      </c>
      <c r="C1027" s="8" t="s">
        <v>39</v>
      </c>
      <c r="D102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27" s="10" t="str">
        <f>HYPERLINK("https://otsuka-europe-crm.veevavault.com/ui/#object/sent_email__v/VBL000000031092", "SE-001439289")</f>
        <v>SE-001439289</v>
      </c>
      <c r="F1027" s="11"/>
      <c r="G1027" s="12">
        <v>0</v>
      </c>
      <c r="H1027" s="12">
        <v>0</v>
      </c>
      <c r="I1027" s="12">
        <v>0</v>
      </c>
      <c r="J1027" s="11"/>
      <c r="K1027" s="12">
        <v>0</v>
      </c>
      <c r="L102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27" s="10" t="str">
        <f>HYPERLINK("mailto:jguri@crm.otsuka-europe.com", "jguri@crm.otsuka-europe.com")</f>
        <v>jguri@crm.otsuka-europe.com</v>
      </c>
      <c r="N1027" s="13">
        <v>46209.316701388889</v>
      </c>
      <c r="O1027" s="14" t="str">
        <f>HYPERLINK("https://otsuka-europe-crm.veevavault.com/ui/#object/email_activity__v/V8C000000044198", "EN-002101957")</f>
        <v>EN-002101957</v>
      </c>
    </row>
    <row r="1028" spans="1:15" ht="16" x14ac:dyDescent="0.2">
      <c r="A1028" s="18" t="str">
        <f>HYPERLINK("https://otsuka-europe-crm.veevavault.com/ui/#object/account__v/V4TZ025E82EN0J5", "RUTH MARTINEZ GALINDO")</f>
        <v>RUTH MARTINEZ GALINDO</v>
      </c>
      <c r="B1028" s="18" t="str">
        <f>HYPERLINK("https://otsuka-europe-crm.veevavault.com/ui/#object/vcountry__v/VENZ000004SONF5", "ES")</f>
        <v>ES</v>
      </c>
      <c r="C1028" s="20" t="s">
        <v>39</v>
      </c>
      <c r="D102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28" s="22" t="str">
        <f>HYPERLINK("https://otsuka-europe-crm.veevavault.com/ui/#object/sent_email__v/VBL000000031093", "SE-001439290")</f>
        <v>SE-001439290</v>
      </c>
      <c r="F1028" s="25">
        <v>46209.317488425928</v>
      </c>
      <c r="G1028" s="24">
        <v>1</v>
      </c>
      <c r="H1028" s="24">
        <v>1</v>
      </c>
      <c r="I1028" s="24">
        <v>0</v>
      </c>
      <c r="J1028" s="23"/>
      <c r="K1028" s="24">
        <v>0</v>
      </c>
      <c r="L102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28" s="22" t="str">
        <f>HYPERLINK("mailto:jguri@crm.otsuka-europe.com", "jguri@crm.otsuka-europe.com")</f>
        <v>jguri@crm.otsuka-europe.com</v>
      </c>
      <c r="N1028" s="25">
        <v>46209.316701388889</v>
      </c>
      <c r="O1028" s="14" t="str">
        <f>HYPERLINK("https://otsuka-europe-crm.veevavault.com/ui/#object/email_activity__v/V8C000000044219", "EN-002101978")</f>
        <v>EN-002101978</v>
      </c>
    </row>
    <row r="1029" spans="1:15" ht="16" x14ac:dyDescent="0.2">
      <c r="A1029" s="19"/>
      <c r="B1029" s="19"/>
      <c r="C1029" s="19"/>
      <c r="D1029" s="19"/>
      <c r="E1029" s="19"/>
      <c r="F1029" s="19"/>
      <c r="G1029" s="19"/>
      <c r="H1029" s="19"/>
      <c r="I1029" s="19"/>
      <c r="J1029" s="19"/>
      <c r="K1029" s="19"/>
      <c r="L1029" s="19"/>
      <c r="M1029" s="19"/>
      <c r="N1029" s="19"/>
      <c r="O1029" s="14" t="str">
        <f>HYPERLINK("https://otsuka-europe-crm.veevavault.com/ui/#object/email_activity__v/V8C000000044276", "EN-002102035")</f>
        <v>EN-002102035</v>
      </c>
    </row>
    <row r="1030" spans="1:15" ht="16" x14ac:dyDescent="0.2">
      <c r="A1030" s="18" t="str">
        <f>HYPERLINK("https://otsuka-europe-crm.veevavault.com/ui/#object/account__v/V4TZ06G6O71TAGN", "LEONARDO CALLE GARCIA")</f>
        <v>LEONARDO CALLE GARCIA</v>
      </c>
      <c r="B1030" s="18" t="str">
        <f>HYPERLINK("https://otsuka-europe-crm.veevavault.com/ui/#object/vcountry__v/VENZ000004SONF5", "ES")</f>
        <v>ES</v>
      </c>
      <c r="C1030" s="20" t="s">
        <v>39</v>
      </c>
      <c r="D103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30" s="22" t="str">
        <f>HYPERLINK("https://otsuka-europe-crm.veevavault.com/ui/#object/sent_email__v/VBL000000031094", "SE-001439291")</f>
        <v>SE-001439291</v>
      </c>
      <c r="F1030" s="23"/>
      <c r="G1030" s="24">
        <v>0</v>
      </c>
      <c r="H1030" s="24">
        <v>0</v>
      </c>
      <c r="I1030" s="24">
        <v>0</v>
      </c>
      <c r="J1030" s="23"/>
      <c r="K1030" s="24">
        <v>0</v>
      </c>
      <c r="L103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30" s="22" t="str">
        <f>HYPERLINK("mailto:jguri@crm.otsuka-europe.com", "jguri@crm.otsuka-europe.com")</f>
        <v>jguri@crm.otsuka-europe.com</v>
      </c>
      <c r="N1030" s="25">
        <v>46209.316701388889</v>
      </c>
      <c r="O1030" s="14" t="str">
        <f>HYPERLINK("https://otsuka-europe-crm.veevavault.com/ui/#object/email_activity__v/V8C000000043534", "EN-002102605")</f>
        <v>EN-002102605</v>
      </c>
    </row>
    <row r="1031" spans="1:15" ht="16" x14ac:dyDescent="0.2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/>
      <c r="L1031" s="19"/>
      <c r="M1031" s="19"/>
      <c r="N1031" s="19"/>
      <c r="O1031" s="14" t="str">
        <f>HYPERLINK("https://otsuka-europe-crm.veevavault.com/ui/#object/email_activity__v/V8C000000044237", "EN-002101996")</f>
        <v>EN-002101996</v>
      </c>
    </row>
    <row r="1032" spans="1:15" ht="64" x14ac:dyDescent="0.2">
      <c r="A1032" s="7" t="str">
        <f>HYPERLINK("https://otsuka-europe-crm.veevavault.com/ui/#object/account__v/V4TZ025E83BMBTH", "MARIA SORIANO GUILLEN")</f>
        <v>MARIA SORIANO GUILLEN</v>
      </c>
      <c r="B1032" s="7" t="str">
        <f>HYPERLINK("https://otsuka-europe-crm.veevavault.com/ui/#object/vcountry__v/VENZ000004SONF5", "ES")</f>
        <v>ES</v>
      </c>
      <c r="C1032" s="8" t="s">
        <v>39</v>
      </c>
      <c r="D103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32" s="10" t="str">
        <f>HYPERLINK("https://otsuka-europe-crm.veevavault.com/ui/#object/sent_email__v/VBL000000031095", "SE-001439292")</f>
        <v>SE-001439292</v>
      </c>
      <c r="F1032" s="11"/>
      <c r="G1032" s="12">
        <v>0</v>
      </c>
      <c r="H1032" s="12">
        <v>0</v>
      </c>
      <c r="I1032" s="12">
        <v>0</v>
      </c>
      <c r="J1032" s="11"/>
      <c r="K1032" s="12">
        <v>0</v>
      </c>
      <c r="L103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32" s="10" t="str">
        <f>HYPERLINK("mailto:jguri@crm.otsuka-europe.com", "jguri@crm.otsuka-europe.com")</f>
        <v>jguri@crm.otsuka-europe.com</v>
      </c>
      <c r="N1032" s="13">
        <v>46209.316736111112</v>
      </c>
      <c r="O1032" s="14" t="str">
        <f>HYPERLINK("https://otsuka-europe-crm.veevavault.com/ui/#object/email_activity__v/V8C000000044185", "EN-002101944")</f>
        <v>EN-002101944</v>
      </c>
    </row>
    <row r="1033" spans="1:15" ht="64" x14ac:dyDescent="0.2">
      <c r="A1033" s="7" t="str">
        <f>HYPERLINK("https://otsuka-europe-crm.veevavault.com/ui/#object/account__v/V4TZ06G6O71TB1M", "PATRICIA MARTINEZ MIGUEL")</f>
        <v>PATRICIA MARTINEZ MIGUEL</v>
      </c>
      <c r="B1033" s="7" t="str">
        <f>HYPERLINK("https://otsuka-europe-crm.veevavault.com/ui/#object/vcountry__v/VENZ000004SONF5", "ES")</f>
        <v>ES</v>
      </c>
      <c r="C1033" s="8" t="s">
        <v>39</v>
      </c>
      <c r="D103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33" s="10" t="str">
        <f>HYPERLINK("https://otsuka-europe-crm.veevavault.com/ui/#object/sent_email__v/VBL000000031096", "SE-001439293")</f>
        <v>SE-001439293</v>
      </c>
      <c r="F1033" s="11"/>
      <c r="G1033" s="12">
        <v>0</v>
      </c>
      <c r="H1033" s="12">
        <v>0</v>
      </c>
      <c r="I1033" s="12">
        <v>0</v>
      </c>
      <c r="J1033" s="11"/>
      <c r="K1033" s="12">
        <v>0</v>
      </c>
      <c r="L103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33" s="10" t="str">
        <f>HYPERLINK("mailto:jguri@crm.otsuka-europe.com", "jguri@crm.otsuka-europe.com")</f>
        <v>jguri@crm.otsuka-europe.com</v>
      </c>
      <c r="N1033" s="13">
        <v>46209.316701388889</v>
      </c>
      <c r="O1033" s="14" t="str">
        <f>HYPERLINK("https://otsuka-europe-crm.veevavault.com/ui/#object/email_activity__v/V8C000000044226", "EN-002101985")</f>
        <v>EN-002101985</v>
      </c>
    </row>
    <row r="1034" spans="1:15" ht="16" x14ac:dyDescent="0.2">
      <c r="A1034" s="18" t="str">
        <f>HYPERLINK("https://otsuka-europe-crm.veevavault.com/ui/#object/account__v/V4TZ06G6O71T7DE", "MARIA LORETO FERNANDEZ RODRIGUEZ")</f>
        <v>MARIA LORETO FERNANDEZ RODRIGUEZ</v>
      </c>
      <c r="B1034" s="18" t="str">
        <f>HYPERLINK("https://otsuka-europe-crm.veevavault.com/ui/#object/vcountry__v/VENZ000004SONF5", "ES")</f>
        <v>ES</v>
      </c>
      <c r="C1034" s="20" t="s">
        <v>39</v>
      </c>
      <c r="D103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34" s="22" t="str">
        <f>HYPERLINK("https://otsuka-europe-crm.veevavault.com/ui/#object/sent_email__v/VBL000000031097", "SE-001439294")</f>
        <v>SE-001439294</v>
      </c>
      <c r="F1034" s="25">
        <v>46209.318472222221</v>
      </c>
      <c r="G1034" s="24">
        <v>1</v>
      </c>
      <c r="H1034" s="24">
        <v>1</v>
      </c>
      <c r="I1034" s="24">
        <v>0</v>
      </c>
      <c r="J1034" s="23"/>
      <c r="K1034" s="24">
        <v>0</v>
      </c>
      <c r="L103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34" s="22" t="str">
        <f>HYPERLINK("mailto:jguri@crm.otsuka-europe.com", "jguri@crm.otsuka-europe.com")</f>
        <v>jguri@crm.otsuka-europe.com</v>
      </c>
      <c r="N1034" s="25">
        <v>46209.316712962966</v>
      </c>
      <c r="O1034" s="14" t="str">
        <f>HYPERLINK("https://otsuka-europe-crm.veevavault.com/ui/#object/email_activity__v/V8C000000044227", "EN-002101986")</f>
        <v>EN-002101986</v>
      </c>
    </row>
    <row r="1035" spans="1:15" ht="16" x14ac:dyDescent="0.2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/>
      <c r="L1035" s="19"/>
      <c r="M1035" s="19"/>
      <c r="N1035" s="19"/>
      <c r="O1035" s="14" t="str">
        <f>HYPERLINK("https://otsuka-europe-crm.veevavault.com/ui/#object/email_activity__v/V8C000000044332", "EN-002102091")</f>
        <v>EN-002102091</v>
      </c>
    </row>
    <row r="1036" spans="1:15" ht="16" x14ac:dyDescent="0.2">
      <c r="A1036" s="18" t="str">
        <f>HYPERLINK("https://otsuka-europe-crm.veevavault.com/ui/#object/account__v/V4TZ025E88PSIKT", "JUAN ANTONIO SANCHEZ VILLORIA")</f>
        <v>JUAN ANTONIO SANCHEZ VILLORIA</v>
      </c>
      <c r="B1036" s="18" t="str">
        <f>HYPERLINK("https://otsuka-europe-crm.veevavault.com/ui/#object/vcountry__v/VENZ000004SONF5", "ES")</f>
        <v>ES</v>
      </c>
      <c r="C1036" s="20" t="s">
        <v>39</v>
      </c>
      <c r="D103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36" s="22" t="str">
        <f>HYPERLINK("https://otsuka-europe-crm.veevavault.com/ui/#object/sent_email__v/VBL000000031098", "SE-001439295")</f>
        <v>SE-001439295</v>
      </c>
      <c r="F1036" s="25">
        <v>46209.316921296297</v>
      </c>
      <c r="G1036" s="24">
        <v>1</v>
      </c>
      <c r="H1036" s="24">
        <v>1</v>
      </c>
      <c r="I1036" s="24">
        <v>0</v>
      </c>
      <c r="J1036" s="23"/>
      <c r="K1036" s="24">
        <v>0</v>
      </c>
      <c r="L103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36" s="22" t="str">
        <f>HYPERLINK("mailto:jguri@crm.otsuka-europe.com", "jguri@crm.otsuka-europe.com")</f>
        <v>jguri@crm.otsuka-europe.com</v>
      </c>
      <c r="N1036" s="25">
        <v>46209.316712962966</v>
      </c>
      <c r="O1036" s="14" t="str">
        <f>HYPERLINK("https://otsuka-europe-crm.veevavault.com/ui/#object/email_activity__v/V8C000000044230", "EN-002101989")</f>
        <v>EN-002101989</v>
      </c>
    </row>
    <row r="1037" spans="1:15" ht="16" x14ac:dyDescent="0.2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/>
      <c r="L1037" s="19"/>
      <c r="M1037" s="19"/>
      <c r="N1037" s="19"/>
      <c r="O1037" s="14" t="str">
        <f>HYPERLINK("https://otsuka-europe-crm.veevavault.com/ui/#object/email_activity__v/V8C000000044244", "EN-002102003")</f>
        <v>EN-002102003</v>
      </c>
    </row>
    <row r="1038" spans="1:15" ht="16" x14ac:dyDescent="0.2">
      <c r="A1038" s="18" t="str">
        <f>HYPERLINK("https://otsuka-europe-crm.veevavault.com/ui/#object/account__v/V4TZ06G6O71T85Q", "GONZALO CESAR DELGADO LAPEIRA")</f>
        <v>GONZALO CESAR DELGADO LAPEIRA</v>
      </c>
      <c r="B1038" s="18" t="str">
        <f>HYPERLINK("https://otsuka-europe-crm.veevavault.com/ui/#object/vcountry__v/VENZ000004SONF5", "ES")</f>
        <v>ES</v>
      </c>
      <c r="C1038" s="20" t="s">
        <v>39</v>
      </c>
      <c r="D103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38" s="22" t="str">
        <f>HYPERLINK("https://otsuka-europe-crm.veevavault.com/ui/#object/sent_email__v/VBL000000031099", "SE-001439296")</f>
        <v>SE-001439296</v>
      </c>
      <c r="F1038" s="25">
        <v>46209.316967592589</v>
      </c>
      <c r="G1038" s="24">
        <v>1</v>
      </c>
      <c r="H1038" s="24">
        <v>1</v>
      </c>
      <c r="I1038" s="24">
        <v>0</v>
      </c>
      <c r="J1038" s="23"/>
      <c r="K1038" s="24">
        <v>0</v>
      </c>
      <c r="L103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38" s="22" t="str">
        <f>HYPERLINK("mailto:jguri@crm.otsuka-europe.com", "jguri@crm.otsuka-europe.com")</f>
        <v>jguri@crm.otsuka-europe.com</v>
      </c>
      <c r="N1038" s="25">
        <v>46209.316712962966</v>
      </c>
      <c r="O1038" s="14" t="str">
        <f>HYPERLINK("https://otsuka-europe-crm.veevavault.com/ui/#object/email_activity__v/V8C000000043205", "EN-002102114")</f>
        <v>EN-002102114</v>
      </c>
    </row>
    <row r="1039" spans="1:15" ht="16" x14ac:dyDescent="0.2">
      <c r="A1039" s="26"/>
      <c r="B1039" s="26"/>
      <c r="C1039" s="26"/>
      <c r="D1039" s="26"/>
      <c r="E1039" s="26"/>
      <c r="F1039" s="26"/>
      <c r="G1039" s="26"/>
      <c r="H1039" s="26"/>
      <c r="I1039" s="26"/>
      <c r="J1039" s="26"/>
      <c r="K1039" s="26"/>
      <c r="L1039" s="26"/>
      <c r="M1039" s="26"/>
      <c r="N1039" s="26"/>
      <c r="O1039" s="14" t="str">
        <f>HYPERLINK("https://otsuka-europe-crm.veevavault.com/ui/#object/email_activity__v/V8C000000044209", "EN-002101968")</f>
        <v>EN-002101968</v>
      </c>
    </row>
    <row r="1040" spans="1:15" ht="16" x14ac:dyDescent="0.2">
      <c r="A1040" s="26"/>
      <c r="B1040" s="26"/>
      <c r="C1040" s="26"/>
      <c r="D1040" s="26"/>
      <c r="E1040" s="26"/>
      <c r="F1040" s="26"/>
      <c r="G1040" s="26"/>
      <c r="H1040" s="26"/>
      <c r="I1040" s="26"/>
      <c r="J1040" s="26"/>
      <c r="K1040" s="26"/>
      <c r="L1040" s="26"/>
      <c r="M1040" s="26"/>
      <c r="N1040" s="26"/>
      <c r="O1040" s="14" t="str">
        <f>HYPERLINK("https://otsuka-europe-crm.veevavault.com/ui/#object/email_activity__v/V8C000000044242", "EN-002102001")</f>
        <v>EN-002102001</v>
      </c>
    </row>
    <row r="1041" spans="1:15" ht="16" x14ac:dyDescent="0.2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/>
      <c r="L1041" s="19"/>
      <c r="M1041" s="19"/>
      <c r="N1041" s="19"/>
      <c r="O1041" s="14" t="str">
        <f>HYPERLINK("https://otsuka-europe-crm.veevavault.com/ui/#object/email_activity__v/V8C00000004D474", "EN-002109029")</f>
        <v>EN-002109029</v>
      </c>
    </row>
    <row r="1042" spans="1:15" ht="16" x14ac:dyDescent="0.2">
      <c r="A1042" s="18" t="str">
        <f>HYPERLINK("https://otsuka-europe-crm.veevavault.com/ui/#object/account__v/V4TZ06G6O71TAXL", "JOSE LUIS MERINO RIVAS")</f>
        <v>JOSE LUIS MERINO RIVAS</v>
      </c>
      <c r="B1042" s="18" t="str">
        <f>HYPERLINK("https://otsuka-europe-crm.veevavault.com/ui/#object/vcountry__v/VENZ000004SONF5", "ES")</f>
        <v>ES</v>
      </c>
      <c r="C1042" s="20" t="s">
        <v>39</v>
      </c>
      <c r="D104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42" s="22" t="str">
        <f>HYPERLINK("https://otsuka-europe-crm.veevavault.com/ui/#object/sent_email__v/VBL000000031100", "SE-001439297")</f>
        <v>SE-001439297</v>
      </c>
      <c r="F1042" s="25">
        <v>46209.427662037036</v>
      </c>
      <c r="G1042" s="24">
        <v>1</v>
      </c>
      <c r="H1042" s="24">
        <v>2</v>
      </c>
      <c r="I1042" s="24">
        <v>0</v>
      </c>
      <c r="J1042" s="23"/>
      <c r="K1042" s="24">
        <v>0</v>
      </c>
      <c r="L104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42" s="22" t="str">
        <f>HYPERLINK("mailto:jguri@crm.otsuka-europe.com", "jguri@crm.otsuka-europe.com")</f>
        <v>jguri@crm.otsuka-europe.com</v>
      </c>
      <c r="N1042" s="25">
        <v>46209.316701388889</v>
      </c>
      <c r="O1042" s="14" t="str">
        <f>HYPERLINK("https://otsuka-europe-crm.veevavault.com/ui/#object/email_activity__v/V8C000000043459", "EN-002102436")</f>
        <v>EN-002102436</v>
      </c>
    </row>
    <row r="1043" spans="1:15" ht="16" x14ac:dyDescent="0.2">
      <c r="A1043" s="26"/>
      <c r="B1043" s="26"/>
      <c r="C1043" s="26"/>
      <c r="D1043" s="26"/>
      <c r="E1043" s="26"/>
      <c r="F1043" s="26"/>
      <c r="G1043" s="26"/>
      <c r="H1043" s="26"/>
      <c r="I1043" s="26"/>
      <c r="J1043" s="26"/>
      <c r="K1043" s="26"/>
      <c r="L1043" s="26"/>
      <c r="M1043" s="26"/>
      <c r="N1043" s="26"/>
      <c r="O1043" s="14" t="str">
        <f>HYPERLINK("https://otsuka-europe-crm.veevavault.com/ui/#object/email_activity__v/V8C000000044236", "EN-002101995")</f>
        <v>EN-002101995</v>
      </c>
    </row>
    <row r="1044" spans="1:15" ht="16" x14ac:dyDescent="0.2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/>
      <c r="L1044" s="19"/>
      <c r="M1044" s="19"/>
      <c r="N1044" s="19"/>
      <c r="O1044" s="14" t="str">
        <f>HYPERLINK("https://otsuka-europe-crm.veevavault.com/ui/#object/email_activity__v/V8C000000044421", "EN-002102435")</f>
        <v>EN-002102435</v>
      </c>
    </row>
    <row r="1045" spans="1:15" ht="16" x14ac:dyDescent="0.2">
      <c r="A1045" s="18" t="str">
        <f>HYPERLINK("https://otsuka-europe-crm.veevavault.com/ui/#object/account__v/V4TZ06G6O71T9UH", "PILAR FRAILE GOMEZ")</f>
        <v>PILAR FRAILE GOMEZ</v>
      </c>
      <c r="B1045" s="18" t="str">
        <f>HYPERLINK("https://otsuka-europe-crm.veevavault.com/ui/#object/vcountry__v/VENZ000004SONF5", "ES")</f>
        <v>ES</v>
      </c>
      <c r="C1045" s="20" t="s">
        <v>39</v>
      </c>
      <c r="D104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45" s="22" t="str">
        <f>HYPERLINK("https://otsuka-europe-crm.veevavault.com/ui/#object/sent_email__v/VBL000000031101", "SE-001439298")</f>
        <v>SE-001439298</v>
      </c>
      <c r="F1045" s="25">
        <v>46209.318182870367</v>
      </c>
      <c r="G1045" s="24">
        <v>1</v>
      </c>
      <c r="H1045" s="24">
        <v>1</v>
      </c>
      <c r="I1045" s="24">
        <v>0</v>
      </c>
      <c r="J1045" s="23"/>
      <c r="K1045" s="24">
        <v>0</v>
      </c>
      <c r="L104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45" s="22" t="str">
        <f>HYPERLINK("mailto:jguri@crm.otsuka-europe.com", "jguri@crm.otsuka-europe.com")</f>
        <v>jguri@crm.otsuka-europe.com</v>
      </c>
      <c r="N1045" s="25">
        <v>46209.316678240742</v>
      </c>
      <c r="O1045" s="14" t="str">
        <f>HYPERLINK("https://otsuka-europe-crm.veevavault.com/ui/#object/email_activity__v/V8C000000044215", "EN-002101974")</f>
        <v>EN-002101974</v>
      </c>
    </row>
    <row r="1046" spans="1:15" ht="16" x14ac:dyDescent="0.2">
      <c r="A1046" s="19"/>
      <c r="B1046" s="19"/>
      <c r="C1046" s="19"/>
      <c r="D1046" s="19"/>
      <c r="E1046" s="19"/>
      <c r="F1046" s="19"/>
      <c r="G1046" s="19"/>
      <c r="H1046" s="19"/>
      <c r="I1046" s="19"/>
      <c r="J1046" s="19"/>
      <c r="K1046" s="19"/>
      <c r="L1046" s="19"/>
      <c r="M1046" s="19"/>
      <c r="N1046" s="19"/>
      <c r="O1046" s="14" t="str">
        <f>HYPERLINK("https://otsuka-europe-crm.veevavault.com/ui/#object/email_activity__v/V8C000000044321", "EN-002102080")</f>
        <v>EN-002102080</v>
      </c>
    </row>
    <row r="1047" spans="1:15" ht="16" x14ac:dyDescent="0.2">
      <c r="A1047" s="18" t="str">
        <f>HYPERLINK("https://otsuka-europe-crm.veevavault.com/ui/#object/account__v/V4TZ04ASGEXCW99", "PALOMA RUIZ LOPEZ-ALVARADO")</f>
        <v>PALOMA RUIZ LOPEZ-ALVARADO</v>
      </c>
      <c r="B1047" s="18" t="str">
        <f>HYPERLINK("https://otsuka-europe-crm.veevavault.com/ui/#object/vcountry__v/VENZ000004SONF5", "ES")</f>
        <v>ES</v>
      </c>
      <c r="C1047" s="20" t="s">
        <v>39</v>
      </c>
      <c r="D104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47" s="22" t="str">
        <f>HYPERLINK("https://otsuka-europe-crm.veevavault.com/ui/#object/sent_email__v/VBL000000031102", "SE-001439299")</f>
        <v>SE-001439299</v>
      </c>
      <c r="F1047" s="23"/>
      <c r="G1047" s="24">
        <v>0</v>
      </c>
      <c r="H1047" s="24">
        <v>0</v>
      </c>
      <c r="I1047" s="24">
        <v>0</v>
      </c>
      <c r="J1047" s="23"/>
      <c r="K1047" s="24">
        <v>0</v>
      </c>
      <c r="L104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47" s="22" t="str">
        <f>HYPERLINK("mailto:jguri@crm.otsuka-europe.com", "jguri@crm.otsuka-europe.com")</f>
        <v>jguri@crm.otsuka-europe.com</v>
      </c>
      <c r="N1047" s="25">
        <v>46209.316678240742</v>
      </c>
      <c r="O1047" s="14" t="str">
        <f>HYPERLINK("https://otsuka-europe-crm.veevavault.com/ui/#object/email_activity__v/V8C000000044203", "EN-002101962")</f>
        <v>EN-002101962</v>
      </c>
    </row>
    <row r="1048" spans="1:15" ht="16" x14ac:dyDescent="0.2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/>
      <c r="N1048" s="19"/>
      <c r="O1048" s="14" t="str">
        <f>HYPERLINK("https://otsuka-europe-crm.veevavault.com/ui/#object/email_activity__v/V8C000000044525", "EN-002102625")</f>
        <v>EN-002102625</v>
      </c>
    </row>
    <row r="1049" spans="1:15" ht="16" x14ac:dyDescent="0.2">
      <c r="A1049" s="18" t="str">
        <f>HYPERLINK("https://otsuka-europe-crm.veevavault.com/ui/#object/account__v/V4TZ04ASG7RXDJC", "MARTA RIVERO MARTINEZ")</f>
        <v>MARTA RIVERO MARTINEZ</v>
      </c>
      <c r="B1049" s="18" t="str">
        <f>HYPERLINK("https://otsuka-europe-crm.veevavault.com/ui/#object/vcountry__v/VENZ000004SONF5", "ES")</f>
        <v>ES</v>
      </c>
      <c r="C1049" s="20" t="s">
        <v>39</v>
      </c>
      <c r="D104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49" s="22" t="str">
        <f>HYPERLINK("https://otsuka-europe-crm.veevavault.com/ui/#object/sent_email__v/VBL000000031103", "SE-001439300")</f>
        <v>SE-001439300</v>
      </c>
      <c r="F1049" s="25">
        <v>46211.867222222223</v>
      </c>
      <c r="G1049" s="24">
        <v>1</v>
      </c>
      <c r="H1049" s="24">
        <v>2</v>
      </c>
      <c r="I1049" s="24">
        <v>0</v>
      </c>
      <c r="J1049" s="23"/>
      <c r="K1049" s="24">
        <v>0</v>
      </c>
      <c r="L104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49" s="22" t="str">
        <f>HYPERLINK("mailto:jguri@crm.otsuka-europe.com", "jguri@crm.otsuka-europe.com")</f>
        <v>jguri@crm.otsuka-europe.com</v>
      </c>
      <c r="N1049" s="25">
        <v>46209.316678240742</v>
      </c>
      <c r="O1049" s="14" t="str">
        <f>HYPERLINK("https://otsuka-europe-crm.veevavault.com/ui/#object/email_activity__v/V8C000000043507", "EN-002102546")</f>
        <v>EN-002102546</v>
      </c>
    </row>
    <row r="1050" spans="1:15" ht="16" x14ac:dyDescent="0.2">
      <c r="A1050" s="26"/>
      <c r="B1050" s="26"/>
      <c r="C1050" s="26"/>
      <c r="D1050" s="26"/>
      <c r="E1050" s="26"/>
      <c r="F1050" s="26"/>
      <c r="G1050" s="26"/>
      <c r="H1050" s="26"/>
      <c r="I1050" s="26"/>
      <c r="J1050" s="26"/>
      <c r="K1050" s="26"/>
      <c r="L1050" s="26"/>
      <c r="M1050" s="26"/>
      <c r="N1050" s="26"/>
      <c r="O1050" s="14" t="str">
        <f>HYPERLINK("https://otsuka-europe-crm.veevavault.com/ui/#object/email_activity__v/V8C000000043886", "EN-002103290")</f>
        <v>EN-002103290</v>
      </c>
    </row>
    <row r="1051" spans="1:15" ht="16" x14ac:dyDescent="0.2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/>
      <c r="N1051" s="19"/>
      <c r="O1051" s="14" t="str">
        <f>HYPERLINK("https://otsuka-europe-crm.veevavault.com/ui/#object/email_activity__v/V8C000000044204", "EN-002101963")</f>
        <v>EN-002101963</v>
      </c>
    </row>
    <row r="1052" spans="1:15" ht="16" x14ac:dyDescent="0.2">
      <c r="A1052" s="18" t="str">
        <f>HYPERLINK("https://otsuka-europe-crm.veevavault.com/ui/#object/account__v/V4TZ025E891G3D3", "MIGUEL ANGEL NAVAS JIMENEZ")</f>
        <v>MIGUEL ANGEL NAVAS JIMENEZ</v>
      </c>
      <c r="B1052" s="18" t="str">
        <f>HYPERLINK("https://otsuka-europe-crm.veevavault.com/ui/#object/vcountry__v/VENZ000004SONF5", "ES")</f>
        <v>ES</v>
      </c>
      <c r="C1052" s="20" t="s">
        <v>39</v>
      </c>
      <c r="D10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52" s="22" t="str">
        <f>HYPERLINK("https://otsuka-europe-crm.veevavault.com/ui/#object/sent_email__v/VBL000000031104", "SE-001439301")</f>
        <v>SE-001439301</v>
      </c>
      <c r="F1052" s="25">
        <v>46209.317754629628</v>
      </c>
      <c r="G1052" s="24">
        <v>1</v>
      </c>
      <c r="H1052" s="24">
        <v>1</v>
      </c>
      <c r="I1052" s="24">
        <v>0</v>
      </c>
      <c r="J1052" s="23"/>
      <c r="K1052" s="24">
        <v>0</v>
      </c>
      <c r="L10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52" s="22" t="str">
        <f>HYPERLINK("mailto:jguri@crm.otsuka-europe.com", "jguri@crm.otsuka-europe.com")</f>
        <v>jguri@crm.otsuka-europe.com</v>
      </c>
      <c r="N1052" s="25">
        <v>46209.316678240742</v>
      </c>
      <c r="O1052" s="14" t="str">
        <f>HYPERLINK("https://otsuka-europe-crm.veevavault.com/ui/#object/email_activity__v/V8C000000044201", "EN-002101960")</f>
        <v>EN-002101960</v>
      </c>
    </row>
    <row r="1053" spans="1:15" ht="16" x14ac:dyDescent="0.2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/>
      <c r="N1053" s="19"/>
      <c r="O1053" s="14" t="str">
        <f>HYPERLINK("https://otsuka-europe-crm.veevavault.com/ui/#object/email_activity__v/V8C000000044279", "EN-002102038")</f>
        <v>EN-002102038</v>
      </c>
    </row>
    <row r="1054" spans="1:15" ht="64" x14ac:dyDescent="0.2">
      <c r="A1054" s="7" t="str">
        <f>HYPERLINK("https://otsuka-europe-crm.veevavault.com/ui/#object/account__v/V4TZ06G6O71TA4R", "RAQUEL DE GRACIA NUÑEZ")</f>
        <v>RAQUEL DE GRACIA NUÑEZ</v>
      </c>
      <c r="B1054" s="7" t="str">
        <f t="shared" ref="B1054:B1059" si="30">HYPERLINK("https://otsuka-europe-crm.veevavault.com/ui/#object/vcountry__v/VENZ000004SONF5", "ES")</f>
        <v>ES</v>
      </c>
      <c r="C1054" s="8" t="s">
        <v>39</v>
      </c>
      <c r="D1054" s="9" t="str">
        <f t="shared" ref="D1054:D1059" si="31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54" s="10" t="str">
        <f>HYPERLINK("https://otsuka-europe-crm.veevavault.com/ui/#object/sent_email__v/VBL000000031105", "SE-001439302")</f>
        <v>SE-001439302</v>
      </c>
      <c r="F1054" s="11"/>
      <c r="G1054" s="12">
        <v>0</v>
      </c>
      <c r="H1054" s="12">
        <v>0</v>
      </c>
      <c r="I1054" s="12">
        <v>0</v>
      </c>
      <c r="J1054" s="11"/>
      <c r="K1054" s="12">
        <v>0</v>
      </c>
      <c r="L1054" s="10" t="str">
        <f t="shared" ref="L1054:L1059" si="32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54" s="10" t="str">
        <f t="shared" ref="M1054:M1059" si="33">HYPERLINK("mailto:jguri@crm.otsuka-europe.com", "jguri@crm.otsuka-europe.com")</f>
        <v>jguri@crm.otsuka-europe.com</v>
      </c>
      <c r="N1054" s="13">
        <v>46209.316736111112</v>
      </c>
      <c r="O1054" s="14" t="str">
        <f>HYPERLINK("https://otsuka-europe-crm.veevavault.com/ui/#object/email_activity__v/V8C000000044188", "EN-002101947")</f>
        <v>EN-002101947</v>
      </c>
    </row>
    <row r="1055" spans="1:15" ht="64" x14ac:dyDescent="0.2">
      <c r="A1055" s="7" t="str">
        <f>HYPERLINK("https://otsuka-europe-crm.veevavault.com/ui/#object/account__v/V4TZ04ASGEC2KXO", "JAVIER OCAÑA VILLEGAS")</f>
        <v>JAVIER OCAÑA VILLEGAS</v>
      </c>
      <c r="B1055" s="7" t="str">
        <f t="shared" si="30"/>
        <v>ES</v>
      </c>
      <c r="C1055" s="8" t="s">
        <v>39</v>
      </c>
      <c r="D1055" s="9" t="str">
        <f t="shared" si="31"/>
        <v>LUP - VAE Webinar “Lupkynis▼ en la práctica clínica real: más allá de la respuesta renal” - Nefro</v>
      </c>
      <c r="E1055" s="10" t="str">
        <f>HYPERLINK("https://otsuka-europe-crm.veevavault.com/ui/#object/sent_email__v/VBL000000031106", "SE-001439303")</f>
        <v>SE-001439303</v>
      </c>
      <c r="F1055" s="11"/>
      <c r="G1055" s="12">
        <v>0</v>
      </c>
      <c r="H1055" s="12">
        <v>0</v>
      </c>
      <c r="I1055" s="12">
        <v>0</v>
      </c>
      <c r="J1055" s="11"/>
      <c r="K1055" s="12">
        <v>0</v>
      </c>
      <c r="L1055" s="10" t="str">
        <f t="shared" si="32"/>
        <v>LUP - VAE Webinar “Lupkynis▼ en la práctica clínica real: más allá de la respuesta renal” - Nefro</v>
      </c>
      <c r="M1055" s="10" t="str">
        <f t="shared" si="33"/>
        <v>jguri@crm.otsuka-europe.com</v>
      </c>
      <c r="N1055" s="13">
        <v>46209.316701388889</v>
      </c>
      <c r="O1055" s="14" t="str">
        <f>HYPERLINK("https://otsuka-europe-crm.veevavault.com/ui/#object/email_activity__v/V8C000000044195", "EN-002101954")</f>
        <v>EN-002101954</v>
      </c>
    </row>
    <row r="1056" spans="1:15" ht="64" x14ac:dyDescent="0.2">
      <c r="A1056" s="7" t="str">
        <f>HYPERLINK("https://otsuka-europe-crm.veevavault.com/ui/#object/account__v/V4TZ06G6O71T7AZ", "JARA AMPUERO MENCIA")</f>
        <v>JARA AMPUERO MENCIA</v>
      </c>
      <c r="B1056" s="7" t="str">
        <f t="shared" si="30"/>
        <v>ES</v>
      </c>
      <c r="C1056" s="8" t="s">
        <v>39</v>
      </c>
      <c r="D1056" s="9" t="str">
        <f t="shared" si="31"/>
        <v>LUP - VAE Webinar “Lupkynis▼ en la práctica clínica real: más allá de la respuesta renal” - Nefro</v>
      </c>
      <c r="E1056" s="10" t="str">
        <f>HYPERLINK("https://otsuka-europe-crm.veevavault.com/ui/#object/sent_email__v/VBL000000031107", "SE-001439304")</f>
        <v>SE-001439304</v>
      </c>
      <c r="F1056" s="11"/>
      <c r="G1056" s="12">
        <v>0</v>
      </c>
      <c r="H1056" s="12">
        <v>0</v>
      </c>
      <c r="I1056" s="12">
        <v>0</v>
      </c>
      <c r="J1056" s="11"/>
      <c r="K1056" s="12">
        <v>0</v>
      </c>
      <c r="L1056" s="10" t="str">
        <f t="shared" si="32"/>
        <v>LUP - VAE Webinar “Lupkynis▼ en la práctica clínica real: más allá de la respuesta renal” - Nefro</v>
      </c>
      <c r="M1056" s="10" t="str">
        <f t="shared" si="33"/>
        <v>jguri@crm.otsuka-europe.com</v>
      </c>
      <c r="N1056" s="13">
        <v>46209.316736111112</v>
      </c>
      <c r="O1056" s="14" t="str">
        <f>HYPERLINK("https://otsuka-europe-crm.veevavault.com/ui/#object/email_activity__v/V8C000000044178", "EN-002101937")</f>
        <v>EN-002101937</v>
      </c>
    </row>
    <row r="1057" spans="1:15" ht="64" x14ac:dyDescent="0.2">
      <c r="A1057" s="7" t="str">
        <f>HYPERLINK("https://otsuka-europe-crm.veevavault.com/ui/#object/account__v/V4TZ025E88Z0MTT", "JOSE JULIAN SEGURA DE LA MORENA")</f>
        <v>JOSE JULIAN SEGURA DE LA MORENA</v>
      </c>
      <c r="B1057" s="7" t="str">
        <f t="shared" si="30"/>
        <v>ES</v>
      </c>
      <c r="C1057" s="8" t="s">
        <v>39</v>
      </c>
      <c r="D1057" s="9" t="str">
        <f t="shared" si="31"/>
        <v>LUP - VAE Webinar “Lupkynis▼ en la práctica clínica real: más allá de la respuesta renal” - Nefro</v>
      </c>
      <c r="E1057" s="10" t="str">
        <f>HYPERLINK("https://otsuka-europe-crm.veevavault.com/ui/#object/sent_email__v/VBL000000031108", "SE-001439305")</f>
        <v>SE-001439305</v>
      </c>
      <c r="F1057" s="11"/>
      <c r="G1057" s="12">
        <v>0</v>
      </c>
      <c r="H1057" s="12">
        <v>0</v>
      </c>
      <c r="I1057" s="12">
        <v>0</v>
      </c>
      <c r="J1057" s="11"/>
      <c r="K1057" s="12">
        <v>0</v>
      </c>
      <c r="L1057" s="10" t="str">
        <f t="shared" si="32"/>
        <v>LUP - VAE Webinar “Lupkynis▼ en la práctica clínica real: más allá de la respuesta renal” - Nefro</v>
      </c>
      <c r="M1057" s="10" t="str">
        <f t="shared" si="33"/>
        <v>jguri@crm.otsuka-europe.com</v>
      </c>
      <c r="N1057" s="13">
        <v>46209.316701388889</v>
      </c>
      <c r="O1057" s="14" t="str">
        <f>HYPERLINK("https://otsuka-europe-crm.veevavault.com/ui/#object/email_activity__v/V8C000000044207", "EN-002101966")</f>
        <v>EN-002101966</v>
      </c>
    </row>
    <row r="1058" spans="1:15" ht="64" x14ac:dyDescent="0.2">
      <c r="A1058" s="7" t="str">
        <f>HYPERLINK("https://otsuka-europe-crm.veevavault.com/ui/#object/account__v/V4TZ025E86GCP4Q", "ROCIO GIMENA MUÑOZ")</f>
        <v>ROCIO GIMENA MUÑOZ</v>
      </c>
      <c r="B1058" s="7" t="str">
        <f t="shared" si="30"/>
        <v>ES</v>
      </c>
      <c r="C1058" s="8" t="s">
        <v>39</v>
      </c>
      <c r="D1058" s="9" t="str">
        <f t="shared" si="31"/>
        <v>LUP - VAE Webinar “Lupkynis▼ en la práctica clínica real: más allá de la respuesta renal” - Nefro</v>
      </c>
      <c r="E1058" s="10" t="str">
        <f>HYPERLINK("https://otsuka-europe-crm.veevavault.com/ui/#object/sent_email__v/VBL000000031109", "SE-001439306")</f>
        <v>SE-001439306</v>
      </c>
      <c r="F1058" s="11"/>
      <c r="G1058" s="12">
        <v>0</v>
      </c>
      <c r="H1058" s="12">
        <v>0</v>
      </c>
      <c r="I1058" s="12">
        <v>0</v>
      </c>
      <c r="J1058" s="11"/>
      <c r="K1058" s="12">
        <v>0</v>
      </c>
      <c r="L1058" s="10" t="str">
        <f t="shared" si="32"/>
        <v>LUP - VAE Webinar “Lupkynis▼ en la práctica clínica real: más allá de la respuesta renal” - Nefro</v>
      </c>
      <c r="M1058" s="10" t="str">
        <f t="shared" si="33"/>
        <v>jguri@crm.otsuka-europe.com</v>
      </c>
      <c r="N1058" s="13">
        <v>46209.316701388889</v>
      </c>
      <c r="O1058" s="14" t="str">
        <f>HYPERLINK("https://otsuka-europe-crm.veevavault.com/ui/#object/email_activity__v/V8C000000044212", "EN-002101971")</f>
        <v>EN-002101971</v>
      </c>
    </row>
    <row r="1059" spans="1:15" ht="16" x14ac:dyDescent="0.2">
      <c r="A1059" s="18" t="str">
        <f>HYPERLINK("https://otsuka-europe-crm.veevavault.com/ui/#object/account__v/V4TZ06G6O71T8D6", "RAQUEL ESTERAS RUBIO")</f>
        <v>RAQUEL ESTERAS RUBIO</v>
      </c>
      <c r="B1059" s="18" t="str">
        <f t="shared" si="30"/>
        <v>ES</v>
      </c>
      <c r="C1059" s="20" t="s">
        <v>39</v>
      </c>
      <c r="D1059" s="21" t="str">
        <f t="shared" si="31"/>
        <v>LUP - VAE Webinar “Lupkynis▼ en la práctica clínica real: más allá de la respuesta renal” - Nefro</v>
      </c>
      <c r="E1059" s="22" t="str">
        <f>HYPERLINK("https://otsuka-europe-crm.veevavault.com/ui/#object/sent_email__v/VBL000000031110", "SE-001439307")</f>
        <v>SE-001439307</v>
      </c>
      <c r="F1059" s="23"/>
      <c r="G1059" s="24">
        <v>0</v>
      </c>
      <c r="H1059" s="24">
        <v>0</v>
      </c>
      <c r="I1059" s="24">
        <v>0</v>
      </c>
      <c r="J1059" s="23"/>
      <c r="K1059" s="24">
        <v>0</v>
      </c>
      <c r="L1059" s="22" t="str">
        <f t="shared" si="32"/>
        <v>LUP - VAE Webinar “Lupkynis▼ en la práctica clínica real: más allá de la respuesta renal” - Nefro</v>
      </c>
      <c r="M1059" s="22" t="str">
        <f t="shared" si="33"/>
        <v>jguri@crm.otsuka-europe.com</v>
      </c>
      <c r="N1059" s="25">
        <v>46209.316736111112</v>
      </c>
      <c r="O1059" s="14" t="str">
        <f>HYPERLINK("https://otsuka-europe-crm.veevavault.com/ui/#object/email_activity__v/V8C000000044179", "EN-002101938")</f>
        <v>EN-002101938</v>
      </c>
    </row>
    <row r="1060" spans="1:15" ht="16" x14ac:dyDescent="0.2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4" t="str">
        <f>HYPERLINK("https://otsuka-europe-crm.veevavault.com/ui/#object/email_activity__v/V8C000000044417", "EN-002102430")</f>
        <v>EN-002102430</v>
      </c>
    </row>
    <row r="1061" spans="1:15" ht="16" x14ac:dyDescent="0.2">
      <c r="A1061" s="18" t="str">
        <f>HYPERLINK("https://otsuka-europe-crm.veevavault.com/ui/#object/account__v/V4TZ06G6O71T7AU", "MARIA CRISTINA VEGA CABRERA")</f>
        <v>MARIA CRISTINA VEGA CABRERA</v>
      </c>
      <c r="B1061" s="18" t="str">
        <f>HYPERLINK("https://otsuka-europe-crm.veevavault.com/ui/#object/vcountry__v/VENZ000004SONF5", "ES")</f>
        <v>ES</v>
      </c>
      <c r="C1061" s="20" t="s">
        <v>39</v>
      </c>
      <c r="D106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61" s="22" t="str">
        <f>HYPERLINK("https://otsuka-europe-crm.veevavault.com/ui/#object/sent_email__v/VBL000000031111", "SE-001439308")</f>
        <v>SE-001439308</v>
      </c>
      <c r="F1061" s="23"/>
      <c r="G1061" s="24">
        <v>0</v>
      </c>
      <c r="H1061" s="24">
        <v>0</v>
      </c>
      <c r="I1061" s="24">
        <v>0</v>
      </c>
      <c r="J1061" s="23"/>
      <c r="K1061" s="24">
        <v>0</v>
      </c>
      <c r="L106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61" s="22" t="str">
        <f>HYPERLINK("mailto:jguri@crm.otsuka-europe.com", "jguri@crm.otsuka-europe.com")</f>
        <v>jguri@crm.otsuka-europe.com</v>
      </c>
      <c r="N1061" s="25">
        <v>46209.316701388889</v>
      </c>
      <c r="O1061" s="14" t="str">
        <f>HYPERLINK("https://otsuka-europe-crm.veevavault.com/ui/#object/email_activity__v/V8C000000044220", "EN-002101979")</f>
        <v>EN-002101979</v>
      </c>
    </row>
    <row r="1062" spans="1:15" ht="16" x14ac:dyDescent="0.2">
      <c r="A1062" s="26"/>
      <c r="B1062" s="26"/>
      <c r="C1062" s="26"/>
      <c r="D1062" s="26"/>
      <c r="E1062" s="26"/>
      <c r="F1062" s="26"/>
      <c r="G1062" s="26"/>
      <c r="H1062" s="26"/>
      <c r="I1062" s="26"/>
      <c r="J1062" s="26"/>
      <c r="K1062" s="26"/>
      <c r="L1062" s="26"/>
      <c r="M1062" s="26"/>
      <c r="N1062" s="26"/>
      <c r="O1062" s="14" t="str">
        <f>HYPERLINK("https://otsuka-europe-crm.veevavault.com/ui/#object/email_activity__v/V8C000000044530", "EN-002102649")</f>
        <v>EN-002102649</v>
      </c>
    </row>
    <row r="1063" spans="1:15" ht="16" x14ac:dyDescent="0.2">
      <c r="A1063" s="19"/>
      <c r="B1063" s="19"/>
      <c r="C1063" s="19"/>
      <c r="D1063" s="19"/>
      <c r="E1063" s="19"/>
      <c r="F1063" s="19"/>
      <c r="G1063" s="19"/>
      <c r="H1063" s="19"/>
      <c r="I1063" s="19"/>
      <c r="J1063" s="19"/>
      <c r="K1063" s="19"/>
      <c r="L1063" s="19"/>
      <c r="M1063" s="19"/>
      <c r="N1063" s="19"/>
      <c r="O1063" s="14" t="str">
        <f>HYPERLINK("https://otsuka-europe-crm.veevavault.com/ui/#object/email_activity__v/V8C000000049032", "EN-002104931")</f>
        <v>EN-002104931</v>
      </c>
    </row>
    <row r="1064" spans="1:15" ht="16" x14ac:dyDescent="0.2">
      <c r="A1064" s="18" t="str">
        <f>HYPERLINK("https://otsuka-europe-crm.veevavault.com/ui/#object/account__v/V4TZ06G6OB47Q1G", "KAREN RIVERO GARCIA")</f>
        <v>KAREN RIVERO GARCIA</v>
      </c>
      <c r="B1064" s="18" t="str">
        <f>HYPERLINK("https://otsuka-europe-crm.veevavault.com/ui/#object/vcountry__v/VENZ000004SONF5", "ES")</f>
        <v>ES</v>
      </c>
      <c r="C1064" s="20" t="s">
        <v>39</v>
      </c>
      <c r="D106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64" s="22" t="str">
        <f>HYPERLINK("https://otsuka-europe-crm.veevavault.com/ui/#object/sent_email__v/VBL000000031112", "SE-001439309")</f>
        <v>SE-001439309</v>
      </c>
      <c r="F1064" s="25">
        <v>46209.317013888889</v>
      </c>
      <c r="G1064" s="24">
        <v>1</v>
      </c>
      <c r="H1064" s="24">
        <v>1</v>
      </c>
      <c r="I1064" s="24">
        <v>0</v>
      </c>
      <c r="J1064" s="23"/>
      <c r="K1064" s="24">
        <v>0</v>
      </c>
      <c r="L106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64" s="22" t="str">
        <f>HYPERLINK("mailto:jguri@crm.otsuka-europe.com", "jguri@crm.otsuka-europe.com")</f>
        <v>jguri@crm.otsuka-europe.com</v>
      </c>
      <c r="N1064" s="25">
        <v>46209.316736111112</v>
      </c>
      <c r="O1064" s="14" t="str">
        <f>HYPERLINK("https://otsuka-europe-crm.veevavault.com/ui/#object/email_activity__v/V8C000000043460", "EN-002102444")</f>
        <v>EN-002102444</v>
      </c>
    </row>
    <row r="1065" spans="1:15" ht="16" x14ac:dyDescent="0.2">
      <c r="A1065" s="26"/>
      <c r="B1065" s="26"/>
      <c r="C1065" s="26"/>
      <c r="D1065" s="26"/>
      <c r="E1065" s="26"/>
      <c r="F1065" s="26"/>
      <c r="G1065" s="26"/>
      <c r="H1065" s="26"/>
      <c r="I1065" s="26"/>
      <c r="J1065" s="26"/>
      <c r="K1065" s="26"/>
      <c r="L1065" s="26"/>
      <c r="M1065" s="26"/>
      <c r="N1065" s="26"/>
      <c r="O1065" s="14" t="str">
        <f>HYPERLINK("https://otsuka-europe-crm.veevavault.com/ui/#object/email_activity__v/V8C000000044187", "EN-002101946")</f>
        <v>EN-002101946</v>
      </c>
    </row>
    <row r="1066" spans="1:15" ht="16" x14ac:dyDescent="0.2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/>
      <c r="N1066" s="19"/>
      <c r="O1066" s="14" t="str">
        <f>HYPERLINK("https://otsuka-europe-crm.veevavault.com/ui/#object/email_activity__v/V8C000000044245", "EN-002102004")</f>
        <v>EN-002102004</v>
      </c>
    </row>
    <row r="1067" spans="1:15" ht="16" x14ac:dyDescent="0.2">
      <c r="A1067" s="18" t="str">
        <f>HYPERLINK("https://otsuka-europe-crm.veevavault.com/ui/#object/account__v/V4TZ06G6O71TB7V", "FUENSANTA MORENO BARRIO")</f>
        <v>FUENSANTA MORENO BARRIO</v>
      </c>
      <c r="B1067" s="18" t="str">
        <f>HYPERLINK("https://otsuka-europe-crm.veevavault.com/ui/#object/vcountry__v/VENZ000004SONF5", "ES")</f>
        <v>ES</v>
      </c>
      <c r="C1067" s="20" t="s">
        <v>39</v>
      </c>
      <c r="D106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67" s="22" t="str">
        <f>HYPERLINK("https://otsuka-europe-crm.veevavault.com/ui/#object/sent_email__v/VBL000000031113", "SE-001439310")</f>
        <v>SE-001439310</v>
      </c>
      <c r="F1067" s="23"/>
      <c r="G1067" s="24">
        <v>0</v>
      </c>
      <c r="H1067" s="24">
        <v>0</v>
      </c>
      <c r="I1067" s="24">
        <v>0</v>
      </c>
      <c r="J1067" s="23"/>
      <c r="K1067" s="24">
        <v>0</v>
      </c>
      <c r="L106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67" s="22" t="str">
        <f>HYPERLINK("mailto:jguri@crm.otsuka-europe.com", "jguri@crm.otsuka-europe.com")</f>
        <v>jguri@crm.otsuka-europe.com</v>
      </c>
      <c r="N1067" s="25">
        <v>46209.316736111112</v>
      </c>
      <c r="O1067" s="14" t="str">
        <f>HYPERLINK("https://otsuka-europe-crm.veevavault.com/ui/#object/email_activity__v/V8C000000043418", "EN-002102372")</f>
        <v>EN-002102372</v>
      </c>
    </row>
    <row r="1068" spans="1:15" ht="16" x14ac:dyDescent="0.2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/>
      <c r="N1068" s="19"/>
      <c r="O1068" s="14" t="str">
        <f>HYPERLINK("https://otsuka-europe-crm.veevavault.com/ui/#object/email_activity__v/V8C000000044181", "EN-002101940")</f>
        <v>EN-002101940</v>
      </c>
    </row>
    <row r="1069" spans="1:15" ht="64" x14ac:dyDescent="0.2">
      <c r="A1069" s="7" t="str">
        <f>HYPERLINK("https://otsuka-europe-crm.veevavault.com/ui/#object/account__v/V4TZ04ASG6ZJENK", "MANUELA CHIQUERO PALOMO")</f>
        <v>MANUELA CHIQUERO PALOMO</v>
      </c>
      <c r="B1069" s="7" t="str">
        <f t="shared" ref="B1069:B1074" si="34">HYPERLINK("https://otsuka-europe-crm.veevavault.com/ui/#object/vcountry__v/VENZ000004SONF5", "ES")</f>
        <v>ES</v>
      </c>
      <c r="C1069" s="8" t="s">
        <v>39</v>
      </c>
      <c r="D1069" s="9" t="str">
        <f t="shared" ref="D1069:D1074" si="35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69" s="10" t="str">
        <f>HYPERLINK("https://otsuka-europe-crm.veevavault.com/ui/#object/sent_email__v/VBL000000031114", "SE-001439311")</f>
        <v>SE-001439311</v>
      </c>
      <c r="F1069" s="11"/>
      <c r="G1069" s="12">
        <v>0</v>
      </c>
      <c r="H1069" s="12">
        <v>0</v>
      </c>
      <c r="I1069" s="12">
        <v>0</v>
      </c>
      <c r="J1069" s="11"/>
      <c r="K1069" s="12">
        <v>0</v>
      </c>
      <c r="L1069" s="10" t="str">
        <f t="shared" ref="L1069:L1074" si="36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69" s="10" t="str">
        <f t="shared" ref="M1069:M1074" si="37">HYPERLINK("mailto:jguri@crm.otsuka-europe.com", "jguri@crm.otsuka-europe.com")</f>
        <v>jguri@crm.otsuka-europe.com</v>
      </c>
      <c r="N1069" s="13">
        <v>46209.316701388889</v>
      </c>
      <c r="O1069" s="14" t="str">
        <f>HYPERLINK("https://otsuka-europe-crm.veevavault.com/ui/#object/email_activity__v/V8C000000044234", "EN-002101993")</f>
        <v>EN-002101993</v>
      </c>
    </row>
    <row r="1070" spans="1:15" ht="64" x14ac:dyDescent="0.2">
      <c r="A1070" s="7" t="str">
        <f>HYPERLINK("https://otsuka-europe-crm.veevavault.com/ui/#object/account__v/V4TZ06G6O71T8U3", "LINA MARIA LEON MACHADO")</f>
        <v>LINA MARIA LEON MACHADO</v>
      </c>
      <c r="B1070" s="7" t="str">
        <f t="shared" si="34"/>
        <v>ES</v>
      </c>
      <c r="C1070" s="8" t="s">
        <v>39</v>
      </c>
      <c r="D1070" s="9" t="str">
        <f t="shared" si="35"/>
        <v>LUP - VAE Webinar “Lupkynis▼ en la práctica clínica real: más allá de la respuesta renal” - Nefro</v>
      </c>
      <c r="E1070" s="10" t="str">
        <f>HYPERLINK("https://otsuka-europe-crm.veevavault.com/ui/#object/sent_email__v/VBL000000031115", "SE-001439312")</f>
        <v>SE-001439312</v>
      </c>
      <c r="F1070" s="11"/>
      <c r="G1070" s="12">
        <v>0</v>
      </c>
      <c r="H1070" s="12">
        <v>0</v>
      </c>
      <c r="I1070" s="12">
        <v>0</v>
      </c>
      <c r="J1070" s="11"/>
      <c r="K1070" s="12">
        <v>0</v>
      </c>
      <c r="L1070" s="10" t="str">
        <f t="shared" si="36"/>
        <v>LUP - VAE Webinar “Lupkynis▼ en la práctica clínica real: más allá de la respuesta renal” - Nefro</v>
      </c>
      <c r="M1070" s="10" t="str">
        <f t="shared" si="37"/>
        <v>jguri@crm.otsuka-europe.com</v>
      </c>
      <c r="N1070" s="13">
        <v>46209.316701388889</v>
      </c>
      <c r="O1070" s="14" t="str">
        <f>HYPERLINK("https://otsuka-europe-crm.veevavault.com/ui/#object/email_activity__v/V8C000000044224", "EN-002101983")</f>
        <v>EN-002101983</v>
      </c>
    </row>
    <row r="1071" spans="1:15" ht="64" x14ac:dyDescent="0.2">
      <c r="A1071" s="7" t="str">
        <f>HYPERLINK("https://otsuka-europe-crm.veevavault.com/ui/#object/account__v/V4TZ06G6O71T964", "MARIA AUXILIADORA BAJO RUBIO")</f>
        <v>MARIA AUXILIADORA BAJO RUBIO</v>
      </c>
      <c r="B1071" s="7" t="str">
        <f t="shared" si="34"/>
        <v>ES</v>
      </c>
      <c r="C1071" s="8" t="s">
        <v>39</v>
      </c>
      <c r="D1071" s="9" t="str">
        <f t="shared" si="35"/>
        <v>LUP - VAE Webinar “Lupkynis▼ en la práctica clínica real: más allá de la respuesta renal” - Nefro</v>
      </c>
      <c r="E1071" s="10" t="str">
        <f>HYPERLINK("https://otsuka-europe-crm.veevavault.com/ui/#object/sent_email__v/VBL000000031116", "SE-001439313")</f>
        <v>SE-001439313</v>
      </c>
      <c r="F1071" s="11"/>
      <c r="G1071" s="12">
        <v>0</v>
      </c>
      <c r="H1071" s="12">
        <v>0</v>
      </c>
      <c r="I1071" s="12">
        <v>0</v>
      </c>
      <c r="J1071" s="11"/>
      <c r="K1071" s="12">
        <v>0</v>
      </c>
      <c r="L1071" s="10" t="str">
        <f t="shared" si="36"/>
        <v>LUP - VAE Webinar “Lupkynis▼ en la práctica clínica real: más allá de la respuesta renal” - Nefro</v>
      </c>
      <c r="M1071" s="10" t="str">
        <f t="shared" si="37"/>
        <v>jguri@crm.otsuka-europe.com</v>
      </c>
      <c r="N1071" s="13">
        <v>46209.316736111112</v>
      </c>
      <c r="O1071" s="14" t="str">
        <f>HYPERLINK("https://otsuka-europe-crm.veevavault.com/ui/#object/email_activity__v/V8C000000044177", "EN-002101936")</f>
        <v>EN-002101936</v>
      </c>
    </row>
    <row r="1072" spans="1:15" ht="64" x14ac:dyDescent="0.2">
      <c r="A1072" s="7" t="str">
        <f>HYPERLINK("https://otsuka-europe-crm.veevavault.com/ui/#object/account__v/V4TZ06G6O9VKR35", "JOSE CARLOS AGUILAR AGUILAR")</f>
        <v>JOSE CARLOS AGUILAR AGUILAR</v>
      </c>
      <c r="B1072" s="7" t="str">
        <f t="shared" si="34"/>
        <v>ES</v>
      </c>
      <c r="C1072" s="8" t="s">
        <v>39</v>
      </c>
      <c r="D1072" s="9" t="str">
        <f t="shared" si="35"/>
        <v>LUP - VAE Webinar “Lupkynis▼ en la práctica clínica real: más allá de la respuesta renal” - Nefro</v>
      </c>
      <c r="E1072" s="10" t="str">
        <f>HYPERLINK("https://otsuka-europe-crm.veevavault.com/ui/#object/sent_email__v/VBL000000031117", "SE-001439314")</f>
        <v>SE-001439314</v>
      </c>
      <c r="F1072" s="11"/>
      <c r="G1072" s="12">
        <v>0</v>
      </c>
      <c r="H1072" s="12">
        <v>0</v>
      </c>
      <c r="I1072" s="12">
        <v>0</v>
      </c>
      <c r="J1072" s="11"/>
      <c r="K1072" s="12">
        <v>0</v>
      </c>
      <c r="L1072" s="10" t="str">
        <f t="shared" si="36"/>
        <v>LUP - VAE Webinar “Lupkynis▼ en la práctica clínica real: más allá de la respuesta renal” - Nefro</v>
      </c>
      <c r="M1072" s="10" t="str">
        <f t="shared" si="37"/>
        <v>jguri@crm.otsuka-europe.com</v>
      </c>
      <c r="N1072" s="13">
        <v>46209.316701388889</v>
      </c>
      <c r="O1072" s="14" t="str">
        <f>HYPERLINK("https://otsuka-europe-crm.veevavault.com/ui/#object/email_activity__v/V8C000000044205", "EN-002101964")</f>
        <v>EN-002101964</v>
      </c>
    </row>
    <row r="1073" spans="1:15" ht="64" x14ac:dyDescent="0.2">
      <c r="A1073" s="7" t="str">
        <f>HYPERLINK("https://otsuka-europe-crm.veevavault.com/ui/#object/account__v/V4TZ06G6O71T80I", "LAURA MUÑIZ PACIOS")</f>
        <v>LAURA MUÑIZ PACIOS</v>
      </c>
      <c r="B1073" s="7" t="str">
        <f t="shared" si="34"/>
        <v>ES</v>
      </c>
      <c r="C1073" s="8" t="s">
        <v>39</v>
      </c>
      <c r="D1073" s="9" t="str">
        <f t="shared" si="35"/>
        <v>LUP - VAE Webinar “Lupkynis▼ en la práctica clínica real: más allá de la respuesta renal” - Nefro</v>
      </c>
      <c r="E1073" s="10" t="str">
        <f>HYPERLINK("https://otsuka-europe-crm.veevavault.com/ui/#object/sent_email__v/VBL000000031118", "SE-001439315")</f>
        <v>SE-001439315</v>
      </c>
      <c r="F1073" s="11"/>
      <c r="G1073" s="12">
        <v>0</v>
      </c>
      <c r="H1073" s="12">
        <v>0</v>
      </c>
      <c r="I1073" s="12">
        <v>0</v>
      </c>
      <c r="J1073" s="11"/>
      <c r="K1073" s="12">
        <v>0</v>
      </c>
      <c r="L1073" s="10" t="str">
        <f t="shared" si="36"/>
        <v>LUP - VAE Webinar “Lupkynis▼ en la práctica clínica real: más allá de la respuesta renal” - Nefro</v>
      </c>
      <c r="M1073" s="10" t="str">
        <f t="shared" si="37"/>
        <v>jguri@crm.otsuka-europe.com</v>
      </c>
      <c r="N1073" s="13">
        <v>46209.316701388889</v>
      </c>
      <c r="O1073" s="14" t="str">
        <f>HYPERLINK("https://otsuka-europe-crm.veevavault.com/ui/#object/email_activity__v/V8C000000044199", "EN-002101958")</f>
        <v>EN-002101958</v>
      </c>
    </row>
    <row r="1074" spans="1:15" ht="16" x14ac:dyDescent="0.2">
      <c r="A1074" s="18" t="str">
        <f>HYPERLINK("https://otsuka-europe-crm.veevavault.com/ui/#object/account__v/V4TZ06G6O71T892", "MARIA CARMEN PECERO HORMIGO")</f>
        <v>MARIA CARMEN PECERO HORMIGO</v>
      </c>
      <c r="B1074" s="18" t="str">
        <f t="shared" si="34"/>
        <v>ES</v>
      </c>
      <c r="C1074" s="20" t="s">
        <v>39</v>
      </c>
      <c r="D1074" s="21" t="str">
        <f t="shared" si="35"/>
        <v>LUP - VAE Webinar “Lupkynis▼ en la práctica clínica real: más allá de la respuesta renal” - Nefro</v>
      </c>
      <c r="E1074" s="22" t="str">
        <f>HYPERLINK("https://otsuka-europe-crm.veevavault.com/ui/#object/sent_email__v/VBL000000031119", "SE-001439316")</f>
        <v>SE-001439316</v>
      </c>
      <c r="F1074" s="23"/>
      <c r="G1074" s="24">
        <v>0</v>
      </c>
      <c r="H1074" s="24">
        <v>0</v>
      </c>
      <c r="I1074" s="24">
        <v>0</v>
      </c>
      <c r="J1074" s="23"/>
      <c r="K1074" s="24">
        <v>0</v>
      </c>
      <c r="L1074" s="22" t="str">
        <f t="shared" si="36"/>
        <v>LUP - VAE Webinar “Lupkynis▼ en la práctica clínica real: más allá de la respuesta renal” - Nefro</v>
      </c>
      <c r="M1074" s="22" t="str">
        <f t="shared" si="37"/>
        <v>jguri@crm.otsuka-europe.com</v>
      </c>
      <c r="N1074" s="25">
        <v>46209.316701388889</v>
      </c>
      <c r="O1074" s="14" t="str">
        <f>HYPERLINK("https://otsuka-europe-crm.veevavault.com/ui/#object/email_activity__v/V8C000000044240", "EN-002101999")</f>
        <v>EN-002101999</v>
      </c>
    </row>
    <row r="1075" spans="1:15" ht="16" x14ac:dyDescent="0.2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/>
      <c r="L1075" s="19"/>
      <c r="M1075" s="19"/>
      <c r="N1075" s="19"/>
      <c r="O1075" s="14" t="str">
        <f>HYPERLINK("https://otsuka-europe-crm.veevavault.com/ui/#object/email_activity__v/V8C000000044760", "EN-002103100")</f>
        <v>EN-002103100</v>
      </c>
    </row>
    <row r="1076" spans="1:15" ht="16" x14ac:dyDescent="0.2">
      <c r="A1076" s="18" t="str">
        <f>HYPERLINK("https://otsuka-europe-crm.veevavault.com/ui/#object/account__v/V4TZ06G6O71TAC0", "JUAN RAMON GOMEZ-MARTINO ARROYO")</f>
        <v>JUAN RAMON GOMEZ-MARTINO ARROYO</v>
      </c>
      <c r="B1076" s="18" t="str">
        <f>HYPERLINK("https://otsuka-europe-crm.veevavault.com/ui/#object/vcountry__v/VENZ000004SONF5", "ES")</f>
        <v>ES</v>
      </c>
      <c r="C1076" s="20" t="s">
        <v>39</v>
      </c>
      <c r="D107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76" s="22" t="str">
        <f>HYPERLINK("https://otsuka-europe-crm.veevavault.com/ui/#object/sent_email__v/VBL000000031120", "SE-001439317")</f>
        <v>SE-001439317</v>
      </c>
      <c r="F1076" s="25">
        <v>46209.813344907408</v>
      </c>
      <c r="G1076" s="24">
        <v>1</v>
      </c>
      <c r="H1076" s="24">
        <v>1</v>
      </c>
      <c r="I1076" s="24">
        <v>1</v>
      </c>
      <c r="J1076" s="25">
        <v>46209.814328703702</v>
      </c>
      <c r="K1076" s="24">
        <v>2</v>
      </c>
      <c r="L107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76" s="22" t="str">
        <f>HYPERLINK("mailto:jguri@crm.otsuka-europe.com", "jguri@crm.otsuka-europe.com")</f>
        <v>jguri@crm.otsuka-europe.com</v>
      </c>
      <c r="N1076" s="25">
        <v>46209.316724537035</v>
      </c>
      <c r="O1076" s="14" t="str">
        <f>HYPERLINK("https://otsuka-europe-crm.veevavault.com/ui/#object/email_activity__v/V8C000000043532", "EN-002102595")</f>
        <v>EN-002102595</v>
      </c>
    </row>
    <row r="1077" spans="1:15" ht="16" x14ac:dyDescent="0.2">
      <c r="A1077" s="26"/>
      <c r="B1077" s="26"/>
      <c r="C1077" s="26"/>
      <c r="D1077" s="26"/>
      <c r="E1077" s="26"/>
      <c r="F1077" s="26"/>
      <c r="G1077" s="26"/>
      <c r="H1077" s="26"/>
      <c r="I1077" s="26"/>
      <c r="J1077" s="26"/>
      <c r="K1077" s="26"/>
      <c r="L1077" s="26"/>
      <c r="M1077" s="26"/>
      <c r="N1077" s="26"/>
      <c r="O1077" s="14" t="str">
        <f>HYPERLINK("https://otsuka-europe-crm.veevavault.com/ui/#object/email_activity__v/V8C000000043533", "EN-002102597")</f>
        <v>EN-002102597</v>
      </c>
    </row>
    <row r="1078" spans="1:15" ht="16" x14ac:dyDescent="0.2">
      <c r="A1078" s="26"/>
      <c r="B1078" s="26"/>
      <c r="C1078" s="26"/>
      <c r="D1078" s="26"/>
      <c r="E1078" s="26"/>
      <c r="F1078" s="26"/>
      <c r="G1078" s="26"/>
      <c r="H1078" s="26"/>
      <c r="I1078" s="26"/>
      <c r="J1078" s="26"/>
      <c r="K1078" s="26"/>
      <c r="L1078" s="26"/>
      <c r="M1078" s="26"/>
      <c r="N1078" s="26"/>
      <c r="O1078" s="14" t="str">
        <f>HYPERLINK("https://otsuka-europe-crm.veevavault.com/ui/#object/email_activity__v/V8C000000044167", "EN-002101926")</f>
        <v>EN-002101926</v>
      </c>
    </row>
    <row r="1079" spans="1:15" ht="16" x14ac:dyDescent="0.2">
      <c r="A1079" s="19"/>
      <c r="B1079" s="19"/>
      <c r="C1079" s="19"/>
      <c r="D1079" s="19"/>
      <c r="E1079" s="19"/>
      <c r="F1079" s="19"/>
      <c r="G1079" s="19"/>
      <c r="H1079" s="19"/>
      <c r="I1079" s="19"/>
      <c r="J1079" s="19"/>
      <c r="K1079" s="19"/>
      <c r="L1079" s="19"/>
      <c r="M1079" s="19"/>
      <c r="N1079" s="19"/>
      <c r="O1079" s="14" t="str">
        <f>HYPERLINK("https://otsuka-europe-crm.veevavault.com/ui/#object/email_activity__v/V8C000000044508", "EN-002102596")</f>
        <v>EN-002102596</v>
      </c>
    </row>
    <row r="1080" spans="1:15" ht="16" x14ac:dyDescent="0.2">
      <c r="A1080" s="18" t="str">
        <f>HYPERLINK("https://otsuka-europe-crm.veevavault.com/ui/#object/account__v/V4TZ06G6O71TCFH", "MIGUEL ANGEL SUAREZ SANTIESTEBAN")</f>
        <v>MIGUEL ANGEL SUAREZ SANTIESTEBAN</v>
      </c>
      <c r="B1080" s="18" t="str">
        <f>HYPERLINK("https://otsuka-europe-crm.veevavault.com/ui/#object/vcountry__v/VENZ000004SONF5", "ES")</f>
        <v>ES</v>
      </c>
      <c r="C1080" s="20" t="s">
        <v>39</v>
      </c>
      <c r="D108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80" s="22" t="str">
        <f>HYPERLINK("https://otsuka-europe-crm.veevavault.com/ui/#object/sent_email__v/VBL000000031121", "SE-001439318")</f>
        <v>SE-001439318</v>
      </c>
      <c r="F1080" s="25">
        <v>46209.612858796296</v>
      </c>
      <c r="G1080" s="24">
        <v>1</v>
      </c>
      <c r="H1080" s="24">
        <v>1</v>
      </c>
      <c r="I1080" s="24">
        <v>0</v>
      </c>
      <c r="J1080" s="23"/>
      <c r="K1080" s="24">
        <v>0</v>
      </c>
      <c r="L108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80" s="22" t="str">
        <f>HYPERLINK("mailto:jguri@crm.otsuka-europe.com", "jguri@crm.otsuka-europe.com")</f>
        <v>jguri@crm.otsuka-europe.com</v>
      </c>
      <c r="N1080" s="25">
        <v>46209.316701388889</v>
      </c>
      <c r="O1080" s="14" t="str">
        <f>HYPERLINK("https://otsuka-europe-crm.veevavault.com/ui/#object/email_activity__v/V8C000000044189", "EN-002101948")</f>
        <v>EN-002101948</v>
      </c>
    </row>
    <row r="1081" spans="1:15" ht="16" x14ac:dyDescent="0.2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/>
      <c r="L1081" s="19"/>
      <c r="M1081" s="19"/>
      <c r="N1081" s="19"/>
      <c r="O1081" s="14" t="str">
        <f>HYPERLINK("https://otsuka-europe-crm.veevavault.com/ui/#object/email_activity__v/V8C000000044479", "EN-002102533")</f>
        <v>EN-002102533</v>
      </c>
    </row>
    <row r="1082" spans="1:15" ht="16" x14ac:dyDescent="0.2">
      <c r="A1082" s="18" t="str">
        <f>HYPERLINK("https://otsuka-europe-crm.veevavault.com/ui/#object/account__v/V4TZ04ASGGHZH8N", "JESSY KORINA PEÑA ESPARRAGOZA")</f>
        <v>JESSY KORINA PEÑA ESPARRAGOZA</v>
      </c>
      <c r="B1082" s="18" t="str">
        <f>HYPERLINK("https://otsuka-europe-crm.veevavault.com/ui/#object/vcountry__v/VENZ000004SONF5", "ES")</f>
        <v>ES</v>
      </c>
      <c r="C1082" s="20" t="s">
        <v>39</v>
      </c>
      <c r="D108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82" s="22" t="str">
        <f>HYPERLINK("https://otsuka-europe-crm.veevavault.com/ui/#object/sent_email__v/VBL000000031122", "SE-001439319")</f>
        <v>SE-001439319</v>
      </c>
      <c r="F1082" s="25">
        <v>46209.469456018516</v>
      </c>
      <c r="G1082" s="24">
        <v>1</v>
      </c>
      <c r="H1082" s="24">
        <v>3</v>
      </c>
      <c r="I1082" s="24">
        <v>0</v>
      </c>
      <c r="J1082" s="23"/>
      <c r="K1082" s="24">
        <v>0</v>
      </c>
      <c r="L108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82" s="22" t="str">
        <f>HYPERLINK("mailto:jguri@crm.otsuka-europe.com", "jguri@crm.otsuka-europe.com")</f>
        <v>jguri@crm.otsuka-europe.com</v>
      </c>
      <c r="N1082" s="25">
        <v>46209.316724537035</v>
      </c>
      <c r="O1082" s="14" t="str">
        <f>HYPERLINK("https://otsuka-europe-crm.veevavault.com/ui/#object/email_activity__v/V8C000000043467", "EN-002102467")</f>
        <v>EN-002102467</v>
      </c>
    </row>
    <row r="1083" spans="1:15" ht="16" x14ac:dyDescent="0.2">
      <c r="A1083" s="26"/>
      <c r="B1083" s="26"/>
      <c r="C1083" s="26"/>
      <c r="D1083" s="26"/>
      <c r="E1083" s="26"/>
      <c r="F1083" s="26"/>
      <c r="G1083" s="26"/>
      <c r="H1083" s="26"/>
      <c r="I1083" s="26"/>
      <c r="J1083" s="26"/>
      <c r="K1083" s="26"/>
      <c r="L1083" s="26"/>
      <c r="M1083" s="26"/>
      <c r="N1083" s="26"/>
      <c r="O1083" s="14" t="str">
        <f>HYPERLINK("https://otsuka-europe-crm.veevavault.com/ui/#object/email_activity__v/V8C000000043469", "EN-002102470")</f>
        <v>EN-002102470</v>
      </c>
    </row>
    <row r="1084" spans="1:15" ht="16" x14ac:dyDescent="0.2">
      <c r="A1084" s="26"/>
      <c r="B1084" s="26"/>
      <c r="C1084" s="26"/>
      <c r="D1084" s="26"/>
      <c r="E1084" s="26"/>
      <c r="F1084" s="26"/>
      <c r="G1084" s="26"/>
      <c r="H1084" s="26"/>
      <c r="I1084" s="26"/>
      <c r="J1084" s="26"/>
      <c r="K1084" s="26"/>
      <c r="L1084" s="26"/>
      <c r="M1084" s="26"/>
      <c r="N1084" s="26"/>
      <c r="O1084" s="14" t="str">
        <f>HYPERLINK("https://otsuka-europe-crm.veevavault.com/ui/#object/email_activity__v/V8C000000044173", "EN-002101932")</f>
        <v>EN-002101932</v>
      </c>
    </row>
    <row r="1085" spans="1:15" ht="16" x14ac:dyDescent="0.2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/>
      <c r="L1085" s="19"/>
      <c r="M1085" s="19"/>
      <c r="N1085" s="19"/>
      <c r="O1085" s="14" t="str">
        <f>HYPERLINK("https://otsuka-europe-crm.veevavault.com/ui/#object/email_activity__v/V8C000000044243", "EN-002102002")</f>
        <v>EN-002102002</v>
      </c>
    </row>
    <row r="1086" spans="1:15" ht="64" x14ac:dyDescent="0.2">
      <c r="A1086" s="7" t="str">
        <f>HYPERLINK("https://otsuka-europe-crm.veevavault.com/ui/#object/account__v/V4TZ04ASG9GXDQ4", "MARIA PILAR MORAN MAGRO")</f>
        <v>MARIA PILAR MORAN MAGRO</v>
      </c>
      <c r="B1086" s="7" t="str">
        <f>HYPERLINK("https://otsuka-europe-crm.veevavault.com/ui/#object/vcountry__v/VENZ000004SONF5", "ES")</f>
        <v>ES</v>
      </c>
      <c r="C1086" s="8" t="s">
        <v>39</v>
      </c>
      <c r="D108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86" s="10" t="str">
        <f>HYPERLINK("https://otsuka-europe-crm.veevavault.com/ui/#object/sent_email__v/VBL000000031123", "SE-001439320")</f>
        <v>SE-001439320</v>
      </c>
      <c r="F1086" s="11"/>
      <c r="G1086" s="12">
        <v>0</v>
      </c>
      <c r="H1086" s="12">
        <v>0</v>
      </c>
      <c r="I1086" s="12">
        <v>0</v>
      </c>
      <c r="J1086" s="11"/>
      <c r="K1086" s="12">
        <v>0</v>
      </c>
      <c r="L108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86" s="10" t="str">
        <f>HYPERLINK("mailto:jguri@crm.otsuka-europe.com", "jguri@crm.otsuka-europe.com")</f>
        <v>jguri@crm.otsuka-europe.com</v>
      </c>
      <c r="N1086" s="13">
        <v>46209.316701388889</v>
      </c>
      <c r="O1086" s="14" t="str">
        <f>HYPERLINK("https://otsuka-europe-crm.veevavault.com/ui/#object/email_activity__v/V8C000000044197", "EN-002101956")</f>
        <v>EN-002101956</v>
      </c>
    </row>
    <row r="1087" spans="1:15" ht="16" x14ac:dyDescent="0.2">
      <c r="A1087" s="18" t="str">
        <f>HYPERLINK("https://otsuka-europe-crm.veevavault.com/ui/#object/account__v/V4TZ04ASGCYP45R", "JOSE IGNACIO GOMEZ ROJAS")</f>
        <v>JOSE IGNACIO GOMEZ ROJAS</v>
      </c>
      <c r="B1087" s="18" t="str">
        <f>HYPERLINK("https://otsuka-europe-crm.veevavault.com/ui/#object/vcountry__v/VENZ000004SONF5", "ES")</f>
        <v>ES</v>
      </c>
      <c r="C1087" s="20" t="s">
        <v>39</v>
      </c>
      <c r="D108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87" s="22" t="str">
        <f>HYPERLINK("https://otsuka-europe-crm.veevavault.com/ui/#object/sent_email__v/VBL000000031124", "SE-001439321")</f>
        <v>SE-001439321</v>
      </c>
      <c r="F1087" s="25">
        <v>46209.31689814815</v>
      </c>
      <c r="G1087" s="24">
        <v>1</v>
      </c>
      <c r="H1087" s="24">
        <v>1</v>
      </c>
      <c r="I1087" s="24">
        <v>0</v>
      </c>
      <c r="J1087" s="23"/>
      <c r="K1087" s="24">
        <v>0</v>
      </c>
      <c r="L108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87" s="22" t="str">
        <f>HYPERLINK("mailto:jguri@crm.otsuka-europe.com", "jguri@crm.otsuka-europe.com")</f>
        <v>jguri@crm.otsuka-europe.com</v>
      </c>
      <c r="N1087" s="25">
        <v>46209.316701388889</v>
      </c>
      <c r="O1087" s="14" t="str">
        <f>HYPERLINK("https://otsuka-europe-crm.veevavault.com/ui/#object/email_activity__v/V8C000000044190", "EN-002101949")</f>
        <v>EN-002101949</v>
      </c>
    </row>
    <row r="1088" spans="1:15" ht="16" x14ac:dyDescent="0.2">
      <c r="A1088" s="26"/>
      <c r="B1088" s="26"/>
      <c r="C1088" s="26"/>
      <c r="D1088" s="26"/>
      <c r="E1088" s="26"/>
      <c r="F1088" s="26"/>
      <c r="G1088" s="26"/>
      <c r="H1088" s="26"/>
      <c r="I1088" s="26"/>
      <c r="J1088" s="26"/>
      <c r="K1088" s="26"/>
      <c r="L1088" s="26"/>
      <c r="M1088" s="26"/>
      <c r="N1088" s="26"/>
      <c r="O1088" s="14" t="str">
        <f>HYPERLINK("https://otsuka-europe-crm.veevavault.com/ui/#object/email_activity__v/V8C000000044216", "EN-002101975")</f>
        <v>EN-002101975</v>
      </c>
    </row>
    <row r="1089" spans="1:15" ht="16" x14ac:dyDescent="0.2">
      <c r="A1089" s="26"/>
      <c r="B1089" s="26"/>
      <c r="C1089" s="26"/>
      <c r="D1089" s="26"/>
      <c r="E1089" s="26"/>
      <c r="F1089" s="26"/>
      <c r="G1089" s="26"/>
      <c r="H1089" s="26"/>
      <c r="I1089" s="26"/>
      <c r="J1089" s="26"/>
      <c r="K1089" s="26"/>
      <c r="L1089" s="26"/>
      <c r="M1089" s="26"/>
      <c r="N1089" s="26"/>
      <c r="O1089" s="14" t="str">
        <f>HYPERLINK("https://otsuka-europe-crm.veevavault.com/ui/#object/email_activity__v/V8C000000044354", "EN-002102116")</f>
        <v>EN-002102116</v>
      </c>
    </row>
    <row r="1090" spans="1:15" ht="16" x14ac:dyDescent="0.2">
      <c r="A1090" s="19"/>
      <c r="B1090" s="19"/>
      <c r="C1090" s="19"/>
      <c r="D1090" s="19"/>
      <c r="E1090" s="19"/>
      <c r="F1090" s="19"/>
      <c r="G1090" s="19"/>
      <c r="H1090" s="19"/>
      <c r="I1090" s="19"/>
      <c r="J1090" s="19"/>
      <c r="K1090" s="19"/>
      <c r="L1090" s="19"/>
      <c r="M1090" s="19"/>
      <c r="N1090" s="19"/>
      <c r="O1090" s="14" t="str">
        <f>HYPERLINK("https://otsuka-europe-crm.veevavault.com/ui/#object/email_activity__v/V8C00000004C585", "EN-002108166")</f>
        <v>EN-002108166</v>
      </c>
    </row>
    <row r="1091" spans="1:15" ht="64" x14ac:dyDescent="0.2">
      <c r="A1091" s="7" t="str">
        <f>HYPERLINK("https://otsuka-europe-crm.veevavault.com/ui/#object/account__v/V4TZ06G6O71TASG", "MIRIAM LOPEZ MATEOS")</f>
        <v>MIRIAM LOPEZ MATEOS</v>
      </c>
      <c r="B1091" s="7" t="str">
        <f>HYPERLINK("https://otsuka-europe-crm.veevavault.com/ui/#object/vcountry__v/VENZ000004SONF5", "ES")</f>
        <v>ES</v>
      </c>
      <c r="C1091" s="8" t="s">
        <v>39</v>
      </c>
      <c r="D109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91" s="10" t="str">
        <f>HYPERLINK("https://otsuka-europe-crm.veevavault.com/ui/#object/sent_email__v/VBL000000031125", "SE-001439322")</f>
        <v>SE-001439322</v>
      </c>
      <c r="F1091" s="11"/>
      <c r="G1091" s="12">
        <v>0</v>
      </c>
      <c r="H1091" s="12">
        <v>0</v>
      </c>
      <c r="I1091" s="12">
        <v>0</v>
      </c>
      <c r="J1091" s="11"/>
      <c r="K1091" s="12">
        <v>0</v>
      </c>
      <c r="L109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91" s="10" t="str">
        <f>HYPERLINK("mailto:jguri@crm.otsuka-europe.com", "jguri@crm.otsuka-europe.com")</f>
        <v>jguri@crm.otsuka-europe.com</v>
      </c>
      <c r="N1091" s="13">
        <v>46209.316701388889</v>
      </c>
      <c r="O1091" s="14" t="str">
        <f>HYPERLINK("https://otsuka-europe-crm.veevavault.com/ui/#object/email_activity__v/V8C000000044235", "EN-002101994")</f>
        <v>EN-002101994</v>
      </c>
    </row>
    <row r="1092" spans="1:15" ht="64" x14ac:dyDescent="0.2">
      <c r="A1092" s="7" t="str">
        <f>HYPERLINK("https://otsuka-europe-crm.veevavault.com/ui/#object/account__v/V4TZ06G6O71U985", "JOSE MARIA SANCHEZ MONTALBAN")</f>
        <v>JOSE MARIA SANCHEZ MONTALBAN</v>
      </c>
      <c r="B1092" s="7" t="str">
        <f>HYPERLINK("https://otsuka-europe-crm.veevavault.com/ui/#object/vcountry__v/VENZ000004SONF5", "ES")</f>
        <v>ES</v>
      </c>
      <c r="C1092" s="8" t="s">
        <v>39</v>
      </c>
      <c r="D109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92" s="10" t="str">
        <f>HYPERLINK("https://otsuka-europe-crm.veevavault.com/ui/#object/sent_email__v/VBL000000031126", "SE-001439323")</f>
        <v>SE-001439323</v>
      </c>
      <c r="F1092" s="11"/>
      <c r="G1092" s="12">
        <v>0</v>
      </c>
      <c r="H1092" s="12">
        <v>0</v>
      </c>
      <c r="I1092" s="12">
        <v>0</v>
      </c>
      <c r="J1092" s="11"/>
      <c r="K1092" s="12">
        <v>0</v>
      </c>
      <c r="L109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92" s="10" t="str">
        <f>HYPERLINK("mailto:jguri@crm.otsuka-europe.com", "jguri@crm.otsuka-europe.com")</f>
        <v>jguri@crm.otsuka-europe.com</v>
      </c>
      <c r="N1092" s="13">
        <v>46209.316724537035</v>
      </c>
      <c r="O1092" s="14" t="str">
        <f>HYPERLINK("https://otsuka-europe-crm.veevavault.com/ui/#object/email_activity__v/V8C000000044168", "EN-002101927")</f>
        <v>EN-002101927</v>
      </c>
    </row>
    <row r="1093" spans="1:15" ht="64" x14ac:dyDescent="0.2">
      <c r="A1093" s="7" t="str">
        <f>HYPERLINK("https://otsuka-europe-crm.veevavault.com/ui/#object/account__v/V4TZ06G6O71URS5", "PATRICIA MUÑOZ RAMOS")</f>
        <v>PATRICIA MUÑOZ RAMOS</v>
      </c>
      <c r="B1093" s="7" t="str">
        <f>HYPERLINK("https://otsuka-europe-crm.veevavault.com/ui/#object/vcountry__v/VENZ000004SONF5", "ES")</f>
        <v>ES</v>
      </c>
      <c r="C1093" s="8" t="s">
        <v>39</v>
      </c>
      <c r="D109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93" s="10" t="str">
        <f>HYPERLINK("https://otsuka-europe-crm.veevavault.com/ui/#object/sent_email__v/VBL000000031127", "SE-001439324")</f>
        <v>SE-001439324</v>
      </c>
      <c r="F1093" s="11"/>
      <c r="G1093" s="12">
        <v>0</v>
      </c>
      <c r="H1093" s="12">
        <v>0</v>
      </c>
      <c r="I1093" s="12">
        <v>0</v>
      </c>
      <c r="J1093" s="11"/>
      <c r="K1093" s="12">
        <v>0</v>
      </c>
      <c r="L109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93" s="10" t="str">
        <f>HYPERLINK("mailto:jguri@crm.otsuka-europe.com", "jguri@crm.otsuka-europe.com")</f>
        <v>jguri@crm.otsuka-europe.com</v>
      </c>
      <c r="N1093" s="13">
        <v>46209.316724537035</v>
      </c>
      <c r="O1093" s="14" t="str">
        <f>HYPERLINK("https://otsuka-europe-crm.veevavault.com/ui/#object/email_activity__v/V8C000000044170", "EN-002101929")</f>
        <v>EN-002101929</v>
      </c>
    </row>
    <row r="1094" spans="1:15" ht="64" x14ac:dyDescent="0.2">
      <c r="A1094" s="7" t="str">
        <f>HYPERLINK("https://otsuka-europe-crm.veevavault.com/ui/#object/account__v/V4TZ06G6O71T93I", "LAURA ALEGRE ZAHONERO")</f>
        <v>LAURA ALEGRE ZAHONERO</v>
      </c>
      <c r="B1094" s="7" t="str">
        <f>HYPERLINK("https://otsuka-europe-crm.veevavault.com/ui/#object/vcountry__v/VENZ000004SONF5", "ES")</f>
        <v>ES</v>
      </c>
      <c r="C1094" s="8" t="s">
        <v>39</v>
      </c>
      <c r="D109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94" s="10" t="str">
        <f>HYPERLINK("https://otsuka-europe-crm.veevavault.com/ui/#object/sent_email__v/VBL000000031128", "SE-001439325")</f>
        <v>SE-001439325</v>
      </c>
      <c r="F1094" s="11"/>
      <c r="G1094" s="12">
        <v>0</v>
      </c>
      <c r="H1094" s="12">
        <v>0</v>
      </c>
      <c r="I1094" s="12">
        <v>0</v>
      </c>
      <c r="J1094" s="11"/>
      <c r="K1094" s="12">
        <v>0</v>
      </c>
      <c r="L109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94" s="10" t="str">
        <f>HYPERLINK("mailto:jguri@crm.otsuka-europe.com", "jguri@crm.otsuka-europe.com")</f>
        <v>jguri@crm.otsuka-europe.com</v>
      </c>
      <c r="N1094" s="13">
        <v>46209.316701388889</v>
      </c>
      <c r="O1094" s="14" t="str">
        <f>HYPERLINK("https://otsuka-europe-crm.veevavault.com/ui/#object/email_activity__v/V8C000000044233", "EN-002101992")</f>
        <v>EN-002101992</v>
      </c>
    </row>
    <row r="1095" spans="1:15" ht="16" x14ac:dyDescent="0.2">
      <c r="A1095" s="18" t="str">
        <f>HYPERLINK("https://otsuka-europe-crm.veevavault.com/ui/#object/account__v/V4TZ04ASGCDI29W", "MARIA ROCIO PEREZ PALACIO")</f>
        <v>MARIA ROCIO PEREZ PALACIO</v>
      </c>
      <c r="B1095" s="18" t="str">
        <f>HYPERLINK("https://otsuka-europe-crm.veevavault.com/ui/#object/vcountry__v/VENZ000004SONF5", "ES")</f>
        <v>ES</v>
      </c>
      <c r="C1095" s="20" t="s">
        <v>39</v>
      </c>
      <c r="D109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95" s="22" t="str">
        <f>HYPERLINK("https://otsuka-europe-crm.veevavault.com/ui/#object/sent_email__v/VBL000000031129", "SE-001439326")</f>
        <v>SE-001439326</v>
      </c>
      <c r="F1095" s="25">
        <v>46209.612256944441</v>
      </c>
      <c r="G1095" s="24">
        <v>1</v>
      </c>
      <c r="H1095" s="24">
        <v>2</v>
      </c>
      <c r="I1095" s="24">
        <v>0</v>
      </c>
      <c r="J1095" s="23"/>
      <c r="K1095" s="24">
        <v>0</v>
      </c>
      <c r="L109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95" s="22" t="str">
        <f>HYPERLINK("mailto:jguri@crm.otsuka-europe.com", "jguri@crm.otsuka-europe.com")</f>
        <v>jguri@crm.otsuka-europe.com</v>
      </c>
      <c r="N1095" s="25">
        <v>46209.316701388889</v>
      </c>
      <c r="O1095" s="14" t="str">
        <f>HYPERLINK("https://otsuka-europe-crm.veevavault.com/ui/#object/email_activity__v/V8C000000043498", "EN-002102530")</f>
        <v>EN-002102530</v>
      </c>
    </row>
    <row r="1096" spans="1:15" ht="16" x14ac:dyDescent="0.2">
      <c r="A1096" s="26"/>
      <c r="B1096" s="26"/>
      <c r="C1096" s="26"/>
      <c r="D1096" s="26"/>
      <c r="E1096" s="26"/>
      <c r="F1096" s="26"/>
      <c r="G1096" s="26"/>
      <c r="H1096" s="26"/>
      <c r="I1096" s="26"/>
      <c r="J1096" s="26"/>
      <c r="K1096" s="26"/>
      <c r="L1096" s="26"/>
      <c r="M1096" s="26"/>
      <c r="N1096" s="26"/>
      <c r="O1096" s="14" t="str">
        <f>HYPERLINK("https://otsuka-europe-crm.veevavault.com/ui/#object/email_activity__v/V8C000000044229", "EN-002101988")</f>
        <v>EN-002101988</v>
      </c>
    </row>
    <row r="1097" spans="1:15" ht="16" x14ac:dyDescent="0.2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/>
      <c r="L1097" s="19"/>
      <c r="M1097" s="19"/>
      <c r="N1097" s="19"/>
      <c r="O1097" s="14" t="str">
        <f>HYPERLINK("https://otsuka-europe-crm.veevavault.com/ui/#object/email_activity__v/V8C000000044477", "EN-002102531")</f>
        <v>EN-002102531</v>
      </c>
    </row>
    <row r="1098" spans="1:15" ht="16" x14ac:dyDescent="0.2">
      <c r="A1098" s="18" t="str">
        <f>HYPERLINK("https://otsuka-europe-crm.veevavault.com/ui/#object/account__v/V4TZ04ASG6ZSVSS", "MARIA GARCIA GARCIA")</f>
        <v>MARIA GARCIA GARCIA</v>
      </c>
      <c r="B1098" s="18" t="str">
        <f>HYPERLINK("https://otsuka-europe-crm.veevavault.com/ui/#object/vcountry__v/VENZ000004SONF5", "ES")</f>
        <v>ES</v>
      </c>
      <c r="C1098" s="20" t="s">
        <v>39</v>
      </c>
      <c r="D109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098" s="22" t="str">
        <f>HYPERLINK("https://otsuka-europe-crm.veevavault.com/ui/#object/sent_email__v/VBL000000031130", "SE-001439327")</f>
        <v>SE-001439327</v>
      </c>
      <c r="F1098" s="23"/>
      <c r="G1098" s="24">
        <v>0</v>
      </c>
      <c r="H1098" s="24">
        <v>0</v>
      </c>
      <c r="I1098" s="24">
        <v>0</v>
      </c>
      <c r="J1098" s="23"/>
      <c r="K1098" s="24">
        <v>0</v>
      </c>
      <c r="L109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098" s="22" t="str">
        <f>HYPERLINK("mailto:jguri@crm.otsuka-europe.com", "jguri@crm.otsuka-europe.com")</f>
        <v>jguri@crm.otsuka-europe.com</v>
      </c>
      <c r="N1098" s="25">
        <v>46209.316712962966</v>
      </c>
      <c r="O1098" s="14" t="str">
        <f>HYPERLINK("https://otsuka-europe-crm.veevavault.com/ui/#object/email_activity__v/V8C000000043485", "EN-002102504")</f>
        <v>EN-002102504</v>
      </c>
    </row>
    <row r="1099" spans="1:15" ht="16" x14ac:dyDescent="0.2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/>
      <c r="N1099" s="19"/>
      <c r="O1099" s="14" t="str">
        <f>HYPERLINK("https://otsuka-europe-crm.veevavault.com/ui/#object/email_activity__v/V8C000000044208", "EN-002101967")</f>
        <v>EN-002101967</v>
      </c>
    </row>
    <row r="1100" spans="1:15" ht="16" x14ac:dyDescent="0.2">
      <c r="A1100" s="18" t="str">
        <f>HYPERLINK("https://otsuka-europe-crm.veevavault.com/ui/#object/account__v/V4TZ025E87PLR49", "MERCEDES TERESA ALFARO TEJEDA")</f>
        <v>MERCEDES TERESA ALFARO TEJEDA</v>
      </c>
      <c r="B1100" s="18" t="str">
        <f>HYPERLINK("https://otsuka-europe-crm.veevavault.com/ui/#object/vcountry__v/VENZ000004SONF5", "ES")</f>
        <v>ES</v>
      </c>
      <c r="C1100" s="20" t="s">
        <v>39</v>
      </c>
      <c r="D110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00" s="22" t="str">
        <f>HYPERLINK("https://otsuka-europe-crm.veevavault.com/ui/#object/sent_email__v/VBL000000031131", "SE-001439328")</f>
        <v>SE-001439328</v>
      </c>
      <c r="F1100" s="25">
        <v>46212.28570601852</v>
      </c>
      <c r="G1100" s="24">
        <v>1</v>
      </c>
      <c r="H1100" s="24">
        <v>1</v>
      </c>
      <c r="I1100" s="24">
        <v>1</v>
      </c>
      <c r="J1100" s="25">
        <v>46212.286168981482</v>
      </c>
      <c r="K1100" s="24">
        <v>1</v>
      </c>
      <c r="L110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00" s="22" t="str">
        <f>HYPERLINK("mailto:jguri@crm.otsuka-europe.com", "jguri@crm.otsuka-europe.com")</f>
        <v>jguri@crm.otsuka-europe.com</v>
      </c>
      <c r="N1100" s="25">
        <v>46209.316724537035</v>
      </c>
      <c r="O1100" s="14" t="str">
        <f>HYPERLINK("https://otsuka-europe-crm.veevavault.com/ui/#object/email_activity__v/V8C000000043511", "EN-002102557")</f>
        <v>EN-002102557</v>
      </c>
    </row>
    <row r="1101" spans="1:15" ht="16" x14ac:dyDescent="0.2">
      <c r="A1101" s="26"/>
      <c r="B1101" s="26"/>
      <c r="C1101" s="26"/>
      <c r="D1101" s="26"/>
      <c r="E1101" s="26"/>
      <c r="F1101" s="26"/>
      <c r="G1101" s="26"/>
      <c r="H1101" s="26"/>
      <c r="I1101" s="26"/>
      <c r="J1101" s="26"/>
      <c r="K1101" s="26"/>
      <c r="L1101" s="26"/>
      <c r="M1101" s="26"/>
      <c r="N1101" s="26"/>
      <c r="O1101" s="14" t="str">
        <f>HYPERLINK("https://otsuka-europe-crm.veevavault.com/ui/#object/email_activity__v/V8C000000043895", "EN-002103314")</f>
        <v>EN-002103314</v>
      </c>
    </row>
    <row r="1102" spans="1:15" ht="16" x14ac:dyDescent="0.2">
      <c r="A1102" s="26"/>
      <c r="B1102" s="26"/>
      <c r="C1102" s="26"/>
      <c r="D1102" s="26"/>
      <c r="E1102" s="26"/>
      <c r="F1102" s="26"/>
      <c r="G1102" s="26"/>
      <c r="H1102" s="26"/>
      <c r="I1102" s="26"/>
      <c r="J1102" s="26"/>
      <c r="K1102" s="26"/>
      <c r="L1102" s="26"/>
      <c r="M1102" s="26"/>
      <c r="N1102" s="26"/>
      <c r="O1102" s="14" t="str">
        <f>HYPERLINK("https://otsuka-europe-crm.veevavault.com/ui/#object/email_activity__v/V8C000000043896", "EN-002103315")</f>
        <v>EN-002103315</v>
      </c>
    </row>
    <row r="1103" spans="1:15" ht="16" x14ac:dyDescent="0.2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/>
      <c r="L1103" s="19"/>
      <c r="M1103" s="19"/>
      <c r="N1103" s="19"/>
      <c r="O1103" s="14" t="str">
        <f>HYPERLINK("https://otsuka-europe-crm.veevavault.com/ui/#object/email_activity__v/V8C000000044183", "EN-002101942")</f>
        <v>EN-002101942</v>
      </c>
    </row>
    <row r="1104" spans="1:15" ht="16" x14ac:dyDescent="0.2">
      <c r="A1104" s="18" t="str">
        <f>HYPERLINK("https://otsuka-europe-crm.veevavault.com/ui/#object/account__v/V4TZ06G6O9VLU4J", "SILVIA SANCHEZ MONTERO")</f>
        <v>SILVIA SANCHEZ MONTERO</v>
      </c>
      <c r="B1104" s="18" t="str">
        <f>HYPERLINK("https://otsuka-europe-crm.veevavault.com/ui/#object/vcountry__v/VENZ000004SONF5", "ES")</f>
        <v>ES</v>
      </c>
      <c r="C1104" s="20" t="s">
        <v>39</v>
      </c>
      <c r="D110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04" s="22" t="str">
        <f>HYPERLINK("https://otsuka-europe-crm.veevavault.com/ui/#object/sent_email__v/VBL000000031132", "SE-001439329")</f>
        <v>SE-001439329</v>
      </c>
      <c r="F1104" s="25">
        <v>46209.317106481481</v>
      </c>
      <c r="G1104" s="24">
        <v>1</v>
      </c>
      <c r="H1104" s="24">
        <v>1</v>
      </c>
      <c r="I1104" s="24">
        <v>0</v>
      </c>
      <c r="J1104" s="23"/>
      <c r="K1104" s="24">
        <v>0</v>
      </c>
      <c r="L110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04" s="22" t="str">
        <f>HYPERLINK("mailto:jguri@crm.otsuka-europe.com", "jguri@crm.otsuka-europe.com")</f>
        <v>jguri@crm.otsuka-europe.com</v>
      </c>
      <c r="N1104" s="25">
        <v>46209.316712962966</v>
      </c>
      <c r="O1104" s="14" t="str">
        <f>HYPERLINK("https://otsuka-europe-crm.veevavault.com/ui/#object/email_activity__v/V8C000000044232", "EN-002101991")</f>
        <v>EN-002101991</v>
      </c>
    </row>
    <row r="1105" spans="1:15" ht="16" x14ac:dyDescent="0.2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/>
      <c r="L1105" s="19"/>
      <c r="M1105" s="19"/>
      <c r="N1105" s="19"/>
      <c r="O1105" s="14" t="str">
        <f>HYPERLINK("https://otsuka-europe-crm.veevavault.com/ui/#object/email_activity__v/V8C000000044247", "EN-002102006")</f>
        <v>EN-002102006</v>
      </c>
    </row>
    <row r="1106" spans="1:15" ht="64" x14ac:dyDescent="0.2">
      <c r="A1106" s="7" t="str">
        <f>HYPERLINK("https://otsuka-europe-crm.veevavault.com/ui/#object/account__v/V4TZ04ASG79QYWV", "KATIA LOPEZ REVUELTA")</f>
        <v>KATIA LOPEZ REVUELTA</v>
      </c>
      <c r="B1106" s="7" t="str">
        <f>HYPERLINK("https://otsuka-europe-crm.veevavault.com/ui/#object/vcountry__v/VENZ000004SONF5", "ES")</f>
        <v>ES</v>
      </c>
      <c r="C1106" s="8" t="s">
        <v>39</v>
      </c>
      <c r="D110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06" s="10" t="str">
        <f>HYPERLINK("https://otsuka-europe-crm.veevavault.com/ui/#object/sent_email__v/VBL000000031133", "SE-001439330")</f>
        <v>SE-001439330</v>
      </c>
      <c r="F1106" s="11"/>
      <c r="G1106" s="12">
        <v>0</v>
      </c>
      <c r="H1106" s="12">
        <v>0</v>
      </c>
      <c r="I1106" s="12">
        <v>0</v>
      </c>
      <c r="J1106" s="11"/>
      <c r="K1106" s="12">
        <v>0</v>
      </c>
      <c r="L110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06" s="10" t="str">
        <f>HYPERLINK("mailto:jguri@crm.otsuka-europe.com", "jguri@crm.otsuka-europe.com")</f>
        <v>jguri@crm.otsuka-europe.com</v>
      </c>
      <c r="N1106" s="13">
        <v>46209.316712962966</v>
      </c>
      <c r="O1106" s="14" t="str">
        <f>HYPERLINK("https://otsuka-europe-crm.veevavault.com/ui/#object/email_activity__v/V8C000000044231", "EN-002101990")</f>
        <v>EN-002101990</v>
      </c>
    </row>
    <row r="1107" spans="1:15" ht="64" x14ac:dyDescent="0.2">
      <c r="A1107" s="7" t="str">
        <f>HYPERLINK("https://otsuka-europe-crm.veevavault.com/ui/#object/account__v/V4TZ06G6O71T98Q", "JESUS BENITO GARCIA")</f>
        <v>JESUS BENITO GARCIA</v>
      </c>
      <c r="B1107" s="7" t="str">
        <f>HYPERLINK("https://otsuka-europe-crm.veevavault.com/ui/#object/vcountry__v/VENZ000004SONF5", "ES")</f>
        <v>ES</v>
      </c>
      <c r="C1107" s="8" t="s">
        <v>39</v>
      </c>
      <c r="D11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07" s="10" t="str">
        <f>HYPERLINK("https://otsuka-europe-crm.veevavault.com/ui/#object/sent_email__v/VBL000000031134", "SE-001439331")</f>
        <v>SE-001439331</v>
      </c>
      <c r="F1107" s="11"/>
      <c r="G1107" s="12">
        <v>0</v>
      </c>
      <c r="H1107" s="12">
        <v>0</v>
      </c>
      <c r="I1107" s="12">
        <v>0</v>
      </c>
      <c r="J1107" s="11"/>
      <c r="K1107" s="12">
        <v>0</v>
      </c>
      <c r="L11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07" s="10" t="str">
        <f>HYPERLINK("mailto:jguri@crm.otsuka-europe.com", "jguri@crm.otsuka-europe.com")</f>
        <v>jguri@crm.otsuka-europe.com</v>
      </c>
      <c r="N1107" s="13">
        <v>46209.316712962966</v>
      </c>
      <c r="O1107" s="14" t="str">
        <f>HYPERLINK("https://otsuka-europe-crm.veevavault.com/ui/#object/email_activity__v/V8C000000044239", "EN-002101998")</f>
        <v>EN-002101998</v>
      </c>
    </row>
    <row r="1108" spans="1:15" ht="16" x14ac:dyDescent="0.2">
      <c r="A1108" s="18" t="str">
        <f>HYPERLINK("https://otsuka-europe-crm.veevavault.com/ui/#object/account__v/V4TZ06G6O71TAQ8", "PEDRO JESUS LABRADOR GOMEZ")</f>
        <v>PEDRO JESUS LABRADOR GOMEZ</v>
      </c>
      <c r="B1108" s="18" t="str">
        <f>HYPERLINK("https://otsuka-europe-crm.veevavault.com/ui/#object/vcountry__v/VENZ000004SONF5", "ES")</f>
        <v>ES</v>
      </c>
      <c r="C1108" s="20" t="s">
        <v>39</v>
      </c>
      <c r="D110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08" s="22" t="str">
        <f>HYPERLINK("https://otsuka-europe-crm.veevavault.com/ui/#object/sent_email__v/VBL000000031135", "SE-001439332")</f>
        <v>SE-001439332</v>
      </c>
      <c r="F1108" s="25">
        <v>46212.7187037037</v>
      </c>
      <c r="G1108" s="24">
        <v>1</v>
      </c>
      <c r="H1108" s="24">
        <v>2</v>
      </c>
      <c r="I1108" s="24">
        <v>0</v>
      </c>
      <c r="J1108" s="23"/>
      <c r="K1108" s="24">
        <v>0</v>
      </c>
      <c r="L110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08" s="22" t="str">
        <f>HYPERLINK("mailto:jguri@crm.otsuka-europe.com", "jguri@crm.otsuka-europe.com")</f>
        <v>jguri@crm.otsuka-europe.com</v>
      </c>
      <c r="N1108" s="25">
        <v>46209.316736111112</v>
      </c>
      <c r="O1108" s="14" t="str">
        <f>HYPERLINK("https://otsuka-europe-crm.veevavault.com/ui/#object/email_activity__v/V8C000000044175", "EN-002101934")</f>
        <v>EN-002101934</v>
      </c>
    </row>
    <row r="1109" spans="1:15" ht="16" x14ac:dyDescent="0.2">
      <c r="A1109" s="26"/>
      <c r="B1109" s="26"/>
      <c r="C1109" s="26"/>
      <c r="D1109" s="26"/>
      <c r="E1109" s="26"/>
      <c r="F1109" s="26"/>
      <c r="G1109" s="26"/>
      <c r="H1109" s="26"/>
      <c r="I1109" s="26"/>
      <c r="J1109" s="26"/>
      <c r="K1109" s="26"/>
      <c r="L1109" s="26"/>
      <c r="M1109" s="26"/>
      <c r="N1109" s="26"/>
      <c r="O1109" s="14" t="str">
        <f>HYPERLINK("https://otsuka-europe-crm.veevavault.com/ui/#object/email_activity__v/V8C000000045398", "EN-002104137")</f>
        <v>EN-002104137</v>
      </c>
    </row>
    <row r="1110" spans="1:15" ht="16" x14ac:dyDescent="0.2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/>
      <c r="L1110" s="19"/>
      <c r="M1110" s="19"/>
      <c r="N1110" s="19"/>
      <c r="O1110" s="14" t="str">
        <f>HYPERLINK("https://otsuka-europe-crm.veevavault.com/ui/#object/email_activity__v/V8C000000045399", "EN-002104138")</f>
        <v>EN-002104138</v>
      </c>
    </row>
    <row r="1111" spans="1:15" ht="16" x14ac:dyDescent="0.2">
      <c r="A1111" s="18" t="str">
        <f>HYPERLINK("https://otsuka-europe-crm.veevavault.com/ui/#object/account__v/V4TZ025E86XJ86O", "RAQUEL MARTIN HIGUERAS")</f>
        <v>RAQUEL MARTIN HIGUERAS</v>
      </c>
      <c r="B1111" s="18" t="str">
        <f>HYPERLINK("https://otsuka-europe-crm.veevavault.com/ui/#object/vcountry__v/VENZ000004SONF5", "ES")</f>
        <v>ES</v>
      </c>
      <c r="C1111" s="20" t="s">
        <v>39</v>
      </c>
      <c r="D111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11" s="22" t="str">
        <f>HYPERLINK("https://otsuka-europe-crm.veevavault.com/ui/#object/sent_email__v/VBL000000031136", "SE-001439333")</f>
        <v>SE-001439333</v>
      </c>
      <c r="F1111" s="25">
        <v>46214.922673611109</v>
      </c>
      <c r="G1111" s="24">
        <v>1</v>
      </c>
      <c r="H1111" s="24">
        <v>6</v>
      </c>
      <c r="I1111" s="24">
        <v>0</v>
      </c>
      <c r="J1111" s="23"/>
      <c r="K1111" s="24">
        <v>0</v>
      </c>
      <c r="L111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11" s="22" t="str">
        <f>HYPERLINK("mailto:jguri@crm.otsuka-europe.com", "jguri@crm.otsuka-europe.com")</f>
        <v>jguri@crm.otsuka-europe.com</v>
      </c>
      <c r="N1111" s="25">
        <v>46209.316712962966</v>
      </c>
      <c r="O1111" s="14" t="str">
        <f>HYPERLINK("https://otsuka-europe-crm.veevavault.com/ui/#object/email_activity__v/V8C000000043468", "EN-002102468")</f>
        <v>EN-002102468</v>
      </c>
    </row>
    <row r="1112" spans="1:15" ht="16" x14ac:dyDescent="0.2">
      <c r="A1112" s="26"/>
      <c r="B1112" s="26"/>
      <c r="C1112" s="26"/>
      <c r="D1112" s="26"/>
      <c r="E1112" s="26"/>
      <c r="F1112" s="26"/>
      <c r="G1112" s="26"/>
      <c r="H1112" s="26"/>
      <c r="I1112" s="26"/>
      <c r="J1112" s="26"/>
      <c r="K1112" s="26"/>
      <c r="L1112" s="26"/>
      <c r="M1112" s="26"/>
      <c r="N1112" s="26"/>
      <c r="O1112" s="14" t="str">
        <f>HYPERLINK("https://otsuka-europe-crm.veevavault.com/ui/#object/email_activity__v/V8C000000043472", "EN-002102474")</f>
        <v>EN-002102474</v>
      </c>
    </row>
    <row r="1113" spans="1:15" ht="16" x14ac:dyDescent="0.2">
      <c r="A1113" s="26"/>
      <c r="B1113" s="26"/>
      <c r="C1113" s="26"/>
      <c r="D1113" s="26"/>
      <c r="E1113" s="26"/>
      <c r="F1113" s="26"/>
      <c r="G1113" s="26"/>
      <c r="H1113" s="26"/>
      <c r="I1113" s="26"/>
      <c r="J1113" s="26"/>
      <c r="K1113" s="26"/>
      <c r="L1113" s="26"/>
      <c r="M1113" s="26"/>
      <c r="N1113" s="26"/>
      <c r="O1113" s="14" t="str">
        <f>HYPERLINK("https://otsuka-europe-crm.veevavault.com/ui/#object/email_activity__v/V8C000000043473", "EN-002102475")</f>
        <v>EN-002102475</v>
      </c>
    </row>
    <row r="1114" spans="1:15" ht="16" x14ac:dyDescent="0.2">
      <c r="A1114" s="26"/>
      <c r="B1114" s="26"/>
      <c r="C1114" s="26"/>
      <c r="D1114" s="26"/>
      <c r="E1114" s="26"/>
      <c r="F1114" s="26"/>
      <c r="G1114" s="26"/>
      <c r="H1114" s="26"/>
      <c r="I1114" s="26"/>
      <c r="J1114" s="26"/>
      <c r="K1114" s="26"/>
      <c r="L1114" s="26"/>
      <c r="M1114" s="26"/>
      <c r="N1114" s="26"/>
      <c r="O1114" s="14" t="str">
        <f>HYPERLINK("https://otsuka-europe-crm.veevavault.com/ui/#object/email_activity__v/V8C000000044192", "EN-002101951")</f>
        <v>EN-002101951</v>
      </c>
    </row>
    <row r="1115" spans="1:15" ht="16" x14ac:dyDescent="0.2">
      <c r="A1115" s="26"/>
      <c r="B1115" s="26"/>
      <c r="C1115" s="26"/>
      <c r="D1115" s="26"/>
      <c r="E1115" s="26"/>
      <c r="F1115" s="26"/>
      <c r="G1115" s="26"/>
      <c r="H1115" s="26"/>
      <c r="I1115" s="26"/>
      <c r="J1115" s="26"/>
      <c r="K1115" s="26"/>
      <c r="L1115" s="26"/>
      <c r="M1115" s="26"/>
      <c r="N1115" s="26"/>
      <c r="O1115" s="14" t="str">
        <f>HYPERLINK("https://otsuka-europe-crm.veevavault.com/ui/#object/email_activity__v/V8C000000044447", "EN-002102476")</f>
        <v>EN-002102476</v>
      </c>
    </row>
    <row r="1116" spans="1:15" ht="16" x14ac:dyDescent="0.2">
      <c r="A1116" s="26"/>
      <c r="B1116" s="26"/>
      <c r="C1116" s="26"/>
      <c r="D1116" s="26"/>
      <c r="E1116" s="26"/>
      <c r="F1116" s="26"/>
      <c r="G1116" s="26"/>
      <c r="H1116" s="26"/>
      <c r="I1116" s="26"/>
      <c r="J1116" s="26"/>
      <c r="K1116" s="26"/>
      <c r="L1116" s="26"/>
      <c r="M1116" s="26"/>
      <c r="N1116" s="26"/>
      <c r="O1116" s="14" t="str">
        <f>HYPERLINK("https://otsuka-europe-crm.veevavault.com/ui/#object/email_activity__v/V8C000000049031", "EN-002104930")</f>
        <v>EN-002104930</v>
      </c>
    </row>
    <row r="1117" spans="1:15" ht="16" x14ac:dyDescent="0.2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/>
      <c r="L1117" s="19"/>
      <c r="M1117" s="19"/>
      <c r="N1117" s="19"/>
      <c r="O1117" s="14" t="str">
        <f>HYPERLINK("https://otsuka-europe-crm.veevavault.com/ui/#object/email_activity__v/V8C00000004A031", "EN-002104929")</f>
        <v>EN-002104929</v>
      </c>
    </row>
    <row r="1118" spans="1:15" ht="64" x14ac:dyDescent="0.2">
      <c r="A1118" s="7" t="str">
        <f>HYPERLINK("https://otsuka-europe-crm.veevavault.com/ui/#object/account__v/V4TZ04ASGCDKCUK", "MARIA ALEJANDRA CORTIÑAS ARANZABAL")</f>
        <v>MARIA ALEJANDRA CORTIÑAS ARANZABAL</v>
      </c>
      <c r="B1118" s="7" t="str">
        <f>HYPERLINK("https://otsuka-europe-crm.veevavault.com/ui/#object/vcountry__v/VENZ000004SONF5", "ES")</f>
        <v>ES</v>
      </c>
      <c r="C1118" s="8" t="s">
        <v>39</v>
      </c>
      <c r="D111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18" s="10" t="str">
        <f>HYPERLINK("https://otsuka-europe-crm.veevavault.com/ui/#object/sent_email__v/VBL000000031137", "SE-001439334")</f>
        <v>SE-001439334</v>
      </c>
      <c r="F1118" s="11"/>
      <c r="G1118" s="12">
        <v>0</v>
      </c>
      <c r="H1118" s="12">
        <v>0</v>
      </c>
      <c r="I1118" s="12">
        <v>0</v>
      </c>
      <c r="J1118" s="11"/>
      <c r="K1118" s="12">
        <v>0</v>
      </c>
      <c r="L111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18" s="10" t="str">
        <f>HYPERLINK("mailto:jguri@crm.otsuka-europe.com", "jguri@crm.otsuka-europe.com")</f>
        <v>jguri@crm.otsuka-europe.com</v>
      </c>
      <c r="N1118" s="13">
        <v>46209.316712962966</v>
      </c>
      <c r="O1118" s="14" t="str">
        <f>HYPERLINK("https://otsuka-europe-crm.veevavault.com/ui/#object/email_activity__v/V8C000000044221", "EN-002101980")</f>
        <v>EN-002101980</v>
      </c>
    </row>
    <row r="1119" spans="1:15" ht="16" x14ac:dyDescent="0.2">
      <c r="A1119" s="18" t="str">
        <f>HYPERLINK("https://otsuka-europe-crm.veevavault.com/ui/#object/account__v/V4TZ06G6O71TA10", "MARIA CARMEN FELIPE FERNANDEZ")</f>
        <v>MARIA CARMEN FELIPE FERNANDEZ</v>
      </c>
      <c r="B1119" s="18" t="str">
        <f>HYPERLINK("https://otsuka-europe-crm.veevavault.com/ui/#object/vcountry__v/VENZ000004SONF5", "ES")</f>
        <v>ES</v>
      </c>
      <c r="C1119" s="20" t="s">
        <v>39</v>
      </c>
      <c r="D111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19" s="22" t="str">
        <f>HYPERLINK("https://otsuka-europe-crm.veevavault.com/ui/#object/sent_email__v/VBL000000031138", "SE-001439335")</f>
        <v>SE-001439335</v>
      </c>
      <c r="F1119" s="25">
        <v>46209.317013888889</v>
      </c>
      <c r="G1119" s="24">
        <v>1</v>
      </c>
      <c r="H1119" s="24">
        <v>1</v>
      </c>
      <c r="I1119" s="24">
        <v>0</v>
      </c>
      <c r="J1119" s="23"/>
      <c r="K1119" s="24">
        <v>0</v>
      </c>
      <c r="L111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19" s="22" t="str">
        <f>HYPERLINK("mailto:jguri@crm.otsuka-europe.com", "jguri@crm.otsuka-europe.com")</f>
        <v>jguri@crm.otsuka-europe.com</v>
      </c>
      <c r="N1119" s="25">
        <v>46209.316712962966</v>
      </c>
      <c r="O1119" s="14" t="str">
        <f>HYPERLINK("https://otsuka-europe-crm.veevavault.com/ui/#object/email_activity__v/V8C000000044210", "EN-002101969")</f>
        <v>EN-002101969</v>
      </c>
    </row>
    <row r="1120" spans="1:15" ht="16" x14ac:dyDescent="0.2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/>
      <c r="L1120" s="19"/>
      <c r="M1120" s="19"/>
      <c r="N1120" s="19"/>
      <c r="O1120" s="14" t="str">
        <f>HYPERLINK("https://otsuka-europe-crm.veevavault.com/ui/#object/email_activity__v/V8C000000044246", "EN-002102005")</f>
        <v>EN-002102005</v>
      </c>
    </row>
    <row r="1121" spans="1:15" ht="64" x14ac:dyDescent="0.2">
      <c r="A1121" s="7" t="str">
        <f>HYPERLINK("https://otsuka-europe-crm.veevavault.com/ui/#object/account__v/V4TZ06G6O71T7UZ", "GUADALUPE RODRIGUEZ PORTELA")</f>
        <v>GUADALUPE RODRIGUEZ PORTELA</v>
      </c>
      <c r="B1121" s="7" t="str">
        <f>HYPERLINK("https://otsuka-europe-crm.veevavault.com/ui/#object/vcountry__v/VENZ000004SONF5", "ES")</f>
        <v>ES</v>
      </c>
      <c r="C1121" s="8" t="s">
        <v>39</v>
      </c>
      <c r="D112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21" s="10" t="str">
        <f>HYPERLINK("https://otsuka-europe-crm.veevavault.com/ui/#object/sent_email__v/VBL000000031139", "SE-001439336")</f>
        <v>SE-001439336</v>
      </c>
      <c r="F1121" s="11"/>
      <c r="G1121" s="12">
        <v>0</v>
      </c>
      <c r="H1121" s="12">
        <v>0</v>
      </c>
      <c r="I1121" s="12">
        <v>0</v>
      </c>
      <c r="J1121" s="11"/>
      <c r="K1121" s="12">
        <v>0</v>
      </c>
      <c r="L112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21" s="10" t="str">
        <f>HYPERLINK("mailto:jguri@crm.otsuka-europe.com", "jguri@crm.otsuka-europe.com")</f>
        <v>jguri@crm.otsuka-europe.com</v>
      </c>
      <c r="N1121" s="13">
        <v>46209.316712962966</v>
      </c>
      <c r="O1121" s="14" t="str">
        <f>HYPERLINK("https://otsuka-europe-crm.veevavault.com/ui/#object/email_activity__v/V8C000000044225", "EN-002101984")</f>
        <v>EN-002101984</v>
      </c>
    </row>
    <row r="1122" spans="1:15" ht="16" x14ac:dyDescent="0.2">
      <c r="A1122" s="18" t="str">
        <f>HYPERLINK("https://otsuka-europe-crm.veevavault.com/ui/#object/account__v/V4TZ06G6O71TB2J", "JUDITH FATIMA MARTINS MUÑOZ")</f>
        <v>JUDITH FATIMA MARTINS MUÑOZ</v>
      </c>
      <c r="B1122" s="18" t="str">
        <f>HYPERLINK("https://otsuka-europe-crm.veevavault.com/ui/#object/vcountry__v/VENZ000004SONF5", "ES")</f>
        <v>ES</v>
      </c>
      <c r="C1122" s="20" t="s">
        <v>39</v>
      </c>
      <c r="D112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22" s="22" t="str">
        <f>HYPERLINK("https://otsuka-europe-crm.veevavault.com/ui/#object/sent_email__v/VBL000000031140", "SE-001439337")</f>
        <v>SE-001439337</v>
      </c>
      <c r="F1122" s="25">
        <v>46209.321875000001</v>
      </c>
      <c r="G1122" s="24">
        <v>1</v>
      </c>
      <c r="H1122" s="24">
        <v>1</v>
      </c>
      <c r="I1122" s="24">
        <v>0</v>
      </c>
      <c r="J1122" s="23"/>
      <c r="K1122" s="24">
        <v>0</v>
      </c>
      <c r="L112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22" s="22" t="str">
        <f>HYPERLINK("mailto:jguri@crm.otsuka-europe.com", "jguri@crm.otsuka-europe.com")</f>
        <v>jguri@crm.otsuka-europe.com</v>
      </c>
      <c r="N1122" s="25">
        <v>46209.316712962966</v>
      </c>
      <c r="O1122" s="14" t="str">
        <f>HYPERLINK("https://otsuka-europe-crm.veevavault.com/ui/#object/email_activity__v/V8C000000043796", "EN-002103116")</f>
        <v>EN-002103116</v>
      </c>
    </row>
    <row r="1123" spans="1:15" ht="16" x14ac:dyDescent="0.2">
      <c r="A1123" s="26"/>
      <c r="B1123" s="26"/>
      <c r="C1123" s="26"/>
      <c r="D1123" s="26"/>
      <c r="E1123" s="26"/>
      <c r="F1123" s="26"/>
      <c r="G1123" s="26"/>
      <c r="H1123" s="26"/>
      <c r="I1123" s="26"/>
      <c r="J1123" s="26"/>
      <c r="K1123" s="26"/>
      <c r="L1123" s="26"/>
      <c r="M1123" s="26"/>
      <c r="N1123" s="26"/>
      <c r="O1123" s="14" t="str">
        <f>HYPERLINK("https://otsuka-europe-crm.veevavault.com/ui/#object/email_activity__v/V8C000000044238", "EN-002101997")</f>
        <v>EN-002101997</v>
      </c>
    </row>
    <row r="1124" spans="1:15" ht="16" x14ac:dyDescent="0.2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/>
      <c r="L1124" s="19"/>
      <c r="M1124" s="19"/>
      <c r="N1124" s="19"/>
      <c r="O1124" s="14" t="str">
        <f>HYPERLINK("https://otsuka-europe-crm.veevavault.com/ui/#object/email_activity__v/V8C000000044344", "EN-002102103")</f>
        <v>EN-002102103</v>
      </c>
    </row>
    <row r="1125" spans="1:15" ht="64" x14ac:dyDescent="0.2">
      <c r="A1125" s="7" t="str">
        <f>HYPERLINK("https://otsuka-europe-crm.veevavault.com/ui/#object/account__v/V4TZ06G6O71TAYO", "JAVIER MANCHA RAMOS")</f>
        <v>JAVIER MANCHA RAMOS</v>
      </c>
      <c r="B1125" s="7" t="str">
        <f>HYPERLINK("https://otsuka-europe-crm.veevavault.com/ui/#object/vcountry__v/VENZ000004SONF5", "ES")</f>
        <v>ES</v>
      </c>
      <c r="C1125" s="8" t="s">
        <v>39</v>
      </c>
      <c r="D112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25" s="10" t="str">
        <f>HYPERLINK("https://otsuka-europe-crm.veevavault.com/ui/#object/sent_email__v/VBL000000031141", "SE-001439338")</f>
        <v>SE-001439338</v>
      </c>
      <c r="F1125" s="11"/>
      <c r="G1125" s="12">
        <v>0</v>
      </c>
      <c r="H1125" s="12">
        <v>0</v>
      </c>
      <c r="I1125" s="12">
        <v>0</v>
      </c>
      <c r="J1125" s="11"/>
      <c r="K1125" s="12">
        <v>0</v>
      </c>
      <c r="L112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25" s="10" t="str">
        <f>HYPERLINK("mailto:jguri@crm.otsuka-europe.com", "jguri@crm.otsuka-europe.com")</f>
        <v>jguri@crm.otsuka-europe.com</v>
      </c>
      <c r="N1125" s="13">
        <v>46209.316724537035</v>
      </c>
      <c r="O1125" s="14" t="str">
        <f>HYPERLINK("https://otsuka-europe-crm.veevavault.com/ui/#object/email_activity__v/V8C000000044172", "EN-002101931")</f>
        <v>EN-002101931</v>
      </c>
    </row>
    <row r="1126" spans="1:15" ht="64" x14ac:dyDescent="0.2">
      <c r="A1126" s="7" t="str">
        <f>HYPERLINK("https://otsuka-europe-crm.veevavault.com/ui/#object/account__v/V4TZ025E87AHJX3", "MARIA CARMEN SANCHEZ GONZALEZ")</f>
        <v>MARIA CARMEN SANCHEZ GONZALEZ</v>
      </c>
      <c r="B1126" s="7" t="str">
        <f>HYPERLINK("https://otsuka-europe-crm.veevavault.com/ui/#object/vcountry__v/VENZ000004SONF5", "ES")</f>
        <v>ES</v>
      </c>
      <c r="C1126" s="8" t="s">
        <v>39</v>
      </c>
      <c r="D112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26" s="10" t="str">
        <f>HYPERLINK("https://otsuka-europe-crm.veevavault.com/ui/#object/sent_email__v/VBL000000031142", "SE-001439339")</f>
        <v>SE-001439339</v>
      </c>
      <c r="F1126" s="11"/>
      <c r="G1126" s="12">
        <v>0</v>
      </c>
      <c r="H1126" s="12">
        <v>0</v>
      </c>
      <c r="I1126" s="12">
        <v>0</v>
      </c>
      <c r="J1126" s="11"/>
      <c r="K1126" s="12">
        <v>0</v>
      </c>
      <c r="L112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26" s="10" t="str">
        <f>HYPERLINK("mailto:jguri@crm.otsuka-europe.com", "jguri@crm.otsuka-europe.com")</f>
        <v>jguri@crm.otsuka-europe.com</v>
      </c>
      <c r="N1126" s="13">
        <v>46209.316736111112</v>
      </c>
      <c r="O1126" s="14" t="str">
        <f>HYPERLINK("https://otsuka-europe-crm.veevavault.com/ui/#object/email_activity__v/V8C000000044176", "EN-002101935")</f>
        <v>EN-002101935</v>
      </c>
    </row>
    <row r="1127" spans="1:15" ht="16" x14ac:dyDescent="0.2">
      <c r="A1127" s="18" t="str">
        <f>HYPERLINK("https://otsuka-europe-crm.veevavault.com/ui/#object/account__v/V4TZ06G6O71U962", "JAVIER LORENZO DEIRA LORENZO")</f>
        <v>JAVIER LORENZO DEIRA LORENZO</v>
      </c>
      <c r="B1127" s="18" t="str">
        <f>HYPERLINK("https://otsuka-europe-crm.veevavault.com/ui/#object/vcountry__v/VENZ000004SONF5", "ES")</f>
        <v>ES</v>
      </c>
      <c r="C1127" s="20" t="s">
        <v>39</v>
      </c>
      <c r="D112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27" s="22" t="str">
        <f>HYPERLINK("https://otsuka-europe-crm.veevavault.com/ui/#object/sent_email__v/VBL000000031143", "SE-001439340")</f>
        <v>SE-001439340</v>
      </c>
      <c r="F1127" s="25">
        <v>46209.362060185187</v>
      </c>
      <c r="G1127" s="24">
        <v>1</v>
      </c>
      <c r="H1127" s="24">
        <v>1</v>
      </c>
      <c r="I1127" s="24">
        <v>0</v>
      </c>
      <c r="J1127" s="23"/>
      <c r="K1127" s="24">
        <v>0</v>
      </c>
      <c r="L112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27" s="22" t="str">
        <f>HYPERLINK("mailto:jguri@crm.otsuka-europe.com", "jguri@crm.otsuka-europe.com")</f>
        <v>jguri@crm.otsuka-europe.com</v>
      </c>
      <c r="N1127" s="25">
        <v>46209.316701388889</v>
      </c>
      <c r="O1127" s="14" t="str">
        <f>HYPERLINK("https://otsuka-europe-crm.veevavault.com/ui/#object/email_activity__v/V8C000000043407", "EN-002102347")</f>
        <v>EN-002102347</v>
      </c>
    </row>
    <row r="1128" spans="1:15" ht="16" x14ac:dyDescent="0.2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/>
      <c r="L1128" s="19"/>
      <c r="M1128" s="19"/>
      <c r="N1128" s="19"/>
      <c r="O1128" s="14" t="str">
        <f>HYPERLINK("https://otsuka-europe-crm.veevavault.com/ui/#object/email_activity__v/V8C000000044194", "EN-002101953")</f>
        <v>EN-002101953</v>
      </c>
    </row>
    <row r="1129" spans="1:15" ht="64" x14ac:dyDescent="0.2">
      <c r="A1129" s="7" t="str">
        <f>HYPERLINK("https://otsuka-europe-crm.veevavault.com/ui/#object/account__v/V4TZ025E83KBX0L", "MARIA MALDONADO MARTIN")</f>
        <v>MARIA MALDONADO MARTIN</v>
      </c>
      <c r="B1129" s="7" t="str">
        <f>HYPERLINK("https://otsuka-europe-crm.veevavault.com/ui/#object/vcountry__v/VENZ000004SONF5", "ES")</f>
        <v>ES</v>
      </c>
      <c r="C1129" s="8" t="s">
        <v>39</v>
      </c>
      <c r="D112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29" s="10" t="str">
        <f>HYPERLINK("https://otsuka-europe-crm.veevavault.com/ui/#object/sent_email__v/VBL000000031144", "SE-001439341")</f>
        <v>SE-001439341</v>
      </c>
      <c r="F1129" s="11"/>
      <c r="G1129" s="12">
        <v>0</v>
      </c>
      <c r="H1129" s="12">
        <v>0</v>
      </c>
      <c r="I1129" s="12">
        <v>0</v>
      </c>
      <c r="J1129" s="11"/>
      <c r="K1129" s="12">
        <v>0</v>
      </c>
      <c r="L112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29" s="10" t="str">
        <f>HYPERLINK("mailto:jguri@crm.otsuka-europe.com", "jguri@crm.otsuka-europe.com")</f>
        <v>jguri@crm.otsuka-europe.com</v>
      </c>
      <c r="N1129" s="13">
        <v>46209.316701388889</v>
      </c>
      <c r="O1129" s="14" t="str">
        <f>HYPERLINK("https://otsuka-europe-crm.veevavault.com/ui/#object/email_activity__v/V8C000000044202", "EN-002101961")</f>
        <v>EN-002101961</v>
      </c>
    </row>
    <row r="1130" spans="1:15" ht="64" x14ac:dyDescent="0.2">
      <c r="A1130" s="7" t="str">
        <f>HYPERLINK("https://otsuka-europe-crm.veevavault.com/ui/#object/account__v/V4TZ04ASG8JTC9M", "MARIA TERESA CANO NOHEDA")</f>
        <v>MARIA TERESA CANO NOHEDA</v>
      </c>
      <c r="B1130" s="7" t="str">
        <f>HYPERLINK("https://otsuka-europe-crm.veevavault.com/ui/#object/vcountry__v/VENZ000004SONF5", "ES")</f>
        <v>ES</v>
      </c>
      <c r="C1130" s="8" t="s">
        <v>39</v>
      </c>
      <c r="D113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0" s="10" t="str">
        <f>HYPERLINK("https://otsuka-europe-crm.veevavault.com/ui/#object/sent_email__v/VBL000000031145", "SE-001439342")</f>
        <v>SE-001439342</v>
      </c>
      <c r="F1130" s="11"/>
      <c r="G1130" s="12">
        <v>0</v>
      </c>
      <c r="H1130" s="12">
        <v>0</v>
      </c>
      <c r="I1130" s="12">
        <v>0</v>
      </c>
      <c r="J1130" s="11"/>
      <c r="K1130" s="12">
        <v>0</v>
      </c>
      <c r="L113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0" s="10" t="str">
        <f>HYPERLINK("mailto:jguri@crm.otsuka-europe.com", "jguri@crm.otsuka-europe.com")</f>
        <v>jguri@crm.otsuka-europe.com</v>
      </c>
      <c r="N1130" s="13">
        <v>46209.316678240742</v>
      </c>
      <c r="O1130" s="14" t="str">
        <f>HYPERLINK("https://otsuka-europe-crm.veevavault.com/ui/#object/email_activity__v/V8C000000044214", "EN-002101973")</f>
        <v>EN-002101973</v>
      </c>
    </row>
    <row r="1131" spans="1:15" ht="16" x14ac:dyDescent="0.2">
      <c r="A1131" s="18" t="str">
        <f>HYPERLINK("https://otsuka-europe-crm.veevavault.com/ui/#object/account__v/V4TZ06G6O71T99J", "MARIA ELDA BESADA ESTEVEZ")</f>
        <v>MARIA ELDA BESADA ESTEVEZ</v>
      </c>
      <c r="B1131" s="18" t="str">
        <f>HYPERLINK("https://otsuka-europe-crm.veevavault.com/ui/#object/vcountry__v/VENZ000004SONF5", "ES")</f>
        <v>ES</v>
      </c>
      <c r="C1131" s="20" t="s">
        <v>39</v>
      </c>
      <c r="D113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1" s="22" t="str">
        <f>HYPERLINK("https://otsuka-europe-crm.veevavault.com/ui/#object/sent_email__v/VBL000000031146", "SE-001439343")</f>
        <v>SE-001439343</v>
      </c>
      <c r="F1131" s="25">
        <v>46210.405127314814</v>
      </c>
      <c r="G1131" s="24">
        <v>1</v>
      </c>
      <c r="H1131" s="24">
        <v>1</v>
      </c>
      <c r="I1131" s="24">
        <v>0</v>
      </c>
      <c r="J1131" s="23"/>
      <c r="K1131" s="24">
        <v>0</v>
      </c>
      <c r="L113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1" s="22" t="str">
        <f>HYPERLINK("mailto:jguri@crm.otsuka-europe.com", "jguri@crm.otsuka-europe.com")</f>
        <v>jguri@crm.otsuka-europe.com</v>
      </c>
      <c r="N1131" s="25">
        <v>46209.316678240742</v>
      </c>
      <c r="O1131" s="14" t="str">
        <f>HYPERLINK("https://otsuka-europe-crm.veevavault.com/ui/#object/email_activity__v/V8C000000044213", "EN-002101972")</f>
        <v>EN-002101972</v>
      </c>
    </row>
    <row r="1132" spans="1:15" ht="16" x14ac:dyDescent="0.2">
      <c r="A1132" s="19"/>
      <c r="B1132" s="19"/>
      <c r="C1132" s="19"/>
      <c r="D1132" s="19"/>
      <c r="E1132" s="19"/>
      <c r="F1132" s="19"/>
      <c r="G1132" s="19"/>
      <c r="H1132" s="19"/>
      <c r="I1132" s="19"/>
      <c r="J1132" s="19"/>
      <c r="K1132" s="19"/>
      <c r="L1132" s="19"/>
      <c r="M1132" s="19"/>
      <c r="N1132" s="19"/>
      <c r="O1132" s="14" t="str">
        <f>HYPERLINK("https://otsuka-europe-crm.veevavault.com/ui/#object/email_activity__v/V8C000000044615", "EN-002102778")</f>
        <v>EN-002102778</v>
      </c>
    </row>
    <row r="1133" spans="1:15" ht="64" x14ac:dyDescent="0.2">
      <c r="A1133" s="7" t="str">
        <f>HYPERLINK("https://otsuka-europe-crm.veevavault.com/ui/#object/account__v/V4TZ04ASGCYP3XF", "JORGE MOLLA CUADRILLERO")</f>
        <v>JORGE MOLLA CUADRILLERO</v>
      </c>
      <c r="B1133" s="7" t="str">
        <f>HYPERLINK("https://otsuka-europe-crm.veevavault.com/ui/#object/vcountry__v/VENZ000004SONF5", "ES")</f>
        <v>ES</v>
      </c>
      <c r="C1133" s="8" t="s">
        <v>39</v>
      </c>
      <c r="D113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3" s="10" t="str">
        <f>HYPERLINK("https://otsuka-europe-crm.veevavault.com/ui/#object/sent_email__v/VBL000000031147", "SE-001439344")</f>
        <v>SE-001439344</v>
      </c>
      <c r="F1133" s="11"/>
      <c r="G1133" s="12">
        <v>0</v>
      </c>
      <c r="H1133" s="12">
        <v>0</v>
      </c>
      <c r="I1133" s="12">
        <v>0</v>
      </c>
      <c r="J1133" s="11"/>
      <c r="K1133" s="12">
        <v>0</v>
      </c>
      <c r="L113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3" s="10" t="str">
        <f>HYPERLINK("mailto:jguri@crm.otsuka-europe.com", "jguri@crm.otsuka-europe.com")</f>
        <v>jguri@crm.otsuka-europe.com</v>
      </c>
      <c r="N1133" s="13">
        <v>46209.316678240742</v>
      </c>
      <c r="O1133" s="14" t="str">
        <f>HYPERLINK("https://otsuka-europe-crm.veevavault.com/ui/#object/email_activity__v/V8C000000044200", "EN-002101959")</f>
        <v>EN-002101959</v>
      </c>
    </row>
    <row r="1134" spans="1:15" ht="64" x14ac:dyDescent="0.2">
      <c r="A1134" s="7" t="str">
        <f>HYPERLINK("https://otsuka-europe-crm.veevavault.com/ui/#object/account__v/V4TZ06G6O71TAIP", "JOSE ANTONIO HERRERO CALVO")</f>
        <v>JOSE ANTONIO HERRERO CALVO</v>
      </c>
      <c r="B1134" s="7" t="str">
        <f>HYPERLINK("https://otsuka-europe-crm.veevavault.com/ui/#object/vcountry__v/VENZ000004SONF5", "ES")</f>
        <v>ES</v>
      </c>
      <c r="C1134" s="8" t="s">
        <v>39</v>
      </c>
      <c r="D113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4" s="10" t="str">
        <f>HYPERLINK("https://otsuka-europe-crm.veevavault.com/ui/#object/sent_email__v/VBL000000031148", "SE-001439345")</f>
        <v>SE-001439345</v>
      </c>
      <c r="F1134" s="11"/>
      <c r="G1134" s="12">
        <v>0</v>
      </c>
      <c r="H1134" s="12">
        <v>0</v>
      </c>
      <c r="I1134" s="12">
        <v>0</v>
      </c>
      <c r="J1134" s="11"/>
      <c r="K1134" s="12">
        <v>0</v>
      </c>
      <c r="L113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4" s="10" t="str">
        <f>HYPERLINK("mailto:jguri@crm.otsuka-europe.com", "jguri@crm.otsuka-europe.com")</f>
        <v>jguri@crm.otsuka-europe.com</v>
      </c>
      <c r="N1134" s="13">
        <v>46209.316678240742</v>
      </c>
      <c r="O1134" s="14" t="str">
        <f>HYPERLINK("https://otsuka-europe-crm.veevavault.com/ui/#object/email_activity__v/V8C000000044191", "EN-002101950")</f>
        <v>EN-002101950</v>
      </c>
    </row>
    <row r="1135" spans="1:15" ht="16" x14ac:dyDescent="0.2">
      <c r="A1135" s="18" t="str">
        <f>HYPERLINK("https://otsuka-europe-crm.veevavault.com/ui/#object/account__v/V4TZ06G6O71T9JT", "HANANE BOUARICH")</f>
        <v>HANANE BOUARICH</v>
      </c>
      <c r="B1135" s="18" t="str">
        <f>HYPERLINK("https://otsuka-europe-crm.veevavault.com/ui/#object/vcountry__v/VENZ000004SONF5", "ES")</f>
        <v>ES</v>
      </c>
      <c r="C1135" s="20" t="s">
        <v>39</v>
      </c>
      <c r="D11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5" s="22" t="str">
        <f>HYPERLINK("https://otsuka-europe-crm.veevavault.com/ui/#object/sent_email__v/VBL000000031149", "SE-001439346")</f>
        <v>SE-001439346</v>
      </c>
      <c r="F1135" s="25">
        <v>46209.368680555555</v>
      </c>
      <c r="G1135" s="24">
        <v>1</v>
      </c>
      <c r="H1135" s="24">
        <v>1</v>
      </c>
      <c r="I1135" s="24">
        <v>0</v>
      </c>
      <c r="J1135" s="23"/>
      <c r="K1135" s="24">
        <v>0</v>
      </c>
      <c r="L11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5" s="22" t="str">
        <f>HYPERLINK("mailto:jguri@crm.otsuka-europe.com", "jguri@crm.otsuka-europe.com")</f>
        <v>jguri@crm.otsuka-europe.com</v>
      </c>
      <c r="N1135" s="25">
        <v>46209.316701388889</v>
      </c>
      <c r="O1135" s="14" t="str">
        <f>HYPERLINK("https://otsuka-europe-crm.veevavault.com/ui/#object/email_activity__v/V8C000000043410", "EN-002102359")</f>
        <v>EN-002102359</v>
      </c>
    </row>
    <row r="1136" spans="1:15" ht="16" x14ac:dyDescent="0.2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/>
      <c r="N1136" s="19"/>
      <c r="O1136" s="14" t="str">
        <f>HYPERLINK("https://otsuka-europe-crm.veevavault.com/ui/#object/email_activity__v/V8C000000044222", "EN-002101981")</f>
        <v>EN-002101981</v>
      </c>
    </row>
    <row r="1137" spans="1:15" ht="16" x14ac:dyDescent="0.2">
      <c r="A1137" s="18" t="str">
        <f>HYPERLINK("https://otsuka-europe-crm.veevavault.com/ui/#object/account__v/V4TZ06G6O71T91X", "JOAQUIN ANTON MARTINEZ")</f>
        <v>JOAQUIN ANTON MARTINEZ</v>
      </c>
      <c r="B1137" s="18" t="str">
        <f>HYPERLINK("https://otsuka-europe-crm.veevavault.com/ui/#object/vcountry__v/VENZ000004SONF5", "ES")</f>
        <v>ES</v>
      </c>
      <c r="C1137" s="20" t="s">
        <v>39</v>
      </c>
      <c r="D113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7" s="22" t="str">
        <f>HYPERLINK("https://otsuka-europe-crm.veevavault.com/ui/#object/sent_email__v/VBL000000031150", "SE-001439347")</f>
        <v>SE-001439347</v>
      </c>
      <c r="F1137" s="23"/>
      <c r="G1137" s="24">
        <v>0</v>
      </c>
      <c r="H1137" s="24">
        <v>0</v>
      </c>
      <c r="I1137" s="24">
        <v>0</v>
      </c>
      <c r="J1137" s="23"/>
      <c r="K1137" s="24">
        <v>0</v>
      </c>
      <c r="L113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7" s="22" t="str">
        <f>HYPERLINK("mailto:jguri@crm.otsuka-europe.com", "jguri@crm.otsuka-europe.com")</f>
        <v>jguri@crm.otsuka-europe.com</v>
      </c>
      <c r="N1137" s="25">
        <v>46209.316724537035</v>
      </c>
      <c r="O1137" s="14" t="str">
        <f>HYPERLINK("https://otsuka-europe-crm.veevavault.com/ui/#object/email_activity__v/V8C000000043732", "EN-002103003")</f>
        <v>EN-002103003</v>
      </c>
    </row>
    <row r="1138" spans="1:15" ht="16" x14ac:dyDescent="0.2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/>
      <c r="N1138" s="19"/>
      <c r="O1138" s="14" t="str">
        <f>HYPERLINK("https://otsuka-europe-crm.veevavault.com/ui/#object/email_activity__v/V8C000000044184", "EN-002101943")</f>
        <v>EN-002101943</v>
      </c>
    </row>
    <row r="1139" spans="1:15" ht="64" x14ac:dyDescent="0.2">
      <c r="A1139" s="7" t="str">
        <f>HYPERLINK("https://otsuka-europe-crm.veevavault.com/ui/#object/account__v/V4TZ06G6O71TB3N", "JESUS PEDRO MARIN ALVAREZ")</f>
        <v>JESUS PEDRO MARIN ALVAREZ</v>
      </c>
      <c r="B1139" s="7" t="str">
        <f>HYPERLINK("https://otsuka-europe-crm.veevavault.com/ui/#object/vcountry__v/VENZ000004SONF5", "ES")</f>
        <v>ES</v>
      </c>
      <c r="C1139" s="8" t="s">
        <v>39</v>
      </c>
      <c r="D113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39" s="10" t="str">
        <f>HYPERLINK("https://otsuka-europe-crm.veevavault.com/ui/#object/sent_email__v/VBL000000031151", "SE-001439348")</f>
        <v>SE-001439348</v>
      </c>
      <c r="F1139" s="11"/>
      <c r="G1139" s="12">
        <v>0</v>
      </c>
      <c r="H1139" s="12">
        <v>0</v>
      </c>
      <c r="I1139" s="12">
        <v>0</v>
      </c>
      <c r="J1139" s="11"/>
      <c r="K1139" s="12">
        <v>0</v>
      </c>
      <c r="L113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39" s="10" t="str">
        <f>HYPERLINK("mailto:jguri@crm.otsuka-europe.com", "jguri@crm.otsuka-europe.com")</f>
        <v>jguri@crm.otsuka-europe.com</v>
      </c>
      <c r="N1139" s="13">
        <v>46209.316701388889</v>
      </c>
      <c r="O1139" s="14" t="str">
        <f>HYPERLINK("https://otsuka-europe-crm.veevavault.com/ui/#object/email_activity__v/V8C000000044196", "EN-002101955")</f>
        <v>EN-002101955</v>
      </c>
    </row>
    <row r="1140" spans="1:15" ht="16" x14ac:dyDescent="0.2">
      <c r="A1140" s="18" t="str">
        <f>HYPERLINK("https://otsuka-europe-crm.veevavault.com/ui/#object/account__v/V4TZ04ASG6TKB3P", "TATIANA CAROLINA NIÑO MOJICA")</f>
        <v>TATIANA CAROLINA NIÑO MOJICA</v>
      </c>
      <c r="B1140" s="18" t="str">
        <f>HYPERLINK("https://otsuka-europe-crm.veevavault.com/ui/#object/vcountry__v/VENZ000004SONF5", "ES")</f>
        <v>ES</v>
      </c>
      <c r="C1140" s="20" t="s">
        <v>39</v>
      </c>
      <c r="D114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40" s="22" t="str">
        <f>HYPERLINK("https://otsuka-europe-crm.veevavault.com/ui/#object/sent_email__v/VBL000000031152", "SE-001439349")</f>
        <v>SE-001439349</v>
      </c>
      <c r="F1140" s="25">
        <v>46209.852071759262</v>
      </c>
      <c r="G1140" s="24">
        <v>1</v>
      </c>
      <c r="H1140" s="24">
        <v>1</v>
      </c>
      <c r="I1140" s="24">
        <v>0</v>
      </c>
      <c r="J1140" s="23"/>
      <c r="K1140" s="24">
        <v>0</v>
      </c>
      <c r="L114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40" s="22" t="str">
        <f>HYPERLINK("mailto:jguri@crm.otsuka-europe.com", "jguri@crm.otsuka-europe.com")</f>
        <v>jguri@crm.otsuka-europe.com</v>
      </c>
      <c r="N1140" s="25">
        <v>46209.316701388889</v>
      </c>
      <c r="O1140" s="14" t="str">
        <f>HYPERLINK("https://otsuka-europe-crm.veevavault.com/ui/#object/email_activity__v/V8C000000044193", "EN-002101952")</f>
        <v>EN-002101952</v>
      </c>
    </row>
    <row r="1141" spans="1:15" ht="16" x14ac:dyDescent="0.2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/>
      <c r="N1141" s="19"/>
      <c r="O1141" s="14" t="str">
        <f>HYPERLINK("https://otsuka-europe-crm.veevavault.com/ui/#object/email_activity__v/V8C000000044518", "EN-002102610")</f>
        <v>EN-002102610</v>
      </c>
    </row>
    <row r="1142" spans="1:15" ht="16" x14ac:dyDescent="0.2">
      <c r="A1142" s="18" t="str">
        <f>HYPERLINK("https://otsuka-europe-crm.veevavault.com/ui/#object/account__v/V4TZ025E82FQTVA", "JAVIER AZORES MORENO")</f>
        <v>JAVIER AZORES MORENO</v>
      </c>
      <c r="B1142" s="18" t="str">
        <f>HYPERLINK("https://otsuka-europe-crm.veevavault.com/ui/#object/vcountry__v/VENZ000004SONF5", "ES")</f>
        <v>ES</v>
      </c>
      <c r="C1142" s="20" t="s">
        <v>39</v>
      </c>
      <c r="D114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42" s="22" t="str">
        <f>HYPERLINK("https://otsuka-europe-crm.veevavault.com/ui/#object/sent_email__v/VBL000000031153", "SE-001439350")</f>
        <v>SE-001439350</v>
      </c>
      <c r="F1142" s="25">
        <v>46209.347569444442</v>
      </c>
      <c r="G1142" s="24">
        <v>1</v>
      </c>
      <c r="H1142" s="24">
        <v>2</v>
      </c>
      <c r="I1142" s="24">
        <v>0</v>
      </c>
      <c r="J1142" s="23"/>
      <c r="K1142" s="24">
        <v>0</v>
      </c>
      <c r="L114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42" s="22" t="str">
        <f>HYPERLINK("mailto:jguri@crm.otsuka-europe.com", "jguri@crm.otsuka-europe.com")</f>
        <v>jguri@crm.otsuka-europe.com</v>
      </c>
      <c r="N1142" s="25">
        <v>46209.316724537035</v>
      </c>
      <c r="O1142" s="14" t="str">
        <f>HYPERLINK("https://otsuka-europe-crm.veevavault.com/ui/#object/email_activity__v/V8C000000043279", "EN-002102191")</f>
        <v>EN-002102191</v>
      </c>
    </row>
    <row r="1143" spans="1:15" ht="16" x14ac:dyDescent="0.2">
      <c r="A1143" s="26"/>
      <c r="B1143" s="26"/>
      <c r="C1143" s="26"/>
      <c r="D1143" s="26"/>
      <c r="E1143" s="26"/>
      <c r="F1143" s="26"/>
      <c r="G1143" s="26"/>
      <c r="H1143" s="26"/>
      <c r="I1143" s="26"/>
      <c r="J1143" s="26"/>
      <c r="K1143" s="26"/>
      <c r="L1143" s="26"/>
      <c r="M1143" s="26"/>
      <c r="N1143" s="26"/>
      <c r="O1143" s="14" t="str">
        <f>HYPERLINK("https://otsuka-europe-crm.veevavault.com/ui/#object/email_activity__v/V8C000000044169", "EN-002101928")</f>
        <v>EN-002101928</v>
      </c>
    </row>
    <row r="1144" spans="1:15" ht="16" x14ac:dyDescent="0.2">
      <c r="A1144" s="19"/>
      <c r="B1144" s="19"/>
      <c r="C1144" s="19"/>
      <c r="D1144" s="19"/>
      <c r="E1144" s="19"/>
      <c r="F1144" s="19"/>
      <c r="G1144" s="19"/>
      <c r="H1144" s="19"/>
      <c r="I1144" s="19"/>
      <c r="J1144" s="19"/>
      <c r="K1144" s="19"/>
      <c r="L1144" s="19"/>
      <c r="M1144" s="19"/>
      <c r="N1144" s="19"/>
      <c r="O1144" s="14" t="str">
        <f>HYPERLINK("https://otsuka-europe-crm.veevavault.com/ui/#object/email_activity__v/V8C000000044228", "EN-002101987")</f>
        <v>EN-002101987</v>
      </c>
    </row>
    <row r="1145" spans="1:15" ht="32" x14ac:dyDescent="0.2">
      <c r="A1145" s="7" t="str">
        <f>HYPERLINK("https://otsuka-europe-crm.veevavault.com/ui/#object/account__v/V4T00000002A054", "CLAUDIA LANGELLA")</f>
        <v>CLAUDIA LANGELLA</v>
      </c>
      <c r="B1145" s="7" t="str">
        <f>HYPERLINK("https://otsuka-europe-crm.veevavault.com/ui/#object/vcountry__v/VENZ000004SONFQ", "IT")</f>
        <v>IT</v>
      </c>
      <c r="C1145" s="8" t="s">
        <v>42</v>
      </c>
      <c r="D1145" s="9" t="str">
        <f>HYPERLINK("https://otsuka-europe-crm.veevavault.com/ui/#object/approved_document__v/V5OZ06G6O6RG2EV", "IT Veeva Privacy Notice Email")</f>
        <v>IT Veeva Privacy Notice Email</v>
      </c>
      <c r="E1145" s="10" t="str">
        <f>HYPERLINK("https://otsuka-europe-crm.veevavault.com/ui/#object/sent_email__v/VBL000000031154", "SE-001439351")</f>
        <v>SE-001439351</v>
      </c>
      <c r="F1145" s="11"/>
      <c r="G1145" s="12">
        <v>0</v>
      </c>
      <c r="H1145" s="12">
        <v>0</v>
      </c>
      <c r="I1145" s="12">
        <v>0</v>
      </c>
      <c r="J1145" s="11"/>
      <c r="K1145" s="12">
        <v>0</v>
      </c>
      <c r="L1145" s="10" t="str">
        <f>HYPERLINK("https://otsuka-europe-crm.veevavault.com/ui/#object/approved_document__v/V5OZ06G6O6RG2EV", "IT Veeva Privacy Notice Email")</f>
        <v>IT Veeva Privacy Notice Email</v>
      </c>
      <c r="M1145" s="10" t="str">
        <f>HYPERLINK("mailto:maria.gargiulo@crm.otsuka-europe.com", "maria.gargiulo@crm.otsuka-europe.com")</f>
        <v>maria.gargiulo@crm.otsuka-europe.com</v>
      </c>
      <c r="N1145" s="13">
        <v>46209.316747685189</v>
      </c>
      <c r="O1145" s="14" t="str">
        <f>HYPERLINK("https://otsuka-europe-crm.veevavault.com/ui/#object/email_activity__v/V8C000000044211", "EN-002101970")</f>
        <v>EN-002101970</v>
      </c>
    </row>
    <row r="1146" spans="1:15" ht="16" x14ac:dyDescent="0.2">
      <c r="A1146" s="18" t="str">
        <f>HYPERLINK("https://otsuka-europe-crm.veevavault.com/ui/#object/account__v/V4TZ06G6O71TBYJ", "ANTOLINA RODRIGUEZ MORENO")</f>
        <v>ANTOLINA RODRIGUEZ MORENO</v>
      </c>
      <c r="B1146" s="18" t="str">
        <f>HYPERLINK("https://otsuka-europe-crm.veevavault.com/ui/#object/vcountry__v/VENZ000004SONF5", "ES")</f>
        <v>ES</v>
      </c>
      <c r="C1146" s="20" t="s">
        <v>39</v>
      </c>
      <c r="D114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46" s="22" t="str">
        <f>HYPERLINK("https://otsuka-europe-crm.veevavault.com/ui/#object/sent_email__v/VBL000000031155", "SE-001439352")</f>
        <v>SE-001439352</v>
      </c>
      <c r="F1146" s="23"/>
      <c r="G1146" s="24">
        <v>0</v>
      </c>
      <c r="H1146" s="24">
        <v>0</v>
      </c>
      <c r="I1146" s="24">
        <v>0</v>
      </c>
      <c r="J1146" s="23"/>
      <c r="K1146" s="24">
        <v>0</v>
      </c>
      <c r="L114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46" s="22" t="str">
        <f>HYPERLINK("mailto:jguri@crm.otsuka-europe.com", "jguri@crm.otsuka-europe.com")</f>
        <v>jguri@crm.otsuka-europe.com</v>
      </c>
      <c r="N1146" s="25">
        <v>46209.317372685182</v>
      </c>
      <c r="O1146" s="14" t="str">
        <f>HYPERLINK("https://otsuka-europe-crm.veevavault.com/ui/#object/email_activity__v/V8C000000043760", "EN-002103054")</f>
        <v>EN-002103054</v>
      </c>
    </row>
    <row r="1147" spans="1:15" ht="16" x14ac:dyDescent="0.2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/>
      <c r="L1147" s="19"/>
      <c r="M1147" s="19"/>
      <c r="N1147" s="19"/>
      <c r="O1147" s="14" t="str">
        <f>HYPERLINK("https://otsuka-europe-crm.veevavault.com/ui/#object/email_activity__v/V8C000000044280", "EN-002102039")</f>
        <v>EN-002102039</v>
      </c>
    </row>
    <row r="1148" spans="1:15" ht="16" x14ac:dyDescent="0.2">
      <c r="A1148" s="18" t="str">
        <f>HYPERLINK("https://otsuka-europe-crm.veevavault.com/ui/#object/account__v/V4TZ04ASGDZZMPA", "ANA CRISTINA MENDOZA CEDEÑO")</f>
        <v>ANA CRISTINA MENDOZA CEDEÑO</v>
      </c>
      <c r="B1148" s="18" t="str">
        <f>HYPERLINK("https://otsuka-europe-crm.veevavault.com/ui/#object/vcountry__v/VENZ000004SONF5", "ES")</f>
        <v>ES</v>
      </c>
      <c r="C1148" s="20" t="s">
        <v>39</v>
      </c>
      <c r="D114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48" s="22" t="str">
        <f>HYPERLINK("https://otsuka-europe-crm.veevavault.com/ui/#object/sent_email__v/VBL000000031156", "SE-001439353")</f>
        <v>SE-001439353</v>
      </c>
      <c r="F1148" s="25">
        <v>46209.767233796294</v>
      </c>
      <c r="G1148" s="24">
        <v>1</v>
      </c>
      <c r="H1148" s="24">
        <v>1</v>
      </c>
      <c r="I1148" s="24">
        <v>0</v>
      </c>
      <c r="J1148" s="23"/>
      <c r="K1148" s="24">
        <v>0</v>
      </c>
      <c r="L114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48" s="22" t="str">
        <f>HYPERLINK("mailto:jguri@crm.otsuka-europe.com", "jguri@crm.otsuka-europe.com")</f>
        <v>jguri@crm.otsuka-europe.com</v>
      </c>
      <c r="N1148" s="25">
        <v>46209.317372685182</v>
      </c>
      <c r="O1148" s="14" t="str">
        <f>HYPERLINK("https://otsuka-europe-crm.veevavault.com/ui/#object/email_activity__v/V8C000000043525", "EN-002102586")</f>
        <v>EN-002102586</v>
      </c>
    </row>
    <row r="1149" spans="1:15" ht="16" x14ac:dyDescent="0.2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/>
      <c r="L1149" s="19"/>
      <c r="M1149" s="19"/>
      <c r="N1149" s="19"/>
      <c r="O1149" s="14" t="str">
        <f>HYPERLINK("https://otsuka-europe-crm.veevavault.com/ui/#object/email_activity__v/V8C000000044269", "EN-002102028")</f>
        <v>EN-002102028</v>
      </c>
    </row>
    <row r="1150" spans="1:15" ht="16" x14ac:dyDescent="0.2">
      <c r="A1150" s="18" t="str">
        <f>HYPERLINK("https://otsuka-europe-crm.veevavault.com/ui/#object/account__v/V4T00000000L023", "ANA ALONSO FUENTE")</f>
        <v>ANA ALONSO FUENTE</v>
      </c>
      <c r="B1150" s="18" t="str">
        <f>HYPERLINK("https://otsuka-europe-crm.veevavault.com/ui/#object/vcountry__v/VENZ000004SONF5", "ES")</f>
        <v>ES</v>
      </c>
      <c r="C1150" s="20" t="s">
        <v>39</v>
      </c>
      <c r="D11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50" s="22" t="str">
        <f>HYPERLINK("https://otsuka-europe-crm.veevavault.com/ui/#object/sent_email__v/VBL000000031157", "SE-001439354")</f>
        <v>SE-001439354</v>
      </c>
      <c r="F1150" s="25">
        <v>46209.323368055557</v>
      </c>
      <c r="G1150" s="24">
        <v>1</v>
      </c>
      <c r="H1150" s="24">
        <v>1</v>
      </c>
      <c r="I1150" s="24">
        <v>0</v>
      </c>
      <c r="J1150" s="23"/>
      <c r="K1150" s="24">
        <v>0</v>
      </c>
      <c r="L11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50" s="22" t="str">
        <f>HYPERLINK("mailto:jguri@crm.otsuka-europe.com", "jguri@crm.otsuka-europe.com")</f>
        <v>jguri@crm.otsuka-europe.com</v>
      </c>
      <c r="N1150" s="25">
        <v>46209.317372685182</v>
      </c>
      <c r="O1150" s="14" t="str">
        <f>HYPERLINK("https://otsuka-europe-crm.veevavault.com/ui/#object/email_activity__v/V8C000000044263", "EN-002102022")</f>
        <v>EN-002102022</v>
      </c>
    </row>
    <row r="1151" spans="1:15" ht="16" x14ac:dyDescent="0.2">
      <c r="A1151" s="19"/>
      <c r="B1151" s="19"/>
      <c r="C1151" s="19"/>
      <c r="D1151" s="19"/>
      <c r="E1151" s="19"/>
      <c r="F1151" s="19"/>
      <c r="G1151" s="19"/>
      <c r="H1151" s="19"/>
      <c r="I1151" s="19"/>
      <c r="J1151" s="19"/>
      <c r="K1151" s="19"/>
      <c r="L1151" s="19"/>
      <c r="M1151" s="19"/>
      <c r="N1151" s="19"/>
      <c r="O1151" s="14" t="str">
        <f>HYPERLINK("https://otsuka-europe-crm.veevavault.com/ui/#object/email_activity__v/V8C000000044349", "EN-002102108")</f>
        <v>EN-002102108</v>
      </c>
    </row>
    <row r="1152" spans="1:15" ht="16" x14ac:dyDescent="0.2">
      <c r="A1152" s="18" t="str">
        <f>HYPERLINK("https://otsuka-europe-crm.veevavault.com/ui/#object/account__v/V4TZ06G6O71T8YM", "BEATRIZ ESPEJO MARCHANTE")</f>
        <v>BEATRIZ ESPEJO MARCHANTE</v>
      </c>
      <c r="B1152" s="18" t="str">
        <f>HYPERLINK("https://otsuka-europe-crm.veevavault.com/ui/#object/vcountry__v/VENZ000004SONF5", "ES")</f>
        <v>ES</v>
      </c>
      <c r="C1152" s="20" t="s">
        <v>39</v>
      </c>
      <c r="D11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52" s="22" t="str">
        <f>HYPERLINK("https://otsuka-europe-crm.veevavault.com/ui/#object/sent_email__v/VBL000000031158", "SE-001439355")</f>
        <v>SE-001439355</v>
      </c>
      <c r="F1152" s="25">
        <v>46209.330879629626</v>
      </c>
      <c r="G1152" s="24">
        <v>1</v>
      </c>
      <c r="H1152" s="24">
        <v>1</v>
      </c>
      <c r="I1152" s="24">
        <v>0</v>
      </c>
      <c r="J1152" s="23"/>
      <c r="K1152" s="24">
        <v>0</v>
      </c>
      <c r="L11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52" s="22" t="str">
        <f>HYPERLINK("mailto:jguri@crm.otsuka-europe.com", "jguri@crm.otsuka-europe.com")</f>
        <v>jguri@crm.otsuka-europe.com</v>
      </c>
      <c r="N1152" s="25">
        <v>46209.317372685182</v>
      </c>
      <c r="O1152" s="14" t="str">
        <f>HYPERLINK("https://otsuka-europe-crm.veevavault.com/ui/#object/email_activity__v/V8C000000044259", "EN-002102018")</f>
        <v>EN-002102018</v>
      </c>
    </row>
    <row r="1153" spans="1:15" ht="16" x14ac:dyDescent="0.2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/>
      <c r="N1153" s="19"/>
      <c r="O1153" s="14" t="str">
        <f>HYPERLINK("https://otsuka-europe-crm.veevavault.com/ui/#object/email_activity__v/V8C000000044352", "EN-002102112")</f>
        <v>EN-002102112</v>
      </c>
    </row>
    <row r="1154" spans="1:15" ht="16" x14ac:dyDescent="0.2">
      <c r="A1154" s="18" t="str">
        <f>HYPERLINK("https://otsuka-europe-crm.veevavault.com/ui/#object/account__v/V4TZ06G6OBIJK7D", "ANGELO ROBERTO FALCONI SARMIENTO")</f>
        <v>ANGELO ROBERTO FALCONI SARMIENTO</v>
      </c>
      <c r="B1154" s="18" t="str">
        <f>HYPERLINK("https://otsuka-europe-crm.veevavault.com/ui/#object/vcountry__v/VENZ000004SONF5", "ES")</f>
        <v>ES</v>
      </c>
      <c r="C1154" s="20" t="s">
        <v>39</v>
      </c>
      <c r="D115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54" s="22" t="str">
        <f>HYPERLINK("https://otsuka-europe-crm.veevavault.com/ui/#object/sent_email__v/VBL000000031159", "SE-001439356")</f>
        <v>SE-001439356</v>
      </c>
      <c r="F1154" s="25">
        <v>46209.317673611113</v>
      </c>
      <c r="G1154" s="24">
        <v>1</v>
      </c>
      <c r="H1154" s="24">
        <v>1</v>
      </c>
      <c r="I1154" s="24">
        <v>0</v>
      </c>
      <c r="J1154" s="23"/>
      <c r="K1154" s="24">
        <v>0</v>
      </c>
      <c r="L115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54" s="22" t="str">
        <f>HYPERLINK("mailto:jguri@crm.otsuka-europe.com", "jguri@crm.otsuka-europe.com")</f>
        <v>jguri@crm.otsuka-europe.com</v>
      </c>
      <c r="N1154" s="25">
        <v>46209.317372685182</v>
      </c>
      <c r="O1154" s="14" t="str">
        <f>HYPERLINK("https://otsuka-europe-crm.veevavault.com/ui/#object/email_activity__v/V8C000000044265", "EN-002102024")</f>
        <v>EN-002102024</v>
      </c>
    </row>
    <row r="1155" spans="1:15" ht="16" x14ac:dyDescent="0.2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/>
      <c r="L1155" s="19"/>
      <c r="M1155" s="19"/>
      <c r="N1155" s="19"/>
      <c r="O1155" s="14" t="str">
        <f>HYPERLINK("https://otsuka-europe-crm.veevavault.com/ui/#object/email_activity__v/V8C000000044282", "EN-002102041")</f>
        <v>EN-002102041</v>
      </c>
    </row>
    <row r="1156" spans="1:15" ht="16" x14ac:dyDescent="0.2">
      <c r="A1156" s="18" t="str">
        <f>HYPERLINK("https://otsuka-europe-crm.veevavault.com/ui/#object/account__v/V4TZ06G6OBU8UR5", "ANDRE ROCHA RODRIGUES")</f>
        <v>ANDRE ROCHA RODRIGUES</v>
      </c>
      <c r="B1156" s="18" t="str">
        <f>HYPERLINK("https://otsuka-europe-crm.veevavault.com/ui/#object/vcountry__v/VENZ000004SONF5", "ES")</f>
        <v>ES</v>
      </c>
      <c r="C1156" s="20" t="s">
        <v>39</v>
      </c>
      <c r="D115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56" s="22" t="str">
        <f>HYPERLINK("https://otsuka-europe-crm.veevavault.com/ui/#object/sent_email__v/VBL000000031160", "SE-001439357")</f>
        <v>SE-001439357</v>
      </c>
      <c r="F1156" s="25">
        <v>46209.318067129629</v>
      </c>
      <c r="G1156" s="24">
        <v>1</v>
      </c>
      <c r="H1156" s="24">
        <v>1</v>
      </c>
      <c r="I1156" s="24">
        <v>0</v>
      </c>
      <c r="J1156" s="23"/>
      <c r="K1156" s="24">
        <v>0</v>
      </c>
      <c r="L115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56" s="22" t="str">
        <f>HYPERLINK("mailto:jguri@crm.otsuka-europe.com", "jguri@crm.otsuka-europe.com")</f>
        <v>jguri@crm.otsuka-europe.com</v>
      </c>
      <c r="N1156" s="25">
        <v>46209.317372685182</v>
      </c>
      <c r="O1156" s="14" t="str">
        <f>HYPERLINK("https://otsuka-europe-crm.veevavault.com/ui/#object/email_activity__v/V8C000000044258", "EN-002102017")</f>
        <v>EN-002102017</v>
      </c>
    </row>
    <row r="1157" spans="1:15" ht="16" x14ac:dyDescent="0.2">
      <c r="A1157" s="19"/>
      <c r="B1157" s="19"/>
      <c r="C1157" s="19"/>
      <c r="D1157" s="19"/>
      <c r="E1157" s="19"/>
      <c r="F1157" s="19"/>
      <c r="G1157" s="19"/>
      <c r="H1157" s="19"/>
      <c r="I1157" s="19"/>
      <c r="J1157" s="19"/>
      <c r="K1157" s="19"/>
      <c r="L1157" s="19"/>
      <c r="M1157" s="19"/>
      <c r="N1157" s="19"/>
      <c r="O1157" s="14" t="str">
        <f>HYPERLINK("https://otsuka-europe-crm.veevavault.com/ui/#object/email_activity__v/V8C000000044329", "EN-002102088")</f>
        <v>EN-002102088</v>
      </c>
    </row>
    <row r="1158" spans="1:15" ht="64" x14ac:dyDescent="0.2">
      <c r="A1158" s="7" t="str">
        <f>HYPERLINK("https://otsuka-europe-crm.veevavault.com/ui/#object/account__v/V4TZ06G6O71T7OA", "CLARA GARCIA CARRO")</f>
        <v>CLARA GARCIA CARRO</v>
      </c>
      <c r="B1158" s="7" t="str">
        <f>HYPERLINK("https://otsuka-europe-crm.veevavault.com/ui/#object/vcountry__v/VENZ000004SONF5", "ES")</f>
        <v>ES</v>
      </c>
      <c r="C1158" s="8" t="s">
        <v>39</v>
      </c>
      <c r="D115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58" s="10" t="str">
        <f>HYPERLINK("https://otsuka-europe-crm.veevavault.com/ui/#object/sent_email__v/VBL000000031161", "SE-001439358")</f>
        <v>SE-001439358</v>
      </c>
      <c r="F1158" s="11"/>
      <c r="G1158" s="12">
        <v>0</v>
      </c>
      <c r="H1158" s="12">
        <v>0</v>
      </c>
      <c r="I1158" s="12">
        <v>0</v>
      </c>
      <c r="J1158" s="11"/>
      <c r="K1158" s="12">
        <v>0</v>
      </c>
      <c r="L115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58" s="10" t="str">
        <f>HYPERLINK("mailto:jguri@crm.otsuka-europe.com", "jguri@crm.otsuka-europe.com")</f>
        <v>jguri@crm.otsuka-europe.com</v>
      </c>
      <c r="N1158" s="13">
        <v>46209.317372685182</v>
      </c>
      <c r="O1158" s="14" t="str">
        <f>HYPERLINK("https://otsuka-europe-crm.veevavault.com/ui/#object/email_activity__v/V8C000000044270", "EN-002102029")</f>
        <v>EN-002102029</v>
      </c>
    </row>
    <row r="1159" spans="1:15" ht="16" x14ac:dyDescent="0.2">
      <c r="A1159" s="18" t="str">
        <f>HYPERLINK("https://otsuka-europe-crm.veevavault.com/ui/#object/account__v/V4TZ06G6O71TC25", "CONSOLACION ROSADO RUBIO")</f>
        <v>CONSOLACION ROSADO RUBIO</v>
      </c>
      <c r="B1159" s="18" t="str">
        <f>HYPERLINK("https://otsuka-europe-crm.veevavault.com/ui/#object/vcountry__v/VENZ000004SONF5", "ES")</f>
        <v>ES</v>
      </c>
      <c r="C1159" s="20" t="s">
        <v>39</v>
      </c>
      <c r="D115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59" s="22" t="str">
        <f>HYPERLINK("https://otsuka-europe-crm.veevavault.com/ui/#object/sent_email__v/VBL000000031162", "SE-001439359")</f>
        <v>SE-001439359</v>
      </c>
      <c r="F1159" s="23"/>
      <c r="G1159" s="24">
        <v>0</v>
      </c>
      <c r="H1159" s="24">
        <v>0</v>
      </c>
      <c r="I1159" s="24">
        <v>0</v>
      </c>
      <c r="J1159" s="23"/>
      <c r="K1159" s="24">
        <v>0</v>
      </c>
      <c r="L115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59" s="22" t="str">
        <f>HYPERLINK("mailto:jguri@crm.otsuka-europe.com", "jguri@crm.otsuka-europe.com")</f>
        <v>jguri@crm.otsuka-europe.com</v>
      </c>
      <c r="N1159" s="25">
        <v>46209.317372685182</v>
      </c>
      <c r="O1159" s="14" t="str">
        <f>HYPERLINK("https://otsuka-europe-crm.veevavault.com/ui/#object/email_activity__v/V8C000000044262", "EN-002102021")</f>
        <v>EN-002102021</v>
      </c>
    </row>
    <row r="1160" spans="1:15" ht="16" x14ac:dyDescent="0.2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/>
      <c r="L1160" s="19"/>
      <c r="M1160" s="19"/>
      <c r="N1160" s="19"/>
      <c r="O1160" s="14" t="str">
        <f>HYPERLINK("https://otsuka-europe-crm.veevavault.com/ui/#object/email_activity__v/V8C000000044355", "EN-002102117")</f>
        <v>EN-002102117</v>
      </c>
    </row>
    <row r="1161" spans="1:15" ht="64" x14ac:dyDescent="0.2">
      <c r="A1161" s="7" t="str">
        <f>HYPERLINK("https://otsuka-europe-crm.veevavault.com/ui/#object/account__v/V4TZ04ASGG6J80W", "CARLOS FERNANDEZ FERNANDEZ")</f>
        <v>CARLOS FERNANDEZ FERNANDEZ</v>
      </c>
      <c r="B1161" s="7" t="str">
        <f>HYPERLINK("https://otsuka-europe-crm.veevavault.com/ui/#object/vcountry__v/VENZ000004SONF5", "ES")</f>
        <v>ES</v>
      </c>
      <c r="C1161" s="8" t="s">
        <v>39</v>
      </c>
      <c r="D116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61" s="10" t="str">
        <f>HYPERLINK("https://otsuka-europe-crm.veevavault.com/ui/#object/sent_email__v/VBL000000031163", "SE-001439360")</f>
        <v>SE-001439360</v>
      </c>
      <c r="F1161" s="11"/>
      <c r="G1161" s="12">
        <v>0</v>
      </c>
      <c r="H1161" s="12">
        <v>0</v>
      </c>
      <c r="I1161" s="12">
        <v>0</v>
      </c>
      <c r="J1161" s="11"/>
      <c r="K1161" s="12">
        <v>0</v>
      </c>
      <c r="L116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61" s="10" t="str">
        <f>HYPERLINK("mailto:jguri@crm.otsuka-europe.com", "jguri@crm.otsuka-europe.com")</f>
        <v>jguri@crm.otsuka-europe.com</v>
      </c>
      <c r="N1161" s="13">
        <v>46209.317372685182</v>
      </c>
      <c r="O1161" s="14" t="str">
        <f>HYPERLINK("https://otsuka-europe-crm.veevavault.com/ui/#object/email_activity__v/V8C000000044254", "EN-002102013")</f>
        <v>EN-002102013</v>
      </c>
    </row>
    <row r="1162" spans="1:15" ht="64" x14ac:dyDescent="0.2">
      <c r="A1162" s="7" t="str">
        <f>HYPERLINK("https://otsuka-europe-crm.veevavault.com/ui/#object/account__v/V4TZ06G6O71T9MV", "CRISTINA DE ANCOS ARACIL")</f>
        <v>CRISTINA DE ANCOS ARACIL</v>
      </c>
      <c r="B1162" s="7" t="str">
        <f>HYPERLINK("https://otsuka-europe-crm.veevavault.com/ui/#object/vcountry__v/VENZ000004SONF5", "ES")</f>
        <v>ES</v>
      </c>
      <c r="C1162" s="8" t="s">
        <v>39</v>
      </c>
      <c r="D116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62" s="10" t="str">
        <f>HYPERLINK("https://otsuka-europe-crm.veevavault.com/ui/#object/sent_email__v/VBL000000031164", "SE-001439361")</f>
        <v>SE-001439361</v>
      </c>
      <c r="F1162" s="11"/>
      <c r="G1162" s="12">
        <v>0</v>
      </c>
      <c r="H1162" s="12">
        <v>0</v>
      </c>
      <c r="I1162" s="12">
        <v>0</v>
      </c>
      <c r="J1162" s="11"/>
      <c r="K1162" s="12">
        <v>0</v>
      </c>
      <c r="L116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62" s="10" t="str">
        <f>HYPERLINK("mailto:jguri@crm.otsuka-europe.com", "jguri@crm.otsuka-europe.com")</f>
        <v>jguri@crm.otsuka-europe.com</v>
      </c>
      <c r="N1162" s="13">
        <v>46209.317361111112</v>
      </c>
      <c r="O1162" s="14" t="str">
        <f>HYPERLINK("https://otsuka-europe-crm.veevavault.com/ui/#object/email_activity__v/V8C000000044248", "EN-002102007")</f>
        <v>EN-002102007</v>
      </c>
    </row>
    <row r="1163" spans="1:15" ht="16" x14ac:dyDescent="0.2">
      <c r="A1163" s="18" t="str">
        <f>HYPERLINK("https://otsuka-europe-crm.veevavault.com/ui/#object/account__v/V4TZ04ASG9ZEOD3", "ANTONIO CARLOS FERNANDEZ PERPEN")</f>
        <v>ANTONIO CARLOS FERNANDEZ PERPEN</v>
      </c>
      <c r="B1163" s="18" t="str">
        <f>HYPERLINK("https://otsuka-europe-crm.veevavault.com/ui/#object/vcountry__v/VENZ000004SONF5", "ES")</f>
        <v>ES</v>
      </c>
      <c r="C1163" s="20" t="s">
        <v>39</v>
      </c>
      <c r="D116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63" s="22" t="str">
        <f>HYPERLINK("https://otsuka-europe-crm.veevavault.com/ui/#object/sent_email__v/VBL000000031165", "SE-001439362")</f>
        <v>SE-001439362</v>
      </c>
      <c r="F1163" s="25">
        <v>46209.378796296296</v>
      </c>
      <c r="G1163" s="24">
        <v>1</v>
      </c>
      <c r="H1163" s="24">
        <v>1</v>
      </c>
      <c r="I1163" s="24">
        <v>0</v>
      </c>
      <c r="J1163" s="23"/>
      <c r="K1163" s="24">
        <v>0</v>
      </c>
      <c r="L116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63" s="22" t="str">
        <f>HYPERLINK("mailto:jguri@crm.otsuka-europe.com", "jguri@crm.otsuka-europe.com")</f>
        <v>jguri@crm.otsuka-europe.com</v>
      </c>
      <c r="N1163" s="25">
        <v>46209.317372685182</v>
      </c>
      <c r="O1163" s="14" t="str">
        <f>HYPERLINK("https://otsuka-europe-crm.veevavault.com/ui/#object/email_activity__v/V8C000000043419", "EN-002102374")</f>
        <v>EN-002102374</v>
      </c>
    </row>
    <row r="1164" spans="1:15" ht="16" x14ac:dyDescent="0.2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/>
      <c r="L1164" s="19"/>
      <c r="M1164" s="19"/>
      <c r="N1164" s="19"/>
      <c r="O1164" s="14" t="str">
        <f>HYPERLINK("https://otsuka-europe-crm.veevavault.com/ui/#object/email_activity__v/V8C000000044253", "EN-002102012")</f>
        <v>EN-002102012</v>
      </c>
    </row>
    <row r="1165" spans="1:15" ht="16" x14ac:dyDescent="0.2">
      <c r="A1165" s="18" t="str">
        <f>HYPERLINK("https://otsuka-europe-crm.veevavault.com/ui/#object/account__v/V4TZ06G6O71TC76", "ANA ISABEL SANCHEZ FRUCTUOSO")</f>
        <v>ANA ISABEL SANCHEZ FRUCTUOSO</v>
      </c>
      <c r="B1165" s="18" t="str">
        <f>HYPERLINK("https://otsuka-europe-crm.veevavault.com/ui/#object/vcountry__v/VENZ000004SONF5", "ES")</f>
        <v>ES</v>
      </c>
      <c r="C1165" s="20" t="s">
        <v>39</v>
      </c>
      <c r="D116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65" s="22" t="str">
        <f>HYPERLINK("https://otsuka-europe-crm.veevavault.com/ui/#object/sent_email__v/VBL000000031166", "SE-001439363")</f>
        <v>SE-001439363</v>
      </c>
      <c r="F1165" s="25">
        <v>46212.485335648147</v>
      </c>
      <c r="G1165" s="24">
        <v>1</v>
      </c>
      <c r="H1165" s="24">
        <v>1</v>
      </c>
      <c r="I1165" s="24">
        <v>0</v>
      </c>
      <c r="J1165" s="23"/>
      <c r="K1165" s="24">
        <v>0</v>
      </c>
      <c r="L116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65" s="22" t="str">
        <f>HYPERLINK("mailto:jguri@crm.otsuka-europe.com", "jguri@crm.otsuka-europe.com")</f>
        <v>jguri@crm.otsuka-europe.com</v>
      </c>
      <c r="N1165" s="25">
        <v>46209.317384259259</v>
      </c>
      <c r="O1165" s="14" t="str">
        <f>HYPERLINK("https://otsuka-europe-crm.veevavault.com/ui/#object/email_activity__v/V8C000000044255", "EN-002102014")</f>
        <v>EN-002102014</v>
      </c>
    </row>
    <row r="1166" spans="1:15" ht="16" x14ac:dyDescent="0.2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/>
      <c r="L1166" s="19"/>
      <c r="M1166" s="19"/>
      <c r="N1166" s="19"/>
      <c r="O1166" s="14" t="str">
        <f>HYPERLINK("https://otsuka-europe-crm.veevavault.com/ui/#object/email_activity__v/V8C000000046031", "EN-002103880")</f>
        <v>EN-002103880</v>
      </c>
    </row>
    <row r="1167" spans="1:15" ht="64" x14ac:dyDescent="0.2">
      <c r="A1167" s="7" t="str">
        <f>HYPERLINK("https://otsuka-europe-crm.veevavault.com/ui/#object/account__v/V4TZ06G6O71TK2H", "ALFREDO CORDON RODRIGUEZ")</f>
        <v>ALFREDO CORDON RODRIGUEZ</v>
      </c>
      <c r="B1167" s="7" t="str">
        <f>HYPERLINK("https://otsuka-europe-crm.veevavault.com/ui/#object/vcountry__v/VENZ000004SONF5", "ES")</f>
        <v>ES</v>
      </c>
      <c r="C1167" s="8" t="s">
        <v>39</v>
      </c>
      <c r="D116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67" s="10" t="str">
        <f>HYPERLINK("https://otsuka-europe-crm.veevavault.com/ui/#object/sent_email__v/VBL000000031167", "SE-001439364")</f>
        <v>SE-001439364</v>
      </c>
      <c r="F1167" s="11"/>
      <c r="G1167" s="12">
        <v>0</v>
      </c>
      <c r="H1167" s="12">
        <v>0</v>
      </c>
      <c r="I1167" s="12">
        <v>0</v>
      </c>
      <c r="J1167" s="11"/>
      <c r="K1167" s="12">
        <v>0</v>
      </c>
      <c r="L116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67" s="10" t="str">
        <f>HYPERLINK("mailto:jguri@crm.otsuka-europe.com", "jguri@crm.otsuka-europe.com")</f>
        <v>jguri@crm.otsuka-europe.com</v>
      </c>
      <c r="N1167" s="13">
        <v>46209.317372685182</v>
      </c>
      <c r="O1167" s="14" t="str">
        <f>HYPERLINK("https://otsuka-europe-crm.veevavault.com/ui/#object/email_activity__v/V8C000000044252", "EN-002102011")</f>
        <v>EN-002102011</v>
      </c>
    </row>
    <row r="1168" spans="1:15" ht="16" x14ac:dyDescent="0.2">
      <c r="A1168" s="18" t="str">
        <f>HYPERLINK("https://otsuka-europe-crm.veevavault.com/ui/#object/account__v/V4TZ025E86MCPOE", "CAROLINA CRISTINA CHACON VELEZ")</f>
        <v>CAROLINA CRISTINA CHACON VELEZ</v>
      </c>
      <c r="B1168" s="18" t="str">
        <f>HYPERLINK("https://otsuka-europe-crm.veevavault.com/ui/#object/vcountry__v/VENZ000004SONF5", "ES")</f>
        <v>ES</v>
      </c>
      <c r="C1168" s="20" t="s">
        <v>39</v>
      </c>
      <c r="D116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68" s="22" t="str">
        <f>HYPERLINK("https://otsuka-europe-crm.veevavault.com/ui/#object/sent_email__v/VBL000000031168", "SE-001439365")</f>
        <v>SE-001439365</v>
      </c>
      <c r="F1168" s="25">
        <v>46209.370289351849</v>
      </c>
      <c r="G1168" s="24">
        <v>1</v>
      </c>
      <c r="H1168" s="24">
        <v>2</v>
      </c>
      <c r="I1168" s="24">
        <v>0</v>
      </c>
      <c r="J1168" s="23"/>
      <c r="K1168" s="24">
        <v>0</v>
      </c>
      <c r="L116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68" s="22" t="str">
        <f>HYPERLINK("mailto:jguri@crm.otsuka-europe.com", "jguri@crm.otsuka-europe.com")</f>
        <v>jguri@crm.otsuka-europe.com</v>
      </c>
      <c r="N1168" s="25">
        <v>46209.317384259259</v>
      </c>
      <c r="O1168" s="14" t="str">
        <f>HYPERLINK("https://otsuka-europe-crm.veevavault.com/ui/#object/email_activity__v/V8C000000043412", "EN-002102361")</f>
        <v>EN-002102361</v>
      </c>
    </row>
    <row r="1169" spans="1:15" ht="16" x14ac:dyDescent="0.2">
      <c r="A1169" s="26"/>
      <c r="B1169" s="26"/>
      <c r="C1169" s="26"/>
      <c r="D1169" s="26"/>
      <c r="E1169" s="26"/>
      <c r="F1169" s="26"/>
      <c r="G1169" s="26"/>
      <c r="H1169" s="26"/>
      <c r="I1169" s="26"/>
      <c r="J1169" s="26"/>
      <c r="K1169" s="26"/>
      <c r="L1169" s="26"/>
      <c r="M1169" s="26"/>
      <c r="N1169" s="26"/>
      <c r="O1169" s="14" t="str">
        <f>HYPERLINK("https://otsuka-europe-crm.veevavault.com/ui/#object/email_activity__v/V8C000000044257", "EN-002102016")</f>
        <v>EN-002102016</v>
      </c>
    </row>
    <row r="1170" spans="1:15" ht="16" x14ac:dyDescent="0.2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/>
      <c r="N1170" s="19"/>
      <c r="O1170" s="14" t="str">
        <f>HYPERLINK("https://otsuka-europe-crm.veevavault.com/ui/#object/email_activity__v/V8C000000044281", "EN-002102040")</f>
        <v>EN-002102040</v>
      </c>
    </row>
    <row r="1171" spans="1:15" ht="64" x14ac:dyDescent="0.2">
      <c r="A1171" s="7" t="str">
        <f>HYPERLINK("https://otsuka-europe-crm.veevavault.com/ui/#object/account__v/V4TZ06G6O71T7QV", "DAVID MENENDEZ GONZALEZ")</f>
        <v>DAVID MENENDEZ GONZALEZ</v>
      </c>
      <c r="B1171" s="7" t="str">
        <f>HYPERLINK("https://otsuka-europe-crm.veevavault.com/ui/#object/vcountry__v/VENZ000004SONF5", "ES")</f>
        <v>ES</v>
      </c>
      <c r="C1171" s="8" t="s">
        <v>39</v>
      </c>
      <c r="D117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71" s="10" t="str">
        <f>HYPERLINK("https://otsuka-europe-crm.veevavault.com/ui/#object/sent_email__v/VBL000000031169", "SE-001439366")</f>
        <v>SE-001439366</v>
      </c>
      <c r="F1171" s="11"/>
      <c r="G1171" s="12">
        <v>0</v>
      </c>
      <c r="H1171" s="12">
        <v>0</v>
      </c>
      <c r="I1171" s="12">
        <v>0</v>
      </c>
      <c r="J1171" s="11"/>
      <c r="K1171" s="12">
        <v>0</v>
      </c>
      <c r="L117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71" s="10" t="str">
        <f>HYPERLINK("mailto:jguri@crm.otsuka-europe.com", "jguri@crm.otsuka-europe.com")</f>
        <v>jguri@crm.otsuka-europe.com</v>
      </c>
      <c r="N1171" s="13">
        <v>46209.317372685182</v>
      </c>
      <c r="O1171" s="14" t="str">
        <f>HYPERLINK("https://otsuka-europe-crm.veevavault.com/ui/#object/email_activity__v/V8C000000044251", "EN-002102010")</f>
        <v>EN-002102010</v>
      </c>
    </row>
    <row r="1172" spans="1:15" ht="16" x14ac:dyDescent="0.2">
      <c r="A1172" s="18" t="str">
        <f>HYPERLINK("https://otsuka-europe-crm.veevavault.com/ui/#object/account__v/V4TZ06G6O71TBX2", "BEGOÑA RIVAS BECERRA")</f>
        <v>BEGOÑA RIVAS BECERRA</v>
      </c>
      <c r="B1172" s="18" t="str">
        <f>HYPERLINK("https://otsuka-europe-crm.veevavault.com/ui/#object/vcountry__v/VENZ000004SONF5", "ES")</f>
        <v>ES</v>
      </c>
      <c r="C1172" s="20" t="s">
        <v>39</v>
      </c>
      <c r="D11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72" s="22" t="str">
        <f>HYPERLINK("https://otsuka-europe-crm.veevavault.com/ui/#object/sent_email__v/VBL000000031170", "SE-001439367")</f>
        <v>SE-001439367</v>
      </c>
      <c r="F1172" s="23"/>
      <c r="G1172" s="24">
        <v>0</v>
      </c>
      <c r="H1172" s="24">
        <v>0</v>
      </c>
      <c r="I1172" s="24">
        <v>0</v>
      </c>
      <c r="J1172" s="23"/>
      <c r="K1172" s="24">
        <v>0</v>
      </c>
      <c r="L11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72" s="22" t="str">
        <f>HYPERLINK("mailto:jguri@crm.otsuka-europe.com", "jguri@crm.otsuka-europe.com")</f>
        <v>jguri@crm.otsuka-europe.com</v>
      </c>
      <c r="N1172" s="25">
        <v>46209.317372685182</v>
      </c>
      <c r="O1172" s="14" t="str">
        <f>HYPERLINK("https://otsuka-europe-crm.veevavault.com/ui/#object/email_activity__v/V8C000000044274", "EN-002102033")</f>
        <v>EN-002102033</v>
      </c>
    </row>
    <row r="1173" spans="1:15" ht="16" x14ac:dyDescent="0.2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/>
      <c r="N1173" s="19"/>
      <c r="O1173" s="14" t="str">
        <f>HYPERLINK("https://otsuka-europe-crm.veevavault.com/ui/#object/email_activity__v/V8C000000044763", "EN-002103112")</f>
        <v>EN-002103112</v>
      </c>
    </row>
    <row r="1174" spans="1:15" ht="64" x14ac:dyDescent="0.2">
      <c r="A1174" s="7" t="str">
        <f>HYPERLINK("https://otsuka-europe-crm.veevavault.com/ui/#object/account__v/V4TZ06G6O71T78Y", "FRANCISCO JAVIER GARCIA SANCHEZ")</f>
        <v>FRANCISCO JAVIER GARCIA SANCHEZ</v>
      </c>
      <c r="B1174" s="7" t="str">
        <f>HYPERLINK("https://otsuka-europe-crm.veevavault.com/ui/#object/vcountry__v/VENZ000004SONF5", "ES")</f>
        <v>ES</v>
      </c>
      <c r="C1174" s="8" t="s">
        <v>39</v>
      </c>
      <c r="D117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74" s="10" t="str">
        <f>HYPERLINK("https://otsuka-europe-crm.veevavault.com/ui/#object/sent_email__v/VBL000000031171", "SE-001439368")</f>
        <v>SE-001439368</v>
      </c>
      <c r="F1174" s="11"/>
      <c r="G1174" s="12">
        <v>0</v>
      </c>
      <c r="H1174" s="12">
        <v>0</v>
      </c>
      <c r="I1174" s="12">
        <v>0</v>
      </c>
      <c r="J1174" s="11"/>
      <c r="K1174" s="12">
        <v>0</v>
      </c>
      <c r="L117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74" s="10" t="str">
        <f>HYPERLINK("mailto:jguri@crm.otsuka-europe.com", "jguri@crm.otsuka-europe.com")</f>
        <v>jguri@crm.otsuka-europe.com</v>
      </c>
      <c r="N1174" s="13">
        <v>46209.317372685182</v>
      </c>
      <c r="O1174" s="14" t="str">
        <f>HYPERLINK("https://otsuka-europe-crm.veevavault.com/ui/#object/email_activity__v/V8C000000044261", "EN-002102020")</f>
        <v>EN-002102020</v>
      </c>
    </row>
    <row r="1175" spans="1:15" ht="64" x14ac:dyDescent="0.2">
      <c r="A1175" s="7" t="str">
        <f>HYPERLINK("https://otsuka-europe-crm.veevavault.com/ui/#object/account__v/V4TZ06G6O71T761", "ADRIANA PUENTE GARCIA")</f>
        <v>ADRIANA PUENTE GARCIA</v>
      </c>
      <c r="B1175" s="7" t="str">
        <f>HYPERLINK("https://otsuka-europe-crm.veevavault.com/ui/#object/vcountry__v/VENZ000004SONF5", "ES")</f>
        <v>ES</v>
      </c>
      <c r="C1175" s="8" t="s">
        <v>39</v>
      </c>
      <c r="D117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75" s="10" t="str">
        <f>HYPERLINK("https://otsuka-europe-crm.veevavault.com/ui/#object/sent_email__v/VBL000000031172", "SE-001439369")</f>
        <v>SE-001439369</v>
      </c>
      <c r="F1175" s="11"/>
      <c r="G1175" s="12">
        <v>0</v>
      </c>
      <c r="H1175" s="12">
        <v>0</v>
      </c>
      <c r="I1175" s="12">
        <v>0</v>
      </c>
      <c r="J1175" s="11"/>
      <c r="K1175" s="12">
        <v>0</v>
      </c>
      <c r="L117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75" s="10" t="str">
        <f>HYPERLINK("mailto:jguri@crm.otsuka-europe.com", "jguri@crm.otsuka-europe.com")</f>
        <v>jguri@crm.otsuka-europe.com</v>
      </c>
      <c r="N1175" s="13">
        <v>46209.317372685182</v>
      </c>
      <c r="O1175" s="14" t="str">
        <f>HYPERLINK("https://otsuka-europe-crm.veevavault.com/ui/#object/email_activity__v/V8C000000044266", "EN-002102025")</f>
        <v>EN-002102025</v>
      </c>
    </row>
    <row r="1176" spans="1:15" ht="16" x14ac:dyDescent="0.2">
      <c r="A1176" s="18" t="str">
        <f>HYPERLINK("https://otsuka-europe-crm.veevavault.com/ui/#object/account__v/V4TZ04ASGEC2KJF", "CLARA MARIA CASES CORONA")</f>
        <v>CLARA MARIA CASES CORONA</v>
      </c>
      <c r="B1176" s="18" t="str">
        <f>HYPERLINK("https://otsuka-europe-crm.veevavault.com/ui/#object/vcountry__v/VENZ000004SONF5", "ES")</f>
        <v>ES</v>
      </c>
      <c r="C1176" s="20" t="s">
        <v>39</v>
      </c>
      <c r="D117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76" s="22" t="str">
        <f>HYPERLINK("https://otsuka-europe-crm.veevavault.com/ui/#object/sent_email__v/VBL000000031173", "SE-001439370")</f>
        <v>SE-001439370</v>
      </c>
      <c r="F1176" s="25">
        <v>46209.323344907411</v>
      </c>
      <c r="G1176" s="24">
        <v>1</v>
      </c>
      <c r="H1176" s="24">
        <v>2</v>
      </c>
      <c r="I1176" s="24">
        <v>0</v>
      </c>
      <c r="J1176" s="23"/>
      <c r="K1176" s="24">
        <v>0</v>
      </c>
      <c r="L117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76" s="22" t="str">
        <f>HYPERLINK("mailto:jguri@crm.otsuka-europe.com", "jguri@crm.otsuka-europe.com")</f>
        <v>jguri@crm.otsuka-europe.com</v>
      </c>
      <c r="N1176" s="25">
        <v>46209.317372685182</v>
      </c>
      <c r="O1176" s="14" t="str">
        <f>HYPERLINK("https://otsuka-europe-crm.veevavault.com/ui/#object/email_activity__v/V8C000000044268", "EN-002102027")</f>
        <v>EN-002102027</v>
      </c>
    </row>
    <row r="1177" spans="1:15" ht="16" x14ac:dyDescent="0.2">
      <c r="A1177" s="26"/>
      <c r="B1177" s="26"/>
      <c r="C1177" s="26"/>
      <c r="D1177" s="26"/>
      <c r="E1177" s="26"/>
      <c r="F1177" s="26"/>
      <c r="G1177" s="26"/>
      <c r="H1177" s="26"/>
      <c r="I1177" s="26"/>
      <c r="J1177" s="26"/>
      <c r="K1177" s="26"/>
      <c r="L1177" s="26"/>
      <c r="M1177" s="26"/>
      <c r="N1177" s="26"/>
      <c r="O1177" s="14" t="str">
        <f>HYPERLINK("https://otsuka-europe-crm.veevavault.com/ui/#object/email_activity__v/V8C000000044346", "EN-002102105")</f>
        <v>EN-002102105</v>
      </c>
    </row>
    <row r="1178" spans="1:15" ht="16" x14ac:dyDescent="0.2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/>
      <c r="L1178" s="19"/>
      <c r="M1178" s="19"/>
      <c r="N1178" s="19"/>
      <c r="O1178" s="14" t="str">
        <f>HYPERLINK("https://otsuka-europe-crm.veevavault.com/ui/#object/email_activity__v/V8C000000044348", "EN-002102107")</f>
        <v>EN-002102107</v>
      </c>
    </row>
    <row r="1179" spans="1:15" ht="64" x14ac:dyDescent="0.2">
      <c r="A1179" s="7" t="str">
        <f>HYPERLINK("https://otsuka-europe-crm.veevavault.com/ui/#object/account__v/V4TZ06G6O71UQQ0", "ANIKA TYSZKIEWICZ")</f>
        <v>ANIKA TYSZKIEWICZ</v>
      </c>
      <c r="B1179" s="7" t="str">
        <f>HYPERLINK("https://otsuka-europe-crm.veevavault.com/ui/#object/vcountry__v/VENZ000004SONF5", "ES")</f>
        <v>ES</v>
      </c>
      <c r="C1179" s="8" t="s">
        <v>39</v>
      </c>
      <c r="D117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79" s="10" t="str">
        <f>HYPERLINK("https://otsuka-europe-crm.veevavault.com/ui/#object/sent_email__v/VBL000000031174", "SE-001439371")</f>
        <v>SE-001439371</v>
      </c>
      <c r="F1179" s="11"/>
      <c r="G1179" s="12">
        <v>0</v>
      </c>
      <c r="H1179" s="12">
        <v>0</v>
      </c>
      <c r="I1179" s="12">
        <v>0</v>
      </c>
      <c r="J1179" s="11"/>
      <c r="K1179" s="12">
        <v>0</v>
      </c>
      <c r="L117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79" s="10" t="str">
        <f>HYPERLINK("mailto:jguri@crm.otsuka-europe.com", "jguri@crm.otsuka-europe.com")</f>
        <v>jguri@crm.otsuka-europe.com</v>
      </c>
      <c r="N1179" s="13">
        <v>46209.317372685182</v>
      </c>
      <c r="O1179" s="14" t="str">
        <f>HYPERLINK("https://otsuka-europe-crm.veevavault.com/ui/#object/email_activity__v/V8C000000044271", "EN-002102030")</f>
        <v>EN-002102030</v>
      </c>
    </row>
    <row r="1180" spans="1:15" ht="16" x14ac:dyDescent="0.2">
      <c r="A1180" s="18" t="str">
        <f>HYPERLINK("https://otsuka-europe-crm.veevavault.com/ui/#object/account__v/V4TZ04ASGAZNNW7", "CELIA NOVAS MORENO")</f>
        <v>CELIA NOVAS MORENO</v>
      </c>
      <c r="B1180" s="18" t="str">
        <f>HYPERLINK("https://otsuka-europe-crm.veevavault.com/ui/#object/vcountry__v/VENZ000004SONF5", "ES")</f>
        <v>ES</v>
      </c>
      <c r="C1180" s="20" t="s">
        <v>39</v>
      </c>
      <c r="D118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80" s="22" t="str">
        <f>HYPERLINK("https://otsuka-europe-crm.veevavault.com/ui/#object/sent_email__v/VBL000000031175", "SE-001439372")</f>
        <v>SE-001439372</v>
      </c>
      <c r="F1180" s="25">
        <v>46209.364259259259</v>
      </c>
      <c r="G1180" s="24">
        <v>1</v>
      </c>
      <c r="H1180" s="24">
        <v>2</v>
      </c>
      <c r="I1180" s="24">
        <v>0</v>
      </c>
      <c r="J1180" s="23"/>
      <c r="K1180" s="24">
        <v>0</v>
      </c>
      <c r="L118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80" s="22" t="str">
        <f>HYPERLINK("mailto:jguri@crm.otsuka-europe.com", "jguri@crm.otsuka-europe.com")</f>
        <v>jguri@crm.otsuka-europe.com</v>
      </c>
      <c r="N1180" s="25">
        <v>46209.317372685182</v>
      </c>
      <c r="O1180" s="14" t="str">
        <f>HYPERLINK("https://otsuka-europe-crm.veevavault.com/ui/#object/email_activity__v/V8C000000043549", "EN-002102633")</f>
        <v>EN-002102633</v>
      </c>
    </row>
    <row r="1181" spans="1:15" ht="16" x14ac:dyDescent="0.2">
      <c r="A1181" s="26"/>
      <c r="B1181" s="26"/>
      <c r="C1181" s="26"/>
      <c r="D1181" s="26"/>
      <c r="E1181" s="26"/>
      <c r="F1181" s="26"/>
      <c r="G1181" s="26"/>
      <c r="H1181" s="26"/>
      <c r="I1181" s="26"/>
      <c r="J1181" s="26"/>
      <c r="K1181" s="26"/>
      <c r="L1181" s="26"/>
      <c r="M1181" s="26"/>
      <c r="N1181" s="26"/>
      <c r="O1181" s="14" t="str">
        <f>HYPERLINK("https://otsuka-europe-crm.veevavault.com/ui/#object/email_activity__v/V8C000000044273", "EN-002102032")</f>
        <v>EN-002102032</v>
      </c>
    </row>
    <row r="1182" spans="1:15" ht="16" x14ac:dyDescent="0.2">
      <c r="A1182" s="26"/>
      <c r="B1182" s="26"/>
      <c r="C1182" s="26"/>
      <c r="D1182" s="26"/>
      <c r="E1182" s="26"/>
      <c r="F1182" s="26"/>
      <c r="G1182" s="26"/>
      <c r="H1182" s="26"/>
      <c r="I1182" s="26"/>
      <c r="J1182" s="26"/>
      <c r="K1182" s="26"/>
      <c r="L1182" s="26"/>
      <c r="M1182" s="26"/>
      <c r="N1182" s="26"/>
      <c r="O1182" s="14" t="str">
        <f>HYPERLINK("https://otsuka-europe-crm.veevavault.com/ui/#object/email_activity__v/V8C000000044387", "EN-002102351")</f>
        <v>EN-002102351</v>
      </c>
    </row>
    <row r="1183" spans="1:15" ht="16" x14ac:dyDescent="0.2">
      <c r="A1183" s="19"/>
      <c r="B1183" s="19"/>
      <c r="C1183" s="19"/>
      <c r="D1183" s="19"/>
      <c r="E1183" s="19"/>
      <c r="F1183" s="19"/>
      <c r="G1183" s="19"/>
      <c r="H1183" s="19"/>
      <c r="I1183" s="19"/>
      <c r="J1183" s="19"/>
      <c r="K1183" s="19"/>
      <c r="L1183" s="19"/>
      <c r="M1183" s="19"/>
      <c r="N1183" s="19"/>
      <c r="O1183" s="14" t="str">
        <f>HYPERLINK("https://otsuka-europe-crm.veevavault.com/ui/#object/email_activity__v/V8C000000044389", "EN-002102353")</f>
        <v>EN-002102353</v>
      </c>
    </row>
    <row r="1184" spans="1:15" ht="64" x14ac:dyDescent="0.2">
      <c r="A1184" s="7" t="str">
        <f>HYPERLINK("https://otsuka-europe-crm.veevavault.com/ui/#object/account__v/V4TZ06G6O71TCH1", "ANA MARIA TATO RIBERA")</f>
        <v>ANA MARIA TATO RIBERA</v>
      </c>
      <c r="B1184" s="7" t="str">
        <f>HYPERLINK("https://otsuka-europe-crm.veevavault.com/ui/#object/vcountry__v/VENZ000004SONF5", "ES")</f>
        <v>ES</v>
      </c>
      <c r="C1184" s="8" t="s">
        <v>39</v>
      </c>
      <c r="D118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84" s="10" t="str">
        <f>HYPERLINK("https://otsuka-europe-crm.veevavault.com/ui/#object/sent_email__v/VBL000000031176", "SE-001439373")</f>
        <v>SE-001439373</v>
      </c>
      <c r="F1184" s="11"/>
      <c r="G1184" s="12">
        <v>0</v>
      </c>
      <c r="H1184" s="12">
        <v>0</v>
      </c>
      <c r="I1184" s="12">
        <v>0</v>
      </c>
      <c r="J1184" s="11"/>
      <c r="K1184" s="12">
        <v>0</v>
      </c>
      <c r="L118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84" s="10" t="str">
        <f>HYPERLINK("mailto:jguri@crm.otsuka-europe.com", "jguri@crm.otsuka-europe.com")</f>
        <v>jguri@crm.otsuka-europe.com</v>
      </c>
      <c r="N1184" s="13">
        <v>46209.317384259259</v>
      </c>
      <c r="O1184" s="14" t="str">
        <f>HYPERLINK("https://otsuka-europe-crm.veevavault.com/ui/#object/email_activity__v/V8C000000044256", "EN-002102015")</f>
        <v>EN-002102015</v>
      </c>
    </row>
    <row r="1185" spans="1:15" ht="64" x14ac:dyDescent="0.2">
      <c r="A1185" s="7" t="str">
        <f>HYPERLINK("https://otsuka-europe-crm.veevavault.com/ui/#object/account__v/V4TZ025E82G5H0Y", "AFRODITI MARIA KONSTANTOULI")</f>
        <v>AFRODITI MARIA KONSTANTOULI</v>
      </c>
      <c r="B1185" s="7" t="str">
        <f>HYPERLINK("https://otsuka-europe-crm.veevavault.com/ui/#object/vcountry__v/VENZ000004SONF5", "ES")</f>
        <v>ES</v>
      </c>
      <c r="C1185" s="8" t="s">
        <v>39</v>
      </c>
      <c r="D118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85" s="10" t="str">
        <f>HYPERLINK("https://otsuka-europe-crm.veevavault.com/ui/#object/sent_email__v/VBL000000031177", "SE-001439374")</f>
        <v>SE-001439374</v>
      </c>
      <c r="F1185" s="11"/>
      <c r="G1185" s="12">
        <v>0</v>
      </c>
      <c r="H1185" s="12">
        <v>0</v>
      </c>
      <c r="I1185" s="12">
        <v>0</v>
      </c>
      <c r="J1185" s="11"/>
      <c r="K1185" s="12">
        <v>0</v>
      </c>
      <c r="L118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85" s="10" t="str">
        <f>HYPERLINK("mailto:jguri@crm.otsuka-europe.com", "jguri@crm.otsuka-europe.com")</f>
        <v>jguri@crm.otsuka-europe.com</v>
      </c>
      <c r="N1185" s="13">
        <v>46209.317372685182</v>
      </c>
      <c r="O1185" s="14" t="str">
        <f>HYPERLINK("https://otsuka-europe-crm.veevavault.com/ui/#object/email_activity__v/V8C000000044267", "EN-002102026")</f>
        <v>EN-002102026</v>
      </c>
    </row>
    <row r="1186" spans="1:15" ht="16" x14ac:dyDescent="0.2">
      <c r="A1186" s="18" t="str">
        <f>HYPERLINK("https://otsuka-europe-crm.veevavault.com/ui/#object/account__v/V4TZ06G6O71T8VF", "CRISTINA GONZALEZ RUIZ-MOYANO")</f>
        <v>CRISTINA GONZALEZ RUIZ-MOYANO</v>
      </c>
      <c r="B1186" s="18" t="str">
        <f>HYPERLINK("https://otsuka-europe-crm.veevavault.com/ui/#object/vcountry__v/VENZ000004SONF5", "ES")</f>
        <v>ES</v>
      </c>
      <c r="C1186" s="20" t="s">
        <v>39</v>
      </c>
      <c r="D118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86" s="22" t="str">
        <f>HYPERLINK("https://otsuka-europe-crm.veevavault.com/ui/#object/sent_email__v/VBL000000031178", "SE-001439375")</f>
        <v>SE-001439375</v>
      </c>
      <c r="F1186" s="25">
        <v>46209.337557870371</v>
      </c>
      <c r="G1186" s="24">
        <v>1</v>
      </c>
      <c r="H1186" s="24">
        <v>2</v>
      </c>
      <c r="I1186" s="24">
        <v>0</v>
      </c>
      <c r="J1186" s="23"/>
      <c r="K1186" s="24">
        <v>0</v>
      </c>
      <c r="L118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86" s="22" t="str">
        <f>HYPERLINK("mailto:jguri@crm.otsuka-europe.com", "jguri@crm.otsuka-europe.com")</f>
        <v>jguri@crm.otsuka-europe.com</v>
      </c>
      <c r="N1186" s="25">
        <v>46209.317372685182</v>
      </c>
      <c r="O1186" s="14" t="str">
        <f>HYPERLINK("https://otsuka-europe-crm.veevavault.com/ui/#object/email_activity__v/V8C000000043206", "EN-002102115")</f>
        <v>EN-002102115</v>
      </c>
    </row>
    <row r="1187" spans="1:15" ht="16" x14ac:dyDescent="0.2">
      <c r="A1187" s="26"/>
      <c r="B1187" s="26"/>
      <c r="C1187" s="26"/>
      <c r="D1187" s="26"/>
      <c r="E1187" s="26"/>
      <c r="F1187" s="26"/>
      <c r="G1187" s="26"/>
      <c r="H1187" s="26"/>
      <c r="I1187" s="26"/>
      <c r="J1187" s="26"/>
      <c r="K1187" s="26"/>
      <c r="L1187" s="26"/>
      <c r="M1187" s="26"/>
      <c r="N1187" s="26"/>
      <c r="O1187" s="14" t="str">
        <f>HYPERLINK("https://otsuka-europe-crm.veevavault.com/ui/#object/email_activity__v/V8C000000043798", "EN-002103120")</f>
        <v>EN-002103120</v>
      </c>
    </row>
    <row r="1188" spans="1:15" ht="16" x14ac:dyDescent="0.2">
      <c r="A1188" s="26"/>
      <c r="B1188" s="26"/>
      <c r="C1188" s="26"/>
      <c r="D1188" s="26"/>
      <c r="E1188" s="26"/>
      <c r="F1188" s="26"/>
      <c r="G1188" s="26"/>
      <c r="H1188" s="26"/>
      <c r="I1188" s="26"/>
      <c r="J1188" s="26"/>
      <c r="K1188" s="26"/>
      <c r="L1188" s="26"/>
      <c r="M1188" s="26"/>
      <c r="N1188" s="26"/>
      <c r="O1188" s="14" t="str">
        <f>HYPERLINK("https://otsuka-europe-crm.veevavault.com/ui/#object/email_activity__v/V8C000000044249", "EN-002102008")</f>
        <v>EN-002102008</v>
      </c>
    </row>
    <row r="1189" spans="1:15" ht="16" x14ac:dyDescent="0.2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/>
      <c r="L1189" s="19"/>
      <c r="M1189" s="19"/>
      <c r="N1189" s="19"/>
      <c r="O1189" s="14" t="str">
        <f>HYPERLINK("https://otsuka-europe-crm.veevavault.com/ui/#object/email_activity__v/V8C000000044277", "EN-002102036")</f>
        <v>EN-002102036</v>
      </c>
    </row>
    <row r="1190" spans="1:15" ht="64" x14ac:dyDescent="0.2">
      <c r="A1190" s="7" t="str">
        <f>HYPERLINK("https://otsuka-europe-crm.veevavault.com/ui/#object/account__v/V4TZ06G6O71T8PX", "EVA LOPEZ MELERO")</f>
        <v>EVA LOPEZ MELERO</v>
      </c>
      <c r="B1190" s="7" t="str">
        <f>HYPERLINK("https://otsuka-europe-crm.veevavault.com/ui/#object/vcountry__v/VENZ000004SONF5", "ES")</f>
        <v>ES</v>
      </c>
      <c r="C1190" s="8" t="s">
        <v>39</v>
      </c>
      <c r="D119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90" s="10" t="str">
        <f>HYPERLINK("https://otsuka-europe-crm.veevavault.com/ui/#object/sent_email__v/VBL000000031179", "SE-001439376")</f>
        <v>SE-001439376</v>
      </c>
      <c r="F1190" s="11"/>
      <c r="G1190" s="12">
        <v>0</v>
      </c>
      <c r="H1190" s="12">
        <v>0</v>
      </c>
      <c r="I1190" s="12">
        <v>0</v>
      </c>
      <c r="J1190" s="11"/>
      <c r="K1190" s="12">
        <v>0</v>
      </c>
      <c r="L119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90" s="10" t="str">
        <f>HYPERLINK("mailto:jguri@crm.otsuka-europe.com", "jguri@crm.otsuka-europe.com")</f>
        <v>jguri@crm.otsuka-europe.com</v>
      </c>
      <c r="N1190" s="13">
        <v>46209.317372685182</v>
      </c>
      <c r="O1190" s="14" t="str">
        <f>HYPERLINK("https://otsuka-europe-crm.veevavault.com/ui/#object/email_activity__v/V8C000000044272", "EN-002102031")</f>
        <v>EN-002102031</v>
      </c>
    </row>
    <row r="1191" spans="1:15" ht="16" x14ac:dyDescent="0.2">
      <c r="A1191" s="18" t="str">
        <f>HYPERLINK("https://otsuka-europe-crm.veevavault.com/ui/#object/account__v/V4TZ06G6O71T7K5", "BORJA QUIROGA GILI")</f>
        <v>BORJA QUIROGA GILI</v>
      </c>
      <c r="B1191" s="18" t="str">
        <f>HYPERLINK("https://otsuka-europe-crm.veevavault.com/ui/#object/vcountry__v/VENZ000004SONF5", "ES")</f>
        <v>ES</v>
      </c>
      <c r="C1191" s="20" t="s">
        <v>39</v>
      </c>
      <c r="D119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91" s="22" t="str">
        <f>HYPERLINK("https://otsuka-europe-crm.veevavault.com/ui/#object/sent_email__v/VBL000000031180", "SE-001439377")</f>
        <v>SE-001439377</v>
      </c>
      <c r="F1191" s="25">
        <v>46209.325312499997</v>
      </c>
      <c r="G1191" s="24">
        <v>1</v>
      </c>
      <c r="H1191" s="24">
        <v>1</v>
      </c>
      <c r="I1191" s="24">
        <v>0</v>
      </c>
      <c r="J1191" s="23"/>
      <c r="K1191" s="24">
        <v>0</v>
      </c>
      <c r="L119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91" s="22" t="str">
        <f>HYPERLINK("mailto:jguri@crm.otsuka-europe.com", "jguri@crm.otsuka-europe.com")</f>
        <v>jguri@crm.otsuka-europe.com</v>
      </c>
      <c r="N1191" s="25">
        <v>46209.317372685182</v>
      </c>
      <c r="O1191" s="14" t="str">
        <f>HYPERLINK("https://otsuka-europe-crm.veevavault.com/ui/#object/email_activity__v/V8C000000043204", "EN-002102111")</f>
        <v>EN-002102111</v>
      </c>
    </row>
    <row r="1192" spans="1:15" ht="16" x14ac:dyDescent="0.2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/>
      <c r="L1192" s="19"/>
      <c r="M1192" s="19"/>
      <c r="N1192" s="19"/>
      <c r="O1192" s="14" t="str">
        <f>HYPERLINK("https://otsuka-europe-crm.veevavault.com/ui/#object/email_activity__v/V8C000000044260", "EN-002102019")</f>
        <v>EN-002102019</v>
      </c>
    </row>
    <row r="1193" spans="1:15" ht="64" x14ac:dyDescent="0.2">
      <c r="A1193" s="7" t="str">
        <f>HYPERLINK("https://otsuka-europe-crm.veevavault.com/ui/#object/account__v/V4TZ06G6O71T9PU", "ALFONSO CUBAS ALCARAZ")</f>
        <v>ALFONSO CUBAS ALCARAZ</v>
      </c>
      <c r="B1193" s="7" t="str">
        <f>HYPERLINK("https://otsuka-europe-crm.veevavault.com/ui/#object/vcountry__v/VENZ000004SONF5", "ES")</f>
        <v>ES</v>
      </c>
      <c r="C1193" s="8" t="s">
        <v>39</v>
      </c>
      <c r="D119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93" s="10" t="str">
        <f>HYPERLINK("https://otsuka-europe-crm.veevavault.com/ui/#object/sent_email__v/VBL000000031181", "SE-001439378")</f>
        <v>SE-001439378</v>
      </c>
      <c r="F1193" s="11"/>
      <c r="G1193" s="12">
        <v>0</v>
      </c>
      <c r="H1193" s="12">
        <v>0</v>
      </c>
      <c r="I1193" s="12">
        <v>0</v>
      </c>
      <c r="J1193" s="11"/>
      <c r="K1193" s="12">
        <v>0</v>
      </c>
      <c r="L119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93" s="10" t="str">
        <f>HYPERLINK("mailto:jguri@crm.otsuka-europe.com", "jguri@crm.otsuka-europe.com")</f>
        <v>jguri@crm.otsuka-europe.com</v>
      </c>
      <c r="N1193" s="13">
        <v>46209.317372685182</v>
      </c>
      <c r="O1193" s="14" t="str">
        <f>HYPERLINK("https://otsuka-europe-crm.veevavault.com/ui/#object/email_activity__v/V8C000000044264", "EN-002102023")</f>
        <v>EN-002102023</v>
      </c>
    </row>
    <row r="1194" spans="1:15" ht="16" x14ac:dyDescent="0.2">
      <c r="A1194" s="18" t="str">
        <f>HYPERLINK("https://otsuka-europe-crm.veevavault.com/ui/#object/account__v/V4TZ06G6O71T901", "BEATRIZ ANDRES MARTIN")</f>
        <v>BEATRIZ ANDRES MARTIN</v>
      </c>
      <c r="B1194" s="18" t="str">
        <f>HYPERLINK("https://otsuka-europe-crm.veevavault.com/ui/#object/vcountry__v/VENZ000004SONF5", "ES")</f>
        <v>ES</v>
      </c>
      <c r="C1194" s="20" t="s">
        <v>39</v>
      </c>
      <c r="D119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94" s="22" t="str">
        <f>HYPERLINK("https://otsuka-europe-crm.veevavault.com/ui/#object/sent_email__v/VBL000000031182", "SE-001439379")</f>
        <v>SE-001439379</v>
      </c>
      <c r="F1194" s="25">
        <v>46209.317685185182</v>
      </c>
      <c r="G1194" s="24">
        <v>1</v>
      </c>
      <c r="H1194" s="24">
        <v>1</v>
      </c>
      <c r="I1194" s="24">
        <v>0</v>
      </c>
      <c r="J1194" s="23"/>
      <c r="K1194" s="24">
        <v>0</v>
      </c>
      <c r="L119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94" s="22" t="str">
        <f>HYPERLINK("mailto:jguri@crm.otsuka-europe.com", "jguri@crm.otsuka-europe.com")</f>
        <v>jguri@crm.otsuka-europe.com</v>
      </c>
      <c r="N1194" s="25">
        <v>46209.317372685182</v>
      </c>
      <c r="O1194" s="14" t="str">
        <f>HYPERLINK("https://otsuka-europe-crm.veevavault.com/ui/#object/email_activity__v/V8C000000044250", "EN-002102009")</f>
        <v>EN-002102009</v>
      </c>
    </row>
    <row r="1195" spans="1:15" ht="16" x14ac:dyDescent="0.2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/>
      <c r="L1195" s="19"/>
      <c r="M1195" s="19"/>
      <c r="N1195" s="19"/>
      <c r="O1195" s="14" t="str">
        <f>HYPERLINK("https://otsuka-europe-crm.veevavault.com/ui/#object/email_activity__v/V8C000000044278", "EN-002102037")</f>
        <v>EN-002102037</v>
      </c>
    </row>
    <row r="1196" spans="1:15" ht="64" x14ac:dyDescent="0.2">
      <c r="A1196" s="7" t="str">
        <f>HYPERLINK("https://otsuka-europe-crm.veevavault.com/ui/#object/account__v/V4TZ06G6O71T7S2", "AMIR SHABAKA FERNANDEZ")</f>
        <v>AMIR SHABAKA FERNANDEZ</v>
      </c>
      <c r="B1196" s="7" t="str">
        <f>HYPERLINK("https://otsuka-europe-crm.veevavault.com/ui/#object/vcountry__v/VENZ000004SONF5", "ES")</f>
        <v>ES</v>
      </c>
      <c r="C1196" s="8" t="s">
        <v>39</v>
      </c>
      <c r="D119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196" s="10" t="str">
        <f>HYPERLINK("https://otsuka-europe-crm.veevavault.com/ui/#object/sent_email__v/VBL000000031183", "SE-001439380")</f>
        <v>SE-001439380</v>
      </c>
      <c r="F1196" s="11"/>
      <c r="G1196" s="12">
        <v>0</v>
      </c>
      <c r="H1196" s="12">
        <v>0</v>
      </c>
      <c r="I1196" s="12">
        <v>0</v>
      </c>
      <c r="J1196" s="11"/>
      <c r="K1196" s="12">
        <v>0</v>
      </c>
      <c r="L119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196" s="10" t="str">
        <f>HYPERLINK("mailto:jguri@crm.otsuka-europe.com", "jguri@crm.otsuka-europe.com")</f>
        <v>jguri@crm.otsuka-europe.com</v>
      </c>
      <c r="N1196" s="13">
        <v>46209.317372685182</v>
      </c>
      <c r="O1196" s="14" t="str">
        <f>HYPERLINK("https://otsuka-europe-crm.veevavault.com/ui/#object/email_activity__v/V8C000000044275", "EN-002102034")</f>
        <v>EN-002102034</v>
      </c>
    </row>
    <row r="1197" spans="1:15" ht="16" x14ac:dyDescent="0.2">
      <c r="A1197" s="18" t="str">
        <f>HYPERLINK("https://otsuka-europe-crm.veevavault.com/ui/#object/account__v/V4TZ06G6O71TCJO", "ANTONIO ZAPATERO GAVIRIA")</f>
        <v>ANTONIO ZAPATERO GAVIRIA</v>
      </c>
      <c r="B1197" s="18" t="str">
        <f>HYPERLINK("https://otsuka-europe-crm.veevavault.com/ui/#object/vcountry__v/VENZ000004SONF5", "ES")</f>
        <v>ES</v>
      </c>
      <c r="C1197" s="20" t="s">
        <v>39</v>
      </c>
      <c r="D119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197" s="22" t="str">
        <f>HYPERLINK("https://otsuka-europe-crm.veevavault.com/ui/#object/sent_email__v/VBL000000031184", "SE-001439381")</f>
        <v>SE-001439381</v>
      </c>
      <c r="F1197" s="23"/>
      <c r="G1197" s="24">
        <v>0</v>
      </c>
      <c r="H1197" s="24">
        <v>0</v>
      </c>
      <c r="I1197" s="24">
        <v>0</v>
      </c>
      <c r="J1197" s="23"/>
      <c r="K1197" s="24">
        <v>0</v>
      </c>
      <c r="L119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197" s="22" t="str">
        <f>HYPERLINK("mailto:jguri@crm.otsuka-europe.com", "jguri@crm.otsuka-europe.com")</f>
        <v>jguri@crm.otsuka-europe.com</v>
      </c>
      <c r="N1197" s="25">
        <v>46209.318032407406</v>
      </c>
      <c r="O1197" s="14" t="str">
        <f>HYPERLINK("https://otsuka-europe-crm.veevavault.com/ui/#object/email_activity__v/V8C000000044287", "EN-002102046")</f>
        <v>EN-002102046</v>
      </c>
    </row>
    <row r="1198" spans="1:15" ht="16" x14ac:dyDescent="0.2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4" t="str">
        <f>HYPERLINK("https://otsuka-europe-crm.veevavault.com/ui/#object/email_activity__v/V8C000000044347", "EN-002102106")</f>
        <v>EN-002102106</v>
      </c>
    </row>
    <row r="1199" spans="1:15" ht="64" x14ac:dyDescent="0.2">
      <c r="A1199" s="7" t="str">
        <f>HYPERLINK("https://otsuka-europe-crm.veevavault.com/ui/#object/account__v/V4TZ04ASGAPA4VX", "MARIA ESTHER TOLEDANO MARTINEZ")</f>
        <v>MARIA ESTHER TOLEDANO MARTINEZ</v>
      </c>
      <c r="B1199" s="7" t="str">
        <f>HYPERLINK("https://otsuka-europe-crm.veevavault.com/ui/#object/vcountry__v/VENZ000004SONF5", "ES")</f>
        <v>ES</v>
      </c>
      <c r="C1199" s="8" t="s">
        <v>39</v>
      </c>
      <c r="D119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199" s="10" t="str">
        <f>HYPERLINK("https://otsuka-europe-crm.veevavault.com/ui/#object/sent_email__v/VBL000000031185", "SE-001439382")</f>
        <v>SE-001439382</v>
      </c>
      <c r="F1199" s="11"/>
      <c r="G1199" s="12">
        <v>0</v>
      </c>
      <c r="H1199" s="12">
        <v>0</v>
      </c>
      <c r="I1199" s="12">
        <v>0</v>
      </c>
      <c r="J1199" s="11"/>
      <c r="K1199" s="12">
        <v>0</v>
      </c>
      <c r="L119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199" s="10" t="str">
        <f>HYPERLINK("mailto:jguri@crm.otsuka-europe.com", "jguri@crm.otsuka-europe.com")</f>
        <v>jguri@crm.otsuka-europe.com</v>
      </c>
      <c r="N1199" s="13">
        <v>46209.318020833336</v>
      </c>
      <c r="O1199" s="14" t="str">
        <f>HYPERLINK("https://otsuka-europe-crm.veevavault.com/ui/#object/email_activity__v/V8C000000044314", "EN-002102073")</f>
        <v>EN-002102073</v>
      </c>
    </row>
    <row r="1200" spans="1:15" ht="16" x14ac:dyDescent="0.2">
      <c r="A1200" s="18" t="str">
        <f>HYPERLINK("https://otsuka-europe-crm.veevavault.com/ui/#object/account__v/V4TZ04ASGAZZYJK", "CELIA ARCONADA LOPEZ")</f>
        <v>CELIA ARCONADA LOPEZ</v>
      </c>
      <c r="B1200" s="18" t="str">
        <f>HYPERLINK("https://otsuka-europe-crm.veevavault.com/ui/#object/vcountry__v/VENZ000004SONF5", "ES")</f>
        <v>ES</v>
      </c>
      <c r="C1200" s="20" t="s">
        <v>39</v>
      </c>
      <c r="D120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00" s="22" t="str">
        <f>HYPERLINK("https://otsuka-europe-crm.veevavault.com/ui/#object/sent_email__v/VBL000000031186", "SE-001439383")</f>
        <v>SE-001439383</v>
      </c>
      <c r="F1200" s="23"/>
      <c r="G1200" s="24">
        <v>0</v>
      </c>
      <c r="H1200" s="24">
        <v>0</v>
      </c>
      <c r="I1200" s="24">
        <v>0</v>
      </c>
      <c r="J1200" s="23"/>
      <c r="K1200" s="24">
        <v>0</v>
      </c>
      <c r="L120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00" s="22" t="str">
        <f>HYPERLINK("mailto:jguri@crm.otsuka-europe.com", "jguri@crm.otsuka-europe.com")</f>
        <v>jguri@crm.otsuka-europe.com</v>
      </c>
      <c r="N1200" s="25">
        <v>46209.318020833336</v>
      </c>
      <c r="O1200" s="14" t="str">
        <f>HYPERLINK("https://otsuka-europe-crm.veevavault.com/ui/#object/email_activity__v/V8C000000044302", "EN-002102061")</f>
        <v>EN-002102061</v>
      </c>
    </row>
    <row r="1201" spans="1:15" ht="16" x14ac:dyDescent="0.2">
      <c r="A1201" s="19"/>
      <c r="B1201" s="19"/>
      <c r="C1201" s="19"/>
      <c r="D1201" s="19"/>
      <c r="E1201" s="19"/>
      <c r="F1201" s="19"/>
      <c r="G1201" s="19"/>
      <c r="H1201" s="19"/>
      <c r="I1201" s="19"/>
      <c r="J1201" s="19"/>
      <c r="K1201" s="19"/>
      <c r="L1201" s="19"/>
      <c r="M1201" s="19"/>
      <c r="N1201" s="19"/>
      <c r="O1201" s="14" t="str">
        <f>HYPERLINK("https://otsuka-europe-crm.veevavault.com/ui/#object/email_activity__v/V8C000000044345", "EN-002102104")</f>
        <v>EN-002102104</v>
      </c>
    </row>
    <row r="1202" spans="1:15" ht="16" x14ac:dyDescent="0.2">
      <c r="A1202" s="18" t="str">
        <f>HYPERLINK("https://otsuka-europe-crm.veevavault.com/ui/#object/account__v/V4TZ025E86JDZUQ", "MARIA JESUS MARTINEZ BLASCO")</f>
        <v>MARIA JESUS MARTINEZ BLASCO</v>
      </c>
      <c r="B1202" s="18" t="str">
        <f>HYPERLINK("https://otsuka-europe-crm.veevavault.com/ui/#object/vcountry__v/VENZ000004SONF5", "ES")</f>
        <v>ES</v>
      </c>
      <c r="C1202" s="20" t="s">
        <v>39</v>
      </c>
      <c r="D120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02" s="22" t="str">
        <f>HYPERLINK("https://otsuka-europe-crm.veevavault.com/ui/#object/sent_email__v/VBL000000031187", "SE-001439384")</f>
        <v>SE-001439384</v>
      </c>
      <c r="F1202" s="25">
        <v>46209.876921296294</v>
      </c>
      <c r="G1202" s="24">
        <v>1</v>
      </c>
      <c r="H1202" s="24">
        <v>1</v>
      </c>
      <c r="I1202" s="24">
        <v>0</v>
      </c>
      <c r="J1202" s="23"/>
      <c r="K1202" s="24">
        <v>0</v>
      </c>
      <c r="L120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02" s="22" t="str">
        <f>HYPERLINK("mailto:jguri@crm.otsuka-europe.com", "jguri@crm.otsuka-europe.com")</f>
        <v>jguri@crm.otsuka-europe.com</v>
      </c>
      <c r="N1202" s="25">
        <v>46209.318020833336</v>
      </c>
      <c r="O1202" s="14" t="str">
        <f>HYPERLINK("https://otsuka-europe-crm.veevavault.com/ui/#object/email_activity__v/V8C000000043540", "EN-002102614")</f>
        <v>EN-002102614</v>
      </c>
    </row>
    <row r="1203" spans="1:15" ht="16" x14ac:dyDescent="0.2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/>
      <c r="L1203" s="19"/>
      <c r="M1203" s="19"/>
      <c r="N1203" s="19"/>
      <c r="O1203" s="14" t="str">
        <f>HYPERLINK("https://otsuka-europe-crm.veevavault.com/ui/#object/email_activity__v/V8C000000044288", "EN-002102047")</f>
        <v>EN-002102047</v>
      </c>
    </row>
    <row r="1204" spans="1:15" ht="64" x14ac:dyDescent="0.2">
      <c r="A1204" s="7" t="str">
        <f>HYPERLINK("https://otsuka-europe-crm.veevavault.com/ui/#object/account__v/V4TZ025E86L31XA", "JOSE CAMPOS ESTEBAN")</f>
        <v>JOSE CAMPOS ESTEBAN</v>
      </c>
      <c r="B1204" s="7" t="str">
        <f>HYPERLINK("https://otsuka-europe-crm.veevavault.com/ui/#object/vcountry__v/VENZ000004SONF5", "ES")</f>
        <v>ES</v>
      </c>
      <c r="C1204" s="8" t="s">
        <v>39</v>
      </c>
      <c r="D120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04" s="10" t="str">
        <f>HYPERLINK("https://otsuka-europe-crm.veevavault.com/ui/#object/sent_email__v/VBL000000031188", "SE-001439385")</f>
        <v>SE-001439385</v>
      </c>
      <c r="F1204" s="11"/>
      <c r="G1204" s="12">
        <v>0</v>
      </c>
      <c r="H1204" s="12">
        <v>0</v>
      </c>
      <c r="I1204" s="12">
        <v>0</v>
      </c>
      <c r="J1204" s="11"/>
      <c r="K1204" s="12">
        <v>0</v>
      </c>
      <c r="L120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04" s="10" t="str">
        <f>HYPERLINK("mailto:jguri@crm.otsuka-europe.com", "jguri@crm.otsuka-europe.com")</f>
        <v>jguri@crm.otsuka-europe.com</v>
      </c>
      <c r="N1204" s="13">
        <v>46209.318020833336</v>
      </c>
      <c r="O1204" s="14" t="str">
        <f>HYPERLINK("https://otsuka-europe-crm.veevavault.com/ui/#object/email_activity__v/V8C000000044289", "EN-002102048")</f>
        <v>EN-002102048</v>
      </c>
    </row>
    <row r="1205" spans="1:15" ht="16" x14ac:dyDescent="0.2">
      <c r="A1205" s="18" t="str">
        <f>HYPERLINK("https://otsuka-europe-crm.veevavault.com/ui/#object/account__v/V4TZ025E86NY4VR", "LUCIA RUIZ GUTIERREZ")</f>
        <v>LUCIA RUIZ GUTIERREZ</v>
      </c>
      <c r="B1205" s="18" t="str">
        <f>HYPERLINK("https://otsuka-europe-crm.veevavault.com/ui/#object/vcountry__v/VENZ000004SONF5", "ES")</f>
        <v>ES</v>
      </c>
      <c r="C1205" s="20" t="s">
        <v>39</v>
      </c>
      <c r="D120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05" s="22" t="str">
        <f>HYPERLINK("https://otsuka-europe-crm.veevavault.com/ui/#object/sent_email__v/VBL000000031189", "SE-001439386")</f>
        <v>SE-001439386</v>
      </c>
      <c r="F1205" s="25">
        <v>46209.352569444447</v>
      </c>
      <c r="G1205" s="24">
        <v>1</v>
      </c>
      <c r="H1205" s="24">
        <v>2</v>
      </c>
      <c r="I1205" s="24">
        <v>0</v>
      </c>
      <c r="J1205" s="23"/>
      <c r="K1205" s="24">
        <v>0</v>
      </c>
      <c r="L120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05" s="22" t="str">
        <f>HYPERLINK("mailto:jguri@crm.otsuka-europe.com", "jguri@crm.otsuka-europe.com")</f>
        <v>jguri@crm.otsuka-europe.com</v>
      </c>
      <c r="N1205" s="25">
        <v>46209.318009259259</v>
      </c>
      <c r="O1205" s="14" t="str">
        <f>HYPERLINK("https://otsuka-europe-crm.veevavault.com/ui/#object/email_activity__v/V8C000000043399", "EN-002102332")</f>
        <v>EN-002102332</v>
      </c>
    </row>
    <row r="1206" spans="1:15" ht="16" x14ac:dyDescent="0.2">
      <c r="A1206" s="26"/>
      <c r="B1206" s="26"/>
      <c r="C1206" s="26"/>
      <c r="D1206" s="26"/>
      <c r="E1206" s="26"/>
      <c r="F1206" s="26"/>
      <c r="G1206" s="26"/>
      <c r="H1206" s="26"/>
      <c r="I1206" s="26"/>
      <c r="J1206" s="26"/>
      <c r="K1206" s="26"/>
      <c r="L1206" s="26"/>
      <c r="M1206" s="26"/>
      <c r="N1206" s="26"/>
      <c r="O1206" s="14" t="str">
        <f>HYPERLINK("https://otsuka-europe-crm.veevavault.com/ui/#object/email_activity__v/V8C000000044296", "EN-002102055")</f>
        <v>EN-002102055</v>
      </c>
    </row>
    <row r="1207" spans="1:15" ht="16" x14ac:dyDescent="0.2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/>
      <c r="L1207" s="19"/>
      <c r="M1207" s="19"/>
      <c r="N1207" s="19"/>
      <c r="O1207" s="14" t="str">
        <f>HYPERLINK("https://otsuka-europe-crm.veevavault.com/ui/#object/email_activity__v/V8C000000044343", "EN-002102102")</f>
        <v>EN-002102102</v>
      </c>
    </row>
    <row r="1208" spans="1:15" ht="64" x14ac:dyDescent="0.2">
      <c r="A1208" s="7" t="str">
        <f>HYPERLINK("https://otsuka-europe-crm.veevavault.com/ui/#object/account__v/V4TZ04ASGBJHXOM", "MARINA GONZALEZ PEÑAS")</f>
        <v>MARINA GONZALEZ PEÑAS</v>
      </c>
      <c r="B1208" s="7" t="str">
        <f t="shared" ref="B1208:B1214" si="38">HYPERLINK("https://otsuka-europe-crm.veevavault.com/ui/#object/vcountry__v/VENZ000004SONF5", "ES")</f>
        <v>ES</v>
      </c>
      <c r="C1208" s="8" t="s">
        <v>39</v>
      </c>
      <c r="D1208" s="9" t="str">
        <f t="shared" ref="D1208:D1214" si="39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08" s="10" t="str">
        <f>HYPERLINK("https://otsuka-europe-crm.veevavault.com/ui/#object/sent_email__v/VBL000000031190", "SE-001439387")</f>
        <v>SE-001439387</v>
      </c>
      <c r="F1208" s="11"/>
      <c r="G1208" s="12">
        <v>0</v>
      </c>
      <c r="H1208" s="12">
        <v>0</v>
      </c>
      <c r="I1208" s="12">
        <v>0</v>
      </c>
      <c r="J1208" s="11"/>
      <c r="K1208" s="12">
        <v>0</v>
      </c>
      <c r="L1208" s="10" t="str">
        <f t="shared" ref="L1208:L1214" si="40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08" s="10" t="str">
        <f t="shared" ref="M1208:M1214" si="41">HYPERLINK("mailto:jguri@crm.otsuka-europe.com", "jguri@crm.otsuka-europe.com")</f>
        <v>jguri@crm.otsuka-europe.com</v>
      </c>
      <c r="N1208" s="13">
        <v>46209.318078703705</v>
      </c>
      <c r="O1208" s="14" t="str">
        <f>HYPERLINK("https://otsuka-europe-crm.veevavault.com/ui/#object/email_activity__v/V8C000000044307", "EN-002102066")</f>
        <v>EN-002102066</v>
      </c>
    </row>
    <row r="1209" spans="1:15" ht="64" x14ac:dyDescent="0.2">
      <c r="A1209" s="7" t="str">
        <f>HYPERLINK("https://otsuka-europe-crm.veevavault.com/ui/#object/account__v/V4TZ04ASG95OJU4", "CRISTINA JESUS LAJAS PETISCO")</f>
        <v>CRISTINA JESUS LAJAS PETISCO</v>
      </c>
      <c r="B1209" s="7" t="str">
        <f t="shared" si="38"/>
        <v>ES</v>
      </c>
      <c r="C1209" s="8" t="s">
        <v>39</v>
      </c>
      <c r="D1209" s="9" t="str">
        <f t="shared" si="39"/>
        <v>LUP - VAE Webinar “Lupkynis▼ en la práctica clínica real: más allá de la respuesta renal” - Reuma</v>
      </c>
      <c r="E1209" s="10" t="str">
        <f>HYPERLINK("https://otsuka-europe-crm.veevavault.com/ui/#object/sent_email__v/VBL000000031191", "SE-001439388")</f>
        <v>SE-001439388</v>
      </c>
      <c r="F1209" s="11"/>
      <c r="G1209" s="12">
        <v>0</v>
      </c>
      <c r="H1209" s="12">
        <v>0</v>
      </c>
      <c r="I1209" s="12">
        <v>0</v>
      </c>
      <c r="J1209" s="11"/>
      <c r="K1209" s="12">
        <v>0</v>
      </c>
      <c r="L1209" s="10" t="str">
        <f t="shared" si="40"/>
        <v>LUP - VAE Webinar “Lupkynis▼ en la práctica clínica real: más allá de la respuesta renal” - Reuma</v>
      </c>
      <c r="M1209" s="10" t="str">
        <f t="shared" si="41"/>
        <v>jguri@crm.otsuka-europe.com</v>
      </c>
      <c r="N1209" s="13">
        <v>46209.318032407406</v>
      </c>
      <c r="O1209" s="14" t="str">
        <f>HYPERLINK("https://otsuka-europe-crm.veevavault.com/ui/#object/email_activity__v/V8C000000044320", "EN-002102079")</f>
        <v>EN-002102079</v>
      </c>
    </row>
    <row r="1210" spans="1:15" ht="64" x14ac:dyDescent="0.2">
      <c r="A1210" s="7" t="str">
        <f>HYPERLINK("https://otsuka-europe-crm.veevavault.com/ui/#object/account__v/V4TZ04ASGB9IXXV", "MIGUEL ANGEL DUARTE MILLAN")</f>
        <v>MIGUEL ANGEL DUARTE MILLAN</v>
      </c>
      <c r="B1210" s="7" t="str">
        <f t="shared" si="38"/>
        <v>ES</v>
      </c>
      <c r="C1210" s="8" t="s">
        <v>39</v>
      </c>
      <c r="D1210" s="9" t="str">
        <f t="shared" si="39"/>
        <v>LUP - VAE Webinar “Lupkynis▼ en la práctica clínica real: más allá de la respuesta renal” - Reuma</v>
      </c>
      <c r="E1210" s="10" t="str">
        <f>HYPERLINK("https://otsuka-europe-crm.veevavault.com/ui/#object/sent_email__v/VBL000000031192", "SE-001439389")</f>
        <v>SE-001439389</v>
      </c>
      <c r="F1210" s="11"/>
      <c r="G1210" s="12">
        <v>0</v>
      </c>
      <c r="H1210" s="12">
        <v>0</v>
      </c>
      <c r="I1210" s="12">
        <v>0</v>
      </c>
      <c r="J1210" s="11"/>
      <c r="K1210" s="12">
        <v>0</v>
      </c>
      <c r="L1210" s="10" t="str">
        <f t="shared" si="40"/>
        <v>LUP - VAE Webinar “Lupkynis▼ en la práctica clínica real: más allá de la respuesta renal” - Reuma</v>
      </c>
      <c r="M1210" s="10" t="str">
        <f t="shared" si="41"/>
        <v>jguri@crm.otsuka-europe.com</v>
      </c>
      <c r="N1210" s="13">
        <v>46209.318032407406</v>
      </c>
      <c r="O1210" s="14" t="str">
        <f>HYPERLINK("https://otsuka-europe-crm.veevavault.com/ui/#object/email_activity__v/V8C000000044284", "EN-002102043")</f>
        <v>EN-002102043</v>
      </c>
    </row>
    <row r="1211" spans="1:15" ht="64" x14ac:dyDescent="0.2">
      <c r="A1211" s="7" t="str">
        <f>HYPERLINK("https://otsuka-europe-crm.veevavault.com/ui/#object/account__v/V4TZ04ASG9UATWS", "MARIA ANGELES GANTES PEDRAZA")</f>
        <v>MARIA ANGELES GANTES PEDRAZA</v>
      </c>
      <c r="B1211" s="7" t="str">
        <f t="shared" si="38"/>
        <v>ES</v>
      </c>
      <c r="C1211" s="8" t="s">
        <v>39</v>
      </c>
      <c r="D1211" s="9" t="str">
        <f t="shared" si="39"/>
        <v>LUP - VAE Webinar “Lupkynis▼ en la práctica clínica real: más allá de la respuesta renal” - Reuma</v>
      </c>
      <c r="E1211" s="10" t="str">
        <f>HYPERLINK("https://otsuka-europe-crm.veevavault.com/ui/#object/sent_email__v/VBL000000031193", "SE-001439390")</f>
        <v>SE-001439390</v>
      </c>
      <c r="F1211" s="11"/>
      <c r="G1211" s="12">
        <v>0</v>
      </c>
      <c r="H1211" s="12">
        <v>0</v>
      </c>
      <c r="I1211" s="12">
        <v>0</v>
      </c>
      <c r="J1211" s="11"/>
      <c r="K1211" s="12">
        <v>0</v>
      </c>
      <c r="L1211" s="10" t="str">
        <f t="shared" si="40"/>
        <v>LUP - VAE Webinar “Lupkynis▼ en la práctica clínica real: más allá de la respuesta renal” - Reuma</v>
      </c>
      <c r="M1211" s="10" t="str">
        <f t="shared" si="41"/>
        <v>jguri@crm.otsuka-europe.com</v>
      </c>
      <c r="N1211" s="13">
        <v>46209.318032407406</v>
      </c>
      <c r="O1211" s="14" t="str">
        <f>HYPERLINK("https://otsuka-europe-crm.veevavault.com/ui/#object/email_activity__v/V8C000000044298", "EN-002102057")</f>
        <v>EN-002102057</v>
      </c>
    </row>
    <row r="1212" spans="1:15" ht="64" x14ac:dyDescent="0.2">
      <c r="A1212" s="7" t="str">
        <f>HYPERLINK("https://otsuka-europe-crm.veevavault.com/ui/#object/account__v/V4TZ025E86JEFD2", "LUIS GONZAGA SALA ICARDO")</f>
        <v>LUIS GONZAGA SALA ICARDO</v>
      </c>
      <c r="B1212" s="7" t="str">
        <f t="shared" si="38"/>
        <v>ES</v>
      </c>
      <c r="C1212" s="8" t="s">
        <v>39</v>
      </c>
      <c r="D1212" s="9" t="str">
        <f t="shared" si="39"/>
        <v>LUP - VAE Webinar “Lupkynis▼ en la práctica clínica real: más allá de la respuesta renal” - Reuma</v>
      </c>
      <c r="E1212" s="10" t="str">
        <f>HYPERLINK("https://otsuka-europe-crm.veevavault.com/ui/#object/sent_email__v/VBL000000031194", "SE-001439391")</f>
        <v>SE-001439391</v>
      </c>
      <c r="F1212" s="11"/>
      <c r="G1212" s="12">
        <v>0</v>
      </c>
      <c r="H1212" s="12">
        <v>0</v>
      </c>
      <c r="I1212" s="12">
        <v>0</v>
      </c>
      <c r="J1212" s="11"/>
      <c r="K1212" s="12">
        <v>0</v>
      </c>
      <c r="L1212" s="10" t="str">
        <f t="shared" si="40"/>
        <v>LUP - VAE Webinar “Lupkynis▼ en la práctica clínica real: más allá de la respuesta renal” - Reuma</v>
      </c>
      <c r="M1212" s="10" t="str">
        <f t="shared" si="41"/>
        <v>jguri@crm.otsuka-europe.com</v>
      </c>
      <c r="N1212" s="13">
        <v>46209.318032407406</v>
      </c>
      <c r="O1212" s="14" t="str">
        <f>HYPERLINK("https://otsuka-europe-crm.veevavault.com/ui/#object/email_activity__v/V8C000000044300", "EN-002102059")</f>
        <v>EN-002102059</v>
      </c>
    </row>
    <row r="1213" spans="1:15" ht="64" x14ac:dyDescent="0.2">
      <c r="A1213" s="7" t="str">
        <f>HYPERLINK("https://otsuka-europe-crm.veevavault.com/ui/#object/account__v/V4TZ06G6OBUD7C5", "JOSE GARCIA TORON")</f>
        <v>JOSE GARCIA TORON</v>
      </c>
      <c r="B1213" s="7" t="str">
        <f t="shared" si="38"/>
        <v>ES</v>
      </c>
      <c r="C1213" s="8" t="s">
        <v>39</v>
      </c>
      <c r="D1213" s="9" t="str">
        <f t="shared" si="39"/>
        <v>LUP - VAE Webinar “Lupkynis▼ en la práctica clínica real: más allá de la respuesta renal” - Reuma</v>
      </c>
      <c r="E1213" s="10" t="str">
        <f>HYPERLINK("https://otsuka-europe-crm.veevavault.com/ui/#object/sent_email__v/VBL000000031195", "SE-001439392")</f>
        <v>SE-001439392</v>
      </c>
      <c r="F1213" s="11"/>
      <c r="G1213" s="12">
        <v>0</v>
      </c>
      <c r="H1213" s="12">
        <v>0</v>
      </c>
      <c r="I1213" s="12">
        <v>0</v>
      </c>
      <c r="J1213" s="11"/>
      <c r="K1213" s="12">
        <v>0</v>
      </c>
      <c r="L1213" s="10" t="str">
        <f t="shared" si="40"/>
        <v>LUP - VAE Webinar “Lupkynis▼ en la práctica clínica real: más allá de la respuesta renal” - Reuma</v>
      </c>
      <c r="M1213" s="10" t="str">
        <f t="shared" si="41"/>
        <v>jguri@crm.otsuka-europe.com</v>
      </c>
      <c r="N1213" s="13">
        <v>46209.318032407406</v>
      </c>
      <c r="O1213" s="14" t="str">
        <f>HYPERLINK("https://otsuka-europe-crm.veevavault.com/ui/#object/email_activity__v/V8C000000044312", "EN-002102071")</f>
        <v>EN-002102071</v>
      </c>
    </row>
    <row r="1214" spans="1:15" ht="16" x14ac:dyDescent="0.2">
      <c r="A1214" s="18" t="str">
        <f>HYPERLINK("https://otsuka-europe-crm.veevavault.com/ui/#object/account__v/V4TZ04ASGALKWZK", "MARTA RAMIREZ LAPAUSA")</f>
        <v>MARTA RAMIREZ LAPAUSA</v>
      </c>
      <c r="B1214" s="18" t="str">
        <f t="shared" si="38"/>
        <v>ES</v>
      </c>
      <c r="C1214" s="20" t="s">
        <v>39</v>
      </c>
      <c r="D1214" s="21" t="str">
        <f t="shared" si="39"/>
        <v>LUP - VAE Webinar “Lupkynis▼ en la práctica clínica real: más allá de la respuesta renal” - Reuma</v>
      </c>
      <c r="E1214" s="22" t="str">
        <f>HYPERLINK("https://otsuka-europe-crm.veevavault.com/ui/#object/sent_email__v/VBL000000031196", "SE-001439393")</f>
        <v>SE-001439393</v>
      </c>
      <c r="F1214" s="25">
        <v>46209.553842592592</v>
      </c>
      <c r="G1214" s="24">
        <v>1</v>
      </c>
      <c r="H1214" s="24">
        <v>1</v>
      </c>
      <c r="I1214" s="24">
        <v>0</v>
      </c>
      <c r="J1214" s="23"/>
      <c r="K1214" s="24">
        <v>0</v>
      </c>
      <c r="L1214" s="22" t="str">
        <f t="shared" si="40"/>
        <v>LUP - VAE Webinar “Lupkynis▼ en la práctica clínica real: más allá de la respuesta renal” - Reuma</v>
      </c>
      <c r="M1214" s="22" t="str">
        <f t="shared" si="41"/>
        <v>jguri@crm.otsuka-europe.com</v>
      </c>
      <c r="N1214" s="25">
        <v>46209.318032407406</v>
      </c>
      <c r="O1214" s="14" t="str">
        <f>HYPERLINK("https://otsuka-europe-crm.veevavault.com/ui/#object/email_activity__v/V8C000000044299", "EN-002102058")</f>
        <v>EN-002102058</v>
      </c>
    </row>
    <row r="1215" spans="1:15" ht="16" x14ac:dyDescent="0.2">
      <c r="A1215" s="26"/>
      <c r="B1215" s="26"/>
      <c r="C1215" s="26"/>
      <c r="D1215" s="26"/>
      <c r="E1215" s="26"/>
      <c r="F1215" s="26"/>
      <c r="G1215" s="26"/>
      <c r="H1215" s="26"/>
      <c r="I1215" s="26"/>
      <c r="J1215" s="26"/>
      <c r="K1215" s="26"/>
      <c r="L1215" s="26"/>
      <c r="M1215" s="26"/>
      <c r="N1215" s="26"/>
      <c r="O1215" s="14" t="str">
        <f>HYPERLINK("https://otsuka-europe-crm.veevavault.com/ui/#object/email_activity__v/V8C000000044462", "EN-002102502")</f>
        <v>EN-002102502</v>
      </c>
    </row>
    <row r="1216" spans="1:15" ht="16" x14ac:dyDescent="0.2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/>
      <c r="L1216" s="19"/>
      <c r="M1216" s="19"/>
      <c r="N1216" s="19"/>
      <c r="O1216" s="14" t="str">
        <f>HYPERLINK("https://otsuka-europe-crm.veevavault.com/ui/#object/email_activity__v/V8C00000004A003", "EN-002104875")</f>
        <v>EN-002104875</v>
      </c>
    </row>
    <row r="1217" spans="1:15" ht="64" x14ac:dyDescent="0.2">
      <c r="A1217" s="7" t="str">
        <f>HYPERLINK("https://otsuka-europe-crm.veevavault.com/ui/#object/account__v/V4TZ04ASG9UATU5", "MIGUEL ANGEL ABAD HERNANDEZ")</f>
        <v>MIGUEL ANGEL ABAD HERNANDEZ</v>
      </c>
      <c r="B1217" s="7" t="str">
        <f>HYPERLINK("https://otsuka-europe-crm.veevavault.com/ui/#object/vcountry__v/VENZ000004SONF5", "ES")</f>
        <v>ES</v>
      </c>
      <c r="C1217" s="8" t="s">
        <v>39</v>
      </c>
      <c r="D121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17" s="10" t="str">
        <f>HYPERLINK("https://otsuka-europe-crm.veevavault.com/ui/#object/sent_email__v/VBL000000031197", "SE-001439394")</f>
        <v>SE-001439394</v>
      </c>
      <c r="F1217" s="11"/>
      <c r="G1217" s="12">
        <v>0</v>
      </c>
      <c r="H1217" s="12">
        <v>0</v>
      </c>
      <c r="I1217" s="12">
        <v>0</v>
      </c>
      <c r="J1217" s="11"/>
      <c r="K1217" s="12">
        <v>0</v>
      </c>
      <c r="L121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17" s="10" t="str">
        <f>HYPERLINK("mailto:jguri@crm.otsuka-europe.com", "jguri@crm.otsuka-europe.com")</f>
        <v>jguri@crm.otsuka-europe.com</v>
      </c>
      <c r="N1217" s="13">
        <v>46209.318067129629</v>
      </c>
      <c r="O1217" s="14" t="str">
        <f>HYPERLINK("https://otsuka-europe-crm.veevavault.com/ui/#object/email_activity__v/V8C000000044306", "EN-002102065")</f>
        <v>EN-002102065</v>
      </c>
    </row>
    <row r="1218" spans="1:15" ht="64" x14ac:dyDescent="0.2">
      <c r="A1218" s="7" t="str">
        <f>HYPERLINK("https://otsuka-europe-crm.veevavault.com/ui/#object/account__v/V4TZ04ASG9U5CNS", "ESTHER DEL RINCON PADILLA")</f>
        <v>ESTHER DEL RINCON PADILLA</v>
      </c>
      <c r="B1218" s="7" t="str">
        <f>HYPERLINK("https://otsuka-europe-crm.veevavault.com/ui/#object/vcountry__v/VENZ000004SONF5", "ES")</f>
        <v>ES</v>
      </c>
      <c r="C1218" s="8" t="s">
        <v>39</v>
      </c>
      <c r="D121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18" s="10" t="str">
        <f>HYPERLINK("https://otsuka-europe-crm.veevavault.com/ui/#object/sent_email__v/VBL000000031198", "SE-001439395")</f>
        <v>SE-001439395</v>
      </c>
      <c r="F1218" s="11"/>
      <c r="G1218" s="12">
        <v>0</v>
      </c>
      <c r="H1218" s="12">
        <v>0</v>
      </c>
      <c r="I1218" s="12">
        <v>0</v>
      </c>
      <c r="J1218" s="11"/>
      <c r="K1218" s="12">
        <v>0</v>
      </c>
      <c r="L121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18" s="10" t="str">
        <f>HYPERLINK("mailto:jguri@crm.otsuka-europe.com", "jguri@crm.otsuka-europe.com")</f>
        <v>jguri@crm.otsuka-europe.com</v>
      </c>
      <c r="N1218" s="13">
        <v>46209.318032407406</v>
      </c>
      <c r="O1218" s="14" t="str">
        <f>HYPERLINK("https://otsuka-europe-crm.veevavault.com/ui/#object/email_activity__v/V8C000000044313", "EN-002102072")</f>
        <v>EN-002102072</v>
      </c>
    </row>
    <row r="1219" spans="1:15" ht="16" x14ac:dyDescent="0.2">
      <c r="A1219" s="18" t="str">
        <f>HYPERLINK("https://otsuka-europe-crm.veevavault.com/ui/#object/account__v/V4TZ025E83ASNDO", "PIA MERCEDES LOIS BERMEJO")</f>
        <v>PIA MERCEDES LOIS BERMEJO</v>
      </c>
      <c r="B1219" s="18" t="str">
        <f>HYPERLINK("https://otsuka-europe-crm.veevavault.com/ui/#object/vcountry__v/VENZ000004SONF5", "ES")</f>
        <v>ES</v>
      </c>
      <c r="C1219" s="20" t="s">
        <v>39</v>
      </c>
      <c r="D121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19" s="22" t="str">
        <f>HYPERLINK("https://otsuka-europe-crm.veevavault.com/ui/#object/sent_email__v/VBL000000031199", "SE-001439396")</f>
        <v>SE-001439396</v>
      </c>
      <c r="F1219" s="25">
        <v>46217.710127314815</v>
      </c>
      <c r="G1219" s="24">
        <v>1</v>
      </c>
      <c r="H1219" s="24">
        <v>3</v>
      </c>
      <c r="I1219" s="24">
        <v>1</v>
      </c>
      <c r="J1219" s="25">
        <v>46209.588229166664</v>
      </c>
      <c r="K1219" s="24">
        <v>1</v>
      </c>
      <c r="L121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19" s="22" t="str">
        <f>HYPERLINK("mailto:jguri@crm.otsuka-europe.com", "jguri@crm.otsuka-europe.com")</f>
        <v>jguri@crm.otsuka-europe.com</v>
      </c>
      <c r="N1219" s="25">
        <v>46209.318032407406</v>
      </c>
      <c r="O1219" s="14" t="str">
        <f>HYPERLINK("https://otsuka-europe-crm.veevavault.com/ui/#object/email_activity__v/V8C000000043493", "EN-002102516")</f>
        <v>EN-002102516</v>
      </c>
    </row>
    <row r="1220" spans="1:15" ht="16" x14ac:dyDescent="0.2">
      <c r="A1220" s="26"/>
      <c r="B1220" s="26"/>
      <c r="C1220" s="26"/>
      <c r="D1220" s="26"/>
      <c r="E1220" s="26"/>
      <c r="F1220" s="26"/>
      <c r="G1220" s="26"/>
      <c r="H1220" s="26"/>
      <c r="I1220" s="26"/>
      <c r="J1220" s="26"/>
      <c r="K1220" s="26"/>
      <c r="L1220" s="26"/>
      <c r="M1220" s="26"/>
      <c r="N1220" s="26"/>
      <c r="O1220" s="14" t="str">
        <f>HYPERLINK("https://otsuka-europe-crm.veevavault.com/ui/#object/email_activity__v/V8C000000043494", "EN-002102515")</f>
        <v>EN-002102515</v>
      </c>
    </row>
    <row r="1221" spans="1:15" ht="16" x14ac:dyDescent="0.2">
      <c r="A1221" s="26"/>
      <c r="B1221" s="26"/>
      <c r="C1221" s="26"/>
      <c r="D1221" s="26"/>
      <c r="E1221" s="26"/>
      <c r="F1221" s="26"/>
      <c r="G1221" s="26"/>
      <c r="H1221" s="26"/>
      <c r="I1221" s="26"/>
      <c r="J1221" s="26"/>
      <c r="K1221" s="26"/>
      <c r="L1221" s="26"/>
      <c r="M1221" s="26"/>
      <c r="N1221" s="26"/>
      <c r="O1221" s="14" t="str">
        <f>HYPERLINK("https://otsuka-europe-crm.veevavault.com/ui/#object/email_activity__v/V8C000000044285", "EN-002102044")</f>
        <v>EN-002102044</v>
      </c>
    </row>
    <row r="1222" spans="1:15" ht="16" x14ac:dyDescent="0.2">
      <c r="A1222" s="26"/>
      <c r="B1222" s="26"/>
      <c r="C1222" s="26"/>
      <c r="D1222" s="26"/>
      <c r="E1222" s="26"/>
      <c r="F1222" s="26"/>
      <c r="G1222" s="26"/>
      <c r="H1222" s="26"/>
      <c r="I1222" s="26"/>
      <c r="J1222" s="26"/>
      <c r="K1222" s="26"/>
      <c r="L1222" s="26"/>
      <c r="M1222" s="26"/>
      <c r="N1222" s="26"/>
      <c r="O1222" s="14" t="str">
        <f>HYPERLINK("https://otsuka-europe-crm.veevavault.com/ui/#object/email_activity__v/V8C000000049651", "EN-002106128")</f>
        <v>EN-002106128</v>
      </c>
    </row>
    <row r="1223" spans="1:15" ht="16" x14ac:dyDescent="0.2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/>
      <c r="L1223" s="19"/>
      <c r="M1223" s="19"/>
      <c r="N1223" s="19"/>
      <c r="O1223" s="14" t="str">
        <f>HYPERLINK("https://otsuka-europe-crm.veevavault.com/ui/#object/email_activity__v/V8C000000049652", "EN-002106129")</f>
        <v>EN-002106129</v>
      </c>
    </row>
    <row r="1224" spans="1:15" ht="16" x14ac:dyDescent="0.2">
      <c r="A1224" s="18" t="str">
        <f>HYPERLINK("https://otsuka-europe-crm.veevavault.com/ui/#object/account__v/V4TZ04ASG9UCFT5", "CRISTINA BOHORQUEZ HERAS")</f>
        <v>CRISTINA BOHORQUEZ HERAS</v>
      </c>
      <c r="B1224" s="18" t="str">
        <f>HYPERLINK("https://otsuka-europe-crm.veevavault.com/ui/#object/vcountry__v/VENZ000004SONF5", "ES")</f>
        <v>ES</v>
      </c>
      <c r="C1224" s="20" t="s">
        <v>39</v>
      </c>
      <c r="D122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24" s="22" t="str">
        <f>HYPERLINK("https://otsuka-europe-crm.veevavault.com/ui/#object/sent_email__v/VBL000000031200", "SE-001439397")</f>
        <v>SE-001439397</v>
      </c>
      <c r="F1224" s="25">
        <v>46209.620659722219</v>
      </c>
      <c r="G1224" s="24">
        <v>1</v>
      </c>
      <c r="H1224" s="24">
        <v>1</v>
      </c>
      <c r="I1224" s="24">
        <v>0</v>
      </c>
      <c r="J1224" s="23"/>
      <c r="K1224" s="24">
        <v>0</v>
      </c>
      <c r="L122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24" s="22" t="str">
        <f>HYPERLINK("mailto:jguri@crm.otsuka-europe.com", "jguri@crm.otsuka-europe.com")</f>
        <v>jguri@crm.otsuka-europe.com</v>
      </c>
      <c r="N1224" s="25">
        <v>46209.318020833336</v>
      </c>
      <c r="O1224" s="14" t="str">
        <f>HYPERLINK("https://otsuka-europe-crm.veevavault.com/ui/#object/email_activity__v/V8C000000043506", "EN-002102545")</f>
        <v>EN-002102545</v>
      </c>
    </row>
    <row r="1225" spans="1:15" ht="16" x14ac:dyDescent="0.2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/>
      <c r="L1225" s="19"/>
      <c r="M1225" s="19"/>
      <c r="N1225" s="19"/>
      <c r="O1225" s="14" t="str">
        <f>HYPERLINK("https://otsuka-europe-crm.veevavault.com/ui/#object/email_activity__v/V8C000000044325", "EN-002102084")</f>
        <v>EN-002102084</v>
      </c>
    </row>
    <row r="1226" spans="1:15" ht="64" x14ac:dyDescent="0.2">
      <c r="A1226" s="7" t="str">
        <f>HYPERLINK("https://otsuka-europe-crm.veevavault.com/ui/#object/account__v/V4TZ04ASGAPA4WR", "CRISTINA MARTINEZ PRADA")</f>
        <v>CRISTINA MARTINEZ PRADA</v>
      </c>
      <c r="B1226" s="7" t="str">
        <f>HYPERLINK("https://otsuka-europe-crm.veevavault.com/ui/#object/vcountry__v/VENZ000004SONF5", "ES")</f>
        <v>ES</v>
      </c>
      <c r="C1226" s="8" t="s">
        <v>39</v>
      </c>
      <c r="D122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26" s="10" t="str">
        <f>HYPERLINK("https://otsuka-europe-crm.veevavault.com/ui/#object/sent_email__v/VBL000000031201", "SE-001439398")</f>
        <v>SE-001439398</v>
      </c>
      <c r="F1226" s="11"/>
      <c r="G1226" s="12">
        <v>0</v>
      </c>
      <c r="H1226" s="12">
        <v>0</v>
      </c>
      <c r="I1226" s="12">
        <v>0</v>
      </c>
      <c r="J1226" s="11"/>
      <c r="K1226" s="12">
        <v>0</v>
      </c>
      <c r="L122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26" s="10" t="str">
        <f>HYPERLINK("mailto:jguri@crm.otsuka-europe.com", "jguri@crm.otsuka-europe.com")</f>
        <v>jguri@crm.otsuka-europe.com</v>
      </c>
      <c r="N1226" s="13">
        <v>46209.318020833336</v>
      </c>
      <c r="O1226" s="14" t="str">
        <f>HYPERLINK("https://otsuka-europe-crm.veevavault.com/ui/#object/email_activity__v/V8C000000044291", "EN-002102050")</f>
        <v>EN-002102050</v>
      </c>
    </row>
    <row r="1227" spans="1:15" ht="64" x14ac:dyDescent="0.2">
      <c r="A1227" s="7" t="str">
        <f>HYPERLINK("https://otsuka-europe-crm.veevavault.com/ui/#object/account__v/V4TZ04ASGE05LGU", "DALIFER DAYANIRA FREITES NUÑEZ")</f>
        <v>DALIFER DAYANIRA FREITES NUÑEZ</v>
      </c>
      <c r="B1227" s="7" t="str">
        <f>HYPERLINK("https://otsuka-europe-crm.veevavault.com/ui/#object/vcountry__v/VENZ000004SONF5", "ES")</f>
        <v>ES</v>
      </c>
      <c r="C1227" s="8" t="s">
        <v>39</v>
      </c>
      <c r="D122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27" s="10" t="str">
        <f>HYPERLINK("https://otsuka-europe-crm.veevavault.com/ui/#object/sent_email__v/VBL000000031202", "SE-001439399")</f>
        <v>SE-001439399</v>
      </c>
      <c r="F1227" s="11"/>
      <c r="G1227" s="12">
        <v>0</v>
      </c>
      <c r="H1227" s="12">
        <v>0</v>
      </c>
      <c r="I1227" s="12">
        <v>0</v>
      </c>
      <c r="J1227" s="11"/>
      <c r="K1227" s="12">
        <v>0</v>
      </c>
      <c r="L122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27" s="10" t="str">
        <f>HYPERLINK("mailto:jguri@crm.otsuka-europe.com", "jguri@crm.otsuka-europe.com")</f>
        <v>jguri@crm.otsuka-europe.com</v>
      </c>
      <c r="N1227" s="13">
        <v>46209.318009259259</v>
      </c>
      <c r="O1227" s="14" t="str">
        <f>HYPERLINK("https://otsuka-europe-crm.veevavault.com/ui/#object/email_activity__v/V8C000000044310", "EN-002102069")</f>
        <v>EN-002102069</v>
      </c>
    </row>
    <row r="1228" spans="1:15" ht="16" x14ac:dyDescent="0.2">
      <c r="A1228" s="18" t="str">
        <f>HYPERLINK("https://otsuka-europe-crm.veevavault.com/ui/#object/account__v/V4TZ04ASG6LNDP5", "CRISTINA HIDALGO CALLEJA")</f>
        <v>CRISTINA HIDALGO CALLEJA</v>
      </c>
      <c r="B1228" s="18" t="str">
        <f>HYPERLINK("https://otsuka-europe-crm.veevavault.com/ui/#object/vcountry__v/VENZ000004SONF5", "ES")</f>
        <v>ES</v>
      </c>
      <c r="C1228" s="20" t="s">
        <v>39</v>
      </c>
      <c r="D122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28" s="22" t="str">
        <f>HYPERLINK("https://otsuka-europe-crm.veevavault.com/ui/#object/sent_email__v/VBL000000031203", "SE-001439400")</f>
        <v>SE-001439400</v>
      </c>
      <c r="F1228" s="25">
        <v>46209.343287037038</v>
      </c>
      <c r="G1228" s="24">
        <v>1</v>
      </c>
      <c r="H1228" s="24">
        <v>1</v>
      </c>
      <c r="I1228" s="24">
        <v>0</v>
      </c>
      <c r="J1228" s="23"/>
      <c r="K1228" s="24">
        <v>0</v>
      </c>
      <c r="L122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28" s="22" t="str">
        <f>HYPERLINK("mailto:jguri@crm.otsuka-europe.com", "jguri@crm.otsuka-europe.com")</f>
        <v>jguri@crm.otsuka-europe.com</v>
      </c>
      <c r="N1228" s="25">
        <v>46209.318009259259</v>
      </c>
      <c r="O1228" s="14" t="str">
        <f>HYPERLINK("https://otsuka-europe-crm.veevavault.com/ui/#object/email_activity__v/V8C000000044301", "EN-002102060")</f>
        <v>EN-002102060</v>
      </c>
    </row>
    <row r="1229" spans="1:15" ht="16" x14ac:dyDescent="0.2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/>
      <c r="L1229" s="19"/>
      <c r="M1229" s="19"/>
      <c r="N1229" s="19"/>
      <c r="O1229" s="14" t="str">
        <f>HYPERLINK("https://otsuka-europe-crm.veevavault.com/ui/#object/email_activity__v/V8C000000044356", "EN-002102118")</f>
        <v>EN-002102118</v>
      </c>
    </row>
    <row r="1230" spans="1:15" ht="64" x14ac:dyDescent="0.2">
      <c r="A1230" s="7" t="str">
        <f>HYPERLINK("https://otsuka-europe-crm.veevavault.com/ui/#object/account__v/V4TZ025E84XGITZ", "PATRICIA LOPEZ VIEJO")</f>
        <v>PATRICIA LOPEZ VIEJO</v>
      </c>
      <c r="B1230" s="7" t="str">
        <f>HYPERLINK("https://otsuka-europe-crm.veevavault.com/ui/#object/vcountry__v/VENZ000004SONF5", "ES")</f>
        <v>ES</v>
      </c>
      <c r="C1230" s="8" t="s">
        <v>39</v>
      </c>
      <c r="D123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30" s="10" t="str">
        <f>HYPERLINK("https://otsuka-europe-crm.veevavault.com/ui/#object/sent_email__v/VBL000000031204", "SE-001439401")</f>
        <v>SE-001439401</v>
      </c>
      <c r="F1230" s="11"/>
      <c r="G1230" s="12">
        <v>0</v>
      </c>
      <c r="H1230" s="12">
        <v>0</v>
      </c>
      <c r="I1230" s="12">
        <v>0</v>
      </c>
      <c r="J1230" s="11"/>
      <c r="K1230" s="12">
        <v>0</v>
      </c>
      <c r="L123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30" s="10" t="str">
        <f>HYPERLINK("mailto:jguri@crm.otsuka-europe.com", "jguri@crm.otsuka-europe.com")</f>
        <v>jguri@crm.otsuka-europe.com</v>
      </c>
      <c r="N1230" s="13">
        <v>46209.318032407406</v>
      </c>
      <c r="O1230" s="14" t="str">
        <f>HYPERLINK("https://otsuka-europe-crm.veevavault.com/ui/#object/email_activity__v/V8C000000044295", "EN-002102054")</f>
        <v>EN-002102054</v>
      </c>
    </row>
    <row r="1231" spans="1:15" ht="16" x14ac:dyDescent="0.2">
      <c r="A1231" s="18" t="str">
        <f>HYPERLINK("https://otsuka-europe-crm.veevavault.com/ui/#object/account__v/V4TZ04ASGAAGMZJ", "PATRICIA CASTRO PEREZ")</f>
        <v>PATRICIA CASTRO PEREZ</v>
      </c>
      <c r="B1231" s="18" t="str">
        <f>HYPERLINK("https://otsuka-europe-crm.veevavault.com/ui/#object/vcountry__v/VENZ000004SONF5", "ES")</f>
        <v>ES</v>
      </c>
      <c r="C1231" s="20" t="s">
        <v>39</v>
      </c>
      <c r="D123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31" s="22" t="str">
        <f>HYPERLINK("https://otsuka-europe-crm.veevavault.com/ui/#object/sent_email__v/VBL000000031205", "SE-001439402")</f>
        <v>SE-001439402</v>
      </c>
      <c r="F1231" s="23"/>
      <c r="G1231" s="24">
        <v>0</v>
      </c>
      <c r="H1231" s="24">
        <v>0</v>
      </c>
      <c r="I1231" s="24">
        <v>0</v>
      </c>
      <c r="J1231" s="23"/>
      <c r="K1231" s="24">
        <v>0</v>
      </c>
      <c r="L123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31" s="22" t="str">
        <f>HYPERLINK("mailto:jguri@crm.otsuka-europe.com", "jguri@crm.otsuka-europe.com")</f>
        <v>jguri@crm.otsuka-europe.com</v>
      </c>
      <c r="N1231" s="25">
        <v>46209.318032407406</v>
      </c>
      <c r="O1231" s="14" t="str">
        <f>HYPERLINK("https://otsuka-europe-crm.veevavault.com/ui/#object/email_activity__v/V8C000000043551", "EN-002102635")</f>
        <v>EN-002102635</v>
      </c>
    </row>
    <row r="1232" spans="1:15" ht="16" x14ac:dyDescent="0.2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/>
      <c r="N1232" s="19"/>
      <c r="O1232" s="14" t="str">
        <f>HYPERLINK("https://otsuka-europe-crm.veevavault.com/ui/#object/email_activity__v/V8C000000044318", "EN-002102077")</f>
        <v>EN-002102077</v>
      </c>
    </row>
    <row r="1233" spans="1:15" ht="64" x14ac:dyDescent="0.2">
      <c r="A1233" s="7" t="str">
        <f>HYPERLINK("https://otsuka-europe-crm.veevavault.com/ui/#object/account__v/V4TZ025E86GSW01", "EMILIO RICO SANCHEZ-MATEOS")</f>
        <v>EMILIO RICO SANCHEZ-MATEOS</v>
      </c>
      <c r="B1233" s="7" t="str">
        <f>HYPERLINK("https://otsuka-europe-crm.veevavault.com/ui/#object/vcountry__v/VENZ000004SONF5", "ES")</f>
        <v>ES</v>
      </c>
      <c r="C1233" s="8" t="s">
        <v>39</v>
      </c>
      <c r="D123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33" s="10" t="str">
        <f>HYPERLINK("https://otsuka-europe-crm.veevavault.com/ui/#object/sent_email__v/VBL000000031206", "SE-001439403")</f>
        <v>SE-001439403</v>
      </c>
      <c r="F1233" s="11"/>
      <c r="G1233" s="12">
        <v>0</v>
      </c>
      <c r="H1233" s="12">
        <v>0</v>
      </c>
      <c r="I1233" s="12">
        <v>0</v>
      </c>
      <c r="J1233" s="11"/>
      <c r="K1233" s="12">
        <v>0</v>
      </c>
      <c r="L123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33" s="10" t="str">
        <f>HYPERLINK("mailto:jguri@crm.otsuka-europe.com", "jguri@crm.otsuka-europe.com")</f>
        <v>jguri@crm.otsuka-europe.com</v>
      </c>
      <c r="N1233" s="13">
        <v>46209.318020833336</v>
      </c>
      <c r="O1233" s="14" t="str">
        <f>HYPERLINK("https://otsuka-europe-crm.veevavault.com/ui/#object/email_activity__v/V8C000000044322", "EN-002102081")</f>
        <v>EN-002102081</v>
      </c>
    </row>
    <row r="1234" spans="1:15" ht="16" x14ac:dyDescent="0.2">
      <c r="A1234" s="18" t="str">
        <f>HYPERLINK("https://otsuka-europe-crm.veevavault.com/ui/#object/account__v/V4TZ04ASG9ZBEGG", "MARIA CARMEN ORTEGA DE LA O")</f>
        <v>MARIA CARMEN ORTEGA DE LA O</v>
      </c>
      <c r="B1234" s="18" t="str">
        <f>HYPERLINK("https://otsuka-europe-crm.veevavault.com/ui/#object/vcountry__v/VENZ000004SONF5", "ES")</f>
        <v>ES</v>
      </c>
      <c r="C1234" s="20" t="s">
        <v>39</v>
      </c>
      <c r="D123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34" s="22" t="str">
        <f>HYPERLINK("https://otsuka-europe-crm.veevavault.com/ui/#object/sent_email__v/VBL000000031207", "SE-001439404")</f>
        <v>SE-001439404</v>
      </c>
      <c r="F1234" s="25">
        <v>46218.535787037035</v>
      </c>
      <c r="G1234" s="24">
        <v>1</v>
      </c>
      <c r="H1234" s="24">
        <v>2</v>
      </c>
      <c r="I1234" s="24">
        <v>0</v>
      </c>
      <c r="J1234" s="23"/>
      <c r="K1234" s="24">
        <v>0</v>
      </c>
      <c r="L123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34" s="22" t="str">
        <f>HYPERLINK("mailto:jguri@crm.otsuka-europe.com", "jguri@crm.otsuka-europe.com")</f>
        <v>jguri@crm.otsuka-europe.com</v>
      </c>
      <c r="N1234" s="25">
        <v>46209.318032407406</v>
      </c>
      <c r="O1234" s="14" t="str">
        <f>HYPERLINK("https://otsuka-europe-crm.veevavault.com/ui/#object/email_activity__v/V8C000000043528", "EN-002102590")</f>
        <v>EN-002102590</v>
      </c>
    </row>
    <row r="1235" spans="1:15" ht="16" x14ac:dyDescent="0.2">
      <c r="A1235" s="26"/>
      <c r="B1235" s="26"/>
      <c r="C1235" s="26"/>
      <c r="D1235" s="26"/>
      <c r="E1235" s="26"/>
      <c r="F1235" s="26"/>
      <c r="G1235" s="26"/>
      <c r="H1235" s="26"/>
      <c r="I1235" s="26"/>
      <c r="J1235" s="26"/>
      <c r="K1235" s="26"/>
      <c r="L1235" s="26"/>
      <c r="M1235" s="26"/>
      <c r="N1235" s="26"/>
      <c r="O1235" s="14" t="str">
        <f>HYPERLINK("https://otsuka-europe-crm.veevavault.com/ui/#object/email_activity__v/V8C000000043543", "EN-002102623")</f>
        <v>EN-002102623</v>
      </c>
    </row>
    <row r="1236" spans="1:15" ht="16" x14ac:dyDescent="0.2">
      <c r="A1236" s="26"/>
      <c r="B1236" s="26"/>
      <c r="C1236" s="26"/>
      <c r="D1236" s="26"/>
      <c r="E1236" s="26"/>
      <c r="F1236" s="26"/>
      <c r="G1236" s="26"/>
      <c r="H1236" s="26"/>
      <c r="I1236" s="26"/>
      <c r="J1236" s="26"/>
      <c r="K1236" s="26"/>
      <c r="L1236" s="26"/>
      <c r="M1236" s="26"/>
      <c r="N1236" s="26"/>
      <c r="O1236" s="14" t="str">
        <f>HYPERLINK("https://otsuka-europe-crm.veevavault.com/ui/#object/email_activity__v/V8C000000043718", "EN-002102984")</f>
        <v>EN-002102984</v>
      </c>
    </row>
    <row r="1237" spans="1:15" ht="16" x14ac:dyDescent="0.2">
      <c r="A1237" s="26"/>
      <c r="B1237" s="26"/>
      <c r="C1237" s="26"/>
      <c r="D1237" s="26"/>
      <c r="E1237" s="26"/>
      <c r="F1237" s="26"/>
      <c r="G1237" s="26"/>
      <c r="H1237" s="26"/>
      <c r="I1237" s="26"/>
      <c r="J1237" s="26"/>
      <c r="K1237" s="26"/>
      <c r="L1237" s="26"/>
      <c r="M1237" s="26"/>
      <c r="N1237" s="26"/>
      <c r="O1237" s="14" t="str">
        <f>HYPERLINK("https://otsuka-europe-crm.veevavault.com/ui/#object/email_activity__v/V8C000000044324", "EN-002102083")</f>
        <v>EN-002102083</v>
      </c>
    </row>
    <row r="1238" spans="1:15" ht="16" x14ac:dyDescent="0.2">
      <c r="A1238" s="26"/>
      <c r="B1238" s="26"/>
      <c r="C1238" s="26"/>
      <c r="D1238" s="26"/>
      <c r="E1238" s="26"/>
      <c r="F1238" s="26"/>
      <c r="G1238" s="26"/>
      <c r="H1238" s="26"/>
      <c r="I1238" s="26"/>
      <c r="J1238" s="26"/>
      <c r="K1238" s="26"/>
      <c r="L1238" s="26"/>
      <c r="M1238" s="26"/>
      <c r="N1238" s="26"/>
      <c r="O1238" s="14" t="str">
        <f>HYPERLINK("https://otsuka-europe-crm.veevavault.com/ui/#object/email_activity__v/V8C000000044350", "EN-002102109")</f>
        <v>EN-002102109</v>
      </c>
    </row>
    <row r="1239" spans="1:15" ht="16" x14ac:dyDescent="0.2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/>
      <c r="N1239" s="19"/>
      <c r="O1239" s="14" t="str">
        <f>HYPERLINK("https://otsuka-europe-crm.veevavault.com/ui/#object/email_activity__v/V8C000000049799", "EN-002106438")</f>
        <v>EN-002106438</v>
      </c>
    </row>
    <row r="1240" spans="1:15" ht="16" x14ac:dyDescent="0.2">
      <c r="A1240" s="18" t="str">
        <f>HYPERLINK("https://otsuka-europe-crm.veevavault.com/ui/#object/account__v/V4TZ04ASGABZCPT", "BEGOÑA GUADALUPE FRUTOS PEREZ")</f>
        <v>BEGOÑA GUADALUPE FRUTOS PEREZ</v>
      </c>
      <c r="B1240" s="18" t="str">
        <f>HYPERLINK("https://otsuka-europe-crm.veevavault.com/ui/#object/vcountry__v/VENZ000004SONF5", "ES")</f>
        <v>ES</v>
      </c>
      <c r="C1240" s="20" t="s">
        <v>39</v>
      </c>
      <c r="D124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40" s="22" t="str">
        <f>HYPERLINK("https://otsuka-europe-crm.veevavault.com/ui/#object/sent_email__v/VBL000000031208", "SE-001439405")</f>
        <v>SE-001439405</v>
      </c>
      <c r="F1240" s="23"/>
      <c r="G1240" s="24">
        <v>0</v>
      </c>
      <c r="H1240" s="24">
        <v>0</v>
      </c>
      <c r="I1240" s="24">
        <v>0</v>
      </c>
      <c r="J1240" s="23"/>
      <c r="K1240" s="24">
        <v>0</v>
      </c>
      <c r="L124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40" s="22" t="str">
        <f>HYPERLINK("mailto:jguri@crm.otsuka-europe.com", "jguri@crm.otsuka-europe.com")</f>
        <v>jguri@crm.otsuka-europe.com</v>
      </c>
      <c r="N1240" s="25">
        <v>46209.318020833336</v>
      </c>
      <c r="O1240" s="14" t="str">
        <f>HYPERLINK("https://otsuka-europe-crm.veevavault.com/ui/#object/email_activity__v/V8C000000043537", "EN-002102611")</f>
        <v>EN-002102611</v>
      </c>
    </row>
    <row r="1241" spans="1:15" ht="16" x14ac:dyDescent="0.2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/>
      <c r="L1241" s="19"/>
      <c r="M1241" s="19"/>
      <c r="N1241" s="19"/>
      <c r="O1241" s="14" t="str">
        <f>HYPERLINK("https://otsuka-europe-crm.veevavault.com/ui/#object/email_activity__v/V8C000000044283", "EN-002102042")</f>
        <v>EN-002102042</v>
      </c>
    </row>
    <row r="1242" spans="1:15" ht="64" x14ac:dyDescent="0.2">
      <c r="A1242" s="7" t="str">
        <f>HYPERLINK("https://otsuka-europe-crm.veevavault.com/ui/#object/account__v/V4TZ025E885S4VN", "ATUSA MOVASAT HAJKHAN")</f>
        <v>ATUSA MOVASAT HAJKHAN</v>
      </c>
      <c r="B1242" s="7" t="str">
        <f>HYPERLINK("https://otsuka-europe-crm.veevavault.com/ui/#object/vcountry__v/VENZ000004SONF5", "ES")</f>
        <v>ES</v>
      </c>
      <c r="C1242" s="8" t="s">
        <v>39</v>
      </c>
      <c r="D124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42" s="10" t="str">
        <f>HYPERLINK("https://otsuka-europe-crm.veevavault.com/ui/#object/sent_email__v/VBL000000031209", "SE-001439406")</f>
        <v>SE-001439406</v>
      </c>
      <c r="F1242" s="11"/>
      <c r="G1242" s="12">
        <v>0</v>
      </c>
      <c r="H1242" s="12">
        <v>0</v>
      </c>
      <c r="I1242" s="12">
        <v>0</v>
      </c>
      <c r="J1242" s="11"/>
      <c r="K1242" s="12">
        <v>0</v>
      </c>
      <c r="L124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42" s="10" t="str">
        <f>HYPERLINK("mailto:jguri@crm.otsuka-europe.com", "jguri@crm.otsuka-europe.com")</f>
        <v>jguri@crm.otsuka-europe.com</v>
      </c>
      <c r="N1242" s="13">
        <v>46209.318020833336</v>
      </c>
      <c r="O1242" s="14" t="str">
        <f>HYPERLINK("https://otsuka-europe-crm.veevavault.com/ui/#object/email_activity__v/V8C000000044311", "EN-002102070")</f>
        <v>EN-002102070</v>
      </c>
    </row>
    <row r="1243" spans="1:15" ht="64" x14ac:dyDescent="0.2">
      <c r="A1243" s="7" t="str">
        <f>HYPERLINK("https://otsuka-europe-crm.veevavault.com/ui/#object/account__v/V4TZ04ASG95OKJU", "ZULEMA ROSALES ROSADO")</f>
        <v>ZULEMA ROSALES ROSADO</v>
      </c>
      <c r="B1243" s="7" t="str">
        <f>HYPERLINK("https://otsuka-europe-crm.veevavault.com/ui/#object/vcountry__v/VENZ000004SONF5", "ES")</f>
        <v>ES</v>
      </c>
      <c r="C1243" s="8" t="s">
        <v>39</v>
      </c>
      <c r="D124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43" s="10" t="str">
        <f>HYPERLINK("https://otsuka-europe-crm.veevavault.com/ui/#object/sent_email__v/VBL000000031210", "SE-001439407")</f>
        <v>SE-001439407</v>
      </c>
      <c r="F1243" s="11"/>
      <c r="G1243" s="12">
        <v>0</v>
      </c>
      <c r="H1243" s="12">
        <v>0</v>
      </c>
      <c r="I1243" s="12">
        <v>0</v>
      </c>
      <c r="J1243" s="11"/>
      <c r="K1243" s="12">
        <v>0</v>
      </c>
      <c r="L124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43" s="10" t="str">
        <f>HYPERLINK("mailto:jguri@crm.otsuka-europe.com", "jguri@crm.otsuka-europe.com")</f>
        <v>jguri@crm.otsuka-europe.com</v>
      </c>
      <c r="N1243" s="13">
        <v>46209.318032407406</v>
      </c>
      <c r="O1243" s="14" t="str">
        <f>HYPERLINK("https://otsuka-europe-crm.veevavault.com/ui/#object/email_activity__v/V8C000000044286", "EN-002102045")</f>
        <v>EN-002102045</v>
      </c>
    </row>
    <row r="1244" spans="1:15" ht="16" x14ac:dyDescent="0.2">
      <c r="A1244" s="18" t="str">
        <f>HYPERLINK("https://otsuka-europe-crm.veevavault.com/ui/#object/account__v/V4TZ025E837V42M", "FERNANDO ALBARRAN HERNANDEZ")</f>
        <v>FERNANDO ALBARRAN HERNANDEZ</v>
      </c>
      <c r="B1244" s="18" t="str">
        <f>HYPERLINK("https://otsuka-europe-crm.veevavault.com/ui/#object/vcountry__v/VENZ000004SONF5", "ES")</f>
        <v>ES</v>
      </c>
      <c r="C1244" s="20" t="s">
        <v>39</v>
      </c>
      <c r="D124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44" s="22" t="str">
        <f>HYPERLINK("https://otsuka-europe-crm.veevavault.com/ui/#object/sent_email__v/VBL000000031211", "SE-001439408")</f>
        <v>SE-001439408</v>
      </c>
      <c r="F1244" s="25">
        <v>46215.916006944448</v>
      </c>
      <c r="G1244" s="24">
        <v>1</v>
      </c>
      <c r="H1244" s="24">
        <v>5</v>
      </c>
      <c r="I1244" s="24">
        <v>0</v>
      </c>
      <c r="J1244" s="23"/>
      <c r="K1244" s="24">
        <v>0</v>
      </c>
      <c r="L124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44" s="22" t="str">
        <f>HYPERLINK("mailto:jguri@crm.otsuka-europe.com", "jguri@crm.otsuka-europe.com")</f>
        <v>jguri@crm.otsuka-europe.com</v>
      </c>
      <c r="N1244" s="25">
        <v>46209.318032407406</v>
      </c>
      <c r="O1244" s="14" t="str">
        <f>HYPERLINK("https://otsuka-europe-crm.veevavault.com/ui/#object/email_activity__v/V8C000000043778", "EN-002103087")</f>
        <v>EN-002103087</v>
      </c>
    </row>
    <row r="1245" spans="1:15" ht="16" x14ac:dyDescent="0.2">
      <c r="A1245" s="26"/>
      <c r="B1245" s="26"/>
      <c r="C1245" s="26"/>
      <c r="D1245" s="26"/>
      <c r="E1245" s="26"/>
      <c r="F1245" s="26"/>
      <c r="G1245" s="26"/>
      <c r="H1245" s="26"/>
      <c r="I1245" s="26"/>
      <c r="J1245" s="26"/>
      <c r="K1245" s="26"/>
      <c r="L1245" s="26"/>
      <c r="M1245" s="26"/>
      <c r="N1245" s="26"/>
      <c r="O1245" s="14" t="str">
        <f>HYPERLINK("https://otsuka-europe-crm.veevavault.com/ui/#object/email_activity__v/V8C000000043779", "EN-002103088")</f>
        <v>EN-002103088</v>
      </c>
    </row>
    <row r="1246" spans="1:15" ht="16" x14ac:dyDescent="0.2">
      <c r="A1246" s="26"/>
      <c r="B1246" s="26"/>
      <c r="C1246" s="26"/>
      <c r="D1246" s="26"/>
      <c r="E1246" s="26"/>
      <c r="F1246" s="26"/>
      <c r="G1246" s="26"/>
      <c r="H1246" s="26"/>
      <c r="I1246" s="26"/>
      <c r="J1246" s="26"/>
      <c r="K1246" s="26"/>
      <c r="L1246" s="26"/>
      <c r="M1246" s="26"/>
      <c r="N1246" s="26"/>
      <c r="O1246" s="14" t="str">
        <f>HYPERLINK("https://otsuka-europe-crm.veevavault.com/ui/#object/email_activity__v/V8C000000043780", "EN-002103089")</f>
        <v>EN-002103089</v>
      </c>
    </row>
    <row r="1247" spans="1:15" ht="16" x14ac:dyDescent="0.2">
      <c r="A1247" s="26"/>
      <c r="B1247" s="26"/>
      <c r="C1247" s="26"/>
      <c r="D1247" s="26"/>
      <c r="E1247" s="26"/>
      <c r="F1247" s="26"/>
      <c r="G1247" s="26"/>
      <c r="H1247" s="26"/>
      <c r="I1247" s="26"/>
      <c r="J1247" s="26"/>
      <c r="K1247" s="26"/>
      <c r="L1247" s="26"/>
      <c r="M1247" s="26"/>
      <c r="N1247" s="26"/>
      <c r="O1247" s="14" t="str">
        <f>HYPERLINK("https://otsuka-europe-crm.veevavault.com/ui/#object/email_activity__v/V8C000000044317", "EN-002102076")</f>
        <v>EN-002102076</v>
      </c>
    </row>
    <row r="1248" spans="1:15" ht="16" x14ac:dyDescent="0.2">
      <c r="A1248" s="26"/>
      <c r="B1248" s="26"/>
      <c r="C1248" s="26"/>
      <c r="D1248" s="26"/>
      <c r="E1248" s="26"/>
      <c r="F1248" s="26"/>
      <c r="G1248" s="26"/>
      <c r="H1248" s="26"/>
      <c r="I1248" s="26"/>
      <c r="J1248" s="26"/>
      <c r="K1248" s="26"/>
      <c r="L1248" s="26"/>
      <c r="M1248" s="26"/>
      <c r="N1248" s="26"/>
      <c r="O1248" s="14" t="str">
        <f>HYPERLINK("https://otsuka-europe-crm.veevavault.com/ui/#object/email_activity__v/V8C000000044422", "EN-002102437")</f>
        <v>EN-002102437</v>
      </c>
    </row>
    <row r="1249" spans="1:15" ht="16" x14ac:dyDescent="0.2">
      <c r="A1249" s="19"/>
      <c r="B1249" s="19"/>
      <c r="C1249" s="19"/>
      <c r="D1249" s="19"/>
      <c r="E1249" s="19"/>
      <c r="F1249" s="19"/>
      <c r="G1249" s="19"/>
      <c r="H1249" s="19"/>
      <c r="I1249" s="19"/>
      <c r="J1249" s="19"/>
      <c r="K1249" s="19"/>
      <c r="L1249" s="19"/>
      <c r="M1249" s="19"/>
      <c r="N1249" s="19"/>
      <c r="O1249" s="14" t="str">
        <f>HYPERLINK("https://otsuka-europe-crm.veevavault.com/ui/#object/email_activity__v/V8C00000004A065", "EN-002105015")</f>
        <v>EN-002105015</v>
      </c>
    </row>
    <row r="1250" spans="1:15" ht="16" x14ac:dyDescent="0.2">
      <c r="A1250" s="18" t="str">
        <f>HYPERLINK("https://otsuka-europe-crm.veevavault.com/ui/#object/account__v/V4TZ025E853JOL2", "MARIA PILAR AHIJADO GUZMAN")</f>
        <v>MARIA PILAR AHIJADO GUZMAN</v>
      </c>
      <c r="B1250" s="18" t="str">
        <f>HYPERLINK("https://otsuka-europe-crm.veevavault.com/ui/#object/vcountry__v/VENZ000004SONF5", "ES")</f>
        <v>ES</v>
      </c>
      <c r="C1250" s="20" t="s">
        <v>39</v>
      </c>
      <c r="D125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50" s="22" t="str">
        <f>HYPERLINK("https://otsuka-europe-crm.veevavault.com/ui/#object/sent_email__v/VBL000000031212", "SE-001439409")</f>
        <v>SE-001439409</v>
      </c>
      <c r="F1250" s="23"/>
      <c r="G1250" s="24">
        <v>0</v>
      </c>
      <c r="H1250" s="24">
        <v>0</v>
      </c>
      <c r="I1250" s="24">
        <v>0</v>
      </c>
      <c r="J1250" s="23"/>
      <c r="K1250" s="24">
        <v>0</v>
      </c>
      <c r="L125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50" s="22" t="str">
        <f>HYPERLINK("mailto:jguri@crm.otsuka-europe.com", "jguri@crm.otsuka-europe.com")</f>
        <v>jguri@crm.otsuka-europe.com</v>
      </c>
      <c r="N1250" s="25">
        <v>46209.318032407406</v>
      </c>
      <c r="O1250" s="14" t="str">
        <f>HYPERLINK("https://otsuka-europe-crm.veevavault.com/ui/#object/email_activity__v/V8C000000043795", "EN-002103113")</f>
        <v>EN-002103113</v>
      </c>
    </row>
    <row r="1251" spans="1:15" ht="16" x14ac:dyDescent="0.2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/>
      <c r="N1251" s="19"/>
      <c r="O1251" s="14" t="str">
        <f>HYPERLINK("https://otsuka-europe-crm.veevavault.com/ui/#object/email_activity__v/V8C000000044323", "EN-002102082")</f>
        <v>EN-002102082</v>
      </c>
    </row>
    <row r="1252" spans="1:15" ht="16" x14ac:dyDescent="0.2">
      <c r="A1252" s="18" t="str">
        <f>HYPERLINK("https://otsuka-europe-crm.veevavault.com/ui/#object/account__v/V4TZ04ASGALKW70", "RAQUEL ALVAREZ FRANCO")</f>
        <v>RAQUEL ALVAREZ FRANCO</v>
      </c>
      <c r="B1252" s="18" t="str">
        <f>HYPERLINK("https://otsuka-europe-crm.veevavault.com/ui/#object/vcountry__v/VENZ000004SONF5", "ES")</f>
        <v>ES</v>
      </c>
      <c r="C1252" s="20" t="s">
        <v>39</v>
      </c>
      <c r="D125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52" s="22" t="str">
        <f>HYPERLINK("https://otsuka-europe-crm.veevavault.com/ui/#object/sent_email__v/VBL000000031213", "SE-001439410")</f>
        <v>SE-001439410</v>
      </c>
      <c r="F1252" s="23"/>
      <c r="G1252" s="24">
        <v>0</v>
      </c>
      <c r="H1252" s="24">
        <v>0</v>
      </c>
      <c r="I1252" s="24">
        <v>0</v>
      </c>
      <c r="J1252" s="23"/>
      <c r="K1252" s="24">
        <v>0</v>
      </c>
      <c r="L125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52" s="22" t="str">
        <f>HYPERLINK("mailto:jguri@crm.otsuka-europe.com", "jguri@crm.otsuka-europe.com")</f>
        <v>jguri@crm.otsuka-europe.com</v>
      </c>
      <c r="N1252" s="25">
        <v>46209.318032407406</v>
      </c>
      <c r="O1252" s="14" t="str">
        <f>HYPERLINK("https://otsuka-europe-crm.veevavault.com/ui/#object/email_activity__v/V8C000000044315", "EN-002102074")</f>
        <v>EN-002102074</v>
      </c>
    </row>
    <row r="1253" spans="1:15" ht="16" x14ac:dyDescent="0.2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/>
      <c r="L1253" s="19"/>
      <c r="M1253" s="19"/>
      <c r="N1253" s="19"/>
      <c r="O1253" s="14" t="str">
        <f>HYPERLINK("https://otsuka-europe-crm.veevavault.com/ui/#object/email_activity__v/V8C000000044353", "EN-002102113")</f>
        <v>EN-002102113</v>
      </c>
    </row>
    <row r="1254" spans="1:15" ht="16" x14ac:dyDescent="0.2">
      <c r="A1254" s="18" t="str">
        <f>HYPERLINK("https://otsuka-europe-crm.veevavault.com/ui/#object/account__v/V4TZ06G6O71T9D5", "DAVID BERNAL BELLO")</f>
        <v>DAVID BERNAL BELLO</v>
      </c>
      <c r="B1254" s="18" t="str">
        <f>HYPERLINK("https://otsuka-europe-crm.veevavault.com/ui/#object/vcountry__v/VENZ000004SONF5", "ES")</f>
        <v>ES</v>
      </c>
      <c r="C1254" s="20" t="s">
        <v>39</v>
      </c>
      <c r="D125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54" s="22" t="str">
        <f>HYPERLINK("https://otsuka-europe-crm.veevavault.com/ui/#object/sent_email__v/VBL000000031214", "SE-001439411")</f>
        <v>SE-001439411</v>
      </c>
      <c r="F1254" s="23"/>
      <c r="G1254" s="24">
        <v>0</v>
      </c>
      <c r="H1254" s="24">
        <v>0</v>
      </c>
      <c r="I1254" s="24">
        <v>0</v>
      </c>
      <c r="J1254" s="23"/>
      <c r="K1254" s="24">
        <v>0</v>
      </c>
      <c r="L125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54" s="22" t="str">
        <f>HYPERLINK("mailto:jguri@crm.otsuka-europe.com", "jguri@crm.otsuka-europe.com")</f>
        <v>jguri@crm.otsuka-europe.com</v>
      </c>
      <c r="N1254" s="25">
        <v>46209.318032407406</v>
      </c>
      <c r="O1254" s="14" t="str">
        <f>HYPERLINK("https://otsuka-europe-crm.veevavault.com/ui/#object/email_activity__v/V8C000000044303", "EN-002102062")</f>
        <v>EN-002102062</v>
      </c>
    </row>
    <row r="1255" spans="1:15" ht="16" x14ac:dyDescent="0.2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/>
      <c r="L1255" s="19"/>
      <c r="M1255" s="19"/>
      <c r="N1255" s="19"/>
      <c r="O1255" s="14" t="str">
        <f>HYPERLINK("https://otsuka-europe-crm.veevavault.com/ui/#object/email_activity__v/V8C000000044461", "EN-002102499")</f>
        <v>EN-002102499</v>
      </c>
    </row>
    <row r="1256" spans="1:15" ht="16" x14ac:dyDescent="0.2">
      <c r="A1256" s="18" t="str">
        <f>HYPERLINK("https://otsuka-europe-crm.veevavault.com/ui/#object/account__v/V4TZ04ASG9UCG39", "ELENA RABADAN RUBIO")</f>
        <v>ELENA RABADAN RUBIO</v>
      </c>
      <c r="B1256" s="18" t="str">
        <f>HYPERLINK("https://otsuka-europe-crm.veevavault.com/ui/#object/vcountry__v/VENZ000004SONF5", "ES")</f>
        <v>ES</v>
      </c>
      <c r="C1256" s="20" t="s">
        <v>39</v>
      </c>
      <c r="D125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56" s="22" t="str">
        <f>HYPERLINK("https://otsuka-europe-crm.veevavault.com/ui/#object/sent_email__v/VBL000000031215", "SE-001439412")</f>
        <v>SE-001439412</v>
      </c>
      <c r="F1256" s="23"/>
      <c r="G1256" s="24">
        <v>0</v>
      </c>
      <c r="H1256" s="24">
        <v>0</v>
      </c>
      <c r="I1256" s="24">
        <v>0</v>
      </c>
      <c r="J1256" s="23"/>
      <c r="K1256" s="24">
        <v>0</v>
      </c>
      <c r="L125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56" s="22" t="str">
        <f>HYPERLINK("mailto:jguri@crm.otsuka-europe.com", "jguri@crm.otsuka-europe.com")</f>
        <v>jguri@crm.otsuka-europe.com</v>
      </c>
      <c r="N1256" s="25">
        <v>46209.318032407406</v>
      </c>
      <c r="O1256" s="14" t="str">
        <f>HYPERLINK("https://otsuka-europe-crm.veevavault.com/ui/#object/email_activity__v/V8C000000043522", "EN-002102581")</f>
        <v>EN-002102581</v>
      </c>
    </row>
    <row r="1257" spans="1:15" ht="16" x14ac:dyDescent="0.2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/>
      <c r="L1257" s="19"/>
      <c r="M1257" s="19"/>
      <c r="N1257" s="19"/>
      <c r="O1257" s="14" t="str">
        <f>HYPERLINK("https://otsuka-europe-crm.veevavault.com/ui/#object/email_activity__v/V8C000000044294", "EN-002102053")</f>
        <v>EN-002102053</v>
      </c>
    </row>
    <row r="1258" spans="1:15" ht="64" x14ac:dyDescent="0.2">
      <c r="A1258" s="7" t="str">
        <f>HYPERLINK("https://otsuka-europe-crm.veevavault.com/ui/#object/account__v/V4TZ04ASG9U8TBF", "MARIA PUERTO MORENO GIL")</f>
        <v>MARIA PUERTO MORENO GIL</v>
      </c>
      <c r="B1258" s="7" t="str">
        <f>HYPERLINK("https://otsuka-europe-crm.veevavault.com/ui/#object/vcountry__v/VENZ000004SONF5", "ES")</f>
        <v>ES</v>
      </c>
      <c r="C1258" s="8" t="s">
        <v>39</v>
      </c>
      <c r="D125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58" s="10" t="str">
        <f>HYPERLINK("https://otsuka-europe-crm.veevavault.com/ui/#object/sent_email__v/VBL000000031216", "SE-001439413")</f>
        <v>SE-001439413</v>
      </c>
      <c r="F1258" s="11"/>
      <c r="G1258" s="12">
        <v>0</v>
      </c>
      <c r="H1258" s="12">
        <v>0</v>
      </c>
      <c r="I1258" s="12">
        <v>0</v>
      </c>
      <c r="J1258" s="11"/>
      <c r="K1258" s="12">
        <v>0</v>
      </c>
      <c r="L125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58" s="10" t="str">
        <f>HYPERLINK("mailto:jguri@crm.otsuka-europe.com", "jguri@crm.otsuka-europe.com")</f>
        <v>jguri@crm.otsuka-europe.com</v>
      </c>
      <c r="N1258" s="13">
        <v>46209.318101851852</v>
      </c>
      <c r="O1258" s="14" t="str">
        <f>HYPERLINK("https://otsuka-europe-crm.veevavault.com/ui/#object/email_activity__v/V8C000000044308", "EN-002102067")</f>
        <v>EN-002102067</v>
      </c>
    </row>
    <row r="1259" spans="1:15" ht="64" x14ac:dyDescent="0.2">
      <c r="A1259" s="7" t="str">
        <f>HYPERLINK("https://otsuka-europe-crm.veevavault.com/ui/#object/account__v/V4TZ04ASG9ZN0LL", "MARINA SALIDO OLIVARES")</f>
        <v>MARINA SALIDO OLIVARES</v>
      </c>
      <c r="B1259" s="7" t="str">
        <f>HYPERLINK("https://otsuka-europe-crm.veevavault.com/ui/#object/vcountry__v/VENZ000004SONF5", "ES")</f>
        <v>ES</v>
      </c>
      <c r="C1259" s="8" t="s">
        <v>39</v>
      </c>
      <c r="D125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59" s="10" t="str">
        <f>HYPERLINK("https://otsuka-europe-crm.veevavault.com/ui/#object/sent_email__v/VBL000000031217", "SE-001439414")</f>
        <v>SE-001439414</v>
      </c>
      <c r="F1259" s="11"/>
      <c r="G1259" s="12">
        <v>0</v>
      </c>
      <c r="H1259" s="12">
        <v>0</v>
      </c>
      <c r="I1259" s="12">
        <v>0</v>
      </c>
      <c r="J1259" s="11"/>
      <c r="K1259" s="12">
        <v>0</v>
      </c>
      <c r="L125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59" s="10" t="str">
        <f>HYPERLINK("mailto:jguri@crm.otsuka-europe.com", "jguri@crm.otsuka-europe.com")</f>
        <v>jguri@crm.otsuka-europe.com</v>
      </c>
      <c r="N1259" s="13">
        <v>46209.318032407406</v>
      </c>
      <c r="O1259" s="14" t="str">
        <f>HYPERLINK("https://otsuka-europe-crm.veevavault.com/ui/#object/email_activity__v/V8C000000044330", "EN-002102089")</f>
        <v>EN-002102089</v>
      </c>
    </row>
    <row r="1260" spans="1:15" ht="64" x14ac:dyDescent="0.2">
      <c r="A1260" s="7" t="str">
        <f>HYPERLINK("https://otsuka-europe-crm.veevavault.com/ui/#object/account__v/V4TZ06G6OB4BK1Z", "MARIA ISABEL MARTIN MARTIN")</f>
        <v>MARIA ISABEL MARTIN MARTIN</v>
      </c>
      <c r="B1260" s="7" t="str">
        <f>HYPERLINK("https://otsuka-europe-crm.veevavault.com/ui/#object/vcountry__v/VENZ000004SONF5", "ES")</f>
        <v>ES</v>
      </c>
      <c r="C1260" s="8" t="s">
        <v>39</v>
      </c>
      <c r="D126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0" s="10" t="str">
        <f>HYPERLINK("https://otsuka-europe-crm.veevavault.com/ui/#object/sent_email__v/VBL000000031218", "SE-001439415")</f>
        <v>SE-001439415</v>
      </c>
      <c r="F1260" s="11"/>
      <c r="G1260" s="12">
        <v>0</v>
      </c>
      <c r="H1260" s="12">
        <v>0</v>
      </c>
      <c r="I1260" s="12">
        <v>0</v>
      </c>
      <c r="J1260" s="11"/>
      <c r="K1260" s="12">
        <v>0</v>
      </c>
      <c r="L126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0" s="10" t="str">
        <f>HYPERLINK("mailto:jguri@crm.otsuka-europe.com", "jguri@crm.otsuka-europe.com")</f>
        <v>jguri@crm.otsuka-europe.com</v>
      </c>
      <c r="N1260" s="13">
        <v>46209.318032407406</v>
      </c>
      <c r="O1260" s="14" t="str">
        <f>HYPERLINK("https://otsuka-europe-crm.veevavault.com/ui/#object/email_activity__v/V8C000000044326", "EN-002102085")</f>
        <v>EN-002102085</v>
      </c>
    </row>
    <row r="1261" spans="1:15" ht="16" x14ac:dyDescent="0.2">
      <c r="A1261" s="18" t="str">
        <f>HYPERLINK("https://otsuka-europe-crm.veevavault.com/ui/#object/account__v/V4TZ06G6O71TYGS", "XAVIER RIVAS REGAIRA")</f>
        <v>XAVIER RIVAS REGAIRA</v>
      </c>
      <c r="B1261" s="18" t="str">
        <f>HYPERLINK("https://otsuka-europe-crm.veevavault.com/ui/#object/vcountry__v/VENZ000004SONF5", "ES")</f>
        <v>ES</v>
      </c>
      <c r="C1261" s="20" t="s">
        <v>39</v>
      </c>
      <c r="D126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1" s="22" t="str">
        <f>HYPERLINK("https://otsuka-europe-crm.veevavault.com/ui/#object/sent_email__v/VBL000000031219", "SE-001439416")</f>
        <v>SE-001439416</v>
      </c>
      <c r="F1261" s="23"/>
      <c r="G1261" s="24">
        <v>0</v>
      </c>
      <c r="H1261" s="24">
        <v>0</v>
      </c>
      <c r="I1261" s="24">
        <v>0</v>
      </c>
      <c r="J1261" s="23"/>
      <c r="K1261" s="24">
        <v>0</v>
      </c>
      <c r="L126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1" s="22" t="str">
        <f>HYPERLINK("mailto:jguri@crm.otsuka-europe.com", "jguri@crm.otsuka-europe.com")</f>
        <v>jguri@crm.otsuka-europe.com</v>
      </c>
      <c r="N1261" s="25">
        <v>46209.318032407406</v>
      </c>
      <c r="O1261" s="14" t="str">
        <f>HYPERLINK("https://otsuka-europe-crm.veevavault.com/ui/#object/email_activity__v/V8C000000043207", "EN-002102119")</f>
        <v>EN-002102119</v>
      </c>
    </row>
    <row r="1262" spans="1:15" ht="16" x14ac:dyDescent="0.2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/>
      <c r="L1262" s="19"/>
      <c r="M1262" s="19"/>
      <c r="N1262" s="19"/>
      <c r="O1262" s="14" t="str">
        <f>HYPERLINK("https://otsuka-europe-crm.veevavault.com/ui/#object/email_activity__v/V8C000000044293", "EN-002102052")</f>
        <v>EN-002102052</v>
      </c>
    </row>
    <row r="1263" spans="1:15" ht="64" x14ac:dyDescent="0.2">
      <c r="A1263" s="7" t="str">
        <f>HYPERLINK("https://otsuka-europe-crm.veevavault.com/ui/#object/account__v/V4TZ04ASG9UAT00", "JANIRE MALAVE CALZADA")</f>
        <v>JANIRE MALAVE CALZADA</v>
      </c>
      <c r="B1263" s="7" t="str">
        <f>HYPERLINK("https://otsuka-europe-crm.veevavault.com/ui/#object/vcountry__v/VENZ000004SONF5", "ES")</f>
        <v>ES</v>
      </c>
      <c r="C1263" s="8" t="s">
        <v>39</v>
      </c>
      <c r="D126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3" s="10" t="str">
        <f>HYPERLINK("https://otsuka-europe-crm.veevavault.com/ui/#object/sent_email__v/VBL000000031220", "SE-001439417")</f>
        <v>SE-001439417</v>
      </c>
      <c r="F1263" s="11"/>
      <c r="G1263" s="12">
        <v>0</v>
      </c>
      <c r="H1263" s="12">
        <v>0</v>
      </c>
      <c r="I1263" s="12">
        <v>0</v>
      </c>
      <c r="J1263" s="11"/>
      <c r="K1263" s="12">
        <v>0</v>
      </c>
      <c r="L126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3" s="10" t="str">
        <f>HYPERLINK("mailto:jguri@crm.otsuka-europe.com", "jguri@crm.otsuka-europe.com")</f>
        <v>jguri@crm.otsuka-europe.com</v>
      </c>
      <c r="N1263" s="13">
        <v>46209.318020833336</v>
      </c>
      <c r="O1263" s="14" t="str">
        <f>HYPERLINK("https://otsuka-europe-crm.veevavault.com/ui/#object/email_activity__v/V8C000000044327", "EN-002102086")</f>
        <v>EN-002102086</v>
      </c>
    </row>
    <row r="1264" spans="1:15" ht="64" x14ac:dyDescent="0.2">
      <c r="A1264" s="7" t="str">
        <f>HYPERLINK("https://otsuka-europe-crm.veevavault.com/ui/#object/account__v/V4TZ04ASG9UAU21", "MARIA TORRESANO ANDRES")</f>
        <v>MARIA TORRESANO ANDRES</v>
      </c>
      <c r="B1264" s="7" t="str">
        <f>HYPERLINK("https://otsuka-europe-crm.veevavault.com/ui/#object/vcountry__v/VENZ000004SONF5", "ES")</f>
        <v>ES</v>
      </c>
      <c r="C1264" s="8" t="s">
        <v>39</v>
      </c>
      <c r="D126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4" s="10" t="str">
        <f>HYPERLINK("https://otsuka-europe-crm.veevavault.com/ui/#object/sent_email__v/VBL000000031221", "SE-001439418")</f>
        <v>SE-001439418</v>
      </c>
      <c r="F1264" s="11"/>
      <c r="G1264" s="12">
        <v>0</v>
      </c>
      <c r="H1264" s="12">
        <v>0</v>
      </c>
      <c r="I1264" s="12">
        <v>0</v>
      </c>
      <c r="J1264" s="11"/>
      <c r="K1264" s="12">
        <v>0</v>
      </c>
      <c r="L126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4" s="10" t="str">
        <f>HYPERLINK("mailto:jguri@crm.otsuka-europe.com", "jguri@crm.otsuka-europe.com")</f>
        <v>jguri@crm.otsuka-europe.com</v>
      </c>
      <c r="N1264" s="13">
        <v>46209.318020833336</v>
      </c>
      <c r="O1264" s="14" t="str">
        <f>HYPERLINK("https://otsuka-europe-crm.veevavault.com/ui/#object/email_activity__v/V8C000000044290", "EN-002102049")</f>
        <v>EN-002102049</v>
      </c>
    </row>
    <row r="1265" spans="1:15" ht="64" x14ac:dyDescent="0.2">
      <c r="A1265" s="7" t="str">
        <f>HYPERLINK("https://otsuka-europe-crm.veevavault.com/ui/#object/account__v/V4TZ04ASGBTZCJT", "ELISA FERNANDEZ FERNANDEZ")</f>
        <v>ELISA FERNANDEZ FERNANDEZ</v>
      </c>
      <c r="B1265" s="7" t="str">
        <f>HYPERLINK("https://otsuka-europe-crm.veevavault.com/ui/#object/vcountry__v/VENZ000004SONF5", "ES")</f>
        <v>ES</v>
      </c>
      <c r="C1265" s="8" t="s">
        <v>39</v>
      </c>
      <c r="D126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5" s="10" t="str">
        <f>HYPERLINK("https://otsuka-europe-crm.veevavault.com/ui/#object/sent_email__v/VBL000000031222", "SE-001439419")</f>
        <v>SE-001439419</v>
      </c>
      <c r="F1265" s="11"/>
      <c r="G1265" s="12">
        <v>0</v>
      </c>
      <c r="H1265" s="12">
        <v>0</v>
      </c>
      <c r="I1265" s="12">
        <v>0</v>
      </c>
      <c r="J1265" s="11"/>
      <c r="K1265" s="12">
        <v>0</v>
      </c>
      <c r="L126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5" s="10" t="str">
        <f>HYPERLINK("mailto:jguri@crm.otsuka-europe.com", "jguri@crm.otsuka-europe.com")</f>
        <v>jguri@crm.otsuka-europe.com</v>
      </c>
      <c r="N1265" s="13">
        <v>46209.318020833336</v>
      </c>
      <c r="O1265" s="14" t="str">
        <f>HYPERLINK("https://otsuka-europe-crm.veevavault.com/ui/#object/email_activity__v/V8C000000044297", "EN-002102056")</f>
        <v>EN-002102056</v>
      </c>
    </row>
    <row r="1266" spans="1:15" ht="16" x14ac:dyDescent="0.2">
      <c r="A1266" s="18" t="str">
        <f>HYPERLINK("https://otsuka-europe-crm.veevavault.com/ui/#object/account__v/V4TZ04ASGBTZCJS", "MARIA GEMA BONILLA HERNAN")</f>
        <v>MARIA GEMA BONILLA HERNAN</v>
      </c>
      <c r="B1266" s="18" t="str">
        <f>HYPERLINK("https://otsuka-europe-crm.veevavault.com/ui/#object/vcountry__v/VENZ000004SONF5", "ES")</f>
        <v>ES</v>
      </c>
      <c r="C1266" s="20" t="s">
        <v>39</v>
      </c>
      <c r="D126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6" s="22" t="str">
        <f>HYPERLINK("https://otsuka-europe-crm.veevavault.com/ui/#object/sent_email__v/VBL000000031223", "SE-001439420")</f>
        <v>SE-001439420</v>
      </c>
      <c r="F1266" s="23"/>
      <c r="G1266" s="24">
        <v>0</v>
      </c>
      <c r="H1266" s="24">
        <v>0</v>
      </c>
      <c r="I1266" s="24">
        <v>0</v>
      </c>
      <c r="J1266" s="23"/>
      <c r="K1266" s="24">
        <v>0</v>
      </c>
      <c r="L126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6" s="22" t="str">
        <f>HYPERLINK("mailto:jguri@crm.otsuka-europe.com", "jguri@crm.otsuka-europe.com")</f>
        <v>jguri@crm.otsuka-europe.com</v>
      </c>
      <c r="N1266" s="25">
        <v>46209.318020833336</v>
      </c>
      <c r="O1266" s="14" t="str">
        <f>HYPERLINK("https://otsuka-europe-crm.veevavault.com/ui/#object/email_activity__v/V8C000000043547", "EN-002102631")</f>
        <v>EN-002102631</v>
      </c>
    </row>
    <row r="1267" spans="1:15" ht="16" x14ac:dyDescent="0.2">
      <c r="A1267" s="26"/>
      <c r="B1267" s="26"/>
      <c r="C1267" s="26"/>
      <c r="D1267" s="26"/>
      <c r="E1267" s="26"/>
      <c r="F1267" s="26"/>
      <c r="G1267" s="26"/>
      <c r="H1267" s="26"/>
      <c r="I1267" s="26"/>
      <c r="J1267" s="26"/>
      <c r="K1267" s="26"/>
      <c r="L1267" s="26"/>
      <c r="M1267" s="26"/>
      <c r="N1267" s="26"/>
      <c r="O1267" s="14" t="str">
        <f>HYPERLINK("https://otsuka-europe-crm.veevavault.com/ui/#object/email_activity__v/V8C000000043766", "EN-002103067")</f>
        <v>EN-002103067</v>
      </c>
    </row>
    <row r="1268" spans="1:15" ht="16" x14ac:dyDescent="0.2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/>
      <c r="L1268" s="19"/>
      <c r="M1268" s="19"/>
      <c r="N1268" s="19"/>
      <c r="O1268" s="14" t="str">
        <f>HYPERLINK("https://otsuka-europe-crm.veevavault.com/ui/#object/email_activity__v/V8C000000044328", "EN-002102087")</f>
        <v>EN-002102087</v>
      </c>
    </row>
    <row r="1269" spans="1:15" ht="16" x14ac:dyDescent="0.2">
      <c r="A1269" s="18" t="str">
        <f>HYPERLINK("https://otsuka-europe-crm.veevavault.com/ui/#object/account__v/V4TZ06G6O71TB2H", "MIGUEL MARCOS MARTIN")</f>
        <v>MIGUEL MARCOS MARTIN</v>
      </c>
      <c r="B1269" s="18" t="str">
        <f>HYPERLINK("https://otsuka-europe-crm.veevavault.com/ui/#object/vcountry__v/VENZ000004SONF5", "ES")</f>
        <v>ES</v>
      </c>
      <c r="C1269" s="20" t="s">
        <v>39</v>
      </c>
      <c r="D126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69" s="22" t="str">
        <f>HYPERLINK("https://otsuka-europe-crm.veevavault.com/ui/#object/sent_email__v/VBL000000031224", "SE-001439421")</f>
        <v>SE-001439421</v>
      </c>
      <c r="F1269" s="25">
        <v>46224.650034722225</v>
      </c>
      <c r="G1269" s="24">
        <v>1</v>
      </c>
      <c r="H1269" s="24">
        <v>6</v>
      </c>
      <c r="I1269" s="24">
        <v>0</v>
      </c>
      <c r="J1269" s="23"/>
      <c r="K1269" s="24">
        <v>0</v>
      </c>
      <c r="L126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69" s="22" t="str">
        <f>HYPERLINK("mailto:jguri@crm.otsuka-europe.com", "jguri@crm.otsuka-europe.com")</f>
        <v>jguri@crm.otsuka-europe.com</v>
      </c>
      <c r="N1269" s="25">
        <v>46209.318009259259</v>
      </c>
      <c r="O1269" s="14" t="str">
        <f>HYPERLINK("https://otsuka-europe-crm.veevavault.com/ui/#object/email_activity__v/V8C000000043519", "EN-002102572")</f>
        <v>EN-002102572</v>
      </c>
    </row>
    <row r="1270" spans="1:15" ht="16" x14ac:dyDescent="0.2">
      <c r="A1270" s="26"/>
      <c r="B1270" s="26"/>
      <c r="C1270" s="26"/>
      <c r="D1270" s="26"/>
      <c r="E1270" s="26"/>
      <c r="F1270" s="26"/>
      <c r="G1270" s="26"/>
      <c r="H1270" s="26"/>
      <c r="I1270" s="26"/>
      <c r="J1270" s="26"/>
      <c r="K1270" s="26"/>
      <c r="L1270" s="26"/>
      <c r="M1270" s="26"/>
      <c r="N1270" s="26"/>
      <c r="O1270" s="14" t="str">
        <f>HYPERLINK("https://otsuka-europe-crm.veevavault.com/ui/#object/email_activity__v/V8C000000043552", "EN-002102636")</f>
        <v>EN-002102636</v>
      </c>
    </row>
    <row r="1271" spans="1:15" ht="16" x14ac:dyDescent="0.2">
      <c r="A1271" s="26"/>
      <c r="B1271" s="26"/>
      <c r="C1271" s="26"/>
      <c r="D1271" s="26"/>
      <c r="E1271" s="26"/>
      <c r="F1271" s="26"/>
      <c r="G1271" s="26"/>
      <c r="H1271" s="26"/>
      <c r="I1271" s="26"/>
      <c r="J1271" s="26"/>
      <c r="K1271" s="26"/>
      <c r="L1271" s="26"/>
      <c r="M1271" s="26"/>
      <c r="N1271" s="26"/>
      <c r="O1271" s="14" t="str">
        <f>HYPERLINK("https://otsuka-europe-crm.veevavault.com/ui/#object/email_activity__v/V8C000000044316", "EN-002102075")</f>
        <v>EN-002102075</v>
      </c>
    </row>
    <row r="1272" spans="1:15" ht="16" x14ac:dyDescent="0.2">
      <c r="A1272" s="26"/>
      <c r="B1272" s="26"/>
      <c r="C1272" s="26"/>
      <c r="D1272" s="26"/>
      <c r="E1272" s="26"/>
      <c r="F1272" s="26"/>
      <c r="G1272" s="26"/>
      <c r="H1272" s="26"/>
      <c r="I1272" s="26"/>
      <c r="J1272" s="26"/>
      <c r="K1272" s="26"/>
      <c r="L1272" s="26"/>
      <c r="M1272" s="26"/>
      <c r="N1272" s="26"/>
      <c r="O1272" s="14" t="str">
        <f>HYPERLINK("https://otsuka-europe-crm.veevavault.com/ui/#object/email_activity__v/V8C000000044333", "EN-002102092")</f>
        <v>EN-002102092</v>
      </c>
    </row>
    <row r="1273" spans="1:15" ht="16" x14ac:dyDescent="0.2">
      <c r="A1273" s="26"/>
      <c r="B1273" s="26"/>
      <c r="C1273" s="26"/>
      <c r="D1273" s="26"/>
      <c r="E1273" s="26"/>
      <c r="F1273" s="26"/>
      <c r="G1273" s="26"/>
      <c r="H1273" s="26"/>
      <c r="I1273" s="26"/>
      <c r="J1273" s="26"/>
      <c r="K1273" s="26"/>
      <c r="L1273" s="26"/>
      <c r="M1273" s="26"/>
      <c r="N1273" s="26"/>
      <c r="O1273" s="14" t="str">
        <f>HYPERLINK("https://otsuka-europe-crm.veevavault.com/ui/#object/email_activity__v/V8C00000004B256", "EN-002107167")</f>
        <v>EN-002107167</v>
      </c>
    </row>
    <row r="1274" spans="1:15" ht="16" x14ac:dyDescent="0.2">
      <c r="A1274" s="26"/>
      <c r="B1274" s="26"/>
      <c r="C1274" s="26"/>
      <c r="D1274" s="26"/>
      <c r="E1274" s="26"/>
      <c r="F1274" s="26"/>
      <c r="G1274" s="26"/>
      <c r="H1274" s="26"/>
      <c r="I1274" s="26"/>
      <c r="J1274" s="26"/>
      <c r="K1274" s="26"/>
      <c r="L1274" s="26"/>
      <c r="M1274" s="26"/>
      <c r="N1274" s="26"/>
      <c r="O1274" s="14" t="str">
        <f>HYPERLINK("https://otsuka-europe-crm.veevavault.com/ui/#object/email_activity__v/V8C00000004B257", "EN-002107168")</f>
        <v>EN-002107168</v>
      </c>
    </row>
    <row r="1275" spans="1:15" ht="16" x14ac:dyDescent="0.2">
      <c r="A1275" s="26"/>
      <c r="B1275" s="26"/>
      <c r="C1275" s="26"/>
      <c r="D1275" s="26"/>
      <c r="E1275" s="26"/>
      <c r="F1275" s="26"/>
      <c r="G1275" s="26"/>
      <c r="H1275" s="26"/>
      <c r="I1275" s="26"/>
      <c r="J1275" s="26"/>
      <c r="K1275" s="26"/>
      <c r="L1275" s="26"/>
      <c r="M1275" s="26"/>
      <c r="N1275" s="26"/>
      <c r="O1275" s="14" t="str">
        <f>HYPERLINK("https://otsuka-europe-crm.veevavault.com/ui/#object/email_activity__v/V8C00000004B777", "EN-002108039")</f>
        <v>EN-002108039</v>
      </c>
    </row>
    <row r="1276" spans="1:15" ht="16" x14ac:dyDescent="0.2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/>
      <c r="L1276" s="19"/>
      <c r="M1276" s="19"/>
      <c r="N1276" s="19"/>
      <c r="O1276" s="14" t="str">
        <f>HYPERLINK("https://otsuka-europe-crm.veevavault.com/ui/#object/email_activity__v/V8C00000004C186", "EN-002107178")</f>
        <v>EN-002107178</v>
      </c>
    </row>
    <row r="1277" spans="1:15" ht="16" x14ac:dyDescent="0.2">
      <c r="A1277" s="18" t="str">
        <f>HYPERLINK("https://otsuka-europe-crm.veevavault.com/ui/#object/account__v/V4TZ04ASG9UCG7Z", "MELCHOR ALVAREZ DE MON SOTO")</f>
        <v>MELCHOR ALVAREZ DE MON SOTO</v>
      </c>
      <c r="B1277" s="18" t="str">
        <f>HYPERLINK("https://otsuka-europe-crm.veevavault.com/ui/#object/vcountry__v/VENZ000004SONF5", "ES")</f>
        <v>ES</v>
      </c>
      <c r="C1277" s="20" t="s">
        <v>39</v>
      </c>
      <c r="D127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77" s="22" t="str">
        <f>HYPERLINK("https://otsuka-europe-crm.veevavault.com/ui/#object/sent_email__v/VBL000000031225", "SE-001439422")</f>
        <v>SE-001439422</v>
      </c>
      <c r="F1277" s="23"/>
      <c r="G1277" s="24">
        <v>0</v>
      </c>
      <c r="H1277" s="24">
        <v>0</v>
      </c>
      <c r="I1277" s="24">
        <v>0</v>
      </c>
      <c r="J1277" s="23"/>
      <c r="K1277" s="24">
        <v>0</v>
      </c>
      <c r="L127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77" s="22" t="str">
        <f>HYPERLINK("mailto:jguri@crm.otsuka-europe.com", "jguri@crm.otsuka-europe.com")</f>
        <v>jguri@crm.otsuka-europe.com</v>
      </c>
      <c r="N1277" s="25">
        <v>46209.318009259259</v>
      </c>
      <c r="O1277" s="14" t="str">
        <f>HYPERLINK("https://otsuka-europe-crm.veevavault.com/ui/#object/email_activity__v/V8C000000043546", "EN-002102630")</f>
        <v>EN-002102630</v>
      </c>
    </row>
    <row r="1278" spans="1:15" ht="16" x14ac:dyDescent="0.2">
      <c r="A1278" s="26"/>
      <c r="B1278" s="26"/>
      <c r="C1278" s="26"/>
      <c r="D1278" s="26"/>
      <c r="E1278" s="26"/>
      <c r="F1278" s="26"/>
      <c r="G1278" s="26"/>
      <c r="H1278" s="26"/>
      <c r="I1278" s="26"/>
      <c r="J1278" s="26"/>
      <c r="K1278" s="26"/>
      <c r="L1278" s="26"/>
      <c r="M1278" s="26"/>
      <c r="N1278" s="26"/>
      <c r="O1278" s="14" t="str">
        <f>HYPERLINK("https://otsuka-europe-crm.veevavault.com/ui/#object/email_activity__v/V8C000000044309", "EN-002102068")</f>
        <v>EN-002102068</v>
      </c>
    </row>
    <row r="1279" spans="1:15" ht="16" x14ac:dyDescent="0.2">
      <c r="A1279" s="26"/>
      <c r="B1279" s="26"/>
      <c r="C1279" s="26"/>
      <c r="D1279" s="26"/>
      <c r="E1279" s="26"/>
      <c r="F1279" s="26"/>
      <c r="G1279" s="26"/>
      <c r="H1279" s="26"/>
      <c r="I1279" s="26"/>
      <c r="J1279" s="26"/>
      <c r="K1279" s="26"/>
      <c r="L1279" s="26"/>
      <c r="M1279" s="26"/>
      <c r="N1279" s="26"/>
      <c r="O1279" s="14" t="str">
        <f>HYPERLINK("https://otsuka-europe-crm.veevavault.com/ui/#object/email_activity__v/V8C000000044780", "EN-002103142")</f>
        <v>EN-002103142</v>
      </c>
    </row>
    <row r="1280" spans="1:15" ht="16" x14ac:dyDescent="0.2">
      <c r="A1280" s="26"/>
      <c r="B1280" s="26"/>
      <c r="C1280" s="26"/>
      <c r="D1280" s="26"/>
      <c r="E1280" s="26"/>
      <c r="F1280" s="26"/>
      <c r="G1280" s="26"/>
      <c r="H1280" s="26"/>
      <c r="I1280" s="26"/>
      <c r="J1280" s="26"/>
      <c r="K1280" s="26"/>
      <c r="L1280" s="26"/>
      <c r="M1280" s="26"/>
      <c r="N1280" s="26"/>
      <c r="O1280" s="14" t="str">
        <f>HYPERLINK("https://otsuka-europe-crm.veevavault.com/ui/#object/email_activity__v/V8C000000049027", "EN-002104923")</f>
        <v>EN-002104923</v>
      </c>
    </row>
    <row r="1281" spans="1:15" ht="16" x14ac:dyDescent="0.2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/>
      <c r="L1281" s="19"/>
      <c r="M1281" s="19"/>
      <c r="N1281" s="19"/>
      <c r="O1281" s="14" t="str">
        <f>HYPERLINK("https://otsuka-europe-crm.veevavault.com/ui/#object/email_activity__v/V8C00000004C059", "EN-002106860")</f>
        <v>EN-002106860</v>
      </c>
    </row>
    <row r="1282" spans="1:15" ht="64" x14ac:dyDescent="0.2">
      <c r="A1282" s="7" t="str">
        <f>HYPERLINK("https://otsuka-europe-crm.veevavault.com/ui/#object/account__v/V4TZ04ASG9UATYL", "NATALIA LUCAS COLLADO")</f>
        <v>NATALIA LUCAS COLLADO</v>
      </c>
      <c r="B1282" s="7" t="str">
        <f>HYPERLINK("https://otsuka-europe-crm.veevavault.com/ui/#object/vcountry__v/VENZ000004SONF5", "ES")</f>
        <v>ES</v>
      </c>
      <c r="C1282" s="8" t="s">
        <v>39</v>
      </c>
      <c r="D128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82" s="10" t="str">
        <f>HYPERLINK("https://otsuka-europe-crm.veevavault.com/ui/#object/sent_email__v/VBL000000031226", "SE-001439423")</f>
        <v>SE-001439423</v>
      </c>
      <c r="F1282" s="11"/>
      <c r="G1282" s="12">
        <v>0</v>
      </c>
      <c r="H1282" s="12">
        <v>0</v>
      </c>
      <c r="I1282" s="12">
        <v>0</v>
      </c>
      <c r="J1282" s="11"/>
      <c r="K1282" s="12">
        <v>0</v>
      </c>
      <c r="L128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82" s="10" t="str">
        <f>HYPERLINK("mailto:jguri@crm.otsuka-europe.com", "jguri@crm.otsuka-europe.com")</f>
        <v>jguri@crm.otsuka-europe.com</v>
      </c>
      <c r="N1282" s="13">
        <v>46209.318055555559</v>
      </c>
      <c r="O1282" s="14" t="str">
        <f>HYPERLINK("https://otsuka-europe-crm.veevavault.com/ui/#object/email_activity__v/V8C000000044305", "EN-002102064")</f>
        <v>EN-002102064</v>
      </c>
    </row>
    <row r="1283" spans="1:15" ht="64" x14ac:dyDescent="0.2">
      <c r="A1283" s="7" t="str">
        <f>HYPERLINK("https://otsuka-europe-crm.veevavault.com/ui/#object/account__v/V4TZ04ASGE77EI5", "ESPERANZA PATO COUR")</f>
        <v>ESPERANZA PATO COUR</v>
      </c>
      <c r="B1283" s="7" t="str">
        <f>HYPERLINK("https://otsuka-europe-crm.veevavault.com/ui/#object/vcountry__v/VENZ000004SONF5", "ES")</f>
        <v>ES</v>
      </c>
      <c r="C1283" s="8" t="s">
        <v>39</v>
      </c>
      <c r="D128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83" s="10" t="str">
        <f>HYPERLINK("https://otsuka-europe-crm.veevavault.com/ui/#object/sent_email__v/VBL000000031227", "SE-001439424")</f>
        <v>SE-001439424</v>
      </c>
      <c r="F1283" s="11"/>
      <c r="G1283" s="12">
        <v>0</v>
      </c>
      <c r="H1283" s="12">
        <v>0</v>
      </c>
      <c r="I1283" s="12">
        <v>0</v>
      </c>
      <c r="J1283" s="11"/>
      <c r="K1283" s="12">
        <v>0</v>
      </c>
      <c r="L128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83" s="10" t="str">
        <f>HYPERLINK("mailto:jguri@crm.otsuka-europe.com", "jguri@crm.otsuka-europe.com")</f>
        <v>jguri@crm.otsuka-europe.com</v>
      </c>
      <c r="N1283" s="13">
        <v>46209.318032407406</v>
      </c>
      <c r="O1283" s="14" t="str">
        <f>HYPERLINK("https://otsuka-europe-crm.veevavault.com/ui/#object/email_activity__v/V8C000000044304", "EN-002102063")</f>
        <v>EN-002102063</v>
      </c>
    </row>
    <row r="1284" spans="1:15" ht="64" x14ac:dyDescent="0.2">
      <c r="A1284" s="7" t="str">
        <f>HYPERLINK("https://otsuka-europe-crm.veevavault.com/ui/#object/account__v/V4TZ04ASG95OK44", "CRISTINA VADILLO FONT")</f>
        <v>CRISTINA VADILLO FONT</v>
      </c>
      <c r="B1284" s="7" t="str">
        <f>HYPERLINK("https://otsuka-europe-crm.veevavault.com/ui/#object/vcountry__v/VENZ000004SONF5", "ES")</f>
        <v>ES</v>
      </c>
      <c r="C1284" s="8" t="s">
        <v>39</v>
      </c>
      <c r="D128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84" s="10" t="str">
        <f>HYPERLINK("https://otsuka-europe-crm.veevavault.com/ui/#object/sent_email__v/VBL000000031228", "SE-001439425")</f>
        <v>SE-001439425</v>
      </c>
      <c r="F1284" s="11"/>
      <c r="G1284" s="12">
        <v>0</v>
      </c>
      <c r="H1284" s="12">
        <v>0</v>
      </c>
      <c r="I1284" s="12">
        <v>0</v>
      </c>
      <c r="J1284" s="11"/>
      <c r="K1284" s="12">
        <v>0</v>
      </c>
      <c r="L128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84" s="10" t="str">
        <f>HYPERLINK("mailto:jguri@crm.otsuka-europe.com", "jguri@crm.otsuka-europe.com")</f>
        <v>jguri@crm.otsuka-europe.com</v>
      </c>
      <c r="N1284" s="13">
        <v>46209.318032407406</v>
      </c>
      <c r="O1284" s="14" t="str">
        <f>HYPERLINK("https://otsuka-europe-crm.veevavault.com/ui/#object/email_activity__v/V8C000000044319", "EN-002102078")</f>
        <v>EN-002102078</v>
      </c>
    </row>
    <row r="1285" spans="1:15" ht="16" x14ac:dyDescent="0.2">
      <c r="A1285" s="18" t="str">
        <f>HYPERLINK("https://otsuka-europe-crm.veevavault.com/ui/#object/account__v/V4TZ04ASG9UCG0W", "PAULA PRETEL RUIZ")</f>
        <v>PAULA PRETEL RUIZ</v>
      </c>
      <c r="B1285" s="18" t="str">
        <f>HYPERLINK("https://otsuka-europe-crm.veevavault.com/ui/#object/vcountry__v/VENZ000004SONF5", "ES")</f>
        <v>ES</v>
      </c>
      <c r="C1285" s="20" t="s">
        <v>39</v>
      </c>
      <c r="D128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85" s="22" t="str">
        <f>HYPERLINK("https://otsuka-europe-crm.veevavault.com/ui/#object/sent_email__v/VBL000000031229", "SE-001439426")</f>
        <v>SE-001439426</v>
      </c>
      <c r="F1285" s="25">
        <v>46209.324502314812</v>
      </c>
      <c r="G1285" s="24">
        <v>1</v>
      </c>
      <c r="H1285" s="24">
        <v>1</v>
      </c>
      <c r="I1285" s="24">
        <v>0</v>
      </c>
      <c r="J1285" s="23"/>
      <c r="K1285" s="24">
        <v>0</v>
      </c>
      <c r="L128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85" s="22" t="str">
        <f>HYPERLINK("mailto:jguri@crm.otsuka-europe.com", "jguri@crm.otsuka-europe.com")</f>
        <v>jguri@crm.otsuka-europe.com</v>
      </c>
      <c r="N1285" s="25">
        <v>46209.318032407406</v>
      </c>
      <c r="O1285" s="14" t="str">
        <f>HYPERLINK("https://otsuka-europe-crm.veevavault.com/ui/#object/email_activity__v/V8C000000043545", "EN-002102627")</f>
        <v>EN-002102627</v>
      </c>
    </row>
    <row r="1286" spans="1:15" ht="16" x14ac:dyDescent="0.2">
      <c r="A1286" s="26"/>
      <c r="B1286" s="26"/>
      <c r="C1286" s="26"/>
      <c r="D1286" s="26"/>
      <c r="E1286" s="26"/>
      <c r="F1286" s="26"/>
      <c r="G1286" s="26"/>
      <c r="H1286" s="26"/>
      <c r="I1286" s="26"/>
      <c r="J1286" s="26"/>
      <c r="K1286" s="26"/>
      <c r="L1286" s="26"/>
      <c r="M1286" s="26"/>
      <c r="N1286" s="26"/>
      <c r="O1286" s="14" t="str">
        <f>HYPERLINK("https://otsuka-europe-crm.veevavault.com/ui/#object/email_activity__v/V8C000000044292", "EN-002102051")</f>
        <v>EN-002102051</v>
      </c>
    </row>
    <row r="1287" spans="1:15" ht="16" x14ac:dyDescent="0.2">
      <c r="A1287" s="19"/>
      <c r="B1287" s="19"/>
      <c r="C1287" s="19"/>
      <c r="D1287" s="19"/>
      <c r="E1287" s="19"/>
      <c r="F1287" s="19"/>
      <c r="G1287" s="19"/>
      <c r="H1287" s="19"/>
      <c r="I1287" s="19"/>
      <c r="J1287" s="19"/>
      <c r="K1287" s="19"/>
      <c r="L1287" s="19"/>
      <c r="M1287" s="19"/>
      <c r="N1287" s="19"/>
      <c r="O1287" s="14" t="str">
        <f>HYPERLINK("https://otsuka-europe-crm.veevavault.com/ui/#object/email_activity__v/V8C000000044351", "EN-002102110")</f>
        <v>EN-002102110</v>
      </c>
    </row>
    <row r="1288" spans="1:15" ht="16" x14ac:dyDescent="0.2">
      <c r="A1288" s="18" t="str">
        <f>HYPERLINK("https://otsuka-europe-crm.veevavault.com/ui/#object/account__v/V4TZ025E87BV290", "ANTONIO CERDAN MORALA")</f>
        <v>ANTONIO CERDAN MORALA</v>
      </c>
      <c r="B1288" s="18" t="str">
        <f>HYPERLINK("https://otsuka-europe-crm.veevavault.com/ui/#object/vcountry__v/VENZ000004SONF5", "ES")</f>
        <v>ES</v>
      </c>
      <c r="C1288" s="20" t="s">
        <v>39</v>
      </c>
      <c r="D128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88" s="22" t="str">
        <f>HYPERLINK("https://otsuka-europe-crm.veevavault.com/ui/#object/sent_email__v/VBL000000031230", "SE-001439427")</f>
        <v>SE-001439427</v>
      </c>
      <c r="F1288" s="25">
        <v>46209.605555555558</v>
      </c>
      <c r="G1288" s="24">
        <v>1</v>
      </c>
      <c r="H1288" s="24">
        <v>2</v>
      </c>
      <c r="I1288" s="24">
        <v>0</v>
      </c>
      <c r="J1288" s="23"/>
      <c r="K1288" s="24">
        <v>0</v>
      </c>
      <c r="L128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88" s="22" t="str">
        <f>HYPERLINK("mailto:jguri@crm.otsuka-europe.com", "jguri@crm.otsuka-europe.com")</f>
        <v>jguri@crm.otsuka-europe.com</v>
      </c>
      <c r="N1288" s="25">
        <v>46209.318530092591</v>
      </c>
      <c r="O1288" s="14" t="str">
        <f>HYPERLINK("https://otsuka-europe-crm.veevavault.com/ui/#object/email_activity__v/V8C000000044340", "EN-002102099")</f>
        <v>EN-002102099</v>
      </c>
    </row>
    <row r="1289" spans="1:15" ht="16" x14ac:dyDescent="0.2">
      <c r="A1289" s="26"/>
      <c r="B1289" s="26"/>
      <c r="C1289" s="26"/>
      <c r="D1289" s="26"/>
      <c r="E1289" s="26"/>
      <c r="F1289" s="26"/>
      <c r="G1289" s="26"/>
      <c r="H1289" s="26"/>
      <c r="I1289" s="26"/>
      <c r="J1289" s="26"/>
      <c r="K1289" s="26"/>
      <c r="L1289" s="26"/>
      <c r="M1289" s="26"/>
      <c r="N1289" s="26"/>
      <c r="O1289" s="14" t="str">
        <f>HYPERLINK("https://otsuka-europe-crm.veevavault.com/ui/#object/email_activity__v/V8C000000044342", "EN-002102101")</f>
        <v>EN-002102101</v>
      </c>
    </row>
    <row r="1290" spans="1:15" ht="16" x14ac:dyDescent="0.2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4" t="str">
        <f>HYPERLINK("https://otsuka-europe-crm.veevavault.com/ui/#object/email_activity__v/V8C000000044474", "EN-002102527")</f>
        <v>EN-002102527</v>
      </c>
    </row>
    <row r="1291" spans="1:15" ht="16" x14ac:dyDescent="0.2">
      <c r="A1291" s="18" t="str">
        <f>HYPERLINK("https://otsuka-europe-crm.veevavault.com/ui/#object/account__v/V4TZ04ASGB4W29K", "ANGEL PEDRO CRISOLINO POZAS")</f>
        <v>ANGEL PEDRO CRISOLINO POZAS</v>
      </c>
      <c r="B1291" s="18" t="str">
        <f>HYPERLINK("https://otsuka-europe-crm.veevavault.com/ui/#object/vcountry__v/VENZ000004SONF5", "ES")</f>
        <v>ES</v>
      </c>
      <c r="C1291" s="20" t="s">
        <v>39</v>
      </c>
      <c r="D129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91" s="22" t="str">
        <f>HYPERLINK("https://otsuka-europe-crm.veevavault.com/ui/#object/sent_email__v/VBL000000031231", "SE-001439428")</f>
        <v>SE-001439428</v>
      </c>
      <c r="F1291" s="25">
        <v>46209.392569444448</v>
      </c>
      <c r="G1291" s="24">
        <v>1</v>
      </c>
      <c r="H1291" s="24">
        <v>2</v>
      </c>
      <c r="I1291" s="24">
        <v>0</v>
      </c>
      <c r="J1291" s="23"/>
      <c r="K1291" s="24">
        <v>0</v>
      </c>
      <c r="L129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91" s="22" t="str">
        <f>HYPERLINK("mailto:jguri@crm.otsuka-europe.com", "jguri@crm.otsuka-europe.com")</f>
        <v>jguri@crm.otsuka-europe.com</v>
      </c>
      <c r="N1291" s="25">
        <v>46209.318530092591</v>
      </c>
      <c r="O1291" s="14" t="str">
        <f>HYPERLINK("https://otsuka-europe-crm.veevavault.com/ui/#object/email_activity__v/V8C000000043424", "EN-002102385")</f>
        <v>EN-002102385</v>
      </c>
    </row>
    <row r="1292" spans="1:15" ht="16" x14ac:dyDescent="0.2">
      <c r="A1292" s="26"/>
      <c r="B1292" s="26"/>
      <c r="C1292" s="26"/>
      <c r="D1292" s="26"/>
      <c r="E1292" s="26"/>
      <c r="F1292" s="26"/>
      <c r="G1292" s="26"/>
      <c r="H1292" s="26"/>
      <c r="I1292" s="26"/>
      <c r="J1292" s="26"/>
      <c r="K1292" s="26"/>
      <c r="L1292" s="26"/>
      <c r="M1292" s="26"/>
      <c r="N1292" s="26"/>
      <c r="O1292" s="14" t="str">
        <f>HYPERLINK("https://otsuka-europe-crm.veevavault.com/ui/#object/email_activity__v/V8C000000044335", "EN-002102094")</f>
        <v>EN-002102094</v>
      </c>
    </row>
    <row r="1293" spans="1:15" ht="16" x14ac:dyDescent="0.2">
      <c r="A1293" s="19"/>
      <c r="B1293" s="19"/>
      <c r="C1293" s="19"/>
      <c r="D1293" s="19"/>
      <c r="E1293" s="19"/>
      <c r="F1293" s="19"/>
      <c r="G1293" s="19"/>
      <c r="H1293" s="19"/>
      <c r="I1293" s="19"/>
      <c r="J1293" s="19"/>
      <c r="K1293" s="19"/>
      <c r="L1293" s="19"/>
      <c r="M1293" s="19"/>
      <c r="N1293" s="19"/>
      <c r="O1293" s="14" t="str">
        <f>HYPERLINK("https://otsuka-europe-crm.veevavault.com/ui/#object/email_activity__v/V8C000000044341", "EN-002102100")</f>
        <v>EN-002102100</v>
      </c>
    </row>
    <row r="1294" spans="1:15" ht="16" x14ac:dyDescent="0.2">
      <c r="A1294" s="18" t="str">
        <f>HYPERLINK("https://otsuka-europe-crm.veevavault.com/ui/#object/account__v/V4TZ025E86JEEZ5", "ANA MELISSA ANZOLA ALFARO")</f>
        <v>ANA MELISSA ANZOLA ALFARO</v>
      </c>
      <c r="B1294" s="18" t="str">
        <f>HYPERLINK("https://otsuka-europe-crm.veevavault.com/ui/#object/vcountry__v/VENZ000004SONF5", "ES")</f>
        <v>ES</v>
      </c>
      <c r="C1294" s="20" t="s">
        <v>39</v>
      </c>
      <c r="D129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94" s="22" t="str">
        <f>HYPERLINK("https://otsuka-europe-crm.veevavault.com/ui/#object/sent_email__v/VBL000000031232", "SE-001439429")</f>
        <v>SE-001439429</v>
      </c>
      <c r="F1294" s="23"/>
      <c r="G1294" s="24">
        <v>0</v>
      </c>
      <c r="H1294" s="24">
        <v>0</v>
      </c>
      <c r="I1294" s="24">
        <v>0</v>
      </c>
      <c r="J1294" s="23"/>
      <c r="K1294" s="24">
        <v>0</v>
      </c>
      <c r="L129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94" s="22" t="str">
        <f>HYPERLINK("mailto:jguri@crm.otsuka-europe.com", "jguri@crm.otsuka-europe.com")</f>
        <v>jguri@crm.otsuka-europe.com</v>
      </c>
      <c r="N1294" s="25">
        <v>46209.318530092591</v>
      </c>
      <c r="O1294" s="14" t="str">
        <f>HYPERLINK("https://otsuka-europe-crm.veevavault.com/ui/#object/email_activity__v/V8C000000044334", "EN-002102093")</f>
        <v>EN-002102093</v>
      </c>
    </row>
    <row r="1295" spans="1:15" ht="16" x14ac:dyDescent="0.2">
      <c r="A1295" s="26"/>
      <c r="B1295" s="26"/>
      <c r="C1295" s="26"/>
      <c r="D1295" s="26"/>
      <c r="E1295" s="26"/>
      <c r="F1295" s="26"/>
      <c r="G1295" s="26"/>
      <c r="H1295" s="26"/>
      <c r="I1295" s="26"/>
      <c r="J1295" s="26"/>
      <c r="K1295" s="26"/>
      <c r="L1295" s="26"/>
      <c r="M1295" s="26"/>
      <c r="N1295" s="26"/>
      <c r="O1295" s="14" t="str">
        <f>HYPERLINK("https://otsuka-europe-crm.veevavault.com/ui/#object/email_activity__v/V8C000000044446", "EN-002102473")</f>
        <v>EN-002102473</v>
      </c>
    </row>
    <row r="1296" spans="1:15" ht="16" x14ac:dyDescent="0.2">
      <c r="A1296" s="26"/>
      <c r="B1296" s="26"/>
      <c r="C1296" s="26"/>
      <c r="D1296" s="26"/>
      <c r="E1296" s="26"/>
      <c r="F1296" s="26"/>
      <c r="G1296" s="26"/>
      <c r="H1296" s="26"/>
      <c r="I1296" s="26"/>
      <c r="J1296" s="26"/>
      <c r="K1296" s="26"/>
      <c r="L1296" s="26"/>
      <c r="M1296" s="26"/>
      <c r="N1296" s="26"/>
      <c r="O1296" s="14" t="str">
        <f>HYPERLINK("https://otsuka-europe-crm.veevavault.com/ui/#object/email_activity__v/V8C000000044506", "EN-002102587")</f>
        <v>EN-002102587</v>
      </c>
    </row>
    <row r="1297" spans="1:15" ht="16" x14ac:dyDescent="0.2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/>
      <c r="L1297" s="19"/>
      <c r="M1297" s="19"/>
      <c r="N1297" s="19"/>
      <c r="O1297" s="14" t="str">
        <f>HYPERLINK("https://otsuka-europe-crm.veevavault.com/ui/#object/email_activity__v/V8C000000049685", "EN-002106189")</f>
        <v>EN-002106189</v>
      </c>
    </row>
    <row r="1298" spans="1:15" ht="16" x14ac:dyDescent="0.2">
      <c r="A1298" s="18" t="str">
        <f>HYPERLINK("https://otsuka-europe-crm.veevavault.com/ui/#object/account__v/V4TZ025E8484OM1", "ADRIAN ABBASI PEREZ")</f>
        <v>ADRIAN ABBASI PEREZ</v>
      </c>
      <c r="B1298" s="18" t="str">
        <f>HYPERLINK("https://otsuka-europe-crm.veevavault.com/ui/#object/vcountry__v/VENZ000004SONF5", "ES")</f>
        <v>ES</v>
      </c>
      <c r="C1298" s="20" t="s">
        <v>39</v>
      </c>
      <c r="D129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298" s="22" t="str">
        <f>HYPERLINK("https://otsuka-europe-crm.veevavault.com/ui/#object/sent_email__v/VBL000000031233", "SE-001439430")</f>
        <v>SE-001439430</v>
      </c>
      <c r="F1298" s="25">
        <v>46209.369930555556</v>
      </c>
      <c r="G1298" s="24">
        <v>1</v>
      </c>
      <c r="H1298" s="24">
        <v>1</v>
      </c>
      <c r="I1298" s="24">
        <v>0</v>
      </c>
      <c r="J1298" s="23"/>
      <c r="K1298" s="24">
        <v>0</v>
      </c>
      <c r="L129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298" s="22" t="str">
        <f>HYPERLINK("mailto:jguri@crm.otsuka-europe.com", "jguri@crm.otsuka-europe.com")</f>
        <v>jguri@crm.otsuka-europe.com</v>
      </c>
      <c r="N1298" s="25">
        <v>46209.318530092591</v>
      </c>
      <c r="O1298" s="14" t="str">
        <f>HYPERLINK("https://otsuka-europe-crm.veevavault.com/ui/#object/email_activity__v/V8C000000043411", "EN-002102360")</f>
        <v>EN-002102360</v>
      </c>
    </row>
    <row r="1299" spans="1:15" ht="16" x14ac:dyDescent="0.2">
      <c r="A1299" s="19"/>
      <c r="B1299" s="19"/>
      <c r="C1299" s="19"/>
      <c r="D1299" s="19"/>
      <c r="E1299" s="19"/>
      <c r="F1299" s="19"/>
      <c r="G1299" s="19"/>
      <c r="H1299" s="19"/>
      <c r="I1299" s="19"/>
      <c r="J1299" s="19"/>
      <c r="K1299" s="19"/>
      <c r="L1299" s="19"/>
      <c r="M1299" s="19"/>
      <c r="N1299" s="19"/>
      <c r="O1299" s="14" t="str">
        <f>HYPERLINK("https://otsuka-europe-crm.veevavault.com/ui/#object/email_activity__v/V8C000000044338", "EN-002102097")</f>
        <v>EN-002102097</v>
      </c>
    </row>
    <row r="1300" spans="1:15" ht="16" x14ac:dyDescent="0.2">
      <c r="A1300" s="18" t="str">
        <f>HYPERLINK("https://otsuka-europe-crm.veevavault.com/ui/#object/account__v/V4TZ04ASG9R9KOK", "ANA PEREZ GOMEZ")</f>
        <v>ANA PEREZ GOMEZ</v>
      </c>
      <c r="B1300" s="18" t="str">
        <f>HYPERLINK("https://otsuka-europe-crm.veevavault.com/ui/#object/vcountry__v/VENZ000004SONF5", "ES")</f>
        <v>ES</v>
      </c>
      <c r="C1300" s="20" t="s">
        <v>39</v>
      </c>
      <c r="D130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0" s="22" t="str">
        <f>HYPERLINK("https://otsuka-europe-crm.veevavault.com/ui/#object/sent_email__v/VBL000000031234", "SE-001439431")</f>
        <v>SE-001439431</v>
      </c>
      <c r="F1300" s="25">
        <v>46209.356481481482</v>
      </c>
      <c r="G1300" s="24">
        <v>1</v>
      </c>
      <c r="H1300" s="24">
        <v>1</v>
      </c>
      <c r="I1300" s="24">
        <v>0</v>
      </c>
      <c r="J1300" s="23"/>
      <c r="K1300" s="24">
        <v>0</v>
      </c>
      <c r="L130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0" s="22" t="str">
        <f>HYPERLINK("mailto:jguri@crm.otsuka-europe.com", "jguri@crm.otsuka-europe.com")</f>
        <v>jguri@crm.otsuka-europe.com</v>
      </c>
      <c r="N1300" s="25">
        <v>46209.318530092591</v>
      </c>
      <c r="O1300" s="14" t="str">
        <f>HYPERLINK("https://otsuka-europe-crm.veevavault.com/ui/#object/email_activity__v/V8C000000043401", "EN-002102336")</f>
        <v>EN-002102336</v>
      </c>
    </row>
    <row r="1301" spans="1:15" ht="16" x14ac:dyDescent="0.2">
      <c r="A1301" s="26"/>
      <c r="B1301" s="26"/>
      <c r="C1301" s="26"/>
      <c r="D1301" s="26"/>
      <c r="E1301" s="26"/>
      <c r="F1301" s="26"/>
      <c r="G1301" s="26"/>
      <c r="H1301" s="26"/>
      <c r="I1301" s="26"/>
      <c r="J1301" s="26"/>
      <c r="K1301" s="26"/>
      <c r="L1301" s="26"/>
      <c r="M1301" s="26"/>
      <c r="N1301" s="26"/>
      <c r="O1301" s="14" t="str">
        <f>HYPERLINK("https://otsuka-europe-crm.veevavault.com/ui/#object/email_activity__v/V8C000000044336", "EN-002102095")</f>
        <v>EN-002102095</v>
      </c>
    </row>
    <row r="1302" spans="1:15" ht="16" x14ac:dyDescent="0.2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/>
      <c r="N1302" s="19"/>
      <c r="O1302" s="14" t="str">
        <f>HYPERLINK("https://otsuka-europe-crm.veevavault.com/ui/#object/email_activity__v/V8C000000049028", "EN-002104925")</f>
        <v>EN-002104925</v>
      </c>
    </row>
    <row r="1303" spans="1:15" ht="64" x14ac:dyDescent="0.2">
      <c r="A1303" s="7" t="str">
        <f>HYPERLINK("https://otsuka-europe-crm.veevavault.com/ui/#object/account__v/V4TZ06G6O71TA8R", "ANTONIO JAVIER CHAMORRO FERNANDEZ")</f>
        <v>ANTONIO JAVIER CHAMORRO FERNANDEZ</v>
      </c>
      <c r="B1303" s="7" t="str">
        <f>HYPERLINK("https://otsuka-europe-crm.veevavault.com/ui/#object/vcountry__v/VENZ000004SONF5", "ES")</f>
        <v>ES</v>
      </c>
      <c r="C1303" s="8" t="s">
        <v>39</v>
      </c>
      <c r="D130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3" s="10" t="str">
        <f>HYPERLINK("https://otsuka-europe-crm.veevavault.com/ui/#object/sent_email__v/VBL000000031235", "SE-001439432")</f>
        <v>SE-001439432</v>
      </c>
      <c r="F1303" s="11"/>
      <c r="G1303" s="12">
        <v>0</v>
      </c>
      <c r="H1303" s="12">
        <v>0</v>
      </c>
      <c r="I1303" s="12">
        <v>0</v>
      </c>
      <c r="J1303" s="11"/>
      <c r="K1303" s="12">
        <v>0</v>
      </c>
      <c r="L130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3" s="10" t="str">
        <f>HYPERLINK("mailto:jguri@crm.otsuka-europe.com", "jguri@crm.otsuka-europe.com")</f>
        <v>jguri@crm.otsuka-europe.com</v>
      </c>
      <c r="N1303" s="13">
        <v>46209.318530092591</v>
      </c>
      <c r="O1303" s="14" t="str">
        <f>HYPERLINK("https://otsuka-europe-crm.veevavault.com/ui/#object/email_activity__v/V8C000000044331", "EN-002102090")</f>
        <v>EN-002102090</v>
      </c>
    </row>
    <row r="1304" spans="1:15" ht="16" x14ac:dyDescent="0.2">
      <c r="A1304" s="18" t="str">
        <f>HYPERLINK("https://otsuka-europe-crm.veevavault.com/ui/#object/account__v/V4TZ04ASGB4G2W4", "ANGELA HERRANZ VARELA")</f>
        <v>ANGELA HERRANZ VARELA</v>
      </c>
      <c r="B1304" s="18" t="str">
        <f>HYPERLINK("https://otsuka-europe-crm.veevavault.com/ui/#object/vcountry__v/VENZ000004SONF5", "ES")</f>
        <v>ES</v>
      </c>
      <c r="C1304" s="20" t="s">
        <v>39</v>
      </c>
      <c r="D130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4" s="22" t="str">
        <f>HYPERLINK("https://otsuka-europe-crm.veevavault.com/ui/#object/sent_email__v/VBL000000031236", "SE-001439433")</f>
        <v>SE-001439433</v>
      </c>
      <c r="F1304" s="25">
        <v>46209.619849537034</v>
      </c>
      <c r="G1304" s="24">
        <v>1</v>
      </c>
      <c r="H1304" s="24">
        <v>1</v>
      </c>
      <c r="I1304" s="24">
        <v>0</v>
      </c>
      <c r="J1304" s="23"/>
      <c r="K1304" s="24">
        <v>0</v>
      </c>
      <c r="L130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4" s="22" t="str">
        <f>HYPERLINK("mailto:jguri@crm.otsuka-europe.com", "jguri@crm.otsuka-europe.com")</f>
        <v>jguri@crm.otsuka-europe.com</v>
      </c>
      <c r="N1304" s="25">
        <v>46209.318530092591</v>
      </c>
      <c r="O1304" s="14" t="str">
        <f>HYPERLINK("https://otsuka-europe-crm.veevavault.com/ui/#object/email_activity__v/V8C000000043501", "EN-002102540")</f>
        <v>EN-002102540</v>
      </c>
    </row>
    <row r="1305" spans="1:15" ht="16" x14ac:dyDescent="0.2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/>
      <c r="N1305" s="19"/>
      <c r="O1305" s="14" t="str">
        <f>HYPERLINK("https://otsuka-europe-crm.veevavault.com/ui/#object/email_activity__v/V8C000000044339", "EN-002102098")</f>
        <v>EN-002102098</v>
      </c>
    </row>
    <row r="1306" spans="1:15" ht="64" x14ac:dyDescent="0.2">
      <c r="A1306" s="7" t="str">
        <f>HYPERLINK("https://otsuka-europe-crm.veevavault.com/ui/#object/account__v/V4TZ04ASGAAGQD0", "ANGEL GALLEGOS CID")</f>
        <v>ANGEL GALLEGOS CID</v>
      </c>
      <c r="B1306" s="7" t="str">
        <f>HYPERLINK("https://otsuka-europe-crm.veevavault.com/ui/#object/vcountry__v/VENZ000004SONF5", "ES")</f>
        <v>ES</v>
      </c>
      <c r="C1306" s="8" t="s">
        <v>39</v>
      </c>
      <c r="D130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6" s="10" t="str">
        <f>HYPERLINK("https://otsuka-europe-crm.veevavault.com/ui/#object/sent_email__v/VBL000000031237", "SE-001439434")</f>
        <v>SE-001439434</v>
      </c>
      <c r="F1306" s="11"/>
      <c r="G1306" s="12">
        <v>0</v>
      </c>
      <c r="H1306" s="12">
        <v>0</v>
      </c>
      <c r="I1306" s="12">
        <v>0</v>
      </c>
      <c r="J1306" s="11"/>
      <c r="K1306" s="12">
        <v>0</v>
      </c>
      <c r="L130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6" s="10" t="str">
        <f>HYPERLINK("mailto:jguri@crm.otsuka-europe.com", "jguri@crm.otsuka-europe.com")</f>
        <v>jguri@crm.otsuka-europe.com</v>
      </c>
      <c r="N1306" s="13">
        <v>46209.318530092591</v>
      </c>
      <c r="O1306" s="14" t="str">
        <f>HYPERLINK("https://otsuka-europe-crm.veevavault.com/ui/#object/email_activity__v/V8C000000044337", "EN-002102096")</f>
        <v>EN-002102096</v>
      </c>
    </row>
    <row r="1307" spans="1:15" ht="64" x14ac:dyDescent="0.2">
      <c r="A1307" s="7" t="str">
        <f>HYPERLINK("https://otsuka-europe-crm.veevavault.com/ui/#object/account__v/V4T00000001V058", "MARIA BARRIENTOS GUERRERO")</f>
        <v>MARIA BARRIENTOS GUERRERO</v>
      </c>
      <c r="B1307" s="7" t="str">
        <f>HYPERLINK("https://otsuka-europe-crm.veevavault.com/ui/#object/vcountry__v/VENZ000004SONF5", "ES")</f>
        <v>ES</v>
      </c>
      <c r="C1307" s="8" t="s">
        <v>39</v>
      </c>
      <c r="D130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7" s="10" t="str">
        <f>HYPERLINK("https://otsuka-europe-crm.veevavault.com/ui/#object/sent_email__v/VBL000000030049", "SE-001439435")</f>
        <v>SE-001439435</v>
      </c>
      <c r="F1307" s="11"/>
      <c r="G1307" s="12">
        <v>0</v>
      </c>
      <c r="H1307" s="12">
        <v>0</v>
      </c>
      <c r="I1307" s="12">
        <v>0</v>
      </c>
      <c r="J1307" s="11"/>
      <c r="K1307" s="12">
        <v>0</v>
      </c>
      <c r="L130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7" s="10" t="str">
        <f>HYPERLINK("mailto:idiez@crm.otsuka-europe.com", "idiez@crm.otsuka-europe.com")</f>
        <v>idiez@crm.otsuka-europe.com</v>
      </c>
      <c r="N1307" s="13">
        <v>46209.346250000002</v>
      </c>
      <c r="O1307" s="14" t="str">
        <f>HYPERLINK("https://otsuka-europe-crm.veevavault.com/ui/#object/email_activity__v/V8C000000043212", "EN-002102124")</f>
        <v>EN-002102124</v>
      </c>
    </row>
    <row r="1308" spans="1:15" ht="64" x14ac:dyDescent="0.2">
      <c r="A1308" s="7" t="str">
        <f>HYPERLINK("https://otsuka-europe-crm.veevavault.com/ui/#object/account__v/V4T00000000J162", "PATRICIA ALEJANDRA MILLS SANCHEZ")</f>
        <v>PATRICIA ALEJANDRA MILLS SANCHEZ</v>
      </c>
      <c r="B1308" s="7" t="str">
        <f>HYPERLINK("https://otsuka-europe-crm.veevavault.com/ui/#object/vcountry__v/VENZ000004SONF5", "ES")</f>
        <v>ES</v>
      </c>
      <c r="C1308" s="8" t="s">
        <v>39</v>
      </c>
      <c r="D130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8" s="10" t="str">
        <f>HYPERLINK("https://otsuka-europe-crm.veevavault.com/ui/#object/sent_email__v/VBL000000030050", "SE-001439436")</f>
        <v>SE-001439436</v>
      </c>
      <c r="F1308" s="11"/>
      <c r="G1308" s="12">
        <v>0</v>
      </c>
      <c r="H1308" s="12">
        <v>0</v>
      </c>
      <c r="I1308" s="12">
        <v>0</v>
      </c>
      <c r="J1308" s="11"/>
      <c r="K1308" s="12">
        <v>0</v>
      </c>
      <c r="L130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8" s="10" t="str">
        <f>HYPERLINK("mailto:idiez@crm.otsuka-europe.com", "idiez@crm.otsuka-europe.com")</f>
        <v>idiez@crm.otsuka-europe.com</v>
      </c>
      <c r="N1308" s="13">
        <v>46209.346250000002</v>
      </c>
      <c r="O1308" s="14" t="str">
        <f>HYPERLINK("https://otsuka-europe-crm.veevavault.com/ui/#object/email_activity__v/V8C000000043209", "EN-002102121")</f>
        <v>EN-002102121</v>
      </c>
    </row>
    <row r="1309" spans="1:15" ht="16" x14ac:dyDescent="0.2">
      <c r="A1309" s="18" t="str">
        <f>HYPERLINK("https://otsuka-europe-crm.veevavault.com/ui/#object/account__v/V4T00000001P471", "CRISTINA AUSIN GARCIA")</f>
        <v>CRISTINA AUSIN GARCIA</v>
      </c>
      <c r="B1309" s="18" t="str">
        <f>HYPERLINK("https://otsuka-europe-crm.veevavault.com/ui/#object/vcountry__v/VENZ000004SONF5", "ES")</f>
        <v>ES</v>
      </c>
      <c r="C1309" s="20" t="s">
        <v>39</v>
      </c>
      <c r="D130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09" s="22" t="str">
        <f>HYPERLINK("https://otsuka-europe-crm.veevavault.com/ui/#object/sent_email__v/VBL000000030051", "SE-001439437")</f>
        <v>SE-001439437</v>
      </c>
      <c r="F1309" s="25">
        <v>46209.349652777775</v>
      </c>
      <c r="G1309" s="24">
        <v>1</v>
      </c>
      <c r="H1309" s="24">
        <v>2</v>
      </c>
      <c r="I1309" s="24">
        <v>0</v>
      </c>
      <c r="J1309" s="23"/>
      <c r="K1309" s="24">
        <v>0</v>
      </c>
      <c r="L130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09" s="22" t="str">
        <f>HYPERLINK("mailto:idiez@crm.otsuka-europe.com", "idiez@crm.otsuka-europe.com")</f>
        <v>idiez@crm.otsuka-europe.com</v>
      </c>
      <c r="N1309" s="25">
        <v>46209.346250000002</v>
      </c>
      <c r="O1309" s="14" t="str">
        <f>HYPERLINK("https://otsuka-europe-crm.veevavault.com/ui/#object/email_activity__v/V8C000000043214", "EN-002102126")</f>
        <v>EN-002102126</v>
      </c>
    </row>
    <row r="1310" spans="1:15" ht="16" x14ac:dyDescent="0.2">
      <c r="A1310" s="26"/>
      <c r="B1310" s="26"/>
      <c r="C1310" s="26"/>
      <c r="D1310" s="26"/>
      <c r="E1310" s="26"/>
      <c r="F1310" s="26"/>
      <c r="G1310" s="26"/>
      <c r="H1310" s="26"/>
      <c r="I1310" s="26"/>
      <c r="J1310" s="26"/>
      <c r="K1310" s="26"/>
      <c r="L1310" s="26"/>
      <c r="M1310" s="26"/>
      <c r="N1310" s="26"/>
      <c r="O1310" s="14" t="str">
        <f>HYPERLINK("https://otsuka-europe-crm.veevavault.com/ui/#object/email_activity__v/V8C000000043358", "EN-002102270")</f>
        <v>EN-002102270</v>
      </c>
    </row>
    <row r="1311" spans="1:15" ht="16" x14ac:dyDescent="0.2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/>
      <c r="L1311" s="19"/>
      <c r="M1311" s="19"/>
      <c r="N1311" s="19"/>
      <c r="O1311" s="14" t="str">
        <f>HYPERLINK("https://otsuka-europe-crm.veevavault.com/ui/#object/email_activity__v/V8C000000043359", "EN-002102271")</f>
        <v>EN-002102271</v>
      </c>
    </row>
    <row r="1312" spans="1:15" ht="64" x14ac:dyDescent="0.2">
      <c r="A1312" s="7" t="str">
        <f>HYPERLINK("https://otsuka-europe-crm.veevavault.com/ui/#object/account__v/V4TZ025E898AWJR", "MARIA MARTINEZ URBISTONDO")</f>
        <v>MARIA MARTINEZ URBISTONDO</v>
      </c>
      <c r="B1312" s="7" t="str">
        <f>HYPERLINK("https://otsuka-europe-crm.veevavault.com/ui/#object/vcountry__v/VENZ000004SONF5", "ES")</f>
        <v>ES</v>
      </c>
      <c r="C1312" s="8" t="s">
        <v>39</v>
      </c>
      <c r="D131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12" s="10" t="str">
        <f>HYPERLINK("https://otsuka-europe-crm.veevavault.com/ui/#object/sent_email__v/VBL000000030052", "SE-001439438")</f>
        <v>SE-001439438</v>
      </c>
      <c r="F1312" s="11"/>
      <c r="G1312" s="12">
        <v>0</v>
      </c>
      <c r="H1312" s="12">
        <v>0</v>
      </c>
      <c r="I1312" s="12">
        <v>0</v>
      </c>
      <c r="J1312" s="11"/>
      <c r="K1312" s="12">
        <v>0</v>
      </c>
      <c r="L131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12" s="10" t="str">
        <f>HYPERLINK("mailto:idiez@crm.otsuka-europe.com", "idiez@crm.otsuka-europe.com")</f>
        <v>idiez@crm.otsuka-europe.com</v>
      </c>
      <c r="N1312" s="13">
        <v>46209.346250000002</v>
      </c>
      <c r="O1312" s="14" t="str">
        <f>HYPERLINK("https://otsuka-europe-crm.veevavault.com/ui/#object/email_activity__v/V8C000000043210", "EN-002102122")</f>
        <v>EN-002102122</v>
      </c>
    </row>
    <row r="1313" spans="1:15" ht="64" x14ac:dyDescent="0.2">
      <c r="A1313" s="7" t="str">
        <f>HYPERLINK("https://otsuka-europe-crm.veevavault.com/ui/#object/account__v/V4TZ04ASGA8VGWG", "ISABEL PERALES FRAILE")</f>
        <v>ISABEL PERALES FRAILE</v>
      </c>
      <c r="B1313" s="7" t="str">
        <f>HYPERLINK("https://otsuka-europe-crm.veevavault.com/ui/#object/vcountry__v/VENZ000004SONF5", "ES")</f>
        <v>ES</v>
      </c>
      <c r="C1313" s="8" t="s">
        <v>39</v>
      </c>
      <c r="D131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13" s="10" t="str">
        <f>HYPERLINK("https://otsuka-europe-crm.veevavault.com/ui/#object/sent_email__v/VBL000000030053", "SE-001439439")</f>
        <v>SE-001439439</v>
      </c>
      <c r="F1313" s="11"/>
      <c r="G1313" s="12">
        <v>0</v>
      </c>
      <c r="H1313" s="12">
        <v>0</v>
      </c>
      <c r="I1313" s="12">
        <v>0</v>
      </c>
      <c r="J1313" s="11"/>
      <c r="K1313" s="12">
        <v>0</v>
      </c>
      <c r="L131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13" s="10" t="str">
        <f>HYPERLINK("mailto:idiez@crm.otsuka-europe.com", "idiez@crm.otsuka-europe.com")</f>
        <v>idiez@crm.otsuka-europe.com</v>
      </c>
      <c r="N1313" s="13">
        <v>46209.346250000002</v>
      </c>
      <c r="O1313" s="14" t="str">
        <f>HYPERLINK("https://otsuka-europe-crm.veevavault.com/ui/#object/email_activity__v/V8C000000043211", "EN-002102123")</f>
        <v>EN-002102123</v>
      </c>
    </row>
    <row r="1314" spans="1:15" ht="16" x14ac:dyDescent="0.2">
      <c r="A1314" s="18" t="str">
        <f>HYPERLINK("https://otsuka-europe-crm.veevavault.com/ui/#object/account__v/V4TZ04ASGB4W29K", "ANGEL PEDRO CRISOLINO POZAS")</f>
        <v>ANGEL PEDRO CRISOLINO POZAS</v>
      </c>
      <c r="B1314" s="18" t="str">
        <f>HYPERLINK("https://otsuka-europe-crm.veevavault.com/ui/#object/vcountry__v/VENZ000004SONF5", "ES")</f>
        <v>ES</v>
      </c>
      <c r="C1314" s="20" t="s">
        <v>39</v>
      </c>
      <c r="D131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14" s="22" t="str">
        <f>HYPERLINK("https://otsuka-europe-crm.veevavault.com/ui/#object/sent_email__v/VBL000000030054", "SE-001439440")</f>
        <v>SE-001439440</v>
      </c>
      <c r="F1314" s="25">
        <v>46209.392870370371</v>
      </c>
      <c r="G1314" s="24">
        <v>1</v>
      </c>
      <c r="H1314" s="24">
        <v>1</v>
      </c>
      <c r="I1314" s="24">
        <v>0</v>
      </c>
      <c r="J1314" s="23"/>
      <c r="K1314" s="24">
        <v>0</v>
      </c>
      <c r="L131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14" s="22" t="str">
        <f>HYPERLINK("mailto:idiez@crm.otsuka-europe.com", "idiez@crm.otsuka-europe.com")</f>
        <v>idiez@crm.otsuka-europe.com</v>
      </c>
      <c r="N1314" s="25">
        <v>46209.346250000002</v>
      </c>
      <c r="O1314" s="14" t="str">
        <f>HYPERLINK("https://otsuka-europe-crm.veevavault.com/ui/#object/email_activity__v/V8C000000043213", "EN-002102125")</f>
        <v>EN-002102125</v>
      </c>
    </row>
    <row r="1315" spans="1:15" ht="16" x14ac:dyDescent="0.2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/>
      <c r="N1315" s="19"/>
      <c r="O1315" s="14" t="str">
        <f>HYPERLINK("https://otsuka-europe-crm.veevavault.com/ui/#object/email_activity__v/V8C000000043425", "EN-002102387")</f>
        <v>EN-002102387</v>
      </c>
    </row>
    <row r="1316" spans="1:15" ht="64" x14ac:dyDescent="0.2">
      <c r="A1316" s="7" t="str">
        <f>HYPERLINK("https://otsuka-europe-crm.veevavault.com/ui/#object/account__v/V4T000000010097", "PABLO RODRIGUEZ LOPEZ")</f>
        <v>PABLO RODRIGUEZ LOPEZ</v>
      </c>
      <c r="B1316" s="7" t="str">
        <f>HYPERLINK("https://otsuka-europe-crm.veevavault.com/ui/#object/vcountry__v/VENZ000004SONF5", "ES")</f>
        <v>ES</v>
      </c>
      <c r="C1316" s="8" t="s">
        <v>39</v>
      </c>
      <c r="D131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316" s="10" t="str">
        <f>HYPERLINK("https://otsuka-europe-crm.veevavault.com/ui/#object/sent_email__v/VBL000000030055", "SE-001439441")</f>
        <v>SE-001439441</v>
      </c>
      <c r="F1316" s="11"/>
      <c r="G1316" s="12">
        <v>0</v>
      </c>
      <c r="H1316" s="12">
        <v>0</v>
      </c>
      <c r="I1316" s="12">
        <v>0</v>
      </c>
      <c r="J1316" s="11"/>
      <c r="K1316" s="12">
        <v>0</v>
      </c>
      <c r="L131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316" s="10" t="str">
        <f>HYPERLINK("mailto:idiez@crm.otsuka-europe.com", "idiez@crm.otsuka-europe.com")</f>
        <v>idiez@crm.otsuka-europe.com</v>
      </c>
      <c r="N1316" s="13">
        <v>46209.346250000002</v>
      </c>
      <c r="O1316" s="14" t="str">
        <f>HYPERLINK("https://otsuka-europe-crm.veevavault.com/ui/#object/email_activity__v/V8C000000043208", "EN-002102120")</f>
        <v>EN-002102120</v>
      </c>
    </row>
    <row r="1317" spans="1:15" ht="16" x14ac:dyDescent="0.2">
      <c r="A1317" s="18" t="str">
        <f>HYPERLINK("https://otsuka-europe-crm.veevavault.com/ui/#object/account__v/V4TZ025E88VDXFI", "RODRIGO GARCIA MARINA")</f>
        <v>RODRIGO GARCIA MARINA</v>
      </c>
      <c r="B1317" s="18" t="str">
        <f>HYPERLINK("https://otsuka-europe-crm.veevavault.com/ui/#object/vcountry__v/VENZ000004SONF5", "ES")</f>
        <v>ES</v>
      </c>
      <c r="C1317" s="20" t="s">
        <v>39</v>
      </c>
      <c r="D131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17" s="22" t="str">
        <f>HYPERLINK("https://otsuka-europe-crm.veevavault.com/ui/#object/sent_email__v/VBL000000030056", "SE-001439442")</f>
        <v>SE-001439442</v>
      </c>
      <c r="F1317" s="25">
        <v>46210.263124999998</v>
      </c>
      <c r="G1317" s="24">
        <v>1</v>
      </c>
      <c r="H1317" s="24">
        <v>2</v>
      </c>
      <c r="I1317" s="24">
        <v>0</v>
      </c>
      <c r="J1317" s="23"/>
      <c r="K1317" s="24">
        <v>0</v>
      </c>
      <c r="L131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17" s="22" t="str">
        <f>HYPERLINK("mailto:idiez@crm.otsuka-europe.com", "idiez@crm.otsuka-europe.com")</f>
        <v>idiez@crm.otsuka-europe.com</v>
      </c>
      <c r="N1317" s="25">
        <v>46209.347453703704</v>
      </c>
      <c r="O1317" s="14" t="str">
        <f>HYPERLINK("https://otsuka-europe-crm.veevavault.com/ui/#object/email_activity__v/V8C000000043251", "EN-002102163")</f>
        <v>EN-002102163</v>
      </c>
    </row>
    <row r="1318" spans="1:15" ht="16" x14ac:dyDescent="0.2">
      <c r="A1318" s="26"/>
      <c r="B1318" s="26"/>
      <c r="C1318" s="26"/>
      <c r="D1318" s="26"/>
      <c r="E1318" s="26"/>
      <c r="F1318" s="26"/>
      <c r="G1318" s="26"/>
      <c r="H1318" s="26"/>
      <c r="I1318" s="26"/>
      <c r="J1318" s="26"/>
      <c r="K1318" s="26"/>
      <c r="L1318" s="26"/>
      <c r="M1318" s="26"/>
      <c r="N1318" s="26"/>
      <c r="O1318" s="14" t="str">
        <f>HYPERLINK("https://otsuka-europe-crm.veevavault.com/ui/#object/email_activity__v/V8C000000043282", "EN-002102194")</f>
        <v>EN-002102194</v>
      </c>
    </row>
    <row r="1319" spans="1:15" ht="16" x14ac:dyDescent="0.2">
      <c r="A1319" s="26"/>
      <c r="B1319" s="26"/>
      <c r="C1319" s="26"/>
      <c r="D1319" s="26"/>
      <c r="E1319" s="26"/>
      <c r="F1319" s="26"/>
      <c r="G1319" s="26"/>
      <c r="H1319" s="26"/>
      <c r="I1319" s="26"/>
      <c r="J1319" s="26"/>
      <c r="K1319" s="26"/>
      <c r="L1319" s="26"/>
      <c r="M1319" s="26"/>
      <c r="N1319" s="26"/>
      <c r="O1319" s="14" t="str">
        <f>HYPERLINK("https://otsuka-europe-crm.veevavault.com/ui/#object/email_activity__v/V8C000000043563", "EN-002102648")</f>
        <v>EN-002102648</v>
      </c>
    </row>
    <row r="1320" spans="1:15" ht="16" x14ac:dyDescent="0.2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/>
      <c r="N1320" s="19"/>
      <c r="O1320" s="14" t="str">
        <f>HYPERLINK("https://otsuka-europe-crm.veevavault.com/ui/#object/email_activity__v/V8C00000004G049", "EN-002109844")</f>
        <v>EN-002109844</v>
      </c>
    </row>
    <row r="1321" spans="1:15" ht="16" x14ac:dyDescent="0.2">
      <c r="A1321" s="18" t="str">
        <f>HYPERLINK("https://otsuka-europe-crm.veevavault.com/ui/#object/account__v/V4TZ06G6O71TCK5", "MARIA ALMUDENA VEGA MARTINEZ")</f>
        <v>MARIA ALMUDENA VEGA MARTINEZ</v>
      </c>
      <c r="B1321" s="18" t="str">
        <f>HYPERLINK("https://otsuka-europe-crm.veevavault.com/ui/#object/vcountry__v/VENZ000004SONF5", "ES")</f>
        <v>ES</v>
      </c>
      <c r="C1321" s="20" t="s">
        <v>39</v>
      </c>
      <c r="D132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21" s="22" t="str">
        <f>HYPERLINK("https://otsuka-europe-crm.veevavault.com/ui/#object/sent_email__v/VBL000000030057", "SE-001439443")</f>
        <v>SE-001439443</v>
      </c>
      <c r="F1321" s="25">
        <v>46211.908182870371</v>
      </c>
      <c r="G1321" s="24">
        <v>1</v>
      </c>
      <c r="H1321" s="24">
        <v>2</v>
      </c>
      <c r="I1321" s="24">
        <v>0</v>
      </c>
      <c r="J1321" s="23"/>
      <c r="K1321" s="24">
        <v>0</v>
      </c>
      <c r="L132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21" s="22" t="str">
        <f>HYPERLINK("mailto:idiez@crm.otsuka-europe.com", "idiez@crm.otsuka-europe.com")</f>
        <v>idiez@crm.otsuka-europe.com</v>
      </c>
      <c r="N1321" s="25">
        <v>46209.347430555557</v>
      </c>
      <c r="O1321" s="14" t="str">
        <f>HYPERLINK("https://otsuka-europe-crm.veevavault.com/ui/#object/email_activity__v/V8C000000043218", "EN-002102130")</f>
        <v>EN-002102130</v>
      </c>
    </row>
    <row r="1322" spans="1:15" ht="16" x14ac:dyDescent="0.2">
      <c r="A1322" s="26"/>
      <c r="B1322" s="26"/>
      <c r="C1322" s="26"/>
      <c r="D1322" s="26"/>
      <c r="E1322" s="26"/>
      <c r="F1322" s="26"/>
      <c r="G1322" s="26"/>
      <c r="H1322" s="26"/>
      <c r="I1322" s="26"/>
      <c r="J1322" s="26"/>
      <c r="K1322" s="26"/>
      <c r="L1322" s="26"/>
      <c r="M1322" s="26"/>
      <c r="N1322" s="26"/>
      <c r="O1322" s="14" t="str">
        <f>HYPERLINK("https://otsuka-europe-crm.veevavault.com/ui/#object/email_activity__v/V8C000000043523", "EN-002102582")</f>
        <v>EN-002102582</v>
      </c>
    </row>
    <row r="1323" spans="1:15" ht="16" x14ac:dyDescent="0.2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/>
      <c r="L1323" s="19"/>
      <c r="M1323" s="19"/>
      <c r="N1323" s="19"/>
      <c r="O1323" s="14" t="str">
        <f>HYPERLINK("https://otsuka-europe-crm.veevavault.com/ui/#object/email_activity__v/V8C000000044853", "EN-002103297")</f>
        <v>EN-002103297</v>
      </c>
    </row>
    <row r="1324" spans="1:15" ht="64" x14ac:dyDescent="0.2">
      <c r="A1324" s="7" t="str">
        <f>HYPERLINK("https://otsuka-europe-crm.veevavault.com/ui/#object/account__v/V4TZ06G6O71T7KA", "ROCIO ECHARRI CARRILLO")</f>
        <v>ROCIO ECHARRI CARRILLO</v>
      </c>
      <c r="B1324" s="7" t="str">
        <f>HYPERLINK("https://otsuka-europe-crm.veevavault.com/ui/#object/vcountry__v/VENZ000004SONF5", "ES")</f>
        <v>ES</v>
      </c>
      <c r="C1324" s="8" t="s">
        <v>39</v>
      </c>
      <c r="D132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24" s="10" t="str">
        <f>HYPERLINK("https://otsuka-europe-crm.veevavault.com/ui/#object/sent_email__v/VBL000000030058", "SE-001439444")</f>
        <v>SE-001439444</v>
      </c>
      <c r="F1324" s="11"/>
      <c r="G1324" s="12">
        <v>0</v>
      </c>
      <c r="H1324" s="12">
        <v>0</v>
      </c>
      <c r="I1324" s="12">
        <v>0</v>
      </c>
      <c r="J1324" s="11"/>
      <c r="K1324" s="12">
        <v>0</v>
      </c>
      <c r="L132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24" s="10" t="str">
        <f>HYPERLINK("mailto:idiez@crm.otsuka-europe.com", "idiez@crm.otsuka-europe.com")</f>
        <v>idiez@crm.otsuka-europe.com</v>
      </c>
      <c r="N1324" s="13">
        <v>46209.34746527778</v>
      </c>
      <c r="O1324" s="14" t="str">
        <f>HYPERLINK("https://otsuka-europe-crm.veevavault.com/ui/#object/email_activity__v/V8C000000043253", "EN-002102165")</f>
        <v>EN-002102165</v>
      </c>
    </row>
    <row r="1325" spans="1:15" ht="16" x14ac:dyDescent="0.2">
      <c r="A1325" s="18" t="str">
        <f>HYPERLINK("https://otsuka-europe-crm.veevavault.com/ui/#object/account__v/V4TZ06G6O71TB12", "MARIA SAN MIGUEL MARQUES VIDAS")</f>
        <v>MARIA SAN MIGUEL MARQUES VIDAS</v>
      </c>
      <c r="B1325" s="18" t="str">
        <f>HYPERLINK("https://otsuka-europe-crm.veevavault.com/ui/#object/vcountry__v/VENZ000004SONF5", "ES")</f>
        <v>ES</v>
      </c>
      <c r="C1325" s="20" t="s">
        <v>39</v>
      </c>
      <c r="D13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25" s="22" t="str">
        <f>HYPERLINK("https://otsuka-europe-crm.veevavault.com/ui/#object/sent_email__v/VBL000000030059", "SE-001439445")</f>
        <v>SE-001439445</v>
      </c>
      <c r="F1325" s="23"/>
      <c r="G1325" s="24">
        <v>0</v>
      </c>
      <c r="H1325" s="24">
        <v>0</v>
      </c>
      <c r="I1325" s="24">
        <v>0</v>
      </c>
      <c r="J1325" s="23"/>
      <c r="K1325" s="24">
        <v>0</v>
      </c>
      <c r="L13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25" s="22" t="str">
        <f>HYPERLINK("mailto:idiez@crm.otsuka-europe.com", "idiez@crm.otsuka-europe.com")</f>
        <v>idiez@crm.otsuka-europe.com</v>
      </c>
      <c r="N1325" s="25">
        <v>46209.347430555557</v>
      </c>
      <c r="O1325" s="14" t="str">
        <f>HYPERLINK("https://otsuka-europe-crm.veevavault.com/ui/#object/email_activity__v/V8C000000043215", "EN-002102127")</f>
        <v>EN-002102127</v>
      </c>
    </row>
    <row r="1326" spans="1:15" ht="16" x14ac:dyDescent="0.2">
      <c r="A1326" s="19"/>
      <c r="B1326" s="19"/>
      <c r="C1326" s="19"/>
      <c r="D1326" s="19"/>
      <c r="E1326" s="19"/>
      <c r="F1326" s="19"/>
      <c r="G1326" s="19"/>
      <c r="H1326" s="19"/>
      <c r="I1326" s="19"/>
      <c r="J1326" s="19"/>
      <c r="K1326" s="19"/>
      <c r="L1326" s="19"/>
      <c r="M1326" s="19"/>
      <c r="N1326" s="19"/>
      <c r="O1326" s="14" t="str">
        <f>HYPERLINK("https://otsuka-europe-crm.veevavault.com/ui/#object/email_activity__v/V8C000000044481", "EN-002102536")</f>
        <v>EN-002102536</v>
      </c>
    </row>
    <row r="1327" spans="1:15" ht="64" x14ac:dyDescent="0.2">
      <c r="A1327" s="7" t="str">
        <f>HYPERLINK("https://otsuka-europe-crm.veevavault.com/ui/#object/account__v/V4TZ06G6O71TAWV", "MARIA ROSA MELERO MARTIN")</f>
        <v>MARIA ROSA MELERO MARTIN</v>
      </c>
      <c r="B1327" s="7" t="str">
        <f>HYPERLINK("https://otsuka-europe-crm.veevavault.com/ui/#object/vcountry__v/VENZ000004SONF5", "ES")</f>
        <v>ES</v>
      </c>
      <c r="C1327" s="8" t="s">
        <v>39</v>
      </c>
      <c r="D132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27" s="10" t="str">
        <f>HYPERLINK("https://otsuka-europe-crm.veevavault.com/ui/#object/sent_email__v/VBL000000030060", "SE-001439446")</f>
        <v>SE-001439446</v>
      </c>
      <c r="F1327" s="11"/>
      <c r="G1327" s="12">
        <v>0</v>
      </c>
      <c r="H1327" s="12">
        <v>0</v>
      </c>
      <c r="I1327" s="12">
        <v>0</v>
      </c>
      <c r="J1327" s="11"/>
      <c r="K1327" s="12">
        <v>0</v>
      </c>
      <c r="L132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27" s="10" t="str">
        <f>HYPERLINK("mailto:idiez@crm.otsuka-europe.com", "idiez@crm.otsuka-europe.com")</f>
        <v>idiez@crm.otsuka-europe.com</v>
      </c>
      <c r="N1327" s="13">
        <v>46209.347453703704</v>
      </c>
      <c r="O1327" s="14" t="str">
        <f>HYPERLINK("https://otsuka-europe-crm.veevavault.com/ui/#object/email_activity__v/V8C000000043257", "EN-002102169")</f>
        <v>EN-002102169</v>
      </c>
    </row>
    <row r="1328" spans="1:15" ht="64" x14ac:dyDescent="0.2">
      <c r="A1328" s="7" t="str">
        <f>HYPERLINK("https://otsuka-europe-crm.veevavault.com/ui/#object/account__v/V4TZ06G6O71TC30", "ROSA BENITA SANCHEZ HERNANDEZ")</f>
        <v>ROSA BENITA SANCHEZ HERNANDEZ</v>
      </c>
      <c r="B1328" s="7" t="str">
        <f>HYPERLINK("https://otsuka-europe-crm.veevavault.com/ui/#object/vcountry__v/VENZ000004SONF5", "ES")</f>
        <v>ES</v>
      </c>
      <c r="C1328" s="8" t="s">
        <v>39</v>
      </c>
      <c r="D132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28" s="10" t="str">
        <f>HYPERLINK("https://otsuka-europe-crm.veevavault.com/ui/#object/sent_email__v/VBL000000030061", "SE-001439447")</f>
        <v>SE-001439447</v>
      </c>
      <c r="F1328" s="11"/>
      <c r="G1328" s="12">
        <v>0</v>
      </c>
      <c r="H1328" s="12">
        <v>0</v>
      </c>
      <c r="I1328" s="12">
        <v>0</v>
      </c>
      <c r="J1328" s="11"/>
      <c r="K1328" s="12">
        <v>0</v>
      </c>
      <c r="L132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28" s="10" t="str">
        <f>HYPERLINK("mailto:idiez@crm.otsuka-europe.com", "idiez@crm.otsuka-europe.com")</f>
        <v>idiez@crm.otsuka-europe.com</v>
      </c>
      <c r="N1328" s="13">
        <v>46209.34746527778</v>
      </c>
      <c r="O1328" s="14" t="str">
        <f>HYPERLINK("https://otsuka-europe-crm.veevavault.com/ui/#object/email_activity__v/V8C000000043229", "EN-002102141")</f>
        <v>EN-002102141</v>
      </c>
    </row>
    <row r="1329" spans="1:15" ht="64" x14ac:dyDescent="0.2">
      <c r="A1329" s="7" t="str">
        <f>HYPERLINK("https://otsuka-europe-crm.veevavault.com/ui/#object/account__v/V4TZ06G6O71T7CH", "LAURA GARCIA-PUENTE SUAREZ")</f>
        <v>LAURA GARCIA-PUENTE SUAREZ</v>
      </c>
      <c r="B1329" s="7" t="str">
        <f>HYPERLINK("https://otsuka-europe-crm.veevavault.com/ui/#object/vcountry__v/VENZ000004SONF5", "ES")</f>
        <v>ES</v>
      </c>
      <c r="C1329" s="8" t="s">
        <v>39</v>
      </c>
      <c r="D132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29" s="10" t="str">
        <f>HYPERLINK("https://otsuka-europe-crm.veevavault.com/ui/#object/sent_email__v/VBL000000030062", "SE-001439448")</f>
        <v>SE-001439448</v>
      </c>
      <c r="F1329" s="11"/>
      <c r="G1329" s="12">
        <v>0</v>
      </c>
      <c r="H1329" s="12">
        <v>0</v>
      </c>
      <c r="I1329" s="12">
        <v>0</v>
      </c>
      <c r="J1329" s="11"/>
      <c r="K1329" s="12">
        <v>0</v>
      </c>
      <c r="L132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29" s="10" t="str">
        <f>HYPERLINK("mailto:idiez@crm.otsuka-europe.com", "idiez@crm.otsuka-europe.com")</f>
        <v>idiez@crm.otsuka-europe.com</v>
      </c>
      <c r="N1329" s="13">
        <v>46209.347488425927</v>
      </c>
      <c r="O1329" s="14" t="str">
        <f>HYPERLINK("https://otsuka-europe-crm.veevavault.com/ui/#object/email_activity__v/V8C000000043241", "EN-002102153")</f>
        <v>EN-002102153</v>
      </c>
    </row>
    <row r="1330" spans="1:15" ht="64" x14ac:dyDescent="0.2">
      <c r="A1330" s="7" t="str">
        <f>HYPERLINK("https://otsuka-europe-crm.veevavault.com/ui/#object/account__v/V4TZ06G6O71TAX1", "JUAN ANTONIO MARTIN NAVARRO")</f>
        <v>JUAN ANTONIO MARTIN NAVARRO</v>
      </c>
      <c r="B1330" s="7" t="str">
        <f>HYPERLINK("https://otsuka-europe-crm.veevavault.com/ui/#object/vcountry__v/VENZ000004SONF5", "ES")</f>
        <v>ES</v>
      </c>
      <c r="C1330" s="8" t="s">
        <v>39</v>
      </c>
      <c r="D133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30" s="10" t="str">
        <f>HYPERLINK("https://otsuka-europe-crm.veevavault.com/ui/#object/sent_email__v/VBL000000030063", "SE-001439449")</f>
        <v>SE-001439449</v>
      </c>
      <c r="F1330" s="11"/>
      <c r="G1330" s="12">
        <v>0</v>
      </c>
      <c r="H1330" s="12">
        <v>0</v>
      </c>
      <c r="I1330" s="12">
        <v>0</v>
      </c>
      <c r="J1330" s="11"/>
      <c r="K1330" s="12">
        <v>0</v>
      </c>
      <c r="L133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30" s="10" t="str">
        <f>HYPERLINK("mailto:idiez@crm.otsuka-europe.com", "idiez@crm.otsuka-europe.com")</f>
        <v>idiez@crm.otsuka-europe.com</v>
      </c>
      <c r="N1330" s="13">
        <v>46209.347453703704</v>
      </c>
      <c r="O1330" s="14" t="str">
        <f>HYPERLINK("https://otsuka-europe-crm.veevavault.com/ui/#object/email_activity__v/V8C000000043223", "EN-002102135")</f>
        <v>EN-002102135</v>
      </c>
    </row>
    <row r="1331" spans="1:15" ht="16" x14ac:dyDescent="0.2">
      <c r="A1331" s="18" t="str">
        <f>HYPERLINK("https://otsuka-europe-crm.veevavault.com/ui/#object/account__v/V4TZ06G6O71TCKB", "URSULA VERDALLES GUZMAN")</f>
        <v>URSULA VERDALLES GUZMAN</v>
      </c>
      <c r="B1331" s="18" t="str">
        <f>HYPERLINK("https://otsuka-europe-crm.veevavault.com/ui/#object/vcountry__v/VENZ000004SONF5", "ES")</f>
        <v>ES</v>
      </c>
      <c r="C1331" s="20" t="s">
        <v>39</v>
      </c>
      <c r="D133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31" s="22" t="str">
        <f>HYPERLINK("https://otsuka-europe-crm.veevavault.com/ui/#object/sent_email__v/VBL000000030064", "SE-001439450")</f>
        <v>SE-001439450</v>
      </c>
      <c r="F1331" s="23"/>
      <c r="G1331" s="24">
        <v>0</v>
      </c>
      <c r="H1331" s="24">
        <v>0</v>
      </c>
      <c r="I1331" s="24">
        <v>0</v>
      </c>
      <c r="J1331" s="23"/>
      <c r="K1331" s="24">
        <v>0</v>
      </c>
      <c r="L133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31" s="22" t="str">
        <f>HYPERLINK("mailto:idiez@crm.otsuka-europe.com", "idiez@crm.otsuka-europe.com")</f>
        <v>idiez@crm.otsuka-europe.com</v>
      </c>
      <c r="N1331" s="25">
        <v>46209.34747685185</v>
      </c>
      <c r="O1331" s="14" t="str">
        <f>HYPERLINK("https://otsuka-europe-crm.veevavault.com/ui/#object/email_activity__v/V8C000000043239", "EN-002102151")</f>
        <v>EN-002102151</v>
      </c>
    </row>
    <row r="1332" spans="1:15" ht="16" x14ac:dyDescent="0.2">
      <c r="A1332" s="26"/>
      <c r="B1332" s="26"/>
      <c r="C1332" s="26"/>
      <c r="D1332" s="26"/>
      <c r="E1332" s="26"/>
      <c r="F1332" s="26"/>
      <c r="G1332" s="26"/>
      <c r="H1332" s="26"/>
      <c r="I1332" s="26"/>
      <c r="J1332" s="26"/>
      <c r="K1332" s="26"/>
      <c r="L1332" s="26"/>
      <c r="M1332" s="26"/>
      <c r="N1332" s="26"/>
      <c r="O1332" s="14" t="str">
        <f>HYPERLINK("https://otsuka-europe-crm.veevavault.com/ui/#object/email_activity__v/V8C000000043509", "EN-002102553")</f>
        <v>EN-002102553</v>
      </c>
    </row>
    <row r="1333" spans="1:15" ht="16" x14ac:dyDescent="0.2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/>
      <c r="L1333" s="19"/>
      <c r="M1333" s="19"/>
      <c r="N1333" s="19"/>
      <c r="O1333" s="14" t="str">
        <f>HYPERLINK("https://otsuka-europe-crm.veevavault.com/ui/#object/email_activity__v/V8C000000043800", "EN-002103125")</f>
        <v>EN-002103125</v>
      </c>
    </row>
    <row r="1334" spans="1:15" ht="64" x14ac:dyDescent="0.2">
      <c r="A1334" s="7" t="str">
        <f>HYPERLINK("https://otsuka-europe-crm.veevavault.com/ui/#object/account__v/V4TZ06G6OAAU9JM", "SANTIAGO ANDRES CEDEÑO MORA")</f>
        <v>SANTIAGO ANDRES CEDEÑO MORA</v>
      </c>
      <c r="B1334" s="7" t="str">
        <f>HYPERLINK("https://otsuka-europe-crm.veevavault.com/ui/#object/vcountry__v/VENZ000004SONF5", "ES")</f>
        <v>ES</v>
      </c>
      <c r="C1334" s="8" t="s">
        <v>39</v>
      </c>
      <c r="D133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34" s="10" t="str">
        <f>HYPERLINK("https://otsuka-europe-crm.veevavault.com/ui/#object/sent_email__v/VBL000000030065", "SE-001439451")</f>
        <v>SE-001439451</v>
      </c>
      <c r="F1334" s="11"/>
      <c r="G1334" s="12">
        <v>0</v>
      </c>
      <c r="H1334" s="12">
        <v>0</v>
      </c>
      <c r="I1334" s="12">
        <v>0</v>
      </c>
      <c r="J1334" s="11"/>
      <c r="K1334" s="12">
        <v>0</v>
      </c>
      <c r="L133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34" s="10" t="str">
        <f>HYPERLINK("mailto:idiez@crm.otsuka-europe.com", "idiez@crm.otsuka-europe.com")</f>
        <v>idiez@crm.otsuka-europe.com</v>
      </c>
      <c r="N1334" s="13">
        <v>46209.347453703704</v>
      </c>
      <c r="O1334" s="14" t="str">
        <f>HYPERLINK("https://otsuka-europe-crm.veevavault.com/ui/#object/email_activity__v/V8C000000043269", "EN-002102181")</f>
        <v>EN-002102181</v>
      </c>
    </row>
    <row r="1335" spans="1:15" ht="16" x14ac:dyDescent="0.2">
      <c r="A1335" s="18" t="str">
        <f>HYPERLINK("https://otsuka-europe-crm.veevavault.com/ui/#object/account__v/V4TZ06G6O71TBYM", "MARIA ASTRID RODRIGUEZ GOMEZ")</f>
        <v>MARIA ASTRID RODRIGUEZ GOMEZ</v>
      </c>
      <c r="B1335" s="18" t="str">
        <f>HYPERLINK("https://otsuka-europe-crm.veevavault.com/ui/#object/vcountry__v/VENZ000004SONF5", "ES")</f>
        <v>ES</v>
      </c>
      <c r="C1335" s="20" t="s">
        <v>39</v>
      </c>
      <c r="D13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35" s="22" t="str">
        <f>HYPERLINK("https://otsuka-europe-crm.veevavault.com/ui/#object/sent_email__v/VBL000000030066", "SE-001439452")</f>
        <v>SE-001439452</v>
      </c>
      <c r="F1335" s="25">
        <v>46216.688391203701</v>
      </c>
      <c r="G1335" s="24">
        <v>1</v>
      </c>
      <c r="H1335" s="24">
        <v>3</v>
      </c>
      <c r="I1335" s="24">
        <v>1</v>
      </c>
      <c r="J1335" s="25">
        <v>46216.688564814816</v>
      </c>
      <c r="K1335" s="24">
        <v>4</v>
      </c>
      <c r="L13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35" s="22" t="str">
        <f>HYPERLINK("mailto:idiez@crm.otsuka-europe.com", "idiez@crm.otsuka-europe.com")</f>
        <v>idiez@crm.otsuka-europe.com</v>
      </c>
      <c r="N1335" s="25">
        <v>46209.347453703704</v>
      </c>
      <c r="O1335" s="14" t="str">
        <f>HYPERLINK("https://otsuka-europe-crm.veevavault.com/ui/#object/email_activity__v/V8C000000043280", "EN-002102192")</f>
        <v>EN-002102192</v>
      </c>
    </row>
    <row r="1336" spans="1:15" ht="16" x14ac:dyDescent="0.2">
      <c r="A1336" s="26"/>
      <c r="B1336" s="26"/>
      <c r="C1336" s="26"/>
      <c r="D1336" s="26"/>
      <c r="E1336" s="26"/>
      <c r="F1336" s="26"/>
      <c r="G1336" s="26"/>
      <c r="H1336" s="26"/>
      <c r="I1336" s="26"/>
      <c r="J1336" s="26"/>
      <c r="K1336" s="26"/>
      <c r="L1336" s="26"/>
      <c r="M1336" s="26"/>
      <c r="N1336" s="26"/>
      <c r="O1336" s="14" t="str">
        <f>HYPERLINK("https://otsuka-europe-crm.veevavault.com/ui/#object/email_activity__v/V8C000000043702", "EN-002102952")</f>
        <v>EN-002102952</v>
      </c>
    </row>
    <row r="1337" spans="1:15" ht="16" x14ac:dyDescent="0.2">
      <c r="A1337" s="26"/>
      <c r="B1337" s="26"/>
      <c r="C1337" s="26"/>
      <c r="D1337" s="26"/>
      <c r="E1337" s="26"/>
      <c r="F1337" s="26"/>
      <c r="G1337" s="26"/>
      <c r="H1337" s="26"/>
      <c r="I1337" s="26"/>
      <c r="J1337" s="26"/>
      <c r="K1337" s="26"/>
      <c r="L1337" s="26"/>
      <c r="M1337" s="26"/>
      <c r="N1337" s="26"/>
      <c r="O1337" s="14" t="str">
        <f>HYPERLINK("https://otsuka-europe-crm.veevavault.com/ui/#object/email_activity__v/V8C000000043844", "EN-002103214")</f>
        <v>EN-002103214</v>
      </c>
    </row>
    <row r="1338" spans="1:15" ht="16" x14ac:dyDescent="0.2">
      <c r="A1338" s="26"/>
      <c r="B1338" s="26"/>
      <c r="C1338" s="26"/>
      <c r="D1338" s="26"/>
      <c r="E1338" s="26"/>
      <c r="F1338" s="26"/>
      <c r="G1338" s="26"/>
      <c r="H1338" s="26"/>
      <c r="I1338" s="26"/>
      <c r="J1338" s="26"/>
      <c r="K1338" s="26"/>
      <c r="L1338" s="26"/>
      <c r="M1338" s="26"/>
      <c r="N1338" s="26"/>
      <c r="O1338" s="14" t="str">
        <f>HYPERLINK("https://otsuka-europe-crm.veevavault.com/ui/#object/email_activity__v/V8C000000044693", "EN-002102950")</f>
        <v>EN-002102950</v>
      </c>
    </row>
    <row r="1339" spans="1:15" ht="16" x14ac:dyDescent="0.2">
      <c r="A1339" s="26"/>
      <c r="B1339" s="26"/>
      <c r="C1339" s="26"/>
      <c r="D1339" s="26"/>
      <c r="E1339" s="26"/>
      <c r="F1339" s="26"/>
      <c r="G1339" s="26"/>
      <c r="H1339" s="26"/>
      <c r="I1339" s="26"/>
      <c r="J1339" s="26"/>
      <c r="K1339" s="26"/>
      <c r="L1339" s="26"/>
      <c r="M1339" s="26"/>
      <c r="N1339" s="26"/>
      <c r="O1339" s="14" t="str">
        <f>HYPERLINK("https://otsuka-europe-crm.veevavault.com/ui/#object/email_activity__v/V8C000000044694", "EN-002102951")</f>
        <v>EN-002102951</v>
      </c>
    </row>
    <row r="1340" spans="1:15" ht="16" x14ac:dyDescent="0.2">
      <c r="A1340" s="26"/>
      <c r="B1340" s="26"/>
      <c r="C1340" s="26"/>
      <c r="D1340" s="26"/>
      <c r="E1340" s="26"/>
      <c r="F1340" s="26"/>
      <c r="G1340" s="26"/>
      <c r="H1340" s="26"/>
      <c r="I1340" s="26"/>
      <c r="J1340" s="26"/>
      <c r="K1340" s="26"/>
      <c r="L1340" s="26"/>
      <c r="M1340" s="26"/>
      <c r="N1340" s="26"/>
      <c r="O1340" s="14" t="str">
        <f>HYPERLINK("https://otsuka-europe-crm.veevavault.com/ui/#object/email_activity__v/V8C000000049412", "EN-002105596")</f>
        <v>EN-002105596</v>
      </c>
    </row>
    <row r="1341" spans="1:15" ht="16" x14ac:dyDescent="0.2">
      <c r="A1341" s="26"/>
      <c r="B1341" s="26"/>
      <c r="C1341" s="26"/>
      <c r="D1341" s="26"/>
      <c r="E1341" s="26"/>
      <c r="F1341" s="26"/>
      <c r="G1341" s="26"/>
      <c r="H1341" s="26"/>
      <c r="I1341" s="26"/>
      <c r="J1341" s="26"/>
      <c r="K1341" s="26"/>
      <c r="L1341" s="26"/>
      <c r="M1341" s="26"/>
      <c r="N1341" s="26"/>
      <c r="O1341" s="14" t="str">
        <f>HYPERLINK("https://otsuka-europe-crm.veevavault.com/ui/#object/email_activity__v/V8C000000049413", "EN-002105597")</f>
        <v>EN-002105597</v>
      </c>
    </row>
    <row r="1342" spans="1:15" ht="16" x14ac:dyDescent="0.2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/>
      <c r="N1342" s="19"/>
      <c r="O1342" s="14" t="str">
        <f>HYPERLINK("https://otsuka-europe-crm.veevavault.com/ui/#object/email_activity__v/V8C00000004A318", "EN-002105595")</f>
        <v>EN-002105595</v>
      </c>
    </row>
    <row r="1343" spans="1:15" ht="64" x14ac:dyDescent="0.2">
      <c r="A1343" s="7" t="str">
        <f>HYPERLINK("https://otsuka-europe-crm.veevavault.com/ui/#object/account__v/V4TZ025E87IFGCR", "MARIA VERONICA TORRES JARAMILLO")</f>
        <v>MARIA VERONICA TORRES JARAMILLO</v>
      </c>
      <c r="B1343" s="7" t="str">
        <f>HYPERLINK("https://otsuka-europe-crm.veevavault.com/ui/#object/vcountry__v/VENZ000004SONF5", "ES")</f>
        <v>ES</v>
      </c>
      <c r="C1343" s="8" t="s">
        <v>39</v>
      </c>
      <c r="D134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43" s="10" t="str">
        <f>HYPERLINK("https://otsuka-europe-crm.veevavault.com/ui/#object/sent_email__v/VBL000000030067", "SE-001439453")</f>
        <v>SE-001439453</v>
      </c>
      <c r="F1343" s="11"/>
      <c r="G1343" s="12">
        <v>0</v>
      </c>
      <c r="H1343" s="12">
        <v>0</v>
      </c>
      <c r="I1343" s="12">
        <v>0</v>
      </c>
      <c r="J1343" s="11"/>
      <c r="K1343" s="12">
        <v>0</v>
      </c>
      <c r="L134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43" s="10" t="str">
        <f>HYPERLINK("mailto:idiez@crm.otsuka-europe.com", "idiez@crm.otsuka-europe.com")</f>
        <v>idiez@crm.otsuka-europe.com</v>
      </c>
      <c r="N1343" s="13">
        <v>46209.347453703704</v>
      </c>
      <c r="O1343" s="14" t="str">
        <f>HYPERLINK("https://otsuka-europe-crm.veevavault.com/ui/#object/email_activity__v/V8C000000043261", "EN-002102173")</f>
        <v>EN-002102173</v>
      </c>
    </row>
    <row r="1344" spans="1:15" ht="16" x14ac:dyDescent="0.2">
      <c r="A1344" s="18" t="str">
        <f>HYPERLINK("https://otsuka-europe-crm.veevavault.com/ui/#object/account__v/V4TZ06G6O71TAGN", "LEONARDO CALLE GARCIA")</f>
        <v>LEONARDO CALLE GARCIA</v>
      </c>
      <c r="B1344" s="18" t="str">
        <f>HYPERLINK("https://otsuka-europe-crm.veevavault.com/ui/#object/vcountry__v/VENZ000004SONF5", "ES")</f>
        <v>ES</v>
      </c>
      <c r="C1344" s="20" t="s">
        <v>39</v>
      </c>
      <c r="D134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44" s="22" t="str">
        <f>HYPERLINK("https://otsuka-europe-crm.veevavault.com/ui/#object/sent_email__v/VBL000000030068", "SE-001439454")</f>
        <v>SE-001439454</v>
      </c>
      <c r="F1344" s="23"/>
      <c r="G1344" s="24">
        <v>0</v>
      </c>
      <c r="H1344" s="24">
        <v>0</v>
      </c>
      <c r="I1344" s="24">
        <v>0</v>
      </c>
      <c r="J1344" s="23"/>
      <c r="K1344" s="24">
        <v>0</v>
      </c>
      <c r="L134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44" s="22" t="str">
        <f>HYPERLINK("mailto:idiez@crm.otsuka-europe.com", "idiez@crm.otsuka-europe.com")</f>
        <v>idiez@crm.otsuka-europe.com</v>
      </c>
      <c r="N1344" s="25">
        <v>46209.347511574073</v>
      </c>
      <c r="O1344" s="14" t="str">
        <f>HYPERLINK("https://otsuka-europe-crm.veevavault.com/ui/#object/email_activity__v/V8C000000043250", "EN-002102162")</f>
        <v>EN-002102162</v>
      </c>
    </row>
    <row r="1345" spans="1:15" ht="16" x14ac:dyDescent="0.2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/>
      <c r="L1345" s="19"/>
      <c r="M1345" s="19"/>
      <c r="N1345" s="19"/>
      <c r="O1345" s="14" t="str">
        <f>HYPERLINK("https://otsuka-europe-crm.veevavault.com/ui/#object/email_activity__v/V8C000000044516", "EN-002102606")</f>
        <v>EN-002102606</v>
      </c>
    </row>
    <row r="1346" spans="1:15" ht="64" x14ac:dyDescent="0.2">
      <c r="A1346" s="7" t="str">
        <f>HYPERLINK("https://otsuka-europe-crm.veevavault.com/ui/#object/account__v/V4TZ04ASG79QDZF", "SAUL ENRIQUE PAMPA SAICO")</f>
        <v>SAUL ENRIQUE PAMPA SAICO</v>
      </c>
      <c r="B1346" s="7" t="str">
        <f>HYPERLINK("https://otsuka-europe-crm.veevavault.com/ui/#object/vcountry__v/VENZ000004SONF5", "ES")</f>
        <v>ES</v>
      </c>
      <c r="C1346" s="8" t="s">
        <v>39</v>
      </c>
      <c r="D13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46" s="10" t="str">
        <f>HYPERLINK("https://otsuka-europe-crm.veevavault.com/ui/#object/sent_email__v/VBL000000030069", "SE-001439455")</f>
        <v>SE-001439455</v>
      </c>
      <c r="F1346" s="11"/>
      <c r="G1346" s="12">
        <v>0</v>
      </c>
      <c r="H1346" s="12">
        <v>0</v>
      </c>
      <c r="I1346" s="12">
        <v>0</v>
      </c>
      <c r="J1346" s="11"/>
      <c r="K1346" s="12">
        <v>0</v>
      </c>
      <c r="L13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46" s="10" t="str">
        <f>HYPERLINK("mailto:idiez@crm.otsuka-europe.com", "idiez@crm.otsuka-europe.com")</f>
        <v>idiez@crm.otsuka-europe.com</v>
      </c>
      <c r="N1346" s="13">
        <v>46209.34747685185</v>
      </c>
      <c r="O1346" s="14" t="str">
        <f>HYPERLINK("https://otsuka-europe-crm.veevavault.com/ui/#object/email_activity__v/V8C000000043234", "EN-002102146")</f>
        <v>EN-002102146</v>
      </c>
    </row>
    <row r="1347" spans="1:15" ht="16" x14ac:dyDescent="0.2">
      <c r="A1347" s="18" t="str">
        <f>HYPERLINK("https://otsuka-europe-crm.veevavault.com/ui/#object/account__v/V4TZ025E86ZQGNI", "LUCIA MARTIN TESTILLANO")</f>
        <v>LUCIA MARTIN TESTILLANO</v>
      </c>
      <c r="B1347" s="18" t="str">
        <f>HYPERLINK("https://otsuka-europe-crm.veevavault.com/ui/#object/vcountry__v/VENZ000004SONF5", "ES")</f>
        <v>ES</v>
      </c>
      <c r="C1347" s="20" t="s">
        <v>39</v>
      </c>
      <c r="D134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47" s="22" t="str">
        <f>HYPERLINK("https://otsuka-europe-crm.veevavault.com/ui/#object/sent_email__v/VBL000000030070", "SE-001439456")</f>
        <v>SE-001439456</v>
      </c>
      <c r="F1347" s="25">
        <v>46209.352303240739</v>
      </c>
      <c r="G1347" s="24">
        <v>1</v>
      </c>
      <c r="H1347" s="24">
        <v>1</v>
      </c>
      <c r="I1347" s="24">
        <v>0</v>
      </c>
      <c r="J1347" s="23"/>
      <c r="K1347" s="24">
        <v>0</v>
      </c>
      <c r="L134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47" s="22" t="str">
        <f>HYPERLINK("mailto:idiez@crm.otsuka-europe.com", "idiez@crm.otsuka-europe.com")</f>
        <v>idiez@crm.otsuka-europe.com</v>
      </c>
      <c r="N1347" s="25">
        <v>46209.34746527778</v>
      </c>
      <c r="O1347" s="14" t="str">
        <f>HYPERLINK("https://otsuka-europe-crm.veevavault.com/ui/#object/email_activity__v/V8C000000043230", "EN-002102142")</f>
        <v>EN-002102142</v>
      </c>
    </row>
    <row r="1348" spans="1:15" ht="16" x14ac:dyDescent="0.2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/>
      <c r="L1348" s="19"/>
      <c r="M1348" s="19"/>
      <c r="N1348" s="19"/>
      <c r="O1348" s="14" t="str">
        <f>HYPERLINK("https://otsuka-europe-crm.veevavault.com/ui/#object/email_activity__v/V8C000000043397", "EN-002102328")</f>
        <v>EN-002102328</v>
      </c>
    </row>
    <row r="1349" spans="1:15" ht="64" x14ac:dyDescent="0.2">
      <c r="A1349" s="7" t="str">
        <f>HYPERLINK("https://otsuka-europe-crm.veevavault.com/ui/#object/account__v/V4TZ06G6O71TBJK", "MARIA VICTORIA OVIEDO GOMEZ")</f>
        <v>MARIA VICTORIA OVIEDO GOMEZ</v>
      </c>
      <c r="B1349" s="7" t="str">
        <f>HYPERLINK("https://otsuka-europe-crm.veevavault.com/ui/#object/vcountry__v/VENZ000004SONF5", "ES")</f>
        <v>ES</v>
      </c>
      <c r="C1349" s="8" t="s">
        <v>39</v>
      </c>
      <c r="D134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49" s="10" t="str">
        <f>HYPERLINK("https://otsuka-europe-crm.veevavault.com/ui/#object/sent_email__v/VBL000000030071", "SE-001439457")</f>
        <v>SE-001439457</v>
      </c>
      <c r="F1349" s="11"/>
      <c r="G1349" s="12">
        <v>0</v>
      </c>
      <c r="H1349" s="12">
        <v>0</v>
      </c>
      <c r="I1349" s="12">
        <v>0</v>
      </c>
      <c r="J1349" s="11"/>
      <c r="K1349" s="12">
        <v>0</v>
      </c>
      <c r="L134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49" s="10" t="str">
        <f>HYPERLINK("mailto:idiez@crm.otsuka-europe.com", "idiez@crm.otsuka-europe.com")</f>
        <v>idiez@crm.otsuka-europe.com</v>
      </c>
      <c r="N1349" s="13">
        <v>46209.34747685185</v>
      </c>
      <c r="O1349" s="14" t="str">
        <f>HYPERLINK("https://otsuka-europe-crm.veevavault.com/ui/#object/email_activity__v/V8C000000043240", "EN-002102152")</f>
        <v>EN-002102152</v>
      </c>
    </row>
    <row r="1350" spans="1:15" ht="64" x14ac:dyDescent="0.2">
      <c r="A1350" s="7" t="str">
        <f>HYPERLINK("https://otsuka-europe-crm.veevavault.com/ui/#object/account__v/V4TZ06G6OAAZ53R", "PABLO LUIS SANCHEZ GARROTE")</f>
        <v>PABLO LUIS SANCHEZ GARROTE</v>
      </c>
      <c r="B1350" s="7" t="str">
        <f>HYPERLINK("https://otsuka-europe-crm.veevavault.com/ui/#object/vcountry__v/VENZ000004SONF5", "ES")</f>
        <v>ES</v>
      </c>
      <c r="C1350" s="8" t="s">
        <v>39</v>
      </c>
      <c r="D135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50" s="10" t="str">
        <f>HYPERLINK("https://otsuka-europe-crm.veevavault.com/ui/#object/sent_email__v/VBL000000030072", "SE-001439458")</f>
        <v>SE-001439458</v>
      </c>
      <c r="F1350" s="11"/>
      <c r="G1350" s="12">
        <v>0</v>
      </c>
      <c r="H1350" s="12">
        <v>0</v>
      </c>
      <c r="I1350" s="12">
        <v>0</v>
      </c>
      <c r="J1350" s="11"/>
      <c r="K1350" s="12">
        <v>0</v>
      </c>
      <c r="L135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50" s="10" t="str">
        <f>HYPERLINK("mailto:idiez@crm.otsuka-europe.com", "idiez@crm.otsuka-europe.com")</f>
        <v>idiez@crm.otsuka-europe.com</v>
      </c>
      <c r="N1350" s="13">
        <v>46209.347453703704</v>
      </c>
      <c r="O1350" s="14" t="str">
        <f>HYPERLINK("https://otsuka-europe-crm.veevavault.com/ui/#object/email_activity__v/V8C000000043265", "EN-002102177")</f>
        <v>EN-002102177</v>
      </c>
    </row>
    <row r="1351" spans="1:15" ht="16" x14ac:dyDescent="0.2">
      <c r="A1351" s="18" t="str">
        <f>HYPERLINK("https://otsuka-europe-crm.veevavault.com/ui/#object/account__v/V4TZ06G6O71TAHA", "MARIA ESTHER HERNANDEZ GARCIA")</f>
        <v>MARIA ESTHER HERNANDEZ GARCIA</v>
      </c>
      <c r="B1351" s="18" t="str">
        <f>HYPERLINK("https://otsuka-europe-crm.veevavault.com/ui/#object/vcountry__v/VENZ000004SONF5", "ES")</f>
        <v>ES</v>
      </c>
      <c r="C1351" s="20" t="s">
        <v>39</v>
      </c>
      <c r="D135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51" s="22" t="str">
        <f>HYPERLINK("https://otsuka-europe-crm.veevavault.com/ui/#object/sent_email__v/VBL000000030073", "SE-001439459")</f>
        <v>SE-001439459</v>
      </c>
      <c r="F1351" s="23"/>
      <c r="G1351" s="24">
        <v>0</v>
      </c>
      <c r="H1351" s="24">
        <v>0</v>
      </c>
      <c r="I1351" s="24">
        <v>0</v>
      </c>
      <c r="J1351" s="23"/>
      <c r="K1351" s="24">
        <v>0</v>
      </c>
      <c r="L135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51" s="22" t="str">
        <f>HYPERLINK("mailto:idiez@crm.otsuka-europe.com", "idiez@crm.otsuka-europe.com")</f>
        <v>idiez@crm.otsuka-europe.com</v>
      </c>
      <c r="N1351" s="25">
        <v>46209.347453703704</v>
      </c>
      <c r="O1351" s="14" t="str">
        <f>HYPERLINK("https://otsuka-europe-crm.veevavault.com/ui/#object/email_activity__v/V8C000000043222", "EN-002102134")</f>
        <v>EN-002102134</v>
      </c>
    </row>
    <row r="1352" spans="1:15" ht="16" x14ac:dyDescent="0.2">
      <c r="A1352" s="26"/>
      <c r="B1352" s="26"/>
      <c r="C1352" s="26"/>
      <c r="D1352" s="26"/>
      <c r="E1352" s="26"/>
      <c r="F1352" s="26"/>
      <c r="G1352" s="26"/>
      <c r="H1352" s="26"/>
      <c r="I1352" s="26"/>
      <c r="J1352" s="26"/>
      <c r="K1352" s="26"/>
      <c r="L1352" s="26"/>
      <c r="M1352" s="26"/>
      <c r="N1352" s="26"/>
      <c r="O1352" s="14" t="str">
        <f>HYPERLINK("https://otsuka-europe-crm.veevavault.com/ui/#object/email_activity__v/V8C000000043405", "EN-002102342")</f>
        <v>EN-002102342</v>
      </c>
    </row>
    <row r="1353" spans="1:15" ht="16" x14ac:dyDescent="0.2">
      <c r="A1353" s="19"/>
      <c r="B1353" s="19"/>
      <c r="C1353" s="19"/>
      <c r="D1353" s="19"/>
      <c r="E1353" s="19"/>
      <c r="F1353" s="19"/>
      <c r="G1353" s="19"/>
      <c r="H1353" s="19"/>
      <c r="I1353" s="19"/>
      <c r="J1353" s="19"/>
      <c r="K1353" s="19"/>
      <c r="L1353" s="19"/>
      <c r="M1353" s="19"/>
      <c r="N1353" s="19"/>
      <c r="O1353" s="14" t="str">
        <f>HYPERLINK("https://otsuka-europe-crm.veevavault.com/ui/#object/email_activity__v/V8C00000004C006", "EN-002106740")</f>
        <v>EN-002106740</v>
      </c>
    </row>
    <row r="1354" spans="1:15" ht="64" x14ac:dyDescent="0.2">
      <c r="A1354" s="7" t="str">
        <f>HYPERLINK("https://otsuka-europe-crm.veevavault.com/ui/#object/account__v/V4T00000000K033", "RAQUEL DIAZ MANCEBO")</f>
        <v>RAQUEL DIAZ MANCEBO</v>
      </c>
      <c r="B1354" s="7" t="str">
        <f>HYPERLINK("https://otsuka-europe-crm.veevavault.com/ui/#object/vcountry__v/VENZ000004SONF5", "ES")</f>
        <v>ES</v>
      </c>
      <c r="C1354" s="8" t="s">
        <v>39</v>
      </c>
      <c r="D135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54" s="10" t="str">
        <f>HYPERLINK("https://otsuka-europe-crm.veevavault.com/ui/#object/sent_email__v/VBL000000030074", "SE-001439460")</f>
        <v>SE-001439460</v>
      </c>
      <c r="F1354" s="11"/>
      <c r="G1354" s="12">
        <v>0</v>
      </c>
      <c r="H1354" s="12">
        <v>0</v>
      </c>
      <c r="I1354" s="12">
        <v>0</v>
      </c>
      <c r="J1354" s="11"/>
      <c r="K1354" s="12">
        <v>0</v>
      </c>
      <c r="L135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54" s="10" t="str">
        <f>HYPERLINK("mailto:idiez@crm.otsuka-europe.com", "idiez@crm.otsuka-europe.com")</f>
        <v>idiez@crm.otsuka-europe.com</v>
      </c>
      <c r="N1354" s="13">
        <v>46209.34746527778</v>
      </c>
      <c r="O1354" s="14" t="str">
        <f>HYPERLINK("https://otsuka-europe-crm.veevavault.com/ui/#object/email_activity__v/V8C000000043268", "EN-002102180")</f>
        <v>EN-002102180</v>
      </c>
    </row>
    <row r="1355" spans="1:15" ht="16" x14ac:dyDescent="0.2">
      <c r="A1355" s="18" t="str">
        <f>HYPERLINK("https://otsuka-europe-crm.veevavault.com/ui/#object/account__v/V4TZ06G6O71TBNX", "JOSE MARIA PORTOLES PEREZ")</f>
        <v>JOSE MARIA PORTOLES PEREZ</v>
      </c>
      <c r="B1355" s="18" t="str">
        <f>HYPERLINK("https://otsuka-europe-crm.veevavault.com/ui/#object/vcountry__v/VENZ000004SONF5", "ES")</f>
        <v>ES</v>
      </c>
      <c r="C1355" s="20" t="s">
        <v>39</v>
      </c>
      <c r="D135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55" s="22" t="str">
        <f>HYPERLINK("https://otsuka-europe-crm.veevavault.com/ui/#object/sent_email__v/VBL000000030075", "SE-001439461")</f>
        <v>SE-001439461</v>
      </c>
      <c r="F1355" s="25">
        <v>46209.377418981479</v>
      </c>
      <c r="G1355" s="24">
        <v>1</v>
      </c>
      <c r="H1355" s="24">
        <v>1</v>
      </c>
      <c r="I1355" s="24">
        <v>0</v>
      </c>
      <c r="J1355" s="23"/>
      <c r="K1355" s="24">
        <v>0</v>
      </c>
      <c r="L135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55" s="22" t="str">
        <f>HYPERLINK("mailto:idiez@crm.otsuka-europe.com", "idiez@crm.otsuka-europe.com")</f>
        <v>idiez@crm.otsuka-europe.com</v>
      </c>
      <c r="N1355" s="25">
        <v>46209.34746527778</v>
      </c>
      <c r="O1355" s="14" t="str">
        <f>HYPERLINK("https://otsuka-europe-crm.veevavault.com/ui/#object/email_activity__v/V8C000000043271", "EN-002102183")</f>
        <v>EN-002102183</v>
      </c>
    </row>
    <row r="1356" spans="1:15" ht="16" x14ac:dyDescent="0.2">
      <c r="A1356" s="19"/>
      <c r="B1356" s="19"/>
      <c r="C1356" s="19"/>
      <c r="D1356" s="19"/>
      <c r="E1356" s="19"/>
      <c r="F1356" s="19"/>
      <c r="G1356" s="19"/>
      <c r="H1356" s="19"/>
      <c r="I1356" s="19"/>
      <c r="J1356" s="19"/>
      <c r="K1356" s="19"/>
      <c r="L1356" s="19"/>
      <c r="M1356" s="19"/>
      <c r="N1356" s="19"/>
      <c r="O1356" s="14" t="str">
        <f>HYPERLINK("https://otsuka-europe-crm.veevavault.com/ui/#object/email_activity__v/V8C000000043416", "EN-002102370")</f>
        <v>EN-002102370</v>
      </c>
    </row>
    <row r="1357" spans="1:15" ht="16" x14ac:dyDescent="0.2">
      <c r="A1357" s="18" t="str">
        <f>HYPERLINK("https://otsuka-europe-crm.veevavault.com/ui/#object/account__v/V4TZ025E891G3D3", "MIGUEL ANGEL NAVAS JIMENEZ")</f>
        <v>MIGUEL ANGEL NAVAS JIMENEZ</v>
      </c>
      <c r="B1357" s="18" t="str">
        <f>HYPERLINK("https://otsuka-europe-crm.veevavault.com/ui/#object/vcountry__v/VENZ000004SONF5", "ES")</f>
        <v>ES</v>
      </c>
      <c r="C1357" s="20" t="s">
        <v>39</v>
      </c>
      <c r="D135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57" s="22" t="str">
        <f>HYPERLINK("https://otsuka-europe-crm.veevavault.com/ui/#object/sent_email__v/VBL000000030076", "SE-001439462")</f>
        <v>SE-001439462</v>
      </c>
      <c r="F1357" s="25">
        <v>46209.569166666668</v>
      </c>
      <c r="G1357" s="24">
        <v>1</v>
      </c>
      <c r="H1357" s="24">
        <v>6</v>
      </c>
      <c r="I1357" s="24">
        <v>0</v>
      </c>
      <c r="J1357" s="23"/>
      <c r="K1357" s="24">
        <v>0</v>
      </c>
      <c r="L135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57" s="22" t="str">
        <f>HYPERLINK("mailto:idiez@crm.otsuka-europe.com", "idiez@crm.otsuka-europe.com")</f>
        <v>idiez@crm.otsuka-europe.com</v>
      </c>
      <c r="N1357" s="25">
        <v>46209.347488425927</v>
      </c>
      <c r="O1357" s="14" t="str">
        <f>HYPERLINK("https://otsuka-europe-crm.veevavault.com/ui/#object/email_activity__v/V8C000000043244", "EN-002102156")</f>
        <v>EN-002102156</v>
      </c>
    </row>
    <row r="1358" spans="1:15" ht="16" x14ac:dyDescent="0.2">
      <c r="A1358" s="26"/>
      <c r="B1358" s="26"/>
      <c r="C1358" s="26"/>
      <c r="D1358" s="26"/>
      <c r="E1358" s="26"/>
      <c r="F1358" s="26"/>
      <c r="G1358" s="26"/>
      <c r="H1358" s="26"/>
      <c r="I1358" s="26"/>
      <c r="J1358" s="26"/>
      <c r="K1358" s="26"/>
      <c r="L1358" s="26"/>
      <c r="M1358" s="26"/>
      <c r="N1358" s="26"/>
      <c r="O1358" s="14" t="str">
        <f>HYPERLINK("https://otsuka-europe-crm.veevavault.com/ui/#object/email_activity__v/V8C000000043456", "EN-002102428")</f>
        <v>EN-002102428</v>
      </c>
    </row>
    <row r="1359" spans="1:15" ht="16" x14ac:dyDescent="0.2">
      <c r="A1359" s="26"/>
      <c r="B1359" s="26"/>
      <c r="C1359" s="26"/>
      <c r="D1359" s="26"/>
      <c r="E1359" s="26"/>
      <c r="F1359" s="26"/>
      <c r="G1359" s="26"/>
      <c r="H1359" s="26"/>
      <c r="I1359" s="26"/>
      <c r="J1359" s="26"/>
      <c r="K1359" s="26"/>
      <c r="L1359" s="26"/>
      <c r="M1359" s="26"/>
      <c r="N1359" s="26"/>
      <c r="O1359" s="14" t="str">
        <f>HYPERLINK("https://otsuka-europe-crm.veevavault.com/ui/#object/email_activity__v/V8C000000043457", "EN-002102429")</f>
        <v>EN-002102429</v>
      </c>
    </row>
    <row r="1360" spans="1:15" ht="16" x14ac:dyDescent="0.2">
      <c r="A1360" s="26"/>
      <c r="B1360" s="26"/>
      <c r="C1360" s="26"/>
      <c r="D1360" s="26"/>
      <c r="E1360" s="26"/>
      <c r="F1360" s="26"/>
      <c r="G1360" s="26"/>
      <c r="H1360" s="26"/>
      <c r="I1360" s="26"/>
      <c r="J1360" s="26"/>
      <c r="K1360" s="26"/>
      <c r="L1360" s="26"/>
      <c r="M1360" s="26"/>
      <c r="N1360" s="26"/>
      <c r="O1360" s="14" t="str">
        <f>HYPERLINK("https://otsuka-europe-crm.veevavault.com/ui/#object/email_activity__v/V8C000000043488", "EN-002102508")</f>
        <v>EN-002102508</v>
      </c>
    </row>
    <row r="1361" spans="1:15" ht="16" x14ac:dyDescent="0.2">
      <c r="A1361" s="26"/>
      <c r="B1361" s="26"/>
      <c r="C1361" s="26"/>
      <c r="D1361" s="26"/>
      <c r="E1361" s="26"/>
      <c r="F1361" s="26"/>
      <c r="G1361" s="26"/>
      <c r="H1361" s="26"/>
      <c r="I1361" s="26"/>
      <c r="J1361" s="26"/>
      <c r="K1361" s="26"/>
      <c r="L1361" s="26"/>
      <c r="M1361" s="26"/>
      <c r="N1361" s="26"/>
      <c r="O1361" s="14" t="str">
        <f>HYPERLINK("https://otsuka-europe-crm.veevavault.com/ui/#object/email_activity__v/V8C000000043489", "EN-002102509")</f>
        <v>EN-002102509</v>
      </c>
    </row>
    <row r="1362" spans="1:15" ht="16" x14ac:dyDescent="0.2">
      <c r="A1362" s="26"/>
      <c r="B1362" s="26"/>
      <c r="C1362" s="26"/>
      <c r="D1362" s="26"/>
      <c r="E1362" s="26"/>
      <c r="F1362" s="26"/>
      <c r="G1362" s="26"/>
      <c r="H1362" s="26"/>
      <c r="I1362" s="26"/>
      <c r="J1362" s="26"/>
      <c r="K1362" s="26"/>
      <c r="L1362" s="26"/>
      <c r="M1362" s="26"/>
      <c r="N1362" s="26"/>
      <c r="O1362" s="14" t="str">
        <f>HYPERLINK("https://otsuka-europe-crm.veevavault.com/ui/#object/email_activity__v/V8C000000044465", "EN-002102510")</f>
        <v>EN-002102510</v>
      </c>
    </row>
    <row r="1363" spans="1:15" ht="16" x14ac:dyDescent="0.2">
      <c r="A1363" s="19"/>
      <c r="B1363" s="19"/>
      <c r="C1363" s="19"/>
      <c r="D1363" s="19"/>
      <c r="E1363" s="19"/>
      <c r="F1363" s="19"/>
      <c r="G1363" s="19"/>
      <c r="H1363" s="19"/>
      <c r="I1363" s="19"/>
      <c r="J1363" s="19"/>
      <c r="K1363" s="19"/>
      <c r="L1363" s="19"/>
      <c r="M1363" s="19"/>
      <c r="N1363" s="19"/>
      <c r="O1363" s="14" t="str">
        <f>HYPERLINK("https://otsuka-europe-crm.veevavault.com/ui/#object/email_activity__v/V8C000000044466", "EN-002102511")</f>
        <v>EN-002102511</v>
      </c>
    </row>
    <row r="1364" spans="1:15" ht="64" x14ac:dyDescent="0.2">
      <c r="A1364" s="7" t="str">
        <f>HYPERLINK("https://otsuka-europe-crm.veevavault.com/ui/#object/account__v/V4TZ06G6O71TA4R", "RAQUEL DE GRACIA NUÑEZ")</f>
        <v>RAQUEL DE GRACIA NUÑEZ</v>
      </c>
      <c r="B1364" s="7" t="str">
        <f>HYPERLINK("https://otsuka-europe-crm.veevavault.com/ui/#object/vcountry__v/VENZ000004SONF5", "ES")</f>
        <v>ES</v>
      </c>
      <c r="C1364" s="8" t="s">
        <v>39</v>
      </c>
      <c r="D136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64" s="10" t="str">
        <f>HYPERLINK("https://otsuka-europe-crm.veevavault.com/ui/#object/sent_email__v/VBL000000030077", "SE-001439463")</f>
        <v>SE-001439463</v>
      </c>
      <c r="F1364" s="11"/>
      <c r="G1364" s="12">
        <v>0</v>
      </c>
      <c r="H1364" s="12">
        <v>0</v>
      </c>
      <c r="I1364" s="12">
        <v>0</v>
      </c>
      <c r="J1364" s="11"/>
      <c r="K1364" s="12">
        <v>0</v>
      </c>
      <c r="L136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64" s="10" t="str">
        <f>HYPERLINK("mailto:idiez@crm.otsuka-europe.com", "idiez@crm.otsuka-europe.com")</f>
        <v>idiez@crm.otsuka-europe.com</v>
      </c>
      <c r="N1364" s="13">
        <v>46209.347488425927</v>
      </c>
      <c r="O1364" s="14" t="str">
        <f>HYPERLINK("https://otsuka-europe-crm.veevavault.com/ui/#object/email_activity__v/V8C000000043226", "EN-002102138")</f>
        <v>EN-002102138</v>
      </c>
    </row>
    <row r="1365" spans="1:15" ht="64" x14ac:dyDescent="0.2">
      <c r="A1365" s="7" t="str">
        <f>HYPERLINK("https://otsuka-europe-crm.veevavault.com/ui/#object/account__v/V4TZ06G6OCBJ2CM", "NOELIA SANZ MARTIN")</f>
        <v>NOELIA SANZ MARTIN</v>
      </c>
      <c r="B1365" s="7" t="str">
        <f>HYPERLINK("https://otsuka-europe-crm.veevavault.com/ui/#object/vcountry__v/VENZ000004SONF5", "ES")</f>
        <v>ES</v>
      </c>
      <c r="C1365" s="8" t="s">
        <v>39</v>
      </c>
      <c r="D136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65" s="10" t="str">
        <f>HYPERLINK("https://otsuka-europe-crm.veevavault.com/ui/#object/sent_email__v/VBL000000030078", "SE-001439464")</f>
        <v>SE-001439464</v>
      </c>
      <c r="F1365" s="11"/>
      <c r="G1365" s="12">
        <v>0</v>
      </c>
      <c r="H1365" s="12">
        <v>0</v>
      </c>
      <c r="I1365" s="12">
        <v>0</v>
      </c>
      <c r="J1365" s="11"/>
      <c r="K1365" s="12">
        <v>0</v>
      </c>
      <c r="L136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65" s="10" t="str">
        <f>HYPERLINK("mailto:idiez@crm.otsuka-europe.com", "idiez@crm.otsuka-europe.com")</f>
        <v>idiez@crm.otsuka-europe.com</v>
      </c>
      <c r="N1365" s="13">
        <v>46209.347488425927</v>
      </c>
      <c r="O1365" s="14" t="str">
        <f>HYPERLINK("https://otsuka-europe-crm.veevavault.com/ui/#object/email_activity__v/V8C000000043243", "EN-002102155")</f>
        <v>EN-002102155</v>
      </c>
    </row>
    <row r="1366" spans="1:15" ht="16" x14ac:dyDescent="0.2">
      <c r="A1366" s="18" t="str">
        <f>HYPERLINK("https://otsuka-europe-crm.veevavault.com/ui/#object/account__v/V4TZ06G6O71T8T6", "JAVIER CARBAYO LOPEZ DE PABLO")</f>
        <v>JAVIER CARBAYO LOPEZ DE PABLO</v>
      </c>
      <c r="B1366" s="18" t="str">
        <f>HYPERLINK("https://otsuka-europe-crm.veevavault.com/ui/#object/vcountry__v/VENZ000004SONF5", "ES")</f>
        <v>ES</v>
      </c>
      <c r="C1366" s="20" t="s">
        <v>39</v>
      </c>
      <c r="D136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66" s="22" t="str">
        <f>HYPERLINK("https://otsuka-europe-crm.veevavault.com/ui/#object/sent_email__v/VBL000000030079", "SE-001439465")</f>
        <v>SE-001439465</v>
      </c>
      <c r="F1366" s="25">
        <v>46209.401030092595</v>
      </c>
      <c r="G1366" s="24">
        <v>1</v>
      </c>
      <c r="H1366" s="24">
        <v>1</v>
      </c>
      <c r="I1366" s="24">
        <v>0</v>
      </c>
      <c r="J1366" s="23"/>
      <c r="K1366" s="24">
        <v>0</v>
      </c>
      <c r="L136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66" s="22" t="str">
        <f>HYPERLINK("mailto:idiez@crm.otsuka-europe.com", "idiez@crm.otsuka-europe.com")</f>
        <v>idiez@crm.otsuka-europe.com</v>
      </c>
      <c r="N1366" s="25">
        <v>46209.347453703704</v>
      </c>
      <c r="O1366" s="14" t="str">
        <f>HYPERLINK("https://otsuka-europe-crm.veevavault.com/ui/#object/email_activity__v/V8C000000043220", "EN-002102132")</f>
        <v>EN-002102132</v>
      </c>
    </row>
    <row r="1367" spans="1:15" ht="16" x14ac:dyDescent="0.2">
      <c r="A1367" s="19"/>
      <c r="B1367" s="19"/>
      <c r="C1367" s="19"/>
      <c r="D1367" s="19"/>
      <c r="E1367" s="19"/>
      <c r="F1367" s="19"/>
      <c r="G1367" s="19"/>
      <c r="H1367" s="19"/>
      <c r="I1367" s="19"/>
      <c r="J1367" s="19"/>
      <c r="K1367" s="19"/>
      <c r="L1367" s="19"/>
      <c r="M1367" s="19"/>
      <c r="N1367" s="19"/>
      <c r="O1367" s="14" t="str">
        <f>HYPERLINK("https://otsuka-europe-crm.veevavault.com/ui/#object/email_activity__v/V8C000000043448", "EN-002102417")</f>
        <v>EN-002102417</v>
      </c>
    </row>
    <row r="1368" spans="1:15" ht="64" x14ac:dyDescent="0.2">
      <c r="A1368" s="7" t="str">
        <f>HYPERLINK("https://otsuka-europe-crm.veevavault.com/ui/#object/account__v/V4TZ025E8720CEX", "LUCIA CORDERO GARCIA-GALAN")</f>
        <v>LUCIA CORDERO GARCIA-GALAN</v>
      </c>
      <c r="B1368" s="7" t="str">
        <f>HYPERLINK("https://otsuka-europe-crm.veevavault.com/ui/#object/vcountry__v/VENZ000004SONF5", "ES")</f>
        <v>ES</v>
      </c>
      <c r="C1368" s="8" t="s">
        <v>39</v>
      </c>
      <c r="D136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68" s="10" t="str">
        <f>HYPERLINK("https://otsuka-europe-crm.veevavault.com/ui/#object/sent_email__v/VBL000000030080", "SE-001439466")</f>
        <v>SE-001439466</v>
      </c>
      <c r="F1368" s="11"/>
      <c r="G1368" s="12">
        <v>0</v>
      </c>
      <c r="H1368" s="12">
        <v>0</v>
      </c>
      <c r="I1368" s="12">
        <v>0</v>
      </c>
      <c r="J1368" s="11"/>
      <c r="K1368" s="12">
        <v>0</v>
      </c>
      <c r="L136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68" s="10" t="str">
        <f>HYPERLINK("mailto:idiez@crm.otsuka-europe.com", "idiez@crm.otsuka-europe.com")</f>
        <v>idiez@crm.otsuka-europe.com</v>
      </c>
      <c r="N1368" s="13">
        <v>46209.347488425927</v>
      </c>
      <c r="O1368" s="14" t="str">
        <f>HYPERLINK("https://otsuka-europe-crm.veevavault.com/ui/#object/email_activity__v/V8C000000043246", "EN-002102158")</f>
        <v>EN-002102158</v>
      </c>
    </row>
    <row r="1369" spans="1:15" ht="64" x14ac:dyDescent="0.2">
      <c r="A1369" s="7" t="str">
        <f>HYPERLINK("https://otsuka-europe-crm.veevavault.com/ui/#object/account__v/V4TZ04ASGGCGCO4", "TERESA RONDA SERRAT")</f>
        <v>TERESA RONDA SERRAT</v>
      </c>
      <c r="B1369" s="7" t="str">
        <f>HYPERLINK("https://otsuka-europe-crm.veevavault.com/ui/#object/vcountry__v/VENZ000004SONF5", "ES")</f>
        <v>ES</v>
      </c>
      <c r="C1369" s="8" t="s">
        <v>39</v>
      </c>
      <c r="D136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69" s="10" t="str">
        <f>HYPERLINK("https://otsuka-europe-crm.veevavault.com/ui/#object/sent_email__v/VBL000000030081", "SE-001439467")</f>
        <v>SE-001439467</v>
      </c>
      <c r="F1369" s="11"/>
      <c r="G1369" s="12">
        <v>0</v>
      </c>
      <c r="H1369" s="12">
        <v>0</v>
      </c>
      <c r="I1369" s="12">
        <v>0</v>
      </c>
      <c r="J1369" s="11"/>
      <c r="K1369" s="12">
        <v>0</v>
      </c>
      <c r="L136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69" s="10" t="str">
        <f>HYPERLINK("mailto:idiez@crm.otsuka-europe.com", "idiez@crm.otsuka-europe.com")</f>
        <v>idiez@crm.otsuka-europe.com</v>
      </c>
      <c r="N1369" s="13">
        <v>46209.34746527778</v>
      </c>
      <c r="O1369" s="14" t="str">
        <f>HYPERLINK("https://otsuka-europe-crm.veevavault.com/ui/#object/email_activity__v/V8C000000043272", "EN-002102184")</f>
        <v>EN-002102184</v>
      </c>
    </row>
    <row r="1370" spans="1:15" ht="16" x14ac:dyDescent="0.2">
      <c r="A1370" s="18" t="str">
        <f>HYPERLINK("https://otsuka-europe-crm.veevavault.com/ui/#object/account__v/V4TZ06G6O71T830", "JOSE MARIA BAUTISTA CAÑAS")</f>
        <v>JOSE MARIA BAUTISTA CAÑAS</v>
      </c>
      <c r="B1370" s="18" t="str">
        <f>HYPERLINK("https://otsuka-europe-crm.veevavault.com/ui/#object/vcountry__v/VENZ000004SONF5", "ES")</f>
        <v>ES</v>
      </c>
      <c r="C1370" s="20" t="s">
        <v>39</v>
      </c>
      <c r="D137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70" s="22" t="str">
        <f>HYPERLINK("https://otsuka-europe-crm.veevavault.com/ui/#object/sent_email__v/VBL000000030082", "SE-001439468")</f>
        <v>SE-001439468</v>
      </c>
      <c r="F1370" s="25">
        <v>46211.824155092596</v>
      </c>
      <c r="G1370" s="24">
        <v>1</v>
      </c>
      <c r="H1370" s="24">
        <v>1</v>
      </c>
      <c r="I1370" s="24">
        <v>1</v>
      </c>
      <c r="J1370" s="25">
        <v>46211.825254629628</v>
      </c>
      <c r="K1370" s="24">
        <v>1</v>
      </c>
      <c r="L137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70" s="22" t="str">
        <f>HYPERLINK("mailto:idiez@crm.otsuka-europe.com", "idiez@crm.otsuka-europe.com")</f>
        <v>idiez@crm.otsuka-europe.com</v>
      </c>
      <c r="N1370" s="25">
        <v>46209.34746527778</v>
      </c>
      <c r="O1370" s="14" t="str">
        <f>HYPERLINK("https://otsuka-europe-crm.veevavault.com/ui/#object/email_activity__v/V8C000000043266", "EN-002102178")</f>
        <v>EN-002102178</v>
      </c>
    </row>
    <row r="1371" spans="1:15" ht="16" x14ac:dyDescent="0.2">
      <c r="A1371" s="26"/>
      <c r="B1371" s="26"/>
      <c r="C1371" s="26"/>
      <c r="D1371" s="26"/>
      <c r="E1371" s="26"/>
      <c r="F1371" s="26"/>
      <c r="G1371" s="26"/>
      <c r="H1371" s="26"/>
      <c r="I1371" s="26"/>
      <c r="J1371" s="26"/>
      <c r="K1371" s="26"/>
      <c r="L1371" s="26"/>
      <c r="M1371" s="26"/>
      <c r="N1371" s="26"/>
      <c r="O1371" s="14" t="str">
        <f>HYPERLINK("https://otsuka-europe-crm.veevavault.com/ui/#object/email_activity__v/V8C000000043879", "EN-002103277")</f>
        <v>EN-002103277</v>
      </c>
    </row>
    <row r="1372" spans="1:15" ht="16" x14ac:dyDescent="0.2">
      <c r="A1372" s="26"/>
      <c r="B1372" s="26"/>
      <c r="C1372" s="26"/>
      <c r="D1372" s="26"/>
      <c r="E1372" s="26"/>
      <c r="F1372" s="26"/>
      <c r="G1372" s="26"/>
      <c r="H1372" s="26"/>
      <c r="I1372" s="26"/>
      <c r="J1372" s="26"/>
      <c r="K1372" s="26"/>
      <c r="L1372" s="26"/>
      <c r="M1372" s="26"/>
      <c r="N1372" s="26"/>
      <c r="O1372" s="14" t="str">
        <f>HYPERLINK("https://otsuka-europe-crm.veevavault.com/ui/#object/email_activity__v/V8C000000044388", "EN-002102352")</f>
        <v>EN-002102352</v>
      </c>
    </row>
    <row r="1373" spans="1:15" ht="16" x14ac:dyDescent="0.2">
      <c r="A1373" s="19"/>
      <c r="B1373" s="19"/>
      <c r="C1373" s="19"/>
      <c r="D1373" s="19"/>
      <c r="E1373" s="19"/>
      <c r="F1373" s="19"/>
      <c r="G1373" s="19"/>
      <c r="H1373" s="19"/>
      <c r="I1373" s="19"/>
      <c r="J1373" s="19"/>
      <c r="K1373" s="19"/>
      <c r="L1373" s="19"/>
      <c r="M1373" s="19"/>
      <c r="N1373" s="19"/>
      <c r="O1373" s="14" t="str">
        <f>HYPERLINK("https://otsuka-europe-crm.veevavault.com/ui/#object/email_activity__v/V8C000000044843", "EN-002103276")</f>
        <v>EN-002103276</v>
      </c>
    </row>
    <row r="1374" spans="1:15" ht="16" x14ac:dyDescent="0.2">
      <c r="A1374" s="18" t="str">
        <f>HYPERLINK("https://otsuka-europe-crm.veevavault.com/ui/#object/account__v/V4TZ06G6O71T8D6", "RAQUEL ESTERAS RUBIO")</f>
        <v>RAQUEL ESTERAS RUBIO</v>
      </c>
      <c r="B1374" s="18" t="str">
        <f>HYPERLINK("https://otsuka-europe-crm.veevavault.com/ui/#object/vcountry__v/VENZ000004SONF5", "ES")</f>
        <v>ES</v>
      </c>
      <c r="C1374" s="20" t="s">
        <v>39</v>
      </c>
      <c r="D137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74" s="22" t="str">
        <f>HYPERLINK("https://otsuka-europe-crm.veevavault.com/ui/#object/sent_email__v/VBL000000030083", "SE-001439469")</f>
        <v>SE-001439469</v>
      </c>
      <c r="F1374" s="23"/>
      <c r="G1374" s="24">
        <v>0</v>
      </c>
      <c r="H1374" s="24">
        <v>0</v>
      </c>
      <c r="I1374" s="24">
        <v>0</v>
      </c>
      <c r="J1374" s="23"/>
      <c r="K1374" s="24">
        <v>0</v>
      </c>
      <c r="L137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74" s="22" t="str">
        <f>HYPERLINK("mailto:idiez@crm.otsuka-europe.com", "idiez@crm.otsuka-europe.com")</f>
        <v>idiez@crm.otsuka-europe.com</v>
      </c>
      <c r="N1374" s="25">
        <v>46209.34746527778</v>
      </c>
      <c r="O1374" s="14" t="str">
        <f>HYPERLINK("https://otsuka-europe-crm.veevavault.com/ui/#object/email_activity__v/V8C000000043281", "EN-002102193")</f>
        <v>EN-002102193</v>
      </c>
    </row>
    <row r="1375" spans="1:15" ht="16" x14ac:dyDescent="0.2">
      <c r="A1375" s="19"/>
      <c r="B1375" s="19"/>
      <c r="C1375" s="19"/>
      <c r="D1375" s="19"/>
      <c r="E1375" s="19"/>
      <c r="F1375" s="19"/>
      <c r="G1375" s="19"/>
      <c r="H1375" s="19"/>
      <c r="I1375" s="19"/>
      <c r="J1375" s="19"/>
      <c r="K1375" s="19"/>
      <c r="L1375" s="19"/>
      <c r="M1375" s="19"/>
      <c r="N1375" s="19"/>
      <c r="O1375" s="14" t="str">
        <f>HYPERLINK("https://otsuka-europe-crm.veevavault.com/ui/#object/email_activity__v/V8C000000044418", "EN-002102431")</f>
        <v>EN-002102431</v>
      </c>
    </row>
    <row r="1376" spans="1:15" ht="16" x14ac:dyDescent="0.2">
      <c r="A1376" s="18" t="str">
        <f>HYPERLINK("https://otsuka-europe-crm.veevavault.com/ui/#object/account__v/V4TZ025E84AZT6U", "MIRYAM ELENA POLO CANOVAS")</f>
        <v>MIRYAM ELENA POLO CANOVAS</v>
      </c>
      <c r="B1376" s="18" t="str">
        <f>HYPERLINK("https://otsuka-europe-crm.veevavault.com/ui/#object/vcountry__v/VENZ000004SONF5", "ES")</f>
        <v>ES</v>
      </c>
      <c r="C1376" s="20" t="s">
        <v>39</v>
      </c>
      <c r="D137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76" s="22" t="str">
        <f>HYPERLINK("https://otsuka-europe-crm.veevavault.com/ui/#object/sent_email__v/VBL000000030084", "SE-001439470")</f>
        <v>SE-001439470</v>
      </c>
      <c r="F1376" s="25">
        <v>46212.527187500003</v>
      </c>
      <c r="G1376" s="24">
        <v>1</v>
      </c>
      <c r="H1376" s="24">
        <v>1</v>
      </c>
      <c r="I1376" s="24">
        <v>0</v>
      </c>
      <c r="J1376" s="23"/>
      <c r="K1376" s="24">
        <v>0</v>
      </c>
      <c r="L137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76" s="22" t="str">
        <f>HYPERLINK("mailto:idiez@crm.otsuka-europe.com", "idiez@crm.otsuka-europe.com")</f>
        <v>idiez@crm.otsuka-europe.com</v>
      </c>
      <c r="N1376" s="25">
        <v>46209.34747685185</v>
      </c>
      <c r="O1376" s="14" t="str">
        <f>HYPERLINK("https://otsuka-europe-crm.veevavault.com/ui/#object/email_activity__v/V8C000000043237", "EN-002102149")</f>
        <v>EN-002102149</v>
      </c>
    </row>
    <row r="1377" spans="1:15" ht="16" x14ac:dyDescent="0.2">
      <c r="A1377" s="19"/>
      <c r="B1377" s="19"/>
      <c r="C1377" s="19"/>
      <c r="D1377" s="19"/>
      <c r="E1377" s="19"/>
      <c r="F1377" s="19"/>
      <c r="G1377" s="19"/>
      <c r="H1377" s="19"/>
      <c r="I1377" s="19"/>
      <c r="J1377" s="19"/>
      <c r="K1377" s="19"/>
      <c r="L1377" s="19"/>
      <c r="M1377" s="19"/>
      <c r="N1377" s="19"/>
      <c r="O1377" s="14" t="str">
        <f>HYPERLINK("https://otsuka-europe-crm.veevavault.com/ui/#object/email_activity__v/V8C000000045320", "EN-002103918")</f>
        <v>EN-002103918</v>
      </c>
    </row>
    <row r="1378" spans="1:15" ht="16" x14ac:dyDescent="0.2">
      <c r="A1378" s="18" t="str">
        <f>HYPERLINK("https://otsuka-europe-crm.veevavault.com/ui/#object/account__v/V4T00000000Y097", "JUAN ABEL IGLESIAS PASCUAL")</f>
        <v>JUAN ABEL IGLESIAS PASCUAL</v>
      </c>
      <c r="B1378" s="18" t="str">
        <f>HYPERLINK("https://otsuka-europe-crm.veevavault.com/ui/#object/vcountry__v/VENZ000004SONF5", "ES")</f>
        <v>ES</v>
      </c>
      <c r="C1378" s="20" t="s">
        <v>39</v>
      </c>
      <c r="D137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78" s="22" t="str">
        <f>HYPERLINK("https://otsuka-europe-crm.veevavault.com/ui/#object/sent_email__v/VBL000000030085", "SE-001439471")</f>
        <v>SE-001439471</v>
      </c>
      <c r="F1378" s="25">
        <v>46212.702349537038</v>
      </c>
      <c r="G1378" s="24">
        <v>1</v>
      </c>
      <c r="H1378" s="24">
        <v>5</v>
      </c>
      <c r="I1378" s="24">
        <v>0</v>
      </c>
      <c r="J1378" s="23"/>
      <c r="K1378" s="24">
        <v>0</v>
      </c>
      <c r="L137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78" s="22" t="str">
        <f>HYPERLINK("mailto:idiez@crm.otsuka-europe.com", "idiez@crm.otsuka-europe.com")</f>
        <v>idiez@crm.otsuka-europe.com</v>
      </c>
      <c r="N1378" s="25">
        <v>46209.34746527778</v>
      </c>
      <c r="O1378" s="14" t="str">
        <f>HYPERLINK("https://otsuka-europe-crm.veevavault.com/ui/#object/email_activity__v/V8C000000043221", "EN-002102133")</f>
        <v>EN-002102133</v>
      </c>
    </row>
    <row r="1379" spans="1:15" ht="16" x14ac:dyDescent="0.2">
      <c r="A1379" s="26"/>
      <c r="B1379" s="26"/>
      <c r="C1379" s="26"/>
      <c r="D1379" s="26"/>
      <c r="E1379" s="26"/>
      <c r="F1379" s="26"/>
      <c r="G1379" s="26"/>
      <c r="H1379" s="26"/>
      <c r="I1379" s="26"/>
      <c r="J1379" s="26"/>
      <c r="K1379" s="26"/>
      <c r="L1379" s="26"/>
      <c r="M1379" s="26"/>
      <c r="N1379" s="26"/>
      <c r="O1379" s="14" t="str">
        <f>HYPERLINK("https://otsuka-europe-crm.veevavault.com/ui/#object/email_activity__v/V8C000000044498", "EN-002102573")</f>
        <v>EN-002102573</v>
      </c>
    </row>
    <row r="1380" spans="1:15" ht="16" x14ac:dyDescent="0.2">
      <c r="A1380" s="26"/>
      <c r="B1380" s="26"/>
      <c r="C1380" s="26"/>
      <c r="D1380" s="26"/>
      <c r="E1380" s="26"/>
      <c r="F1380" s="26"/>
      <c r="G1380" s="26"/>
      <c r="H1380" s="26"/>
      <c r="I1380" s="26"/>
      <c r="J1380" s="26"/>
      <c r="K1380" s="26"/>
      <c r="L1380" s="26"/>
      <c r="M1380" s="26"/>
      <c r="N1380" s="26"/>
      <c r="O1380" s="14" t="str">
        <f>HYPERLINK("https://otsuka-europe-crm.veevavault.com/ui/#object/email_activity__v/V8C000000044499", "EN-002102574")</f>
        <v>EN-002102574</v>
      </c>
    </row>
    <row r="1381" spans="1:15" ht="16" x14ac:dyDescent="0.2">
      <c r="A1381" s="26"/>
      <c r="B1381" s="26"/>
      <c r="C1381" s="26"/>
      <c r="D1381" s="26"/>
      <c r="E1381" s="26"/>
      <c r="F1381" s="26"/>
      <c r="G1381" s="26"/>
      <c r="H1381" s="26"/>
      <c r="I1381" s="26"/>
      <c r="J1381" s="26"/>
      <c r="K1381" s="26"/>
      <c r="L1381" s="26"/>
      <c r="M1381" s="26"/>
      <c r="N1381" s="26"/>
      <c r="O1381" s="14" t="str">
        <f>HYPERLINK("https://otsuka-europe-crm.veevavault.com/ui/#object/email_activity__v/V8C000000044802", "EN-002103184")</f>
        <v>EN-002103184</v>
      </c>
    </row>
    <row r="1382" spans="1:15" ht="16" x14ac:dyDescent="0.2">
      <c r="A1382" s="26"/>
      <c r="B1382" s="26"/>
      <c r="C1382" s="26"/>
      <c r="D1382" s="26"/>
      <c r="E1382" s="26"/>
      <c r="F1382" s="26"/>
      <c r="G1382" s="26"/>
      <c r="H1382" s="26"/>
      <c r="I1382" s="26"/>
      <c r="J1382" s="26"/>
      <c r="K1382" s="26"/>
      <c r="L1382" s="26"/>
      <c r="M1382" s="26"/>
      <c r="N1382" s="26"/>
      <c r="O1382" s="14" t="str">
        <f>HYPERLINK("https://otsuka-europe-crm.veevavault.com/ui/#object/email_activity__v/V8C000000045394", "EN-002104120")</f>
        <v>EN-002104120</v>
      </c>
    </row>
    <row r="1383" spans="1:15" ht="16" x14ac:dyDescent="0.2">
      <c r="A1383" s="19"/>
      <c r="B1383" s="19"/>
      <c r="C1383" s="19"/>
      <c r="D1383" s="19"/>
      <c r="E1383" s="19"/>
      <c r="F1383" s="19"/>
      <c r="G1383" s="19"/>
      <c r="H1383" s="19"/>
      <c r="I1383" s="19"/>
      <c r="J1383" s="19"/>
      <c r="K1383" s="19"/>
      <c r="L1383" s="19"/>
      <c r="M1383" s="19"/>
      <c r="N1383" s="19"/>
      <c r="O1383" s="14" t="str">
        <f>HYPERLINK("https://otsuka-europe-crm.veevavault.com/ui/#object/email_activity__v/V8C000000046176", "EN-002104121")</f>
        <v>EN-002104121</v>
      </c>
    </row>
    <row r="1384" spans="1:15" ht="16" x14ac:dyDescent="0.2">
      <c r="A1384" s="18" t="str">
        <f>HYPERLINK("https://otsuka-europe-crm.veevavault.com/ui/#object/account__v/V4TZ025E83002HN", "YUNAYKA DIAZ ENAMORADO")</f>
        <v>YUNAYKA DIAZ ENAMORADO</v>
      </c>
      <c r="B1384" s="18" t="str">
        <f>HYPERLINK("https://otsuka-europe-crm.veevavault.com/ui/#object/vcountry__v/VENZ000004SONF5", "ES")</f>
        <v>ES</v>
      </c>
      <c r="C1384" s="20" t="s">
        <v>39</v>
      </c>
      <c r="D138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84" s="22" t="str">
        <f>HYPERLINK("https://otsuka-europe-crm.veevavault.com/ui/#object/sent_email__v/VBL000000030086", "SE-001439472")</f>
        <v>SE-001439472</v>
      </c>
      <c r="F1384" s="25">
        <v>46209.347604166665</v>
      </c>
      <c r="G1384" s="24">
        <v>1</v>
      </c>
      <c r="H1384" s="24">
        <v>1</v>
      </c>
      <c r="I1384" s="24">
        <v>0</v>
      </c>
      <c r="J1384" s="23"/>
      <c r="K1384" s="24">
        <v>0</v>
      </c>
      <c r="L138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84" s="22" t="str">
        <f>HYPERLINK("mailto:idiez@crm.otsuka-europe.com", "idiez@crm.otsuka-europe.com")</f>
        <v>idiez@crm.otsuka-europe.com</v>
      </c>
      <c r="N1384" s="25">
        <v>46209.34746527778</v>
      </c>
      <c r="O1384" s="14" t="str">
        <f>HYPERLINK("https://otsuka-europe-crm.veevavault.com/ui/#object/email_activity__v/V8C000000043232", "EN-002102144")</f>
        <v>EN-002102144</v>
      </c>
    </row>
    <row r="1385" spans="1:15" ht="16" x14ac:dyDescent="0.2">
      <c r="A1385" s="19"/>
      <c r="B1385" s="19"/>
      <c r="C1385" s="19"/>
      <c r="D1385" s="19"/>
      <c r="E1385" s="19"/>
      <c r="F1385" s="19"/>
      <c r="G1385" s="19"/>
      <c r="H1385" s="19"/>
      <c r="I1385" s="19"/>
      <c r="J1385" s="19"/>
      <c r="K1385" s="19"/>
      <c r="L1385" s="19"/>
      <c r="M1385" s="19"/>
      <c r="N1385" s="19"/>
      <c r="O1385" s="14" t="str">
        <f>HYPERLINK("https://otsuka-europe-crm.veevavault.com/ui/#object/email_activity__v/V8C000000043263", "EN-002102175")</f>
        <v>EN-002102175</v>
      </c>
    </row>
    <row r="1386" spans="1:15" ht="64" x14ac:dyDescent="0.2">
      <c r="A1386" s="7" t="str">
        <f>HYPERLINK("https://otsuka-europe-crm.veevavault.com/ui/#object/account__v/V4TZ06G6O71TBOR", "MARIO ALFREDO PRIETO VELASCO")</f>
        <v>MARIO ALFREDO PRIETO VELASCO</v>
      </c>
      <c r="B1386" s="7" t="str">
        <f>HYPERLINK("https://otsuka-europe-crm.veevavault.com/ui/#object/vcountry__v/VENZ000004SONF5", "ES")</f>
        <v>ES</v>
      </c>
      <c r="C1386" s="8" t="s">
        <v>39</v>
      </c>
      <c r="D138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86" s="10" t="str">
        <f>HYPERLINK("https://otsuka-europe-crm.veevavault.com/ui/#object/sent_email__v/VBL000000030087", "SE-001439473")</f>
        <v>SE-001439473</v>
      </c>
      <c r="F1386" s="11"/>
      <c r="G1386" s="12">
        <v>0</v>
      </c>
      <c r="H1386" s="12">
        <v>0</v>
      </c>
      <c r="I1386" s="12">
        <v>0</v>
      </c>
      <c r="J1386" s="11"/>
      <c r="K1386" s="12">
        <v>0</v>
      </c>
      <c r="L138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86" s="10" t="str">
        <f>HYPERLINK("mailto:idiez@crm.otsuka-europe.com", "idiez@crm.otsuka-europe.com")</f>
        <v>idiez@crm.otsuka-europe.com</v>
      </c>
      <c r="N1386" s="13">
        <v>46209.34746527778</v>
      </c>
      <c r="O1386" s="14" t="str">
        <f>HYPERLINK("https://otsuka-europe-crm.veevavault.com/ui/#object/email_activity__v/V8C000000043274", "EN-002102186")</f>
        <v>EN-002102186</v>
      </c>
    </row>
    <row r="1387" spans="1:15" ht="64" x14ac:dyDescent="0.2">
      <c r="A1387" s="7" t="str">
        <f>HYPERLINK("https://otsuka-europe-crm.veevavault.com/ui/#object/account__v/V4TZ025E838Q4FM", "PAULA ARDURA AGUDIN")</f>
        <v>PAULA ARDURA AGUDIN</v>
      </c>
      <c r="B1387" s="7" t="str">
        <f>HYPERLINK("https://otsuka-europe-crm.veevavault.com/ui/#object/vcountry__v/VENZ000004SONF5", "ES")</f>
        <v>ES</v>
      </c>
      <c r="C1387" s="8" t="s">
        <v>39</v>
      </c>
      <c r="D138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87" s="10" t="str">
        <f>HYPERLINK("https://otsuka-europe-crm.veevavault.com/ui/#object/sent_email__v/VBL000000030088", "SE-001439474")</f>
        <v>SE-001439474</v>
      </c>
      <c r="F1387" s="11"/>
      <c r="G1387" s="12">
        <v>0</v>
      </c>
      <c r="H1387" s="12">
        <v>0</v>
      </c>
      <c r="I1387" s="12">
        <v>0</v>
      </c>
      <c r="J1387" s="11"/>
      <c r="K1387" s="12">
        <v>0</v>
      </c>
      <c r="L138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87" s="10" t="str">
        <f>HYPERLINK("mailto:idiez@crm.otsuka-europe.com", "idiez@crm.otsuka-europe.com")</f>
        <v>idiez@crm.otsuka-europe.com</v>
      </c>
      <c r="N1387" s="13">
        <v>46209.34746527778</v>
      </c>
      <c r="O1387" s="14" t="str">
        <f>HYPERLINK("https://otsuka-europe-crm.veevavault.com/ui/#object/email_activity__v/V8C000000043256", "EN-002102168")</f>
        <v>EN-002102168</v>
      </c>
    </row>
    <row r="1388" spans="1:15" ht="64" x14ac:dyDescent="0.2">
      <c r="A1388" s="7" t="str">
        <f>HYPERLINK("https://otsuka-europe-crm.veevavault.com/ui/#object/account__v/V4TZ025E89BFP9Z", "YESIKA MARIA AMEZQUITA ORJUELA")</f>
        <v>YESIKA MARIA AMEZQUITA ORJUELA</v>
      </c>
      <c r="B1388" s="7" t="str">
        <f>HYPERLINK("https://otsuka-europe-crm.veevavault.com/ui/#object/vcountry__v/VENZ000004SONF5", "ES")</f>
        <v>ES</v>
      </c>
      <c r="C1388" s="8" t="s">
        <v>39</v>
      </c>
      <c r="D138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88" s="10" t="str">
        <f>HYPERLINK("https://otsuka-europe-crm.veevavault.com/ui/#object/sent_email__v/VBL000000030089", "SE-001439475")</f>
        <v>SE-001439475</v>
      </c>
      <c r="F1388" s="11"/>
      <c r="G1388" s="12">
        <v>0</v>
      </c>
      <c r="H1388" s="12">
        <v>0</v>
      </c>
      <c r="I1388" s="12">
        <v>0</v>
      </c>
      <c r="J1388" s="11"/>
      <c r="K1388" s="12">
        <v>0</v>
      </c>
      <c r="L138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88" s="10" t="str">
        <f>HYPERLINK("mailto:idiez@crm.otsuka-europe.com", "idiez@crm.otsuka-europe.com")</f>
        <v>idiez@crm.otsuka-europe.com</v>
      </c>
      <c r="N1388" s="13">
        <v>46209.34747685185</v>
      </c>
      <c r="O1388" s="14" t="str">
        <f>HYPERLINK("https://otsuka-europe-crm.veevavault.com/ui/#object/email_activity__v/V8C000000043236", "EN-002102148")</f>
        <v>EN-002102148</v>
      </c>
    </row>
    <row r="1389" spans="1:15" ht="64" x14ac:dyDescent="0.2">
      <c r="A1389" s="7" t="str">
        <f>HYPERLINK("https://otsuka-europe-crm.veevavault.com/ui/#object/account__v/V4TZ025E838Q4FL", "MARIA MARTINEZ MANRIQUE")</f>
        <v>MARIA MARTINEZ MANRIQUE</v>
      </c>
      <c r="B1389" s="7" t="str">
        <f>HYPERLINK("https://otsuka-europe-crm.veevavault.com/ui/#object/vcountry__v/VENZ000004SONF5", "ES")</f>
        <v>ES</v>
      </c>
      <c r="C1389" s="8" t="s">
        <v>39</v>
      </c>
      <c r="D138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89" s="10" t="str">
        <f>HYPERLINK("https://otsuka-europe-crm.veevavault.com/ui/#object/sent_email__v/VBL000000030090", "SE-001439476")</f>
        <v>SE-001439476</v>
      </c>
      <c r="F1389" s="11"/>
      <c r="G1389" s="12">
        <v>0</v>
      </c>
      <c r="H1389" s="12">
        <v>0</v>
      </c>
      <c r="I1389" s="12">
        <v>0</v>
      </c>
      <c r="J1389" s="11"/>
      <c r="K1389" s="12">
        <v>0</v>
      </c>
      <c r="L138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89" s="10" t="str">
        <f>HYPERLINK("mailto:idiez@crm.otsuka-europe.com", "idiez@crm.otsuka-europe.com")</f>
        <v>idiez@crm.otsuka-europe.com</v>
      </c>
      <c r="N1389" s="13">
        <v>46209.347488425927</v>
      </c>
      <c r="O1389" s="14" t="str">
        <f>HYPERLINK("https://otsuka-europe-crm.veevavault.com/ui/#object/email_activity__v/V8C000000043242", "EN-002102154")</f>
        <v>EN-002102154</v>
      </c>
    </row>
    <row r="1390" spans="1:15" ht="16" x14ac:dyDescent="0.2">
      <c r="A1390" s="18" t="str">
        <f>HYPERLINK("https://otsuka-europe-crm.veevavault.com/ui/#object/account__v/V4TZ06G6O71T844", "MARCO ANTONIO VACA GALLARDO")</f>
        <v>MARCO ANTONIO VACA GALLARDO</v>
      </c>
      <c r="B1390" s="18" t="str">
        <f>HYPERLINK("https://otsuka-europe-crm.veevavault.com/ui/#object/vcountry__v/VENZ000004SONF5", "ES")</f>
        <v>ES</v>
      </c>
      <c r="C1390" s="20" t="s">
        <v>39</v>
      </c>
      <c r="D139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90" s="22" t="str">
        <f>HYPERLINK("https://otsuka-europe-crm.veevavault.com/ui/#object/sent_email__v/VBL000000030091", "SE-001439477")</f>
        <v>SE-001439477</v>
      </c>
      <c r="F1390" s="25">
        <v>46209.359074074076</v>
      </c>
      <c r="G1390" s="24">
        <v>1</v>
      </c>
      <c r="H1390" s="24">
        <v>1</v>
      </c>
      <c r="I1390" s="24">
        <v>0</v>
      </c>
      <c r="J1390" s="23"/>
      <c r="K1390" s="24">
        <v>0</v>
      </c>
      <c r="L139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90" s="22" t="str">
        <f>HYPERLINK("mailto:idiez@crm.otsuka-europe.com", "idiez@crm.otsuka-europe.com")</f>
        <v>idiez@crm.otsuka-europe.com</v>
      </c>
      <c r="N1390" s="25">
        <v>46209.34746527778</v>
      </c>
      <c r="O1390" s="14" t="str">
        <f>HYPERLINK("https://otsuka-europe-crm.veevavault.com/ui/#object/email_activity__v/V8C000000043262", "EN-002102174")</f>
        <v>EN-002102174</v>
      </c>
    </row>
    <row r="1391" spans="1:15" ht="16" x14ac:dyDescent="0.2">
      <c r="A1391" s="19"/>
      <c r="B1391" s="19"/>
      <c r="C1391" s="19"/>
      <c r="D1391" s="19"/>
      <c r="E1391" s="19"/>
      <c r="F1391" s="19"/>
      <c r="G1391" s="19"/>
      <c r="H1391" s="19"/>
      <c r="I1391" s="19"/>
      <c r="J1391" s="19"/>
      <c r="K1391" s="19"/>
      <c r="L1391" s="19"/>
      <c r="M1391" s="19"/>
      <c r="N1391" s="19"/>
      <c r="O1391" s="14" t="str">
        <f>HYPERLINK("https://otsuka-europe-crm.veevavault.com/ui/#object/email_activity__v/V8C000000043406", "EN-002102343")</f>
        <v>EN-002102343</v>
      </c>
    </row>
    <row r="1392" spans="1:15" ht="16" x14ac:dyDescent="0.2">
      <c r="A1392" s="18" t="str">
        <f>HYPERLINK("https://otsuka-europe-crm.veevavault.com/ui/#object/account__v/V4TZ06G6O71T95T", "SARA ALVAREZ TUNDIDOR")</f>
        <v>SARA ALVAREZ TUNDIDOR</v>
      </c>
      <c r="B1392" s="18" t="str">
        <f>HYPERLINK("https://otsuka-europe-crm.veevavault.com/ui/#object/vcountry__v/VENZ000004SONF5", "ES")</f>
        <v>ES</v>
      </c>
      <c r="C1392" s="20" t="s">
        <v>39</v>
      </c>
      <c r="D139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92" s="22" t="str">
        <f>HYPERLINK("https://otsuka-europe-crm.veevavault.com/ui/#object/sent_email__v/VBL000000030092", "SE-001439478")</f>
        <v>SE-001439478</v>
      </c>
      <c r="F1392" s="23"/>
      <c r="G1392" s="24">
        <v>0</v>
      </c>
      <c r="H1392" s="24">
        <v>0</v>
      </c>
      <c r="I1392" s="24">
        <v>0</v>
      </c>
      <c r="J1392" s="23"/>
      <c r="K1392" s="24">
        <v>0</v>
      </c>
      <c r="L139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92" s="22" t="str">
        <f>HYPERLINK("mailto:idiez@crm.otsuka-europe.com", "idiez@crm.otsuka-europe.com")</f>
        <v>idiez@crm.otsuka-europe.com</v>
      </c>
      <c r="N1392" s="25">
        <v>46209.347488425927</v>
      </c>
      <c r="O1392" s="14" t="str">
        <f>HYPERLINK("https://otsuka-europe-crm.veevavault.com/ui/#object/email_activity__v/V8C000000043245", "EN-002102157")</f>
        <v>EN-002102157</v>
      </c>
    </row>
    <row r="1393" spans="1:15" ht="16" x14ac:dyDescent="0.2">
      <c r="A1393" s="19"/>
      <c r="B1393" s="19"/>
      <c r="C1393" s="19"/>
      <c r="D1393" s="19"/>
      <c r="E1393" s="19"/>
      <c r="F1393" s="19"/>
      <c r="G1393" s="19"/>
      <c r="H1393" s="19"/>
      <c r="I1393" s="19"/>
      <c r="J1393" s="19"/>
      <c r="K1393" s="19"/>
      <c r="L1393" s="19"/>
      <c r="M1393" s="19"/>
      <c r="N1393" s="19"/>
      <c r="O1393" s="14" t="str">
        <f>HYPERLINK("https://otsuka-europe-crm.veevavault.com/ui/#object/email_activity__v/V8C000000043890", "EN-002103301")</f>
        <v>EN-002103301</v>
      </c>
    </row>
    <row r="1394" spans="1:15" ht="16" x14ac:dyDescent="0.2">
      <c r="A1394" s="18" t="str">
        <f>HYPERLINK("https://otsuka-europe-crm.veevavault.com/ui/#object/account__v/V4TZ06G6O71TAEZ", "JESUS GRANDE VILLORIA")</f>
        <v>JESUS GRANDE VILLORIA</v>
      </c>
      <c r="B1394" s="18" t="str">
        <f>HYPERLINK("https://otsuka-europe-crm.veevavault.com/ui/#object/vcountry__v/VENZ000004SONF5", "ES")</f>
        <v>ES</v>
      </c>
      <c r="C1394" s="20" t="s">
        <v>39</v>
      </c>
      <c r="D139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94" s="22" t="str">
        <f>HYPERLINK("https://otsuka-europe-crm.veevavault.com/ui/#object/sent_email__v/VBL000000030093", "SE-001439479")</f>
        <v>SE-001439479</v>
      </c>
      <c r="F1394" s="25">
        <v>46209.412453703706</v>
      </c>
      <c r="G1394" s="24">
        <v>1</v>
      </c>
      <c r="H1394" s="24">
        <v>1</v>
      </c>
      <c r="I1394" s="24">
        <v>1</v>
      </c>
      <c r="J1394" s="25">
        <v>46209.412893518522</v>
      </c>
      <c r="K1394" s="24">
        <v>1</v>
      </c>
      <c r="L139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94" s="22" t="str">
        <f>HYPERLINK("mailto:idiez@crm.otsuka-europe.com", "idiez@crm.otsuka-europe.com")</f>
        <v>idiez@crm.otsuka-europe.com</v>
      </c>
      <c r="N1394" s="25">
        <v>46209.34746527778</v>
      </c>
      <c r="O1394" s="14" t="str">
        <f>HYPERLINK("https://otsuka-europe-crm.veevavault.com/ui/#object/email_activity__v/V8C000000043217", "EN-002102129")</f>
        <v>EN-002102129</v>
      </c>
    </row>
    <row r="1395" spans="1:15" ht="16" x14ac:dyDescent="0.2">
      <c r="A1395" s="26"/>
      <c r="B1395" s="26"/>
      <c r="C1395" s="26"/>
      <c r="D1395" s="26"/>
      <c r="E1395" s="26"/>
      <c r="F1395" s="26"/>
      <c r="G1395" s="26"/>
      <c r="H1395" s="26"/>
      <c r="I1395" s="26"/>
      <c r="J1395" s="26"/>
      <c r="K1395" s="26"/>
      <c r="L1395" s="26"/>
      <c r="M1395" s="26"/>
      <c r="N1395" s="26"/>
      <c r="O1395" s="14" t="str">
        <f>HYPERLINK("https://otsuka-europe-crm.veevavault.com/ui/#object/email_activity__v/V8C000000043455", "EN-002102424")</f>
        <v>EN-002102424</v>
      </c>
    </row>
    <row r="1396" spans="1:15" ht="16" x14ac:dyDescent="0.2">
      <c r="A1396" s="19"/>
      <c r="B1396" s="19"/>
      <c r="C1396" s="19"/>
      <c r="D1396" s="19"/>
      <c r="E1396" s="19"/>
      <c r="F1396" s="19"/>
      <c r="G1396" s="19"/>
      <c r="H1396" s="19"/>
      <c r="I1396" s="19"/>
      <c r="J1396" s="19"/>
      <c r="K1396" s="19"/>
      <c r="L1396" s="19"/>
      <c r="M1396" s="19"/>
      <c r="N1396" s="19"/>
      <c r="O1396" s="14" t="str">
        <f>HYPERLINK("https://otsuka-europe-crm.veevavault.com/ui/#object/email_activity__v/V8C000000044416", "EN-002102427")</f>
        <v>EN-002102427</v>
      </c>
    </row>
    <row r="1397" spans="1:15" ht="16" x14ac:dyDescent="0.2">
      <c r="A1397" s="18" t="str">
        <f>HYPERLINK("https://otsuka-europe-crm.veevavault.com/ui/#object/account__v/V4TZ025E85VQEU0", "MARIA RODRIGUEZ SARMIENTO")</f>
        <v>MARIA RODRIGUEZ SARMIENTO</v>
      </c>
      <c r="B1397" s="18" t="str">
        <f>HYPERLINK("https://otsuka-europe-crm.veevavault.com/ui/#object/vcountry__v/VENZ000004SONF5", "ES")</f>
        <v>ES</v>
      </c>
      <c r="C1397" s="20" t="s">
        <v>39</v>
      </c>
      <c r="D139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397" s="22" t="str">
        <f>HYPERLINK("https://otsuka-europe-crm.veevavault.com/ui/#object/sent_email__v/VBL000000030094", "SE-001439480")</f>
        <v>SE-001439480</v>
      </c>
      <c r="F1397" s="25">
        <v>46209.347604166665</v>
      </c>
      <c r="G1397" s="24">
        <v>1</v>
      </c>
      <c r="H1397" s="24">
        <v>1</v>
      </c>
      <c r="I1397" s="24">
        <v>0</v>
      </c>
      <c r="J1397" s="23"/>
      <c r="K1397" s="24">
        <v>0</v>
      </c>
      <c r="L139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397" s="22" t="str">
        <f>HYPERLINK("mailto:idiez@crm.otsuka-europe.com", "idiez@crm.otsuka-europe.com")</f>
        <v>idiez@crm.otsuka-europe.com</v>
      </c>
      <c r="N1397" s="25">
        <v>46209.34746527778</v>
      </c>
      <c r="O1397" s="14" t="str">
        <f>HYPERLINK("https://otsuka-europe-crm.veevavault.com/ui/#object/email_activity__v/V8C000000043224", "EN-002102136")</f>
        <v>EN-002102136</v>
      </c>
    </row>
    <row r="1398" spans="1:15" ht="16" x14ac:dyDescent="0.2">
      <c r="A1398" s="26"/>
      <c r="B1398" s="26"/>
      <c r="C1398" s="26"/>
      <c r="D1398" s="26"/>
      <c r="E1398" s="26"/>
      <c r="F1398" s="26"/>
      <c r="G1398" s="26"/>
      <c r="H1398" s="26"/>
      <c r="I1398" s="26"/>
      <c r="J1398" s="26"/>
      <c r="K1398" s="26"/>
      <c r="L1398" s="26"/>
      <c r="M1398" s="26"/>
      <c r="N1398" s="26"/>
      <c r="O1398" s="14" t="str">
        <f>HYPERLINK("https://otsuka-europe-crm.veevavault.com/ui/#object/email_activity__v/V8C000000043276", "EN-002102188")</f>
        <v>EN-002102188</v>
      </c>
    </row>
    <row r="1399" spans="1:15" ht="16" x14ac:dyDescent="0.2">
      <c r="A1399" s="19"/>
      <c r="B1399" s="19"/>
      <c r="C1399" s="19"/>
      <c r="D1399" s="19"/>
      <c r="E1399" s="19"/>
      <c r="F1399" s="19"/>
      <c r="G1399" s="19"/>
      <c r="H1399" s="19"/>
      <c r="I1399" s="19"/>
      <c r="J1399" s="19"/>
      <c r="K1399" s="19"/>
      <c r="L1399" s="19"/>
      <c r="M1399" s="19"/>
      <c r="N1399" s="19"/>
      <c r="O1399" s="14" t="str">
        <f>HYPERLINK("https://otsuka-europe-crm.veevavault.com/ui/#object/email_activity__v/V8C000000044513", "EN-002102602")</f>
        <v>EN-002102602</v>
      </c>
    </row>
    <row r="1400" spans="1:15" ht="64" x14ac:dyDescent="0.2">
      <c r="A1400" s="7" t="str">
        <f>HYPERLINK("https://otsuka-europe-crm.veevavault.com/ui/#object/account__v/V4TZ04ASGDZZM81", "SARA ALDANA BARCELO")</f>
        <v>SARA ALDANA BARCELO</v>
      </c>
      <c r="B1400" s="7" t="str">
        <f>HYPERLINK("https://otsuka-europe-crm.veevavault.com/ui/#object/vcountry__v/VENZ000004SONF5", "ES")</f>
        <v>ES</v>
      </c>
      <c r="C1400" s="8" t="s">
        <v>39</v>
      </c>
      <c r="D140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00" s="10" t="str">
        <f>HYPERLINK("https://otsuka-europe-crm.veevavault.com/ui/#object/sent_email__v/VBL000000030095", "SE-001439481")</f>
        <v>SE-001439481</v>
      </c>
      <c r="F1400" s="11"/>
      <c r="G1400" s="12">
        <v>0</v>
      </c>
      <c r="H1400" s="12">
        <v>0</v>
      </c>
      <c r="I1400" s="12">
        <v>0</v>
      </c>
      <c r="J1400" s="11"/>
      <c r="K1400" s="12">
        <v>0</v>
      </c>
      <c r="L140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00" s="10" t="str">
        <f>HYPERLINK("mailto:idiez@crm.otsuka-europe.com", "idiez@crm.otsuka-europe.com")</f>
        <v>idiez@crm.otsuka-europe.com</v>
      </c>
      <c r="N1400" s="13">
        <v>46209.34746527778</v>
      </c>
      <c r="O1400" s="14" t="str">
        <f>HYPERLINK("https://otsuka-europe-crm.veevavault.com/ui/#object/email_activity__v/V8C000000043275", "EN-002102187")</f>
        <v>EN-002102187</v>
      </c>
    </row>
    <row r="1401" spans="1:15" ht="64" x14ac:dyDescent="0.2">
      <c r="A1401" s="7" t="str">
        <f>HYPERLINK("https://otsuka-europe-crm.veevavault.com/ui/#object/account__v/V4TZ06G6OB4BILW", "VERONICA FIDALGO GONZALEZ")</f>
        <v>VERONICA FIDALGO GONZALEZ</v>
      </c>
      <c r="B1401" s="7" t="str">
        <f>HYPERLINK("https://otsuka-europe-crm.veevavault.com/ui/#object/vcountry__v/VENZ000004SONF5", "ES")</f>
        <v>ES</v>
      </c>
      <c r="C1401" s="8" t="s">
        <v>39</v>
      </c>
      <c r="D140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01" s="10" t="str">
        <f>HYPERLINK("https://otsuka-europe-crm.veevavault.com/ui/#object/sent_email__v/VBL000000030096", "SE-001439482")</f>
        <v>SE-001439482</v>
      </c>
      <c r="F1401" s="11"/>
      <c r="G1401" s="12">
        <v>0</v>
      </c>
      <c r="H1401" s="12">
        <v>0</v>
      </c>
      <c r="I1401" s="12">
        <v>0</v>
      </c>
      <c r="J1401" s="11"/>
      <c r="K1401" s="12">
        <v>0</v>
      </c>
      <c r="L140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01" s="10" t="str">
        <f>HYPERLINK("mailto:idiez@crm.otsuka-europe.com", "idiez@crm.otsuka-europe.com")</f>
        <v>idiez@crm.otsuka-europe.com</v>
      </c>
      <c r="N1401" s="13">
        <v>46209.347453703704</v>
      </c>
      <c r="O1401" s="14" t="str">
        <f>HYPERLINK("https://otsuka-europe-crm.veevavault.com/ui/#object/email_activity__v/V8C000000043270", "EN-002102182")</f>
        <v>EN-002102182</v>
      </c>
    </row>
    <row r="1402" spans="1:15" ht="16" x14ac:dyDescent="0.2">
      <c r="A1402" s="18" t="str">
        <f>HYPERLINK("https://otsuka-europe-crm.veevavault.com/ui/#object/account__v/V4TZ06G6O71TC72", "PATRICIA DE SEQUERA ORTIZ")</f>
        <v>PATRICIA DE SEQUERA ORTIZ</v>
      </c>
      <c r="B1402" s="18" t="str">
        <f>HYPERLINK("https://otsuka-europe-crm.veevavault.com/ui/#object/vcountry__v/VENZ000004SONF5", "ES")</f>
        <v>ES</v>
      </c>
      <c r="C1402" s="20" t="s">
        <v>39</v>
      </c>
      <c r="D140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02" s="22" t="str">
        <f>HYPERLINK("https://otsuka-europe-crm.veevavault.com/ui/#object/sent_email__v/VBL000000030097", "SE-001439483")</f>
        <v>SE-001439483</v>
      </c>
      <c r="F1402" s="25">
        <v>46209.410740740743</v>
      </c>
      <c r="G1402" s="24">
        <v>1</v>
      </c>
      <c r="H1402" s="24">
        <v>2</v>
      </c>
      <c r="I1402" s="24">
        <v>0</v>
      </c>
      <c r="J1402" s="23"/>
      <c r="K1402" s="24">
        <v>0</v>
      </c>
      <c r="L140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02" s="22" t="str">
        <f>HYPERLINK("mailto:idiez@crm.otsuka-europe.com", "idiez@crm.otsuka-europe.com")</f>
        <v>idiez@crm.otsuka-europe.com</v>
      </c>
      <c r="N1402" s="25">
        <v>46209.34746527778</v>
      </c>
      <c r="O1402" s="14" t="str">
        <f>HYPERLINK("https://otsuka-europe-crm.veevavault.com/ui/#object/email_activity__v/V8C000000043219", "EN-002102131")</f>
        <v>EN-002102131</v>
      </c>
    </row>
    <row r="1403" spans="1:15" ht="16" x14ac:dyDescent="0.2">
      <c r="A1403" s="26"/>
      <c r="B1403" s="26"/>
      <c r="C1403" s="26"/>
      <c r="D1403" s="26"/>
      <c r="E1403" s="26"/>
      <c r="F1403" s="26"/>
      <c r="G1403" s="26"/>
      <c r="H1403" s="26"/>
      <c r="I1403" s="26"/>
      <c r="J1403" s="26"/>
      <c r="K1403" s="26"/>
      <c r="L1403" s="26"/>
      <c r="M1403" s="26"/>
      <c r="N1403" s="26"/>
      <c r="O1403" s="14" t="str">
        <f>HYPERLINK("https://otsuka-europe-crm.veevavault.com/ui/#object/email_activity__v/V8C000000043252", "EN-002102164")</f>
        <v>EN-002102164</v>
      </c>
    </row>
    <row r="1404" spans="1:15" ht="16" x14ac:dyDescent="0.2">
      <c r="A1404" s="19"/>
      <c r="B1404" s="19"/>
      <c r="C1404" s="19"/>
      <c r="D1404" s="19"/>
      <c r="E1404" s="19"/>
      <c r="F1404" s="19"/>
      <c r="G1404" s="19"/>
      <c r="H1404" s="19"/>
      <c r="I1404" s="19"/>
      <c r="J1404" s="19"/>
      <c r="K1404" s="19"/>
      <c r="L1404" s="19"/>
      <c r="M1404" s="19"/>
      <c r="N1404" s="19"/>
      <c r="O1404" s="14" t="str">
        <f>HYPERLINK("https://otsuka-europe-crm.veevavault.com/ui/#object/email_activity__v/V8C000000043454", "EN-002102423")</f>
        <v>EN-002102423</v>
      </c>
    </row>
    <row r="1405" spans="1:15" ht="16" x14ac:dyDescent="0.2">
      <c r="A1405" s="18" t="str">
        <f>HYPERLINK("https://otsuka-europe-crm.veevavault.com/ui/#object/account__v/V4TZ06G6O71TATE", "MARIA TERESA LOPEZ PICASSO")</f>
        <v>MARIA TERESA LOPEZ PICASSO</v>
      </c>
      <c r="B1405" s="18" t="str">
        <f>HYPERLINK("https://otsuka-europe-crm.veevavault.com/ui/#object/vcountry__v/VENZ000004SONF5", "ES")</f>
        <v>ES</v>
      </c>
      <c r="C1405" s="20" t="s">
        <v>39</v>
      </c>
      <c r="D140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05" s="22" t="str">
        <f>HYPERLINK("https://otsuka-europe-crm.veevavault.com/ui/#object/sent_email__v/VBL000000030098", "SE-001439484")</f>
        <v>SE-001439484</v>
      </c>
      <c r="F1405" s="25">
        <v>46209.356550925928</v>
      </c>
      <c r="G1405" s="24">
        <v>1</v>
      </c>
      <c r="H1405" s="24">
        <v>1</v>
      </c>
      <c r="I1405" s="24">
        <v>0</v>
      </c>
      <c r="J1405" s="23"/>
      <c r="K1405" s="24">
        <v>0</v>
      </c>
      <c r="L140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05" s="22" t="str">
        <f>HYPERLINK("mailto:idiez@crm.otsuka-europe.com", "idiez@crm.otsuka-europe.com")</f>
        <v>idiez@crm.otsuka-europe.com</v>
      </c>
      <c r="N1405" s="25">
        <v>46209.34747685185</v>
      </c>
      <c r="O1405" s="14" t="str">
        <f>HYPERLINK("https://otsuka-europe-crm.veevavault.com/ui/#object/email_activity__v/V8C000000043235", "EN-002102147")</f>
        <v>EN-002102147</v>
      </c>
    </row>
    <row r="1406" spans="1:15" ht="16" x14ac:dyDescent="0.2">
      <c r="A1406" s="19"/>
      <c r="B1406" s="19"/>
      <c r="C1406" s="19"/>
      <c r="D1406" s="19"/>
      <c r="E1406" s="19"/>
      <c r="F1406" s="19"/>
      <c r="G1406" s="19"/>
      <c r="H1406" s="19"/>
      <c r="I1406" s="19"/>
      <c r="J1406" s="19"/>
      <c r="K1406" s="19"/>
      <c r="L1406" s="19"/>
      <c r="M1406" s="19"/>
      <c r="N1406" s="19"/>
      <c r="O1406" s="14" t="str">
        <f>HYPERLINK("https://otsuka-europe-crm.veevavault.com/ui/#object/email_activity__v/V8C000000043402", "EN-002102337")</f>
        <v>EN-002102337</v>
      </c>
    </row>
    <row r="1407" spans="1:15" ht="64" x14ac:dyDescent="0.2">
      <c r="A1407" s="7" t="str">
        <f>HYPERLINK("https://otsuka-europe-crm.veevavault.com/ui/#object/account__v/V4TZ06G6O71T93K", "SIMONA ALEXANDRU")</f>
        <v>SIMONA ALEXANDRU</v>
      </c>
      <c r="B1407" s="7" t="str">
        <f>HYPERLINK("https://otsuka-europe-crm.veevavault.com/ui/#object/vcountry__v/VENZ000004SONF5", "ES")</f>
        <v>ES</v>
      </c>
      <c r="C1407" s="8" t="s">
        <v>39</v>
      </c>
      <c r="D14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07" s="10" t="str">
        <f>HYPERLINK("https://otsuka-europe-crm.veevavault.com/ui/#object/sent_email__v/VBL000000030099", "SE-001439485")</f>
        <v>SE-001439485</v>
      </c>
      <c r="F1407" s="11"/>
      <c r="G1407" s="12">
        <v>0</v>
      </c>
      <c r="H1407" s="12">
        <v>0</v>
      </c>
      <c r="I1407" s="12">
        <v>0</v>
      </c>
      <c r="J1407" s="11"/>
      <c r="K1407" s="12">
        <v>0</v>
      </c>
      <c r="L14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07" s="10" t="str">
        <f>HYPERLINK("mailto:idiez@crm.otsuka-europe.com", "idiez@crm.otsuka-europe.com")</f>
        <v>idiez@crm.otsuka-europe.com</v>
      </c>
      <c r="N1407" s="13">
        <v>46209.347453703704</v>
      </c>
      <c r="O1407" s="14" t="str">
        <f>HYPERLINK("https://otsuka-europe-crm.veevavault.com/ui/#object/email_activity__v/V8C000000043277", "EN-002102189")</f>
        <v>EN-002102189</v>
      </c>
    </row>
    <row r="1408" spans="1:15" ht="16" x14ac:dyDescent="0.2">
      <c r="A1408" s="18" t="str">
        <f>HYPERLINK("https://otsuka-europe-crm.veevavault.com/ui/#object/account__v/V4TZ06G6O71TBVD", "MARIA FLOR RODRIGUEZ MARTIN")</f>
        <v>MARIA FLOR RODRIGUEZ MARTIN</v>
      </c>
      <c r="B1408" s="18" t="str">
        <f>HYPERLINK("https://otsuka-europe-crm.veevavault.com/ui/#object/vcountry__v/VENZ000004SONF5", "ES")</f>
        <v>ES</v>
      </c>
      <c r="C1408" s="20" t="s">
        <v>39</v>
      </c>
      <c r="D140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08" s="22" t="str">
        <f>HYPERLINK("https://otsuka-europe-crm.veevavault.com/ui/#object/sent_email__v/VBL000000030100", "SE-001439486")</f>
        <v>SE-001439486</v>
      </c>
      <c r="F1408" s="23"/>
      <c r="G1408" s="24">
        <v>0</v>
      </c>
      <c r="H1408" s="24">
        <v>0</v>
      </c>
      <c r="I1408" s="24">
        <v>0</v>
      </c>
      <c r="J1408" s="23"/>
      <c r="K1408" s="24">
        <v>0</v>
      </c>
      <c r="L140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08" s="22" t="str">
        <f>HYPERLINK("mailto:idiez@crm.otsuka-europe.com", "idiez@crm.otsuka-europe.com")</f>
        <v>idiez@crm.otsuka-europe.com</v>
      </c>
      <c r="N1408" s="25">
        <v>46209.347453703704</v>
      </c>
      <c r="O1408" s="14" t="str">
        <f>HYPERLINK("https://otsuka-europe-crm.veevavault.com/ui/#object/email_activity__v/V8C000000043267", "EN-002102179")</f>
        <v>EN-002102179</v>
      </c>
    </row>
    <row r="1409" spans="1:15" ht="16" x14ac:dyDescent="0.2">
      <c r="A1409" s="19"/>
      <c r="B1409" s="19"/>
      <c r="C1409" s="19"/>
      <c r="D1409" s="19"/>
      <c r="E1409" s="19"/>
      <c r="F1409" s="19"/>
      <c r="G1409" s="19"/>
      <c r="H1409" s="19"/>
      <c r="I1409" s="19"/>
      <c r="J1409" s="19"/>
      <c r="K1409" s="19"/>
      <c r="L1409" s="19"/>
      <c r="M1409" s="19"/>
      <c r="N1409" s="19"/>
      <c r="O1409" s="14" t="str">
        <f>HYPERLINK("https://otsuka-europe-crm.veevavault.com/ui/#object/email_activity__v/V8C000000048002", "EN-002104174")</f>
        <v>EN-002104174</v>
      </c>
    </row>
    <row r="1410" spans="1:15" ht="64" x14ac:dyDescent="0.2">
      <c r="A1410" s="7" t="str">
        <f>HYPERLINK("https://otsuka-europe-crm.veevavault.com/ui/#object/account__v/V4TZ025E85VPH46", "LINA PAOLA GOMEZ ACOSTA")</f>
        <v>LINA PAOLA GOMEZ ACOSTA</v>
      </c>
      <c r="B1410" s="7" t="str">
        <f>HYPERLINK("https://otsuka-europe-crm.veevavault.com/ui/#object/vcountry__v/VENZ000004SONF5", "ES")</f>
        <v>ES</v>
      </c>
      <c r="C1410" s="8" t="s">
        <v>39</v>
      </c>
      <c r="D141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10" s="10" t="str">
        <f>HYPERLINK("https://otsuka-europe-crm.veevavault.com/ui/#object/sent_email__v/VBL000000030101", "SE-001439487")</f>
        <v>SE-001439487</v>
      </c>
      <c r="F1410" s="11"/>
      <c r="G1410" s="12">
        <v>0</v>
      </c>
      <c r="H1410" s="12">
        <v>0</v>
      </c>
      <c r="I1410" s="12">
        <v>0</v>
      </c>
      <c r="J1410" s="11"/>
      <c r="K1410" s="12">
        <v>0</v>
      </c>
      <c r="L141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10" s="10" t="str">
        <f>HYPERLINK("mailto:idiez@crm.otsuka-europe.com", "idiez@crm.otsuka-europe.com")</f>
        <v>idiez@crm.otsuka-europe.com</v>
      </c>
      <c r="N1410" s="13">
        <v>46209.347453703704</v>
      </c>
      <c r="O1410" s="14" t="str">
        <f>HYPERLINK("https://otsuka-europe-crm.veevavault.com/ui/#object/email_activity__v/V8C000000043400", "EN-002102333")</f>
        <v>EN-002102333</v>
      </c>
    </row>
    <row r="1411" spans="1:15" ht="16" x14ac:dyDescent="0.2">
      <c r="A1411" s="18" t="str">
        <f>HYPERLINK("https://otsuka-europe-crm.veevavault.com/ui/#object/account__v/V4TZ04ASGDUBC5M", "JORGE ARMANDO TORRES ORTIZ")</f>
        <v>JORGE ARMANDO TORRES ORTIZ</v>
      </c>
      <c r="B1411" s="18" t="str">
        <f>HYPERLINK("https://otsuka-europe-crm.veevavault.com/ui/#object/vcountry__v/VENZ000004SONF5", "ES")</f>
        <v>ES</v>
      </c>
      <c r="C1411" s="20" t="s">
        <v>39</v>
      </c>
      <c r="D141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11" s="22" t="str">
        <f>HYPERLINK("https://otsuka-europe-crm.veevavault.com/ui/#object/sent_email__v/VBL000000030102", "SE-001439488")</f>
        <v>SE-001439488</v>
      </c>
      <c r="F1411" s="25">
        <v>46216.996736111112</v>
      </c>
      <c r="G1411" s="24">
        <v>1</v>
      </c>
      <c r="H1411" s="24">
        <v>1</v>
      </c>
      <c r="I1411" s="24">
        <v>0</v>
      </c>
      <c r="J1411" s="23"/>
      <c r="K1411" s="24">
        <v>0</v>
      </c>
      <c r="L141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11" s="22" t="str">
        <f>HYPERLINK("mailto:idiez@crm.otsuka-europe.com", "idiez@crm.otsuka-europe.com")</f>
        <v>idiez@crm.otsuka-europe.com</v>
      </c>
      <c r="N1411" s="25">
        <v>46209.34746527778</v>
      </c>
      <c r="O1411" s="14" t="str">
        <f>HYPERLINK("https://otsuka-europe-crm.veevavault.com/ui/#object/email_activity__v/V8C000000043231", "EN-002102143")</f>
        <v>EN-002102143</v>
      </c>
    </row>
    <row r="1412" spans="1:15" ht="16" x14ac:dyDescent="0.2">
      <c r="A1412" s="26"/>
      <c r="B1412" s="26"/>
      <c r="C1412" s="26"/>
      <c r="D1412" s="26"/>
      <c r="E1412" s="26"/>
      <c r="F1412" s="26"/>
      <c r="G1412" s="26"/>
      <c r="H1412" s="26"/>
      <c r="I1412" s="26"/>
      <c r="J1412" s="26"/>
      <c r="K1412" s="26"/>
      <c r="L1412" s="26"/>
      <c r="M1412" s="26"/>
      <c r="N1412" s="26"/>
      <c r="O1412" s="14" t="str">
        <f>HYPERLINK("https://otsuka-europe-crm.veevavault.com/ui/#object/email_activity__v/V8C000000049686", "EN-002106190")</f>
        <v>EN-002106190</v>
      </c>
    </row>
    <row r="1413" spans="1:15" ht="16" x14ac:dyDescent="0.2">
      <c r="A1413" s="19"/>
      <c r="B1413" s="19"/>
      <c r="C1413" s="19"/>
      <c r="D1413" s="19"/>
      <c r="E1413" s="19"/>
      <c r="F1413" s="19"/>
      <c r="G1413" s="19"/>
      <c r="H1413" s="19"/>
      <c r="I1413" s="19"/>
      <c r="J1413" s="19"/>
      <c r="K1413" s="19"/>
      <c r="L1413" s="19"/>
      <c r="M1413" s="19"/>
      <c r="N1413" s="19"/>
      <c r="O1413" s="14" t="str">
        <f>HYPERLINK("https://otsuka-europe-crm.veevavault.com/ui/#object/email_activity__v/V8C00000004A404", "EN-002105738")</f>
        <v>EN-002105738</v>
      </c>
    </row>
    <row r="1414" spans="1:15" ht="16" x14ac:dyDescent="0.2">
      <c r="A1414" s="18" t="str">
        <f>HYPERLINK("https://otsuka-europe-crm.veevavault.com/ui/#object/account__v/V4TZ06G6O71T8B1", "NATHALIE MARTINEZ TEJEDA")</f>
        <v>NATHALIE MARTINEZ TEJEDA</v>
      </c>
      <c r="B1414" s="18" t="str">
        <f>HYPERLINK("https://otsuka-europe-crm.veevavault.com/ui/#object/vcountry__v/VENZ000004SONF5", "ES")</f>
        <v>ES</v>
      </c>
      <c r="C1414" s="20" t="s">
        <v>39</v>
      </c>
      <c r="D141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14" s="22" t="str">
        <f>HYPERLINK("https://otsuka-europe-crm.veevavault.com/ui/#object/sent_email__v/VBL000000030103", "SE-001439489")</f>
        <v>SE-001439489</v>
      </c>
      <c r="F1414" s="25">
        <v>46209.398206018515</v>
      </c>
      <c r="G1414" s="24">
        <v>1</v>
      </c>
      <c r="H1414" s="24">
        <v>1</v>
      </c>
      <c r="I1414" s="24">
        <v>0</v>
      </c>
      <c r="J1414" s="23"/>
      <c r="K1414" s="24">
        <v>0</v>
      </c>
      <c r="L141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14" s="22" t="str">
        <f>HYPERLINK("mailto:idiez@crm.otsuka-europe.com", "idiez@crm.otsuka-europe.com")</f>
        <v>idiez@crm.otsuka-europe.com</v>
      </c>
      <c r="N1414" s="25">
        <v>46209.347453703704</v>
      </c>
      <c r="O1414" s="14" t="str">
        <f>HYPERLINK("https://otsuka-europe-crm.veevavault.com/ui/#object/email_activity__v/V8C000000043260", "EN-002102172")</f>
        <v>EN-002102172</v>
      </c>
    </row>
    <row r="1415" spans="1:15" ht="16" x14ac:dyDescent="0.2">
      <c r="A1415" s="19"/>
      <c r="B1415" s="19"/>
      <c r="C1415" s="19"/>
      <c r="D1415" s="19"/>
      <c r="E1415" s="19"/>
      <c r="F1415" s="19"/>
      <c r="G1415" s="19"/>
      <c r="H1415" s="19"/>
      <c r="I1415" s="19"/>
      <c r="J1415" s="19"/>
      <c r="K1415" s="19"/>
      <c r="L1415" s="19"/>
      <c r="M1415" s="19"/>
      <c r="N1415" s="19"/>
      <c r="O1415" s="14" t="str">
        <f>HYPERLINK("https://otsuka-europe-crm.veevavault.com/ui/#object/email_activity__v/V8C000000043434", "EN-002102401")</f>
        <v>EN-002102401</v>
      </c>
    </row>
    <row r="1416" spans="1:15" ht="64" x14ac:dyDescent="0.2">
      <c r="A1416" s="7" t="str">
        <f>HYPERLINK("https://otsuka-europe-crm.veevavault.com/ui/#object/account__v/V4TZ06G6O71T7I4", "LAURA RODRIGUEZ-OSORIO JIMENEZ")</f>
        <v>LAURA RODRIGUEZ-OSORIO JIMENEZ</v>
      </c>
      <c r="B1416" s="7" t="str">
        <f>HYPERLINK("https://otsuka-europe-crm.veevavault.com/ui/#object/vcountry__v/VENZ000004SONF5", "ES")</f>
        <v>ES</v>
      </c>
      <c r="C1416" s="8" t="s">
        <v>39</v>
      </c>
      <c r="D141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16" s="10" t="str">
        <f>HYPERLINK("https://otsuka-europe-crm.veevavault.com/ui/#object/sent_email__v/VBL000000030104", "SE-001439490")</f>
        <v>SE-001439490</v>
      </c>
      <c r="F1416" s="11"/>
      <c r="G1416" s="12">
        <v>0</v>
      </c>
      <c r="H1416" s="12">
        <v>0</v>
      </c>
      <c r="I1416" s="12">
        <v>0</v>
      </c>
      <c r="J1416" s="11"/>
      <c r="K1416" s="12">
        <v>0</v>
      </c>
      <c r="L141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16" s="10" t="str">
        <f>HYPERLINK("mailto:idiez@crm.otsuka-europe.com", "idiez@crm.otsuka-europe.com")</f>
        <v>idiez@crm.otsuka-europe.com</v>
      </c>
      <c r="N1416" s="13">
        <v>46209.347453703704</v>
      </c>
      <c r="O1416" s="14" t="str">
        <f>HYPERLINK("https://otsuka-europe-crm.veevavault.com/ui/#object/email_activity__v/V8C000000043264", "EN-002102176")</f>
        <v>EN-002102176</v>
      </c>
    </row>
    <row r="1417" spans="1:15" ht="16" x14ac:dyDescent="0.2">
      <c r="A1417" s="18" t="str">
        <f>HYPERLINK("https://otsuka-europe-crm.veevavault.com/ui/#object/account__v/V4TZ06G6O71T8K5", "LUIS ALBERTO SANCHEZ CAMARA")</f>
        <v>LUIS ALBERTO SANCHEZ CAMARA</v>
      </c>
      <c r="B1417" s="18" t="str">
        <f>HYPERLINK("https://otsuka-europe-crm.veevavault.com/ui/#object/vcountry__v/VENZ000004SONF5", "ES")</f>
        <v>ES</v>
      </c>
      <c r="C1417" s="20" t="s">
        <v>39</v>
      </c>
      <c r="D141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17" s="22" t="str">
        <f>HYPERLINK("https://otsuka-europe-crm.veevavault.com/ui/#object/sent_email__v/VBL000000030105", "SE-001439491")</f>
        <v>SE-001439491</v>
      </c>
      <c r="F1417" s="25">
        <v>46209.421550925923</v>
      </c>
      <c r="G1417" s="24">
        <v>1</v>
      </c>
      <c r="H1417" s="24">
        <v>3</v>
      </c>
      <c r="I1417" s="24">
        <v>0</v>
      </c>
      <c r="J1417" s="23"/>
      <c r="K1417" s="24">
        <v>0</v>
      </c>
      <c r="L141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17" s="22" t="str">
        <f>HYPERLINK("mailto:idiez@crm.otsuka-europe.com", "idiez@crm.otsuka-europe.com")</f>
        <v>idiez@crm.otsuka-europe.com</v>
      </c>
      <c r="N1417" s="25">
        <v>46209.34746527778</v>
      </c>
      <c r="O1417" s="14" t="str">
        <f>HYPERLINK("https://otsuka-europe-crm.veevavault.com/ui/#object/email_activity__v/V8C000000043254", "EN-002102166")</f>
        <v>EN-002102166</v>
      </c>
    </row>
    <row r="1418" spans="1:15" ht="16" x14ac:dyDescent="0.2">
      <c r="A1418" s="26"/>
      <c r="B1418" s="26"/>
      <c r="C1418" s="26"/>
      <c r="D1418" s="26"/>
      <c r="E1418" s="26"/>
      <c r="F1418" s="26"/>
      <c r="G1418" s="26"/>
      <c r="H1418" s="26"/>
      <c r="I1418" s="26"/>
      <c r="J1418" s="26"/>
      <c r="K1418" s="26"/>
      <c r="L1418" s="26"/>
      <c r="M1418" s="26"/>
      <c r="N1418" s="26"/>
      <c r="O1418" s="14" t="str">
        <f>HYPERLINK("https://otsuka-europe-crm.veevavault.com/ui/#object/email_activity__v/V8C000000043362", "EN-002102274")</f>
        <v>EN-002102274</v>
      </c>
    </row>
    <row r="1419" spans="1:15" ht="16" x14ac:dyDescent="0.2">
      <c r="A1419" s="26"/>
      <c r="B1419" s="26"/>
      <c r="C1419" s="26"/>
      <c r="D1419" s="26"/>
      <c r="E1419" s="26"/>
      <c r="F1419" s="26"/>
      <c r="G1419" s="26"/>
      <c r="H1419" s="26"/>
      <c r="I1419" s="26"/>
      <c r="J1419" s="26"/>
      <c r="K1419" s="26"/>
      <c r="L1419" s="26"/>
      <c r="M1419" s="26"/>
      <c r="N1419" s="26"/>
      <c r="O1419" s="14" t="str">
        <f>HYPERLINK("https://otsuka-europe-crm.veevavault.com/ui/#object/email_activity__v/V8C000000044406", "EN-002102386")</f>
        <v>EN-002102386</v>
      </c>
    </row>
    <row r="1420" spans="1:15" ht="16" x14ac:dyDescent="0.2">
      <c r="A1420" s="19"/>
      <c r="B1420" s="19"/>
      <c r="C1420" s="19"/>
      <c r="D1420" s="19"/>
      <c r="E1420" s="19"/>
      <c r="F1420" s="19"/>
      <c r="G1420" s="19"/>
      <c r="H1420" s="19"/>
      <c r="I1420" s="19"/>
      <c r="J1420" s="19"/>
      <c r="K1420" s="19"/>
      <c r="L1420" s="19"/>
      <c r="M1420" s="19"/>
      <c r="N1420" s="19"/>
      <c r="O1420" s="14" t="str">
        <f>HYPERLINK("https://otsuka-europe-crm.veevavault.com/ui/#object/email_activity__v/V8C000000044419", "EN-002102433")</f>
        <v>EN-002102433</v>
      </c>
    </row>
    <row r="1421" spans="1:15" ht="64" x14ac:dyDescent="0.2">
      <c r="A1421" s="7" t="str">
        <f>HYPERLINK("https://otsuka-europe-crm.veevavault.com/ui/#object/account__v/V4TZ06G6O71T81W", "RUBEN VELASCO PILAR")</f>
        <v>RUBEN VELASCO PILAR</v>
      </c>
      <c r="B1421" s="7" t="str">
        <f>HYPERLINK("https://otsuka-europe-crm.veevavault.com/ui/#object/vcountry__v/VENZ000004SONF5", "ES")</f>
        <v>ES</v>
      </c>
      <c r="C1421" s="8" t="s">
        <v>39</v>
      </c>
      <c r="D142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21" s="10" t="str">
        <f>HYPERLINK("https://otsuka-europe-crm.veevavault.com/ui/#object/sent_email__v/VBL000000030106", "SE-001439492")</f>
        <v>SE-001439492</v>
      </c>
      <c r="F1421" s="11"/>
      <c r="G1421" s="12">
        <v>0</v>
      </c>
      <c r="H1421" s="12">
        <v>0</v>
      </c>
      <c r="I1421" s="12">
        <v>0</v>
      </c>
      <c r="J1421" s="11"/>
      <c r="K1421" s="12">
        <v>0</v>
      </c>
      <c r="L142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21" s="10" t="str">
        <f>HYPERLINK("mailto:idiez@crm.otsuka-europe.com", "idiez@crm.otsuka-europe.com")</f>
        <v>idiez@crm.otsuka-europe.com</v>
      </c>
      <c r="N1421" s="13">
        <v>46209.347500000003</v>
      </c>
      <c r="O1421" s="14" t="str">
        <f>HYPERLINK("https://otsuka-europe-crm.veevavault.com/ui/#object/email_activity__v/V8C000000043248", "EN-002102160")</f>
        <v>EN-002102160</v>
      </c>
    </row>
    <row r="1422" spans="1:15" ht="64" x14ac:dyDescent="0.2">
      <c r="A1422" s="7" t="str">
        <f>HYPERLINK("https://otsuka-europe-crm.veevavault.com/ui/#object/account__v/V4TZ06G6O71TC7P", "LUISA GEMMA SANCHEZ GARCIA")</f>
        <v>LUISA GEMMA SANCHEZ GARCIA</v>
      </c>
      <c r="B1422" s="7" t="str">
        <f>HYPERLINK("https://otsuka-europe-crm.veevavault.com/ui/#object/vcountry__v/VENZ000004SONF5", "ES")</f>
        <v>ES</v>
      </c>
      <c r="C1422" s="8" t="s">
        <v>39</v>
      </c>
      <c r="D142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22" s="10" t="str">
        <f>HYPERLINK("https://otsuka-europe-crm.veevavault.com/ui/#object/sent_email__v/VBL000000030107", "SE-001439493")</f>
        <v>SE-001439493</v>
      </c>
      <c r="F1422" s="11"/>
      <c r="G1422" s="12">
        <v>0</v>
      </c>
      <c r="H1422" s="12">
        <v>0</v>
      </c>
      <c r="I1422" s="12">
        <v>0</v>
      </c>
      <c r="J1422" s="11"/>
      <c r="K1422" s="12">
        <v>0</v>
      </c>
      <c r="L142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22" s="10" t="str">
        <f>HYPERLINK("mailto:idiez@crm.otsuka-europe.com", "idiez@crm.otsuka-europe.com")</f>
        <v>idiez@crm.otsuka-europe.com</v>
      </c>
      <c r="N1422" s="13">
        <v>46209.34746527778</v>
      </c>
      <c r="O1422" s="14" t="str">
        <f>HYPERLINK("https://otsuka-europe-crm.veevavault.com/ui/#object/email_activity__v/V8C000000043255", "EN-002102167")</f>
        <v>EN-002102167</v>
      </c>
    </row>
    <row r="1423" spans="1:15" ht="64" x14ac:dyDescent="0.2">
      <c r="A1423" s="7" t="str">
        <f>HYPERLINK("https://otsuka-europe-crm.veevavault.com/ui/#object/account__v/V4TZ06G6O71T93Q", "MARIA BEGOÑA ALAGUERO DEL POZO")</f>
        <v>MARIA BEGOÑA ALAGUERO DEL POZO</v>
      </c>
      <c r="B1423" s="7" t="str">
        <f>HYPERLINK("https://otsuka-europe-crm.veevavault.com/ui/#object/vcountry__v/VENZ000004SONF5", "ES")</f>
        <v>ES</v>
      </c>
      <c r="C1423" s="8" t="s">
        <v>39</v>
      </c>
      <c r="D142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23" s="10" t="str">
        <f>HYPERLINK("https://otsuka-europe-crm.veevavault.com/ui/#object/sent_email__v/VBL000000030108", "SE-001439494")</f>
        <v>SE-001439494</v>
      </c>
      <c r="F1423" s="11"/>
      <c r="G1423" s="12">
        <v>0</v>
      </c>
      <c r="H1423" s="12">
        <v>0</v>
      </c>
      <c r="I1423" s="12">
        <v>0</v>
      </c>
      <c r="J1423" s="11"/>
      <c r="K1423" s="12">
        <v>0</v>
      </c>
      <c r="L142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23" s="10" t="str">
        <f>HYPERLINK("mailto:idiez@crm.otsuka-europe.com", "idiez@crm.otsuka-europe.com")</f>
        <v>idiez@crm.otsuka-europe.com</v>
      </c>
      <c r="N1423" s="13">
        <v>46209.347500000003</v>
      </c>
      <c r="O1423" s="14" t="str">
        <f>HYPERLINK("https://otsuka-europe-crm.veevavault.com/ui/#object/email_activity__v/V8C000000043249", "EN-002102161")</f>
        <v>EN-002102161</v>
      </c>
    </row>
    <row r="1424" spans="1:15" ht="64" x14ac:dyDescent="0.2">
      <c r="A1424" s="7" t="str">
        <f>HYPERLINK("https://otsuka-europe-crm.veevavault.com/ui/#object/account__v/V4TZ06G6O9VMVOR", "PAULO GARCIA GUTIERREZ")</f>
        <v>PAULO GARCIA GUTIERREZ</v>
      </c>
      <c r="B1424" s="7" t="str">
        <f>HYPERLINK("https://otsuka-europe-crm.veevavault.com/ui/#object/vcountry__v/VENZ000004SONF5", "ES")</f>
        <v>ES</v>
      </c>
      <c r="C1424" s="8" t="s">
        <v>39</v>
      </c>
      <c r="D142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24" s="10" t="str">
        <f>HYPERLINK("https://otsuka-europe-crm.veevavault.com/ui/#object/sent_email__v/VBL000000030109", "SE-001439495")</f>
        <v>SE-001439495</v>
      </c>
      <c r="F1424" s="11"/>
      <c r="G1424" s="12">
        <v>0</v>
      </c>
      <c r="H1424" s="12">
        <v>0</v>
      </c>
      <c r="I1424" s="12">
        <v>0</v>
      </c>
      <c r="J1424" s="11"/>
      <c r="K1424" s="12">
        <v>0</v>
      </c>
      <c r="L142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24" s="10" t="str">
        <f>HYPERLINK("mailto:idiez@crm.otsuka-europe.com", "idiez@crm.otsuka-europe.com")</f>
        <v>idiez@crm.otsuka-europe.com</v>
      </c>
      <c r="N1424" s="13">
        <v>46209.34747685185</v>
      </c>
      <c r="O1424" s="14" t="str">
        <f>HYPERLINK("https://otsuka-europe-crm.veevavault.com/ui/#object/email_activity__v/V8C000000043233", "EN-002102145")</f>
        <v>EN-002102145</v>
      </c>
    </row>
    <row r="1425" spans="1:15" ht="16" x14ac:dyDescent="0.2">
      <c r="A1425" s="18" t="str">
        <f>HYPERLINK("https://otsuka-europe-crm.veevavault.com/ui/#object/account__v/V4TZ06G6O9VM8CS", "IRENE GALINDO MARIN")</f>
        <v>IRENE GALINDO MARIN</v>
      </c>
      <c r="B1425" s="18" t="str">
        <f>HYPERLINK("https://otsuka-europe-crm.veevavault.com/ui/#object/vcountry__v/VENZ000004SONF5", "ES")</f>
        <v>ES</v>
      </c>
      <c r="C1425" s="20" t="s">
        <v>39</v>
      </c>
      <c r="D14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25" s="22" t="str">
        <f>HYPERLINK("https://otsuka-europe-crm.veevavault.com/ui/#object/sent_email__v/VBL000000030110", "SE-001439496")</f>
        <v>SE-001439496</v>
      </c>
      <c r="F1425" s="25">
        <v>46209.350983796299</v>
      </c>
      <c r="G1425" s="24">
        <v>1</v>
      </c>
      <c r="H1425" s="24">
        <v>2</v>
      </c>
      <c r="I1425" s="24">
        <v>1</v>
      </c>
      <c r="J1425" s="25">
        <v>46209.351180555554</v>
      </c>
      <c r="K1425" s="24">
        <v>1</v>
      </c>
      <c r="L14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25" s="22" t="str">
        <f>HYPERLINK("mailto:idiez@crm.otsuka-europe.com", "idiez@crm.otsuka-europe.com")</f>
        <v>idiez@crm.otsuka-europe.com</v>
      </c>
      <c r="N1425" s="25">
        <v>46209.34746527778</v>
      </c>
      <c r="O1425" s="14" t="str">
        <f>HYPERLINK("https://otsuka-europe-crm.veevavault.com/ui/#object/email_activity__v/V8C000000043259", "EN-002102171")</f>
        <v>EN-002102171</v>
      </c>
    </row>
    <row r="1426" spans="1:15" ht="16" x14ac:dyDescent="0.2">
      <c r="A1426" s="26"/>
      <c r="B1426" s="26"/>
      <c r="C1426" s="26"/>
      <c r="D1426" s="26"/>
      <c r="E1426" s="26"/>
      <c r="F1426" s="26"/>
      <c r="G1426" s="26"/>
      <c r="H1426" s="26"/>
      <c r="I1426" s="26"/>
      <c r="J1426" s="26"/>
      <c r="K1426" s="26"/>
      <c r="L1426" s="26"/>
      <c r="M1426" s="26"/>
      <c r="N1426" s="26"/>
      <c r="O1426" s="14" t="str">
        <f>HYPERLINK("https://otsuka-europe-crm.veevavault.com/ui/#object/email_activity__v/V8C000000043360", "EN-002102272")</f>
        <v>EN-002102272</v>
      </c>
    </row>
    <row r="1427" spans="1:15" ht="16" x14ac:dyDescent="0.2">
      <c r="A1427" s="26"/>
      <c r="B1427" s="26"/>
      <c r="C1427" s="26"/>
      <c r="D1427" s="26"/>
      <c r="E1427" s="26"/>
      <c r="F1427" s="26"/>
      <c r="G1427" s="26"/>
      <c r="H1427" s="26"/>
      <c r="I1427" s="26"/>
      <c r="J1427" s="26"/>
      <c r="K1427" s="26"/>
      <c r="L1427" s="26"/>
      <c r="M1427" s="26"/>
      <c r="N1427" s="26"/>
      <c r="O1427" s="14" t="str">
        <f>HYPERLINK("https://otsuka-europe-crm.veevavault.com/ui/#object/email_activity__v/V8C000000043361", "EN-002102273")</f>
        <v>EN-002102273</v>
      </c>
    </row>
    <row r="1428" spans="1:15" ht="16" x14ac:dyDescent="0.2">
      <c r="A1428" s="19"/>
      <c r="B1428" s="19"/>
      <c r="C1428" s="19"/>
      <c r="D1428" s="19"/>
      <c r="E1428" s="19"/>
      <c r="F1428" s="19"/>
      <c r="G1428" s="19"/>
      <c r="H1428" s="19"/>
      <c r="I1428" s="19"/>
      <c r="J1428" s="19"/>
      <c r="K1428" s="19"/>
      <c r="L1428" s="19"/>
      <c r="M1428" s="19"/>
      <c r="N1428" s="19"/>
      <c r="O1428" s="14" t="str">
        <f>HYPERLINK("https://otsuka-europe-crm.veevavault.com/ui/#object/email_activity__v/V8C000000044357", "EN-002102275")</f>
        <v>EN-002102275</v>
      </c>
    </row>
    <row r="1429" spans="1:15" ht="16" x14ac:dyDescent="0.2">
      <c r="A1429" s="18" t="str">
        <f>HYPERLINK("https://otsuka-europe-crm.veevavault.com/ui/#object/account__v/V4TZ06G6O71T9QW", "MARIA JOSE FERNANDEZ-REYES LUIS")</f>
        <v>MARIA JOSE FERNANDEZ-REYES LUIS</v>
      </c>
      <c r="B1429" s="18" t="str">
        <f>HYPERLINK("https://otsuka-europe-crm.veevavault.com/ui/#object/vcountry__v/VENZ000004SONF5", "ES")</f>
        <v>ES</v>
      </c>
      <c r="C1429" s="20" t="s">
        <v>39</v>
      </c>
      <c r="D142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29" s="22" t="str">
        <f>HYPERLINK("https://otsuka-europe-crm.veevavault.com/ui/#object/sent_email__v/VBL000000030111", "SE-001439497")</f>
        <v>SE-001439497</v>
      </c>
      <c r="F1429" s="25">
        <v>46209.634710648148</v>
      </c>
      <c r="G1429" s="24">
        <v>1</v>
      </c>
      <c r="H1429" s="24">
        <v>1</v>
      </c>
      <c r="I1429" s="24">
        <v>0</v>
      </c>
      <c r="J1429" s="23"/>
      <c r="K1429" s="24">
        <v>0</v>
      </c>
      <c r="L142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29" s="22" t="str">
        <f>HYPERLINK("mailto:idiez@crm.otsuka-europe.com", "idiez@crm.otsuka-europe.com")</f>
        <v>idiez@crm.otsuka-europe.com</v>
      </c>
      <c r="N1429" s="25">
        <v>46209.34747685185</v>
      </c>
      <c r="O1429" s="14" t="str">
        <f>HYPERLINK("https://otsuka-europe-crm.veevavault.com/ui/#object/email_activity__v/V8C000000043238", "EN-002102150")</f>
        <v>EN-002102150</v>
      </c>
    </row>
    <row r="1430" spans="1:15" ht="16" x14ac:dyDescent="0.2">
      <c r="A1430" s="19"/>
      <c r="B1430" s="19"/>
      <c r="C1430" s="19"/>
      <c r="D1430" s="19"/>
      <c r="E1430" s="19"/>
      <c r="F1430" s="19"/>
      <c r="G1430" s="19"/>
      <c r="H1430" s="19"/>
      <c r="I1430" s="19"/>
      <c r="J1430" s="19"/>
      <c r="K1430" s="19"/>
      <c r="L1430" s="19"/>
      <c r="M1430" s="19"/>
      <c r="N1430" s="19"/>
      <c r="O1430" s="14" t="str">
        <f>HYPERLINK("https://otsuka-europe-crm.veevavault.com/ui/#object/email_activity__v/V8C000000043512", "EN-002102558")</f>
        <v>EN-002102558</v>
      </c>
    </row>
    <row r="1431" spans="1:15" ht="64" x14ac:dyDescent="0.2">
      <c r="A1431" s="7" t="str">
        <f>HYPERLINK("https://otsuka-europe-crm.veevavault.com/ui/#object/account__v/V4T000000017510", "JACQUELINE EDITH APAZA CHAVEZ")</f>
        <v>JACQUELINE EDITH APAZA CHAVEZ</v>
      </c>
      <c r="B1431" s="7" t="str">
        <f>HYPERLINK("https://otsuka-europe-crm.veevavault.com/ui/#object/vcountry__v/VENZ000004SONF5", "ES")</f>
        <v>ES</v>
      </c>
      <c r="C1431" s="8" t="s">
        <v>39</v>
      </c>
      <c r="D143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1" s="10" t="str">
        <f>HYPERLINK("https://otsuka-europe-crm.veevavault.com/ui/#object/sent_email__v/VBL000000030112", "SE-001439498")</f>
        <v>SE-001439498</v>
      </c>
      <c r="F1431" s="11"/>
      <c r="G1431" s="12">
        <v>0</v>
      </c>
      <c r="H1431" s="12">
        <v>0</v>
      </c>
      <c r="I1431" s="12">
        <v>0</v>
      </c>
      <c r="J1431" s="11"/>
      <c r="K1431" s="12">
        <v>0</v>
      </c>
      <c r="L143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1" s="10" t="str">
        <f>HYPERLINK("mailto:idiez@crm.otsuka-europe.com", "idiez@crm.otsuka-europe.com")</f>
        <v>idiez@crm.otsuka-europe.com</v>
      </c>
      <c r="N1431" s="13">
        <v>46209.347500000003</v>
      </c>
      <c r="O1431" s="14" t="str">
        <f>HYPERLINK("https://otsuka-europe-crm.veevavault.com/ui/#object/email_activity__v/V8C000000043227", "EN-002102139")</f>
        <v>EN-002102139</v>
      </c>
    </row>
    <row r="1432" spans="1:15" ht="16" x14ac:dyDescent="0.2">
      <c r="A1432" s="18" t="str">
        <f>HYPERLINK("https://otsuka-europe-crm.veevavault.com/ui/#object/account__v/V4TZ06G6O71TAAJ", "MARIA ANGELES GOICOECHEA DIEZHANDINO")</f>
        <v>MARIA ANGELES GOICOECHEA DIEZHANDINO</v>
      </c>
      <c r="B1432" s="18" t="str">
        <f>HYPERLINK("https://otsuka-europe-crm.veevavault.com/ui/#object/vcountry__v/VENZ000004SONF5", "ES")</f>
        <v>ES</v>
      </c>
      <c r="C1432" s="20" t="s">
        <v>39</v>
      </c>
      <c r="D14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2" s="22" t="str">
        <f>HYPERLINK("https://otsuka-europe-crm.veevavault.com/ui/#object/sent_email__v/VBL000000030113", "SE-001439499")</f>
        <v>SE-001439499</v>
      </c>
      <c r="F1432" s="25">
        <v>46209.609965277778</v>
      </c>
      <c r="G1432" s="24">
        <v>1</v>
      </c>
      <c r="H1432" s="24">
        <v>1</v>
      </c>
      <c r="I1432" s="24">
        <v>0</v>
      </c>
      <c r="J1432" s="23"/>
      <c r="K1432" s="24">
        <v>0</v>
      </c>
      <c r="L14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2" s="22" t="str">
        <f>HYPERLINK("mailto:idiez@crm.otsuka-europe.com", "idiez@crm.otsuka-europe.com")</f>
        <v>idiez@crm.otsuka-europe.com</v>
      </c>
      <c r="N1432" s="25">
        <v>46209.34746527778</v>
      </c>
      <c r="O1432" s="14" t="str">
        <f>HYPERLINK("https://otsuka-europe-crm.veevavault.com/ui/#object/email_activity__v/V8C000000043273", "EN-002102185")</f>
        <v>EN-002102185</v>
      </c>
    </row>
    <row r="1433" spans="1:15" ht="16" x14ac:dyDescent="0.2">
      <c r="A1433" s="19"/>
      <c r="B1433" s="19"/>
      <c r="C1433" s="19"/>
      <c r="D1433" s="19"/>
      <c r="E1433" s="19"/>
      <c r="F1433" s="19"/>
      <c r="G1433" s="19"/>
      <c r="H1433" s="19"/>
      <c r="I1433" s="19"/>
      <c r="J1433" s="19"/>
      <c r="K1433" s="19"/>
      <c r="L1433" s="19"/>
      <c r="M1433" s="19"/>
      <c r="N1433" s="19"/>
      <c r="O1433" s="14" t="str">
        <f>HYPERLINK("https://otsuka-europe-crm.veevavault.com/ui/#object/email_activity__v/V8C000000044476", "EN-002102529")</f>
        <v>EN-002102529</v>
      </c>
    </row>
    <row r="1434" spans="1:15" ht="64" x14ac:dyDescent="0.2">
      <c r="A1434" s="7" t="str">
        <f>HYPERLINK("https://otsuka-europe-crm.veevavault.com/ui/#object/account__v/V4TZ06G6O71TAIN", "MARTIN JUAN CARLOS HERRERO BERRON")</f>
        <v>MARTIN JUAN CARLOS HERRERO BERRON</v>
      </c>
      <c r="B1434" s="7" t="str">
        <f>HYPERLINK("https://otsuka-europe-crm.veevavault.com/ui/#object/vcountry__v/VENZ000004SONF5", "ES")</f>
        <v>ES</v>
      </c>
      <c r="C1434" s="8" t="s">
        <v>39</v>
      </c>
      <c r="D143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4" s="10" t="str">
        <f>HYPERLINK("https://otsuka-europe-crm.veevavault.com/ui/#object/sent_email__v/VBL000000030114", "SE-001439500")</f>
        <v>SE-001439500</v>
      </c>
      <c r="F1434" s="11"/>
      <c r="G1434" s="12">
        <v>0</v>
      </c>
      <c r="H1434" s="12">
        <v>0</v>
      </c>
      <c r="I1434" s="12">
        <v>0</v>
      </c>
      <c r="J1434" s="11"/>
      <c r="K1434" s="12">
        <v>0</v>
      </c>
      <c r="L143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4" s="10" t="str">
        <f>HYPERLINK("mailto:idiez@crm.otsuka-europe.com", "idiez@crm.otsuka-europe.com")</f>
        <v>idiez@crm.otsuka-europe.com</v>
      </c>
      <c r="N1434" s="13">
        <v>46209.347500000003</v>
      </c>
      <c r="O1434" s="14" t="str">
        <f>HYPERLINK("https://otsuka-europe-crm.veevavault.com/ui/#object/email_activity__v/V8C000000043247", "EN-002102159")</f>
        <v>EN-002102159</v>
      </c>
    </row>
    <row r="1435" spans="1:15" ht="16" x14ac:dyDescent="0.2">
      <c r="A1435" s="18" t="str">
        <f>HYPERLINK("https://otsuka-europe-crm.veevavault.com/ui/#object/account__v/V4TZ06G6O71T75C", "MARIA MOYA GARCIA-RENEDO")</f>
        <v>MARIA MOYA GARCIA-RENEDO</v>
      </c>
      <c r="B1435" s="18" t="str">
        <f>HYPERLINK("https://otsuka-europe-crm.veevavault.com/ui/#object/vcountry__v/VENZ000004SONF5", "ES")</f>
        <v>ES</v>
      </c>
      <c r="C1435" s="20" t="s">
        <v>39</v>
      </c>
      <c r="D14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5" s="22" t="str">
        <f>HYPERLINK("https://otsuka-europe-crm.veevavault.com/ui/#object/sent_email__v/VBL000000030115", "SE-001439501")</f>
        <v>SE-001439501</v>
      </c>
      <c r="F1435" s="25">
        <v>46209.347569444442</v>
      </c>
      <c r="G1435" s="24">
        <v>1</v>
      </c>
      <c r="H1435" s="24">
        <v>1</v>
      </c>
      <c r="I1435" s="24">
        <v>0</v>
      </c>
      <c r="J1435" s="23"/>
      <c r="K1435" s="24">
        <v>0</v>
      </c>
      <c r="L14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5" s="22" t="str">
        <f>HYPERLINK("mailto:idiez@crm.otsuka-europe.com", "idiez@crm.otsuka-europe.com")</f>
        <v>idiez@crm.otsuka-europe.com</v>
      </c>
      <c r="N1435" s="25">
        <v>46209.34746527778</v>
      </c>
      <c r="O1435" s="14" t="str">
        <f>HYPERLINK("https://otsuka-europe-crm.veevavault.com/ui/#object/email_activity__v/V8C000000043225", "EN-002102137")</f>
        <v>EN-002102137</v>
      </c>
    </row>
    <row r="1436" spans="1:15" ht="16" x14ac:dyDescent="0.2">
      <c r="A1436" s="19"/>
      <c r="B1436" s="19"/>
      <c r="C1436" s="19"/>
      <c r="D1436" s="19"/>
      <c r="E1436" s="19"/>
      <c r="F1436" s="19"/>
      <c r="G1436" s="19"/>
      <c r="H1436" s="19"/>
      <c r="I1436" s="19"/>
      <c r="J1436" s="19"/>
      <c r="K1436" s="19"/>
      <c r="L1436" s="19"/>
      <c r="M1436" s="19"/>
      <c r="N1436" s="19"/>
      <c r="O1436" s="14" t="str">
        <f>HYPERLINK("https://otsuka-europe-crm.veevavault.com/ui/#object/email_activity__v/V8C000000043278", "EN-002102190")</f>
        <v>EN-002102190</v>
      </c>
    </row>
    <row r="1437" spans="1:15" ht="64" x14ac:dyDescent="0.2">
      <c r="A1437" s="7" t="str">
        <f>HYPERLINK("https://otsuka-europe-crm.veevavault.com/ui/#object/account__v/V4TZ06G6O71TBU5", "PATROCINIO RODRIGUEZ BENITEZ")</f>
        <v>PATROCINIO RODRIGUEZ BENITEZ</v>
      </c>
      <c r="B1437" s="7" t="str">
        <f>HYPERLINK("https://otsuka-europe-crm.veevavault.com/ui/#object/vcountry__v/VENZ000004SONF5", "ES")</f>
        <v>ES</v>
      </c>
      <c r="C1437" s="8" t="s">
        <v>39</v>
      </c>
      <c r="D143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7" s="10" t="str">
        <f>HYPERLINK("https://otsuka-europe-crm.veevavault.com/ui/#object/sent_email__v/VBL000000030116", "SE-001439502")</f>
        <v>SE-001439502</v>
      </c>
      <c r="F1437" s="11"/>
      <c r="G1437" s="12">
        <v>0</v>
      </c>
      <c r="H1437" s="12">
        <v>0</v>
      </c>
      <c r="I1437" s="12">
        <v>0</v>
      </c>
      <c r="J1437" s="11"/>
      <c r="K1437" s="12">
        <v>0</v>
      </c>
      <c r="L143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7" s="10" t="str">
        <f>HYPERLINK("mailto:idiez@crm.otsuka-europe.com", "idiez@crm.otsuka-europe.com")</f>
        <v>idiez@crm.otsuka-europe.com</v>
      </c>
      <c r="N1437" s="13">
        <v>46209.347500000003</v>
      </c>
      <c r="O1437" s="14" t="str">
        <f>HYPERLINK("https://otsuka-europe-crm.veevavault.com/ui/#object/email_activity__v/V8C000000043228", "EN-002102140")</f>
        <v>EN-002102140</v>
      </c>
    </row>
    <row r="1438" spans="1:15" ht="64" x14ac:dyDescent="0.2">
      <c r="A1438" s="7" t="str">
        <f>HYPERLINK("https://otsuka-europe-crm.veevavault.com/ui/#object/account__v/V4TZ06G6O71T9RY", "YOLANDA HERNANDEZ HERNANDEZ")</f>
        <v>YOLANDA HERNANDEZ HERNANDEZ</v>
      </c>
      <c r="B1438" s="7" t="str">
        <f>HYPERLINK("https://otsuka-europe-crm.veevavault.com/ui/#object/vcountry__v/VENZ000004SONF5", "ES")</f>
        <v>ES</v>
      </c>
      <c r="C1438" s="8" t="s">
        <v>39</v>
      </c>
      <c r="D143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8" s="10" t="str">
        <f>HYPERLINK("https://otsuka-europe-crm.veevavault.com/ui/#object/sent_email__v/VBL000000030117", "SE-001439503")</f>
        <v>SE-001439503</v>
      </c>
      <c r="F1438" s="11"/>
      <c r="G1438" s="12">
        <v>0</v>
      </c>
      <c r="H1438" s="12">
        <v>0</v>
      </c>
      <c r="I1438" s="12">
        <v>0</v>
      </c>
      <c r="J1438" s="11"/>
      <c r="K1438" s="12">
        <v>0</v>
      </c>
      <c r="L143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8" s="10" t="str">
        <f>HYPERLINK("mailto:idiez@crm.otsuka-europe.com", "idiez@crm.otsuka-europe.com")</f>
        <v>idiez@crm.otsuka-europe.com</v>
      </c>
      <c r="N1438" s="13">
        <v>46209.34746527778</v>
      </c>
      <c r="O1438" s="14" t="str">
        <f>HYPERLINK("https://otsuka-europe-crm.veevavault.com/ui/#object/email_activity__v/V8C000000043216", "EN-002102128")</f>
        <v>EN-002102128</v>
      </c>
    </row>
    <row r="1439" spans="1:15" ht="64" x14ac:dyDescent="0.2">
      <c r="A1439" s="7" t="str">
        <f>HYPERLINK("https://otsuka-europe-crm.veevavault.com/ui/#object/account__v/V4TZ06G6O71T8XZ", "ROBERTO ALCAZAR ARROYO")</f>
        <v>ROBERTO ALCAZAR ARROYO</v>
      </c>
      <c r="B1439" s="7" t="str">
        <f>HYPERLINK("https://otsuka-europe-crm.veevavault.com/ui/#object/vcountry__v/VENZ000004SONF5", "ES")</f>
        <v>ES</v>
      </c>
      <c r="C1439" s="8" t="s">
        <v>39</v>
      </c>
      <c r="D143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39" s="10" t="str">
        <f>HYPERLINK("https://otsuka-europe-crm.veevavault.com/ui/#object/sent_email__v/VBL000000030118", "SE-001439504")</f>
        <v>SE-001439504</v>
      </c>
      <c r="F1439" s="11"/>
      <c r="G1439" s="12">
        <v>0</v>
      </c>
      <c r="H1439" s="12">
        <v>0</v>
      </c>
      <c r="I1439" s="12">
        <v>0</v>
      </c>
      <c r="J1439" s="11"/>
      <c r="K1439" s="12">
        <v>0</v>
      </c>
      <c r="L143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39" s="10" t="str">
        <f>HYPERLINK("mailto:idiez@crm.otsuka-europe.com", "idiez@crm.otsuka-europe.com")</f>
        <v>idiez@crm.otsuka-europe.com</v>
      </c>
      <c r="N1439" s="13">
        <v>46209.34746527778</v>
      </c>
      <c r="O1439" s="14" t="str">
        <f>HYPERLINK("https://otsuka-europe-crm.veevavault.com/ui/#object/email_activity__v/V8C000000043258", "EN-002102170")</f>
        <v>EN-002102170</v>
      </c>
    </row>
    <row r="1440" spans="1:15" ht="16" x14ac:dyDescent="0.2">
      <c r="A1440" s="18" t="str">
        <f>HYPERLINK("https://otsuka-europe-crm.veevavault.com/ui/#object/account__v/V4TZ06G6O71TBM9", "ANA PEREZ DE JOSE")</f>
        <v>ANA PEREZ DE JOSE</v>
      </c>
      <c r="B1440" s="18" t="str">
        <f>HYPERLINK("https://otsuka-europe-crm.veevavault.com/ui/#object/vcountry__v/VENZ000004SONF5", "ES")</f>
        <v>ES</v>
      </c>
      <c r="C1440" s="20" t="s">
        <v>39</v>
      </c>
      <c r="D144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0" s="22" t="str">
        <f>HYPERLINK("https://otsuka-europe-crm.veevavault.com/ui/#object/sent_email__v/VBL000000030119", "SE-001439505")</f>
        <v>SE-001439505</v>
      </c>
      <c r="F1440" s="23"/>
      <c r="G1440" s="24">
        <v>0</v>
      </c>
      <c r="H1440" s="24">
        <v>0</v>
      </c>
      <c r="I1440" s="24">
        <v>0</v>
      </c>
      <c r="J1440" s="23"/>
      <c r="K1440" s="24">
        <v>0</v>
      </c>
      <c r="L144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0" s="22" t="str">
        <f>HYPERLINK("mailto:idiez@crm.otsuka-europe.com", "idiez@crm.otsuka-europe.com")</f>
        <v>idiez@crm.otsuka-europe.com</v>
      </c>
      <c r="N1440" s="25">
        <v>46209.348495370374</v>
      </c>
      <c r="O1440" s="14" t="str">
        <f>HYPERLINK("https://otsuka-europe-crm.veevavault.com/ui/#object/email_activity__v/V8C000000043304", "EN-002102216")</f>
        <v>EN-002102216</v>
      </c>
    </row>
    <row r="1441" spans="1:15" ht="16" x14ac:dyDescent="0.2">
      <c r="A1441" s="19"/>
      <c r="B1441" s="19"/>
      <c r="C1441" s="19"/>
      <c r="D1441" s="19"/>
      <c r="E1441" s="19"/>
      <c r="F1441" s="19"/>
      <c r="G1441" s="19"/>
      <c r="H1441" s="19"/>
      <c r="I1441" s="19"/>
      <c r="J1441" s="19"/>
      <c r="K1441" s="19"/>
      <c r="L1441" s="19"/>
      <c r="M1441" s="19"/>
      <c r="N1441" s="19"/>
      <c r="O1441" s="14" t="str">
        <f>HYPERLINK("https://otsuka-europe-crm.veevavault.com/ui/#object/email_activity__v/V8C000000043893", "EN-002103311")</f>
        <v>EN-002103311</v>
      </c>
    </row>
    <row r="1442" spans="1:15" ht="64" x14ac:dyDescent="0.2">
      <c r="A1442" s="7" t="str">
        <f>HYPERLINK("https://otsuka-europe-crm.veevavault.com/ui/#object/account__v/V4TZ06G6O71TABN", "BEATRIZ GIL-CASARES CASANOVA")</f>
        <v>BEATRIZ GIL-CASARES CASANOVA</v>
      </c>
      <c r="B1442" s="7" t="str">
        <f>HYPERLINK("https://otsuka-europe-crm.veevavault.com/ui/#object/vcountry__v/VENZ000004SONF5", "ES")</f>
        <v>ES</v>
      </c>
      <c r="C1442" s="8" t="s">
        <v>39</v>
      </c>
      <c r="D144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2" s="10" t="str">
        <f>HYPERLINK("https://otsuka-europe-crm.veevavault.com/ui/#object/sent_email__v/VBL000000030120", "SE-001439506")</f>
        <v>SE-001439506</v>
      </c>
      <c r="F1442" s="11"/>
      <c r="G1442" s="12">
        <v>0</v>
      </c>
      <c r="H1442" s="12">
        <v>0</v>
      </c>
      <c r="I1442" s="12">
        <v>0</v>
      </c>
      <c r="J1442" s="11"/>
      <c r="K1442" s="12">
        <v>0</v>
      </c>
      <c r="L144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2" s="10" t="str">
        <f>HYPERLINK("mailto:idiez@crm.otsuka-europe.com", "idiez@crm.otsuka-europe.com")</f>
        <v>idiez@crm.otsuka-europe.com</v>
      </c>
      <c r="N1442" s="13">
        <v>46209.348495370374</v>
      </c>
      <c r="O1442" s="14" t="str">
        <f>HYPERLINK("https://otsuka-europe-crm.veevavault.com/ui/#object/email_activity__v/V8C000000043297", "EN-002102209")</f>
        <v>EN-002102209</v>
      </c>
    </row>
    <row r="1443" spans="1:15" ht="16" x14ac:dyDescent="0.2">
      <c r="A1443" s="18" t="str">
        <f>HYPERLINK("https://otsuka-europe-crm.veevavault.com/ui/#object/account__v/V4TZ025E88UYM1E", "CARLOS LUIS MERIZALDE MOSCOSO")</f>
        <v>CARLOS LUIS MERIZALDE MOSCOSO</v>
      </c>
      <c r="B1443" s="18" t="str">
        <f>HYPERLINK("https://otsuka-europe-crm.veevavault.com/ui/#object/vcountry__v/VENZ000004SONF5", "ES")</f>
        <v>ES</v>
      </c>
      <c r="C1443" s="20" t="s">
        <v>39</v>
      </c>
      <c r="D144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3" s="22" t="str">
        <f>HYPERLINK("https://otsuka-europe-crm.veevavault.com/ui/#object/sent_email__v/VBL000000030121", "SE-001439507")</f>
        <v>SE-001439507</v>
      </c>
      <c r="F1443" s="23"/>
      <c r="G1443" s="24">
        <v>0</v>
      </c>
      <c r="H1443" s="24">
        <v>0</v>
      </c>
      <c r="I1443" s="24">
        <v>0</v>
      </c>
      <c r="J1443" s="23"/>
      <c r="K1443" s="24">
        <v>0</v>
      </c>
      <c r="L144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3" s="22" t="str">
        <f>HYPERLINK("mailto:idiez@crm.otsuka-europe.com", "idiez@crm.otsuka-europe.com")</f>
        <v>idiez@crm.otsuka-europe.com</v>
      </c>
      <c r="N1443" s="25">
        <v>46209.348541666666</v>
      </c>
      <c r="O1443" s="14" t="str">
        <f>HYPERLINK("https://otsuka-europe-crm.veevavault.com/ui/#object/email_activity__v/V8C000000043320", "EN-002102232")</f>
        <v>EN-002102232</v>
      </c>
    </row>
    <row r="1444" spans="1:15" ht="16" x14ac:dyDescent="0.2">
      <c r="A1444" s="19"/>
      <c r="B1444" s="19"/>
      <c r="C1444" s="19"/>
      <c r="D1444" s="19"/>
      <c r="E1444" s="19"/>
      <c r="F1444" s="19"/>
      <c r="G1444" s="19"/>
      <c r="H1444" s="19"/>
      <c r="I1444" s="19"/>
      <c r="J1444" s="19"/>
      <c r="K1444" s="19"/>
      <c r="L1444" s="19"/>
      <c r="M1444" s="19"/>
      <c r="N1444" s="19"/>
      <c r="O1444" s="14" t="str">
        <f>HYPERLINK("https://otsuka-europe-crm.veevavault.com/ui/#object/email_activity__v/V8C000000044445", "EN-002102469")</f>
        <v>EN-002102469</v>
      </c>
    </row>
    <row r="1445" spans="1:15" ht="64" x14ac:dyDescent="0.2">
      <c r="A1445" s="7" t="str">
        <f>HYPERLINK("https://otsuka-europe-crm.veevavault.com/ui/#object/account__v/V4TZ025E82IZMVQ", "ANA LUISA MARTINS DA SILVA")</f>
        <v>ANA LUISA MARTINS DA SILVA</v>
      </c>
      <c r="B1445" s="7" t="str">
        <f>HYPERLINK("https://otsuka-europe-crm.veevavault.com/ui/#object/vcountry__v/VENZ000004SONF5", "ES")</f>
        <v>ES</v>
      </c>
      <c r="C1445" s="8" t="s">
        <v>39</v>
      </c>
      <c r="D144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5" s="10" t="str">
        <f>HYPERLINK("https://otsuka-europe-crm.veevavault.com/ui/#object/sent_email__v/VBL000000030122", "SE-001439508")</f>
        <v>SE-001439508</v>
      </c>
      <c r="F1445" s="11"/>
      <c r="G1445" s="12">
        <v>0</v>
      </c>
      <c r="H1445" s="12">
        <v>0</v>
      </c>
      <c r="I1445" s="12">
        <v>0</v>
      </c>
      <c r="J1445" s="11"/>
      <c r="K1445" s="12">
        <v>0</v>
      </c>
      <c r="L144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5" s="10" t="str">
        <f>HYPERLINK("mailto:idiez@crm.otsuka-europe.com", "idiez@crm.otsuka-europe.com")</f>
        <v>idiez@crm.otsuka-europe.com</v>
      </c>
      <c r="N1445" s="13">
        <v>46209.348495370374</v>
      </c>
      <c r="O1445" s="14" t="str">
        <f>HYPERLINK("https://otsuka-europe-crm.veevavault.com/ui/#object/email_activity__v/V8C000000043313", "EN-002102225")</f>
        <v>EN-002102225</v>
      </c>
    </row>
    <row r="1446" spans="1:15" ht="64" x14ac:dyDescent="0.2">
      <c r="A1446" s="7" t="str">
        <f>HYPERLINK("https://otsuka-europe-crm.veevavault.com/ui/#object/account__v/V4TZ06G6O71T7H4", "DAVID ARROYO RUEDA")</f>
        <v>DAVID ARROYO RUEDA</v>
      </c>
      <c r="B1446" s="7" t="str">
        <f>HYPERLINK("https://otsuka-europe-crm.veevavault.com/ui/#object/vcountry__v/VENZ000004SONF5", "ES")</f>
        <v>ES</v>
      </c>
      <c r="C1446" s="8" t="s">
        <v>39</v>
      </c>
      <c r="D14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6" s="10" t="str">
        <f>HYPERLINK("https://otsuka-europe-crm.veevavault.com/ui/#object/sent_email__v/VBL000000030123", "SE-001439509")</f>
        <v>SE-001439509</v>
      </c>
      <c r="F1446" s="11"/>
      <c r="G1446" s="12">
        <v>0</v>
      </c>
      <c r="H1446" s="12">
        <v>0</v>
      </c>
      <c r="I1446" s="12">
        <v>0</v>
      </c>
      <c r="J1446" s="11"/>
      <c r="K1446" s="12">
        <v>0</v>
      </c>
      <c r="L14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6" s="10" t="str">
        <f>HYPERLINK("mailto:idiez@crm.otsuka-europe.com", "idiez@crm.otsuka-europe.com")</f>
        <v>idiez@crm.otsuka-europe.com</v>
      </c>
      <c r="N1446" s="13">
        <v>46209.348495370374</v>
      </c>
      <c r="O1446" s="14" t="str">
        <f>HYPERLINK("https://otsuka-europe-crm.veevavault.com/ui/#object/email_activity__v/V8C000000043298", "EN-002102210")</f>
        <v>EN-002102210</v>
      </c>
    </row>
    <row r="1447" spans="1:15" ht="64" x14ac:dyDescent="0.2">
      <c r="A1447" s="7" t="str">
        <f>HYPERLINK("https://otsuka-europe-crm.veevavault.com/ui/#object/account__v/V4TZ06G6O71TB53", "ALICIA MENDILUCE HERRERO")</f>
        <v>ALICIA MENDILUCE HERRERO</v>
      </c>
      <c r="B1447" s="7" t="str">
        <f>HYPERLINK("https://otsuka-europe-crm.veevavault.com/ui/#object/vcountry__v/VENZ000004SONF5", "ES")</f>
        <v>ES</v>
      </c>
      <c r="C1447" s="8" t="s">
        <v>39</v>
      </c>
      <c r="D144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7" s="10" t="str">
        <f>HYPERLINK("https://otsuka-europe-crm.veevavault.com/ui/#object/sent_email__v/VBL000000030124", "SE-001439510")</f>
        <v>SE-001439510</v>
      </c>
      <c r="F1447" s="11"/>
      <c r="G1447" s="12">
        <v>0</v>
      </c>
      <c r="H1447" s="12">
        <v>0</v>
      </c>
      <c r="I1447" s="12">
        <v>0</v>
      </c>
      <c r="J1447" s="11"/>
      <c r="K1447" s="12">
        <v>0</v>
      </c>
      <c r="L144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7" s="10" t="str">
        <f>HYPERLINK("mailto:idiez@crm.otsuka-europe.com", "idiez@crm.otsuka-europe.com")</f>
        <v>idiez@crm.otsuka-europe.com</v>
      </c>
      <c r="N1447" s="13">
        <v>46209.348495370374</v>
      </c>
      <c r="O1447" s="14" t="str">
        <f>HYPERLINK("https://otsuka-europe-crm.veevavault.com/ui/#object/email_activity__v/V8C000000043306", "EN-002102218")</f>
        <v>EN-002102218</v>
      </c>
    </row>
    <row r="1448" spans="1:15" ht="16" x14ac:dyDescent="0.2">
      <c r="A1448" s="18" t="str">
        <f>HYPERLINK("https://otsuka-europe-crm.veevavault.com/ui/#object/account__v/V4TZ06G6O71TC2K", "ESTHER RUBIO GONZALEZ")</f>
        <v>ESTHER RUBIO GONZALEZ</v>
      </c>
      <c r="B1448" s="18" t="str">
        <f>HYPERLINK("https://otsuka-europe-crm.veevavault.com/ui/#object/vcountry__v/VENZ000004SONF5", "ES")</f>
        <v>ES</v>
      </c>
      <c r="C1448" s="20" t="s">
        <v>39</v>
      </c>
      <c r="D144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48" s="22" t="str">
        <f>HYPERLINK("https://otsuka-europe-crm.veevavault.com/ui/#object/sent_email__v/VBL000000030125", "SE-001439511")</f>
        <v>SE-001439511</v>
      </c>
      <c r="F1448" s="25">
        <v>46209.360706018517</v>
      </c>
      <c r="G1448" s="24">
        <v>1</v>
      </c>
      <c r="H1448" s="24">
        <v>1</v>
      </c>
      <c r="I1448" s="24">
        <v>1</v>
      </c>
      <c r="J1448" s="25">
        <v>46209.360706018517</v>
      </c>
      <c r="K1448" s="24">
        <v>1</v>
      </c>
      <c r="L144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48" s="22" t="str">
        <f>HYPERLINK("mailto:idiez@crm.otsuka-europe.com", "idiez@crm.otsuka-europe.com")</f>
        <v>idiez@crm.otsuka-europe.com</v>
      </c>
      <c r="N1448" s="25">
        <v>46209.348495370374</v>
      </c>
      <c r="O1448" s="14" t="str">
        <f>HYPERLINK("https://otsuka-europe-crm.veevavault.com/ui/#object/email_activity__v/V8C000000043309", "EN-002102221")</f>
        <v>EN-002102221</v>
      </c>
    </row>
    <row r="1449" spans="1:15" ht="16" x14ac:dyDescent="0.2">
      <c r="A1449" s="26"/>
      <c r="B1449" s="26"/>
      <c r="C1449" s="26"/>
      <c r="D1449" s="26"/>
      <c r="E1449" s="26"/>
      <c r="F1449" s="26"/>
      <c r="G1449" s="26"/>
      <c r="H1449" s="26"/>
      <c r="I1449" s="26"/>
      <c r="J1449" s="26"/>
      <c r="K1449" s="26"/>
      <c r="L1449" s="26"/>
      <c r="M1449" s="26"/>
      <c r="N1449" s="26"/>
      <c r="O1449" s="14" t="str">
        <f>HYPERLINK("https://otsuka-europe-crm.veevavault.com/ui/#object/email_activity__v/V8C000000044383", "EN-002102346")</f>
        <v>EN-002102346</v>
      </c>
    </row>
    <row r="1450" spans="1:15" ht="16" x14ac:dyDescent="0.2">
      <c r="A1450" s="26"/>
      <c r="B1450" s="26"/>
      <c r="C1450" s="26"/>
      <c r="D1450" s="26"/>
      <c r="E1450" s="26"/>
      <c r="F1450" s="26"/>
      <c r="G1450" s="26"/>
      <c r="H1450" s="26"/>
      <c r="I1450" s="26"/>
      <c r="J1450" s="26"/>
      <c r="K1450" s="26"/>
      <c r="L1450" s="26"/>
      <c r="M1450" s="26"/>
      <c r="N1450" s="26"/>
      <c r="O1450" s="14" t="str">
        <f>HYPERLINK("https://otsuka-europe-crm.veevavault.com/ui/#object/email_activity__v/V8C000000044384", "EN-002102345")</f>
        <v>EN-002102345</v>
      </c>
    </row>
    <row r="1451" spans="1:15" ht="16" x14ac:dyDescent="0.2">
      <c r="A1451" s="19"/>
      <c r="B1451" s="19"/>
      <c r="C1451" s="19"/>
      <c r="D1451" s="19"/>
      <c r="E1451" s="19"/>
      <c r="F1451" s="19"/>
      <c r="G1451" s="19"/>
      <c r="H1451" s="19"/>
      <c r="I1451" s="19"/>
      <c r="J1451" s="19"/>
      <c r="K1451" s="19"/>
      <c r="L1451" s="19"/>
      <c r="M1451" s="19"/>
      <c r="N1451" s="19"/>
      <c r="O1451" s="14" t="str">
        <f>HYPERLINK("https://otsuka-europe-crm.veevavault.com/ui/#object/email_activity__v/V8C000000044399", "EN-002102373")</f>
        <v>EN-002102373</v>
      </c>
    </row>
    <row r="1452" spans="1:15" ht="16" x14ac:dyDescent="0.2">
      <c r="A1452" s="18" t="str">
        <f>HYPERLINK("https://otsuka-europe-crm.veevavault.com/ui/#object/account__v/V4TZ06G6O71WMJ0", "ANA ROCIO MUÑOZ SANCHEZ")</f>
        <v>ANA ROCIO MUÑOZ SANCHEZ</v>
      </c>
      <c r="B1452" s="18" t="str">
        <f>HYPERLINK("https://otsuka-europe-crm.veevavault.com/ui/#object/vcountry__v/VENZ000004SONF5", "ES")</f>
        <v>ES</v>
      </c>
      <c r="C1452" s="20" t="s">
        <v>39</v>
      </c>
      <c r="D14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52" s="22" t="str">
        <f>HYPERLINK("https://otsuka-europe-crm.veevavault.com/ui/#object/sent_email__v/VBL000000030126", "SE-001439512")</f>
        <v>SE-001439512</v>
      </c>
      <c r="F1452" s="25">
        <v>46209.387361111112</v>
      </c>
      <c r="G1452" s="24">
        <v>1</v>
      </c>
      <c r="H1452" s="24">
        <v>2</v>
      </c>
      <c r="I1452" s="24">
        <v>0</v>
      </c>
      <c r="J1452" s="23"/>
      <c r="K1452" s="24">
        <v>0</v>
      </c>
      <c r="L14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52" s="22" t="str">
        <f>HYPERLINK("mailto:idiez@crm.otsuka-europe.com", "idiez@crm.otsuka-europe.com")</f>
        <v>idiez@crm.otsuka-europe.com</v>
      </c>
      <c r="N1452" s="25">
        <v>46209.348495370374</v>
      </c>
      <c r="O1452" s="14" t="str">
        <f>HYPERLINK("https://otsuka-europe-crm.veevavault.com/ui/#object/email_activity__v/V8C000000043308", "EN-002102220")</f>
        <v>EN-002102220</v>
      </c>
    </row>
    <row r="1453" spans="1:15" ht="16" x14ac:dyDescent="0.2">
      <c r="A1453" s="26"/>
      <c r="B1453" s="26"/>
      <c r="C1453" s="26"/>
      <c r="D1453" s="26"/>
      <c r="E1453" s="26"/>
      <c r="F1453" s="26"/>
      <c r="G1453" s="26"/>
      <c r="H1453" s="26"/>
      <c r="I1453" s="26"/>
      <c r="J1453" s="26"/>
      <c r="K1453" s="26"/>
      <c r="L1453" s="26"/>
      <c r="M1453" s="26"/>
      <c r="N1453" s="26"/>
      <c r="O1453" s="14" t="str">
        <f>HYPERLINK("https://otsuka-europe-crm.veevavault.com/ui/#object/email_activity__v/V8C000000044402", "EN-002102379")</f>
        <v>EN-002102379</v>
      </c>
    </row>
    <row r="1454" spans="1:15" ht="16" x14ac:dyDescent="0.2">
      <c r="A1454" s="26"/>
      <c r="B1454" s="26"/>
      <c r="C1454" s="26"/>
      <c r="D1454" s="26"/>
      <c r="E1454" s="26"/>
      <c r="F1454" s="26"/>
      <c r="G1454" s="26"/>
      <c r="H1454" s="26"/>
      <c r="I1454" s="26"/>
      <c r="J1454" s="26"/>
      <c r="K1454" s="26"/>
      <c r="L1454" s="26"/>
      <c r="M1454" s="26"/>
      <c r="N1454" s="26"/>
      <c r="O1454" s="14" t="str">
        <f>HYPERLINK("https://otsuka-europe-crm.veevavault.com/ui/#object/email_activity__v/V8C000000044403", "EN-002102380")</f>
        <v>EN-002102380</v>
      </c>
    </row>
    <row r="1455" spans="1:15" ht="16" x14ac:dyDescent="0.2">
      <c r="A1455" s="19"/>
      <c r="B1455" s="19"/>
      <c r="C1455" s="19"/>
      <c r="D1455" s="19"/>
      <c r="E1455" s="19"/>
      <c r="F1455" s="19"/>
      <c r="G1455" s="19"/>
      <c r="H1455" s="19"/>
      <c r="I1455" s="19"/>
      <c r="J1455" s="19"/>
      <c r="K1455" s="19"/>
      <c r="L1455" s="19"/>
      <c r="M1455" s="19"/>
      <c r="N1455" s="19"/>
      <c r="O1455" s="14" t="str">
        <f>HYPERLINK("https://otsuka-europe-crm.veevavault.com/ui/#object/email_activity__v/V8C000000044521", "EN-002102618")</f>
        <v>EN-002102618</v>
      </c>
    </row>
    <row r="1456" spans="1:15" ht="64" x14ac:dyDescent="0.2">
      <c r="A1456" s="7" t="str">
        <f>HYPERLINK("https://otsuka-europe-crm.veevavault.com/ui/#object/account__v/V4TZ06G6OB40QZC", "EMINA PERVAN GONZALEZ")</f>
        <v>EMINA PERVAN GONZALEZ</v>
      </c>
      <c r="B1456" s="7" t="str">
        <f>HYPERLINK("https://otsuka-europe-crm.veevavault.com/ui/#object/vcountry__v/VENZ000004SONF5", "ES")</f>
        <v>ES</v>
      </c>
      <c r="C1456" s="8" t="s">
        <v>39</v>
      </c>
      <c r="D145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56" s="10" t="str">
        <f>HYPERLINK("https://otsuka-europe-crm.veevavault.com/ui/#object/sent_email__v/VBL000000030127", "SE-001439513")</f>
        <v>SE-001439513</v>
      </c>
      <c r="F1456" s="11"/>
      <c r="G1456" s="12">
        <v>0</v>
      </c>
      <c r="H1456" s="12">
        <v>0</v>
      </c>
      <c r="I1456" s="12">
        <v>0</v>
      </c>
      <c r="J1456" s="11"/>
      <c r="K1456" s="12">
        <v>0</v>
      </c>
      <c r="L145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56" s="10" t="str">
        <f>HYPERLINK("mailto:idiez@crm.otsuka-europe.com", "idiez@crm.otsuka-europe.com")</f>
        <v>idiez@crm.otsuka-europe.com</v>
      </c>
      <c r="N1456" s="13">
        <v>46209.348495370374</v>
      </c>
      <c r="O1456" s="14" t="str">
        <f>HYPERLINK("https://otsuka-europe-crm.veevavault.com/ui/#object/email_activity__v/V8C000000043302", "EN-002102214")</f>
        <v>EN-002102214</v>
      </c>
    </row>
    <row r="1457" spans="1:15" ht="64" x14ac:dyDescent="0.2">
      <c r="A1457" s="7" t="str">
        <f>HYPERLINK("https://otsuka-europe-crm.veevavault.com/ui/#object/account__v/V4TZ04ASG99APL3", "AVINASH CHANDU NANWANI")</f>
        <v>AVINASH CHANDU NANWANI</v>
      </c>
      <c r="B1457" s="7" t="str">
        <f>HYPERLINK("https://otsuka-europe-crm.veevavault.com/ui/#object/vcountry__v/VENZ000004SONF5", "ES")</f>
        <v>ES</v>
      </c>
      <c r="C1457" s="8" t="s">
        <v>39</v>
      </c>
      <c r="D145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57" s="10" t="str">
        <f>HYPERLINK("https://otsuka-europe-crm.veevavault.com/ui/#object/sent_email__v/VBL000000030128", "SE-001439514")</f>
        <v>SE-001439514</v>
      </c>
      <c r="F1457" s="11"/>
      <c r="G1457" s="12">
        <v>0</v>
      </c>
      <c r="H1457" s="12">
        <v>0</v>
      </c>
      <c r="I1457" s="12">
        <v>0</v>
      </c>
      <c r="J1457" s="11"/>
      <c r="K1457" s="12">
        <v>0</v>
      </c>
      <c r="L145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57" s="10" t="str">
        <f>HYPERLINK("mailto:idiez@crm.otsuka-europe.com", "idiez@crm.otsuka-europe.com")</f>
        <v>idiez@crm.otsuka-europe.com</v>
      </c>
      <c r="N1457" s="13">
        <v>46209.348495370374</v>
      </c>
      <c r="O1457" s="14" t="str">
        <f>HYPERLINK("https://otsuka-europe-crm.veevavault.com/ui/#object/email_activity__v/V8C000000043288", "EN-002102200")</f>
        <v>EN-002102200</v>
      </c>
    </row>
    <row r="1458" spans="1:15" ht="64" x14ac:dyDescent="0.2">
      <c r="A1458" s="7" t="str">
        <f>HYPERLINK("https://otsuka-europe-crm.veevavault.com/ui/#object/account__v/V4TZ06G6O8S5LD1", "ANA MARIA GARCIA PRIETO")</f>
        <v>ANA MARIA GARCIA PRIETO</v>
      </c>
      <c r="B1458" s="7" t="str">
        <f>HYPERLINK("https://otsuka-europe-crm.veevavault.com/ui/#object/vcountry__v/VENZ000004SONF5", "ES")</f>
        <v>ES</v>
      </c>
      <c r="C1458" s="8" t="s">
        <v>39</v>
      </c>
      <c r="D145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58" s="10" t="str">
        <f>HYPERLINK("https://otsuka-europe-crm.veevavault.com/ui/#object/sent_email__v/VBL000000030129", "SE-001439515")</f>
        <v>SE-001439515</v>
      </c>
      <c r="F1458" s="11"/>
      <c r="G1458" s="12">
        <v>0</v>
      </c>
      <c r="H1458" s="12">
        <v>0</v>
      </c>
      <c r="I1458" s="12">
        <v>0</v>
      </c>
      <c r="J1458" s="11"/>
      <c r="K1458" s="12">
        <v>0</v>
      </c>
      <c r="L145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58" s="10" t="str">
        <f>HYPERLINK("mailto:idiez@crm.otsuka-europe.com", "idiez@crm.otsuka-europe.com")</f>
        <v>idiez@crm.otsuka-europe.com</v>
      </c>
      <c r="N1458" s="13">
        <v>46209.348495370374</v>
      </c>
      <c r="O1458" s="14" t="str">
        <f>HYPERLINK("https://otsuka-europe-crm.veevavault.com/ui/#object/email_activity__v/V8C000000043284", "EN-002102196")</f>
        <v>EN-002102196</v>
      </c>
    </row>
    <row r="1459" spans="1:15" ht="64" x14ac:dyDescent="0.2">
      <c r="A1459" s="7" t="str">
        <f>HYPERLINK("https://otsuka-europe-crm.veevavault.com/ui/#object/account__v/V4TZ06G6O71TCGQ", "EDUARDO VERDE MORENO")</f>
        <v>EDUARDO VERDE MORENO</v>
      </c>
      <c r="B1459" s="7" t="str">
        <f>HYPERLINK("https://otsuka-europe-crm.veevavault.com/ui/#object/vcountry__v/VENZ000004SONF5", "ES")</f>
        <v>ES</v>
      </c>
      <c r="C1459" s="8" t="s">
        <v>39</v>
      </c>
      <c r="D145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59" s="10" t="str">
        <f>HYPERLINK("https://otsuka-europe-crm.veevavault.com/ui/#object/sent_email__v/VBL000000030130", "SE-001439516")</f>
        <v>SE-001439516</v>
      </c>
      <c r="F1459" s="11"/>
      <c r="G1459" s="12">
        <v>0</v>
      </c>
      <c r="H1459" s="12">
        <v>0</v>
      </c>
      <c r="I1459" s="12">
        <v>0</v>
      </c>
      <c r="J1459" s="11"/>
      <c r="K1459" s="12">
        <v>0</v>
      </c>
      <c r="L145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59" s="10" t="str">
        <f>HYPERLINK("mailto:idiez@crm.otsuka-europe.com", "idiez@crm.otsuka-europe.com")</f>
        <v>idiez@crm.otsuka-europe.com</v>
      </c>
      <c r="N1459" s="13">
        <v>46209.348495370374</v>
      </c>
      <c r="O1459" s="14" t="str">
        <f>HYPERLINK("https://otsuka-europe-crm.veevavault.com/ui/#object/email_activity__v/V8C000000043289", "EN-002102201")</f>
        <v>EN-002102201</v>
      </c>
    </row>
    <row r="1460" spans="1:15" ht="16" x14ac:dyDescent="0.2">
      <c r="A1460" s="18" t="str">
        <f>HYPERLINK("https://otsuka-europe-crm.veevavault.com/ui/#object/account__v/V4TZ06G6O71TCDC", "ANTONIO CIRUGEDA GARCIA")</f>
        <v>ANTONIO CIRUGEDA GARCIA</v>
      </c>
      <c r="B1460" s="18" t="str">
        <f>HYPERLINK("https://otsuka-europe-crm.veevavault.com/ui/#object/vcountry__v/VENZ000004SONF5", "ES")</f>
        <v>ES</v>
      </c>
      <c r="C1460" s="20" t="s">
        <v>39</v>
      </c>
      <c r="D146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60" s="22" t="str">
        <f>HYPERLINK("https://otsuka-europe-crm.veevavault.com/ui/#object/sent_email__v/VBL000000030131", "SE-001439517")</f>
        <v>SE-001439517</v>
      </c>
      <c r="F1460" s="25">
        <v>46209.721516203703</v>
      </c>
      <c r="G1460" s="24">
        <v>1</v>
      </c>
      <c r="H1460" s="24">
        <v>1</v>
      </c>
      <c r="I1460" s="24">
        <v>1</v>
      </c>
      <c r="J1460" s="25">
        <v>46209.721747685187</v>
      </c>
      <c r="K1460" s="24">
        <v>1</v>
      </c>
      <c r="L146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60" s="22" t="str">
        <f>HYPERLINK("mailto:idiez@crm.otsuka-europe.com", "idiez@crm.otsuka-europe.com")</f>
        <v>idiez@crm.otsuka-europe.com</v>
      </c>
      <c r="N1460" s="25">
        <v>46209.348495370374</v>
      </c>
      <c r="O1460" s="14" t="str">
        <f>HYPERLINK("https://otsuka-europe-crm.veevavault.com/ui/#object/email_activity__v/V8C000000043292", "EN-002102204")</f>
        <v>EN-002102204</v>
      </c>
    </row>
    <row r="1461" spans="1:15" ht="16" x14ac:dyDescent="0.2">
      <c r="A1461" s="26"/>
      <c r="B1461" s="26"/>
      <c r="C1461" s="26"/>
      <c r="D1461" s="26"/>
      <c r="E1461" s="26"/>
      <c r="F1461" s="26"/>
      <c r="G1461" s="26"/>
      <c r="H1461" s="26"/>
      <c r="I1461" s="26"/>
      <c r="J1461" s="26"/>
      <c r="K1461" s="26"/>
      <c r="L1461" s="26"/>
      <c r="M1461" s="26"/>
      <c r="N1461" s="26"/>
      <c r="O1461" s="14" t="str">
        <f>HYPERLINK("https://otsuka-europe-crm.veevavault.com/ui/#object/email_activity__v/V8C000000044501", "EN-002102576")</f>
        <v>EN-002102576</v>
      </c>
    </row>
    <row r="1462" spans="1:15" ht="16" x14ac:dyDescent="0.2">
      <c r="A1462" s="19"/>
      <c r="B1462" s="19"/>
      <c r="C1462" s="19"/>
      <c r="D1462" s="19"/>
      <c r="E1462" s="19"/>
      <c r="F1462" s="19"/>
      <c r="G1462" s="19"/>
      <c r="H1462" s="19"/>
      <c r="I1462" s="19"/>
      <c r="J1462" s="19"/>
      <c r="K1462" s="19"/>
      <c r="L1462" s="19"/>
      <c r="M1462" s="19"/>
      <c r="N1462" s="19"/>
      <c r="O1462" s="14" t="str">
        <f>HYPERLINK("https://otsuka-europe-crm.veevavault.com/ui/#object/email_activity__v/V8C000000044502", "EN-002102577")</f>
        <v>EN-002102577</v>
      </c>
    </row>
    <row r="1463" spans="1:15" ht="16" x14ac:dyDescent="0.2">
      <c r="A1463" s="18" t="str">
        <f>HYPERLINK("https://otsuka-europe-crm.veevavault.com/ui/#object/account__v/V4TZ06G6O71TBFC", "ALVARO NAVA REBOLLO")</f>
        <v>ALVARO NAVA REBOLLO</v>
      </c>
      <c r="B1463" s="18" t="str">
        <f>HYPERLINK("https://otsuka-europe-crm.veevavault.com/ui/#object/vcountry__v/VENZ000004SONF5", "ES")</f>
        <v>ES</v>
      </c>
      <c r="C1463" s="20" t="s">
        <v>39</v>
      </c>
      <c r="D146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63" s="22" t="str">
        <f>HYPERLINK("https://otsuka-europe-crm.veevavault.com/ui/#object/sent_email__v/VBL000000030132", "SE-001439518")</f>
        <v>SE-001439518</v>
      </c>
      <c r="F1463" s="25">
        <v>46211.430671296293</v>
      </c>
      <c r="G1463" s="24">
        <v>1</v>
      </c>
      <c r="H1463" s="24">
        <v>2</v>
      </c>
      <c r="I1463" s="24">
        <v>0</v>
      </c>
      <c r="J1463" s="23"/>
      <c r="K1463" s="24">
        <v>0</v>
      </c>
      <c r="L146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63" s="22" t="str">
        <f>HYPERLINK("mailto:idiez@crm.otsuka-europe.com", "idiez@crm.otsuka-europe.com")</f>
        <v>idiez@crm.otsuka-europe.com</v>
      </c>
      <c r="N1463" s="25">
        <v>46209.348495370374</v>
      </c>
      <c r="O1463" s="14" t="str">
        <f>HYPERLINK("https://otsuka-europe-crm.veevavault.com/ui/#object/email_activity__v/V8C000000043303", "EN-002102215")</f>
        <v>EN-002102215</v>
      </c>
    </row>
    <row r="1464" spans="1:15" ht="16" x14ac:dyDescent="0.2">
      <c r="A1464" s="26"/>
      <c r="B1464" s="26"/>
      <c r="C1464" s="26"/>
      <c r="D1464" s="26"/>
      <c r="E1464" s="26"/>
      <c r="F1464" s="26"/>
      <c r="G1464" s="26"/>
      <c r="H1464" s="26"/>
      <c r="I1464" s="26"/>
      <c r="J1464" s="26"/>
      <c r="K1464" s="26"/>
      <c r="L1464" s="26"/>
      <c r="M1464" s="26"/>
      <c r="N1464" s="26"/>
      <c r="O1464" s="14" t="str">
        <f>HYPERLINK("https://otsuka-europe-crm.veevavault.com/ui/#object/email_activity__v/V8C000000043834", "EN-002103199")</f>
        <v>EN-002103199</v>
      </c>
    </row>
    <row r="1465" spans="1:15" ht="16" x14ac:dyDescent="0.2">
      <c r="A1465" s="19"/>
      <c r="B1465" s="19"/>
      <c r="C1465" s="19"/>
      <c r="D1465" s="19"/>
      <c r="E1465" s="19"/>
      <c r="F1465" s="19"/>
      <c r="G1465" s="19"/>
      <c r="H1465" s="19"/>
      <c r="I1465" s="19"/>
      <c r="J1465" s="19"/>
      <c r="K1465" s="19"/>
      <c r="L1465" s="19"/>
      <c r="M1465" s="19"/>
      <c r="N1465" s="19"/>
      <c r="O1465" s="14" t="str">
        <f>HYPERLINK("https://otsuka-europe-crm.veevavault.com/ui/#object/email_activity__v/V8C000000043835", "EN-002103200")</f>
        <v>EN-002103200</v>
      </c>
    </row>
    <row r="1466" spans="1:15" ht="16" x14ac:dyDescent="0.2">
      <c r="A1466" s="18" t="str">
        <f>HYPERLINK("https://otsuka-europe-crm.veevavault.com/ui/#object/account__v/V4TZ06G6O71T73X", "ELENA ASUNCION CORCHETE PRATS")</f>
        <v>ELENA ASUNCION CORCHETE PRATS</v>
      </c>
      <c r="B1466" s="18" t="str">
        <f>HYPERLINK("https://otsuka-europe-crm.veevavault.com/ui/#object/vcountry__v/VENZ000004SONF5", "ES")</f>
        <v>ES</v>
      </c>
      <c r="C1466" s="20" t="s">
        <v>39</v>
      </c>
      <c r="D146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66" s="22" t="str">
        <f>HYPERLINK("https://otsuka-europe-crm.veevavault.com/ui/#object/sent_email__v/VBL000000030133", "SE-001439519")</f>
        <v>SE-001439519</v>
      </c>
      <c r="F1466" s="23"/>
      <c r="G1466" s="24">
        <v>0</v>
      </c>
      <c r="H1466" s="24">
        <v>0</v>
      </c>
      <c r="I1466" s="24">
        <v>0</v>
      </c>
      <c r="J1466" s="23"/>
      <c r="K1466" s="24">
        <v>0</v>
      </c>
      <c r="L146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66" s="22" t="str">
        <f>HYPERLINK("mailto:idiez@crm.otsuka-europe.com", "idiez@crm.otsuka-europe.com")</f>
        <v>idiez@crm.otsuka-europe.com</v>
      </c>
      <c r="N1466" s="25">
        <v>46209.34847222222</v>
      </c>
      <c r="O1466" s="14" t="str">
        <f>HYPERLINK("https://otsuka-europe-crm.veevavault.com/ui/#object/email_activity__v/V8C000000043317", "EN-002102229")</f>
        <v>EN-002102229</v>
      </c>
    </row>
    <row r="1467" spans="1:15" ht="16" x14ac:dyDescent="0.2">
      <c r="A1467" s="19"/>
      <c r="B1467" s="19"/>
      <c r="C1467" s="19"/>
      <c r="D1467" s="19"/>
      <c r="E1467" s="19"/>
      <c r="F1467" s="19"/>
      <c r="G1467" s="19"/>
      <c r="H1467" s="19"/>
      <c r="I1467" s="19"/>
      <c r="J1467" s="19"/>
      <c r="K1467" s="19"/>
      <c r="L1467" s="19"/>
      <c r="M1467" s="19"/>
      <c r="N1467" s="19"/>
      <c r="O1467" s="14" t="str">
        <f>HYPERLINK("https://otsuka-europe-crm.veevavault.com/ui/#object/email_activity__v/V8C000000043550", "EN-002102634")</f>
        <v>EN-002102634</v>
      </c>
    </row>
    <row r="1468" spans="1:15" ht="64" x14ac:dyDescent="0.2">
      <c r="A1468" s="7" t="str">
        <f>HYPERLINK("https://otsuka-europe-crm.veevavault.com/ui/#object/account__v/V4TZ025E85H7OJN", "CLAUDIA MUÑOZ MARTINEZ")</f>
        <v>CLAUDIA MUÑOZ MARTINEZ</v>
      </c>
      <c r="B1468" s="7" t="str">
        <f>HYPERLINK("https://otsuka-europe-crm.veevavault.com/ui/#object/vcountry__v/VENZ000004SONF5", "ES")</f>
        <v>ES</v>
      </c>
      <c r="C1468" s="8" t="s">
        <v>39</v>
      </c>
      <c r="D146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68" s="10" t="str">
        <f>HYPERLINK("https://otsuka-europe-crm.veevavault.com/ui/#object/sent_email__v/VBL000000030134", "SE-001439520")</f>
        <v>SE-001439520</v>
      </c>
      <c r="F1468" s="11"/>
      <c r="G1468" s="12">
        <v>0</v>
      </c>
      <c r="H1468" s="12">
        <v>0</v>
      </c>
      <c r="I1468" s="12">
        <v>0</v>
      </c>
      <c r="J1468" s="11"/>
      <c r="K1468" s="12">
        <v>0</v>
      </c>
      <c r="L146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68" s="10" t="str">
        <f>HYPERLINK("mailto:idiez@crm.otsuka-europe.com", "idiez@crm.otsuka-europe.com")</f>
        <v>idiez@crm.otsuka-europe.com</v>
      </c>
      <c r="N1468" s="13">
        <v>46209.34847222222</v>
      </c>
      <c r="O1468" s="14" t="str">
        <f>HYPERLINK("https://otsuka-europe-crm.veevavault.com/ui/#object/email_activity__v/V8C000000043294", "EN-002102206")</f>
        <v>EN-002102206</v>
      </c>
    </row>
    <row r="1469" spans="1:15" ht="16" x14ac:dyDescent="0.2">
      <c r="A1469" s="18" t="str">
        <f>HYPERLINK("https://otsuka-europe-crm.veevavault.com/ui/#object/account__v/V4TZ06G6O71T85Q", "GONZALO CESAR DELGADO LAPEIRA")</f>
        <v>GONZALO CESAR DELGADO LAPEIRA</v>
      </c>
      <c r="B1469" s="18" t="str">
        <f>HYPERLINK("https://otsuka-europe-crm.veevavault.com/ui/#object/vcountry__v/VENZ000004SONF5", "ES")</f>
        <v>ES</v>
      </c>
      <c r="C1469" s="20" t="s">
        <v>39</v>
      </c>
      <c r="D146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69" s="22" t="str">
        <f>HYPERLINK("https://otsuka-europe-crm.veevavault.com/ui/#object/sent_email__v/VBL000000030135", "SE-001439521")</f>
        <v>SE-001439521</v>
      </c>
      <c r="F1469" s="23"/>
      <c r="G1469" s="24">
        <v>0</v>
      </c>
      <c r="H1469" s="24">
        <v>0</v>
      </c>
      <c r="I1469" s="24">
        <v>0</v>
      </c>
      <c r="J1469" s="23"/>
      <c r="K1469" s="24">
        <v>0</v>
      </c>
      <c r="L146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69" s="22" t="str">
        <f>HYPERLINK("mailto:idiez@crm.otsuka-europe.com", "idiez@crm.otsuka-europe.com")</f>
        <v>idiez@crm.otsuka-europe.com</v>
      </c>
      <c r="N1469" s="25">
        <v>46209.348495370374</v>
      </c>
      <c r="O1469" s="14" t="str">
        <f>HYPERLINK("https://otsuka-europe-crm.veevavault.com/ui/#object/email_activity__v/V8C000000043300", "EN-002102212")</f>
        <v>EN-002102212</v>
      </c>
    </row>
    <row r="1470" spans="1:15" ht="16" x14ac:dyDescent="0.2">
      <c r="A1470" s="26"/>
      <c r="B1470" s="26"/>
      <c r="C1470" s="26"/>
      <c r="D1470" s="26"/>
      <c r="E1470" s="26"/>
      <c r="F1470" s="26"/>
      <c r="G1470" s="26"/>
      <c r="H1470" s="26"/>
      <c r="I1470" s="26"/>
      <c r="J1470" s="26"/>
      <c r="K1470" s="26"/>
      <c r="L1470" s="26"/>
      <c r="M1470" s="26"/>
      <c r="N1470" s="26"/>
      <c r="O1470" s="14" t="str">
        <f>HYPERLINK("https://otsuka-europe-crm.veevavault.com/ui/#object/email_activity__v/V8C000000044497", "EN-002102571")</f>
        <v>EN-002102571</v>
      </c>
    </row>
    <row r="1471" spans="1:15" ht="16" x14ac:dyDescent="0.2">
      <c r="A1471" s="19"/>
      <c r="B1471" s="19"/>
      <c r="C1471" s="19"/>
      <c r="D1471" s="19"/>
      <c r="E1471" s="19"/>
      <c r="F1471" s="19"/>
      <c r="G1471" s="19"/>
      <c r="H1471" s="19"/>
      <c r="I1471" s="19"/>
      <c r="J1471" s="19"/>
      <c r="K1471" s="19"/>
      <c r="L1471" s="19"/>
      <c r="M1471" s="19"/>
      <c r="N1471" s="19"/>
      <c r="O1471" s="14" t="str">
        <f>HYPERLINK("https://otsuka-europe-crm.veevavault.com/ui/#object/email_activity__v/V8C00000004D475", "EN-002109030")</f>
        <v>EN-002109030</v>
      </c>
    </row>
    <row r="1472" spans="1:15" ht="16" x14ac:dyDescent="0.2">
      <c r="A1472" s="18" t="str">
        <f>HYPERLINK("https://otsuka-europe-crm.veevavault.com/ui/#object/account__v/V4TZ025E87CB4SL", "GEMA SANCHEZ SANCHEZ")</f>
        <v>GEMA SANCHEZ SANCHEZ</v>
      </c>
      <c r="B1472" s="18" t="str">
        <f>HYPERLINK("https://otsuka-europe-crm.veevavault.com/ui/#object/vcountry__v/VENZ000004SONF5", "ES")</f>
        <v>ES</v>
      </c>
      <c r="C1472" s="20" t="s">
        <v>39</v>
      </c>
      <c r="D14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72" s="22" t="str">
        <f>HYPERLINK("https://otsuka-europe-crm.veevavault.com/ui/#object/sent_email__v/VBL000000030136", "SE-001439522")</f>
        <v>SE-001439522</v>
      </c>
      <c r="F1472" s="25">
        <v>46209.356608796297</v>
      </c>
      <c r="G1472" s="24">
        <v>1</v>
      </c>
      <c r="H1472" s="24">
        <v>2</v>
      </c>
      <c r="I1472" s="24">
        <v>0</v>
      </c>
      <c r="J1472" s="23"/>
      <c r="K1472" s="24">
        <v>0</v>
      </c>
      <c r="L14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72" s="22" t="str">
        <f>HYPERLINK("mailto:idiez@crm.otsuka-europe.com", "idiez@crm.otsuka-europe.com")</f>
        <v>idiez@crm.otsuka-europe.com</v>
      </c>
      <c r="N1472" s="25">
        <v>46209.348495370374</v>
      </c>
      <c r="O1472" s="14" t="str">
        <f>HYPERLINK("https://otsuka-europe-crm.veevavault.com/ui/#object/email_activity__v/V8C000000043286", "EN-002102198")</f>
        <v>EN-002102198</v>
      </c>
    </row>
    <row r="1473" spans="1:15" ht="16" x14ac:dyDescent="0.2">
      <c r="A1473" s="26"/>
      <c r="B1473" s="26"/>
      <c r="C1473" s="26"/>
      <c r="D1473" s="26"/>
      <c r="E1473" s="26"/>
      <c r="F1473" s="26"/>
      <c r="G1473" s="26"/>
      <c r="H1473" s="26"/>
      <c r="I1473" s="26"/>
      <c r="J1473" s="26"/>
      <c r="K1473" s="26"/>
      <c r="L1473" s="26"/>
      <c r="M1473" s="26"/>
      <c r="N1473" s="26"/>
      <c r="O1473" s="14" t="str">
        <f>HYPERLINK("https://otsuka-europe-crm.veevavault.com/ui/#object/email_activity__v/V8C000000044380", "EN-002102338")</f>
        <v>EN-002102338</v>
      </c>
    </row>
    <row r="1474" spans="1:15" ht="16" x14ac:dyDescent="0.2">
      <c r="A1474" s="19"/>
      <c r="B1474" s="19"/>
      <c r="C1474" s="19"/>
      <c r="D1474" s="19"/>
      <c r="E1474" s="19"/>
      <c r="F1474" s="19"/>
      <c r="G1474" s="19"/>
      <c r="H1474" s="19"/>
      <c r="I1474" s="19"/>
      <c r="J1474" s="19"/>
      <c r="K1474" s="19"/>
      <c r="L1474" s="19"/>
      <c r="M1474" s="19"/>
      <c r="N1474" s="19"/>
      <c r="O1474" s="14" t="str">
        <f>HYPERLINK("https://otsuka-europe-crm.veevavault.com/ui/#object/email_activity__v/V8C000000044381", "EN-002102339")</f>
        <v>EN-002102339</v>
      </c>
    </row>
    <row r="1475" spans="1:15" ht="16" x14ac:dyDescent="0.2">
      <c r="A1475" s="18" t="str">
        <f>HYPERLINK("https://otsuka-europe-crm.veevavault.com/ui/#object/account__v/V4TZ06G6O71T8G9", "CARMEN RITA MARTIN VARAS")</f>
        <v>CARMEN RITA MARTIN VARAS</v>
      </c>
      <c r="B1475" s="18" t="str">
        <f>HYPERLINK("https://otsuka-europe-crm.veevavault.com/ui/#object/vcountry__v/VENZ000004SONF5", "ES")</f>
        <v>ES</v>
      </c>
      <c r="C1475" s="20" t="s">
        <v>39</v>
      </c>
      <c r="D14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75" s="22" t="str">
        <f>HYPERLINK("https://otsuka-europe-crm.veevavault.com/ui/#object/sent_email__v/VBL000000030137", "SE-001439523")</f>
        <v>SE-001439523</v>
      </c>
      <c r="F1475" s="25">
        <v>46209.453865740739</v>
      </c>
      <c r="G1475" s="24">
        <v>1</v>
      </c>
      <c r="H1475" s="24">
        <v>2</v>
      </c>
      <c r="I1475" s="24">
        <v>0</v>
      </c>
      <c r="J1475" s="23"/>
      <c r="K1475" s="24">
        <v>0</v>
      </c>
      <c r="L14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75" s="22" t="str">
        <f>HYPERLINK("mailto:idiez@crm.otsuka-europe.com", "idiez@crm.otsuka-europe.com")</f>
        <v>idiez@crm.otsuka-europe.com</v>
      </c>
      <c r="N1475" s="25">
        <v>46209.348495370374</v>
      </c>
      <c r="O1475" s="14" t="str">
        <f>HYPERLINK("https://otsuka-europe-crm.veevavault.com/ui/#object/email_activity__v/V8C000000043291", "EN-002102203")</f>
        <v>EN-002102203</v>
      </c>
    </row>
    <row r="1476" spans="1:15" ht="16" x14ac:dyDescent="0.2">
      <c r="A1476" s="26"/>
      <c r="B1476" s="26"/>
      <c r="C1476" s="26"/>
      <c r="D1476" s="26"/>
      <c r="E1476" s="26"/>
      <c r="F1476" s="26"/>
      <c r="G1476" s="26"/>
      <c r="H1476" s="26"/>
      <c r="I1476" s="26"/>
      <c r="J1476" s="26"/>
      <c r="K1476" s="26"/>
      <c r="L1476" s="26"/>
      <c r="M1476" s="26"/>
      <c r="N1476" s="26"/>
      <c r="O1476" s="14" t="str">
        <f>HYPERLINK("https://otsuka-europe-crm.veevavault.com/ui/#object/email_activity__v/V8C000000043314", "EN-002102226")</f>
        <v>EN-002102226</v>
      </c>
    </row>
    <row r="1477" spans="1:15" ht="16" x14ac:dyDescent="0.2">
      <c r="A1477" s="19"/>
      <c r="B1477" s="19"/>
      <c r="C1477" s="19"/>
      <c r="D1477" s="19"/>
      <c r="E1477" s="19"/>
      <c r="F1477" s="19"/>
      <c r="G1477" s="19"/>
      <c r="H1477" s="19"/>
      <c r="I1477" s="19"/>
      <c r="J1477" s="19"/>
      <c r="K1477" s="19"/>
      <c r="L1477" s="19"/>
      <c r="M1477" s="19"/>
      <c r="N1477" s="19"/>
      <c r="O1477" s="14" t="str">
        <f>HYPERLINK("https://otsuka-europe-crm.veevavault.com/ui/#object/email_activity__v/V8C000000043464", "EN-002102450")</f>
        <v>EN-002102450</v>
      </c>
    </row>
    <row r="1478" spans="1:15" ht="64" x14ac:dyDescent="0.2">
      <c r="A1478" s="7" t="str">
        <f>HYPERLINK("https://otsuka-europe-crm.veevavault.com/ui/#object/account__v/V4TZ06G6O71UQQL", "CARLOS SANTOS ALONSO")</f>
        <v>CARLOS SANTOS ALONSO</v>
      </c>
      <c r="B1478" s="7" t="str">
        <f>HYPERLINK("https://otsuka-europe-crm.veevavault.com/ui/#object/vcountry__v/VENZ000004SONF5", "ES")</f>
        <v>ES</v>
      </c>
      <c r="C1478" s="8" t="s">
        <v>39</v>
      </c>
      <c r="D147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78" s="10" t="str">
        <f>HYPERLINK("https://otsuka-europe-crm.veevavault.com/ui/#object/sent_email__v/VBL000000030138", "SE-001439524")</f>
        <v>SE-001439524</v>
      </c>
      <c r="F1478" s="11"/>
      <c r="G1478" s="12">
        <v>0</v>
      </c>
      <c r="H1478" s="12">
        <v>0</v>
      </c>
      <c r="I1478" s="12">
        <v>0</v>
      </c>
      <c r="J1478" s="11"/>
      <c r="K1478" s="12">
        <v>0</v>
      </c>
      <c r="L147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78" s="10" t="str">
        <f>HYPERLINK("mailto:idiez@crm.otsuka-europe.com", "idiez@crm.otsuka-europe.com")</f>
        <v>idiez@crm.otsuka-europe.com</v>
      </c>
      <c r="N1478" s="13">
        <v>46209.348495370374</v>
      </c>
      <c r="O1478" s="14" t="str">
        <f>HYPERLINK("https://otsuka-europe-crm.veevavault.com/ui/#object/email_activity__v/V8C000000043321", "EN-002102233")</f>
        <v>EN-002102233</v>
      </c>
    </row>
    <row r="1479" spans="1:15" ht="64" x14ac:dyDescent="0.2">
      <c r="A1479" s="7" t="str">
        <f>HYPERLINK("https://otsuka-europe-crm.veevavault.com/ui/#object/account__v/V4TZ06G6OB47PYP", "GABRIELA PILAR GONZALEZ ZHINDON")</f>
        <v>GABRIELA PILAR GONZALEZ ZHINDON</v>
      </c>
      <c r="B1479" s="7" t="str">
        <f>HYPERLINK("https://otsuka-europe-crm.veevavault.com/ui/#object/vcountry__v/VENZ000004SONF5", "ES")</f>
        <v>ES</v>
      </c>
      <c r="C1479" s="8" t="s">
        <v>39</v>
      </c>
      <c r="D147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79" s="10" t="str">
        <f>HYPERLINK("https://otsuka-europe-crm.veevavault.com/ui/#object/sent_email__v/VBL000000030139", "SE-001439525")</f>
        <v>SE-001439525</v>
      </c>
      <c r="F1479" s="11"/>
      <c r="G1479" s="12">
        <v>0</v>
      </c>
      <c r="H1479" s="12">
        <v>0</v>
      </c>
      <c r="I1479" s="12">
        <v>0</v>
      </c>
      <c r="J1479" s="11"/>
      <c r="K1479" s="12">
        <v>0</v>
      </c>
      <c r="L147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79" s="10" t="str">
        <f>HYPERLINK("mailto:idiez@crm.otsuka-europe.com", "idiez@crm.otsuka-europe.com")</f>
        <v>idiez@crm.otsuka-europe.com</v>
      </c>
      <c r="N1479" s="13">
        <v>46209.348530092589</v>
      </c>
      <c r="O1479" s="14" t="str">
        <f>HYPERLINK("https://otsuka-europe-crm.veevavault.com/ui/#object/email_activity__v/V8C000000043319", "EN-002102231")</f>
        <v>EN-002102231</v>
      </c>
    </row>
    <row r="1480" spans="1:15" ht="64" x14ac:dyDescent="0.2">
      <c r="A1480" s="7" t="str">
        <f>HYPERLINK("https://otsuka-europe-crm.veevavault.com/ui/#object/account__v/V4TZ06G6OBIJK7D", "ANGELO ROBERTO FALCONI SARMIENTO")</f>
        <v>ANGELO ROBERTO FALCONI SARMIENTO</v>
      </c>
      <c r="B1480" s="7" t="str">
        <f>HYPERLINK("https://otsuka-europe-crm.veevavault.com/ui/#object/vcountry__v/VENZ000004SONF5", "ES")</f>
        <v>ES</v>
      </c>
      <c r="C1480" s="8" t="s">
        <v>39</v>
      </c>
      <c r="D148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0" s="10" t="str">
        <f>HYPERLINK("https://otsuka-europe-crm.veevavault.com/ui/#object/sent_email__v/VBL000000030140", "SE-001439526")</f>
        <v>SE-001439526</v>
      </c>
      <c r="F1480" s="11"/>
      <c r="G1480" s="12">
        <v>0</v>
      </c>
      <c r="H1480" s="12">
        <v>0</v>
      </c>
      <c r="I1480" s="12">
        <v>0</v>
      </c>
      <c r="J1480" s="11"/>
      <c r="K1480" s="12">
        <v>0</v>
      </c>
      <c r="L148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0" s="10" t="str">
        <f>HYPERLINK("mailto:idiez@crm.otsuka-europe.com", "idiez@crm.otsuka-europe.com")</f>
        <v>idiez@crm.otsuka-europe.com</v>
      </c>
      <c r="N1480" s="13">
        <v>46209.348495370374</v>
      </c>
      <c r="O1480" s="14" t="str">
        <f>HYPERLINK("https://otsuka-europe-crm.veevavault.com/ui/#object/email_activity__v/V8C000000043311", "EN-002102223")</f>
        <v>EN-002102223</v>
      </c>
    </row>
    <row r="1481" spans="1:15" ht="64" x14ac:dyDescent="0.2">
      <c r="A1481" s="7" t="str">
        <f>HYPERLINK("https://otsuka-europe-crm.veevavault.com/ui/#object/account__v/V4TZ06G6O71TCHN", "FERNANDO TORNERO MOLINA")</f>
        <v>FERNANDO TORNERO MOLINA</v>
      </c>
      <c r="B1481" s="7" t="str">
        <f>HYPERLINK("https://otsuka-europe-crm.veevavault.com/ui/#object/vcountry__v/VENZ000004SONF5", "ES")</f>
        <v>ES</v>
      </c>
      <c r="C1481" s="8" t="s">
        <v>39</v>
      </c>
      <c r="D148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1" s="10" t="str">
        <f>HYPERLINK("https://otsuka-europe-crm.veevavault.com/ui/#object/sent_email__v/VBL000000030141", "SE-001439527")</f>
        <v>SE-001439527</v>
      </c>
      <c r="F1481" s="11"/>
      <c r="G1481" s="12">
        <v>0</v>
      </c>
      <c r="H1481" s="12">
        <v>0</v>
      </c>
      <c r="I1481" s="12">
        <v>0</v>
      </c>
      <c r="J1481" s="11"/>
      <c r="K1481" s="12">
        <v>0</v>
      </c>
      <c r="L148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1" s="10" t="str">
        <f>HYPERLINK("mailto:idiez@crm.otsuka-europe.com", "idiez@crm.otsuka-europe.com")</f>
        <v>idiez@crm.otsuka-europe.com</v>
      </c>
      <c r="N1481" s="13">
        <v>46209.348495370374</v>
      </c>
      <c r="O1481" s="14" t="str">
        <f>HYPERLINK("https://otsuka-europe-crm.veevavault.com/ui/#object/email_activity__v/V8C000000043307", "EN-002102219")</f>
        <v>EN-002102219</v>
      </c>
    </row>
    <row r="1482" spans="1:15" ht="16" x14ac:dyDescent="0.2">
      <c r="A1482" s="18" t="str">
        <f>HYPERLINK("https://otsuka-europe-crm.veevavault.com/ui/#object/account__v/V4TZ06G6O71TAQ4", "CAROLINA LENTISCO RAMIREZ")</f>
        <v>CAROLINA LENTISCO RAMIREZ</v>
      </c>
      <c r="B1482" s="18" t="str">
        <f>HYPERLINK("https://otsuka-europe-crm.veevavault.com/ui/#object/vcountry__v/VENZ000004SONF5", "ES")</f>
        <v>ES</v>
      </c>
      <c r="C1482" s="20" t="s">
        <v>39</v>
      </c>
      <c r="D148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2" s="22" t="str">
        <f>HYPERLINK("https://otsuka-europe-crm.veevavault.com/ui/#object/sent_email__v/VBL000000030142", "SE-001439528")</f>
        <v>SE-001439528</v>
      </c>
      <c r="F1482" s="25">
        <v>46209.351203703707</v>
      </c>
      <c r="G1482" s="24">
        <v>1</v>
      </c>
      <c r="H1482" s="24">
        <v>1</v>
      </c>
      <c r="I1482" s="24">
        <v>0</v>
      </c>
      <c r="J1482" s="23"/>
      <c r="K1482" s="24">
        <v>0</v>
      </c>
      <c r="L148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2" s="22" t="str">
        <f>HYPERLINK("mailto:idiez@crm.otsuka-europe.com", "idiez@crm.otsuka-europe.com")</f>
        <v>idiez@crm.otsuka-europe.com</v>
      </c>
      <c r="N1482" s="25">
        <v>46209.348495370374</v>
      </c>
      <c r="O1482" s="14" t="str">
        <f>HYPERLINK("https://otsuka-europe-crm.veevavault.com/ui/#object/email_activity__v/V8C000000043290", "EN-002102202")</f>
        <v>EN-002102202</v>
      </c>
    </row>
    <row r="1483" spans="1:15" ht="16" x14ac:dyDescent="0.2">
      <c r="A1483" s="19"/>
      <c r="B1483" s="19"/>
      <c r="C1483" s="19"/>
      <c r="D1483" s="19"/>
      <c r="E1483" s="19"/>
      <c r="F1483" s="19"/>
      <c r="G1483" s="19"/>
      <c r="H1483" s="19"/>
      <c r="I1483" s="19"/>
      <c r="J1483" s="19"/>
      <c r="K1483" s="19"/>
      <c r="L1483" s="19"/>
      <c r="M1483" s="19"/>
      <c r="N1483" s="19"/>
      <c r="O1483" s="14" t="str">
        <f>HYPERLINK("https://otsuka-europe-crm.veevavault.com/ui/#object/email_activity__v/V8C000000044358", "EN-002102276")</f>
        <v>EN-002102276</v>
      </c>
    </row>
    <row r="1484" spans="1:15" ht="64" x14ac:dyDescent="0.2">
      <c r="A1484" s="7" t="str">
        <f>HYPERLINK("https://otsuka-europe-crm.veevavault.com/ui/#object/account__v/V4TZ06G6O71T7UZ", "GUADALUPE RODRIGUEZ PORTELA")</f>
        <v>GUADALUPE RODRIGUEZ PORTELA</v>
      </c>
      <c r="B1484" s="7" t="str">
        <f>HYPERLINK("https://otsuka-europe-crm.veevavault.com/ui/#object/vcountry__v/VENZ000004SONF5", "ES")</f>
        <v>ES</v>
      </c>
      <c r="C1484" s="8" t="s">
        <v>39</v>
      </c>
      <c r="D148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4" s="10" t="str">
        <f>HYPERLINK("https://otsuka-europe-crm.veevavault.com/ui/#object/sent_email__v/VBL000000030143", "SE-001439529")</f>
        <v>SE-001439529</v>
      </c>
      <c r="F1484" s="11"/>
      <c r="G1484" s="12">
        <v>0</v>
      </c>
      <c r="H1484" s="12">
        <v>0</v>
      </c>
      <c r="I1484" s="12">
        <v>0</v>
      </c>
      <c r="J1484" s="11"/>
      <c r="K1484" s="12">
        <v>0</v>
      </c>
      <c r="L148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4" s="10" t="str">
        <f>HYPERLINK("mailto:idiez@crm.otsuka-europe.com", "idiez@crm.otsuka-europe.com")</f>
        <v>idiez@crm.otsuka-europe.com</v>
      </c>
      <c r="N1484" s="13">
        <v>46209.348495370374</v>
      </c>
      <c r="O1484" s="14" t="str">
        <f>HYPERLINK("https://otsuka-europe-crm.veevavault.com/ui/#object/email_activity__v/V8C000000043323", "EN-002102235")</f>
        <v>EN-002102235</v>
      </c>
    </row>
    <row r="1485" spans="1:15" ht="64" x14ac:dyDescent="0.2">
      <c r="A1485" s="7" t="str">
        <f>HYPERLINK("https://otsuka-europe-crm.veevavault.com/ui/#object/account__v/V4TZ06G6O71TA0J", "ALICIA GARCIA PEREZ")</f>
        <v>ALICIA GARCIA PEREZ</v>
      </c>
      <c r="B1485" s="7" t="str">
        <f>HYPERLINK("https://otsuka-europe-crm.veevavault.com/ui/#object/vcountry__v/VENZ000004SONF5", "ES")</f>
        <v>ES</v>
      </c>
      <c r="C1485" s="8" t="s">
        <v>39</v>
      </c>
      <c r="D148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5" s="10" t="str">
        <f>HYPERLINK("https://otsuka-europe-crm.veevavault.com/ui/#object/sent_email__v/VBL000000030144", "SE-001439530")</f>
        <v>SE-001439530</v>
      </c>
      <c r="F1485" s="11"/>
      <c r="G1485" s="12">
        <v>0</v>
      </c>
      <c r="H1485" s="12">
        <v>0</v>
      </c>
      <c r="I1485" s="12">
        <v>0</v>
      </c>
      <c r="J1485" s="11"/>
      <c r="K1485" s="12">
        <v>0</v>
      </c>
      <c r="L148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5" s="10" t="str">
        <f>HYPERLINK("mailto:idiez@crm.otsuka-europe.com", "idiez@crm.otsuka-europe.com")</f>
        <v>idiez@crm.otsuka-europe.com</v>
      </c>
      <c r="N1485" s="13">
        <v>46209.348495370374</v>
      </c>
      <c r="O1485" s="14" t="str">
        <f>HYPERLINK("https://otsuka-europe-crm.veevavault.com/ui/#object/email_activity__v/V8C000000043301", "EN-002102213")</f>
        <v>EN-002102213</v>
      </c>
    </row>
    <row r="1486" spans="1:15" ht="64" x14ac:dyDescent="0.2">
      <c r="A1486" s="7" t="str">
        <f>HYPERLINK("https://otsuka-europe-crm.veevavault.com/ui/#object/account__v/V4TZ06G6O71T8T5", "DIEGO BARBIERI MERLO")</f>
        <v>DIEGO BARBIERI MERLO</v>
      </c>
      <c r="B1486" s="7" t="str">
        <f>HYPERLINK("https://otsuka-europe-crm.veevavault.com/ui/#object/vcountry__v/VENZ000004SONF5", "ES")</f>
        <v>ES</v>
      </c>
      <c r="C1486" s="8" t="s">
        <v>39</v>
      </c>
      <c r="D148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6" s="10" t="str">
        <f>HYPERLINK("https://otsuka-europe-crm.veevavault.com/ui/#object/sent_email__v/VBL000000030145", "SE-001439531")</f>
        <v>SE-001439531</v>
      </c>
      <c r="F1486" s="11"/>
      <c r="G1486" s="12">
        <v>0</v>
      </c>
      <c r="H1486" s="12">
        <v>0</v>
      </c>
      <c r="I1486" s="12">
        <v>0</v>
      </c>
      <c r="J1486" s="11"/>
      <c r="K1486" s="12">
        <v>0</v>
      </c>
      <c r="L148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6" s="10" t="str">
        <f>HYPERLINK("mailto:idiez@crm.otsuka-europe.com", "idiez@crm.otsuka-europe.com")</f>
        <v>idiez@crm.otsuka-europe.com</v>
      </c>
      <c r="N1486" s="13">
        <v>46209.348495370374</v>
      </c>
      <c r="O1486" s="14" t="str">
        <f>HYPERLINK("https://otsuka-europe-crm.veevavault.com/ui/#object/email_activity__v/V8C000000043293", "EN-002102205")</f>
        <v>EN-002102205</v>
      </c>
    </row>
    <row r="1487" spans="1:15" ht="16" x14ac:dyDescent="0.2">
      <c r="A1487" s="18" t="str">
        <f>HYPERLINK("https://otsuka-europe-crm.veevavault.com/ui/#object/account__v/V4TZ04ASGB4URBB", "ARMANDO COCA ROJO")</f>
        <v>ARMANDO COCA ROJO</v>
      </c>
      <c r="B1487" s="18" t="str">
        <f>HYPERLINK("https://otsuka-europe-crm.veevavault.com/ui/#object/vcountry__v/VENZ000004SONF5", "ES")</f>
        <v>ES</v>
      </c>
      <c r="C1487" s="20" t="s">
        <v>39</v>
      </c>
      <c r="D148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87" s="22" t="str">
        <f>HYPERLINK("https://otsuka-europe-crm.veevavault.com/ui/#object/sent_email__v/VBL000000030146", "SE-001439532")</f>
        <v>SE-001439532</v>
      </c>
      <c r="F1487" s="25">
        <v>46209.563587962963</v>
      </c>
      <c r="G1487" s="24">
        <v>1</v>
      </c>
      <c r="H1487" s="24">
        <v>2</v>
      </c>
      <c r="I1487" s="24">
        <v>0</v>
      </c>
      <c r="J1487" s="23"/>
      <c r="K1487" s="24">
        <v>0</v>
      </c>
      <c r="L148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87" s="22" t="str">
        <f>HYPERLINK("mailto:idiez@crm.otsuka-europe.com", "idiez@crm.otsuka-europe.com")</f>
        <v>idiez@crm.otsuka-europe.com</v>
      </c>
      <c r="N1487" s="25">
        <v>46209.348495370374</v>
      </c>
      <c r="O1487" s="14" t="str">
        <f>HYPERLINK("https://otsuka-europe-crm.veevavault.com/ui/#object/email_activity__v/V8C000000043310", "EN-002102222")</f>
        <v>EN-002102222</v>
      </c>
    </row>
    <row r="1488" spans="1:15" ht="16" x14ac:dyDescent="0.2">
      <c r="A1488" s="26"/>
      <c r="B1488" s="26"/>
      <c r="C1488" s="26"/>
      <c r="D1488" s="26"/>
      <c r="E1488" s="26"/>
      <c r="F1488" s="26"/>
      <c r="G1488" s="26"/>
      <c r="H1488" s="26"/>
      <c r="I1488" s="26"/>
      <c r="J1488" s="26"/>
      <c r="K1488" s="26"/>
      <c r="L1488" s="26"/>
      <c r="M1488" s="26"/>
      <c r="N1488" s="26"/>
      <c r="O1488" s="14" t="str">
        <f>HYPERLINK("https://otsuka-europe-crm.veevavault.com/ui/#object/email_activity__v/V8C000000043462", "EN-002102447")</f>
        <v>EN-002102447</v>
      </c>
    </row>
    <row r="1489" spans="1:15" ht="16" x14ac:dyDescent="0.2">
      <c r="A1489" s="19"/>
      <c r="B1489" s="19"/>
      <c r="C1489" s="19"/>
      <c r="D1489" s="19"/>
      <c r="E1489" s="19"/>
      <c r="F1489" s="19"/>
      <c r="G1489" s="19"/>
      <c r="H1489" s="19"/>
      <c r="I1489" s="19"/>
      <c r="J1489" s="19"/>
      <c r="K1489" s="19"/>
      <c r="L1489" s="19"/>
      <c r="M1489" s="19"/>
      <c r="N1489" s="19"/>
      <c r="O1489" s="14" t="str">
        <f>HYPERLINK("https://otsuka-europe-crm.veevavault.com/ui/#object/email_activity__v/V8C000000044464", "EN-002102507")</f>
        <v>EN-002102507</v>
      </c>
    </row>
    <row r="1490" spans="1:15" ht="16" x14ac:dyDescent="0.2">
      <c r="A1490" s="18" t="str">
        <f>HYPERLINK("https://otsuka-europe-crm.veevavault.com/ui/#object/account__v/V4TZ06G6O71T7W2", "ELENA MONFA GUIX")</f>
        <v>ELENA MONFA GUIX</v>
      </c>
      <c r="B1490" s="18" t="str">
        <f>HYPERLINK("https://otsuka-europe-crm.veevavault.com/ui/#object/vcountry__v/VENZ000004SONF5", "ES")</f>
        <v>ES</v>
      </c>
      <c r="C1490" s="20" t="s">
        <v>39</v>
      </c>
      <c r="D149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490" s="22" t="str">
        <f>HYPERLINK("https://otsuka-europe-crm.veevavault.com/ui/#object/sent_email__v/VBL000000030147", "SE-001439533")</f>
        <v>SE-001439533</v>
      </c>
      <c r="F1490" s="25">
        <v>46232.575706018521</v>
      </c>
      <c r="G1490" s="24">
        <v>1</v>
      </c>
      <c r="H1490" s="24">
        <v>14</v>
      </c>
      <c r="I1490" s="24">
        <v>0</v>
      </c>
      <c r="J1490" s="23"/>
      <c r="K1490" s="24">
        <v>0</v>
      </c>
      <c r="L149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490" s="22" t="str">
        <f>HYPERLINK("mailto:idiez@crm.otsuka-europe.com", "idiez@crm.otsuka-europe.com")</f>
        <v>idiez@crm.otsuka-europe.com</v>
      </c>
      <c r="N1490" s="25">
        <v>46209.348495370374</v>
      </c>
      <c r="O1490" s="14" t="str">
        <f>HYPERLINK("https://otsuka-europe-crm.veevavault.com/ui/#object/email_activity__v/V8C000000043296", "EN-002102208")</f>
        <v>EN-002102208</v>
      </c>
    </row>
    <row r="1491" spans="1:15" ht="16" x14ac:dyDescent="0.2">
      <c r="A1491" s="26"/>
      <c r="B1491" s="26"/>
      <c r="C1491" s="26"/>
      <c r="D1491" s="26"/>
      <c r="E1491" s="26"/>
      <c r="F1491" s="26"/>
      <c r="G1491" s="26"/>
      <c r="H1491" s="26"/>
      <c r="I1491" s="26"/>
      <c r="J1491" s="26"/>
      <c r="K1491" s="26"/>
      <c r="L1491" s="26"/>
      <c r="M1491" s="26"/>
      <c r="N1491" s="26"/>
      <c r="O1491" s="14" t="str">
        <f>HYPERLINK("https://otsuka-europe-crm.veevavault.com/ui/#object/email_activity__v/V8C000000043851", "EN-002103231")</f>
        <v>EN-002103231</v>
      </c>
    </row>
    <row r="1492" spans="1:15" ht="16" x14ac:dyDescent="0.2">
      <c r="A1492" s="26"/>
      <c r="B1492" s="26"/>
      <c r="C1492" s="26"/>
      <c r="D1492" s="26"/>
      <c r="E1492" s="26"/>
      <c r="F1492" s="26"/>
      <c r="G1492" s="26"/>
      <c r="H1492" s="26"/>
      <c r="I1492" s="26"/>
      <c r="J1492" s="26"/>
      <c r="K1492" s="26"/>
      <c r="L1492" s="26"/>
      <c r="M1492" s="26"/>
      <c r="N1492" s="26"/>
      <c r="O1492" s="14" t="str">
        <f>HYPERLINK("https://otsuka-europe-crm.veevavault.com/ui/#object/email_activity__v/V8C000000044766", "EN-002103117")</f>
        <v>EN-002103117</v>
      </c>
    </row>
    <row r="1493" spans="1:15" ht="16" x14ac:dyDescent="0.2">
      <c r="A1493" s="26"/>
      <c r="B1493" s="26"/>
      <c r="C1493" s="26"/>
      <c r="D1493" s="26"/>
      <c r="E1493" s="26"/>
      <c r="F1493" s="26"/>
      <c r="G1493" s="26"/>
      <c r="H1493" s="26"/>
      <c r="I1493" s="26"/>
      <c r="J1493" s="26"/>
      <c r="K1493" s="26"/>
      <c r="L1493" s="26"/>
      <c r="M1493" s="26"/>
      <c r="N1493" s="26"/>
      <c r="O1493" s="14" t="str">
        <f>HYPERLINK("https://otsuka-europe-crm.veevavault.com/ui/#object/email_activity__v/V8C000000044767", "EN-002103118")</f>
        <v>EN-002103118</v>
      </c>
    </row>
    <row r="1494" spans="1:15" ht="16" x14ac:dyDescent="0.2">
      <c r="A1494" s="26"/>
      <c r="B1494" s="26"/>
      <c r="C1494" s="26"/>
      <c r="D1494" s="26"/>
      <c r="E1494" s="26"/>
      <c r="F1494" s="26"/>
      <c r="G1494" s="26"/>
      <c r="H1494" s="26"/>
      <c r="I1494" s="26"/>
      <c r="J1494" s="26"/>
      <c r="K1494" s="26"/>
      <c r="L1494" s="26"/>
      <c r="M1494" s="26"/>
      <c r="N1494" s="26"/>
      <c r="O1494" s="14" t="str">
        <f>HYPERLINK("https://otsuka-europe-crm.veevavault.com/ui/#object/email_activity__v/V8C000000044783", "EN-002103149")</f>
        <v>EN-002103149</v>
      </c>
    </row>
    <row r="1495" spans="1:15" ht="16" x14ac:dyDescent="0.2">
      <c r="A1495" s="26"/>
      <c r="B1495" s="26"/>
      <c r="C1495" s="26"/>
      <c r="D1495" s="26"/>
      <c r="E1495" s="26"/>
      <c r="F1495" s="26"/>
      <c r="G1495" s="26"/>
      <c r="H1495" s="26"/>
      <c r="I1495" s="26"/>
      <c r="J1495" s="26"/>
      <c r="K1495" s="26"/>
      <c r="L1495" s="26"/>
      <c r="M1495" s="26"/>
      <c r="N1495" s="26"/>
      <c r="O1495" s="14" t="str">
        <f>HYPERLINK("https://otsuka-europe-crm.veevavault.com/ui/#object/email_activity__v/V8C000000044784", "EN-002103150")</f>
        <v>EN-002103150</v>
      </c>
    </row>
    <row r="1496" spans="1:15" ht="16" x14ac:dyDescent="0.2">
      <c r="A1496" s="26"/>
      <c r="B1496" s="26"/>
      <c r="C1496" s="26"/>
      <c r="D1496" s="26"/>
      <c r="E1496" s="26"/>
      <c r="F1496" s="26"/>
      <c r="G1496" s="26"/>
      <c r="H1496" s="26"/>
      <c r="I1496" s="26"/>
      <c r="J1496" s="26"/>
      <c r="K1496" s="26"/>
      <c r="L1496" s="26"/>
      <c r="M1496" s="26"/>
      <c r="N1496" s="26"/>
      <c r="O1496" s="14" t="str">
        <f>HYPERLINK("https://otsuka-europe-crm.veevavault.com/ui/#object/email_activity__v/V8C000000044826", "EN-002103232")</f>
        <v>EN-002103232</v>
      </c>
    </row>
    <row r="1497" spans="1:15" ht="16" x14ac:dyDescent="0.2">
      <c r="A1497" s="26"/>
      <c r="B1497" s="26"/>
      <c r="C1497" s="26"/>
      <c r="D1497" s="26"/>
      <c r="E1497" s="26"/>
      <c r="F1497" s="26"/>
      <c r="G1497" s="26"/>
      <c r="H1497" s="26"/>
      <c r="I1497" s="26"/>
      <c r="J1497" s="26"/>
      <c r="K1497" s="26"/>
      <c r="L1497" s="26"/>
      <c r="M1497" s="26"/>
      <c r="N1497" s="26"/>
      <c r="O1497" s="14" t="str">
        <f>HYPERLINK("https://otsuka-europe-crm.veevavault.com/ui/#object/email_activity__v/V8C000000044828", "EN-002103235")</f>
        <v>EN-002103235</v>
      </c>
    </row>
    <row r="1498" spans="1:15" ht="16" x14ac:dyDescent="0.2">
      <c r="A1498" s="26"/>
      <c r="B1498" s="26"/>
      <c r="C1498" s="26"/>
      <c r="D1498" s="26"/>
      <c r="E1498" s="26"/>
      <c r="F1498" s="26"/>
      <c r="G1498" s="26"/>
      <c r="H1498" s="26"/>
      <c r="I1498" s="26"/>
      <c r="J1498" s="26"/>
      <c r="K1498" s="26"/>
      <c r="L1498" s="26"/>
      <c r="M1498" s="26"/>
      <c r="N1498" s="26"/>
      <c r="O1498" s="14" t="str">
        <f>HYPERLINK("https://otsuka-europe-crm.veevavault.com/ui/#object/email_activity__v/V8C000000049881", "EN-002106637")</f>
        <v>EN-002106637</v>
      </c>
    </row>
    <row r="1499" spans="1:15" ht="16" x14ac:dyDescent="0.2">
      <c r="A1499" s="26"/>
      <c r="B1499" s="26"/>
      <c r="C1499" s="26"/>
      <c r="D1499" s="26"/>
      <c r="E1499" s="26"/>
      <c r="F1499" s="26"/>
      <c r="G1499" s="26"/>
      <c r="H1499" s="26"/>
      <c r="I1499" s="26"/>
      <c r="J1499" s="26"/>
      <c r="K1499" s="26"/>
      <c r="L1499" s="26"/>
      <c r="M1499" s="26"/>
      <c r="N1499" s="26"/>
      <c r="O1499" s="14" t="str">
        <f>HYPERLINK("https://otsuka-europe-crm.veevavault.com/ui/#object/email_activity__v/V8C000000049882", "EN-002106638")</f>
        <v>EN-002106638</v>
      </c>
    </row>
    <row r="1500" spans="1:15" ht="16" x14ac:dyDescent="0.2">
      <c r="A1500" s="26"/>
      <c r="B1500" s="26"/>
      <c r="C1500" s="26"/>
      <c r="D1500" s="26"/>
      <c r="E1500" s="26"/>
      <c r="F1500" s="26"/>
      <c r="G1500" s="26"/>
      <c r="H1500" s="26"/>
      <c r="I1500" s="26"/>
      <c r="J1500" s="26"/>
      <c r="K1500" s="26"/>
      <c r="L1500" s="26"/>
      <c r="M1500" s="26"/>
      <c r="N1500" s="26"/>
      <c r="O1500" s="14" t="str">
        <f>HYPERLINK("https://otsuka-europe-crm.veevavault.com/ui/#object/email_activity__v/V8C00000004D675", "EN-002109448")</f>
        <v>EN-002109448</v>
      </c>
    </row>
    <row r="1501" spans="1:15" ht="16" x14ac:dyDescent="0.2">
      <c r="A1501" s="26"/>
      <c r="B1501" s="26"/>
      <c r="C1501" s="26"/>
      <c r="D1501" s="26"/>
      <c r="E1501" s="26"/>
      <c r="F1501" s="26"/>
      <c r="G1501" s="26"/>
      <c r="H1501" s="26"/>
      <c r="I1501" s="26"/>
      <c r="J1501" s="26"/>
      <c r="K1501" s="26"/>
      <c r="L1501" s="26"/>
      <c r="M1501" s="26"/>
      <c r="N1501" s="26"/>
      <c r="O1501" s="14" t="str">
        <f>HYPERLINK("https://otsuka-europe-crm.veevavault.com/ui/#object/email_activity__v/V8C00000004D676", "EN-002109449")</f>
        <v>EN-002109449</v>
      </c>
    </row>
    <row r="1502" spans="1:15" ht="16" x14ac:dyDescent="0.2">
      <c r="A1502" s="26"/>
      <c r="B1502" s="26"/>
      <c r="C1502" s="26"/>
      <c r="D1502" s="26"/>
      <c r="E1502" s="26"/>
      <c r="F1502" s="26"/>
      <c r="G1502" s="26"/>
      <c r="H1502" s="26"/>
      <c r="I1502" s="26"/>
      <c r="J1502" s="26"/>
      <c r="K1502" s="26"/>
      <c r="L1502" s="26"/>
      <c r="M1502" s="26"/>
      <c r="N1502" s="26"/>
      <c r="O1502" s="14" t="str">
        <f>HYPERLINK("https://otsuka-europe-crm.veevavault.com/ui/#object/email_activity__v/V8C00000004D737", "EN-002109579")</f>
        <v>EN-002109579</v>
      </c>
    </row>
    <row r="1503" spans="1:15" ht="16" x14ac:dyDescent="0.2">
      <c r="A1503" s="26"/>
      <c r="B1503" s="26"/>
      <c r="C1503" s="26"/>
      <c r="D1503" s="26"/>
      <c r="E1503" s="26"/>
      <c r="F1503" s="26"/>
      <c r="G1503" s="26"/>
      <c r="H1503" s="26"/>
      <c r="I1503" s="26"/>
      <c r="J1503" s="26"/>
      <c r="K1503" s="26"/>
      <c r="L1503" s="26"/>
      <c r="M1503" s="26"/>
      <c r="N1503" s="26"/>
      <c r="O1503" s="14" t="str">
        <f>HYPERLINK("https://otsuka-europe-crm.veevavault.com/ui/#object/email_activity__v/V8C00000004E499", "EN-002109336")</f>
        <v>EN-002109336</v>
      </c>
    </row>
    <row r="1504" spans="1:15" ht="16" x14ac:dyDescent="0.2">
      <c r="A1504" s="19"/>
      <c r="B1504" s="19"/>
      <c r="C1504" s="19"/>
      <c r="D1504" s="19"/>
      <c r="E1504" s="19"/>
      <c r="F1504" s="19"/>
      <c r="G1504" s="19"/>
      <c r="H1504" s="19"/>
      <c r="I1504" s="19"/>
      <c r="J1504" s="19"/>
      <c r="K1504" s="19"/>
      <c r="L1504" s="19"/>
      <c r="M1504" s="19"/>
      <c r="N1504" s="19"/>
      <c r="O1504" s="14" t="str">
        <f>HYPERLINK("https://otsuka-europe-crm.veevavault.com/ui/#object/email_activity__v/V8C00000004E500", "EN-002109337")</f>
        <v>EN-002109337</v>
      </c>
    </row>
    <row r="1505" spans="1:15" ht="16" x14ac:dyDescent="0.2">
      <c r="A1505" s="18" t="str">
        <f>HYPERLINK("https://otsuka-europe-crm.veevavault.com/ui/#object/account__v/V4TZ06G6OB3YW8J", "CARMEN CALDERON GONZALEZ")</f>
        <v>CARMEN CALDERON GONZALEZ</v>
      </c>
      <c r="B1505" s="18" t="str">
        <f>HYPERLINK("https://otsuka-europe-crm.veevavault.com/ui/#object/vcountry__v/VENZ000004SONF5", "ES")</f>
        <v>ES</v>
      </c>
      <c r="C1505" s="20" t="s">
        <v>39</v>
      </c>
      <c r="D150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05" s="22" t="str">
        <f>HYPERLINK("https://otsuka-europe-crm.veevavault.com/ui/#object/sent_email__v/VBL000000030148", "SE-001439534")</f>
        <v>SE-001439534</v>
      </c>
      <c r="F1505" s="23"/>
      <c r="G1505" s="24">
        <v>0</v>
      </c>
      <c r="H1505" s="24">
        <v>0</v>
      </c>
      <c r="I1505" s="24">
        <v>0</v>
      </c>
      <c r="J1505" s="23"/>
      <c r="K1505" s="24">
        <v>0</v>
      </c>
      <c r="L150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05" s="22" t="str">
        <f>HYPERLINK("mailto:idiez@crm.otsuka-europe.com", "idiez@crm.otsuka-europe.com")</f>
        <v>idiez@crm.otsuka-europe.com</v>
      </c>
      <c r="N1505" s="25">
        <v>46209.348506944443</v>
      </c>
      <c r="O1505" s="14" t="str">
        <f>HYPERLINK("https://otsuka-europe-crm.veevavault.com/ui/#object/email_activity__v/V8C000000043316", "EN-002102228")</f>
        <v>EN-002102228</v>
      </c>
    </row>
    <row r="1506" spans="1:15" ht="16" x14ac:dyDescent="0.2">
      <c r="A1506" s="19"/>
      <c r="B1506" s="19"/>
      <c r="C1506" s="19"/>
      <c r="D1506" s="19"/>
      <c r="E1506" s="19"/>
      <c r="F1506" s="19"/>
      <c r="G1506" s="19"/>
      <c r="H1506" s="19"/>
      <c r="I1506" s="19"/>
      <c r="J1506" s="19"/>
      <c r="K1506" s="19"/>
      <c r="L1506" s="19"/>
      <c r="M1506" s="19"/>
      <c r="N1506" s="19"/>
      <c r="O1506" s="14" t="str">
        <f>HYPERLINK("https://otsuka-europe-crm.veevavault.com/ui/#object/email_activity__v/V8C000000043541", "EN-002102616")</f>
        <v>EN-002102616</v>
      </c>
    </row>
    <row r="1507" spans="1:15" ht="64" x14ac:dyDescent="0.2">
      <c r="A1507" s="7" t="str">
        <f>HYPERLINK("https://otsuka-europe-crm.veevavault.com/ui/#object/account__v/V4TZ04ASGGCGCVC", "ANA LUCIA VALENCIA PELAEZ")</f>
        <v>ANA LUCIA VALENCIA PELAEZ</v>
      </c>
      <c r="B1507" s="7" t="str">
        <f>HYPERLINK("https://otsuka-europe-crm.veevavault.com/ui/#object/vcountry__v/VENZ000004SONF5", "ES")</f>
        <v>ES</v>
      </c>
      <c r="C1507" s="8" t="s">
        <v>39</v>
      </c>
      <c r="D15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07" s="10" t="str">
        <f>HYPERLINK("https://otsuka-europe-crm.veevavault.com/ui/#object/sent_email__v/VBL000000030149", "SE-001439535")</f>
        <v>SE-001439535</v>
      </c>
      <c r="F1507" s="11"/>
      <c r="G1507" s="12">
        <v>0</v>
      </c>
      <c r="H1507" s="12">
        <v>0</v>
      </c>
      <c r="I1507" s="12">
        <v>0</v>
      </c>
      <c r="J1507" s="11"/>
      <c r="K1507" s="12">
        <v>0</v>
      </c>
      <c r="L15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07" s="10" t="str">
        <f>HYPERLINK("mailto:idiez@crm.otsuka-europe.com", "idiez@crm.otsuka-europe.com")</f>
        <v>idiez@crm.otsuka-europe.com</v>
      </c>
      <c r="N1507" s="13">
        <v>46209.348495370374</v>
      </c>
      <c r="O1507" s="14" t="str">
        <f>HYPERLINK("https://otsuka-europe-crm.veevavault.com/ui/#object/email_activity__v/V8C000000043285", "EN-002102197")</f>
        <v>EN-002102197</v>
      </c>
    </row>
    <row r="1508" spans="1:15" ht="64" x14ac:dyDescent="0.2">
      <c r="A1508" s="7" t="str">
        <f>HYPERLINK("https://otsuka-europe-crm.veevavault.com/ui/#object/account__v/V4TZ06G6O71T8CW", "FABIO LUCA PROCACCINI")</f>
        <v>FABIO LUCA PROCACCINI</v>
      </c>
      <c r="B1508" s="7" t="str">
        <f>HYPERLINK("https://otsuka-europe-crm.veevavault.com/ui/#object/vcountry__v/VENZ000004SONF5", "ES")</f>
        <v>ES</v>
      </c>
      <c r="C1508" s="8" t="s">
        <v>39</v>
      </c>
      <c r="D150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08" s="10" t="str">
        <f>HYPERLINK("https://otsuka-europe-crm.veevavault.com/ui/#object/sent_email__v/VBL000000030150", "SE-001439536")</f>
        <v>SE-001439536</v>
      </c>
      <c r="F1508" s="11"/>
      <c r="G1508" s="12">
        <v>0</v>
      </c>
      <c r="H1508" s="12">
        <v>0</v>
      </c>
      <c r="I1508" s="12">
        <v>0</v>
      </c>
      <c r="J1508" s="11"/>
      <c r="K1508" s="12">
        <v>0</v>
      </c>
      <c r="L150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08" s="10" t="str">
        <f>HYPERLINK("mailto:idiez@crm.otsuka-europe.com", "idiez@crm.otsuka-europe.com")</f>
        <v>idiez@crm.otsuka-europe.com</v>
      </c>
      <c r="N1508" s="13">
        <v>46209.348495370374</v>
      </c>
      <c r="O1508" s="14" t="str">
        <f>HYPERLINK("https://otsuka-europe-crm.veevavault.com/ui/#object/email_activity__v/V8C000000043287", "EN-002102199")</f>
        <v>EN-002102199</v>
      </c>
    </row>
    <row r="1509" spans="1:15" ht="16" x14ac:dyDescent="0.2">
      <c r="A1509" s="18" t="str">
        <f>HYPERLINK("https://otsuka-europe-crm.veevavault.com/ui/#object/account__v/V4TZ06G6O71T8TH", "DANAY ARELI TICONA ESPINOZA")</f>
        <v>DANAY ARELI TICONA ESPINOZA</v>
      </c>
      <c r="B1509" s="18" t="str">
        <f>HYPERLINK("https://otsuka-europe-crm.veevavault.com/ui/#object/vcountry__v/VENZ000004SONF5", "ES")</f>
        <v>ES</v>
      </c>
      <c r="C1509" s="20" t="s">
        <v>39</v>
      </c>
      <c r="D150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09" s="22" t="str">
        <f>HYPERLINK("https://otsuka-europe-crm.veevavault.com/ui/#object/sent_email__v/VBL000000030151", "SE-001439537")</f>
        <v>SE-001439537</v>
      </c>
      <c r="F1509" s="23"/>
      <c r="G1509" s="24">
        <v>0</v>
      </c>
      <c r="H1509" s="24">
        <v>0</v>
      </c>
      <c r="I1509" s="24">
        <v>0</v>
      </c>
      <c r="J1509" s="23"/>
      <c r="K1509" s="24">
        <v>0</v>
      </c>
      <c r="L150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09" s="22" t="str">
        <f>HYPERLINK("mailto:idiez@crm.otsuka-europe.com", "idiez@crm.otsuka-europe.com")</f>
        <v>idiez@crm.otsuka-europe.com</v>
      </c>
      <c r="N1509" s="25">
        <v>46209.348495370374</v>
      </c>
      <c r="O1509" s="14" t="str">
        <f>HYPERLINK("https://otsuka-europe-crm.veevavault.com/ui/#object/email_activity__v/V8C000000043299", "EN-002102211")</f>
        <v>EN-002102211</v>
      </c>
    </row>
    <row r="1510" spans="1:15" ht="16" x14ac:dyDescent="0.2">
      <c r="A1510" s="19"/>
      <c r="B1510" s="19"/>
      <c r="C1510" s="19"/>
      <c r="D1510" s="19"/>
      <c r="E1510" s="19"/>
      <c r="F1510" s="19"/>
      <c r="G1510" s="19"/>
      <c r="H1510" s="19"/>
      <c r="I1510" s="19"/>
      <c r="J1510" s="19"/>
      <c r="K1510" s="19"/>
      <c r="L1510" s="19"/>
      <c r="M1510" s="19"/>
      <c r="N1510" s="19"/>
      <c r="O1510" s="14" t="str">
        <f>HYPERLINK("https://otsuka-europe-crm.veevavault.com/ui/#object/email_activity__v/V8C000000043554", "EN-002102638")</f>
        <v>EN-002102638</v>
      </c>
    </row>
    <row r="1511" spans="1:15" ht="64" x14ac:dyDescent="0.2">
      <c r="A1511" s="7" t="str">
        <f>HYPERLINK("https://otsuka-europe-crm.veevavault.com/ui/#object/account__v/V4TZ06G6O71T8D2", "GILDA ALESSANDRA CARREÑO CORNEJO")</f>
        <v>GILDA ALESSANDRA CARREÑO CORNEJO</v>
      </c>
      <c r="B1511" s="7" t="str">
        <f>HYPERLINK("https://otsuka-europe-crm.veevavault.com/ui/#object/vcountry__v/VENZ000004SONF5", "ES")</f>
        <v>ES</v>
      </c>
      <c r="C1511" s="8" t="s">
        <v>39</v>
      </c>
      <c r="D151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11" s="10" t="str">
        <f>HYPERLINK("https://otsuka-europe-crm.veevavault.com/ui/#object/sent_email__v/VBL000000030152", "SE-001439538")</f>
        <v>SE-001439538</v>
      </c>
      <c r="F1511" s="11"/>
      <c r="G1511" s="12">
        <v>0</v>
      </c>
      <c r="H1511" s="12">
        <v>0</v>
      </c>
      <c r="I1511" s="12">
        <v>0</v>
      </c>
      <c r="J1511" s="11"/>
      <c r="K1511" s="12">
        <v>0</v>
      </c>
      <c r="L151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11" s="10" t="str">
        <f>HYPERLINK("mailto:idiez@crm.otsuka-europe.com", "idiez@crm.otsuka-europe.com")</f>
        <v>idiez@crm.otsuka-europe.com</v>
      </c>
      <c r="N1511" s="13">
        <v>46209.348506944443</v>
      </c>
      <c r="O1511" s="14" t="str">
        <f>HYPERLINK("https://otsuka-europe-crm.veevavault.com/ui/#object/email_activity__v/V8C000000043318", "EN-002102230")</f>
        <v>EN-002102230</v>
      </c>
    </row>
    <row r="1512" spans="1:15" ht="16" x14ac:dyDescent="0.2">
      <c r="A1512" s="18" t="str">
        <f>HYPERLINK("https://otsuka-europe-crm.veevavault.com/ui/#object/account__v/V4TZ06G6O71T8D1", "GABRIEL LEDESMA SANCHEZ")</f>
        <v>GABRIEL LEDESMA SANCHEZ</v>
      </c>
      <c r="B1512" s="18" t="str">
        <f>HYPERLINK("https://otsuka-europe-crm.veevavault.com/ui/#object/vcountry__v/VENZ000004SONF5", "ES")</f>
        <v>ES</v>
      </c>
      <c r="C1512" s="20" t="s">
        <v>39</v>
      </c>
      <c r="D151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12" s="22" t="str">
        <f>HYPERLINK("https://otsuka-europe-crm.veevavault.com/ui/#object/sent_email__v/VBL000000030153", "SE-001439539")</f>
        <v>SE-001439539</v>
      </c>
      <c r="F1512" s="23"/>
      <c r="G1512" s="24">
        <v>0</v>
      </c>
      <c r="H1512" s="24">
        <v>0</v>
      </c>
      <c r="I1512" s="24">
        <v>0</v>
      </c>
      <c r="J1512" s="23"/>
      <c r="K1512" s="24">
        <v>0</v>
      </c>
      <c r="L151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12" s="22" t="str">
        <f>HYPERLINK("mailto:idiez@crm.otsuka-europe.com", "idiez@crm.otsuka-europe.com")</f>
        <v>idiez@crm.otsuka-europe.com</v>
      </c>
      <c r="N1512" s="25">
        <v>46209.348495370374</v>
      </c>
      <c r="O1512" s="14" t="str">
        <f>HYPERLINK("https://otsuka-europe-crm.veevavault.com/ui/#object/email_activity__v/V8C000000043305", "EN-002102217")</f>
        <v>EN-002102217</v>
      </c>
    </row>
    <row r="1513" spans="1:15" ht="16" x14ac:dyDescent="0.2">
      <c r="A1513" s="19"/>
      <c r="B1513" s="19"/>
      <c r="C1513" s="19"/>
      <c r="D1513" s="19"/>
      <c r="E1513" s="19"/>
      <c r="F1513" s="19"/>
      <c r="G1513" s="19"/>
      <c r="H1513" s="19"/>
      <c r="I1513" s="19"/>
      <c r="J1513" s="19"/>
      <c r="K1513" s="19"/>
      <c r="L1513" s="19"/>
      <c r="M1513" s="19"/>
      <c r="N1513" s="19"/>
      <c r="O1513" s="14" t="str">
        <f>HYPERLINK("https://otsuka-europe-crm.veevavault.com/ui/#object/email_activity__v/V8C000000044862", "EN-002103308")</f>
        <v>EN-002103308</v>
      </c>
    </row>
    <row r="1514" spans="1:15" ht="16" x14ac:dyDescent="0.2">
      <c r="A1514" s="18" t="str">
        <f>HYPERLINK("https://otsuka-europe-crm.veevavault.com/ui/#object/account__v/V4TZ06G6O71T7K5", "BORJA QUIROGA GILI")</f>
        <v>BORJA QUIROGA GILI</v>
      </c>
      <c r="B1514" s="18" t="str">
        <f>HYPERLINK("https://otsuka-europe-crm.veevavault.com/ui/#object/vcountry__v/VENZ000004SONF5", "ES")</f>
        <v>ES</v>
      </c>
      <c r="C1514" s="20" t="s">
        <v>39</v>
      </c>
      <c r="D151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14" s="22" t="str">
        <f>HYPERLINK("https://otsuka-europe-crm.veevavault.com/ui/#object/sent_email__v/VBL000000030154", "SE-001439540")</f>
        <v>SE-001439540</v>
      </c>
      <c r="F1514" s="25">
        <v>46209.365208333336</v>
      </c>
      <c r="G1514" s="24">
        <v>1</v>
      </c>
      <c r="H1514" s="24">
        <v>2</v>
      </c>
      <c r="I1514" s="24">
        <v>0</v>
      </c>
      <c r="J1514" s="23"/>
      <c r="K1514" s="24">
        <v>0</v>
      </c>
      <c r="L151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14" s="22" t="str">
        <f>HYPERLINK("mailto:idiez@crm.otsuka-europe.com", "idiez@crm.otsuka-europe.com")</f>
        <v>idiez@crm.otsuka-europe.com</v>
      </c>
      <c r="N1514" s="25">
        <v>46209.348506944443</v>
      </c>
      <c r="O1514" s="14" t="str">
        <f>HYPERLINK("https://otsuka-europe-crm.veevavault.com/ui/#object/email_activity__v/V8C000000043315", "EN-002102227")</f>
        <v>EN-002102227</v>
      </c>
    </row>
    <row r="1515" spans="1:15" ht="16" x14ac:dyDescent="0.2">
      <c r="A1515" s="26"/>
      <c r="B1515" s="26"/>
      <c r="C1515" s="26"/>
      <c r="D1515" s="26"/>
      <c r="E1515" s="26"/>
      <c r="F1515" s="26"/>
      <c r="G1515" s="26"/>
      <c r="H1515" s="26"/>
      <c r="I1515" s="26"/>
      <c r="J1515" s="26"/>
      <c r="K1515" s="26"/>
      <c r="L1515" s="26"/>
      <c r="M1515" s="26"/>
      <c r="N1515" s="26"/>
      <c r="O1515" s="14" t="str">
        <f>HYPERLINK("https://otsuka-europe-crm.veevavault.com/ui/#object/email_activity__v/V8C000000044377", "EN-002102331")</f>
        <v>EN-002102331</v>
      </c>
    </row>
    <row r="1516" spans="1:15" ht="16" x14ac:dyDescent="0.2">
      <c r="A1516" s="19"/>
      <c r="B1516" s="19"/>
      <c r="C1516" s="19"/>
      <c r="D1516" s="19"/>
      <c r="E1516" s="19"/>
      <c r="F1516" s="19"/>
      <c r="G1516" s="19"/>
      <c r="H1516" s="19"/>
      <c r="I1516" s="19"/>
      <c r="J1516" s="19"/>
      <c r="K1516" s="19"/>
      <c r="L1516" s="19"/>
      <c r="M1516" s="19"/>
      <c r="N1516" s="19"/>
      <c r="O1516" s="14" t="str">
        <f>HYPERLINK("https://otsuka-europe-crm.veevavault.com/ui/#object/email_activity__v/V8C000000044391", "EN-002102355")</f>
        <v>EN-002102355</v>
      </c>
    </row>
    <row r="1517" spans="1:15" ht="64" x14ac:dyDescent="0.2">
      <c r="A1517" s="7" t="str">
        <f>HYPERLINK("https://otsuka-europe-crm.veevavault.com/ui/#object/account__v/V4TZ06G6OBIJK73", "CAROLINA FONSECA DE JESUS SILVA")</f>
        <v>CAROLINA FONSECA DE JESUS SILVA</v>
      </c>
      <c r="B1517" s="7" t="str">
        <f>HYPERLINK("https://otsuka-europe-crm.veevavault.com/ui/#object/vcountry__v/VENZ000004SONF5", "ES")</f>
        <v>ES</v>
      </c>
      <c r="C1517" s="8" t="s">
        <v>39</v>
      </c>
      <c r="D151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17" s="10" t="str">
        <f>HYPERLINK("https://otsuka-europe-crm.veevavault.com/ui/#object/sent_email__v/VBL000000030155", "SE-001439541")</f>
        <v>SE-001439541</v>
      </c>
      <c r="F1517" s="11"/>
      <c r="G1517" s="12">
        <v>0</v>
      </c>
      <c r="H1517" s="12">
        <v>0</v>
      </c>
      <c r="I1517" s="12">
        <v>0</v>
      </c>
      <c r="J1517" s="11"/>
      <c r="K1517" s="12">
        <v>0</v>
      </c>
      <c r="L151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17" s="10" t="str">
        <f>HYPERLINK("mailto:idiez@crm.otsuka-europe.com", "idiez@crm.otsuka-europe.com")</f>
        <v>idiez@crm.otsuka-europe.com</v>
      </c>
      <c r="N1517" s="13">
        <v>46209.34847222222</v>
      </c>
      <c r="O1517" s="14" t="str">
        <f>HYPERLINK("https://otsuka-europe-crm.veevavault.com/ui/#object/email_activity__v/V8C000000043295", "EN-002102207")</f>
        <v>EN-002102207</v>
      </c>
    </row>
    <row r="1518" spans="1:15" ht="16" x14ac:dyDescent="0.2">
      <c r="A1518" s="18" t="str">
        <f>HYPERLINK("https://otsuka-europe-crm.veevavault.com/ui/#object/account__v/V4TZ04ASGBJBXKV", "CATERINE VANESA MARTINEZ ROSERO")</f>
        <v>CATERINE VANESA MARTINEZ ROSERO</v>
      </c>
      <c r="B1518" s="18" t="str">
        <f>HYPERLINK("https://otsuka-europe-crm.veevavault.com/ui/#object/vcountry__v/VENZ000004SONF5", "ES")</f>
        <v>ES</v>
      </c>
      <c r="C1518" s="20" t="s">
        <v>39</v>
      </c>
      <c r="D151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18" s="22" t="str">
        <f>HYPERLINK("https://otsuka-europe-crm.veevavault.com/ui/#object/sent_email__v/VBL000000030156", "SE-001439542")</f>
        <v>SE-001439542</v>
      </c>
      <c r="F1518" s="25">
        <v>46225.688506944447</v>
      </c>
      <c r="G1518" s="24">
        <v>1</v>
      </c>
      <c r="H1518" s="24">
        <v>1</v>
      </c>
      <c r="I1518" s="24">
        <v>0</v>
      </c>
      <c r="J1518" s="23"/>
      <c r="K1518" s="24">
        <v>0</v>
      </c>
      <c r="L151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18" s="22" t="str">
        <f>HYPERLINK("mailto:idiez@crm.otsuka-europe.com", "idiez@crm.otsuka-europe.com")</f>
        <v>idiez@crm.otsuka-europe.com</v>
      </c>
      <c r="N1518" s="25">
        <v>46209.348495370374</v>
      </c>
      <c r="O1518" s="14" t="str">
        <f>HYPERLINK("https://otsuka-europe-crm.veevavault.com/ui/#object/email_activity__v/V8C000000043283", "EN-002102195")</f>
        <v>EN-002102195</v>
      </c>
    </row>
    <row r="1519" spans="1:15" ht="16" x14ac:dyDescent="0.2">
      <c r="A1519" s="19"/>
      <c r="B1519" s="19"/>
      <c r="C1519" s="19"/>
      <c r="D1519" s="19"/>
      <c r="E1519" s="19"/>
      <c r="F1519" s="19"/>
      <c r="G1519" s="19"/>
      <c r="H1519" s="19"/>
      <c r="I1519" s="19"/>
      <c r="J1519" s="19"/>
      <c r="K1519" s="19"/>
      <c r="L1519" s="19"/>
      <c r="M1519" s="19"/>
      <c r="N1519" s="19"/>
      <c r="O1519" s="14" t="str">
        <f>HYPERLINK("https://otsuka-europe-crm.veevavault.com/ui/#object/email_activity__v/V8C00000004B290", "EN-002107231")</f>
        <v>EN-002107231</v>
      </c>
    </row>
    <row r="1520" spans="1:15" ht="16" x14ac:dyDescent="0.2">
      <c r="A1520" s="18" t="str">
        <f>HYPERLINK("https://otsuka-europe-crm.veevavault.com/ui/#object/account__v/V4TZ06G6O71TCNC", "ANA MARIA HUERTA ARROYO")</f>
        <v>ANA MARIA HUERTA ARROYO</v>
      </c>
      <c r="B1520" s="18" t="str">
        <f>HYPERLINK("https://otsuka-europe-crm.veevavault.com/ui/#object/vcountry__v/VENZ000004SONF5", "ES")</f>
        <v>ES</v>
      </c>
      <c r="C1520" s="20" t="s">
        <v>39</v>
      </c>
      <c r="D15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20" s="22" t="str">
        <f>HYPERLINK("https://otsuka-europe-crm.veevavault.com/ui/#object/sent_email__v/VBL000000030157", "SE-001439543")</f>
        <v>SE-001439543</v>
      </c>
      <c r="F1520" s="25">
        <v>46209.572384259256</v>
      </c>
      <c r="G1520" s="24">
        <v>1</v>
      </c>
      <c r="H1520" s="24">
        <v>3</v>
      </c>
      <c r="I1520" s="24">
        <v>0</v>
      </c>
      <c r="J1520" s="23"/>
      <c r="K1520" s="24">
        <v>0</v>
      </c>
      <c r="L15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20" s="22" t="str">
        <f>HYPERLINK("mailto:idiez@crm.otsuka-europe.com", "idiez@crm.otsuka-europe.com")</f>
        <v>idiez@crm.otsuka-europe.com</v>
      </c>
      <c r="N1520" s="25">
        <v>46209.348495370374</v>
      </c>
      <c r="O1520" s="14" t="str">
        <f>HYPERLINK("https://otsuka-europe-crm.veevavault.com/ui/#object/email_activity__v/V8C000000043322", "EN-002102234")</f>
        <v>EN-002102234</v>
      </c>
    </row>
    <row r="1521" spans="1:15" ht="16" x14ac:dyDescent="0.2">
      <c r="A1521" s="26"/>
      <c r="B1521" s="26"/>
      <c r="C1521" s="26"/>
      <c r="D1521" s="26"/>
      <c r="E1521" s="26"/>
      <c r="F1521" s="26"/>
      <c r="G1521" s="26"/>
      <c r="H1521" s="26"/>
      <c r="I1521" s="26"/>
      <c r="J1521" s="26"/>
      <c r="K1521" s="26"/>
      <c r="L1521" s="26"/>
      <c r="M1521" s="26"/>
      <c r="N1521" s="26"/>
      <c r="O1521" s="14" t="str">
        <f>HYPERLINK("https://otsuka-europe-crm.veevavault.com/ui/#object/email_activity__v/V8C000000043490", "EN-002102512")</f>
        <v>EN-002102512</v>
      </c>
    </row>
    <row r="1522" spans="1:15" ht="16" x14ac:dyDescent="0.2">
      <c r="A1522" s="26"/>
      <c r="B1522" s="26"/>
      <c r="C1522" s="26"/>
      <c r="D1522" s="26"/>
      <c r="E1522" s="26"/>
      <c r="F1522" s="26"/>
      <c r="G1522" s="26"/>
      <c r="H1522" s="26"/>
      <c r="I1522" s="26"/>
      <c r="J1522" s="26"/>
      <c r="K1522" s="26"/>
      <c r="L1522" s="26"/>
      <c r="M1522" s="26"/>
      <c r="N1522" s="26"/>
      <c r="O1522" s="14" t="str">
        <f>HYPERLINK("https://otsuka-europe-crm.veevavault.com/ui/#object/email_activity__v/V8C000000044390", "EN-002102354")</f>
        <v>EN-002102354</v>
      </c>
    </row>
    <row r="1523" spans="1:15" ht="16" x14ac:dyDescent="0.2">
      <c r="A1523" s="26"/>
      <c r="B1523" s="26"/>
      <c r="C1523" s="26"/>
      <c r="D1523" s="26"/>
      <c r="E1523" s="26"/>
      <c r="F1523" s="26"/>
      <c r="G1523" s="26"/>
      <c r="H1523" s="26"/>
      <c r="I1523" s="26"/>
      <c r="J1523" s="26"/>
      <c r="K1523" s="26"/>
      <c r="L1523" s="26"/>
      <c r="M1523" s="26"/>
      <c r="N1523" s="26"/>
      <c r="O1523" s="14" t="str">
        <f>HYPERLINK("https://otsuka-europe-crm.veevavault.com/ui/#object/email_activity__v/V8C000000044457", "EN-002102491")</f>
        <v>EN-002102491</v>
      </c>
    </row>
    <row r="1524" spans="1:15" ht="16" x14ac:dyDescent="0.2">
      <c r="A1524" s="19"/>
      <c r="B1524" s="19"/>
      <c r="C1524" s="19"/>
      <c r="D1524" s="19"/>
      <c r="E1524" s="19"/>
      <c r="F1524" s="19"/>
      <c r="G1524" s="19"/>
      <c r="H1524" s="19"/>
      <c r="I1524" s="19"/>
      <c r="J1524" s="19"/>
      <c r="K1524" s="19"/>
      <c r="L1524" s="19"/>
      <c r="M1524" s="19"/>
      <c r="N1524" s="19"/>
      <c r="O1524" s="14" t="str">
        <f>HYPERLINK("https://otsuka-europe-crm.veevavault.com/ui/#object/email_activity__v/V8C000000044520", "EN-002102617")</f>
        <v>EN-002102617</v>
      </c>
    </row>
    <row r="1525" spans="1:15" ht="64" x14ac:dyDescent="0.2">
      <c r="A1525" s="7" t="str">
        <f>HYPERLINK("https://otsuka-europe-crm.veevavault.com/ui/#object/account__v/V4TZ04ASGGCGCR6", "AYA MOULTAMIS")</f>
        <v>AYA MOULTAMIS</v>
      </c>
      <c r="B1525" s="7" t="str">
        <f>HYPERLINK("https://otsuka-europe-crm.veevavault.com/ui/#object/vcountry__v/VENZ000004SONF5", "ES")</f>
        <v>ES</v>
      </c>
      <c r="C1525" s="8" t="s">
        <v>39</v>
      </c>
      <c r="D152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1525" s="10" t="str">
        <f>HYPERLINK("https://otsuka-europe-crm.veevavault.com/ui/#object/sent_email__v/VBL000000030158", "SE-001439544")</f>
        <v>SE-001439544</v>
      </c>
      <c r="F1525" s="11"/>
      <c r="G1525" s="12">
        <v>0</v>
      </c>
      <c r="H1525" s="12">
        <v>0</v>
      </c>
      <c r="I1525" s="12">
        <v>0</v>
      </c>
      <c r="J1525" s="11"/>
      <c r="K1525" s="12">
        <v>0</v>
      </c>
      <c r="L152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1525" s="10" t="str">
        <f>HYPERLINK("mailto:idiez@crm.otsuka-europe.com", "idiez@crm.otsuka-europe.com")</f>
        <v>idiez@crm.otsuka-europe.com</v>
      </c>
      <c r="N1525" s="13">
        <v>46209.348495370374</v>
      </c>
      <c r="O1525" s="14" t="str">
        <f>HYPERLINK("https://otsuka-europe-crm.veevavault.com/ui/#object/email_activity__v/V8C000000043312", "EN-002102224")</f>
        <v>EN-002102224</v>
      </c>
    </row>
    <row r="1526" spans="1:15" ht="16" x14ac:dyDescent="0.2">
      <c r="A1526" s="18" t="str">
        <f>HYPERLINK("https://otsuka-europe-crm.veevavault.com/ui/#object/account__v/V4TZ04ASGBX0ZKL", "CLARA MORIANO MORALES")</f>
        <v>CLARA MORIANO MORALES</v>
      </c>
      <c r="B1526" s="18" t="str">
        <f>HYPERLINK("https://otsuka-europe-crm.veevavault.com/ui/#object/vcountry__v/VENZ000004SONF5", "ES")</f>
        <v>ES</v>
      </c>
      <c r="C1526" s="20" t="s">
        <v>39</v>
      </c>
      <c r="D152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26" s="22" t="str">
        <f>HYPERLINK("https://otsuka-europe-crm.veevavault.com/ui/#object/sent_email__v/VBL000000030159", "SE-001439545")</f>
        <v>SE-001439545</v>
      </c>
      <c r="F1526" s="25">
        <v>46216.687523148146</v>
      </c>
      <c r="G1526" s="24">
        <v>1</v>
      </c>
      <c r="H1526" s="24">
        <v>1</v>
      </c>
      <c r="I1526" s="24">
        <v>1</v>
      </c>
      <c r="J1526" s="25">
        <v>46216.687615740739</v>
      </c>
      <c r="K1526" s="24">
        <v>1</v>
      </c>
      <c r="L152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26" s="22" t="str">
        <f>HYPERLINK("mailto:idiez@crm.otsuka-europe.com", "idiez@crm.otsuka-europe.com")</f>
        <v>idiez@crm.otsuka-europe.com</v>
      </c>
      <c r="N1526" s="25">
        <v>46209.348865740743</v>
      </c>
      <c r="O1526" s="14" t="str">
        <f>HYPERLINK("https://otsuka-europe-crm.veevavault.com/ui/#object/email_activity__v/V8C000000043325", "EN-002102237")</f>
        <v>EN-002102237</v>
      </c>
    </row>
    <row r="1527" spans="1:15" ht="16" x14ac:dyDescent="0.2">
      <c r="A1527" s="26"/>
      <c r="B1527" s="26"/>
      <c r="C1527" s="26"/>
      <c r="D1527" s="26"/>
      <c r="E1527" s="26"/>
      <c r="F1527" s="26"/>
      <c r="G1527" s="26"/>
      <c r="H1527" s="26"/>
      <c r="I1527" s="26"/>
      <c r="J1527" s="26"/>
      <c r="K1527" s="26"/>
      <c r="L1527" s="26"/>
      <c r="M1527" s="26"/>
      <c r="N1527" s="26"/>
      <c r="O1527" s="14" t="str">
        <f>HYPERLINK("https://otsuka-europe-crm.veevavault.com/ui/#object/email_activity__v/V8C000000043548", "EN-002102632")</f>
        <v>EN-002102632</v>
      </c>
    </row>
    <row r="1528" spans="1:15" ht="16" x14ac:dyDescent="0.2">
      <c r="A1528" s="26"/>
      <c r="B1528" s="26"/>
      <c r="C1528" s="26"/>
      <c r="D1528" s="26"/>
      <c r="E1528" s="26"/>
      <c r="F1528" s="26"/>
      <c r="G1528" s="26"/>
      <c r="H1528" s="26"/>
      <c r="I1528" s="26"/>
      <c r="J1528" s="26"/>
      <c r="K1528" s="26"/>
      <c r="L1528" s="26"/>
      <c r="M1528" s="26"/>
      <c r="N1528" s="26"/>
      <c r="O1528" s="14" t="str">
        <f>HYPERLINK("https://otsuka-europe-crm.veevavault.com/ui/#object/email_activity__v/V8C000000049410", "EN-002105591")</f>
        <v>EN-002105591</v>
      </c>
    </row>
    <row r="1529" spans="1:15" ht="16" x14ac:dyDescent="0.2">
      <c r="A1529" s="19"/>
      <c r="B1529" s="19"/>
      <c r="C1529" s="19"/>
      <c r="D1529" s="19"/>
      <c r="E1529" s="19"/>
      <c r="F1529" s="19"/>
      <c r="G1529" s="19"/>
      <c r="H1529" s="19"/>
      <c r="I1529" s="19"/>
      <c r="J1529" s="19"/>
      <c r="K1529" s="19"/>
      <c r="L1529" s="19"/>
      <c r="M1529" s="19"/>
      <c r="N1529" s="19"/>
      <c r="O1529" s="14" t="str">
        <f>HYPERLINK("https://otsuka-europe-crm.veevavault.com/ui/#object/email_activity__v/V8C00000004A316", "EN-002105593")</f>
        <v>EN-002105593</v>
      </c>
    </row>
    <row r="1530" spans="1:15" ht="16" x14ac:dyDescent="0.2">
      <c r="A1530" s="18" t="str">
        <f>HYPERLINK("https://otsuka-europe-crm.veevavault.com/ui/#object/account__v/V4TZ04ASGC4A8H6", "HELENA MARIA AMAR MUÑOZ")</f>
        <v>HELENA MARIA AMAR MUÑOZ</v>
      </c>
      <c r="B1530" s="18" t="str">
        <f>HYPERLINK("https://otsuka-europe-crm.veevavault.com/ui/#object/vcountry__v/VENZ000004SONF5", "ES")</f>
        <v>ES</v>
      </c>
      <c r="C1530" s="20" t="s">
        <v>39</v>
      </c>
      <c r="D153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30" s="22" t="str">
        <f>HYPERLINK("https://otsuka-europe-crm.veevavault.com/ui/#object/sent_email__v/VBL000000030160", "SE-001439546")</f>
        <v>SE-001439546</v>
      </c>
      <c r="F1530" s="25">
        <v>46209.448692129627</v>
      </c>
      <c r="G1530" s="24">
        <v>1</v>
      </c>
      <c r="H1530" s="24">
        <v>2</v>
      </c>
      <c r="I1530" s="24">
        <v>0</v>
      </c>
      <c r="J1530" s="23"/>
      <c r="K1530" s="24">
        <v>0</v>
      </c>
      <c r="L153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30" s="22" t="str">
        <f>HYPERLINK("mailto:idiez@crm.otsuka-europe.com", "idiez@crm.otsuka-europe.com")</f>
        <v>idiez@crm.otsuka-europe.com</v>
      </c>
      <c r="N1530" s="25">
        <v>46209.348877314813</v>
      </c>
      <c r="O1530" s="14" t="str">
        <f>HYPERLINK("https://otsuka-europe-crm.veevavault.com/ui/#object/email_activity__v/V8C000000043348", "EN-002102260")</f>
        <v>EN-002102260</v>
      </c>
    </row>
    <row r="1531" spans="1:15" ht="16" x14ac:dyDescent="0.2">
      <c r="A1531" s="26"/>
      <c r="B1531" s="26"/>
      <c r="C1531" s="26"/>
      <c r="D1531" s="26"/>
      <c r="E1531" s="26"/>
      <c r="F1531" s="26"/>
      <c r="G1531" s="26"/>
      <c r="H1531" s="26"/>
      <c r="I1531" s="26"/>
      <c r="J1531" s="26"/>
      <c r="K1531" s="26"/>
      <c r="L1531" s="26"/>
      <c r="M1531" s="26"/>
      <c r="N1531" s="26"/>
      <c r="O1531" s="14" t="str">
        <f>HYPERLINK("https://otsuka-europe-crm.veevavault.com/ui/#object/email_activity__v/V8C000000043461", "EN-002102446")</f>
        <v>EN-002102446</v>
      </c>
    </row>
    <row r="1532" spans="1:15" ht="16" x14ac:dyDescent="0.2">
      <c r="A1532" s="19"/>
      <c r="B1532" s="19"/>
      <c r="C1532" s="19"/>
      <c r="D1532" s="19"/>
      <c r="E1532" s="19"/>
      <c r="F1532" s="19"/>
      <c r="G1532" s="19"/>
      <c r="H1532" s="19"/>
      <c r="I1532" s="19"/>
      <c r="J1532" s="19"/>
      <c r="K1532" s="19"/>
      <c r="L1532" s="19"/>
      <c r="M1532" s="19"/>
      <c r="N1532" s="19"/>
      <c r="O1532" s="14" t="str">
        <f>HYPERLINK("https://otsuka-europe-crm.veevavault.com/ui/#object/email_activity__v/V8C000000044429", "EN-002102445")</f>
        <v>EN-002102445</v>
      </c>
    </row>
    <row r="1533" spans="1:15" ht="16" x14ac:dyDescent="0.2">
      <c r="A1533" s="18" t="str">
        <f>HYPERLINK("https://otsuka-europe-crm.veevavault.com/ui/#object/account__v/V4T00000001P116", "MARINA PAVIA PASCUAL")</f>
        <v>MARINA PAVIA PASCUAL</v>
      </c>
      <c r="B1533" s="18" t="str">
        <f>HYPERLINK("https://otsuka-europe-crm.veevavault.com/ui/#object/vcountry__v/VENZ000004SONF5", "ES")</f>
        <v>ES</v>
      </c>
      <c r="C1533" s="20" t="s">
        <v>39</v>
      </c>
      <c r="D153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33" s="22" t="str">
        <f>HYPERLINK("https://otsuka-europe-crm.veevavault.com/ui/#object/sent_email__v/VBL000000030161", "SE-001439547")</f>
        <v>SE-001439547</v>
      </c>
      <c r="F1533" s="23"/>
      <c r="G1533" s="24">
        <v>0</v>
      </c>
      <c r="H1533" s="24">
        <v>0</v>
      </c>
      <c r="I1533" s="24">
        <v>0</v>
      </c>
      <c r="J1533" s="23"/>
      <c r="K1533" s="24">
        <v>0</v>
      </c>
      <c r="L153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33" s="22" t="str">
        <f>HYPERLINK("mailto:idiez@crm.otsuka-europe.com", "idiez@crm.otsuka-europe.com")</f>
        <v>idiez@crm.otsuka-europe.com</v>
      </c>
      <c r="N1533" s="25">
        <v>46209.348865740743</v>
      </c>
      <c r="O1533" s="14" t="str">
        <f>HYPERLINK("https://otsuka-europe-crm.veevavault.com/ui/#object/email_activity__v/V8C000000043345", "EN-002102257")</f>
        <v>EN-002102257</v>
      </c>
    </row>
    <row r="1534" spans="1:15" ht="16" x14ac:dyDescent="0.2">
      <c r="A1534" s="26"/>
      <c r="B1534" s="26"/>
      <c r="C1534" s="26"/>
      <c r="D1534" s="26"/>
      <c r="E1534" s="26"/>
      <c r="F1534" s="26"/>
      <c r="G1534" s="26"/>
      <c r="H1534" s="26"/>
      <c r="I1534" s="26"/>
      <c r="J1534" s="26"/>
      <c r="K1534" s="26"/>
      <c r="L1534" s="26"/>
      <c r="M1534" s="26"/>
      <c r="N1534" s="26"/>
      <c r="O1534" s="14" t="str">
        <f>HYPERLINK("https://otsuka-europe-crm.veevavault.com/ui/#object/email_activity__v/V8C000000044500", "EN-002102575")</f>
        <v>EN-002102575</v>
      </c>
    </row>
    <row r="1535" spans="1:15" ht="16" x14ac:dyDescent="0.2">
      <c r="A1535" s="19"/>
      <c r="B1535" s="19"/>
      <c r="C1535" s="19"/>
      <c r="D1535" s="19"/>
      <c r="E1535" s="19"/>
      <c r="F1535" s="19"/>
      <c r="G1535" s="19"/>
      <c r="H1535" s="19"/>
      <c r="I1535" s="19"/>
      <c r="J1535" s="19"/>
      <c r="K1535" s="19"/>
      <c r="L1535" s="19"/>
      <c r="M1535" s="19"/>
      <c r="N1535" s="19"/>
      <c r="O1535" s="14" t="str">
        <f>HYPERLINK("https://otsuka-europe-crm.veevavault.com/ui/#object/email_activity__v/V8C000000049065", "EN-002104993")</f>
        <v>EN-002104993</v>
      </c>
    </row>
    <row r="1536" spans="1:15" ht="16" x14ac:dyDescent="0.2">
      <c r="A1536" s="18" t="str">
        <f>HYPERLINK("https://otsuka-europe-crm.veevavault.com/ui/#object/account__v/V4T000000024011", "XIMENA ELIZABETH LARCO ROJAS")</f>
        <v>XIMENA ELIZABETH LARCO ROJAS</v>
      </c>
      <c r="B1536" s="18" t="str">
        <f>HYPERLINK("https://otsuka-europe-crm.veevavault.com/ui/#object/vcountry__v/VENZ000004SONF5", "ES")</f>
        <v>ES</v>
      </c>
      <c r="C1536" s="20" t="s">
        <v>39</v>
      </c>
      <c r="D153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36" s="22" t="str">
        <f>HYPERLINK("https://otsuka-europe-crm.veevavault.com/ui/#object/sent_email__v/VBL000000030162", "SE-001439548")</f>
        <v>SE-001439548</v>
      </c>
      <c r="F1536" s="25">
        <v>46209.374085648145</v>
      </c>
      <c r="G1536" s="24">
        <v>1</v>
      </c>
      <c r="H1536" s="24">
        <v>1</v>
      </c>
      <c r="I1536" s="24">
        <v>0</v>
      </c>
      <c r="J1536" s="23"/>
      <c r="K1536" s="24">
        <v>0</v>
      </c>
      <c r="L153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36" s="22" t="str">
        <f>HYPERLINK("mailto:idiez@crm.otsuka-europe.com", "idiez@crm.otsuka-europe.com")</f>
        <v>idiez@crm.otsuka-europe.com</v>
      </c>
      <c r="N1536" s="25">
        <v>46209.348877314813</v>
      </c>
      <c r="O1536" s="14" t="str">
        <f>HYPERLINK("https://otsuka-europe-crm.veevavault.com/ui/#object/email_activity__v/V8C000000043343", "EN-002102255")</f>
        <v>EN-002102255</v>
      </c>
    </row>
    <row r="1537" spans="1:15" ht="16" x14ac:dyDescent="0.2">
      <c r="A1537" s="19"/>
      <c r="B1537" s="19"/>
      <c r="C1537" s="19"/>
      <c r="D1537" s="19"/>
      <c r="E1537" s="19"/>
      <c r="F1537" s="19"/>
      <c r="G1537" s="19"/>
      <c r="H1537" s="19"/>
      <c r="I1537" s="19"/>
      <c r="J1537" s="19"/>
      <c r="K1537" s="19"/>
      <c r="L1537" s="19"/>
      <c r="M1537" s="19"/>
      <c r="N1537" s="19"/>
      <c r="O1537" s="14" t="str">
        <f>HYPERLINK("https://otsuka-europe-crm.veevavault.com/ui/#object/email_activity__v/V8C000000044396", "EN-002102365")</f>
        <v>EN-002102365</v>
      </c>
    </row>
    <row r="1538" spans="1:15" ht="16" x14ac:dyDescent="0.2">
      <c r="A1538" s="18" t="str">
        <f>HYPERLINK("https://otsuka-europe-crm.veevavault.com/ui/#object/account__v/V4TZ025E8918EA6", "MARIA RODRIGUEZ LAGUNA")</f>
        <v>MARIA RODRIGUEZ LAGUNA</v>
      </c>
      <c r="B1538" s="18" t="str">
        <f>HYPERLINK("https://otsuka-europe-crm.veevavault.com/ui/#object/vcountry__v/VENZ000004SONF5", "ES")</f>
        <v>ES</v>
      </c>
      <c r="C1538" s="20" t="s">
        <v>39</v>
      </c>
      <c r="D153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38" s="22" t="str">
        <f>HYPERLINK("https://otsuka-europe-crm.veevavault.com/ui/#object/sent_email__v/VBL000000030163", "SE-001439549")</f>
        <v>SE-001439549</v>
      </c>
      <c r="F1538" s="23"/>
      <c r="G1538" s="24">
        <v>0</v>
      </c>
      <c r="H1538" s="24">
        <v>0</v>
      </c>
      <c r="I1538" s="24">
        <v>0</v>
      </c>
      <c r="J1538" s="23"/>
      <c r="K1538" s="24">
        <v>0</v>
      </c>
      <c r="L153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38" s="22" t="str">
        <f>HYPERLINK("mailto:idiez@crm.otsuka-europe.com", "idiez@crm.otsuka-europe.com")</f>
        <v>idiez@crm.otsuka-europe.com</v>
      </c>
      <c r="N1538" s="25">
        <v>46209.348877314813</v>
      </c>
      <c r="O1538" s="14" t="str">
        <f>HYPERLINK("https://otsuka-europe-crm.veevavault.com/ui/#object/email_activity__v/V8C000000043347", "EN-002102259")</f>
        <v>EN-002102259</v>
      </c>
    </row>
    <row r="1539" spans="1:15" ht="16" x14ac:dyDescent="0.2">
      <c r="A1539" s="19"/>
      <c r="B1539" s="19"/>
      <c r="C1539" s="19"/>
      <c r="D1539" s="19"/>
      <c r="E1539" s="19"/>
      <c r="F1539" s="19"/>
      <c r="G1539" s="19"/>
      <c r="H1539" s="19"/>
      <c r="I1539" s="19"/>
      <c r="J1539" s="19"/>
      <c r="K1539" s="19"/>
      <c r="L1539" s="19"/>
      <c r="M1539" s="19"/>
      <c r="N1539" s="19"/>
      <c r="O1539" s="14" t="str">
        <f>HYPERLINK("https://otsuka-europe-crm.veevavault.com/ui/#object/email_activity__v/V8C000000043544", "EN-002102624")</f>
        <v>EN-002102624</v>
      </c>
    </row>
    <row r="1540" spans="1:15" ht="16" x14ac:dyDescent="0.2">
      <c r="A1540" s="18" t="str">
        <f>HYPERLINK("https://otsuka-europe-crm.veevavault.com/ui/#object/account__v/V4TZ04ASGAC2YV4", "DORCAS CAJIGAS PEZO")</f>
        <v>DORCAS CAJIGAS PEZO</v>
      </c>
      <c r="B1540" s="18" t="str">
        <f>HYPERLINK("https://otsuka-europe-crm.veevavault.com/ui/#object/vcountry__v/VENZ000004SONF5", "ES")</f>
        <v>ES</v>
      </c>
      <c r="C1540" s="20" t="s">
        <v>39</v>
      </c>
      <c r="D154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40" s="22" t="str">
        <f>HYPERLINK("https://otsuka-europe-crm.veevavault.com/ui/#object/sent_email__v/VBL000000030164", "SE-001439550")</f>
        <v>SE-001439550</v>
      </c>
      <c r="F1540" s="25">
        <v>46211.79178240741</v>
      </c>
      <c r="G1540" s="24">
        <v>1</v>
      </c>
      <c r="H1540" s="24">
        <v>1</v>
      </c>
      <c r="I1540" s="24">
        <v>0</v>
      </c>
      <c r="J1540" s="23"/>
      <c r="K1540" s="24">
        <v>0</v>
      </c>
      <c r="L154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40" s="22" t="str">
        <f>HYPERLINK("mailto:idiez@crm.otsuka-europe.com", "idiez@crm.otsuka-europe.com")</f>
        <v>idiez@crm.otsuka-europe.com</v>
      </c>
      <c r="N1540" s="25">
        <v>46209.348912037036</v>
      </c>
      <c r="O1540" s="14" t="str">
        <f>HYPERLINK("https://otsuka-europe-crm.veevavault.com/ui/#object/email_activity__v/V8C000000043335", "EN-002102247")</f>
        <v>EN-002102247</v>
      </c>
    </row>
    <row r="1541" spans="1:15" ht="16" x14ac:dyDescent="0.2">
      <c r="A1541" s="19"/>
      <c r="B1541" s="19"/>
      <c r="C1541" s="19"/>
      <c r="D1541" s="19"/>
      <c r="E1541" s="19"/>
      <c r="F1541" s="19"/>
      <c r="G1541" s="19"/>
      <c r="H1541" s="19"/>
      <c r="I1541" s="19"/>
      <c r="J1541" s="19"/>
      <c r="K1541" s="19"/>
      <c r="L1541" s="19"/>
      <c r="M1541" s="19"/>
      <c r="N1541" s="19"/>
      <c r="O1541" s="14" t="str">
        <f>HYPERLINK("https://otsuka-europe-crm.veevavault.com/ui/#object/email_activity__v/V8C000000043878", "EN-002103275")</f>
        <v>EN-002103275</v>
      </c>
    </row>
    <row r="1542" spans="1:15" ht="16" x14ac:dyDescent="0.2">
      <c r="A1542" s="18" t="str">
        <f>HYPERLINK("https://otsuka-europe-crm.veevavault.com/ui/#object/account__v/V4TZ04ASGBNHOGV", "CRISTINA VERGARA DANGOND")</f>
        <v>CRISTINA VERGARA DANGOND</v>
      </c>
      <c r="B1542" s="18" t="str">
        <f>HYPERLINK("https://otsuka-europe-crm.veevavault.com/ui/#object/vcountry__v/VENZ000004SONF5", "ES")</f>
        <v>ES</v>
      </c>
      <c r="C1542" s="20" t="s">
        <v>39</v>
      </c>
      <c r="D154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42" s="22" t="str">
        <f>HYPERLINK("https://otsuka-europe-crm.veevavault.com/ui/#object/sent_email__v/VBL000000030165", "SE-001439551")</f>
        <v>SE-001439551</v>
      </c>
      <c r="F1542" s="25">
        <v>46209.349004629628</v>
      </c>
      <c r="G1542" s="24">
        <v>1</v>
      </c>
      <c r="H1542" s="24">
        <v>1</v>
      </c>
      <c r="I1542" s="24">
        <v>0</v>
      </c>
      <c r="J1542" s="23"/>
      <c r="K1542" s="24">
        <v>0</v>
      </c>
      <c r="L154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42" s="22" t="str">
        <f>HYPERLINK("mailto:idiez@crm.otsuka-europe.com", "idiez@crm.otsuka-europe.com")</f>
        <v>idiez@crm.otsuka-europe.com</v>
      </c>
      <c r="N1542" s="25">
        <v>46209.348877314813</v>
      </c>
      <c r="O1542" s="14" t="str">
        <f>HYPERLINK("https://otsuka-europe-crm.veevavault.com/ui/#object/email_activity__v/V8C000000043353", "EN-002102265")</f>
        <v>EN-002102265</v>
      </c>
    </row>
    <row r="1543" spans="1:15" ht="16" x14ac:dyDescent="0.2">
      <c r="A1543" s="26"/>
      <c r="B1543" s="26"/>
      <c r="C1543" s="26"/>
      <c r="D1543" s="26"/>
      <c r="E1543" s="26"/>
      <c r="F1543" s="26"/>
      <c r="G1543" s="26"/>
      <c r="H1543" s="26"/>
      <c r="I1543" s="26"/>
      <c r="J1543" s="26"/>
      <c r="K1543" s="26"/>
      <c r="L1543" s="26"/>
      <c r="M1543" s="26"/>
      <c r="N1543" s="26"/>
      <c r="O1543" s="14" t="str">
        <f>HYPERLINK("https://otsuka-europe-crm.veevavault.com/ui/#object/email_activity__v/V8C000000043357", "EN-002102269")</f>
        <v>EN-002102269</v>
      </c>
    </row>
    <row r="1544" spans="1:15" ht="16" x14ac:dyDescent="0.2">
      <c r="A1544" s="19"/>
      <c r="B1544" s="19"/>
      <c r="C1544" s="19"/>
      <c r="D1544" s="19"/>
      <c r="E1544" s="19"/>
      <c r="F1544" s="19"/>
      <c r="G1544" s="19"/>
      <c r="H1544" s="19"/>
      <c r="I1544" s="19"/>
      <c r="J1544" s="19"/>
      <c r="K1544" s="19"/>
      <c r="L1544" s="19"/>
      <c r="M1544" s="19"/>
      <c r="N1544" s="19"/>
      <c r="O1544" s="14" t="str">
        <f>HYPERLINK("https://otsuka-europe-crm.veevavault.com/ui/#object/email_activity__v/V8C000000043445", "EN-002102413")</f>
        <v>EN-002102413</v>
      </c>
    </row>
    <row r="1545" spans="1:15" ht="16" x14ac:dyDescent="0.2">
      <c r="A1545" s="18" t="str">
        <f>HYPERLINK("https://otsuka-europe-crm.veevavault.com/ui/#object/account__v/V4TZ025E82J0Y9A", "MARIA HILDEGARDA GODOY TUNDIDOR")</f>
        <v>MARIA HILDEGARDA GODOY TUNDIDOR</v>
      </c>
      <c r="B1545" s="18" t="str">
        <f>HYPERLINK("https://otsuka-europe-crm.veevavault.com/ui/#object/vcountry__v/VENZ000004SONF5", "ES")</f>
        <v>ES</v>
      </c>
      <c r="C1545" s="20" t="s">
        <v>39</v>
      </c>
      <c r="D154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45" s="22" t="str">
        <f>HYPERLINK("https://otsuka-europe-crm.veevavault.com/ui/#object/sent_email__v/VBL000000030166", "SE-001439552")</f>
        <v>SE-001439552</v>
      </c>
      <c r="F1545" s="23"/>
      <c r="G1545" s="24">
        <v>0</v>
      </c>
      <c r="H1545" s="24">
        <v>0</v>
      </c>
      <c r="I1545" s="24">
        <v>0</v>
      </c>
      <c r="J1545" s="23"/>
      <c r="K1545" s="24">
        <v>0</v>
      </c>
      <c r="L154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45" s="22" t="str">
        <f>HYPERLINK("mailto:idiez@crm.otsuka-europe.com", "idiez@crm.otsuka-europe.com")</f>
        <v>idiez@crm.otsuka-europe.com</v>
      </c>
      <c r="N1545" s="25">
        <v>46209.348877314813</v>
      </c>
      <c r="O1545" s="14" t="str">
        <f>HYPERLINK("https://otsuka-europe-crm.veevavault.com/ui/#object/email_activity__v/V8C000000043333", "EN-002102245")</f>
        <v>EN-002102245</v>
      </c>
    </row>
    <row r="1546" spans="1:15" ht="16" x14ac:dyDescent="0.2">
      <c r="A1546" s="19"/>
      <c r="B1546" s="19"/>
      <c r="C1546" s="19"/>
      <c r="D1546" s="19"/>
      <c r="E1546" s="19"/>
      <c r="F1546" s="19"/>
      <c r="G1546" s="19"/>
      <c r="H1546" s="19"/>
      <c r="I1546" s="19"/>
      <c r="J1546" s="19"/>
      <c r="K1546" s="19"/>
      <c r="L1546" s="19"/>
      <c r="M1546" s="19"/>
      <c r="N1546" s="19"/>
      <c r="O1546" s="14" t="str">
        <f>HYPERLINK("https://otsuka-europe-crm.veevavault.com/ui/#object/email_activity__v/V8C000000043453", "EN-002102422")</f>
        <v>EN-002102422</v>
      </c>
    </row>
    <row r="1547" spans="1:15" ht="64" x14ac:dyDescent="0.2">
      <c r="A1547" s="7" t="str">
        <f>HYPERLINK("https://otsuka-europe-crm.veevavault.com/ui/#object/account__v/V4TZ025E82LTK6A", "FERNANDO JOSE MONTERO REYES")</f>
        <v>FERNANDO JOSE MONTERO REYES</v>
      </c>
      <c r="B1547" s="7" t="str">
        <f>HYPERLINK("https://otsuka-europe-crm.veevavault.com/ui/#object/vcountry__v/VENZ000004SONF5", "ES")</f>
        <v>ES</v>
      </c>
      <c r="C1547" s="8" t="s">
        <v>39</v>
      </c>
      <c r="D154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47" s="10" t="str">
        <f>HYPERLINK("https://otsuka-europe-crm.veevavault.com/ui/#object/sent_email__v/VBL000000030167", "SE-001439553")</f>
        <v>SE-001439553</v>
      </c>
      <c r="F1547" s="11"/>
      <c r="G1547" s="12">
        <v>0</v>
      </c>
      <c r="H1547" s="12">
        <v>0</v>
      </c>
      <c r="I1547" s="12">
        <v>0</v>
      </c>
      <c r="J1547" s="11"/>
      <c r="K1547" s="12">
        <v>0</v>
      </c>
      <c r="L154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47" s="10" t="str">
        <f>HYPERLINK("mailto:idiez@crm.otsuka-europe.com", "idiez@crm.otsuka-europe.com")</f>
        <v>idiez@crm.otsuka-europe.com</v>
      </c>
      <c r="N1547" s="13">
        <v>46209.348877314813</v>
      </c>
      <c r="O1547" s="14" t="str">
        <f>HYPERLINK("https://otsuka-europe-crm.veevavault.com/ui/#object/email_activity__v/V8C000000043330", "EN-002102242")</f>
        <v>EN-002102242</v>
      </c>
    </row>
    <row r="1548" spans="1:15" ht="16" x14ac:dyDescent="0.2">
      <c r="A1548" s="18" t="str">
        <f>HYPERLINK("https://otsuka-europe-crm.veevavault.com/ui/#object/account__v/V4TZ04ASGBXIEPX", "AARON JOSUE FARIÑA GONZALEZ")</f>
        <v>AARON JOSUE FARIÑA GONZALEZ</v>
      </c>
      <c r="B1548" s="18" t="str">
        <f>HYPERLINK("https://otsuka-europe-crm.veevavault.com/ui/#object/vcountry__v/VENZ000004SONF5", "ES")</f>
        <v>ES</v>
      </c>
      <c r="C1548" s="20" t="s">
        <v>39</v>
      </c>
      <c r="D154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48" s="22" t="str">
        <f>HYPERLINK("https://otsuka-europe-crm.veevavault.com/ui/#object/sent_email__v/VBL000000030168", "SE-001439554")</f>
        <v>SE-001439554</v>
      </c>
      <c r="F1548" s="23"/>
      <c r="G1548" s="24">
        <v>0</v>
      </c>
      <c r="H1548" s="24">
        <v>0</v>
      </c>
      <c r="I1548" s="24">
        <v>0</v>
      </c>
      <c r="J1548" s="23"/>
      <c r="K1548" s="24">
        <v>0</v>
      </c>
      <c r="L154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48" s="22" t="str">
        <f>HYPERLINK("mailto:idiez@crm.otsuka-europe.com", "idiez@crm.otsuka-europe.com")</f>
        <v>idiez@crm.otsuka-europe.com</v>
      </c>
      <c r="N1548" s="25">
        <v>46209.348877314813</v>
      </c>
      <c r="O1548" s="14" t="str">
        <f>HYPERLINK("https://otsuka-europe-crm.veevavault.com/ui/#object/email_activity__v/V8C000000043337", "EN-002102249")</f>
        <v>EN-002102249</v>
      </c>
    </row>
    <row r="1549" spans="1:15" ht="16" x14ac:dyDescent="0.2">
      <c r="A1549" s="26"/>
      <c r="B1549" s="26"/>
      <c r="C1549" s="26"/>
      <c r="D1549" s="26"/>
      <c r="E1549" s="26"/>
      <c r="F1549" s="26"/>
      <c r="G1549" s="26"/>
      <c r="H1549" s="26"/>
      <c r="I1549" s="26"/>
      <c r="J1549" s="26"/>
      <c r="K1549" s="26"/>
      <c r="L1549" s="26"/>
      <c r="M1549" s="26"/>
      <c r="N1549" s="26"/>
      <c r="O1549" s="14" t="str">
        <f>HYPERLINK("https://otsuka-europe-crm.veevavault.com/ui/#object/email_activity__v/V8C000000043471", "EN-002102472")</f>
        <v>EN-002102472</v>
      </c>
    </row>
    <row r="1550" spans="1:15" ht="16" x14ac:dyDescent="0.2">
      <c r="A1550" s="26"/>
      <c r="B1550" s="26"/>
      <c r="C1550" s="26"/>
      <c r="D1550" s="26"/>
      <c r="E1550" s="26"/>
      <c r="F1550" s="26"/>
      <c r="G1550" s="26"/>
      <c r="H1550" s="26"/>
      <c r="I1550" s="26"/>
      <c r="J1550" s="26"/>
      <c r="K1550" s="26"/>
      <c r="L1550" s="26"/>
      <c r="M1550" s="26"/>
      <c r="N1550" s="26"/>
      <c r="O1550" s="14" t="str">
        <f>HYPERLINK("https://otsuka-europe-crm.veevavault.com/ui/#object/email_activity__v/V8C000000043553", "EN-002102637")</f>
        <v>EN-002102637</v>
      </c>
    </row>
    <row r="1551" spans="1:15" ht="16" x14ac:dyDescent="0.2">
      <c r="A1551" s="26"/>
      <c r="B1551" s="26"/>
      <c r="C1551" s="26"/>
      <c r="D1551" s="26"/>
      <c r="E1551" s="26"/>
      <c r="F1551" s="26"/>
      <c r="G1551" s="26"/>
      <c r="H1551" s="26"/>
      <c r="I1551" s="26"/>
      <c r="J1551" s="26"/>
      <c r="K1551" s="26"/>
      <c r="L1551" s="26"/>
      <c r="M1551" s="26"/>
      <c r="N1551" s="26"/>
      <c r="O1551" s="14" t="str">
        <f>HYPERLINK("https://otsuka-europe-crm.veevavault.com/ui/#object/email_activity__v/V8C000000048139", "EN-002104483")</f>
        <v>EN-002104483</v>
      </c>
    </row>
    <row r="1552" spans="1:15" ht="16" x14ac:dyDescent="0.2">
      <c r="A1552" s="19"/>
      <c r="B1552" s="19"/>
      <c r="C1552" s="19"/>
      <c r="D1552" s="19"/>
      <c r="E1552" s="19"/>
      <c r="F1552" s="19"/>
      <c r="G1552" s="19"/>
      <c r="H1552" s="19"/>
      <c r="I1552" s="19"/>
      <c r="J1552" s="19"/>
      <c r="K1552" s="19"/>
      <c r="L1552" s="19"/>
      <c r="M1552" s="19"/>
      <c r="N1552" s="19"/>
      <c r="O1552" s="14" t="str">
        <f>HYPERLINK("https://otsuka-europe-crm.veevavault.com/ui/#object/email_activity__v/V8C000000049470", "EN-002105740")</f>
        <v>EN-002105740</v>
      </c>
    </row>
    <row r="1553" spans="1:15" ht="16" x14ac:dyDescent="0.2">
      <c r="A1553" s="18" t="str">
        <f>HYPERLINK("https://otsuka-europe-crm.veevavault.com/ui/#object/account__v/V4TZ04ASGB4K0S7", "MARIA REMEDIOS PICAZO TALAVERA")</f>
        <v>MARIA REMEDIOS PICAZO TALAVERA</v>
      </c>
      <c r="B1553" s="18" t="str">
        <f>HYPERLINK("https://otsuka-europe-crm.veevavault.com/ui/#object/vcountry__v/VENZ000004SONF5", "ES")</f>
        <v>ES</v>
      </c>
      <c r="C1553" s="20" t="s">
        <v>39</v>
      </c>
      <c r="D155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53" s="22" t="str">
        <f>HYPERLINK("https://otsuka-europe-crm.veevavault.com/ui/#object/sent_email__v/VBL000000030169", "SE-001439555")</f>
        <v>SE-001439555</v>
      </c>
      <c r="F1553" s="25">
        <v>46220.267650462964</v>
      </c>
      <c r="G1553" s="24">
        <v>1</v>
      </c>
      <c r="H1553" s="24">
        <v>7</v>
      </c>
      <c r="I1553" s="24">
        <v>0</v>
      </c>
      <c r="J1553" s="23"/>
      <c r="K1553" s="24">
        <v>0</v>
      </c>
      <c r="L155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53" s="22" t="str">
        <f>HYPERLINK("mailto:idiez@crm.otsuka-europe.com", "idiez@crm.otsuka-europe.com")</f>
        <v>idiez@crm.otsuka-europe.com</v>
      </c>
      <c r="N1553" s="25">
        <v>46209.348900462966</v>
      </c>
      <c r="O1553" s="14" t="str">
        <f>HYPERLINK("https://otsuka-europe-crm.veevavault.com/ui/#object/email_activity__v/V8C000000043334", "EN-002102246")</f>
        <v>EN-002102246</v>
      </c>
    </row>
    <row r="1554" spans="1:15" ht="16" x14ac:dyDescent="0.2">
      <c r="A1554" s="26"/>
      <c r="B1554" s="26"/>
      <c r="C1554" s="26"/>
      <c r="D1554" s="26"/>
      <c r="E1554" s="26"/>
      <c r="F1554" s="26"/>
      <c r="G1554" s="26"/>
      <c r="H1554" s="26"/>
      <c r="I1554" s="26"/>
      <c r="J1554" s="26"/>
      <c r="K1554" s="26"/>
      <c r="L1554" s="26"/>
      <c r="M1554" s="26"/>
      <c r="N1554" s="26"/>
      <c r="O1554" s="14" t="str">
        <f>HYPERLINK("https://otsuka-europe-crm.veevavault.com/ui/#object/email_activity__v/V8C000000043527", "EN-002102589")</f>
        <v>EN-002102589</v>
      </c>
    </row>
    <row r="1555" spans="1:15" ht="16" x14ac:dyDescent="0.2">
      <c r="A1555" s="26"/>
      <c r="B1555" s="26"/>
      <c r="C1555" s="26"/>
      <c r="D1555" s="26"/>
      <c r="E1555" s="26"/>
      <c r="F1555" s="26"/>
      <c r="G1555" s="26"/>
      <c r="H1555" s="26"/>
      <c r="I1555" s="26"/>
      <c r="J1555" s="26"/>
      <c r="K1555" s="26"/>
      <c r="L1555" s="26"/>
      <c r="M1555" s="26"/>
      <c r="N1555" s="26"/>
      <c r="O1555" s="14" t="str">
        <f>HYPERLINK("https://otsuka-europe-crm.veevavault.com/ui/#object/email_activity__v/V8C000000043529", "EN-002102592")</f>
        <v>EN-002102592</v>
      </c>
    </row>
    <row r="1556" spans="1:15" ht="16" x14ac:dyDescent="0.2">
      <c r="A1556" s="26"/>
      <c r="B1556" s="26"/>
      <c r="C1556" s="26"/>
      <c r="D1556" s="26"/>
      <c r="E1556" s="26"/>
      <c r="F1556" s="26"/>
      <c r="G1556" s="26"/>
      <c r="H1556" s="26"/>
      <c r="I1556" s="26"/>
      <c r="J1556" s="26"/>
      <c r="K1556" s="26"/>
      <c r="L1556" s="26"/>
      <c r="M1556" s="26"/>
      <c r="N1556" s="26"/>
      <c r="O1556" s="14" t="str">
        <f>HYPERLINK("https://otsuka-europe-crm.veevavault.com/ui/#object/email_activity__v/V8C000000043860", "EN-002103247")</f>
        <v>EN-002103247</v>
      </c>
    </row>
    <row r="1557" spans="1:15" ht="16" x14ac:dyDescent="0.2">
      <c r="A1557" s="26"/>
      <c r="B1557" s="26"/>
      <c r="C1557" s="26"/>
      <c r="D1557" s="26"/>
      <c r="E1557" s="26"/>
      <c r="F1557" s="26"/>
      <c r="G1557" s="26"/>
      <c r="H1557" s="26"/>
      <c r="I1557" s="26"/>
      <c r="J1557" s="26"/>
      <c r="K1557" s="26"/>
      <c r="L1557" s="26"/>
      <c r="M1557" s="26"/>
      <c r="N1557" s="26"/>
      <c r="O1557" s="14" t="str">
        <f>HYPERLINK("https://otsuka-europe-crm.veevavault.com/ui/#object/email_activity__v/V8C000000044507", "EN-002102591")</f>
        <v>EN-002102591</v>
      </c>
    </row>
    <row r="1558" spans="1:15" ht="16" x14ac:dyDescent="0.2">
      <c r="A1558" s="26"/>
      <c r="B1558" s="26"/>
      <c r="C1558" s="26"/>
      <c r="D1558" s="26"/>
      <c r="E1558" s="26"/>
      <c r="F1558" s="26"/>
      <c r="G1558" s="26"/>
      <c r="H1558" s="26"/>
      <c r="I1558" s="26"/>
      <c r="J1558" s="26"/>
      <c r="K1558" s="26"/>
      <c r="L1558" s="26"/>
      <c r="M1558" s="26"/>
      <c r="N1558" s="26"/>
      <c r="O1558" s="14" t="str">
        <f>HYPERLINK("https://otsuka-europe-crm.veevavault.com/ui/#object/email_activity__v/V8C000000044788", "EN-002103154")</f>
        <v>EN-002103154</v>
      </c>
    </row>
    <row r="1559" spans="1:15" ht="16" x14ac:dyDescent="0.2">
      <c r="A1559" s="26"/>
      <c r="B1559" s="26"/>
      <c r="C1559" s="26"/>
      <c r="D1559" s="26"/>
      <c r="E1559" s="26"/>
      <c r="F1559" s="26"/>
      <c r="G1559" s="26"/>
      <c r="H1559" s="26"/>
      <c r="I1559" s="26"/>
      <c r="J1559" s="26"/>
      <c r="K1559" s="26"/>
      <c r="L1559" s="26"/>
      <c r="M1559" s="26"/>
      <c r="N1559" s="26"/>
      <c r="O1559" s="14" t="str">
        <f>HYPERLINK("https://otsuka-europe-crm.veevavault.com/ui/#object/email_activity__v/V8C000000044789", "EN-002103155")</f>
        <v>EN-002103155</v>
      </c>
    </row>
    <row r="1560" spans="1:15" ht="16" x14ac:dyDescent="0.2">
      <c r="A1560" s="19"/>
      <c r="B1560" s="19"/>
      <c r="C1560" s="19"/>
      <c r="D1560" s="19"/>
      <c r="E1560" s="19"/>
      <c r="F1560" s="19"/>
      <c r="G1560" s="19"/>
      <c r="H1560" s="19"/>
      <c r="I1560" s="19"/>
      <c r="J1560" s="19"/>
      <c r="K1560" s="19"/>
      <c r="L1560" s="19"/>
      <c r="M1560" s="19"/>
      <c r="N1560" s="19"/>
      <c r="O1560" s="14" t="str">
        <f>HYPERLINK("https://otsuka-europe-crm.veevavault.com/ui/#object/email_activity__v/V8C00000004B018", "EN-002106757")</f>
        <v>EN-002106757</v>
      </c>
    </row>
    <row r="1561" spans="1:15" ht="64" x14ac:dyDescent="0.2">
      <c r="A1561" s="7" t="str">
        <f>HYPERLINK("https://otsuka-europe-crm.veevavault.com/ui/#object/account__v/V4TZ04ASGBX7BM5", "MIRIAM RETUERTO GUERRERO")</f>
        <v>MIRIAM RETUERTO GUERRERO</v>
      </c>
      <c r="B1561" s="7" t="str">
        <f>HYPERLINK("https://otsuka-europe-crm.veevavault.com/ui/#object/vcountry__v/VENZ000004SONF5", "ES")</f>
        <v>ES</v>
      </c>
      <c r="C1561" s="8" t="s">
        <v>39</v>
      </c>
      <c r="D156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61" s="10" t="str">
        <f>HYPERLINK("https://otsuka-europe-crm.veevavault.com/ui/#object/sent_email__v/VBL000000030170", "SE-001439556")</f>
        <v>SE-001439556</v>
      </c>
      <c r="F1561" s="11"/>
      <c r="G1561" s="12">
        <v>0</v>
      </c>
      <c r="H1561" s="12">
        <v>0</v>
      </c>
      <c r="I1561" s="12">
        <v>0</v>
      </c>
      <c r="J1561" s="11"/>
      <c r="K1561" s="12">
        <v>0</v>
      </c>
      <c r="L156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61" s="10" t="str">
        <f>HYPERLINK("mailto:idiez@crm.otsuka-europe.com", "idiez@crm.otsuka-europe.com")</f>
        <v>idiez@crm.otsuka-europe.com</v>
      </c>
      <c r="N1561" s="13">
        <v>46209.348877314813</v>
      </c>
      <c r="O1561" s="14" t="str">
        <f>HYPERLINK("https://otsuka-europe-crm.veevavault.com/ui/#object/email_activity__v/V8C000000043356", "EN-002102268")</f>
        <v>EN-002102268</v>
      </c>
    </row>
    <row r="1562" spans="1:15" ht="64" x14ac:dyDescent="0.2">
      <c r="A1562" s="7" t="str">
        <f>HYPERLINK("https://otsuka-europe-crm.veevavault.com/ui/#object/account__v/V4TZ04ASGAC2YQG", "OSCAR FONTSERE PATON")</f>
        <v>OSCAR FONTSERE PATON</v>
      </c>
      <c r="B1562" s="7" t="str">
        <f>HYPERLINK("https://otsuka-europe-crm.veevavault.com/ui/#object/vcountry__v/VENZ000004SONF5", "ES")</f>
        <v>ES</v>
      </c>
      <c r="C1562" s="8" t="s">
        <v>39</v>
      </c>
      <c r="D156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62" s="10" t="str">
        <f>HYPERLINK("https://otsuka-europe-crm.veevavault.com/ui/#object/sent_email__v/VBL000000030171", "SE-001439557")</f>
        <v>SE-001439557</v>
      </c>
      <c r="F1562" s="11"/>
      <c r="G1562" s="12">
        <v>0</v>
      </c>
      <c r="H1562" s="12">
        <v>0</v>
      </c>
      <c r="I1562" s="12">
        <v>0</v>
      </c>
      <c r="J1562" s="11"/>
      <c r="K1562" s="12">
        <v>0</v>
      </c>
      <c r="L156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62" s="10" t="str">
        <f>HYPERLINK("mailto:idiez@crm.otsuka-europe.com", "idiez@crm.otsuka-europe.com")</f>
        <v>idiez@crm.otsuka-europe.com</v>
      </c>
      <c r="N1562" s="13">
        <v>46209.348877314813</v>
      </c>
      <c r="O1562" s="14" t="str">
        <f>HYPERLINK("https://otsuka-europe-crm.veevavault.com/ui/#object/email_activity__v/V8C000000043341", "EN-002102253")</f>
        <v>EN-002102253</v>
      </c>
    </row>
    <row r="1563" spans="1:15" ht="16" x14ac:dyDescent="0.2">
      <c r="A1563" s="18" t="str">
        <f>HYPERLINK("https://otsuka-europe-crm.veevavault.com/ui/#object/account__v/V4TZ025E83YK5LP", "MARIA LUISA GONZALEZ GOMEZ")</f>
        <v>MARIA LUISA GONZALEZ GOMEZ</v>
      </c>
      <c r="B1563" s="18" t="str">
        <f>HYPERLINK("https://otsuka-europe-crm.veevavault.com/ui/#object/vcountry__v/VENZ000004SONF5", "ES")</f>
        <v>ES</v>
      </c>
      <c r="C1563" s="20" t="s">
        <v>39</v>
      </c>
      <c r="D156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63" s="22" t="str">
        <f>HYPERLINK("https://otsuka-europe-crm.veevavault.com/ui/#object/sent_email__v/VBL000000030172", "SE-001439558")</f>
        <v>SE-001439558</v>
      </c>
      <c r="F1563" s="23"/>
      <c r="G1563" s="24">
        <v>0</v>
      </c>
      <c r="H1563" s="24">
        <v>0</v>
      </c>
      <c r="I1563" s="24">
        <v>0</v>
      </c>
      <c r="J1563" s="23"/>
      <c r="K1563" s="24">
        <v>0</v>
      </c>
      <c r="L156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63" s="22" t="str">
        <f>HYPERLINK("mailto:idiez@crm.otsuka-europe.com", "idiez@crm.otsuka-europe.com")</f>
        <v>idiez@crm.otsuka-europe.com</v>
      </c>
      <c r="N1563" s="25">
        <v>46209.348877314813</v>
      </c>
      <c r="O1563" s="14" t="str">
        <f>HYPERLINK("https://otsuka-europe-crm.veevavault.com/ui/#object/email_activity__v/V8C000000043349", "EN-002102261")</f>
        <v>EN-002102261</v>
      </c>
    </row>
    <row r="1564" spans="1:15" ht="16" x14ac:dyDescent="0.2">
      <c r="A1564" s="19"/>
      <c r="B1564" s="19"/>
      <c r="C1564" s="19"/>
      <c r="D1564" s="19"/>
      <c r="E1564" s="19"/>
      <c r="F1564" s="19"/>
      <c r="G1564" s="19"/>
      <c r="H1564" s="19"/>
      <c r="I1564" s="19"/>
      <c r="J1564" s="19"/>
      <c r="K1564" s="19"/>
      <c r="L1564" s="19"/>
      <c r="M1564" s="19"/>
      <c r="N1564" s="19"/>
      <c r="O1564" s="14" t="str">
        <f>HYPERLINK("https://otsuka-europe-crm.veevavault.com/ui/#object/email_activity__v/V8C000000044750", "EN-002103076")</f>
        <v>EN-002103076</v>
      </c>
    </row>
    <row r="1565" spans="1:15" ht="16" x14ac:dyDescent="0.2">
      <c r="A1565" s="18" t="str">
        <f>HYPERLINK("https://otsuka-europe-crm.veevavault.com/ui/#object/account__v/V4TZ04ASGC4KOET", "JULIA MARTINEZ BARRIO")</f>
        <v>JULIA MARTINEZ BARRIO</v>
      </c>
      <c r="B1565" s="18" t="str">
        <f>HYPERLINK("https://otsuka-europe-crm.veevavault.com/ui/#object/vcountry__v/VENZ000004SONF5", "ES")</f>
        <v>ES</v>
      </c>
      <c r="C1565" s="20" t="s">
        <v>39</v>
      </c>
      <c r="D156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65" s="22" t="str">
        <f>HYPERLINK("https://otsuka-europe-crm.veevavault.com/ui/#object/sent_email__v/VBL000000030173", "SE-001439559")</f>
        <v>SE-001439559</v>
      </c>
      <c r="F1565" s="25">
        <v>46209.600590277776</v>
      </c>
      <c r="G1565" s="24">
        <v>1</v>
      </c>
      <c r="H1565" s="24">
        <v>3</v>
      </c>
      <c r="I1565" s="24">
        <v>0</v>
      </c>
      <c r="J1565" s="23"/>
      <c r="K1565" s="24">
        <v>0</v>
      </c>
      <c r="L156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65" s="22" t="str">
        <f>HYPERLINK("mailto:idiez@crm.otsuka-europe.com", "idiez@crm.otsuka-europe.com")</f>
        <v>idiez@crm.otsuka-europe.com</v>
      </c>
      <c r="N1565" s="25">
        <v>46209.348865740743</v>
      </c>
      <c r="O1565" s="14" t="str">
        <f>HYPERLINK("https://otsuka-europe-crm.veevavault.com/ui/#object/email_activity__v/V8C000000043344", "EN-002102256")</f>
        <v>EN-002102256</v>
      </c>
    </row>
    <row r="1566" spans="1:15" ht="16" x14ac:dyDescent="0.2">
      <c r="A1566" s="26"/>
      <c r="B1566" s="26"/>
      <c r="C1566" s="26"/>
      <c r="D1566" s="26"/>
      <c r="E1566" s="26"/>
      <c r="F1566" s="26"/>
      <c r="G1566" s="26"/>
      <c r="H1566" s="26"/>
      <c r="I1566" s="26"/>
      <c r="J1566" s="26"/>
      <c r="K1566" s="26"/>
      <c r="L1566" s="26"/>
      <c r="M1566" s="26"/>
      <c r="N1566" s="26"/>
      <c r="O1566" s="14" t="str">
        <f>HYPERLINK("https://otsuka-europe-crm.veevavault.com/ui/#object/email_activity__v/V8C000000043495", "EN-002102522")</f>
        <v>EN-002102522</v>
      </c>
    </row>
    <row r="1567" spans="1:15" ht="16" x14ac:dyDescent="0.2">
      <c r="A1567" s="26"/>
      <c r="B1567" s="26"/>
      <c r="C1567" s="26"/>
      <c r="D1567" s="26"/>
      <c r="E1567" s="26"/>
      <c r="F1567" s="26"/>
      <c r="G1567" s="26"/>
      <c r="H1567" s="26"/>
      <c r="I1567" s="26"/>
      <c r="J1567" s="26"/>
      <c r="K1567" s="26"/>
      <c r="L1567" s="26"/>
      <c r="M1567" s="26"/>
      <c r="N1567" s="26"/>
      <c r="O1567" s="14" t="str">
        <f>HYPERLINK("https://otsuka-europe-crm.veevavault.com/ui/#object/email_activity__v/V8C000000044470", "EN-002102520")</f>
        <v>EN-002102520</v>
      </c>
    </row>
    <row r="1568" spans="1:15" ht="16" x14ac:dyDescent="0.2">
      <c r="A1568" s="19"/>
      <c r="B1568" s="19"/>
      <c r="C1568" s="19"/>
      <c r="D1568" s="19"/>
      <c r="E1568" s="19"/>
      <c r="F1568" s="19"/>
      <c r="G1568" s="19"/>
      <c r="H1568" s="19"/>
      <c r="I1568" s="19"/>
      <c r="J1568" s="19"/>
      <c r="K1568" s="19"/>
      <c r="L1568" s="19"/>
      <c r="M1568" s="19"/>
      <c r="N1568" s="19"/>
      <c r="O1568" s="14" t="str">
        <f>HYPERLINK("https://otsuka-europe-crm.veevavault.com/ui/#object/email_activity__v/V8C000000044471", "EN-002102521")</f>
        <v>EN-002102521</v>
      </c>
    </row>
    <row r="1569" spans="1:15" ht="64" x14ac:dyDescent="0.2">
      <c r="A1569" s="7" t="str">
        <f>HYPERLINK("https://otsuka-europe-crm.veevavault.com/ui/#object/account__v/V4TZ04ASG9RG6IU", "ALMUDENA ROMAN PASCUAL")</f>
        <v>ALMUDENA ROMAN PASCUAL</v>
      </c>
      <c r="B1569" s="7" t="str">
        <f>HYPERLINK("https://otsuka-europe-crm.veevavault.com/ui/#object/vcountry__v/VENZ000004SONF5", "ES")</f>
        <v>ES</v>
      </c>
      <c r="C1569" s="8" t="s">
        <v>39</v>
      </c>
      <c r="D156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69" s="10" t="str">
        <f>HYPERLINK("https://otsuka-europe-crm.veevavault.com/ui/#object/sent_email__v/VBL000000030174", "SE-001439560")</f>
        <v>SE-001439560</v>
      </c>
      <c r="F1569" s="11"/>
      <c r="G1569" s="12">
        <v>0</v>
      </c>
      <c r="H1569" s="12">
        <v>0</v>
      </c>
      <c r="I1569" s="12">
        <v>0</v>
      </c>
      <c r="J1569" s="11"/>
      <c r="K1569" s="12">
        <v>0</v>
      </c>
      <c r="L156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69" s="10" t="str">
        <f>HYPERLINK("mailto:idiez@crm.otsuka-europe.com", "idiez@crm.otsuka-europe.com")</f>
        <v>idiez@crm.otsuka-europe.com</v>
      </c>
      <c r="N1569" s="13">
        <v>46209.348865740743</v>
      </c>
      <c r="O1569" s="14" t="str">
        <f>HYPERLINK("https://otsuka-europe-crm.veevavault.com/ui/#object/email_activity__v/V8C000000043326", "EN-002102238")</f>
        <v>EN-002102238</v>
      </c>
    </row>
    <row r="1570" spans="1:15" ht="16" x14ac:dyDescent="0.2">
      <c r="A1570" s="18" t="str">
        <f>HYPERLINK("https://otsuka-europe-crm.veevavault.com/ui/#object/account__v/V4T000000015091", "MARIA PAZ COLLADO RAMOS")</f>
        <v>MARIA PAZ COLLADO RAMOS</v>
      </c>
      <c r="B1570" s="18" t="str">
        <f>HYPERLINK("https://otsuka-europe-crm.veevavault.com/ui/#object/vcountry__v/VENZ000004SONF5", "ES")</f>
        <v>ES</v>
      </c>
      <c r="C1570" s="20" t="s">
        <v>39</v>
      </c>
      <c r="D157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70" s="22" t="str">
        <f>HYPERLINK("https://otsuka-europe-crm.veevavault.com/ui/#object/sent_email__v/VBL000000030175", "SE-001439561")</f>
        <v>SE-001439561</v>
      </c>
      <c r="F1570" s="25">
        <v>46217.420937499999</v>
      </c>
      <c r="G1570" s="24">
        <v>1</v>
      </c>
      <c r="H1570" s="24">
        <v>16</v>
      </c>
      <c r="I1570" s="24">
        <v>0</v>
      </c>
      <c r="J1570" s="23"/>
      <c r="K1570" s="24">
        <v>0</v>
      </c>
      <c r="L157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70" s="22" t="str">
        <f>HYPERLINK("mailto:idiez@crm.otsuka-europe.com", "idiez@crm.otsuka-europe.com")</f>
        <v>idiez@crm.otsuka-europe.com</v>
      </c>
      <c r="N1570" s="25">
        <v>46209.348865740743</v>
      </c>
      <c r="O1570" s="14" t="str">
        <f>HYPERLINK("https://otsuka-europe-crm.veevavault.com/ui/#object/email_activity__v/V8C000000043351", "EN-002102263")</f>
        <v>EN-002102263</v>
      </c>
    </row>
    <row r="1571" spans="1:15" ht="16" x14ac:dyDescent="0.2">
      <c r="A1571" s="26"/>
      <c r="B1571" s="26"/>
      <c r="C1571" s="26"/>
      <c r="D1571" s="26"/>
      <c r="E1571" s="26"/>
      <c r="F1571" s="26"/>
      <c r="G1571" s="26"/>
      <c r="H1571" s="26"/>
      <c r="I1571" s="26"/>
      <c r="J1571" s="26"/>
      <c r="K1571" s="26"/>
      <c r="L1571" s="26"/>
      <c r="M1571" s="26"/>
      <c r="N1571" s="26"/>
      <c r="O1571" s="14" t="str">
        <f>HYPERLINK("https://otsuka-europe-crm.veevavault.com/ui/#object/email_activity__v/V8C000000043520", "EN-002102578")</f>
        <v>EN-002102578</v>
      </c>
    </row>
    <row r="1572" spans="1:15" ht="16" x14ac:dyDescent="0.2">
      <c r="A1572" s="26"/>
      <c r="B1572" s="26"/>
      <c r="C1572" s="26"/>
      <c r="D1572" s="26"/>
      <c r="E1572" s="26"/>
      <c r="F1572" s="26"/>
      <c r="G1572" s="26"/>
      <c r="H1572" s="26"/>
      <c r="I1572" s="26"/>
      <c r="J1572" s="26"/>
      <c r="K1572" s="26"/>
      <c r="L1572" s="26"/>
      <c r="M1572" s="26"/>
      <c r="N1572" s="26"/>
      <c r="O1572" s="14" t="str">
        <f>HYPERLINK("https://otsuka-europe-crm.veevavault.com/ui/#object/email_activity__v/V8C000000043521", "EN-002102579")</f>
        <v>EN-002102579</v>
      </c>
    </row>
    <row r="1573" spans="1:15" ht="16" x14ac:dyDescent="0.2">
      <c r="A1573" s="26"/>
      <c r="B1573" s="26"/>
      <c r="C1573" s="26"/>
      <c r="D1573" s="26"/>
      <c r="E1573" s="26"/>
      <c r="F1573" s="26"/>
      <c r="G1573" s="26"/>
      <c r="H1573" s="26"/>
      <c r="I1573" s="26"/>
      <c r="J1573" s="26"/>
      <c r="K1573" s="26"/>
      <c r="L1573" s="26"/>
      <c r="M1573" s="26"/>
      <c r="N1573" s="26"/>
      <c r="O1573" s="14" t="str">
        <f>HYPERLINK("https://otsuka-europe-crm.veevavault.com/ui/#object/email_activity__v/V8C000000043754", "EN-002103043")</f>
        <v>EN-002103043</v>
      </c>
    </row>
    <row r="1574" spans="1:15" ht="16" x14ac:dyDescent="0.2">
      <c r="A1574" s="26"/>
      <c r="B1574" s="26"/>
      <c r="C1574" s="26"/>
      <c r="D1574" s="26"/>
      <c r="E1574" s="26"/>
      <c r="F1574" s="26"/>
      <c r="G1574" s="26"/>
      <c r="H1574" s="26"/>
      <c r="I1574" s="26"/>
      <c r="J1574" s="26"/>
      <c r="K1574" s="26"/>
      <c r="L1574" s="26"/>
      <c r="M1574" s="26"/>
      <c r="N1574" s="26"/>
      <c r="O1574" s="14" t="str">
        <f>HYPERLINK("https://otsuka-europe-crm.veevavault.com/ui/#object/email_activity__v/V8C000000043818", "EN-002103165")</f>
        <v>EN-002103165</v>
      </c>
    </row>
    <row r="1575" spans="1:15" ht="16" x14ac:dyDescent="0.2">
      <c r="A1575" s="26"/>
      <c r="B1575" s="26"/>
      <c r="C1575" s="26"/>
      <c r="D1575" s="26"/>
      <c r="E1575" s="26"/>
      <c r="F1575" s="26"/>
      <c r="G1575" s="26"/>
      <c r="H1575" s="26"/>
      <c r="I1575" s="26"/>
      <c r="J1575" s="26"/>
      <c r="K1575" s="26"/>
      <c r="L1575" s="26"/>
      <c r="M1575" s="26"/>
      <c r="N1575" s="26"/>
      <c r="O1575" s="14" t="str">
        <f>HYPERLINK("https://otsuka-europe-crm.veevavault.com/ui/#object/email_activity__v/V8C000000043819", "EN-002103170")</f>
        <v>EN-002103170</v>
      </c>
    </row>
    <row r="1576" spans="1:15" ht="16" x14ac:dyDescent="0.2">
      <c r="A1576" s="26"/>
      <c r="B1576" s="26"/>
      <c r="C1576" s="26"/>
      <c r="D1576" s="26"/>
      <c r="E1576" s="26"/>
      <c r="F1576" s="26"/>
      <c r="G1576" s="26"/>
      <c r="H1576" s="26"/>
      <c r="I1576" s="26"/>
      <c r="J1576" s="26"/>
      <c r="K1576" s="26"/>
      <c r="L1576" s="26"/>
      <c r="M1576" s="26"/>
      <c r="N1576" s="26"/>
      <c r="O1576" s="14" t="str">
        <f>HYPERLINK("https://otsuka-europe-crm.veevavault.com/ui/#object/email_activity__v/V8C000000044731", "EN-002103039")</f>
        <v>EN-002103039</v>
      </c>
    </row>
    <row r="1577" spans="1:15" ht="16" x14ac:dyDescent="0.2">
      <c r="A1577" s="26"/>
      <c r="B1577" s="26"/>
      <c r="C1577" s="26"/>
      <c r="D1577" s="26"/>
      <c r="E1577" s="26"/>
      <c r="F1577" s="26"/>
      <c r="G1577" s="26"/>
      <c r="H1577" s="26"/>
      <c r="I1577" s="26"/>
      <c r="J1577" s="26"/>
      <c r="K1577" s="26"/>
      <c r="L1577" s="26"/>
      <c r="M1577" s="26"/>
      <c r="N1577" s="26"/>
      <c r="O1577" s="14" t="str">
        <f>HYPERLINK("https://otsuka-europe-crm.veevavault.com/ui/#object/email_activity__v/V8C000000044732", "EN-002103040")</f>
        <v>EN-002103040</v>
      </c>
    </row>
    <row r="1578" spans="1:15" ht="16" x14ac:dyDescent="0.2">
      <c r="A1578" s="26"/>
      <c r="B1578" s="26"/>
      <c r="C1578" s="26"/>
      <c r="D1578" s="26"/>
      <c r="E1578" s="26"/>
      <c r="F1578" s="26"/>
      <c r="G1578" s="26"/>
      <c r="H1578" s="26"/>
      <c r="I1578" s="26"/>
      <c r="J1578" s="26"/>
      <c r="K1578" s="26"/>
      <c r="L1578" s="26"/>
      <c r="M1578" s="26"/>
      <c r="N1578" s="26"/>
      <c r="O1578" s="14" t="str">
        <f>HYPERLINK("https://otsuka-europe-crm.veevavault.com/ui/#object/email_activity__v/V8C000000044733", "EN-002103041")</f>
        <v>EN-002103041</v>
      </c>
    </row>
    <row r="1579" spans="1:15" ht="16" x14ac:dyDescent="0.2">
      <c r="A1579" s="26"/>
      <c r="B1579" s="26"/>
      <c r="C1579" s="26"/>
      <c r="D1579" s="26"/>
      <c r="E1579" s="26"/>
      <c r="F1579" s="26"/>
      <c r="G1579" s="26"/>
      <c r="H1579" s="26"/>
      <c r="I1579" s="26"/>
      <c r="J1579" s="26"/>
      <c r="K1579" s="26"/>
      <c r="L1579" s="26"/>
      <c r="M1579" s="26"/>
      <c r="N1579" s="26"/>
      <c r="O1579" s="14" t="str">
        <f>HYPERLINK("https://otsuka-europe-crm.veevavault.com/ui/#object/email_activity__v/V8C000000044734", "EN-002103042")</f>
        <v>EN-002103042</v>
      </c>
    </row>
    <row r="1580" spans="1:15" ht="16" x14ac:dyDescent="0.2">
      <c r="A1580" s="26"/>
      <c r="B1580" s="26"/>
      <c r="C1580" s="26"/>
      <c r="D1580" s="26"/>
      <c r="E1580" s="26"/>
      <c r="F1580" s="26"/>
      <c r="G1580" s="26"/>
      <c r="H1580" s="26"/>
      <c r="I1580" s="26"/>
      <c r="J1580" s="26"/>
      <c r="K1580" s="26"/>
      <c r="L1580" s="26"/>
      <c r="M1580" s="26"/>
      <c r="N1580" s="26"/>
      <c r="O1580" s="14" t="str">
        <f>HYPERLINK("https://otsuka-europe-crm.veevavault.com/ui/#object/email_activity__v/V8C000000044735", "EN-002103044")</f>
        <v>EN-002103044</v>
      </c>
    </row>
    <row r="1581" spans="1:15" ht="16" x14ac:dyDescent="0.2">
      <c r="A1581" s="26"/>
      <c r="B1581" s="26"/>
      <c r="C1581" s="26"/>
      <c r="D1581" s="26"/>
      <c r="E1581" s="26"/>
      <c r="F1581" s="26"/>
      <c r="G1581" s="26"/>
      <c r="H1581" s="26"/>
      <c r="I1581" s="26"/>
      <c r="J1581" s="26"/>
      <c r="K1581" s="26"/>
      <c r="L1581" s="26"/>
      <c r="M1581" s="26"/>
      <c r="N1581" s="26"/>
      <c r="O1581" s="14" t="str">
        <f>HYPERLINK("https://otsuka-europe-crm.veevavault.com/ui/#object/email_activity__v/V8C000000044736", "EN-002103045")</f>
        <v>EN-002103045</v>
      </c>
    </row>
    <row r="1582" spans="1:15" ht="16" x14ac:dyDescent="0.2">
      <c r="A1582" s="26"/>
      <c r="B1582" s="26"/>
      <c r="C1582" s="26"/>
      <c r="D1582" s="26"/>
      <c r="E1582" s="26"/>
      <c r="F1582" s="26"/>
      <c r="G1582" s="26"/>
      <c r="H1582" s="26"/>
      <c r="I1582" s="26"/>
      <c r="J1582" s="26"/>
      <c r="K1582" s="26"/>
      <c r="L1582" s="26"/>
      <c r="M1582" s="26"/>
      <c r="N1582" s="26"/>
      <c r="O1582" s="14" t="str">
        <f>HYPERLINK("https://otsuka-europe-crm.veevavault.com/ui/#object/email_activity__v/V8C000000044785", "EN-002103151")</f>
        <v>EN-002103151</v>
      </c>
    </row>
    <row r="1583" spans="1:15" ht="16" x14ac:dyDescent="0.2">
      <c r="A1583" s="26"/>
      <c r="B1583" s="26"/>
      <c r="C1583" s="26"/>
      <c r="D1583" s="26"/>
      <c r="E1583" s="26"/>
      <c r="F1583" s="26"/>
      <c r="G1583" s="26"/>
      <c r="H1583" s="26"/>
      <c r="I1583" s="26"/>
      <c r="J1583" s="26"/>
      <c r="K1583" s="26"/>
      <c r="L1583" s="26"/>
      <c r="M1583" s="26"/>
      <c r="N1583" s="26"/>
      <c r="O1583" s="14" t="str">
        <f>HYPERLINK("https://otsuka-europe-crm.veevavault.com/ui/#object/email_activity__v/V8C000000044786", "EN-002103152")</f>
        <v>EN-002103152</v>
      </c>
    </row>
    <row r="1584" spans="1:15" ht="16" x14ac:dyDescent="0.2">
      <c r="A1584" s="26"/>
      <c r="B1584" s="26"/>
      <c r="C1584" s="26"/>
      <c r="D1584" s="26"/>
      <c r="E1584" s="26"/>
      <c r="F1584" s="26"/>
      <c r="G1584" s="26"/>
      <c r="H1584" s="26"/>
      <c r="I1584" s="26"/>
      <c r="J1584" s="26"/>
      <c r="K1584" s="26"/>
      <c r="L1584" s="26"/>
      <c r="M1584" s="26"/>
      <c r="N1584" s="26"/>
      <c r="O1584" s="14" t="str">
        <f>HYPERLINK("https://otsuka-europe-crm.veevavault.com/ui/#object/email_activity__v/V8C000000044797", "EN-002103171")</f>
        <v>EN-002103171</v>
      </c>
    </row>
    <row r="1585" spans="1:15" ht="16" x14ac:dyDescent="0.2">
      <c r="A1585" s="26"/>
      <c r="B1585" s="26"/>
      <c r="C1585" s="26"/>
      <c r="D1585" s="26"/>
      <c r="E1585" s="26"/>
      <c r="F1585" s="26"/>
      <c r="G1585" s="26"/>
      <c r="H1585" s="26"/>
      <c r="I1585" s="26"/>
      <c r="J1585" s="26"/>
      <c r="K1585" s="26"/>
      <c r="L1585" s="26"/>
      <c r="M1585" s="26"/>
      <c r="N1585" s="26"/>
      <c r="O1585" s="14" t="str">
        <f>HYPERLINK("https://otsuka-europe-crm.veevavault.com/ui/#object/email_activity__v/V8C000000049534", "EN-002105864")</f>
        <v>EN-002105864</v>
      </c>
    </row>
    <row r="1586" spans="1:15" ht="16" x14ac:dyDescent="0.2">
      <c r="A1586" s="19"/>
      <c r="B1586" s="19"/>
      <c r="C1586" s="19"/>
      <c r="D1586" s="19"/>
      <c r="E1586" s="19"/>
      <c r="F1586" s="19"/>
      <c r="G1586" s="19"/>
      <c r="H1586" s="19"/>
      <c r="I1586" s="19"/>
      <c r="J1586" s="19"/>
      <c r="K1586" s="19"/>
      <c r="L1586" s="19"/>
      <c r="M1586" s="19"/>
      <c r="N1586" s="19"/>
      <c r="O1586" s="14" t="str">
        <f>HYPERLINK("https://otsuka-europe-crm.veevavault.com/ui/#object/email_activity__v/V8C000000049535", "EN-002105865")</f>
        <v>EN-002105865</v>
      </c>
    </row>
    <row r="1587" spans="1:15" ht="16" x14ac:dyDescent="0.2">
      <c r="A1587" s="18" t="str">
        <f>HYPERLINK("https://otsuka-europe-crm.veevavault.com/ui/#object/account__v/V4TZ04ASGBNKU6V", "SILVIA PEREZ ESTEBAN")</f>
        <v>SILVIA PEREZ ESTEBAN</v>
      </c>
      <c r="B1587" s="18" t="str">
        <f>HYPERLINK("https://otsuka-europe-crm.veevavault.com/ui/#object/vcountry__v/VENZ000004SONF5", "ES")</f>
        <v>ES</v>
      </c>
      <c r="C1587" s="20" t="s">
        <v>39</v>
      </c>
      <c r="D158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87" s="22" t="str">
        <f>HYPERLINK("https://otsuka-europe-crm.veevavault.com/ui/#object/sent_email__v/VBL000000030176", "SE-001439562")</f>
        <v>SE-001439562</v>
      </c>
      <c r="F1587" s="25">
        <v>46209.603587962964</v>
      </c>
      <c r="G1587" s="24">
        <v>1</v>
      </c>
      <c r="H1587" s="24">
        <v>2</v>
      </c>
      <c r="I1587" s="24">
        <v>0</v>
      </c>
      <c r="J1587" s="23"/>
      <c r="K1587" s="24">
        <v>0</v>
      </c>
      <c r="L158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87" s="22" t="str">
        <f>HYPERLINK("mailto:idiez@crm.otsuka-europe.com", "idiez@crm.otsuka-europe.com")</f>
        <v>idiez@crm.otsuka-europe.com</v>
      </c>
      <c r="N1587" s="25">
        <v>46209.348865740743</v>
      </c>
      <c r="O1587" s="14" t="str">
        <f>HYPERLINK("https://otsuka-europe-crm.veevavault.com/ui/#object/email_activity__v/V8C000000043352", "EN-002102264")</f>
        <v>EN-002102264</v>
      </c>
    </row>
    <row r="1588" spans="1:15" ht="16" x14ac:dyDescent="0.2">
      <c r="A1588" s="26"/>
      <c r="B1588" s="26"/>
      <c r="C1588" s="26"/>
      <c r="D1588" s="26"/>
      <c r="E1588" s="26"/>
      <c r="F1588" s="26"/>
      <c r="G1588" s="26"/>
      <c r="H1588" s="26"/>
      <c r="I1588" s="26"/>
      <c r="J1588" s="26"/>
      <c r="K1588" s="26"/>
      <c r="L1588" s="26"/>
      <c r="M1588" s="26"/>
      <c r="N1588" s="26"/>
      <c r="O1588" s="14" t="str">
        <f>HYPERLINK("https://otsuka-europe-crm.veevavault.com/ui/#object/email_activity__v/V8C000000044472", "EN-002102525")</f>
        <v>EN-002102525</v>
      </c>
    </row>
    <row r="1589" spans="1:15" ht="16" x14ac:dyDescent="0.2">
      <c r="A1589" s="19"/>
      <c r="B1589" s="19"/>
      <c r="C1589" s="19"/>
      <c r="D1589" s="19"/>
      <c r="E1589" s="19"/>
      <c r="F1589" s="19"/>
      <c r="G1589" s="19"/>
      <c r="H1589" s="19"/>
      <c r="I1589" s="19"/>
      <c r="J1589" s="19"/>
      <c r="K1589" s="19"/>
      <c r="L1589" s="19"/>
      <c r="M1589" s="19"/>
      <c r="N1589" s="19"/>
      <c r="O1589" s="14" t="str">
        <f>HYPERLINK("https://otsuka-europe-crm.veevavault.com/ui/#object/email_activity__v/V8C000000044473", "EN-002102526")</f>
        <v>EN-002102526</v>
      </c>
    </row>
    <row r="1590" spans="1:15" ht="16" x14ac:dyDescent="0.2">
      <c r="A1590" s="18" t="str">
        <f>HYPERLINK("https://otsuka-europe-crm.veevavault.com/ui/#object/account__v/V4TZ04ASGB4VXWA", "ANA SALOME PAREJA MARTINEZ")</f>
        <v>ANA SALOME PAREJA MARTINEZ</v>
      </c>
      <c r="B1590" s="18" t="str">
        <f>HYPERLINK("https://otsuka-europe-crm.veevavault.com/ui/#object/vcountry__v/VENZ000004SONF5", "ES")</f>
        <v>ES</v>
      </c>
      <c r="C1590" s="20" t="s">
        <v>39</v>
      </c>
      <c r="D159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90" s="22" t="str">
        <f>HYPERLINK("https://otsuka-europe-crm.veevavault.com/ui/#object/sent_email__v/VBL000000030177", "SE-001439563")</f>
        <v>SE-001439563</v>
      </c>
      <c r="F1590" s="25">
        <v>46209.554502314815</v>
      </c>
      <c r="G1590" s="24">
        <v>1</v>
      </c>
      <c r="H1590" s="24">
        <v>1</v>
      </c>
      <c r="I1590" s="24">
        <v>0</v>
      </c>
      <c r="J1590" s="23"/>
      <c r="K1590" s="24">
        <v>0</v>
      </c>
      <c r="L159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90" s="22" t="str">
        <f>HYPERLINK("mailto:idiez@crm.otsuka-europe.com", "idiez@crm.otsuka-europe.com")</f>
        <v>idiez@crm.otsuka-europe.com</v>
      </c>
      <c r="N1590" s="25">
        <v>46209.348865740743</v>
      </c>
      <c r="O1590" s="14" t="str">
        <f>HYPERLINK("https://otsuka-europe-crm.veevavault.com/ui/#object/email_activity__v/V8C000000043350", "EN-002102262")</f>
        <v>EN-002102262</v>
      </c>
    </row>
    <row r="1591" spans="1:15" ht="16" x14ac:dyDescent="0.2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/>
      <c r="L1591" s="19"/>
      <c r="M1591" s="19"/>
      <c r="N1591" s="19"/>
      <c r="O1591" s="14" t="str">
        <f>HYPERLINK("https://otsuka-europe-crm.veevavault.com/ui/#object/email_activity__v/V8C000000044463", "EN-002102503")</f>
        <v>EN-002102503</v>
      </c>
    </row>
    <row r="1592" spans="1:15" ht="16" x14ac:dyDescent="0.2">
      <c r="A1592" s="18" t="str">
        <f>HYPERLINK("https://otsuka-europe-crm.veevavault.com/ui/#object/account__v/V4TZ04ASG9RG6AY", "RAUL MARIA VEIGA CABELLO")</f>
        <v>RAUL MARIA VEIGA CABELLO</v>
      </c>
      <c r="B1592" s="18" t="str">
        <f>HYPERLINK("https://otsuka-europe-crm.veevavault.com/ui/#object/vcountry__v/VENZ000004SONF5", "ES")</f>
        <v>ES</v>
      </c>
      <c r="C1592" s="20" t="s">
        <v>39</v>
      </c>
      <c r="D159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92" s="22" t="str">
        <f>HYPERLINK("https://otsuka-europe-crm.veevavault.com/ui/#object/sent_email__v/VBL000000030178", "SE-001439564")</f>
        <v>SE-001439564</v>
      </c>
      <c r="F1592" s="25">
        <v>46231.524629629632</v>
      </c>
      <c r="G1592" s="24">
        <v>1</v>
      </c>
      <c r="H1592" s="24">
        <v>2</v>
      </c>
      <c r="I1592" s="24">
        <v>0</v>
      </c>
      <c r="J1592" s="23"/>
      <c r="K1592" s="24">
        <v>0</v>
      </c>
      <c r="L159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92" s="22" t="str">
        <f>HYPERLINK("mailto:idiez@crm.otsuka-europe.com", "idiez@crm.otsuka-europe.com")</f>
        <v>idiez@crm.otsuka-europe.com</v>
      </c>
      <c r="N1592" s="25">
        <v>46209.348865740743</v>
      </c>
      <c r="O1592" s="14" t="str">
        <f>HYPERLINK("https://otsuka-europe-crm.veevavault.com/ui/#object/email_activity__v/V8C000000043355", "EN-002102267")</f>
        <v>EN-002102267</v>
      </c>
    </row>
    <row r="1593" spans="1:15" ht="16" x14ac:dyDescent="0.2">
      <c r="A1593" s="26"/>
      <c r="B1593" s="26"/>
      <c r="C1593" s="26"/>
      <c r="D1593" s="26"/>
      <c r="E1593" s="26"/>
      <c r="F1593" s="26"/>
      <c r="G1593" s="26"/>
      <c r="H1593" s="26"/>
      <c r="I1593" s="26"/>
      <c r="J1593" s="26"/>
      <c r="K1593" s="26"/>
      <c r="L1593" s="26"/>
      <c r="M1593" s="26"/>
      <c r="N1593" s="26"/>
      <c r="O1593" s="14" t="str">
        <f>HYPERLINK("https://otsuka-europe-crm.veevavault.com/ui/#object/email_activity__v/V8C000000043478", "EN-002102487")</f>
        <v>EN-002102487</v>
      </c>
    </row>
    <row r="1594" spans="1:15" ht="16" x14ac:dyDescent="0.2">
      <c r="A1594" s="26"/>
      <c r="B1594" s="26"/>
      <c r="C1594" s="26"/>
      <c r="D1594" s="26"/>
      <c r="E1594" s="26"/>
      <c r="F1594" s="26"/>
      <c r="G1594" s="26"/>
      <c r="H1594" s="26"/>
      <c r="I1594" s="26"/>
      <c r="J1594" s="26"/>
      <c r="K1594" s="26"/>
      <c r="L1594" s="26"/>
      <c r="M1594" s="26"/>
      <c r="N1594" s="26"/>
      <c r="O1594" s="14" t="str">
        <f>HYPERLINK("https://otsuka-europe-crm.veevavault.com/ui/#object/email_activity__v/V8C000000044528", "EN-002102629")</f>
        <v>EN-002102629</v>
      </c>
    </row>
    <row r="1595" spans="1:15" ht="16" x14ac:dyDescent="0.2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19"/>
      <c r="L1595" s="19"/>
      <c r="M1595" s="19"/>
      <c r="N1595" s="19"/>
      <c r="O1595" s="14" t="str">
        <f>HYPERLINK("https://otsuka-europe-crm.veevavault.com/ui/#object/email_activity__v/V8C00000004D658", "EN-002109419")</f>
        <v>EN-002109419</v>
      </c>
    </row>
    <row r="1596" spans="1:15" ht="64" x14ac:dyDescent="0.2">
      <c r="A1596" s="7" t="str">
        <f>HYPERLINK("https://otsuka-europe-crm.veevavault.com/ui/#object/account__v/V4TZ04ASGBNHW0B", "MARIA BEATRIZ PAREDES ROMERO")</f>
        <v>MARIA BEATRIZ PAREDES ROMERO</v>
      </c>
      <c r="B1596" s="7" t="str">
        <f>HYPERLINK("https://otsuka-europe-crm.veevavault.com/ui/#object/vcountry__v/VENZ000004SONF5", "ES")</f>
        <v>ES</v>
      </c>
      <c r="C1596" s="8" t="s">
        <v>39</v>
      </c>
      <c r="D159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96" s="10" t="str">
        <f>HYPERLINK("https://otsuka-europe-crm.veevavault.com/ui/#object/sent_email__v/VBL000000030179", "SE-001439565")</f>
        <v>SE-001439565</v>
      </c>
      <c r="F1596" s="11"/>
      <c r="G1596" s="12">
        <v>0</v>
      </c>
      <c r="H1596" s="12">
        <v>0</v>
      </c>
      <c r="I1596" s="12">
        <v>0</v>
      </c>
      <c r="J1596" s="11"/>
      <c r="K1596" s="12">
        <v>0</v>
      </c>
      <c r="L159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96" s="10" t="str">
        <f>HYPERLINK("mailto:idiez@crm.otsuka-europe.com", "idiez@crm.otsuka-europe.com")</f>
        <v>idiez@crm.otsuka-europe.com</v>
      </c>
      <c r="N1596" s="13">
        <v>46209.348865740743</v>
      </c>
      <c r="O1596" s="14" t="str">
        <f>HYPERLINK("https://otsuka-europe-crm.veevavault.com/ui/#object/email_activity__v/V8C000000043324", "EN-002102236")</f>
        <v>EN-002102236</v>
      </c>
    </row>
    <row r="1597" spans="1:15" ht="64" x14ac:dyDescent="0.2">
      <c r="A1597" s="7" t="str">
        <f>HYPERLINK("https://otsuka-europe-crm.veevavault.com/ui/#object/account__v/V4TZ04ASG6FSXOC", "MARIA ELVIRA DIEZ ALVAREZ")</f>
        <v>MARIA ELVIRA DIEZ ALVAREZ</v>
      </c>
      <c r="B1597" s="7" t="str">
        <f>HYPERLINK("https://otsuka-europe-crm.veevavault.com/ui/#object/vcountry__v/VENZ000004SONF5", "ES")</f>
        <v>ES</v>
      </c>
      <c r="C1597" s="8" t="s">
        <v>39</v>
      </c>
      <c r="D159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97" s="10" t="str">
        <f>HYPERLINK("https://otsuka-europe-crm.veevavault.com/ui/#object/sent_email__v/VBL000000030180", "SE-001439566")</f>
        <v>SE-001439566</v>
      </c>
      <c r="F1597" s="11"/>
      <c r="G1597" s="12">
        <v>0</v>
      </c>
      <c r="H1597" s="12">
        <v>0</v>
      </c>
      <c r="I1597" s="12">
        <v>0</v>
      </c>
      <c r="J1597" s="11"/>
      <c r="K1597" s="12">
        <v>0</v>
      </c>
      <c r="L159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97" s="10" t="str">
        <f>HYPERLINK("mailto:idiez@crm.otsuka-europe.com", "idiez@crm.otsuka-europe.com")</f>
        <v>idiez@crm.otsuka-europe.com</v>
      </c>
      <c r="N1597" s="13">
        <v>46209.348865740743</v>
      </c>
      <c r="O1597" s="14" t="str">
        <f>HYPERLINK("https://otsuka-europe-crm.veevavault.com/ui/#object/email_activity__v/V8C000000043329", "EN-002102241")</f>
        <v>EN-002102241</v>
      </c>
    </row>
    <row r="1598" spans="1:15" ht="16" x14ac:dyDescent="0.2">
      <c r="A1598" s="18" t="str">
        <f>HYPERLINK("https://otsuka-europe-crm.veevavault.com/ui/#object/account__v/V4TZ025E8918Z4F", "PALOMA TURIEL HERNANDEZ")</f>
        <v>PALOMA TURIEL HERNANDEZ</v>
      </c>
      <c r="B1598" s="18" t="str">
        <f>HYPERLINK("https://otsuka-europe-crm.veevavault.com/ui/#object/vcountry__v/VENZ000004SONF5", "ES")</f>
        <v>ES</v>
      </c>
      <c r="C1598" s="20" t="s">
        <v>39</v>
      </c>
      <c r="D159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598" s="22" t="str">
        <f>HYPERLINK("https://otsuka-europe-crm.veevavault.com/ui/#object/sent_email__v/VBL000000030181", "SE-001439567")</f>
        <v>SE-001439567</v>
      </c>
      <c r="F1598" s="25">
        <v>46209.348993055559</v>
      </c>
      <c r="G1598" s="24">
        <v>1</v>
      </c>
      <c r="H1598" s="24">
        <v>1</v>
      </c>
      <c r="I1598" s="24">
        <v>0</v>
      </c>
      <c r="J1598" s="23"/>
      <c r="K1598" s="24">
        <v>0</v>
      </c>
      <c r="L159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598" s="22" t="str">
        <f>HYPERLINK("mailto:idiez@crm.otsuka-europe.com", "idiez@crm.otsuka-europe.com")</f>
        <v>idiez@crm.otsuka-europe.com</v>
      </c>
      <c r="N1598" s="25">
        <v>46209.348865740743</v>
      </c>
      <c r="O1598" s="14" t="str">
        <f>HYPERLINK("https://otsuka-europe-crm.veevavault.com/ui/#object/email_activity__v/V8C000000043328", "EN-002102240")</f>
        <v>EN-002102240</v>
      </c>
    </row>
    <row r="1599" spans="1:15" ht="16" x14ac:dyDescent="0.2">
      <c r="A1599" s="26"/>
      <c r="B1599" s="26"/>
      <c r="C1599" s="26"/>
      <c r="D1599" s="26"/>
      <c r="E1599" s="26"/>
      <c r="F1599" s="26"/>
      <c r="G1599" s="26"/>
      <c r="H1599" s="26"/>
      <c r="I1599" s="26"/>
      <c r="J1599" s="26"/>
      <c r="K1599" s="26"/>
      <c r="L1599" s="26"/>
      <c r="M1599" s="26"/>
      <c r="N1599" s="26"/>
      <c r="O1599" s="14" t="str">
        <f>HYPERLINK("https://otsuka-europe-crm.veevavault.com/ui/#object/email_activity__v/V8C000000043346", "EN-002102258")</f>
        <v>EN-002102258</v>
      </c>
    </row>
    <row r="1600" spans="1:15" ht="16" x14ac:dyDescent="0.2">
      <c r="A1600" s="19"/>
      <c r="B1600" s="19"/>
      <c r="C1600" s="19"/>
      <c r="D1600" s="19"/>
      <c r="E1600" s="19"/>
      <c r="F1600" s="19"/>
      <c r="G1600" s="19"/>
      <c r="H1600" s="19"/>
      <c r="I1600" s="19"/>
      <c r="J1600" s="19"/>
      <c r="K1600" s="19"/>
      <c r="L1600" s="19"/>
      <c r="M1600" s="19"/>
      <c r="N1600" s="19"/>
      <c r="O1600" s="14" t="str">
        <f>HYPERLINK("https://otsuka-europe-crm.veevavault.com/ui/#object/email_activity__v/V8C000000044503", "EN-002102580")</f>
        <v>EN-002102580</v>
      </c>
    </row>
    <row r="1601" spans="1:15" ht="16" x14ac:dyDescent="0.2">
      <c r="A1601" s="18" t="str">
        <f>HYPERLINK("https://otsuka-europe-crm.veevavault.com/ui/#object/account__v/V4T000000023111", "CAMILLE BOURGEOIS AVELLA")</f>
        <v>CAMILLE BOURGEOIS AVELLA</v>
      </c>
      <c r="B1601" s="18" t="str">
        <f>HYPERLINK("https://otsuka-europe-crm.veevavault.com/ui/#object/vcountry__v/VENZ000004SONF5", "ES")</f>
        <v>ES</v>
      </c>
      <c r="C1601" s="20" t="s">
        <v>39</v>
      </c>
      <c r="D160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01" s="22" t="str">
        <f>HYPERLINK("https://otsuka-europe-crm.veevavault.com/ui/#object/sent_email__v/VBL000000030182", "SE-001439568")</f>
        <v>SE-001439568</v>
      </c>
      <c r="F1601" s="25">
        <v>46212.395833333336</v>
      </c>
      <c r="G1601" s="24">
        <v>1</v>
      </c>
      <c r="H1601" s="24">
        <v>2</v>
      </c>
      <c r="I1601" s="24">
        <v>1</v>
      </c>
      <c r="J1601" s="25">
        <v>46212.395949074074</v>
      </c>
      <c r="K1601" s="24">
        <v>1</v>
      </c>
      <c r="L160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01" s="22" t="str">
        <f>HYPERLINK("mailto:idiez@crm.otsuka-europe.com", "idiez@crm.otsuka-europe.com")</f>
        <v>idiez@crm.otsuka-europe.com</v>
      </c>
      <c r="N1601" s="25">
        <v>46209.348877314813</v>
      </c>
      <c r="O1601" s="14" t="str">
        <f>HYPERLINK("https://otsuka-europe-crm.veevavault.com/ui/#object/email_activity__v/V8C000000043327", "EN-002102239")</f>
        <v>EN-002102239</v>
      </c>
    </row>
    <row r="1602" spans="1:15" ht="16" x14ac:dyDescent="0.2">
      <c r="A1602" s="26"/>
      <c r="B1602" s="26"/>
      <c r="C1602" s="26"/>
      <c r="D1602" s="26"/>
      <c r="E1602" s="26"/>
      <c r="F1602" s="26"/>
      <c r="G1602" s="26"/>
      <c r="H1602" s="26"/>
      <c r="I1602" s="26"/>
      <c r="J1602" s="26"/>
      <c r="K1602" s="26"/>
      <c r="L1602" s="26"/>
      <c r="M1602" s="26"/>
      <c r="N1602" s="26"/>
      <c r="O1602" s="14" t="str">
        <f>HYPERLINK("https://otsuka-europe-crm.veevavault.com/ui/#object/email_activity__v/V8C000000043452", "EN-002102421")</f>
        <v>EN-002102421</v>
      </c>
    </row>
    <row r="1603" spans="1:15" ht="16" x14ac:dyDescent="0.2">
      <c r="A1603" s="26"/>
      <c r="B1603" s="26"/>
      <c r="C1603" s="26"/>
      <c r="D1603" s="26"/>
      <c r="E1603" s="26"/>
      <c r="F1603" s="26"/>
      <c r="G1603" s="26"/>
      <c r="H1603" s="26"/>
      <c r="I1603" s="26"/>
      <c r="J1603" s="26"/>
      <c r="K1603" s="26"/>
      <c r="L1603" s="26"/>
      <c r="M1603" s="26"/>
      <c r="N1603" s="26"/>
      <c r="O1603" s="14" t="str">
        <f>HYPERLINK("https://otsuka-europe-crm.veevavault.com/ui/#object/email_activity__v/V8C000000043968", "EN-002103758")</f>
        <v>EN-002103758</v>
      </c>
    </row>
    <row r="1604" spans="1:15" ht="16" x14ac:dyDescent="0.2">
      <c r="A1604" s="19"/>
      <c r="B1604" s="19"/>
      <c r="C1604" s="19"/>
      <c r="D1604" s="19"/>
      <c r="E1604" s="19"/>
      <c r="F1604" s="19"/>
      <c r="G1604" s="19"/>
      <c r="H1604" s="19"/>
      <c r="I1604" s="19"/>
      <c r="J1604" s="19"/>
      <c r="K1604" s="19"/>
      <c r="L1604" s="19"/>
      <c r="M1604" s="19"/>
      <c r="N1604" s="19"/>
      <c r="O1604" s="14" t="str">
        <f>HYPERLINK("https://otsuka-europe-crm.veevavault.com/ui/#object/email_activity__v/V8C000000043969", "EN-002103759")</f>
        <v>EN-002103759</v>
      </c>
    </row>
    <row r="1605" spans="1:15" ht="16" x14ac:dyDescent="0.2">
      <c r="A1605" s="18" t="str">
        <f>HYPERLINK("https://otsuka-europe-crm.veevavault.com/ui/#object/account__v/V4TZ025E8404QHJ", "JUAN CARLOS LOPEZ ROBLEDILLO")</f>
        <v>JUAN CARLOS LOPEZ ROBLEDILLO</v>
      </c>
      <c r="B1605" s="18" t="str">
        <f>HYPERLINK("https://otsuka-europe-crm.veevavault.com/ui/#object/vcountry__v/VENZ000004SONF5", "ES")</f>
        <v>ES</v>
      </c>
      <c r="C1605" s="20" t="s">
        <v>39</v>
      </c>
      <c r="D160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05" s="22" t="str">
        <f>HYPERLINK("https://otsuka-europe-crm.veevavault.com/ui/#object/sent_email__v/VBL000000030183", "SE-001439569")</f>
        <v>SE-001439569</v>
      </c>
      <c r="F1605" s="25">
        <v>46209.75917824074</v>
      </c>
      <c r="G1605" s="24">
        <v>1</v>
      </c>
      <c r="H1605" s="24">
        <v>1</v>
      </c>
      <c r="I1605" s="24">
        <v>0</v>
      </c>
      <c r="J1605" s="23"/>
      <c r="K1605" s="24">
        <v>0</v>
      </c>
      <c r="L160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05" s="22" t="str">
        <f>HYPERLINK("mailto:idiez@crm.otsuka-europe.com", "idiez@crm.otsuka-europe.com")</f>
        <v>idiez@crm.otsuka-europe.com</v>
      </c>
      <c r="N1605" s="25">
        <v>46209.348877314813</v>
      </c>
      <c r="O1605" s="14" t="str">
        <f>HYPERLINK("https://otsuka-europe-crm.veevavault.com/ui/#object/email_activity__v/V8C000000043336", "EN-002102248")</f>
        <v>EN-002102248</v>
      </c>
    </row>
    <row r="1606" spans="1:15" ht="16" x14ac:dyDescent="0.2">
      <c r="A1606" s="19"/>
      <c r="B1606" s="19"/>
      <c r="C1606" s="19"/>
      <c r="D1606" s="19"/>
      <c r="E1606" s="19"/>
      <c r="F1606" s="19"/>
      <c r="G1606" s="19"/>
      <c r="H1606" s="19"/>
      <c r="I1606" s="19"/>
      <c r="J1606" s="19"/>
      <c r="K1606" s="19"/>
      <c r="L1606" s="19"/>
      <c r="M1606" s="19"/>
      <c r="N1606" s="19"/>
      <c r="O1606" s="14" t="str">
        <f>HYPERLINK("https://otsuka-europe-crm.veevavault.com/ui/#object/email_activity__v/V8C000000044504", "EN-002102584")</f>
        <v>EN-002102584</v>
      </c>
    </row>
    <row r="1607" spans="1:15" ht="64" x14ac:dyDescent="0.2">
      <c r="A1607" s="7" t="str">
        <f>HYPERLINK("https://otsuka-europe-crm.veevavault.com/ui/#object/account__v/V4TZ04ASGGC144R", "CAROLINA MERINO ARGUMANEZ")</f>
        <v>CAROLINA MERINO ARGUMANEZ</v>
      </c>
      <c r="B1607" s="7" t="str">
        <f>HYPERLINK("https://otsuka-europe-crm.veevavault.com/ui/#object/vcountry__v/VENZ000004SONF5", "ES")</f>
        <v>ES</v>
      </c>
      <c r="C1607" s="8" t="s">
        <v>39</v>
      </c>
      <c r="D160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07" s="10" t="str">
        <f>HYPERLINK("https://otsuka-europe-crm.veevavault.com/ui/#object/sent_email__v/VBL000000030184", "SE-001439570")</f>
        <v>SE-001439570</v>
      </c>
      <c r="F1607" s="11"/>
      <c r="G1607" s="12">
        <v>0</v>
      </c>
      <c r="H1607" s="12">
        <v>0</v>
      </c>
      <c r="I1607" s="12">
        <v>0</v>
      </c>
      <c r="J1607" s="11"/>
      <c r="K1607" s="12">
        <v>0</v>
      </c>
      <c r="L160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07" s="10" t="str">
        <f>HYPERLINK("mailto:idiez@crm.otsuka-europe.com", "idiez@crm.otsuka-europe.com")</f>
        <v>idiez@crm.otsuka-europe.com</v>
      </c>
      <c r="N1607" s="13">
        <v>46209.348877314813</v>
      </c>
      <c r="O1607" s="14" t="str">
        <f>HYPERLINK("https://otsuka-europe-crm.veevavault.com/ui/#object/email_activity__v/V8C000000043342", "EN-002102254")</f>
        <v>EN-002102254</v>
      </c>
    </row>
    <row r="1608" spans="1:15" ht="64" x14ac:dyDescent="0.2">
      <c r="A1608" s="7" t="str">
        <f>HYPERLINK("https://otsuka-europe-crm.veevavault.com/ui/#object/account__v/V4TZ04ASGAADEXE", "MARIA PEREZ FERRO")</f>
        <v>MARIA PEREZ FERRO</v>
      </c>
      <c r="B1608" s="7" t="str">
        <f>HYPERLINK("https://otsuka-europe-crm.veevavault.com/ui/#object/vcountry__v/VENZ000004SONF5", "ES")</f>
        <v>ES</v>
      </c>
      <c r="C1608" s="8" t="s">
        <v>39</v>
      </c>
      <c r="D160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08" s="10" t="str">
        <f>HYPERLINK("https://otsuka-europe-crm.veevavault.com/ui/#object/sent_email__v/VBL000000030185", "SE-001439571")</f>
        <v>SE-001439571</v>
      </c>
      <c r="F1608" s="11"/>
      <c r="G1608" s="12">
        <v>0</v>
      </c>
      <c r="H1608" s="12">
        <v>0</v>
      </c>
      <c r="I1608" s="12">
        <v>0</v>
      </c>
      <c r="J1608" s="11"/>
      <c r="K1608" s="12">
        <v>0</v>
      </c>
      <c r="L160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08" s="10" t="str">
        <f>HYPERLINK("mailto:idiez@crm.otsuka-europe.com", "idiez@crm.otsuka-europe.com")</f>
        <v>idiez@crm.otsuka-europe.com</v>
      </c>
      <c r="N1608" s="13">
        <v>46209.348877314813</v>
      </c>
      <c r="O1608" s="14" t="str">
        <f>HYPERLINK("https://otsuka-europe-crm.veevavault.com/ui/#object/email_activity__v/V8C000000043338", "EN-002102250")</f>
        <v>EN-002102250</v>
      </c>
    </row>
    <row r="1609" spans="1:15" ht="16" x14ac:dyDescent="0.2">
      <c r="A1609" s="18" t="str">
        <f>HYPERLINK("https://otsuka-europe-crm.veevavault.com/ui/#object/account__v/V4T00000000V065", "FRANCISCO ARAMBURU MUÑOZ")</f>
        <v>FRANCISCO ARAMBURU MUÑOZ</v>
      </c>
      <c r="B1609" s="18" t="str">
        <f>HYPERLINK("https://otsuka-europe-crm.veevavault.com/ui/#object/vcountry__v/VENZ000004SONF5", "ES")</f>
        <v>ES</v>
      </c>
      <c r="C1609" s="20" t="s">
        <v>39</v>
      </c>
      <c r="D160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09" s="22" t="str">
        <f>HYPERLINK("https://otsuka-europe-crm.veevavault.com/ui/#object/sent_email__v/VBL000000030186", "SE-001439572")</f>
        <v>SE-001439572</v>
      </c>
      <c r="F1609" s="25">
        <v>46210.379293981481</v>
      </c>
      <c r="G1609" s="24">
        <v>1</v>
      </c>
      <c r="H1609" s="24">
        <v>2</v>
      </c>
      <c r="I1609" s="24">
        <v>0</v>
      </c>
      <c r="J1609" s="23"/>
      <c r="K1609" s="24">
        <v>0</v>
      </c>
      <c r="L160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09" s="22" t="str">
        <f>HYPERLINK("mailto:idiez@crm.otsuka-europe.com", "idiez@crm.otsuka-europe.com")</f>
        <v>idiez@crm.otsuka-europe.com</v>
      </c>
      <c r="N1609" s="25">
        <v>46209.348877314813</v>
      </c>
      <c r="O1609" s="14" t="str">
        <f>HYPERLINK("https://otsuka-europe-crm.veevavault.com/ui/#object/email_activity__v/V8C000000043339", "EN-002102251")</f>
        <v>EN-002102251</v>
      </c>
    </row>
    <row r="1610" spans="1:15" ht="16" x14ac:dyDescent="0.2">
      <c r="A1610" s="26"/>
      <c r="B1610" s="26"/>
      <c r="C1610" s="26"/>
      <c r="D1610" s="26"/>
      <c r="E1610" s="26"/>
      <c r="F1610" s="26"/>
      <c r="G1610" s="26"/>
      <c r="H1610" s="26"/>
      <c r="I1610" s="26"/>
      <c r="J1610" s="26"/>
      <c r="K1610" s="26"/>
      <c r="L1610" s="26"/>
      <c r="M1610" s="26"/>
      <c r="N1610" s="26"/>
      <c r="O1610" s="14" t="str">
        <f>HYPERLINK("https://otsuka-europe-crm.veevavault.com/ui/#object/email_activity__v/V8C000000043566", "EN-002102662")</f>
        <v>EN-002102662</v>
      </c>
    </row>
    <row r="1611" spans="1:15" ht="16" x14ac:dyDescent="0.2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/>
      <c r="L1611" s="19"/>
      <c r="M1611" s="19"/>
      <c r="N1611" s="19"/>
      <c r="O1611" s="14" t="str">
        <f>HYPERLINK("https://otsuka-europe-crm.veevavault.com/ui/#object/email_activity__v/V8C000000044448", "EN-002102477")</f>
        <v>EN-002102477</v>
      </c>
    </row>
    <row r="1612" spans="1:15" ht="16" x14ac:dyDescent="0.2">
      <c r="A1612" s="18" t="str">
        <f>HYPERLINK("https://otsuka-europe-crm.veevavault.com/ui/#object/account__v/V4TZ025E85OLSBW", "MARINA SANCHEZ LUCAS")</f>
        <v>MARINA SANCHEZ LUCAS</v>
      </c>
      <c r="B1612" s="18" t="str">
        <f>HYPERLINK("https://otsuka-europe-crm.veevavault.com/ui/#object/vcountry__v/VENZ000004SONF5", "ES")</f>
        <v>ES</v>
      </c>
      <c r="C1612" s="20" t="s">
        <v>39</v>
      </c>
      <c r="D161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12" s="22" t="str">
        <f>HYPERLINK("https://otsuka-europe-crm.veevavault.com/ui/#object/sent_email__v/VBL000000030187", "SE-001439573")</f>
        <v>SE-001439573</v>
      </c>
      <c r="F1612" s="23"/>
      <c r="G1612" s="24">
        <v>0</v>
      </c>
      <c r="H1612" s="24">
        <v>0</v>
      </c>
      <c r="I1612" s="24">
        <v>0</v>
      </c>
      <c r="J1612" s="23"/>
      <c r="K1612" s="24">
        <v>0</v>
      </c>
      <c r="L161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12" s="22" t="str">
        <f>HYPERLINK("mailto:idiez@crm.otsuka-europe.com", "idiez@crm.otsuka-europe.com")</f>
        <v>idiez@crm.otsuka-europe.com</v>
      </c>
      <c r="N1612" s="25">
        <v>46209.348877314813</v>
      </c>
      <c r="O1612" s="14" t="str">
        <f>HYPERLINK("https://otsuka-europe-crm.veevavault.com/ui/#object/email_activity__v/V8C000000043332", "EN-002102244")</f>
        <v>EN-002102244</v>
      </c>
    </row>
    <row r="1613" spans="1:15" ht="16" x14ac:dyDescent="0.2">
      <c r="A1613" s="19"/>
      <c r="B1613" s="19"/>
      <c r="C1613" s="19"/>
      <c r="D1613" s="19"/>
      <c r="E1613" s="19"/>
      <c r="F1613" s="19"/>
      <c r="G1613" s="19"/>
      <c r="H1613" s="19"/>
      <c r="I1613" s="19"/>
      <c r="J1613" s="19"/>
      <c r="K1613" s="19"/>
      <c r="L1613" s="19"/>
      <c r="M1613" s="19"/>
      <c r="N1613" s="19"/>
      <c r="O1613" s="14" t="str">
        <f>HYPERLINK("https://otsuka-europe-crm.veevavault.com/ui/#object/email_activity__v/V8C000000043487", "EN-002102506")</f>
        <v>EN-002102506</v>
      </c>
    </row>
    <row r="1614" spans="1:15" ht="16" x14ac:dyDescent="0.2">
      <c r="A1614" s="18" t="str">
        <f>HYPERLINK("https://otsuka-europe-crm.veevavault.com/ui/#object/account__v/V4TZ025E85JRQNZ", "CELIA COLAS APARICIO")</f>
        <v>CELIA COLAS APARICIO</v>
      </c>
      <c r="B1614" s="18" t="str">
        <f>HYPERLINK("https://otsuka-europe-crm.veevavault.com/ui/#object/vcountry__v/VENZ000004SONF5", "ES")</f>
        <v>ES</v>
      </c>
      <c r="C1614" s="20" t="s">
        <v>39</v>
      </c>
      <c r="D161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14" s="22" t="str">
        <f>HYPERLINK("https://otsuka-europe-crm.veevavault.com/ui/#object/sent_email__v/VBL000000030188", "SE-001439574")</f>
        <v>SE-001439574</v>
      </c>
      <c r="F1614" s="25">
        <v>46209.605937499997</v>
      </c>
      <c r="G1614" s="24">
        <v>1</v>
      </c>
      <c r="H1614" s="24">
        <v>1</v>
      </c>
      <c r="I1614" s="24">
        <v>0</v>
      </c>
      <c r="J1614" s="23"/>
      <c r="K1614" s="24">
        <v>0</v>
      </c>
      <c r="L161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14" s="22" t="str">
        <f>HYPERLINK("mailto:idiez@crm.otsuka-europe.com", "idiez@crm.otsuka-europe.com")</f>
        <v>idiez@crm.otsuka-europe.com</v>
      </c>
      <c r="N1614" s="25">
        <v>46209.348877314813</v>
      </c>
      <c r="O1614" s="14" t="str">
        <f>HYPERLINK("https://otsuka-europe-crm.veevavault.com/ui/#object/email_activity__v/V8C000000043354", "EN-002102266")</f>
        <v>EN-002102266</v>
      </c>
    </row>
    <row r="1615" spans="1:15" ht="16" x14ac:dyDescent="0.2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/>
      <c r="L1615" s="19"/>
      <c r="M1615" s="19"/>
      <c r="N1615" s="19"/>
      <c r="O1615" s="14" t="str">
        <f>HYPERLINK("https://otsuka-europe-crm.veevavault.com/ui/#object/email_activity__v/V8C000000044475", "EN-002102528")</f>
        <v>EN-002102528</v>
      </c>
    </row>
    <row r="1616" spans="1:15" ht="16" x14ac:dyDescent="0.2">
      <c r="A1616" s="18" t="str">
        <f>HYPERLINK("https://otsuka-europe-crm.veevavault.com/ui/#object/account__v/V4TZ04ASGAAGMZK", "ANGEL ARAGON DIEZ")</f>
        <v>ANGEL ARAGON DIEZ</v>
      </c>
      <c r="B1616" s="18" t="str">
        <f>HYPERLINK("https://otsuka-europe-crm.veevavault.com/ui/#object/vcountry__v/VENZ000004SONF5", "ES")</f>
        <v>ES</v>
      </c>
      <c r="C1616" s="20" t="s">
        <v>39</v>
      </c>
      <c r="D161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16" s="22" t="str">
        <f>HYPERLINK("https://otsuka-europe-crm.veevavault.com/ui/#object/sent_email__v/VBL000000030189", "SE-001439575")</f>
        <v>SE-001439575</v>
      </c>
      <c r="F1616" s="25">
        <v>46224.59002314815</v>
      </c>
      <c r="G1616" s="24">
        <v>1</v>
      </c>
      <c r="H1616" s="24">
        <v>3</v>
      </c>
      <c r="I1616" s="24">
        <v>0</v>
      </c>
      <c r="J1616" s="23"/>
      <c r="K1616" s="24">
        <v>0</v>
      </c>
      <c r="L161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16" s="22" t="str">
        <f>HYPERLINK("mailto:idiez@crm.otsuka-europe.com", "idiez@crm.otsuka-europe.com")</f>
        <v>idiez@crm.otsuka-europe.com</v>
      </c>
      <c r="N1616" s="25">
        <v>46209.348877314813</v>
      </c>
      <c r="O1616" s="14" t="str">
        <f>HYPERLINK("https://otsuka-europe-crm.veevavault.com/ui/#object/email_activity__v/V8C000000043331", "EN-002102243")</f>
        <v>EN-002102243</v>
      </c>
    </row>
    <row r="1617" spans="1:15" ht="16" x14ac:dyDescent="0.2">
      <c r="A1617" s="26"/>
      <c r="B1617" s="26"/>
      <c r="C1617" s="26"/>
      <c r="D1617" s="26"/>
      <c r="E1617" s="26"/>
      <c r="F1617" s="26"/>
      <c r="G1617" s="26"/>
      <c r="H1617" s="26"/>
      <c r="I1617" s="26"/>
      <c r="J1617" s="26"/>
      <c r="K1617" s="26"/>
      <c r="L1617" s="26"/>
      <c r="M1617" s="26"/>
      <c r="N1617" s="26"/>
      <c r="O1617" s="14" t="str">
        <f>HYPERLINK("https://otsuka-europe-crm.veevavault.com/ui/#object/email_activity__v/V8C000000043408", "EN-002102348")</f>
        <v>EN-002102348</v>
      </c>
    </row>
    <row r="1618" spans="1:15" ht="16" x14ac:dyDescent="0.2">
      <c r="A1618" s="26"/>
      <c r="B1618" s="26"/>
      <c r="C1618" s="26"/>
      <c r="D1618" s="26"/>
      <c r="E1618" s="26"/>
      <c r="F1618" s="26"/>
      <c r="G1618" s="26"/>
      <c r="H1618" s="26"/>
      <c r="I1618" s="26"/>
      <c r="J1618" s="26"/>
      <c r="K1618" s="26"/>
      <c r="L1618" s="26"/>
      <c r="M1618" s="26"/>
      <c r="N1618" s="26"/>
      <c r="O1618" s="14" t="str">
        <f>HYPERLINK("https://otsuka-europe-crm.veevavault.com/ui/#object/email_activity__v/V8C00000004C181", "EN-002107164")</f>
        <v>EN-002107164</v>
      </c>
    </row>
    <row r="1619" spans="1:15" ht="16" x14ac:dyDescent="0.2">
      <c r="A1619" s="19"/>
      <c r="B1619" s="19"/>
      <c r="C1619" s="19"/>
      <c r="D1619" s="19"/>
      <c r="E1619" s="19"/>
      <c r="F1619" s="19"/>
      <c r="G1619" s="19"/>
      <c r="H1619" s="19"/>
      <c r="I1619" s="19"/>
      <c r="J1619" s="19"/>
      <c r="K1619" s="19"/>
      <c r="L1619" s="19"/>
      <c r="M1619" s="19"/>
      <c r="N1619" s="19"/>
      <c r="O1619" s="14" t="str">
        <f>HYPERLINK("https://otsuka-europe-crm.veevavault.com/ui/#object/email_activity__v/V8C00000004C221", "EN-002107242")</f>
        <v>EN-002107242</v>
      </c>
    </row>
    <row r="1620" spans="1:15" ht="64" x14ac:dyDescent="0.2">
      <c r="A1620" s="7" t="str">
        <f>HYPERLINK("https://otsuka-europe-crm.veevavault.com/ui/#object/account__v/V4TZ025E82ZZXEB", "VALENTINA EMMANUELA EMPERIALE")</f>
        <v>VALENTINA EMMANUELA EMPERIALE</v>
      </c>
      <c r="B1620" s="7" t="str">
        <f>HYPERLINK("https://otsuka-europe-crm.veevavault.com/ui/#object/vcountry__v/VENZ000004SONF5", "ES")</f>
        <v>ES</v>
      </c>
      <c r="C1620" s="8" t="s">
        <v>39</v>
      </c>
      <c r="D162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620" s="10" t="str">
        <f>HYPERLINK("https://otsuka-europe-crm.veevavault.com/ui/#object/sent_email__v/VBL000000030190", "SE-001439576")</f>
        <v>SE-001439576</v>
      </c>
      <c r="F1620" s="11"/>
      <c r="G1620" s="12">
        <v>0</v>
      </c>
      <c r="H1620" s="12">
        <v>0</v>
      </c>
      <c r="I1620" s="12">
        <v>0</v>
      </c>
      <c r="J1620" s="11"/>
      <c r="K1620" s="12">
        <v>0</v>
      </c>
      <c r="L162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620" s="10" t="str">
        <f>HYPERLINK("mailto:idiez@crm.otsuka-europe.com", "idiez@crm.otsuka-europe.com")</f>
        <v>idiez@crm.otsuka-europe.com</v>
      </c>
      <c r="N1620" s="13">
        <v>46209.348877314813</v>
      </c>
      <c r="O1620" s="14" t="str">
        <f>HYPERLINK("https://otsuka-europe-crm.veevavault.com/ui/#object/email_activity__v/V8C000000043340", "EN-002102252")</f>
        <v>EN-002102252</v>
      </c>
    </row>
    <row r="1621" spans="1:15" ht="16" x14ac:dyDescent="0.2">
      <c r="A1621" s="18" t="str">
        <f>HYPERLINK("https://otsuka-europe-crm.veevavault.com/ui/#object/account__v/V4TZ025E85N817B", "CLAUDIA LARA LOPEZ PRIETO")</f>
        <v>CLAUDIA LARA LOPEZ PRIETO</v>
      </c>
      <c r="B1621" s="18" t="str">
        <f>HYPERLINK("https://otsuka-europe-crm.veevavault.com/ui/#object/vcountry__v/VENZ000004SONF5", "ES")</f>
        <v>ES</v>
      </c>
      <c r="C1621" s="20" t="s">
        <v>39</v>
      </c>
      <c r="D1621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21" s="22" t="str">
        <f>HYPERLINK("https://otsuka-europe-crm.veevavault.com/ui/#object/sent_email__v/VBL000000031238", "SE-001439577")</f>
        <v>SE-001439577</v>
      </c>
      <c r="F1621" s="25">
        <v>46209.351655092592</v>
      </c>
      <c r="G1621" s="24">
        <v>1</v>
      </c>
      <c r="H1621" s="24">
        <v>1</v>
      </c>
      <c r="I1621" s="24">
        <v>0</v>
      </c>
      <c r="J1621" s="23"/>
      <c r="K1621" s="24">
        <v>0</v>
      </c>
      <c r="L1621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21" s="22" t="str">
        <f>HYPERLINK("mailto:idiez@crm.otsuka-europe.com", "idiez@crm.otsuka-europe.com")</f>
        <v>idiez@crm.otsuka-europe.com</v>
      </c>
      <c r="N1621" s="25">
        <v>46209.351481481484</v>
      </c>
      <c r="O1621" s="14" t="str">
        <f>HYPERLINK("https://otsuka-europe-crm.veevavault.com/ui/#object/email_activity__v/V8C000000043395", "EN-002102326")</f>
        <v>EN-002102326</v>
      </c>
    </row>
    <row r="1622" spans="1:15" ht="16" x14ac:dyDescent="0.2">
      <c r="A1622" s="19"/>
      <c r="B1622" s="19"/>
      <c r="C1622" s="19"/>
      <c r="D1622" s="19"/>
      <c r="E1622" s="19"/>
      <c r="F1622" s="19"/>
      <c r="G1622" s="19"/>
      <c r="H1622" s="19"/>
      <c r="I1622" s="19"/>
      <c r="J1622" s="19"/>
      <c r="K1622" s="19"/>
      <c r="L1622" s="19"/>
      <c r="M1622" s="19"/>
      <c r="N1622" s="19"/>
      <c r="O1622" s="14" t="str">
        <f>HYPERLINK("https://otsuka-europe-crm.veevavault.com/ui/#object/email_activity__v/V8C000000044368", "EN-002102310")</f>
        <v>EN-002102310</v>
      </c>
    </row>
    <row r="1623" spans="1:15" ht="16" x14ac:dyDescent="0.2">
      <c r="A1623" s="18" t="str">
        <f>HYPERLINK("https://otsuka-europe-crm.veevavault.com/ui/#object/account__v/V4TZ06G6O71TBYF", "GABRIELA RODRIGUEZ MACIAS")</f>
        <v>GABRIELA RODRIGUEZ MACIAS</v>
      </c>
      <c r="B1623" s="18" t="str">
        <f>HYPERLINK("https://otsuka-europe-crm.veevavault.com/ui/#object/vcountry__v/VENZ000004SONF5", "ES")</f>
        <v>ES</v>
      </c>
      <c r="C1623" s="20" t="s">
        <v>39</v>
      </c>
      <c r="D1623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23" s="22" t="str">
        <f>HYPERLINK("https://otsuka-europe-crm.veevavault.com/ui/#object/sent_email__v/VBL000000031239", "SE-001439578")</f>
        <v>SE-001439578</v>
      </c>
      <c r="F1623" s="25">
        <v>46209.691423611112</v>
      </c>
      <c r="G1623" s="24">
        <v>1</v>
      </c>
      <c r="H1623" s="24">
        <v>6</v>
      </c>
      <c r="I1623" s="24">
        <v>0</v>
      </c>
      <c r="J1623" s="23"/>
      <c r="K1623" s="24">
        <v>0</v>
      </c>
      <c r="L1623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23" s="22" t="str">
        <f>HYPERLINK("mailto:idiez@crm.otsuka-europe.com", "idiez@crm.otsuka-europe.com")</f>
        <v>idiez@crm.otsuka-europe.com</v>
      </c>
      <c r="N1623" s="25">
        <v>46209.351481481484</v>
      </c>
      <c r="O1623" s="14" t="str">
        <f>HYPERLINK("https://otsuka-europe-crm.veevavault.com/ui/#object/email_activity__v/V8C000000043379", "EN-002102298")</f>
        <v>EN-002102298</v>
      </c>
    </row>
    <row r="1624" spans="1:15" ht="16" x14ac:dyDescent="0.2">
      <c r="A1624" s="26"/>
      <c r="B1624" s="26"/>
      <c r="C1624" s="26"/>
      <c r="D1624" s="26"/>
      <c r="E1624" s="26"/>
      <c r="F1624" s="26"/>
      <c r="G1624" s="26"/>
      <c r="H1624" s="26"/>
      <c r="I1624" s="26"/>
      <c r="J1624" s="26"/>
      <c r="K1624" s="26"/>
      <c r="L1624" s="26"/>
      <c r="M1624" s="26"/>
      <c r="N1624" s="26"/>
      <c r="O1624" s="14" t="str">
        <f>HYPERLINK("https://otsuka-europe-crm.veevavault.com/ui/#object/email_activity__v/V8C000000043398", "EN-002102329")</f>
        <v>EN-002102329</v>
      </c>
    </row>
    <row r="1625" spans="1:15" ht="16" x14ac:dyDescent="0.2">
      <c r="A1625" s="26"/>
      <c r="B1625" s="26"/>
      <c r="C1625" s="26"/>
      <c r="D1625" s="26"/>
      <c r="E1625" s="26"/>
      <c r="F1625" s="26"/>
      <c r="G1625" s="26"/>
      <c r="H1625" s="26"/>
      <c r="I1625" s="26"/>
      <c r="J1625" s="26"/>
      <c r="K1625" s="26"/>
      <c r="L1625" s="26"/>
      <c r="M1625" s="26"/>
      <c r="N1625" s="26"/>
      <c r="O1625" s="14" t="str">
        <f>HYPERLINK("https://otsuka-europe-crm.veevavault.com/ui/#object/email_activity__v/V8C000000044376", "EN-002102330")</f>
        <v>EN-002102330</v>
      </c>
    </row>
    <row r="1626" spans="1:15" ht="16" x14ac:dyDescent="0.2">
      <c r="A1626" s="26"/>
      <c r="B1626" s="26"/>
      <c r="C1626" s="26"/>
      <c r="D1626" s="26"/>
      <c r="E1626" s="26"/>
      <c r="F1626" s="26"/>
      <c r="G1626" s="26"/>
      <c r="H1626" s="26"/>
      <c r="I1626" s="26"/>
      <c r="J1626" s="26"/>
      <c r="K1626" s="26"/>
      <c r="L1626" s="26"/>
      <c r="M1626" s="26"/>
      <c r="N1626" s="26"/>
      <c r="O1626" s="14" t="str">
        <f>HYPERLINK("https://otsuka-europe-crm.veevavault.com/ui/#object/email_activity__v/V8C000000044382", "EN-002102344")</f>
        <v>EN-002102344</v>
      </c>
    </row>
    <row r="1627" spans="1:15" ht="16" x14ac:dyDescent="0.2">
      <c r="A1627" s="26"/>
      <c r="B1627" s="26"/>
      <c r="C1627" s="26"/>
      <c r="D1627" s="26"/>
      <c r="E1627" s="26"/>
      <c r="F1627" s="26"/>
      <c r="G1627" s="26"/>
      <c r="H1627" s="26"/>
      <c r="I1627" s="26"/>
      <c r="J1627" s="26"/>
      <c r="K1627" s="26"/>
      <c r="L1627" s="26"/>
      <c r="M1627" s="26"/>
      <c r="N1627" s="26"/>
      <c r="O1627" s="14" t="str">
        <f>HYPERLINK("https://otsuka-europe-crm.veevavault.com/ui/#object/email_activity__v/V8C000000044435", "EN-002102457")</f>
        <v>EN-002102457</v>
      </c>
    </row>
    <row r="1628" spans="1:15" ht="16" x14ac:dyDescent="0.2">
      <c r="A1628" s="26"/>
      <c r="B1628" s="26"/>
      <c r="C1628" s="26"/>
      <c r="D1628" s="26"/>
      <c r="E1628" s="26"/>
      <c r="F1628" s="26"/>
      <c r="G1628" s="26"/>
      <c r="H1628" s="26"/>
      <c r="I1628" s="26"/>
      <c r="J1628" s="26"/>
      <c r="K1628" s="26"/>
      <c r="L1628" s="26"/>
      <c r="M1628" s="26"/>
      <c r="N1628" s="26"/>
      <c r="O1628" s="14" t="str">
        <f>HYPERLINK("https://otsuka-europe-crm.veevavault.com/ui/#object/email_activity__v/V8C000000044436", "EN-002102458")</f>
        <v>EN-002102458</v>
      </c>
    </row>
    <row r="1629" spans="1:15" ht="16" x14ac:dyDescent="0.2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/>
      <c r="L1629" s="19"/>
      <c r="M1629" s="19"/>
      <c r="N1629" s="19"/>
      <c r="O1629" s="14" t="str">
        <f>HYPERLINK("https://otsuka-europe-crm.veevavault.com/ui/#object/email_activity__v/V8C000000044496", "EN-002102570")</f>
        <v>EN-002102570</v>
      </c>
    </row>
    <row r="1630" spans="1:15" ht="48" x14ac:dyDescent="0.2">
      <c r="A1630" s="7" t="str">
        <f>HYPERLINK("https://otsuka-europe-crm.veevavault.com/ui/#object/account__v/V4TZ025E861Z8I9", "ROSALIA BUSTELOS RODRIGUEZ")</f>
        <v>ROSALIA BUSTELOS RODRIGUEZ</v>
      </c>
      <c r="B1630" s="7" t="str">
        <f>HYPERLINK("https://otsuka-europe-crm.veevavault.com/ui/#object/vcountry__v/VENZ000004SONF5", "ES")</f>
        <v>ES</v>
      </c>
      <c r="C1630" s="8" t="s">
        <v>39</v>
      </c>
      <c r="D163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30" s="10" t="str">
        <f>HYPERLINK("https://otsuka-europe-crm.veevavault.com/ui/#object/sent_email__v/VBL000000031240", "SE-001439579")</f>
        <v>SE-001439579</v>
      </c>
      <c r="F1630" s="11"/>
      <c r="G1630" s="12">
        <v>0</v>
      </c>
      <c r="H1630" s="12">
        <v>0</v>
      </c>
      <c r="I1630" s="12">
        <v>0</v>
      </c>
      <c r="J1630" s="11"/>
      <c r="K1630" s="12">
        <v>0</v>
      </c>
      <c r="L163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30" s="10" t="str">
        <f>HYPERLINK("mailto:idiez@crm.otsuka-europe.com", "idiez@crm.otsuka-europe.com")</f>
        <v>idiez@crm.otsuka-europe.com</v>
      </c>
      <c r="N1630" s="13">
        <v>46209.351469907408</v>
      </c>
      <c r="O1630" s="14" t="str">
        <f>HYPERLINK("https://otsuka-europe-crm.veevavault.com/ui/#object/email_activity__v/V8C000000044364", "EN-002102304")</f>
        <v>EN-002102304</v>
      </c>
    </row>
    <row r="1631" spans="1:15" ht="48" x14ac:dyDescent="0.2">
      <c r="A1631" s="7" t="str">
        <f>HYPERLINK("https://otsuka-europe-crm.veevavault.com/ui/#object/account__v/V4TZ025E877HOFE", "NEREA CAMINOS ALTUNA")</f>
        <v>NEREA CAMINOS ALTUNA</v>
      </c>
      <c r="B1631" s="7" t="str">
        <f>HYPERLINK("https://otsuka-europe-crm.veevavault.com/ui/#object/vcountry__v/VENZ000004SONF5", "ES")</f>
        <v>ES</v>
      </c>
      <c r="C1631" s="8" t="s">
        <v>39</v>
      </c>
      <c r="D163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31" s="10" t="str">
        <f>HYPERLINK("https://otsuka-europe-crm.veevavault.com/ui/#object/sent_email__v/VBL000000031241", "SE-001439580")</f>
        <v>SE-001439580</v>
      </c>
      <c r="F1631" s="11"/>
      <c r="G1631" s="12">
        <v>0</v>
      </c>
      <c r="H1631" s="12">
        <v>0</v>
      </c>
      <c r="I1631" s="12">
        <v>0</v>
      </c>
      <c r="J1631" s="11"/>
      <c r="K1631" s="12">
        <v>0</v>
      </c>
      <c r="L163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31" s="10" t="str">
        <f>HYPERLINK("mailto:idiez@crm.otsuka-europe.com", "idiez@crm.otsuka-europe.com")</f>
        <v>idiez@crm.otsuka-europe.com</v>
      </c>
      <c r="N1631" s="13">
        <v>46209.351469907408</v>
      </c>
      <c r="O1631" s="14" t="str">
        <f>HYPERLINK("https://otsuka-europe-crm.veevavault.com/ui/#object/email_activity__v/V8C000000044362", "EN-002102292")</f>
        <v>EN-002102292</v>
      </c>
    </row>
    <row r="1632" spans="1:15" ht="48" x14ac:dyDescent="0.2">
      <c r="A1632" s="7" t="str">
        <f>HYPERLINK("https://otsuka-europe-crm.veevavault.com/ui/#object/account__v/V4T00000001X104", "JACKELINE SOLANO TOVAR")</f>
        <v>JACKELINE SOLANO TOVAR</v>
      </c>
      <c r="B1632" s="7" t="str">
        <f>HYPERLINK("https://otsuka-europe-crm.veevavault.com/ui/#object/vcountry__v/VENZ000004SONF5", "ES")</f>
        <v>ES</v>
      </c>
      <c r="C1632" s="8" t="s">
        <v>39</v>
      </c>
      <c r="D1632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32" s="10" t="str">
        <f>HYPERLINK("https://otsuka-europe-crm.veevavault.com/ui/#object/sent_email__v/VBL000000031242", "SE-001439581")</f>
        <v>SE-001439581</v>
      </c>
      <c r="F1632" s="11"/>
      <c r="G1632" s="12">
        <v>0</v>
      </c>
      <c r="H1632" s="12">
        <v>0</v>
      </c>
      <c r="I1632" s="12">
        <v>0</v>
      </c>
      <c r="J1632" s="11"/>
      <c r="K1632" s="12">
        <v>0</v>
      </c>
      <c r="L1632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32" s="10" t="str">
        <f>HYPERLINK("mailto:idiez@crm.otsuka-europe.com", "idiez@crm.otsuka-europe.com")</f>
        <v>idiez@crm.otsuka-europe.com</v>
      </c>
      <c r="N1632" s="13">
        <v>46209.351469907408</v>
      </c>
      <c r="O1632" s="14" t="str">
        <f>HYPERLINK("https://otsuka-europe-crm.veevavault.com/ui/#object/email_activity__v/V8C000000043381", "EN-002102300")</f>
        <v>EN-002102300</v>
      </c>
    </row>
    <row r="1633" spans="1:15" ht="16" x14ac:dyDescent="0.2">
      <c r="A1633" s="18" t="str">
        <f>HYPERLINK("https://otsuka-europe-crm.veevavault.com/ui/#object/account__v/V4T00000001B073", "SONIA MARIA GARCIA FERNANDEZ")</f>
        <v>SONIA MARIA GARCIA FERNANDEZ</v>
      </c>
      <c r="B1633" s="18" t="str">
        <f>HYPERLINK("https://otsuka-europe-crm.veevavault.com/ui/#object/vcountry__v/VENZ000004SONF5", "ES")</f>
        <v>ES</v>
      </c>
      <c r="C1633" s="20" t="s">
        <v>39</v>
      </c>
      <c r="D1633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33" s="22" t="str">
        <f>HYPERLINK("https://otsuka-europe-crm.veevavault.com/ui/#object/sent_email__v/VBL000000031243", "SE-001439582")</f>
        <v>SE-001439582</v>
      </c>
      <c r="F1633" s="25">
        <v>46209.529120370367</v>
      </c>
      <c r="G1633" s="24">
        <v>1</v>
      </c>
      <c r="H1633" s="24">
        <v>1</v>
      </c>
      <c r="I1633" s="24">
        <v>1</v>
      </c>
      <c r="J1633" s="25">
        <v>46209.529120370367</v>
      </c>
      <c r="K1633" s="24">
        <v>1</v>
      </c>
      <c r="L1633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33" s="22" t="str">
        <f>HYPERLINK("mailto:idiez@crm.otsuka-europe.com", "idiez@crm.otsuka-europe.com")</f>
        <v>idiez@crm.otsuka-europe.com</v>
      </c>
      <c r="N1633" s="25">
        <v>46209.351493055554</v>
      </c>
      <c r="O1633" s="14" t="str">
        <f>HYPERLINK("https://otsuka-europe-crm.veevavault.com/ui/#object/email_activity__v/V8C000000043367", "EN-002102281")</f>
        <v>EN-002102281</v>
      </c>
    </row>
    <row r="1634" spans="1:15" ht="16" x14ac:dyDescent="0.2">
      <c r="A1634" s="26"/>
      <c r="B1634" s="26"/>
      <c r="C1634" s="26"/>
      <c r="D1634" s="26"/>
      <c r="E1634" s="26"/>
      <c r="F1634" s="26"/>
      <c r="G1634" s="26"/>
      <c r="H1634" s="26"/>
      <c r="I1634" s="26"/>
      <c r="J1634" s="26"/>
      <c r="K1634" s="26"/>
      <c r="L1634" s="26"/>
      <c r="M1634" s="26"/>
      <c r="N1634" s="26"/>
      <c r="O1634" s="14" t="str">
        <f>HYPERLINK("https://otsuka-europe-crm.veevavault.com/ui/#object/email_activity__v/V8C000000043481", "EN-002102496")</f>
        <v>EN-002102496</v>
      </c>
    </row>
    <row r="1635" spans="1:15" ht="16" x14ac:dyDescent="0.2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/>
      <c r="L1635" s="19"/>
      <c r="M1635" s="19"/>
      <c r="N1635" s="19"/>
      <c r="O1635" s="14" t="str">
        <f>HYPERLINK("https://otsuka-europe-crm.veevavault.com/ui/#object/email_activity__v/V8C000000043482", "EN-002102495")</f>
        <v>EN-002102495</v>
      </c>
    </row>
    <row r="1636" spans="1:15" ht="16" x14ac:dyDescent="0.2">
      <c r="A1636" s="18" t="str">
        <f>HYPERLINK("https://otsuka-europe-crm.veevavault.com/ui/#object/account__v/V4TZ025E8979ONL", "JORGE DE RAMOS SUAREZ")</f>
        <v>JORGE DE RAMOS SUAREZ</v>
      </c>
      <c r="B1636" s="18" t="str">
        <f>HYPERLINK("https://otsuka-europe-crm.veevavault.com/ui/#object/vcountry__v/VENZ000004SONF5", "ES")</f>
        <v>ES</v>
      </c>
      <c r="C1636" s="20" t="s">
        <v>39</v>
      </c>
      <c r="D163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36" s="22" t="str">
        <f>HYPERLINK("https://otsuka-europe-crm.veevavault.com/ui/#object/sent_email__v/VBL000000031244", "SE-001439583")</f>
        <v>SE-001439583</v>
      </c>
      <c r="F1636" s="23"/>
      <c r="G1636" s="24">
        <v>0</v>
      </c>
      <c r="H1636" s="24">
        <v>0</v>
      </c>
      <c r="I1636" s="24">
        <v>0</v>
      </c>
      <c r="J1636" s="23"/>
      <c r="K1636" s="24">
        <v>0</v>
      </c>
      <c r="L163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36" s="22" t="str">
        <f>HYPERLINK("mailto:idiez@crm.otsuka-europe.com", "idiez@crm.otsuka-europe.com")</f>
        <v>idiez@crm.otsuka-europe.com</v>
      </c>
      <c r="N1636" s="25">
        <v>46209.351469907408</v>
      </c>
      <c r="O1636" s="14" t="str">
        <f>HYPERLINK("https://otsuka-europe-crm.veevavault.com/ui/#object/email_activity__v/V8C000000043371", "EN-002102285")</f>
        <v>EN-002102285</v>
      </c>
    </row>
    <row r="1637" spans="1:15" ht="16" x14ac:dyDescent="0.2">
      <c r="A1637" s="19"/>
      <c r="B1637" s="19"/>
      <c r="C1637" s="19"/>
      <c r="D1637" s="19"/>
      <c r="E1637" s="19"/>
      <c r="F1637" s="19"/>
      <c r="G1637" s="19"/>
      <c r="H1637" s="19"/>
      <c r="I1637" s="19"/>
      <c r="J1637" s="19"/>
      <c r="K1637" s="19"/>
      <c r="L1637" s="19"/>
      <c r="M1637" s="19"/>
      <c r="N1637" s="19"/>
      <c r="O1637" s="14" t="str">
        <f>HYPERLINK("https://otsuka-europe-crm.veevavault.com/ui/#object/email_activity__v/V8C000000044505", "EN-002102585")</f>
        <v>EN-002102585</v>
      </c>
    </row>
    <row r="1638" spans="1:15" ht="16" x14ac:dyDescent="0.2">
      <c r="A1638" s="18" t="str">
        <f>HYPERLINK("https://otsuka-europe-crm.veevavault.com/ui/#object/account__v/V4TZ025E85V82C5", "ANA BELEN BOCANEGRA PEREZ-VIZCAINO")</f>
        <v>ANA BELEN BOCANEGRA PEREZ-VIZCAINO</v>
      </c>
      <c r="B1638" s="18" t="str">
        <f>HYPERLINK("https://otsuka-europe-crm.veevavault.com/ui/#object/vcountry__v/VENZ000004SONF5", "ES")</f>
        <v>ES</v>
      </c>
      <c r="C1638" s="20" t="s">
        <v>39</v>
      </c>
      <c r="D1638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38" s="22" t="str">
        <f>HYPERLINK("https://otsuka-europe-crm.veevavault.com/ui/#object/sent_email__v/VBL000000031245", "SE-001439584")</f>
        <v>SE-001439584</v>
      </c>
      <c r="F1638" s="23"/>
      <c r="G1638" s="24">
        <v>0</v>
      </c>
      <c r="H1638" s="24">
        <v>0</v>
      </c>
      <c r="I1638" s="24">
        <v>0</v>
      </c>
      <c r="J1638" s="23"/>
      <c r="K1638" s="24">
        <v>0</v>
      </c>
      <c r="L1638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38" s="22" t="str">
        <f>HYPERLINK("mailto:idiez@crm.otsuka-europe.com", "idiez@crm.otsuka-europe.com")</f>
        <v>idiez@crm.otsuka-europe.com</v>
      </c>
      <c r="N1638" s="25">
        <v>46209.351481481484</v>
      </c>
      <c r="O1638" s="14" t="str">
        <f>HYPERLINK("https://otsuka-europe-crm.veevavault.com/ui/#object/email_activity__v/V8C000000043368", "EN-002102282")</f>
        <v>EN-002102282</v>
      </c>
    </row>
    <row r="1639" spans="1:15" ht="16" x14ac:dyDescent="0.2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/>
      <c r="L1639" s="19"/>
      <c r="M1639" s="19"/>
      <c r="N1639" s="19"/>
      <c r="O1639" s="14" t="str">
        <f>HYPERLINK("https://otsuka-europe-crm.veevavault.com/ui/#object/email_activity__v/V8C000000044526", "EN-002102626")</f>
        <v>EN-002102626</v>
      </c>
    </row>
    <row r="1640" spans="1:15" ht="48" x14ac:dyDescent="0.2">
      <c r="A1640" s="7" t="str">
        <f>HYPERLINK("https://otsuka-europe-crm.veevavault.com/ui/#object/account__v/V4TZ025E85NSC56", "MATIAS DIAZ SANCHEZ")</f>
        <v>MATIAS DIAZ SANCHEZ</v>
      </c>
      <c r="B1640" s="7" t="str">
        <f>HYPERLINK("https://otsuka-europe-crm.veevavault.com/ui/#object/vcountry__v/VENZ000004SONF5", "ES")</f>
        <v>ES</v>
      </c>
      <c r="C1640" s="8" t="s">
        <v>39</v>
      </c>
      <c r="D164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40" s="10" t="str">
        <f>HYPERLINK("https://otsuka-europe-crm.veevavault.com/ui/#object/sent_email__v/VBL000000031246", "SE-001439585")</f>
        <v>SE-001439585</v>
      </c>
      <c r="F1640" s="11"/>
      <c r="G1640" s="12">
        <v>0</v>
      </c>
      <c r="H1640" s="12">
        <v>0</v>
      </c>
      <c r="I1640" s="12">
        <v>0</v>
      </c>
      <c r="J1640" s="11"/>
      <c r="K1640" s="12">
        <v>0</v>
      </c>
      <c r="L164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40" s="10" t="str">
        <f>HYPERLINK("mailto:idiez@crm.otsuka-europe.com", "idiez@crm.otsuka-europe.com")</f>
        <v>idiez@crm.otsuka-europe.com</v>
      </c>
      <c r="N1640" s="13">
        <v>46209.351458333331</v>
      </c>
      <c r="O1640" s="14" t="str">
        <f>HYPERLINK("https://otsuka-europe-crm.veevavault.com/ui/#object/email_activity__v/V8C000000043385", "EN-002102307")</f>
        <v>EN-002102307</v>
      </c>
    </row>
    <row r="1641" spans="1:15" ht="16" x14ac:dyDescent="0.2">
      <c r="A1641" s="18" t="str">
        <f>HYPERLINK("https://otsuka-europe-crm.veevavault.com/ui/#object/account__v/V4T00000000J063", "LARA MARIA GOMEZ GARCIA")</f>
        <v>LARA MARIA GOMEZ GARCIA</v>
      </c>
      <c r="B1641" s="18" t="str">
        <f>HYPERLINK("https://otsuka-europe-crm.veevavault.com/ui/#object/vcountry__v/VENZ000004SONF5", "ES")</f>
        <v>ES</v>
      </c>
      <c r="C1641" s="20" t="s">
        <v>39</v>
      </c>
      <c r="D1641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41" s="22" t="str">
        <f>HYPERLINK("https://otsuka-europe-crm.veevavault.com/ui/#object/sent_email__v/VBL000000031247", "SE-001439586")</f>
        <v>SE-001439586</v>
      </c>
      <c r="F1641" s="25">
        <v>46209.365659722222</v>
      </c>
      <c r="G1641" s="24">
        <v>1</v>
      </c>
      <c r="H1641" s="24">
        <v>2</v>
      </c>
      <c r="I1641" s="24">
        <v>0</v>
      </c>
      <c r="J1641" s="23"/>
      <c r="K1641" s="24">
        <v>0</v>
      </c>
      <c r="L1641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41" s="22" t="str">
        <f>HYPERLINK("mailto:idiez@crm.otsuka-europe.com", "idiez@crm.otsuka-europe.com")</f>
        <v>idiez@crm.otsuka-europe.com</v>
      </c>
      <c r="N1641" s="25">
        <v>46209.351493055554</v>
      </c>
      <c r="O1641" s="14" t="str">
        <f>HYPERLINK("https://otsuka-europe-crm.veevavault.com/ui/#object/email_activity__v/V8C000000043365", "EN-002102279")</f>
        <v>EN-002102279</v>
      </c>
    </row>
    <row r="1642" spans="1:15" ht="16" x14ac:dyDescent="0.2">
      <c r="A1642" s="26"/>
      <c r="B1642" s="26"/>
      <c r="C1642" s="26"/>
      <c r="D1642" s="26"/>
      <c r="E1642" s="26"/>
      <c r="F1642" s="26"/>
      <c r="G1642" s="26"/>
      <c r="H1642" s="26"/>
      <c r="I1642" s="26"/>
      <c r="J1642" s="26"/>
      <c r="K1642" s="26"/>
      <c r="L1642" s="26"/>
      <c r="M1642" s="26"/>
      <c r="N1642" s="26"/>
      <c r="O1642" s="14" t="str">
        <f>HYPERLINK("https://otsuka-europe-crm.veevavault.com/ui/#object/email_activity__v/V8C000000043409", "EN-002102357")</f>
        <v>EN-002102357</v>
      </c>
    </row>
    <row r="1643" spans="1:15" ht="16" x14ac:dyDescent="0.2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/>
      <c r="L1643" s="19"/>
      <c r="M1643" s="19"/>
      <c r="N1643" s="19"/>
      <c r="O1643" s="14" t="str">
        <f>HYPERLINK("https://otsuka-europe-crm.veevavault.com/ui/#object/email_activity__v/V8C000000044392", "EN-002102356")</f>
        <v>EN-002102356</v>
      </c>
    </row>
    <row r="1644" spans="1:15" ht="16" x14ac:dyDescent="0.2">
      <c r="A1644" s="18" t="str">
        <f>HYPERLINK("https://otsuka-europe-crm.veevavault.com/ui/#object/account__v/V4TZ025E83BB46Z", "REGINA HERRAEZ GARCIA")</f>
        <v>REGINA HERRAEZ GARCIA</v>
      </c>
      <c r="B1644" s="18" t="str">
        <f>HYPERLINK("https://otsuka-europe-crm.veevavault.com/ui/#object/vcountry__v/VENZ000004SONF5", "ES")</f>
        <v>ES</v>
      </c>
      <c r="C1644" s="20" t="s">
        <v>39</v>
      </c>
      <c r="D164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44" s="22" t="str">
        <f>HYPERLINK("https://otsuka-europe-crm.veevavault.com/ui/#object/sent_email__v/VBL000000031248", "SE-001439587")</f>
        <v>SE-001439587</v>
      </c>
      <c r="F1644" s="25">
        <v>46223.341944444444</v>
      </c>
      <c r="G1644" s="24">
        <v>1</v>
      </c>
      <c r="H1644" s="24">
        <v>1</v>
      </c>
      <c r="I1644" s="24">
        <v>0</v>
      </c>
      <c r="J1644" s="23"/>
      <c r="K1644" s="24">
        <v>0</v>
      </c>
      <c r="L164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44" s="22" t="str">
        <f>HYPERLINK("mailto:idiez@crm.otsuka-europe.com", "idiez@crm.otsuka-europe.com")</f>
        <v>idiez@crm.otsuka-europe.com</v>
      </c>
      <c r="N1644" s="25">
        <v>46209.351493055554</v>
      </c>
      <c r="O1644" s="14" t="str">
        <f>HYPERLINK("https://otsuka-europe-crm.veevavault.com/ui/#object/email_activity__v/V8C000000043366", "EN-002102280")</f>
        <v>EN-002102280</v>
      </c>
    </row>
    <row r="1645" spans="1:15" ht="16" x14ac:dyDescent="0.2">
      <c r="A1645" s="19"/>
      <c r="B1645" s="19"/>
      <c r="C1645" s="19"/>
      <c r="D1645" s="19"/>
      <c r="E1645" s="19"/>
      <c r="F1645" s="19"/>
      <c r="G1645" s="19"/>
      <c r="H1645" s="19"/>
      <c r="I1645" s="19"/>
      <c r="J1645" s="19"/>
      <c r="K1645" s="19"/>
      <c r="L1645" s="19"/>
      <c r="M1645" s="19"/>
      <c r="N1645" s="19"/>
      <c r="O1645" s="14" t="str">
        <f>HYPERLINK("https://otsuka-europe-crm.veevavault.com/ui/#object/email_activity__v/V8C00000004C085", "EN-002106916")</f>
        <v>EN-002106916</v>
      </c>
    </row>
    <row r="1646" spans="1:15" ht="48" x14ac:dyDescent="0.2">
      <c r="A1646" s="7" t="str">
        <f>HYPERLINK("https://otsuka-europe-crm.veevavault.com/ui/#object/account__v/V4TZ06G6O71TCHJ", "MARIA BELEN VIDRIALES VICENTE")</f>
        <v>MARIA BELEN VIDRIALES VICENTE</v>
      </c>
      <c r="B1646" s="7" t="str">
        <f>HYPERLINK("https://otsuka-europe-crm.veevavault.com/ui/#object/vcountry__v/VENZ000004SONF5", "ES")</f>
        <v>ES</v>
      </c>
      <c r="C1646" s="8" t="s">
        <v>39</v>
      </c>
      <c r="D164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46" s="10" t="str">
        <f>HYPERLINK("https://otsuka-europe-crm.veevavault.com/ui/#object/sent_email__v/VBL000000031249", "SE-001439588")</f>
        <v>SE-001439588</v>
      </c>
      <c r="F1646" s="11"/>
      <c r="G1646" s="12">
        <v>0</v>
      </c>
      <c r="H1646" s="12">
        <v>0</v>
      </c>
      <c r="I1646" s="12">
        <v>0</v>
      </c>
      <c r="J1646" s="11"/>
      <c r="K1646" s="12">
        <v>0</v>
      </c>
      <c r="L164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46" s="10" t="str">
        <f>HYPERLINK("mailto:idiez@crm.otsuka-europe.com", "idiez@crm.otsuka-europe.com")</f>
        <v>idiez@crm.otsuka-europe.com</v>
      </c>
      <c r="N1646" s="13">
        <v>46209.351469907408</v>
      </c>
      <c r="O1646" s="14" t="str">
        <f>HYPERLINK("https://otsuka-europe-crm.veevavault.com/ui/#object/email_activity__v/V8C000000043380", "EN-002102299")</f>
        <v>EN-002102299</v>
      </c>
    </row>
    <row r="1647" spans="1:15" ht="16" x14ac:dyDescent="0.2">
      <c r="A1647" s="18" t="str">
        <f>HYPERLINK("https://otsuka-europe-crm.veevavault.com/ui/#object/account__v/V4TZ025E85V7LIM", "LUCIA SALAFRANCA LE TOULOUZAN")</f>
        <v>LUCIA SALAFRANCA LE TOULOUZAN</v>
      </c>
      <c r="B1647" s="18" t="str">
        <f>HYPERLINK("https://otsuka-europe-crm.veevavault.com/ui/#object/vcountry__v/VENZ000004SONF5", "ES")</f>
        <v>ES</v>
      </c>
      <c r="C1647" s="20" t="s">
        <v>39</v>
      </c>
      <c r="D164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47" s="22" t="str">
        <f>HYPERLINK("https://otsuka-europe-crm.veevavault.com/ui/#object/sent_email__v/VBL000000031250", "SE-001439589")</f>
        <v>SE-001439589</v>
      </c>
      <c r="F1647" s="25">
        <v>46209.351574074077</v>
      </c>
      <c r="G1647" s="24">
        <v>1</v>
      </c>
      <c r="H1647" s="24">
        <v>1</v>
      </c>
      <c r="I1647" s="24">
        <v>0</v>
      </c>
      <c r="J1647" s="23"/>
      <c r="K1647" s="24">
        <v>0</v>
      </c>
      <c r="L164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47" s="22" t="str">
        <f>HYPERLINK("mailto:idiez@crm.otsuka-europe.com", "idiez@crm.otsuka-europe.com")</f>
        <v>idiez@crm.otsuka-europe.com</v>
      </c>
      <c r="N1647" s="25">
        <v>46209.351481481484</v>
      </c>
      <c r="O1647" s="14" t="str">
        <f>HYPERLINK("https://otsuka-europe-crm.veevavault.com/ui/#object/email_activity__v/V8C000000043372", "EN-002102286")</f>
        <v>EN-002102286</v>
      </c>
    </row>
    <row r="1648" spans="1:15" ht="16" x14ac:dyDescent="0.2">
      <c r="A1648" s="19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/>
      <c r="L1648" s="19"/>
      <c r="M1648" s="19"/>
      <c r="N1648" s="19"/>
      <c r="O1648" s="14" t="str">
        <f>HYPERLINK("https://otsuka-europe-crm.veevavault.com/ui/#object/email_activity__v/V8C000000043375", "EN-002102294")</f>
        <v>EN-002102294</v>
      </c>
    </row>
    <row r="1649" spans="1:15" ht="48" x14ac:dyDescent="0.2">
      <c r="A1649" s="7" t="str">
        <f>HYPERLINK("https://otsuka-europe-crm.veevavault.com/ui/#object/account__v/V4TZ025E83QX4R5", "MARTA MARIA MEGIDO LAHERA")</f>
        <v>MARTA MARIA MEGIDO LAHERA</v>
      </c>
      <c r="B1649" s="7" t="str">
        <f>HYPERLINK("https://otsuka-europe-crm.veevavault.com/ui/#object/vcountry__v/VENZ000004SONF5", "ES")</f>
        <v>ES</v>
      </c>
      <c r="C1649" s="8" t="s">
        <v>39</v>
      </c>
      <c r="D1649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49" s="10" t="str">
        <f>HYPERLINK("https://otsuka-europe-crm.veevavault.com/ui/#object/sent_email__v/VBL000000031251", "SE-001439590")</f>
        <v>SE-001439590</v>
      </c>
      <c r="F1649" s="11"/>
      <c r="G1649" s="12">
        <v>0</v>
      </c>
      <c r="H1649" s="12">
        <v>0</v>
      </c>
      <c r="I1649" s="12">
        <v>0</v>
      </c>
      <c r="J1649" s="11"/>
      <c r="K1649" s="12">
        <v>0</v>
      </c>
      <c r="L1649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49" s="10" t="str">
        <f>HYPERLINK("mailto:idiez@crm.otsuka-europe.com", "idiez@crm.otsuka-europe.com")</f>
        <v>idiez@crm.otsuka-europe.com</v>
      </c>
      <c r="N1649" s="13">
        <v>46209.351481481484</v>
      </c>
      <c r="O1649" s="14" t="str">
        <f>HYPERLINK("https://otsuka-europe-crm.veevavault.com/ui/#object/email_activity__v/V8C000000043378", "EN-002102297")</f>
        <v>EN-002102297</v>
      </c>
    </row>
    <row r="1650" spans="1:15" ht="16" x14ac:dyDescent="0.2">
      <c r="A1650" s="18" t="str">
        <f>HYPERLINK("https://otsuka-europe-crm.veevavault.com/ui/#object/account__v/V4TZ025E84DDJOT", "ANA IGLESIAS DEL BARRIO")</f>
        <v>ANA IGLESIAS DEL BARRIO</v>
      </c>
      <c r="B1650" s="18" t="str">
        <f>HYPERLINK("https://otsuka-europe-crm.veevavault.com/ui/#object/vcountry__v/VENZ000004SONF5", "ES")</f>
        <v>ES</v>
      </c>
      <c r="C1650" s="20" t="s">
        <v>39</v>
      </c>
      <c r="D1650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50" s="22" t="str">
        <f>HYPERLINK("https://otsuka-europe-crm.veevavault.com/ui/#object/sent_email__v/VBL000000031252", "SE-001439591")</f>
        <v>SE-001439591</v>
      </c>
      <c r="F1650" s="23"/>
      <c r="G1650" s="24">
        <v>0</v>
      </c>
      <c r="H1650" s="24">
        <v>0</v>
      </c>
      <c r="I1650" s="24">
        <v>0</v>
      </c>
      <c r="J1650" s="23"/>
      <c r="K1650" s="24">
        <v>0</v>
      </c>
      <c r="L1650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50" s="22" t="str">
        <f>HYPERLINK("mailto:idiez@crm.otsuka-europe.com", "idiez@crm.otsuka-europe.com")</f>
        <v>idiez@crm.otsuka-europe.com</v>
      </c>
      <c r="N1650" s="25">
        <v>46209.351481481484</v>
      </c>
      <c r="O1650" s="14" t="str">
        <f>HYPERLINK("https://otsuka-europe-crm.veevavault.com/ui/#object/email_activity__v/V8C000000043377", "EN-002102296")</f>
        <v>EN-002102296</v>
      </c>
    </row>
    <row r="1651" spans="1:15" ht="16" x14ac:dyDescent="0.2">
      <c r="A1651" s="19"/>
      <c r="B1651" s="19"/>
      <c r="C1651" s="19"/>
      <c r="D1651" s="19"/>
      <c r="E1651" s="19"/>
      <c r="F1651" s="19"/>
      <c r="G1651" s="19"/>
      <c r="H1651" s="19"/>
      <c r="I1651" s="19"/>
      <c r="J1651" s="19"/>
      <c r="K1651" s="19"/>
      <c r="L1651" s="19"/>
      <c r="M1651" s="19"/>
      <c r="N1651" s="19"/>
      <c r="O1651" s="14" t="str">
        <f>HYPERLINK("https://otsuka-europe-crm.veevavault.com/ui/#object/email_activity__v/V8C000000044527", "EN-002102628")</f>
        <v>EN-002102628</v>
      </c>
    </row>
    <row r="1652" spans="1:15" ht="48" x14ac:dyDescent="0.2">
      <c r="A1652" s="7" t="str">
        <f>HYPERLINK("https://otsuka-europe-crm.veevavault.com/ui/#object/account__v/V4TZ025E836BMMC", "ALICIA ROLDAN PEREZ")</f>
        <v>ALICIA ROLDAN PEREZ</v>
      </c>
      <c r="B1652" s="7" t="str">
        <f t="shared" ref="B1652:B1657" si="42">HYPERLINK("https://otsuka-europe-crm.veevavault.com/ui/#object/vcountry__v/VENZ000004SONF5", "ES")</f>
        <v>ES</v>
      </c>
      <c r="C1652" s="8" t="s">
        <v>39</v>
      </c>
      <c r="D1652" s="9" t="str">
        <f t="shared" ref="D1652:D1657" si="43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52" s="10" t="str">
        <f>HYPERLINK("https://otsuka-europe-crm.veevavault.com/ui/#object/sent_email__v/VBL000000031253", "SE-001439592")</f>
        <v>SE-001439592</v>
      </c>
      <c r="F1652" s="11"/>
      <c r="G1652" s="12">
        <v>0</v>
      </c>
      <c r="H1652" s="12">
        <v>0</v>
      </c>
      <c r="I1652" s="12">
        <v>0</v>
      </c>
      <c r="J1652" s="11"/>
      <c r="K1652" s="12">
        <v>0</v>
      </c>
      <c r="L1652" s="10" t="str">
        <f t="shared" ref="L1652:L1657" si="44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52" s="10" t="str">
        <f t="shared" ref="M1652:M1657" si="45">HYPERLINK("mailto:idiez@crm.otsuka-europe.com", "idiez@crm.otsuka-europe.com")</f>
        <v>idiez@crm.otsuka-europe.com</v>
      </c>
      <c r="N1652" s="13">
        <v>46209.351481481484</v>
      </c>
      <c r="O1652" s="14" t="str">
        <f>HYPERLINK("https://otsuka-europe-crm.veevavault.com/ui/#object/email_activity__v/V8C000000043391", "EN-002102322")</f>
        <v>EN-002102322</v>
      </c>
    </row>
    <row r="1653" spans="1:15" ht="48" x14ac:dyDescent="0.2">
      <c r="A1653" s="7" t="str">
        <f>HYPERLINK("https://otsuka-europe-crm.veevavault.com/ui/#object/account__v/V4T00000001C103", "MARIA JOSEFA GOMEZ CRESPO")</f>
        <v>MARIA JOSEFA GOMEZ CRESPO</v>
      </c>
      <c r="B1653" s="7" t="str">
        <f t="shared" si="42"/>
        <v>ES</v>
      </c>
      <c r="C1653" s="8" t="s">
        <v>39</v>
      </c>
      <c r="D1653" s="9" t="str">
        <f t="shared" si="43"/>
        <v>INA - VAE vídeos “Mejor en casa: el desafío del paciente unfit”</v>
      </c>
      <c r="E1653" s="10" t="str">
        <f>HYPERLINK("https://otsuka-europe-crm.veevavault.com/ui/#object/sent_email__v/VBL000000031254", "SE-001439593")</f>
        <v>SE-001439593</v>
      </c>
      <c r="F1653" s="11"/>
      <c r="G1653" s="12">
        <v>0</v>
      </c>
      <c r="H1653" s="12">
        <v>0</v>
      </c>
      <c r="I1653" s="12">
        <v>0</v>
      </c>
      <c r="J1653" s="11"/>
      <c r="K1653" s="12">
        <v>0</v>
      </c>
      <c r="L1653" s="10" t="str">
        <f t="shared" si="44"/>
        <v>INA - VAE vídeos “Mejor en casa: el desafío del paciente unfit”</v>
      </c>
      <c r="M1653" s="10" t="str">
        <f t="shared" si="45"/>
        <v>idiez@crm.otsuka-europe.com</v>
      </c>
      <c r="N1653" s="13">
        <v>46209.351504629631</v>
      </c>
      <c r="O1653" s="14" t="str">
        <f>HYPERLINK("https://otsuka-europe-crm.veevavault.com/ui/#object/email_activity__v/V8C000000043369", "EN-002102283")</f>
        <v>EN-002102283</v>
      </c>
    </row>
    <row r="1654" spans="1:15" ht="48" x14ac:dyDescent="0.2">
      <c r="A1654" s="7" t="str">
        <f>HYPERLINK("https://otsuka-europe-crm.veevavault.com/ui/#object/account__v/V4TZ025E860F0CS", "LAURA BERMEJO MARTINEZ")</f>
        <v>LAURA BERMEJO MARTINEZ</v>
      </c>
      <c r="B1654" s="7" t="str">
        <f t="shared" si="42"/>
        <v>ES</v>
      </c>
      <c r="C1654" s="8" t="s">
        <v>39</v>
      </c>
      <c r="D1654" s="9" t="str">
        <f t="shared" si="43"/>
        <v>INA - VAE vídeos “Mejor en casa: el desafío del paciente unfit”</v>
      </c>
      <c r="E1654" s="10" t="str">
        <f>HYPERLINK("https://otsuka-europe-crm.veevavault.com/ui/#object/sent_email__v/VBL000000031255", "SE-001439594")</f>
        <v>SE-001439594</v>
      </c>
      <c r="F1654" s="11"/>
      <c r="G1654" s="12">
        <v>0</v>
      </c>
      <c r="H1654" s="12">
        <v>0</v>
      </c>
      <c r="I1654" s="12">
        <v>0</v>
      </c>
      <c r="J1654" s="11"/>
      <c r="K1654" s="12">
        <v>0</v>
      </c>
      <c r="L1654" s="10" t="str">
        <f t="shared" si="44"/>
        <v>INA - VAE vídeos “Mejor en casa: el desafío del paciente unfit”</v>
      </c>
      <c r="M1654" s="10" t="str">
        <f t="shared" si="45"/>
        <v>idiez@crm.otsuka-europe.com</v>
      </c>
      <c r="N1654" s="13">
        <v>46209.351481481484</v>
      </c>
      <c r="O1654" s="14" t="str">
        <f>HYPERLINK("https://otsuka-europe-crm.veevavault.com/ui/#object/email_activity__v/V8C000000044366", "EN-002102306")</f>
        <v>EN-002102306</v>
      </c>
    </row>
    <row r="1655" spans="1:15" ht="48" x14ac:dyDescent="0.2">
      <c r="A1655" s="7" t="str">
        <f>HYPERLINK("https://otsuka-europe-crm.veevavault.com/ui/#object/account__v/V4TZ025E891VZQT", "ELENA GONZALEZ ARIAS")</f>
        <v>ELENA GONZALEZ ARIAS</v>
      </c>
      <c r="B1655" s="7" t="str">
        <f t="shared" si="42"/>
        <v>ES</v>
      </c>
      <c r="C1655" s="8" t="s">
        <v>39</v>
      </c>
      <c r="D1655" s="9" t="str">
        <f t="shared" si="43"/>
        <v>INA - VAE vídeos “Mejor en casa: el desafío del paciente unfit”</v>
      </c>
      <c r="E1655" s="10" t="str">
        <f>HYPERLINK("https://otsuka-europe-crm.veevavault.com/ui/#object/sent_email__v/VBL000000031256", "SE-001439595")</f>
        <v>SE-001439595</v>
      </c>
      <c r="F1655" s="11"/>
      <c r="G1655" s="12">
        <v>0</v>
      </c>
      <c r="H1655" s="12">
        <v>0</v>
      </c>
      <c r="I1655" s="12">
        <v>0</v>
      </c>
      <c r="J1655" s="11"/>
      <c r="K1655" s="12">
        <v>0</v>
      </c>
      <c r="L1655" s="10" t="str">
        <f t="shared" si="44"/>
        <v>INA - VAE vídeos “Mejor en casa: el desafío del paciente unfit”</v>
      </c>
      <c r="M1655" s="10" t="str">
        <f t="shared" si="45"/>
        <v>idiez@crm.otsuka-europe.com</v>
      </c>
      <c r="N1655" s="13">
        <v>46209.351481481484</v>
      </c>
      <c r="O1655" s="14" t="str">
        <f>HYPERLINK("https://otsuka-europe-crm.veevavault.com/ui/#object/email_activity__v/V8C000000044374", "EN-002102316")</f>
        <v>EN-002102316</v>
      </c>
    </row>
    <row r="1656" spans="1:15" ht="48" x14ac:dyDescent="0.2">
      <c r="A1656" s="7" t="str">
        <f>HYPERLINK("https://otsuka-europe-crm.veevavault.com/ui/#object/account__v/V4TZ025E85LFA9H", "ALVARO GONZALO SANCHEZ")</f>
        <v>ALVARO GONZALO SANCHEZ</v>
      </c>
      <c r="B1656" s="7" t="str">
        <f t="shared" si="42"/>
        <v>ES</v>
      </c>
      <c r="C1656" s="8" t="s">
        <v>39</v>
      </c>
      <c r="D1656" s="9" t="str">
        <f t="shared" si="43"/>
        <v>INA - VAE vídeos “Mejor en casa: el desafío del paciente unfit”</v>
      </c>
      <c r="E1656" s="10" t="str">
        <f>HYPERLINK("https://otsuka-europe-crm.veevavault.com/ui/#object/sent_email__v/VBL000000031257", "SE-001439596")</f>
        <v>SE-001439596</v>
      </c>
      <c r="F1656" s="11"/>
      <c r="G1656" s="12">
        <v>0</v>
      </c>
      <c r="H1656" s="12">
        <v>0</v>
      </c>
      <c r="I1656" s="12">
        <v>0</v>
      </c>
      <c r="J1656" s="11"/>
      <c r="K1656" s="12">
        <v>0</v>
      </c>
      <c r="L1656" s="10" t="str">
        <f t="shared" si="44"/>
        <v>INA - VAE vídeos “Mejor en casa: el desafío del paciente unfit”</v>
      </c>
      <c r="M1656" s="10" t="str">
        <f t="shared" si="45"/>
        <v>idiez@crm.otsuka-europe.com</v>
      </c>
      <c r="N1656" s="13">
        <v>46209.351481481484</v>
      </c>
      <c r="O1656" s="14" t="str">
        <f>HYPERLINK("https://otsuka-europe-crm.veevavault.com/ui/#object/email_activity__v/V8C000000043387", "EN-002102318")</f>
        <v>EN-002102318</v>
      </c>
    </row>
    <row r="1657" spans="1:15" ht="16" x14ac:dyDescent="0.2">
      <c r="A1657" s="18" t="str">
        <f>HYPERLINK("https://otsuka-europe-crm.veevavault.com/ui/#object/account__v/V4TZ025E85V7Z3I", "GUIOMAR BAUTISTA CARRASCOSA")</f>
        <v>GUIOMAR BAUTISTA CARRASCOSA</v>
      </c>
      <c r="B1657" s="18" t="str">
        <f t="shared" si="42"/>
        <v>ES</v>
      </c>
      <c r="C1657" s="20" t="s">
        <v>39</v>
      </c>
      <c r="D1657" s="21" t="str">
        <f t="shared" si="43"/>
        <v>INA - VAE vídeos “Mejor en casa: el desafío del paciente unfit”</v>
      </c>
      <c r="E1657" s="22" t="str">
        <f>HYPERLINK("https://otsuka-europe-crm.veevavault.com/ui/#object/sent_email__v/VBL000000031258", "SE-001439597")</f>
        <v>SE-001439597</v>
      </c>
      <c r="F1657" s="25">
        <v>46211.876562500001</v>
      </c>
      <c r="G1657" s="24">
        <v>1</v>
      </c>
      <c r="H1657" s="24">
        <v>2</v>
      </c>
      <c r="I1657" s="24">
        <v>0</v>
      </c>
      <c r="J1657" s="23"/>
      <c r="K1657" s="24">
        <v>0</v>
      </c>
      <c r="L1657" s="22" t="str">
        <f t="shared" si="44"/>
        <v>INA - VAE vídeos “Mejor en casa: el desafío del paciente unfit”</v>
      </c>
      <c r="M1657" s="22" t="str">
        <f t="shared" si="45"/>
        <v>idiez@crm.otsuka-europe.com</v>
      </c>
      <c r="N1657" s="25">
        <v>46209.351481481484</v>
      </c>
      <c r="O1657" s="14" t="str">
        <f>HYPERLINK("https://otsuka-europe-crm.veevavault.com/ui/#object/email_activity__v/V8C000000043382", "EN-002102301")</f>
        <v>EN-002102301</v>
      </c>
    </row>
    <row r="1658" spans="1:15" ht="16" x14ac:dyDescent="0.2">
      <c r="A1658" s="26"/>
      <c r="B1658" s="26"/>
      <c r="C1658" s="26"/>
      <c r="D1658" s="26"/>
      <c r="E1658" s="26"/>
      <c r="F1658" s="26"/>
      <c r="G1658" s="26"/>
      <c r="H1658" s="26"/>
      <c r="I1658" s="26"/>
      <c r="J1658" s="26"/>
      <c r="K1658" s="26"/>
      <c r="L1658" s="26"/>
      <c r="M1658" s="26"/>
      <c r="N1658" s="26"/>
      <c r="O1658" s="14" t="str">
        <f>HYPERLINK("https://otsuka-europe-crm.veevavault.com/ui/#object/email_activity__v/V8C000000044405", "EN-002102383")</f>
        <v>EN-002102383</v>
      </c>
    </row>
    <row r="1659" spans="1:15" ht="16" x14ac:dyDescent="0.2">
      <c r="A1659" s="19"/>
      <c r="B1659" s="19"/>
      <c r="C1659" s="19"/>
      <c r="D1659" s="19"/>
      <c r="E1659" s="19"/>
      <c r="F1659" s="19"/>
      <c r="G1659" s="19"/>
      <c r="H1659" s="19"/>
      <c r="I1659" s="19"/>
      <c r="J1659" s="19"/>
      <c r="K1659" s="19"/>
      <c r="L1659" s="19"/>
      <c r="M1659" s="19"/>
      <c r="N1659" s="19"/>
      <c r="O1659" s="14" t="str">
        <f>HYPERLINK("https://otsuka-europe-crm.veevavault.com/ui/#object/email_activity__v/V8C000000044851", "EN-002103292")</f>
        <v>EN-002103292</v>
      </c>
    </row>
    <row r="1660" spans="1:15" ht="16" x14ac:dyDescent="0.2">
      <c r="A1660" s="18" t="str">
        <f>HYPERLINK("https://otsuka-europe-crm.veevavault.com/ui/#object/account__v/V4TZ025E85NHZM1", "NATALIA CARPIZO JIMENEZ")</f>
        <v>NATALIA CARPIZO JIMENEZ</v>
      </c>
      <c r="B1660" s="18" t="str">
        <f>HYPERLINK("https://otsuka-europe-crm.veevavault.com/ui/#object/vcountry__v/VENZ000004SONF5", "ES")</f>
        <v>ES</v>
      </c>
      <c r="C1660" s="20" t="s">
        <v>39</v>
      </c>
      <c r="D1660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60" s="22" t="str">
        <f>HYPERLINK("https://otsuka-europe-crm.veevavault.com/ui/#object/sent_email__v/VBL000000031259", "SE-001439598")</f>
        <v>SE-001439598</v>
      </c>
      <c r="F1660" s="25">
        <v>46209.462314814817</v>
      </c>
      <c r="G1660" s="24">
        <v>1</v>
      </c>
      <c r="H1660" s="24">
        <v>2</v>
      </c>
      <c r="I1660" s="24">
        <v>0</v>
      </c>
      <c r="J1660" s="23"/>
      <c r="K1660" s="24">
        <v>0</v>
      </c>
      <c r="L1660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60" s="22" t="str">
        <f>HYPERLINK("mailto:idiez@crm.otsuka-europe.com", "idiez@crm.otsuka-europe.com")</f>
        <v>idiez@crm.otsuka-europe.com</v>
      </c>
      <c r="N1660" s="25">
        <v>46209.351481481484</v>
      </c>
      <c r="O1660" s="14" t="str">
        <f>HYPERLINK("https://otsuka-europe-crm.veevavault.com/ui/#object/email_activity__v/V8C000000044375", "EN-002102317")</f>
        <v>EN-002102317</v>
      </c>
    </row>
    <row r="1661" spans="1:15" ht="16" x14ac:dyDescent="0.2">
      <c r="A1661" s="26"/>
      <c r="B1661" s="26"/>
      <c r="C1661" s="26"/>
      <c r="D1661" s="26"/>
      <c r="E1661" s="26"/>
      <c r="F1661" s="26"/>
      <c r="G1661" s="26"/>
      <c r="H1661" s="26"/>
      <c r="I1661" s="26"/>
      <c r="J1661" s="26"/>
      <c r="K1661" s="26"/>
      <c r="L1661" s="26"/>
      <c r="M1661" s="26"/>
      <c r="N1661" s="26"/>
      <c r="O1661" s="14" t="str">
        <f>HYPERLINK("https://otsuka-europe-crm.veevavault.com/ui/#object/email_activity__v/V8C000000044437", "EN-002102459")</f>
        <v>EN-002102459</v>
      </c>
    </row>
    <row r="1662" spans="1:15" ht="16" x14ac:dyDescent="0.2">
      <c r="A1662" s="19"/>
      <c r="B1662" s="19"/>
      <c r="C1662" s="19"/>
      <c r="D1662" s="19"/>
      <c r="E1662" s="19"/>
      <c r="F1662" s="19"/>
      <c r="G1662" s="19"/>
      <c r="H1662" s="19"/>
      <c r="I1662" s="19"/>
      <c r="J1662" s="19"/>
      <c r="K1662" s="19"/>
      <c r="L1662" s="19"/>
      <c r="M1662" s="19"/>
      <c r="N1662" s="19"/>
      <c r="O1662" s="14" t="str">
        <f>HYPERLINK("https://otsuka-europe-crm.veevavault.com/ui/#object/email_activity__v/V8C000000044438", "EN-002102460")</f>
        <v>EN-002102460</v>
      </c>
    </row>
    <row r="1663" spans="1:15" ht="16" x14ac:dyDescent="0.2">
      <c r="A1663" s="18" t="str">
        <f>HYPERLINK("https://otsuka-europe-crm.veevavault.com/ui/#object/account__v/V4TZ025E85FYHRP", "CARLOS DE MIGUEL JIMENEZ")</f>
        <v>CARLOS DE MIGUEL JIMENEZ</v>
      </c>
      <c r="B1663" s="18" t="str">
        <f>HYPERLINK("https://otsuka-europe-crm.veevavault.com/ui/#object/vcountry__v/VENZ000004SONF5", "ES")</f>
        <v>ES</v>
      </c>
      <c r="C1663" s="20" t="s">
        <v>39</v>
      </c>
      <c r="D1663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63" s="22" t="str">
        <f>HYPERLINK("https://otsuka-europe-crm.veevavault.com/ui/#object/sent_email__v/VBL000000031260", "SE-001439599")</f>
        <v>SE-001439599</v>
      </c>
      <c r="F1663" s="25">
        <v>46209.351620370369</v>
      </c>
      <c r="G1663" s="24">
        <v>1</v>
      </c>
      <c r="H1663" s="24">
        <v>1</v>
      </c>
      <c r="I1663" s="24">
        <v>0</v>
      </c>
      <c r="J1663" s="23"/>
      <c r="K1663" s="24">
        <v>0</v>
      </c>
      <c r="L1663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63" s="22" t="str">
        <f>HYPERLINK("mailto:idiez@crm.otsuka-europe.com", "idiez@crm.otsuka-europe.com")</f>
        <v>idiez@crm.otsuka-europe.com</v>
      </c>
      <c r="N1663" s="25">
        <v>46209.351481481484</v>
      </c>
      <c r="O1663" s="14" t="str">
        <f>HYPERLINK("https://otsuka-europe-crm.veevavault.com/ui/#object/email_activity__v/V8C000000043394", "EN-002102325")</f>
        <v>EN-002102325</v>
      </c>
    </row>
    <row r="1664" spans="1:15" ht="16" x14ac:dyDescent="0.2">
      <c r="A1664" s="19"/>
      <c r="B1664" s="19"/>
      <c r="C1664" s="19"/>
      <c r="D1664" s="19"/>
      <c r="E1664" s="19"/>
      <c r="F1664" s="19"/>
      <c r="G1664" s="19"/>
      <c r="H1664" s="19"/>
      <c r="I1664" s="19"/>
      <c r="J1664" s="19"/>
      <c r="K1664" s="19"/>
      <c r="L1664" s="19"/>
      <c r="M1664" s="19"/>
      <c r="N1664" s="19"/>
      <c r="O1664" s="14" t="str">
        <f>HYPERLINK("https://otsuka-europe-crm.veevavault.com/ui/#object/email_activity__v/V8C000000044367", "EN-002102309")</f>
        <v>EN-002102309</v>
      </c>
    </row>
    <row r="1665" spans="1:15" ht="48" x14ac:dyDescent="0.2">
      <c r="A1665" s="7" t="str">
        <f>HYPERLINK("https://otsuka-europe-crm.veevavault.com/ui/#object/account__v/V4TZ025E83PEDZY", "CLAUDIA NUÑEZ-TORRON STOCK")</f>
        <v>CLAUDIA NUÑEZ-TORRON STOCK</v>
      </c>
      <c r="B1665" s="7" t="str">
        <f>HYPERLINK("https://otsuka-europe-crm.veevavault.com/ui/#object/vcountry__v/VENZ000004SONF5", "ES")</f>
        <v>ES</v>
      </c>
      <c r="C1665" s="8" t="s">
        <v>39</v>
      </c>
      <c r="D166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65" s="10" t="str">
        <f>HYPERLINK("https://otsuka-europe-crm.veevavault.com/ui/#object/sent_email__v/VBL000000031261", "SE-001439600")</f>
        <v>SE-001439600</v>
      </c>
      <c r="F1665" s="11"/>
      <c r="G1665" s="12">
        <v>0</v>
      </c>
      <c r="H1665" s="12">
        <v>0</v>
      </c>
      <c r="I1665" s="12">
        <v>0</v>
      </c>
      <c r="J1665" s="11"/>
      <c r="K1665" s="12">
        <v>0</v>
      </c>
      <c r="L166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65" s="10" t="str">
        <f>HYPERLINK("mailto:idiez@crm.otsuka-europe.com", "idiez@crm.otsuka-europe.com")</f>
        <v>idiez@crm.otsuka-europe.com</v>
      </c>
      <c r="N1665" s="13">
        <v>46209.351481481484</v>
      </c>
      <c r="O1665" s="14" t="str">
        <f>HYPERLINK("https://otsuka-europe-crm.veevavault.com/ui/#object/email_activity__v/V8C000000044365", "EN-002102305")</f>
        <v>EN-002102305</v>
      </c>
    </row>
    <row r="1666" spans="1:15" ht="16" x14ac:dyDescent="0.2">
      <c r="A1666" s="18" t="str">
        <f>HYPERLINK("https://otsuka-europe-crm.veevavault.com/ui/#object/account__v/V4TZ025E892BYCQ", "ANA TORRES TIENZA")</f>
        <v>ANA TORRES TIENZA</v>
      </c>
      <c r="B1666" s="18" t="str">
        <f>HYPERLINK("https://otsuka-europe-crm.veevavault.com/ui/#object/vcountry__v/VENZ000004SONF5", "ES")</f>
        <v>ES</v>
      </c>
      <c r="C1666" s="20" t="s">
        <v>39</v>
      </c>
      <c r="D166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66" s="22" t="str">
        <f>HYPERLINK("https://otsuka-europe-crm.veevavault.com/ui/#object/sent_email__v/VBL000000031262", "SE-001439601")</f>
        <v>SE-001439601</v>
      </c>
      <c r="F1666" s="25">
        <v>46209.650104166663</v>
      </c>
      <c r="G1666" s="24">
        <v>1</v>
      </c>
      <c r="H1666" s="24">
        <v>2</v>
      </c>
      <c r="I1666" s="24">
        <v>0</v>
      </c>
      <c r="J1666" s="23"/>
      <c r="K1666" s="24">
        <v>0</v>
      </c>
      <c r="L166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66" s="22" t="str">
        <f>HYPERLINK("mailto:idiez@crm.otsuka-europe.com", "idiez@crm.otsuka-europe.com")</f>
        <v>idiez@crm.otsuka-europe.com</v>
      </c>
      <c r="N1666" s="25">
        <v>46209.351469907408</v>
      </c>
      <c r="O1666" s="14" t="str">
        <f>HYPERLINK("https://otsuka-europe-crm.veevavault.com/ui/#object/email_activity__v/V8C000000043386", "EN-002102308")</f>
        <v>EN-002102308</v>
      </c>
    </row>
    <row r="1667" spans="1:15" ht="16" x14ac:dyDescent="0.2">
      <c r="A1667" s="26"/>
      <c r="B1667" s="26"/>
      <c r="C1667" s="26"/>
      <c r="D1667" s="26"/>
      <c r="E1667" s="26"/>
      <c r="F1667" s="26"/>
      <c r="G1667" s="26"/>
      <c r="H1667" s="26"/>
      <c r="I1667" s="26"/>
      <c r="J1667" s="26"/>
      <c r="K1667" s="26"/>
      <c r="L1667" s="26"/>
      <c r="M1667" s="26"/>
      <c r="N1667" s="26"/>
      <c r="O1667" s="14" t="str">
        <f>HYPERLINK("https://otsuka-europe-crm.veevavault.com/ui/#object/email_activity__v/V8C000000043513", "EN-002102559")</f>
        <v>EN-002102559</v>
      </c>
    </row>
    <row r="1668" spans="1:15" ht="16" x14ac:dyDescent="0.2">
      <c r="A1668" s="19"/>
      <c r="B1668" s="19"/>
      <c r="C1668" s="19"/>
      <c r="D1668" s="19"/>
      <c r="E1668" s="19"/>
      <c r="F1668" s="19"/>
      <c r="G1668" s="19"/>
      <c r="H1668" s="19"/>
      <c r="I1668" s="19"/>
      <c r="J1668" s="19"/>
      <c r="K1668" s="19"/>
      <c r="L1668" s="19"/>
      <c r="M1668" s="19"/>
      <c r="N1668" s="19"/>
      <c r="O1668" s="14" t="str">
        <f>HYPERLINK("https://otsuka-europe-crm.veevavault.com/ui/#object/email_activity__v/V8C000000043514", "EN-002102560")</f>
        <v>EN-002102560</v>
      </c>
    </row>
    <row r="1669" spans="1:15" ht="48" x14ac:dyDescent="0.2">
      <c r="A1669" s="7" t="str">
        <f>HYPERLINK("https://otsuka-europe-crm.veevavault.com/ui/#object/account__v/V4TZ025E85WDIP7", "MARIA JOSE LOPEZ DE LA OSA VELACORACHO")</f>
        <v>MARIA JOSE LOPEZ DE LA OSA VELACORACHO</v>
      </c>
      <c r="B1669" s="7" t="str">
        <f>HYPERLINK("https://otsuka-europe-crm.veevavault.com/ui/#object/vcountry__v/VENZ000004SONF5", "ES")</f>
        <v>ES</v>
      </c>
      <c r="C1669" s="8" t="s">
        <v>39</v>
      </c>
      <c r="D1669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69" s="10" t="str">
        <f>HYPERLINK("https://otsuka-europe-crm.veevavault.com/ui/#object/sent_email__v/VBL000000031263", "SE-001439602")</f>
        <v>SE-001439602</v>
      </c>
      <c r="F1669" s="11"/>
      <c r="G1669" s="12">
        <v>0</v>
      </c>
      <c r="H1669" s="12">
        <v>0</v>
      </c>
      <c r="I1669" s="12">
        <v>0</v>
      </c>
      <c r="J1669" s="11"/>
      <c r="K1669" s="12">
        <v>0</v>
      </c>
      <c r="L1669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69" s="10" t="str">
        <f>HYPERLINK("mailto:idiez@crm.otsuka-europe.com", "idiez@crm.otsuka-europe.com")</f>
        <v>idiez@crm.otsuka-europe.com</v>
      </c>
      <c r="N1669" s="13">
        <v>46209.351469907408</v>
      </c>
      <c r="O1669" s="14" t="str">
        <f>HYPERLINK("https://otsuka-europe-crm.veevavault.com/ui/#object/email_activity__v/V8C000000044360", "EN-002102290")</f>
        <v>EN-002102290</v>
      </c>
    </row>
    <row r="1670" spans="1:15" ht="48" x14ac:dyDescent="0.2">
      <c r="A1670" s="7" t="str">
        <f>HYPERLINK("https://otsuka-europe-crm.veevavault.com/ui/#object/account__v/V4TZ025E83Z3GA2", "MARIA ANGELES FONCILLAS GARCIA")</f>
        <v>MARIA ANGELES FONCILLAS GARCIA</v>
      </c>
      <c r="B1670" s="7" t="str">
        <f>HYPERLINK("https://otsuka-europe-crm.veevavault.com/ui/#object/vcountry__v/VENZ000004SONF5", "ES")</f>
        <v>ES</v>
      </c>
      <c r="C1670" s="8" t="s">
        <v>39</v>
      </c>
      <c r="D167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0" s="10" t="str">
        <f>HYPERLINK("https://otsuka-europe-crm.veevavault.com/ui/#object/sent_email__v/VBL000000031264", "SE-001439603")</f>
        <v>SE-001439603</v>
      </c>
      <c r="F1670" s="11"/>
      <c r="G1670" s="12">
        <v>0</v>
      </c>
      <c r="H1670" s="12">
        <v>0</v>
      </c>
      <c r="I1670" s="12">
        <v>0</v>
      </c>
      <c r="J1670" s="11"/>
      <c r="K1670" s="12">
        <v>0</v>
      </c>
      <c r="L167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0" s="10" t="str">
        <f>HYPERLINK("mailto:idiez@crm.otsuka-europe.com", "idiez@crm.otsuka-europe.com")</f>
        <v>idiez@crm.otsuka-europe.com</v>
      </c>
      <c r="N1670" s="13">
        <v>46209.351469907408</v>
      </c>
      <c r="O1670" s="14" t="str">
        <f>HYPERLINK("https://otsuka-europe-crm.veevavault.com/ui/#object/email_activity__v/V8C000000044369", "EN-002102311")</f>
        <v>EN-002102311</v>
      </c>
    </row>
    <row r="1671" spans="1:15" ht="48" x14ac:dyDescent="0.2">
      <c r="A1671" s="7" t="str">
        <f>HYPERLINK("https://otsuka-europe-crm.veevavault.com/ui/#object/account__v/V4TZ025E84DJMZ8", "SIMON MARTIN FAVRE")</f>
        <v>SIMON MARTIN FAVRE</v>
      </c>
      <c r="B1671" s="7" t="str">
        <f>HYPERLINK("https://otsuka-europe-crm.veevavault.com/ui/#object/vcountry__v/VENZ000004SONF5", "ES")</f>
        <v>ES</v>
      </c>
      <c r="C1671" s="8" t="s">
        <v>39</v>
      </c>
      <c r="D167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1" s="10" t="str">
        <f>HYPERLINK("https://otsuka-europe-crm.veevavault.com/ui/#object/sent_email__v/VBL000000031265", "SE-001439604")</f>
        <v>SE-001439604</v>
      </c>
      <c r="F1671" s="11"/>
      <c r="G1671" s="12">
        <v>0</v>
      </c>
      <c r="H1671" s="12">
        <v>0</v>
      </c>
      <c r="I1671" s="12">
        <v>0</v>
      </c>
      <c r="J1671" s="11"/>
      <c r="K1671" s="12">
        <v>0</v>
      </c>
      <c r="L167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1" s="10" t="str">
        <f>HYPERLINK("mailto:idiez@crm.otsuka-europe.com", "idiez@crm.otsuka-europe.com")</f>
        <v>idiez@crm.otsuka-europe.com</v>
      </c>
      <c r="N1671" s="13">
        <v>46209.351469907408</v>
      </c>
      <c r="O1671" s="14" t="str">
        <f>HYPERLINK("https://otsuka-europe-crm.veevavault.com/ui/#object/email_activity__v/V8C000000044361", "EN-002102291")</f>
        <v>EN-002102291</v>
      </c>
    </row>
    <row r="1672" spans="1:15" ht="16" x14ac:dyDescent="0.2">
      <c r="A1672" s="18" t="str">
        <f>HYPERLINK("https://otsuka-europe-crm.veevavault.com/ui/#object/account__v/V4TZ025E85NHUDA", "BEATRIZ GONZALEZ MENA")</f>
        <v>BEATRIZ GONZALEZ MENA</v>
      </c>
      <c r="B1672" s="18" t="str">
        <f>HYPERLINK("https://otsuka-europe-crm.veevavault.com/ui/#object/vcountry__v/VENZ000004SONF5", "ES")</f>
        <v>ES</v>
      </c>
      <c r="C1672" s="20" t="s">
        <v>39</v>
      </c>
      <c r="D1672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2" s="22" t="str">
        <f>HYPERLINK("https://otsuka-europe-crm.veevavault.com/ui/#object/sent_email__v/VBL000000031266", "SE-001439605")</f>
        <v>SE-001439605</v>
      </c>
      <c r="F1672" s="25">
        <v>46210.695486111108</v>
      </c>
      <c r="G1672" s="24">
        <v>1</v>
      </c>
      <c r="H1672" s="24">
        <v>2</v>
      </c>
      <c r="I1672" s="24">
        <v>0</v>
      </c>
      <c r="J1672" s="23"/>
      <c r="K1672" s="24">
        <v>0</v>
      </c>
      <c r="L1672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2" s="22" t="str">
        <f>HYPERLINK("mailto:idiez@crm.otsuka-europe.com", "idiez@crm.otsuka-europe.com")</f>
        <v>idiez@crm.otsuka-europe.com</v>
      </c>
      <c r="N1672" s="25">
        <v>46209.351469907408</v>
      </c>
      <c r="O1672" s="14" t="str">
        <f>HYPERLINK("https://otsuka-europe-crm.veevavault.com/ui/#object/email_activity__v/V8C000000043389", "EN-002102320")</f>
        <v>EN-002102320</v>
      </c>
    </row>
    <row r="1673" spans="1:15" ht="16" x14ac:dyDescent="0.2">
      <c r="A1673" s="26"/>
      <c r="B1673" s="26"/>
      <c r="C1673" s="26"/>
      <c r="D1673" s="26"/>
      <c r="E1673" s="26"/>
      <c r="F1673" s="26"/>
      <c r="G1673" s="26"/>
      <c r="H1673" s="26"/>
      <c r="I1673" s="26"/>
      <c r="J1673" s="26"/>
      <c r="K1673" s="26"/>
      <c r="L1673" s="26"/>
      <c r="M1673" s="26"/>
      <c r="N1673" s="26"/>
      <c r="O1673" s="14" t="str">
        <f>HYPERLINK("https://otsuka-europe-crm.veevavault.com/ui/#object/email_activity__v/V8C000000044743", "EN-002103061")</f>
        <v>EN-002103061</v>
      </c>
    </row>
    <row r="1674" spans="1:15" ht="16" x14ac:dyDescent="0.2">
      <c r="A1674" s="19"/>
      <c r="B1674" s="19"/>
      <c r="C1674" s="19"/>
      <c r="D1674" s="19"/>
      <c r="E1674" s="19"/>
      <c r="F1674" s="19"/>
      <c r="G1674" s="19"/>
      <c r="H1674" s="19"/>
      <c r="I1674" s="19"/>
      <c r="J1674" s="19"/>
      <c r="K1674" s="19"/>
      <c r="L1674" s="19"/>
      <c r="M1674" s="19"/>
      <c r="N1674" s="19"/>
      <c r="O1674" s="14" t="str">
        <f>HYPERLINK("https://otsuka-europe-crm.veevavault.com/ui/#object/email_activity__v/V8C000000044744", "EN-002103060")</f>
        <v>EN-002103060</v>
      </c>
    </row>
    <row r="1675" spans="1:15" ht="48" x14ac:dyDescent="0.2">
      <c r="A1675" s="7" t="str">
        <f>HYPERLINK("https://otsuka-europe-crm.veevavault.com/ui/#object/account__v/V4TZ025E85WDCU5", "LUCIA PEREZ LAMAS")</f>
        <v>LUCIA PEREZ LAMAS</v>
      </c>
      <c r="B1675" s="7" t="str">
        <f>HYPERLINK("https://otsuka-europe-crm.veevavault.com/ui/#object/vcountry__v/VENZ000004SONF5", "ES")</f>
        <v>ES</v>
      </c>
      <c r="C1675" s="8" t="s">
        <v>39</v>
      </c>
      <c r="D167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5" s="10" t="str">
        <f>HYPERLINK("https://otsuka-europe-crm.veevavault.com/ui/#object/sent_email__v/VBL000000031267", "SE-001439606")</f>
        <v>SE-001439606</v>
      </c>
      <c r="F1675" s="11"/>
      <c r="G1675" s="12">
        <v>0</v>
      </c>
      <c r="H1675" s="12">
        <v>0</v>
      </c>
      <c r="I1675" s="12">
        <v>0</v>
      </c>
      <c r="J1675" s="11"/>
      <c r="K1675" s="12">
        <v>0</v>
      </c>
      <c r="L167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5" s="10" t="str">
        <f>HYPERLINK("mailto:idiez@crm.otsuka-europe.com", "idiez@crm.otsuka-europe.com")</f>
        <v>idiez@crm.otsuka-europe.com</v>
      </c>
      <c r="N1675" s="13">
        <v>46209.351493055554</v>
      </c>
      <c r="O1675" s="14" t="str">
        <f>HYPERLINK("https://otsuka-europe-crm.veevavault.com/ui/#object/email_activity__v/V8C000000043363", "EN-002102277")</f>
        <v>EN-002102277</v>
      </c>
    </row>
    <row r="1676" spans="1:15" ht="48" x14ac:dyDescent="0.2">
      <c r="A1676" s="7" t="str">
        <f>HYPERLINK("https://otsuka-europe-crm.veevavault.com/ui/#object/account__v/V4T000000004022", "LUCIA GUERRERO FERNANDEZ")</f>
        <v>LUCIA GUERRERO FERNANDEZ</v>
      </c>
      <c r="B1676" s="7" t="str">
        <f>HYPERLINK("https://otsuka-europe-crm.veevavault.com/ui/#object/vcountry__v/VENZ000004SONF5", "ES")</f>
        <v>ES</v>
      </c>
      <c r="C1676" s="8" t="s">
        <v>39</v>
      </c>
      <c r="D167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6" s="10" t="str">
        <f>HYPERLINK("https://otsuka-europe-crm.veevavault.com/ui/#object/sent_email__v/VBL000000031268", "SE-001439607")</f>
        <v>SE-001439607</v>
      </c>
      <c r="F1676" s="11"/>
      <c r="G1676" s="12">
        <v>0</v>
      </c>
      <c r="H1676" s="12">
        <v>0</v>
      </c>
      <c r="I1676" s="12">
        <v>0</v>
      </c>
      <c r="J1676" s="11"/>
      <c r="K1676" s="12">
        <v>0</v>
      </c>
      <c r="L167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6" s="10" t="str">
        <f>HYPERLINK("mailto:idiez@crm.otsuka-europe.com", "idiez@crm.otsuka-europe.com")</f>
        <v>idiez@crm.otsuka-europe.com</v>
      </c>
      <c r="N1676" s="13">
        <v>46209.351469907408</v>
      </c>
      <c r="O1676" s="14" t="str">
        <f>HYPERLINK("https://otsuka-europe-crm.veevavault.com/ui/#object/email_activity__v/V8C000000043383", "EN-002102302")</f>
        <v>EN-002102302</v>
      </c>
    </row>
    <row r="1677" spans="1:15" ht="48" x14ac:dyDescent="0.2">
      <c r="A1677" s="7" t="str">
        <f>HYPERLINK("https://otsuka-europe-crm.veevavault.com/ui/#object/account__v/V4T00000000L031", "MARIA MAR DIAZ GOIZUETA")</f>
        <v>MARIA MAR DIAZ GOIZUETA</v>
      </c>
      <c r="B1677" s="7" t="str">
        <f>HYPERLINK("https://otsuka-europe-crm.veevavault.com/ui/#object/vcountry__v/VENZ000004SONF5", "ES")</f>
        <v>ES</v>
      </c>
      <c r="C1677" s="8" t="s">
        <v>39</v>
      </c>
      <c r="D1677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7" s="10" t="str">
        <f>HYPERLINK("https://otsuka-europe-crm.veevavault.com/ui/#object/sent_email__v/VBL000000031269", "SE-001439608")</f>
        <v>SE-001439608</v>
      </c>
      <c r="F1677" s="11"/>
      <c r="G1677" s="12">
        <v>0</v>
      </c>
      <c r="H1677" s="12">
        <v>0</v>
      </c>
      <c r="I1677" s="12">
        <v>0</v>
      </c>
      <c r="J1677" s="11"/>
      <c r="K1677" s="12">
        <v>0</v>
      </c>
      <c r="L1677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7" s="10" t="str">
        <f>HYPERLINK("mailto:idiez@crm.otsuka-europe.com", "idiez@crm.otsuka-europe.com")</f>
        <v>idiez@crm.otsuka-europe.com</v>
      </c>
      <c r="N1677" s="13">
        <v>46209.351493055554</v>
      </c>
      <c r="O1677" s="14" t="str">
        <f>HYPERLINK("https://otsuka-europe-crm.veevavault.com/ui/#object/email_activity__v/V8C000000043364", "EN-002102278")</f>
        <v>EN-002102278</v>
      </c>
    </row>
    <row r="1678" spans="1:15" ht="16" x14ac:dyDescent="0.2">
      <c r="A1678" s="18" t="str">
        <f>HYPERLINK("https://otsuka-europe-crm.veevavault.com/ui/#object/account__v/V4TZ025E85LFXN2", "SANDRA GARCIA LAZARO")</f>
        <v>SANDRA GARCIA LAZARO</v>
      </c>
      <c r="B1678" s="18" t="str">
        <f>HYPERLINK("https://otsuka-europe-crm.veevavault.com/ui/#object/vcountry__v/VENZ000004SONF5", "ES")</f>
        <v>ES</v>
      </c>
      <c r="C1678" s="20" t="s">
        <v>39</v>
      </c>
      <c r="D1678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78" s="22" t="str">
        <f>HYPERLINK("https://otsuka-europe-crm.veevavault.com/ui/#object/sent_email__v/VBL000000031270", "SE-001439609")</f>
        <v>SE-001439609</v>
      </c>
      <c r="F1678" s="25">
        <v>46221.825752314813</v>
      </c>
      <c r="G1678" s="24">
        <v>1</v>
      </c>
      <c r="H1678" s="24">
        <v>4</v>
      </c>
      <c r="I1678" s="24">
        <v>0</v>
      </c>
      <c r="J1678" s="23"/>
      <c r="K1678" s="24">
        <v>0</v>
      </c>
      <c r="L1678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78" s="22" t="str">
        <f>HYPERLINK("mailto:idiez@crm.otsuka-europe.com", "idiez@crm.otsuka-europe.com")</f>
        <v>idiez@crm.otsuka-europe.com</v>
      </c>
      <c r="N1678" s="25">
        <v>46209.351504629631</v>
      </c>
      <c r="O1678" s="14" t="str">
        <f>HYPERLINK("https://otsuka-europe-crm.veevavault.com/ui/#object/email_activity__v/V8C000000043370", "EN-002102284")</f>
        <v>EN-002102284</v>
      </c>
    </row>
    <row r="1679" spans="1:15" ht="16" x14ac:dyDescent="0.2">
      <c r="A1679" s="26"/>
      <c r="B1679" s="26"/>
      <c r="C1679" s="26"/>
      <c r="D1679" s="26"/>
      <c r="E1679" s="26"/>
      <c r="F1679" s="26"/>
      <c r="G1679" s="26"/>
      <c r="H1679" s="26"/>
      <c r="I1679" s="26"/>
      <c r="J1679" s="26"/>
      <c r="K1679" s="26"/>
      <c r="L1679" s="26"/>
      <c r="M1679" s="26"/>
      <c r="N1679" s="26"/>
      <c r="O1679" s="14" t="str">
        <f>HYPERLINK("https://otsuka-europe-crm.veevavault.com/ui/#object/email_activity__v/V8C000000044394", "EN-002102363")</f>
        <v>EN-002102363</v>
      </c>
    </row>
    <row r="1680" spans="1:15" ht="16" x14ac:dyDescent="0.2">
      <c r="A1680" s="26"/>
      <c r="B1680" s="26"/>
      <c r="C1680" s="26"/>
      <c r="D1680" s="26"/>
      <c r="E1680" s="26"/>
      <c r="F1680" s="26"/>
      <c r="G1680" s="26"/>
      <c r="H1680" s="26"/>
      <c r="I1680" s="26"/>
      <c r="J1680" s="26"/>
      <c r="K1680" s="26"/>
      <c r="L1680" s="26"/>
      <c r="M1680" s="26"/>
      <c r="N1680" s="26"/>
      <c r="O1680" s="14" t="str">
        <f>HYPERLINK("https://otsuka-europe-crm.veevavault.com/ui/#object/email_activity__v/V8C000000044395", "EN-002102364")</f>
        <v>EN-002102364</v>
      </c>
    </row>
    <row r="1681" spans="1:15" ht="16" x14ac:dyDescent="0.2">
      <c r="A1681" s="26"/>
      <c r="B1681" s="26"/>
      <c r="C1681" s="26"/>
      <c r="D1681" s="26"/>
      <c r="E1681" s="26"/>
      <c r="F1681" s="26"/>
      <c r="G1681" s="26"/>
      <c r="H1681" s="26"/>
      <c r="I1681" s="26"/>
      <c r="J1681" s="26"/>
      <c r="K1681" s="26"/>
      <c r="L1681" s="26"/>
      <c r="M1681" s="26"/>
      <c r="N1681" s="26"/>
      <c r="O1681" s="14" t="str">
        <f>HYPERLINK("https://otsuka-europe-crm.veevavault.com/ui/#object/email_activity__v/V8C00000004B088", "EN-002106883")</f>
        <v>EN-002106883</v>
      </c>
    </row>
    <row r="1682" spans="1:15" ht="16" x14ac:dyDescent="0.2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19"/>
      <c r="L1682" s="19"/>
      <c r="M1682" s="19"/>
      <c r="N1682" s="19"/>
      <c r="O1682" s="14" t="str">
        <f>HYPERLINK("https://otsuka-europe-crm.veevavault.com/ui/#object/email_activity__v/V8C00000004C067", "EN-002106884")</f>
        <v>EN-002106884</v>
      </c>
    </row>
    <row r="1683" spans="1:15" ht="48" x14ac:dyDescent="0.2">
      <c r="A1683" s="7" t="str">
        <f>HYPERLINK("https://otsuka-europe-crm.veevavault.com/ui/#object/account__v/V4TZ025E877J5IH", "MARIA BELEN ROSADO SIERRA")</f>
        <v>MARIA BELEN ROSADO SIERRA</v>
      </c>
      <c r="B1683" s="7" t="str">
        <f>HYPERLINK("https://otsuka-europe-crm.veevavault.com/ui/#object/vcountry__v/VENZ000004SONF5", "ES")</f>
        <v>ES</v>
      </c>
      <c r="C1683" s="8" t="s">
        <v>39</v>
      </c>
      <c r="D168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83" s="10" t="str">
        <f>HYPERLINK("https://otsuka-europe-crm.veevavault.com/ui/#object/sent_email__v/VBL000000031271", "SE-001439610")</f>
        <v>SE-001439610</v>
      </c>
      <c r="F1683" s="11"/>
      <c r="G1683" s="12">
        <v>0</v>
      </c>
      <c r="H1683" s="12">
        <v>0</v>
      </c>
      <c r="I1683" s="12">
        <v>0</v>
      </c>
      <c r="J1683" s="11"/>
      <c r="K1683" s="12">
        <v>0</v>
      </c>
      <c r="L168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83" s="10" t="str">
        <f>HYPERLINK("mailto:idiez@crm.otsuka-europe.com", "idiez@crm.otsuka-europe.com")</f>
        <v>idiez@crm.otsuka-europe.com</v>
      </c>
      <c r="N1683" s="13">
        <v>46209.351469907408</v>
      </c>
      <c r="O1683" s="14" t="str">
        <f>HYPERLINK("https://otsuka-europe-crm.veevavault.com/ui/#object/email_activity__v/V8C000000044359", "EN-002102289")</f>
        <v>EN-002102289</v>
      </c>
    </row>
    <row r="1684" spans="1:15" ht="48" x14ac:dyDescent="0.2">
      <c r="A1684" s="7" t="str">
        <f>HYPERLINK("https://otsuka-europe-crm.veevavault.com/ui/#object/account__v/V4T000000010133", "JHONY ALBERTO HINOSTROZA SOLANO")</f>
        <v>JHONY ALBERTO HINOSTROZA SOLANO</v>
      </c>
      <c r="B1684" s="7" t="str">
        <f>HYPERLINK("https://otsuka-europe-crm.veevavault.com/ui/#object/vcountry__v/VENZ000004SONF5", "ES")</f>
        <v>ES</v>
      </c>
      <c r="C1684" s="8" t="s">
        <v>39</v>
      </c>
      <c r="D1684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84" s="10" t="str">
        <f>HYPERLINK("https://otsuka-europe-crm.veevavault.com/ui/#object/sent_email__v/VBL000000031272", "SE-001439611")</f>
        <v>SE-001439611</v>
      </c>
      <c r="F1684" s="11"/>
      <c r="G1684" s="12">
        <v>0</v>
      </c>
      <c r="H1684" s="12">
        <v>0</v>
      </c>
      <c r="I1684" s="12">
        <v>0</v>
      </c>
      <c r="J1684" s="11"/>
      <c r="K1684" s="12">
        <v>0</v>
      </c>
      <c r="L1684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84" s="10" t="str">
        <f>HYPERLINK("mailto:idiez@crm.otsuka-europe.com", "idiez@crm.otsuka-europe.com")</f>
        <v>idiez@crm.otsuka-europe.com</v>
      </c>
      <c r="N1684" s="13">
        <v>46209.351481481484</v>
      </c>
      <c r="O1684" s="14" t="str">
        <f>HYPERLINK("https://otsuka-europe-crm.veevavault.com/ui/#object/email_activity__v/V8C000000043373", "EN-002102287")</f>
        <v>EN-002102287</v>
      </c>
    </row>
    <row r="1685" spans="1:15" ht="48" x14ac:dyDescent="0.2">
      <c r="A1685" s="7" t="str">
        <f>HYPERLINK("https://otsuka-europe-crm.veevavault.com/ui/#object/account__v/V4TZ025E877HGBT", "ESTHER PEREZ SANTAOLALLA")</f>
        <v>ESTHER PEREZ SANTAOLALLA</v>
      </c>
      <c r="B1685" s="7" t="str">
        <f>HYPERLINK("https://otsuka-europe-crm.veevavault.com/ui/#object/vcountry__v/VENZ000004SONF5", "ES")</f>
        <v>ES</v>
      </c>
      <c r="C1685" s="8" t="s">
        <v>39</v>
      </c>
      <c r="D168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85" s="10" t="str">
        <f>HYPERLINK("https://otsuka-europe-crm.veevavault.com/ui/#object/sent_email__v/VBL000000031273", "SE-001439612")</f>
        <v>SE-001439612</v>
      </c>
      <c r="F1685" s="11"/>
      <c r="G1685" s="12">
        <v>0</v>
      </c>
      <c r="H1685" s="12">
        <v>0</v>
      </c>
      <c r="I1685" s="12">
        <v>0</v>
      </c>
      <c r="J1685" s="11"/>
      <c r="K1685" s="12">
        <v>0</v>
      </c>
      <c r="L168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85" s="10" t="str">
        <f>HYPERLINK("mailto:idiez@crm.otsuka-europe.com", "idiez@crm.otsuka-europe.com")</f>
        <v>idiez@crm.otsuka-europe.com</v>
      </c>
      <c r="N1685" s="13">
        <v>46209.351481481484</v>
      </c>
      <c r="O1685" s="14" t="str">
        <f>HYPERLINK("https://otsuka-europe-crm.veevavault.com/ui/#object/email_activity__v/V8C000000043390", "EN-002102321")</f>
        <v>EN-002102321</v>
      </c>
    </row>
    <row r="1686" spans="1:15" ht="16" x14ac:dyDescent="0.2">
      <c r="A1686" s="18" t="str">
        <f>HYPERLINK("https://otsuka-europe-crm.veevavault.com/ui/#object/account__v/V4TZ025E877J2W1", "IRENE SANCHEZ VADILLO")</f>
        <v>IRENE SANCHEZ VADILLO</v>
      </c>
      <c r="B1686" s="18" t="str">
        <f>HYPERLINK("https://otsuka-europe-crm.veevavault.com/ui/#object/vcountry__v/VENZ000004SONF5", "ES")</f>
        <v>ES</v>
      </c>
      <c r="C1686" s="20" t="s">
        <v>39</v>
      </c>
      <c r="D168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86" s="22" t="str">
        <f>HYPERLINK("https://otsuka-europe-crm.veevavault.com/ui/#object/sent_email__v/VBL000000031274", "SE-001439613")</f>
        <v>SE-001439613</v>
      </c>
      <c r="F1686" s="25">
        <v>46209.511550925927</v>
      </c>
      <c r="G1686" s="24">
        <v>1</v>
      </c>
      <c r="H1686" s="24">
        <v>3</v>
      </c>
      <c r="I1686" s="24">
        <v>0</v>
      </c>
      <c r="J1686" s="23"/>
      <c r="K1686" s="24">
        <v>0</v>
      </c>
      <c r="L168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86" s="22" t="str">
        <f>HYPERLINK("mailto:idiez@crm.otsuka-europe.com", "idiez@crm.otsuka-europe.com")</f>
        <v>idiez@crm.otsuka-europe.com</v>
      </c>
      <c r="N1686" s="25">
        <v>46209.351481481484</v>
      </c>
      <c r="O1686" s="14" t="str">
        <f>HYPERLINK("https://otsuka-europe-crm.veevavault.com/ui/#object/email_activity__v/V8C000000043403", "EN-002102340")</f>
        <v>EN-002102340</v>
      </c>
    </row>
    <row r="1687" spans="1:15" ht="16" x14ac:dyDescent="0.2">
      <c r="A1687" s="26"/>
      <c r="B1687" s="26"/>
      <c r="C1687" s="26"/>
      <c r="D1687" s="26"/>
      <c r="E1687" s="26"/>
      <c r="F1687" s="26"/>
      <c r="G1687" s="26"/>
      <c r="H1687" s="26"/>
      <c r="I1687" s="26"/>
      <c r="J1687" s="26"/>
      <c r="K1687" s="26"/>
      <c r="L1687" s="26"/>
      <c r="M1687" s="26"/>
      <c r="N1687" s="26"/>
      <c r="O1687" s="14" t="str">
        <f>HYPERLINK("https://otsuka-europe-crm.veevavault.com/ui/#object/email_activity__v/V8C000000044370", "EN-002102312")</f>
        <v>EN-002102312</v>
      </c>
    </row>
    <row r="1688" spans="1:15" ht="16" x14ac:dyDescent="0.2">
      <c r="A1688" s="26"/>
      <c r="B1688" s="26"/>
      <c r="C1688" s="26"/>
      <c r="D1688" s="26"/>
      <c r="E1688" s="26"/>
      <c r="F1688" s="26"/>
      <c r="G1688" s="26"/>
      <c r="H1688" s="26"/>
      <c r="I1688" s="26"/>
      <c r="J1688" s="26"/>
      <c r="K1688" s="26"/>
      <c r="L1688" s="26"/>
      <c r="M1688" s="26"/>
      <c r="N1688" s="26"/>
      <c r="O1688" s="14" t="str">
        <f>HYPERLINK("https://otsuka-europe-crm.veevavault.com/ui/#object/email_activity__v/V8C000000044393", "EN-002102358")</f>
        <v>EN-002102358</v>
      </c>
    </row>
    <row r="1689" spans="1:15" ht="16" x14ac:dyDescent="0.2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/>
      <c r="L1689" s="19"/>
      <c r="M1689" s="19"/>
      <c r="N1689" s="19"/>
      <c r="O1689" s="14" t="str">
        <f>HYPERLINK("https://otsuka-europe-crm.veevavault.com/ui/#object/email_activity__v/V8C000000044456", "EN-002102490")</f>
        <v>EN-002102490</v>
      </c>
    </row>
    <row r="1690" spans="1:15" ht="48" x14ac:dyDescent="0.2">
      <c r="A1690" s="7" t="str">
        <f>HYPERLINK("https://otsuka-europe-crm.veevavault.com/ui/#object/account__v/V4TZ025E85N99EX", "CLAUDIA GOMEZ NICOLAS")</f>
        <v>CLAUDIA GOMEZ NICOLAS</v>
      </c>
      <c r="B1690" s="7" t="str">
        <f>HYPERLINK("https://otsuka-europe-crm.veevavault.com/ui/#object/vcountry__v/VENZ000004SONF5", "ES")</f>
        <v>ES</v>
      </c>
      <c r="C1690" s="8" t="s">
        <v>39</v>
      </c>
      <c r="D169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90" s="10" t="str">
        <f>HYPERLINK("https://otsuka-europe-crm.veevavault.com/ui/#object/sent_email__v/VBL000000031275", "SE-001439614")</f>
        <v>SE-001439614</v>
      </c>
      <c r="F1690" s="11"/>
      <c r="G1690" s="12">
        <v>0</v>
      </c>
      <c r="H1690" s="12">
        <v>0</v>
      </c>
      <c r="I1690" s="12">
        <v>0</v>
      </c>
      <c r="J1690" s="11"/>
      <c r="K1690" s="12">
        <v>0</v>
      </c>
      <c r="L169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90" s="10" t="str">
        <f>HYPERLINK("mailto:idiez@crm.otsuka-europe.com", "idiez@crm.otsuka-europe.com")</f>
        <v>idiez@crm.otsuka-europe.com</v>
      </c>
      <c r="N1690" s="13">
        <v>46209.351481481484</v>
      </c>
      <c r="O1690" s="14" t="str">
        <f>HYPERLINK("https://otsuka-europe-crm.veevavault.com/ui/#object/email_activity__v/V8C000000043393", "EN-002102324")</f>
        <v>EN-002102324</v>
      </c>
    </row>
    <row r="1691" spans="1:15" ht="16" x14ac:dyDescent="0.2">
      <c r="A1691" s="18" t="str">
        <f>HYPERLINK("https://otsuka-europe-crm.veevavault.com/ui/#object/account__v/V4TZ025E85V6VLF", "ALICIA SEGURA ROBLEDO")</f>
        <v>ALICIA SEGURA ROBLEDO</v>
      </c>
      <c r="B1691" s="18" t="str">
        <f>HYPERLINK("https://otsuka-europe-crm.veevavault.com/ui/#object/vcountry__v/VENZ000004SONF5", "ES")</f>
        <v>ES</v>
      </c>
      <c r="C1691" s="20" t="s">
        <v>39</v>
      </c>
      <c r="D1691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91" s="22" t="str">
        <f>HYPERLINK("https://otsuka-europe-crm.veevavault.com/ui/#object/sent_email__v/VBL000000031276", "SE-001439615")</f>
        <v>SE-001439615</v>
      </c>
      <c r="F1691" s="25">
        <v>46217.332094907404</v>
      </c>
      <c r="G1691" s="24">
        <v>1</v>
      </c>
      <c r="H1691" s="24">
        <v>1</v>
      </c>
      <c r="I1691" s="24">
        <v>1</v>
      </c>
      <c r="J1691" s="25">
        <v>46217.332465277781</v>
      </c>
      <c r="K1691" s="24">
        <v>1</v>
      </c>
      <c r="L1691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91" s="22" t="str">
        <f>HYPERLINK("mailto:idiez@crm.otsuka-europe.com", "idiez@crm.otsuka-europe.com")</f>
        <v>idiez@crm.otsuka-europe.com</v>
      </c>
      <c r="N1691" s="25">
        <v>46209.351481481484</v>
      </c>
      <c r="O1691" s="14" t="str">
        <f>HYPERLINK("https://otsuka-europe-crm.veevavault.com/ui/#object/email_activity__v/V8C000000043384", "EN-002102303")</f>
        <v>EN-002102303</v>
      </c>
    </row>
    <row r="1692" spans="1:15" ht="16" x14ac:dyDescent="0.2">
      <c r="A1692" s="26"/>
      <c r="B1692" s="26"/>
      <c r="C1692" s="26"/>
      <c r="D1692" s="26"/>
      <c r="E1692" s="26"/>
      <c r="F1692" s="26"/>
      <c r="G1692" s="26"/>
      <c r="H1692" s="26"/>
      <c r="I1692" s="26"/>
      <c r="J1692" s="26"/>
      <c r="K1692" s="26"/>
      <c r="L1692" s="26"/>
      <c r="M1692" s="26"/>
      <c r="N1692" s="26"/>
      <c r="O1692" s="14" t="str">
        <f>HYPERLINK("https://otsuka-europe-crm.veevavault.com/ui/#object/email_activity__v/V8C000000049491", "EN-002105778")</f>
        <v>EN-002105778</v>
      </c>
    </row>
    <row r="1693" spans="1:15" ht="16" x14ac:dyDescent="0.2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/>
      <c r="L1693" s="19"/>
      <c r="M1693" s="19"/>
      <c r="N1693" s="19"/>
      <c r="O1693" s="14" t="str">
        <f>HYPERLINK("https://otsuka-europe-crm.veevavault.com/ui/#object/email_activity__v/V8C000000049492", "EN-002105779")</f>
        <v>EN-002105779</v>
      </c>
    </row>
    <row r="1694" spans="1:15" ht="48" x14ac:dyDescent="0.2">
      <c r="A1694" s="7" t="str">
        <f>HYPERLINK("https://otsuka-europe-crm.veevavault.com/ui/#object/account__v/V4T00000000P016", "VIRGINIA PRADILLO FERNANDEZ")</f>
        <v>VIRGINIA PRADILLO FERNANDEZ</v>
      </c>
      <c r="B1694" s="7" t="str">
        <f>HYPERLINK("https://otsuka-europe-crm.veevavault.com/ui/#object/vcountry__v/VENZ000004SONF5", "ES")</f>
        <v>ES</v>
      </c>
      <c r="C1694" s="8" t="s">
        <v>39</v>
      </c>
      <c r="D1694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94" s="10" t="str">
        <f>HYPERLINK("https://otsuka-europe-crm.veevavault.com/ui/#object/sent_email__v/VBL000000031277", "SE-001439616")</f>
        <v>SE-001439616</v>
      </c>
      <c r="F1694" s="11"/>
      <c r="G1694" s="12">
        <v>0</v>
      </c>
      <c r="H1694" s="12">
        <v>0</v>
      </c>
      <c r="I1694" s="12">
        <v>0</v>
      </c>
      <c r="J1694" s="11"/>
      <c r="K1694" s="12">
        <v>0</v>
      </c>
      <c r="L1694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94" s="10" t="str">
        <f>HYPERLINK("mailto:idiez@crm.otsuka-europe.com", "idiez@crm.otsuka-europe.com")</f>
        <v>idiez@crm.otsuka-europe.com</v>
      </c>
      <c r="N1694" s="13">
        <v>46209.351481481484</v>
      </c>
      <c r="O1694" s="14" t="str">
        <f>HYPERLINK("https://otsuka-europe-crm.veevavault.com/ui/#object/email_activity__v/V8C000000043374", "EN-002102288")</f>
        <v>EN-002102288</v>
      </c>
    </row>
    <row r="1695" spans="1:15" ht="16" x14ac:dyDescent="0.2">
      <c r="A1695" s="18" t="str">
        <f>HYPERLINK("https://otsuka-europe-crm.veevavault.com/ui/#object/account__v/V4TZ025E898JQZO", "MARIA JOSE REQUENA RODRIGUEZ")</f>
        <v>MARIA JOSE REQUENA RODRIGUEZ</v>
      </c>
      <c r="B1695" s="18" t="str">
        <f>HYPERLINK("https://otsuka-europe-crm.veevavault.com/ui/#object/vcountry__v/VENZ000004SONF5", "ES")</f>
        <v>ES</v>
      </c>
      <c r="C1695" s="20" t="s">
        <v>39</v>
      </c>
      <c r="D1695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95" s="22" t="str">
        <f>HYPERLINK("https://otsuka-europe-crm.veevavault.com/ui/#object/sent_email__v/VBL000000031278", "SE-001439617")</f>
        <v>SE-001439617</v>
      </c>
      <c r="F1695" s="25">
        <v>46212.660046296296</v>
      </c>
      <c r="G1695" s="24">
        <v>1</v>
      </c>
      <c r="H1695" s="24">
        <v>1</v>
      </c>
      <c r="I1695" s="24">
        <v>0</v>
      </c>
      <c r="J1695" s="23"/>
      <c r="K1695" s="24">
        <v>0</v>
      </c>
      <c r="L1695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95" s="22" t="str">
        <f>HYPERLINK("mailto:idiez@crm.otsuka-europe.com", "idiez@crm.otsuka-europe.com")</f>
        <v>idiez@crm.otsuka-europe.com</v>
      </c>
      <c r="N1695" s="25">
        <v>46209.351481481484</v>
      </c>
      <c r="O1695" s="14" t="str">
        <f>HYPERLINK("https://otsuka-europe-crm.veevavault.com/ui/#object/email_activity__v/V8C000000043486", "EN-002102505")</f>
        <v>EN-002102505</v>
      </c>
    </row>
    <row r="1696" spans="1:15" ht="16" x14ac:dyDescent="0.2">
      <c r="A1696" s="26"/>
      <c r="B1696" s="26"/>
      <c r="C1696" s="26"/>
      <c r="D1696" s="26"/>
      <c r="E1696" s="26"/>
      <c r="F1696" s="26"/>
      <c r="G1696" s="26"/>
      <c r="H1696" s="26"/>
      <c r="I1696" s="26"/>
      <c r="J1696" s="26"/>
      <c r="K1696" s="26"/>
      <c r="L1696" s="26"/>
      <c r="M1696" s="26"/>
      <c r="N1696" s="26"/>
      <c r="O1696" s="14" t="str">
        <f>HYPERLINK("https://otsuka-europe-crm.veevavault.com/ui/#object/email_activity__v/V8C000000044363", "EN-002102293")</f>
        <v>EN-002102293</v>
      </c>
    </row>
    <row r="1697" spans="1:15" ht="16" x14ac:dyDescent="0.2">
      <c r="A1697" s="19"/>
      <c r="B1697" s="19"/>
      <c r="C1697" s="19"/>
      <c r="D1697" s="19"/>
      <c r="E1697" s="19"/>
      <c r="F1697" s="19"/>
      <c r="G1697" s="19"/>
      <c r="H1697" s="19"/>
      <c r="I1697" s="19"/>
      <c r="J1697" s="19"/>
      <c r="K1697" s="19"/>
      <c r="L1697" s="19"/>
      <c r="M1697" s="19"/>
      <c r="N1697" s="19"/>
      <c r="O1697" s="14" t="str">
        <f>HYPERLINK("https://otsuka-europe-crm.veevavault.com/ui/#object/email_activity__v/V8C000000045349", "EN-002103979")</f>
        <v>EN-002103979</v>
      </c>
    </row>
    <row r="1698" spans="1:15" ht="48" x14ac:dyDescent="0.2">
      <c r="A1698" s="7" t="str">
        <f>HYPERLINK("https://otsuka-europe-crm.veevavault.com/ui/#object/account__v/V4TZ025E87MOMHW", "MARIA PILAR LLAMAS SILLERO")</f>
        <v>MARIA PILAR LLAMAS SILLERO</v>
      </c>
      <c r="B1698" s="7" t="str">
        <f>HYPERLINK("https://otsuka-europe-crm.veevavault.com/ui/#object/vcountry__v/VENZ000004SONF5", "ES")</f>
        <v>ES</v>
      </c>
      <c r="C1698" s="8" t="s">
        <v>39</v>
      </c>
      <c r="D1698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98" s="10" t="str">
        <f>HYPERLINK("https://otsuka-europe-crm.veevavault.com/ui/#object/sent_email__v/VBL000000031279", "SE-001439618")</f>
        <v>SE-001439618</v>
      </c>
      <c r="F1698" s="11"/>
      <c r="G1698" s="12">
        <v>0</v>
      </c>
      <c r="H1698" s="12">
        <v>0</v>
      </c>
      <c r="I1698" s="12">
        <v>0</v>
      </c>
      <c r="J1698" s="11"/>
      <c r="K1698" s="12">
        <v>0</v>
      </c>
      <c r="L1698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98" s="10" t="str">
        <f>HYPERLINK("mailto:idiez@crm.otsuka-europe.com", "idiez@crm.otsuka-europe.com")</f>
        <v>idiez@crm.otsuka-europe.com</v>
      </c>
      <c r="N1698" s="13">
        <v>46209.351481481484</v>
      </c>
      <c r="O1698" s="14" t="str">
        <f>HYPERLINK("https://otsuka-europe-crm.veevavault.com/ui/#object/email_activity__v/V8C000000044373", "EN-002102315")</f>
        <v>EN-002102315</v>
      </c>
    </row>
    <row r="1699" spans="1:15" ht="16" x14ac:dyDescent="0.2">
      <c r="A1699" s="18" t="str">
        <f>HYPERLINK("https://otsuka-europe-crm.veevavault.com/ui/#object/account__v/V4T00000001W078", "STEFANIA CARVAJAL ALTAMIRANDA")</f>
        <v>STEFANIA CARVAJAL ALTAMIRANDA</v>
      </c>
      <c r="B1699" s="18" t="str">
        <f>HYPERLINK("https://otsuka-europe-crm.veevavault.com/ui/#object/vcountry__v/VENZ000004SONF5", "ES")</f>
        <v>ES</v>
      </c>
      <c r="C1699" s="20" t="s">
        <v>39</v>
      </c>
      <c r="D1699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699" s="22" t="str">
        <f>HYPERLINK("https://otsuka-europe-crm.veevavault.com/ui/#object/sent_email__v/VBL000000031280", "SE-001439619")</f>
        <v>SE-001439619</v>
      </c>
      <c r="F1699" s="25">
        <v>46209.377465277779</v>
      </c>
      <c r="G1699" s="24">
        <v>1</v>
      </c>
      <c r="H1699" s="24">
        <v>1</v>
      </c>
      <c r="I1699" s="24">
        <v>0</v>
      </c>
      <c r="J1699" s="23"/>
      <c r="K1699" s="24">
        <v>0</v>
      </c>
      <c r="L1699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699" s="22" t="str">
        <f>HYPERLINK("mailto:idiez@crm.otsuka-europe.com", "idiez@crm.otsuka-europe.com")</f>
        <v>idiez@crm.otsuka-europe.com</v>
      </c>
      <c r="N1699" s="25">
        <v>46209.351481481484</v>
      </c>
      <c r="O1699" s="14" t="str">
        <f>HYPERLINK("https://otsuka-europe-crm.veevavault.com/ui/#object/email_activity__v/V8C000000043417", "EN-002102371")</f>
        <v>EN-002102371</v>
      </c>
    </row>
    <row r="1700" spans="1:15" ht="16" x14ac:dyDescent="0.2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/>
      <c r="L1700" s="19"/>
      <c r="M1700" s="19"/>
      <c r="N1700" s="19"/>
      <c r="O1700" s="14" t="str">
        <f>HYPERLINK("https://otsuka-europe-crm.veevavault.com/ui/#object/email_activity__v/V8C000000044371", "EN-002102313")</f>
        <v>EN-002102313</v>
      </c>
    </row>
    <row r="1701" spans="1:15" ht="16" x14ac:dyDescent="0.2">
      <c r="A1701" s="18" t="str">
        <f>HYPERLINK("https://otsuka-europe-crm.veevavault.com/ui/#object/account__v/V4TZ025E83Z2JSP", "JOSE ANGEL HERNANDEZ RIVAS")</f>
        <v>JOSE ANGEL HERNANDEZ RIVAS</v>
      </c>
      <c r="B1701" s="18" t="str">
        <f>HYPERLINK("https://otsuka-europe-crm.veevavault.com/ui/#object/vcountry__v/VENZ000004SONF5", "ES")</f>
        <v>ES</v>
      </c>
      <c r="C1701" s="20" t="s">
        <v>39</v>
      </c>
      <c r="D1701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701" s="22" t="str">
        <f>HYPERLINK("https://otsuka-europe-crm.veevavault.com/ui/#object/sent_email__v/VBL000000031281", "SE-001439620")</f>
        <v>SE-001439620</v>
      </c>
      <c r="F1701" s="25">
        <v>46209.576319444444</v>
      </c>
      <c r="G1701" s="24">
        <v>1</v>
      </c>
      <c r="H1701" s="24">
        <v>1</v>
      </c>
      <c r="I1701" s="24">
        <v>0</v>
      </c>
      <c r="J1701" s="23"/>
      <c r="K1701" s="24">
        <v>0</v>
      </c>
      <c r="L1701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701" s="22" t="str">
        <f>HYPERLINK("mailto:idiez@crm.otsuka-europe.com", "idiez@crm.otsuka-europe.com")</f>
        <v>idiez@crm.otsuka-europe.com</v>
      </c>
      <c r="N1701" s="25">
        <v>46209.351481481484</v>
      </c>
      <c r="O1701" s="14" t="str">
        <f>HYPERLINK("https://otsuka-europe-crm.veevavault.com/ui/#object/email_activity__v/V8C000000043392", "EN-002102323")</f>
        <v>EN-002102323</v>
      </c>
    </row>
    <row r="1702" spans="1:15" ht="16" x14ac:dyDescent="0.2">
      <c r="A1702" s="19"/>
      <c r="B1702" s="19"/>
      <c r="C1702" s="19"/>
      <c r="D1702" s="19"/>
      <c r="E1702" s="19"/>
      <c r="F1702" s="19"/>
      <c r="G1702" s="19"/>
      <c r="H1702" s="19"/>
      <c r="I1702" s="19"/>
      <c r="J1702" s="19"/>
      <c r="K1702" s="19"/>
      <c r="L1702" s="19"/>
      <c r="M1702" s="19"/>
      <c r="N1702" s="19"/>
      <c r="O1702" s="14" t="str">
        <f>HYPERLINK("https://otsuka-europe-crm.veevavault.com/ui/#object/email_activity__v/V8C000000043491", "EN-002102513")</f>
        <v>EN-002102513</v>
      </c>
    </row>
    <row r="1703" spans="1:15" ht="48" x14ac:dyDescent="0.2">
      <c r="A1703" s="7" t="str">
        <f>HYPERLINK("https://otsuka-europe-crm.veevavault.com/ui/#object/account__v/V4TZ025E87QF7OT", "JUAN CARLOS CABALLERO BERROCAL")</f>
        <v>JUAN CARLOS CABALLERO BERROCAL</v>
      </c>
      <c r="B1703" s="7" t="str">
        <f>HYPERLINK("https://otsuka-europe-crm.veevavault.com/ui/#object/vcountry__v/VENZ000004SONF5", "ES")</f>
        <v>ES</v>
      </c>
      <c r="C1703" s="8" t="s">
        <v>39</v>
      </c>
      <c r="D170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703" s="10" t="str">
        <f>HYPERLINK("https://otsuka-europe-crm.veevavault.com/ui/#object/sent_email__v/VBL000000031282", "SE-001439621")</f>
        <v>SE-001439621</v>
      </c>
      <c r="F1703" s="11"/>
      <c r="G1703" s="12">
        <v>0</v>
      </c>
      <c r="H1703" s="12">
        <v>0</v>
      </c>
      <c r="I1703" s="12">
        <v>0</v>
      </c>
      <c r="J1703" s="11"/>
      <c r="K1703" s="12">
        <v>0</v>
      </c>
      <c r="L170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703" s="10" t="str">
        <f>HYPERLINK("mailto:idiez@crm.otsuka-europe.com", "idiez@crm.otsuka-europe.com")</f>
        <v>idiez@crm.otsuka-europe.com</v>
      </c>
      <c r="N1703" s="13">
        <v>46209.351481481484</v>
      </c>
      <c r="O1703" s="14" t="str">
        <f>HYPERLINK("https://otsuka-europe-crm.veevavault.com/ui/#object/email_activity__v/V8C000000043376", "EN-002102295")</f>
        <v>EN-002102295</v>
      </c>
    </row>
    <row r="1704" spans="1:15" ht="16" x14ac:dyDescent="0.2">
      <c r="A1704" s="18" t="str">
        <f>HYPERLINK("https://otsuka-europe-crm.veevavault.com/ui/#object/account__v/V4T00000000V069", "MARINA MENENDEZ CUEVAS")</f>
        <v>MARINA MENENDEZ CUEVAS</v>
      </c>
      <c r="B1704" s="18" t="str">
        <f>HYPERLINK("https://otsuka-europe-crm.veevavault.com/ui/#object/vcountry__v/VENZ000004SONF5", "ES")</f>
        <v>ES</v>
      </c>
      <c r="C1704" s="20" t="s">
        <v>39</v>
      </c>
      <c r="D170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704" s="22" t="str">
        <f>HYPERLINK("https://otsuka-europe-crm.veevavault.com/ui/#object/sent_email__v/VBL000000031283", "SE-001439622")</f>
        <v>SE-001439622</v>
      </c>
      <c r="F1704" s="25">
        <v>46209.491944444446</v>
      </c>
      <c r="G1704" s="24">
        <v>1</v>
      </c>
      <c r="H1704" s="24">
        <v>2</v>
      </c>
      <c r="I1704" s="24">
        <v>0</v>
      </c>
      <c r="J1704" s="23"/>
      <c r="K1704" s="24">
        <v>0</v>
      </c>
      <c r="L170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704" s="22" t="str">
        <f>HYPERLINK("mailto:idiez@crm.otsuka-europe.com", "idiez@crm.otsuka-europe.com")</f>
        <v>idiez@crm.otsuka-europe.com</v>
      </c>
      <c r="N1704" s="25">
        <v>46209.351481481484</v>
      </c>
      <c r="O1704" s="14" t="str">
        <f>HYPERLINK("https://otsuka-europe-crm.veevavault.com/ui/#object/email_activity__v/V8C000000043388", "EN-002102319")</f>
        <v>EN-002102319</v>
      </c>
    </row>
    <row r="1705" spans="1:15" ht="16" x14ac:dyDescent="0.2">
      <c r="A1705" s="26"/>
      <c r="B1705" s="26"/>
      <c r="C1705" s="26"/>
      <c r="D1705" s="26"/>
      <c r="E1705" s="26"/>
      <c r="F1705" s="26"/>
      <c r="G1705" s="26"/>
      <c r="H1705" s="26"/>
      <c r="I1705" s="26"/>
      <c r="J1705" s="26"/>
      <c r="K1705" s="26"/>
      <c r="L1705" s="26"/>
      <c r="M1705" s="26"/>
      <c r="N1705" s="26"/>
      <c r="O1705" s="14" t="str">
        <f>HYPERLINK("https://otsuka-europe-crm.veevavault.com/ui/#object/email_activity__v/V8C000000043474", "EN-002102478")</f>
        <v>EN-002102478</v>
      </c>
    </row>
    <row r="1706" spans="1:15" ht="16" x14ac:dyDescent="0.2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19"/>
      <c r="L1706" s="19"/>
      <c r="M1706" s="19"/>
      <c r="N1706" s="19"/>
      <c r="O1706" s="14" t="str">
        <f>HYPERLINK("https://otsuka-europe-crm.veevavault.com/ui/#object/email_activity__v/V8C000000044449", "EN-002102479")</f>
        <v>EN-002102479</v>
      </c>
    </row>
    <row r="1707" spans="1:15" ht="48" x14ac:dyDescent="0.2">
      <c r="A1707" s="7" t="str">
        <f>HYPERLINK("https://otsuka-europe-crm.veevavault.com/ui/#object/account__v/V4T00000000V068", "MARIA GARCIA BERNAL")</f>
        <v>MARIA GARCIA BERNAL</v>
      </c>
      <c r="B1707" s="7" t="str">
        <f>HYPERLINK("https://otsuka-europe-crm.veevavault.com/ui/#object/vcountry__v/VENZ000004SONF5", "ES")</f>
        <v>ES</v>
      </c>
      <c r="C1707" s="8" t="s">
        <v>39</v>
      </c>
      <c r="D1707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707" s="10" t="str">
        <f>HYPERLINK("https://otsuka-europe-crm.veevavault.com/ui/#object/sent_email__v/VBL000000031284", "SE-001439623")</f>
        <v>SE-001439623</v>
      </c>
      <c r="F1707" s="11"/>
      <c r="G1707" s="12">
        <v>0</v>
      </c>
      <c r="H1707" s="12">
        <v>0</v>
      </c>
      <c r="I1707" s="12">
        <v>0</v>
      </c>
      <c r="J1707" s="11"/>
      <c r="K1707" s="12">
        <v>0</v>
      </c>
      <c r="L1707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707" s="10" t="str">
        <f>HYPERLINK("mailto:idiez@crm.otsuka-europe.com", "idiez@crm.otsuka-europe.com")</f>
        <v>idiez@crm.otsuka-europe.com</v>
      </c>
      <c r="N1707" s="13">
        <v>46209.351469907408</v>
      </c>
      <c r="O1707" s="14" t="str">
        <f>HYPERLINK("https://otsuka-europe-crm.veevavault.com/ui/#object/email_activity__v/V8C000000044372", "EN-002102314")</f>
        <v>EN-002102314</v>
      </c>
    </row>
    <row r="1708" spans="1:15" ht="16" x14ac:dyDescent="0.2">
      <c r="A1708" s="18" t="str">
        <f>HYPERLINK("https://otsuka-europe-crm.veevavault.com/ui/#object/account__v/V4TZ025E83ECM0M", "AGATA ALMELA GALLEGO")</f>
        <v>AGATA ALMELA GALLEGO</v>
      </c>
      <c r="B1708" s="18" t="str">
        <f>HYPERLINK("https://otsuka-europe-crm.veevavault.com/ui/#object/vcountry__v/VENZ000004SONF5", "ES")</f>
        <v>ES</v>
      </c>
      <c r="C1708" s="20" t="s">
        <v>39</v>
      </c>
      <c r="D1708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1708" s="22" t="str">
        <f>HYPERLINK("https://otsuka-europe-crm.veevavault.com/ui/#object/sent_email__v/VBL000000031285", "SE-001439624")</f>
        <v>SE-001439624</v>
      </c>
      <c r="F1708" s="25">
        <v>46209.412824074076</v>
      </c>
      <c r="G1708" s="24">
        <v>1</v>
      </c>
      <c r="H1708" s="24">
        <v>2</v>
      </c>
      <c r="I1708" s="24">
        <v>0</v>
      </c>
      <c r="J1708" s="23"/>
      <c r="K1708" s="24">
        <v>0</v>
      </c>
      <c r="L1708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1708" s="22" t="str">
        <f>HYPERLINK("mailto:idiez@crm.otsuka-europe.com", "idiez@crm.otsuka-europe.com")</f>
        <v>idiez@crm.otsuka-europe.com</v>
      </c>
      <c r="N1708" s="25">
        <v>46209.351956018516</v>
      </c>
      <c r="O1708" s="14" t="str">
        <f>HYPERLINK("https://otsuka-europe-crm.veevavault.com/ui/#object/email_activity__v/V8C000000043396", "EN-002102327")</f>
        <v>EN-002102327</v>
      </c>
    </row>
    <row r="1709" spans="1:15" ht="16" x14ac:dyDescent="0.2">
      <c r="A1709" s="26"/>
      <c r="B1709" s="26"/>
      <c r="C1709" s="26"/>
      <c r="D1709" s="26"/>
      <c r="E1709" s="26"/>
      <c r="F1709" s="26"/>
      <c r="G1709" s="26"/>
      <c r="H1709" s="26"/>
      <c r="I1709" s="26"/>
      <c r="J1709" s="26"/>
      <c r="K1709" s="26"/>
      <c r="L1709" s="26"/>
      <c r="M1709" s="26"/>
      <c r="N1709" s="26"/>
      <c r="O1709" s="14" t="str">
        <f>HYPERLINK("https://otsuka-europe-crm.veevavault.com/ui/#object/email_activity__v/V8C000000044414", "EN-002102425")</f>
        <v>EN-002102425</v>
      </c>
    </row>
    <row r="1710" spans="1:15" ht="16" x14ac:dyDescent="0.2">
      <c r="A1710" s="19"/>
      <c r="B1710" s="19"/>
      <c r="C1710" s="19"/>
      <c r="D1710" s="19"/>
      <c r="E1710" s="19"/>
      <c r="F1710" s="19"/>
      <c r="G1710" s="19"/>
      <c r="H1710" s="19"/>
      <c r="I1710" s="19"/>
      <c r="J1710" s="19"/>
      <c r="K1710" s="19"/>
      <c r="L1710" s="19"/>
      <c r="M1710" s="19"/>
      <c r="N1710" s="19"/>
      <c r="O1710" s="14" t="str">
        <f>HYPERLINK("https://otsuka-europe-crm.veevavault.com/ui/#object/email_activity__v/V8C000000044415", "EN-002102426")</f>
        <v>EN-002102426</v>
      </c>
    </row>
    <row r="1711" spans="1:15" ht="64" x14ac:dyDescent="0.2">
      <c r="A1711" s="7" t="str">
        <f>HYPERLINK("https://otsuka-europe-crm.veevavault.com/ui/#object/account__v/V4TZ06G6O71TCV4", "BENITO GARCIA DIAZ")</f>
        <v>BENITO GARCIA DIAZ</v>
      </c>
      <c r="B1711" s="7" t="str">
        <f>HYPERLINK("https://otsuka-europe-crm.veevavault.com/ui/#object/vcountry__v/VENZ000004SONF5", "ES")</f>
        <v>ES</v>
      </c>
      <c r="C1711" s="8" t="s">
        <v>39</v>
      </c>
      <c r="D171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1711" s="10" t="str">
        <f>HYPERLINK("https://otsuka-europe-crm.veevavault.com/ui/#object/sent_email__v/VBL000000030191", "SE-001439625")</f>
        <v>SE-001439625</v>
      </c>
      <c r="F1711" s="11"/>
      <c r="G1711" s="12">
        <v>0</v>
      </c>
      <c r="H1711" s="12">
        <v>0</v>
      </c>
      <c r="I1711" s="12">
        <v>0</v>
      </c>
      <c r="J1711" s="11"/>
      <c r="K1711" s="12">
        <v>0</v>
      </c>
      <c r="L171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1711" s="10" t="str">
        <f>HYPERLINK("mailto:idiez@crm.otsuka-europe.com", "idiez@crm.otsuka-europe.com")</f>
        <v>idiez@crm.otsuka-europe.com</v>
      </c>
      <c r="N1711" s="13">
        <v>46209.357731481483</v>
      </c>
      <c r="O1711" s="14" t="str">
        <f>HYPERLINK("https://otsuka-europe-crm.veevavault.com/ui/#object/email_activity__v/V8C000000043404", "EN-002102341")</f>
        <v>EN-002102341</v>
      </c>
    </row>
    <row r="1712" spans="1:15" ht="32" x14ac:dyDescent="0.2">
      <c r="A1712" s="7" t="str">
        <f>HYPERLINK("https://otsuka-europe-crm.veevavault.com/ui/#object/account__v/V4TZ025E89AVHKQ", "LAURA PINA CAMACHO")</f>
        <v>LAURA PINA CAMACHO</v>
      </c>
      <c r="B1712" s="7" t="str">
        <f>HYPERLINK("https://otsuka-europe-crm.veevavault.com/ui/#object/vcountry__v/VENZ000004SONF5", "ES")</f>
        <v>ES</v>
      </c>
      <c r="C1712" s="8" t="s">
        <v>39</v>
      </c>
      <c r="D1712" s="9" t="str">
        <f>HYPERLINK("https://otsuka-europe-crm.veevavault.com/ui/#object/approved_document__v/V5O00000001H027", "RXULTI - Monografía de producto")</f>
        <v>RXULTI - Monografía de producto</v>
      </c>
      <c r="E1712" s="10" t="str">
        <f>HYPERLINK("https://otsuka-europe-crm.veevavault.com/ui/#object/sent_email__v/VBL000000030192", "SE-001439626")</f>
        <v>SE-001439626</v>
      </c>
      <c r="F1712" s="11"/>
      <c r="G1712" s="12">
        <v>0</v>
      </c>
      <c r="H1712" s="12">
        <v>0</v>
      </c>
      <c r="I1712" s="12">
        <v>0</v>
      </c>
      <c r="J1712" s="11"/>
      <c r="K1712" s="12">
        <v>0</v>
      </c>
      <c r="L1712" s="10" t="str">
        <f>HYPERLINK("https://otsuka-europe-crm.veevavault.com/ui/#object/approved_document__v/V5O00000001H027", "RXULTI - Monografía de producto")</f>
        <v>RXULTI - Monografía de producto</v>
      </c>
      <c r="M1712" s="10" t="str">
        <f>HYPERLINK("mailto:jjimenez@crm.otsuka-europe.com", "jjimenez@crm.otsuka-europe.com")</f>
        <v>jjimenez@crm.otsuka-europe.com</v>
      </c>
      <c r="N1712" s="13">
        <v>46209.363113425927</v>
      </c>
      <c r="O1712" s="14" t="str">
        <f>HYPERLINK("https://otsuka-europe-crm.veevavault.com/ui/#object/email_activity__v/V8C000000044386", "EN-002102350")</f>
        <v>EN-002102350</v>
      </c>
    </row>
    <row r="1713" spans="1:15" ht="80" x14ac:dyDescent="0.2">
      <c r="A1713" s="7" t="str">
        <f>HYPERLINK("https://otsuka-europe-crm.veevavault.com/ui/#object/account__v/V4TZ025E89AVHKQ", "LAURA PINA CAMACHO")</f>
        <v>LAURA PINA CAMACHO</v>
      </c>
      <c r="B1713" s="7" t="str">
        <f>HYPERLINK("https://otsuka-europe-crm.veevavault.com/ui/#object/vcountry__v/VENZ000004SONF5", "ES")</f>
        <v>ES</v>
      </c>
      <c r="C1713" s="8" t="s">
        <v>39</v>
      </c>
      <c r="D1713" s="9" t="str">
        <f>HYPERLINK("https://otsuka-europe-crm.veevavault.com/ui/#object/approved_document__v/V5O00000000A066", "RXULTI - Vídeo Isabel Hernández - RXULTI, nueva alternativa para adolescentes con esquizofrenia")</f>
        <v>RXULTI - Vídeo Isabel Hernández - RXULTI, nueva alternativa para adolescentes con esquizofrenia</v>
      </c>
      <c r="E1713" s="10" t="str">
        <f>HYPERLINK("https://otsuka-europe-crm.veevavault.com/ui/#object/sent_email__v/VBL000000031286", "SE-001439627")</f>
        <v>SE-001439627</v>
      </c>
      <c r="F1713" s="11"/>
      <c r="G1713" s="12">
        <v>0</v>
      </c>
      <c r="H1713" s="12">
        <v>0</v>
      </c>
      <c r="I1713" s="12">
        <v>0</v>
      </c>
      <c r="J1713" s="11"/>
      <c r="K1713" s="12">
        <v>0</v>
      </c>
      <c r="L1713" s="10" t="str">
        <f>HYPERLINK("https://otsuka-europe-crm.veevavault.com/ui/#object/approved_document__v/V5O00000000A066", "RXULTI - Vídeo Isabel Hernández - RXULTI, nueva alternativa para adolescentes con esquizofrenia")</f>
        <v>RXULTI - Vídeo Isabel Hernández - RXULTI, nueva alternativa para adolescentes con esquizofrenia</v>
      </c>
      <c r="M1713" s="10" t="str">
        <f>HYPERLINK("mailto:jjimenez@crm.otsuka-europe.com", "jjimenez@crm.otsuka-europe.com")</f>
        <v>jjimenez@crm.otsuka-europe.com</v>
      </c>
      <c r="N1713" s="13">
        <v>46209.36310185185</v>
      </c>
      <c r="O1713" s="14" t="str">
        <f>HYPERLINK("https://otsuka-europe-crm.veevavault.com/ui/#object/email_activity__v/V8C000000044385", "EN-002102349")</f>
        <v>EN-002102349</v>
      </c>
    </row>
    <row r="1714" spans="1:15" ht="32" x14ac:dyDescent="0.2">
      <c r="A1714" s="7" t="str">
        <f>HYPERLINK("https://otsuka-europe-crm.veevavault.com/ui/#object/account__v/V4TZ06G6O71T79E", "MARIA MARTA JALON URBINA")</f>
        <v>MARIA MARTA JALON URBINA</v>
      </c>
      <c r="B1714" s="7" t="str">
        <f>HYPERLINK("https://otsuka-europe-crm.veevavault.com/ui/#object/vcountry__v/VENZ000004SONF5", "ES")</f>
        <v>ES</v>
      </c>
      <c r="C1714" s="8" t="s">
        <v>39</v>
      </c>
      <c r="D1714" s="9" t="str">
        <f>HYPERLINK("https://otsuka-europe-crm.veevavault.com/ui/#object/approved_document__v/V5O00000001H004", "Save the date X Jornada UHB 2026")</f>
        <v>Save the date X Jornada UHB 2026</v>
      </c>
      <c r="E1714" s="10" t="str">
        <f>HYPERLINK("https://otsuka-europe-crm.veevavault.com/ui/#object/sent_email__v/VBL000000030193", "SE-001439628")</f>
        <v>SE-001439628</v>
      </c>
      <c r="F1714" s="11"/>
      <c r="G1714" s="12">
        <v>0</v>
      </c>
      <c r="H1714" s="12">
        <v>0</v>
      </c>
      <c r="I1714" s="12">
        <v>0</v>
      </c>
      <c r="J1714" s="11"/>
      <c r="K1714" s="12">
        <v>0</v>
      </c>
      <c r="L1714" s="10" t="str">
        <f>HYPERLINK("https://otsuka-europe-crm.veevavault.com/ui/#object/approved_document__v/V5O00000001H004", "Save the date X Jornada UHB 2026")</f>
        <v>Save the date X Jornada UHB 2026</v>
      </c>
      <c r="M1714" s="10" t="str">
        <f>HYPERLINK("mailto:sdiez@crm.otsuka-europe.com", "sdiez@crm.otsuka-europe.com")</f>
        <v>sdiez@crm.otsuka-europe.com</v>
      </c>
      <c r="N1714" s="13">
        <v>46209.375115740739</v>
      </c>
      <c r="O1714" s="14" t="str">
        <f>HYPERLINK("https://otsuka-europe-crm.veevavault.com/ui/#object/email_activity__v/V8C000000043414", "EN-002102368")</f>
        <v>EN-002102368</v>
      </c>
    </row>
    <row r="1715" spans="1:15" ht="16" x14ac:dyDescent="0.2">
      <c r="A1715" s="18" t="str">
        <f>HYPERLINK("https://otsuka-europe-crm.veevavault.com/ui/#object/account__v/V4TZ04ASGC7D26L", "LUCA PETRICCA")</f>
        <v>LUCA PETRICCA</v>
      </c>
      <c r="B1715" s="18" t="str">
        <f>HYPERLINK("https://otsuka-europe-crm.veevavault.com/ui/#object/vcountry__v/VENZ000004SONFQ", "IT")</f>
        <v>IT</v>
      </c>
      <c r="C1715" s="20" t="s">
        <v>42</v>
      </c>
      <c r="D171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15" s="22" t="str">
        <f>HYPERLINK("https://otsuka-europe-crm.veevavault.com/ui/#object/sent_email__v/VBL000000030194", "SE-001439629")</f>
        <v>SE-001439629</v>
      </c>
      <c r="F1715" s="25">
        <v>46209.388831018521</v>
      </c>
      <c r="G1715" s="24">
        <v>1</v>
      </c>
      <c r="H1715" s="24">
        <v>1</v>
      </c>
      <c r="I1715" s="24">
        <v>0</v>
      </c>
      <c r="J1715" s="23"/>
      <c r="K1715" s="24">
        <v>0</v>
      </c>
      <c r="L171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15" s="22" t="str">
        <f>HYPERLINK("mailto:giada.camassa@outsuka.it", "giada.camassa@outsuka.it")</f>
        <v>giada.camassa@outsuka.it</v>
      </c>
      <c r="N1715" s="25">
        <v>46209.388518518521</v>
      </c>
      <c r="O1715" s="14" t="str">
        <f>HYPERLINK("https://otsuka-europe-crm.veevavault.com/ui/#object/email_activity__v/V8C000000043422", "EN-002102381")</f>
        <v>EN-002102381</v>
      </c>
    </row>
    <row r="1716" spans="1:15" ht="16" x14ac:dyDescent="0.2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/>
      <c r="L1716" s="19"/>
      <c r="M1716" s="19"/>
      <c r="N1716" s="19"/>
      <c r="O1716" s="14" t="str">
        <f>HYPERLINK("https://otsuka-europe-crm.veevavault.com/ui/#object/email_activity__v/V8C000000044404", "EN-002102382")</f>
        <v>EN-002102382</v>
      </c>
    </row>
    <row r="1717" spans="1:15" ht="64" x14ac:dyDescent="0.2">
      <c r="A1717" s="7" t="str">
        <f>HYPERLINK("https://otsuka-europe-crm.veevavault.com/ui/#object/account__v/V4TZ025E83652Z3", "PIER GIACOMO CERASUOLO")</f>
        <v>PIER GIACOMO CERASUOLO</v>
      </c>
      <c r="B1717" s="7" t="str">
        <f>HYPERLINK("https://otsuka-europe-crm.veevavault.com/ui/#object/vcountry__v/VENZ000004SONFQ", "IT")</f>
        <v>IT</v>
      </c>
      <c r="C1717" s="8" t="s">
        <v>42</v>
      </c>
      <c r="D1717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17" s="10" t="str">
        <f>HYPERLINK("https://otsuka-europe-crm.veevavault.com/ui/#object/sent_email__v/VBL000000030195", "SE-001439630")</f>
        <v>SE-001439630</v>
      </c>
      <c r="F1717" s="11"/>
      <c r="G1717" s="12">
        <v>0</v>
      </c>
      <c r="H1717" s="12">
        <v>0</v>
      </c>
      <c r="I1717" s="12">
        <v>0</v>
      </c>
      <c r="J1717" s="11"/>
      <c r="K1717" s="12">
        <v>0</v>
      </c>
      <c r="L1717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17" s="10" t="str">
        <f>HYPERLINK("mailto:giada.camassa@outsuka.it", "giada.camassa@outsuka.it")</f>
        <v>giada.camassa@outsuka.it</v>
      </c>
      <c r="N1717" s="13">
        <v>46209.391493055555</v>
      </c>
      <c r="O1717" s="14" t="str">
        <f>HYPERLINK("https://otsuka-europe-crm.veevavault.com/ui/#object/email_activity__v/V8C000000043423", "EN-002102384")</f>
        <v>EN-002102384</v>
      </c>
    </row>
    <row r="1718" spans="1:15" ht="16" x14ac:dyDescent="0.2">
      <c r="A1718" s="18" t="str">
        <f>HYPERLINK("https://otsuka-europe-crm.veevavault.com/ui/#object/account__v/V4TZ06G6O71S9EX", "GIOVANNA CAPOLONGO")</f>
        <v>GIOVANNA CAPOLONGO</v>
      </c>
      <c r="B1718" s="18" t="str">
        <f>HYPERLINK("https://otsuka-europe-crm.veevavault.com/ui/#object/vcountry__v/VENZ000004SONFQ", "IT")</f>
        <v>IT</v>
      </c>
      <c r="C1718" s="20" t="s">
        <v>42</v>
      </c>
      <c r="D1718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718" s="22" t="str">
        <f>HYPERLINK("https://otsuka-europe-crm.veevavault.com/ui/#object/sent_email__v/VBL000000031290", "SE-001439634")</f>
        <v>SE-001439634</v>
      </c>
      <c r="F1718" s="25">
        <v>46209.395624999997</v>
      </c>
      <c r="G1718" s="24">
        <v>1</v>
      </c>
      <c r="H1718" s="24">
        <v>1</v>
      </c>
      <c r="I1718" s="24">
        <v>1</v>
      </c>
      <c r="J1718" s="25">
        <v>46210.531388888892</v>
      </c>
      <c r="K1718" s="24">
        <v>2</v>
      </c>
      <c r="L1718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718" s="22" t="str">
        <f>HYPERLINK("mailto:giada.camassa@outsuka.it", "giada.camassa@outsuka.it")</f>
        <v>giada.camassa@outsuka.it</v>
      </c>
      <c r="N1718" s="25">
        <v>46209.39539351852</v>
      </c>
      <c r="O1718" s="14" t="str">
        <f>HYPERLINK("https://otsuka-europe-crm.veevavault.com/ui/#object/email_activity__v/V8C000000043426", "EN-002102388")</f>
        <v>EN-002102388</v>
      </c>
    </row>
    <row r="1719" spans="1:15" ht="16" x14ac:dyDescent="0.2">
      <c r="A1719" s="26"/>
      <c r="B1719" s="26"/>
      <c r="C1719" s="26"/>
      <c r="D1719" s="26"/>
      <c r="E1719" s="26"/>
      <c r="F1719" s="26"/>
      <c r="G1719" s="26"/>
      <c r="H1719" s="26"/>
      <c r="I1719" s="26"/>
      <c r="J1719" s="26"/>
      <c r="K1719" s="26"/>
      <c r="L1719" s="26"/>
      <c r="M1719" s="26"/>
      <c r="N1719" s="26"/>
      <c r="O1719" s="14" t="str">
        <f>HYPERLINK("https://otsuka-europe-crm.veevavault.com/ui/#object/email_activity__v/V8C000000043427", "EN-002102389")</f>
        <v>EN-002102389</v>
      </c>
    </row>
    <row r="1720" spans="1:15" ht="16" x14ac:dyDescent="0.2">
      <c r="A1720" s="26"/>
      <c r="B1720" s="26"/>
      <c r="C1720" s="26"/>
      <c r="D1720" s="26"/>
      <c r="E1720" s="26"/>
      <c r="F1720" s="26"/>
      <c r="G1720" s="26"/>
      <c r="H1720" s="26"/>
      <c r="I1720" s="26"/>
      <c r="J1720" s="26"/>
      <c r="K1720" s="26"/>
      <c r="L1720" s="26"/>
      <c r="M1720" s="26"/>
      <c r="N1720" s="26"/>
      <c r="O1720" s="14" t="str">
        <f>HYPERLINK("https://otsuka-europe-crm.veevavault.com/ui/#object/email_activity__v/V8C000000043709", "EN-002102967")</f>
        <v>EN-002102967</v>
      </c>
    </row>
    <row r="1721" spans="1:15" ht="16" x14ac:dyDescent="0.2">
      <c r="A1721" s="19"/>
      <c r="B1721" s="19"/>
      <c r="C1721" s="19"/>
      <c r="D1721" s="19"/>
      <c r="E1721" s="19"/>
      <c r="F1721" s="19"/>
      <c r="G1721" s="19"/>
      <c r="H1721" s="19"/>
      <c r="I1721" s="19"/>
      <c r="J1721" s="19"/>
      <c r="K1721" s="19"/>
      <c r="L1721" s="19"/>
      <c r="M1721" s="19"/>
      <c r="N1721" s="19"/>
      <c r="O1721" s="14" t="str">
        <f>HYPERLINK("https://otsuka-europe-crm.veevavault.com/ui/#object/email_activity__v/V8C000000043714", "EN-002102980")</f>
        <v>EN-002102980</v>
      </c>
    </row>
    <row r="1722" spans="1:15" ht="16" x14ac:dyDescent="0.2">
      <c r="A1722" s="18" t="str">
        <f>HYPERLINK("https://otsuka-europe-crm.veevavault.com/ui/#object/account__v/V4TZ025E83BAPZW", "IVANA CAPUANO")</f>
        <v>IVANA CAPUANO</v>
      </c>
      <c r="B1722" s="18" t="str">
        <f>HYPERLINK("https://otsuka-europe-crm.veevavault.com/ui/#object/vcountry__v/VENZ000004SONFQ", "IT")</f>
        <v>IT</v>
      </c>
      <c r="C1722" s="20" t="s">
        <v>42</v>
      </c>
      <c r="D172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722" s="22" t="str">
        <f>HYPERLINK("https://otsuka-europe-crm.veevavault.com/ui/#object/sent_email__v/VBL000000031291", "SE-001439635")</f>
        <v>SE-001439635</v>
      </c>
      <c r="F1722" s="25">
        <v>46209.396099537036</v>
      </c>
      <c r="G1722" s="24">
        <v>1</v>
      </c>
      <c r="H1722" s="24">
        <v>1</v>
      </c>
      <c r="I1722" s="24">
        <v>0</v>
      </c>
      <c r="J1722" s="23"/>
      <c r="K1722" s="24">
        <v>0</v>
      </c>
      <c r="L172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722" s="22" t="str">
        <f>HYPERLINK("mailto:giada.camassa@outsuka.it", "giada.camassa@outsuka.it")</f>
        <v>giada.camassa@outsuka.it</v>
      </c>
      <c r="N1722" s="25">
        <v>46209.395821759259</v>
      </c>
      <c r="O1722" s="14" t="str">
        <f>HYPERLINK("https://otsuka-europe-crm.veevavault.com/ui/#object/email_activity__v/V8C000000043428", "EN-002102390")</f>
        <v>EN-002102390</v>
      </c>
    </row>
    <row r="1723" spans="1:15" ht="16" x14ac:dyDescent="0.2">
      <c r="A1723" s="19"/>
      <c r="B1723" s="19"/>
      <c r="C1723" s="19"/>
      <c r="D1723" s="19"/>
      <c r="E1723" s="19"/>
      <c r="F1723" s="19"/>
      <c r="G1723" s="19"/>
      <c r="H1723" s="19"/>
      <c r="I1723" s="19"/>
      <c r="J1723" s="19"/>
      <c r="K1723" s="19"/>
      <c r="L1723" s="19"/>
      <c r="M1723" s="19"/>
      <c r="N1723" s="19"/>
      <c r="O1723" s="14" t="str">
        <f>HYPERLINK("https://otsuka-europe-crm.veevavault.com/ui/#object/email_activity__v/V8C000000043430", "EN-002102392")</f>
        <v>EN-002102392</v>
      </c>
    </row>
    <row r="1724" spans="1:15" ht="64" x14ac:dyDescent="0.2">
      <c r="A1724" s="7" t="str">
        <f>HYPERLINK("https://otsuka-europe-crm.veevavault.com/ui/#object/account__v/V4TZ025E83VZ1ZD", "PAOLA CONIGLIARO")</f>
        <v>PAOLA CONIGLIARO</v>
      </c>
      <c r="B1724" s="7" t="str">
        <f>HYPERLINK("https://otsuka-europe-crm.veevavault.com/ui/#object/vcountry__v/VENZ000004SONFQ", "IT")</f>
        <v>IT</v>
      </c>
      <c r="C1724" s="8" t="s">
        <v>42</v>
      </c>
      <c r="D172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24" s="10" t="str">
        <f>HYPERLINK("https://otsuka-europe-crm.veevavault.com/ui/#object/sent_email__v/VBL000000030196", "SE-001439636")</f>
        <v>SE-001439636</v>
      </c>
      <c r="F1724" s="11"/>
      <c r="G1724" s="12">
        <v>0</v>
      </c>
      <c r="H1724" s="12">
        <v>0</v>
      </c>
      <c r="I1724" s="12">
        <v>0</v>
      </c>
      <c r="J1724" s="11"/>
      <c r="K1724" s="12">
        <v>0</v>
      </c>
      <c r="L172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24" s="10" t="str">
        <f>HYPERLINK("mailto:giada.camassa@outsuka.it", "giada.camassa@outsuka.it")</f>
        <v>giada.camassa@outsuka.it</v>
      </c>
      <c r="N1724" s="13">
        <v>46209.396087962959</v>
      </c>
      <c r="O1724" s="14" t="str">
        <f>HYPERLINK("https://otsuka-europe-crm.veevavault.com/ui/#object/email_activity__v/V8C000000043429", "EN-002102391")</f>
        <v>EN-002102391</v>
      </c>
    </row>
    <row r="1725" spans="1:15" ht="64" x14ac:dyDescent="0.2">
      <c r="A1725" s="7" t="str">
        <f>HYPERLINK("https://otsuka-europe-crm.veevavault.com/ui/#object/account__v/V4TZ04ASGBJU6PN", "MELANIA ALESSIA COSCIA")</f>
        <v>MELANIA ALESSIA COSCIA</v>
      </c>
      <c r="B1725" s="7" t="str">
        <f>HYPERLINK("https://otsuka-europe-crm.veevavault.com/ui/#object/vcountry__v/VENZ000004SONFQ", "IT")</f>
        <v>IT</v>
      </c>
      <c r="C1725" s="8" t="s">
        <v>42</v>
      </c>
      <c r="D172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25" s="10" t="str">
        <f>HYPERLINK("https://otsuka-europe-crm.veevavault.com/ui/#object/sent_email__v/VBL000000030197", "SE-001439637")</f>
        <v>SE-001439637</v>
      </c>
      <c r="F1725" s="11"/>
      <c r="G1725" s="12">
        <v>0</v>
      </c>
      <c r="H1725" s="12">
        <v>0</v>
      </c>
      <c r="I1725" s="12">
        <v>0</v>
      </c>
      <c r="J1725" s="11"/>
      <c r="K1725" s="12">
        <v>0</v>
      </c>
      <c r="L172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25" s="10" t="str">
        <f>HYPERLINK("mailto:giada.camassa@outsuka.it", "giada.camassa@outsuka.it")</f>
        <v>giada.camassa@outsuka.it</v>
      </c>
      <c r="N1725" s="13">
        <v>46209.396689814814</v>
      </c>
      <c r="O1725" s="14" t="str">
        <f>HYPERLINK("https://otsuka-europe-crm.veevavault.com/ui/#object/email_activity__v/V8C000000044408", "EN-002102394")</f>
        <v>EN-002102394</v>
      </c>
    </row>
    <row r="1726" spans="1:15" ht="64" x14ac:dyDescent="0.2">
      <c r="A1726" s="7" t="str">
        <f>HYPERLINK("https://otsuka-europe-crm.veevavault.com/ui/#object/account__v/V4TZ06G6O71S9H5", "PIERLUIGI D'ANGIO'")</f>
        <v>PIERLUIGI D'ANGIO'</v>
      </c>
      <c r="B1726" s="7" t="str">
        <f>HYPERLINK("https://otsuka-europe-crm.veevavault.com/ui/#object/vcountry__v/VENZ000004SONFQ", "IT")</f>
        <v>IT</v>
      </c>
      <c r="C1726" s="8" t="s">
        <v>42</v>
      </c>
      <c r="D1726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726" s="10" t="str">
        <f>HYPERLINK("https://otsuka-europe-crm.veevavault.com/ui/#object/sent_email__v/VBL000000030198", "SE-001439638")</f>
        <v>SE-001439638</v>
      </c>
      <c r="F1726" s="11"/>
      <c r="G1726" s="12">
        <v>0</v>
      </c>
      <c r="H1726" s="12">
        <v>0</v>
      </c>
      <c r="I1726" s="12">
        <v>0</v>
      </c>
      <c r="J1726" s="11"/>
      <c r="K1726" s="12">
        <v>0</v>
      </c>
      <c r="L1726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726" s="10" t="str">
        <f>HYPERLINK("mailto:giada.camassa@outsuka.it", "giada.camassa@outsuka.it")</f>
        <v>giada.camassa@outsuka.it</v>
      </c>
      <c r="N1726" s="13">
        <v>46209.39675925926</v>
      </c>
      <c r="O1726" s="14" t="str">
        <f>HYPERLINK("https://otsuka-europe-crm.veevavault.com/ui/#object/email_activity__v/V8C000000044409", "EN-002102395")</f>
        <v>EN-002102395</v>
      </c>
    </row>
    <row r="1727" spans="1:15" ht="16" x14ac:dyDescent="0.2">
      <c r="A1727" s="18" t="str">
        <f>HYPERLINK("https://otsuka-europe-crm.veevavault.com/ui/#object/account__v/V4TZ025E867FBUA", "FRANCESCA DELLA CASA")</f>
        <v>FRANCESCA DELLA CASA</v>
      </c>
      <c r="B1727" s="18" t="str">
        <f>HYPERLINK("https://otsuka-europe-crm.veevavault.com/ui/#object/vcountry__v/VENZ000004SONFQ", "IT")</f>
        <v>IT</v>
      </c>
      <c r="C1727" s="20" t="s">
        <v>42</v>
      </c>
      <c r="D1727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727" s="22" t="str">
        <f>HYPERLINK("https://otsuka-europe-crm.veevavault.com/ui/#object/sent_email__v/VBL000000031292", "SE-001439639")</f>
        <v>SE-001439639</v>
      </c>
      <c r="F1727" s="25">
        <v>46209.397430555553</v>
      </c>
      <c r="G1727" s="24">
        <v>1</v>
      </c>
      <c r="H1727" s="24">
        <v>1</v>
      </c>
      <c r="I1727" s="24">
        <v>0</v>
      </c>
      <c r="J1727" s="23"/>
      <c r="K1727" s="24">
        <v>0</v>
      </c>
      <c r="L1727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727" s="22" t="str">
        <f>HYPERLINK("mailto:giada.camassa@outsuka.it", "giada.camassa@outsuka.it")</f>
        <v>giada.camassa@outsuka.it</v>
      </c>
      <c r="N1727" s="25">
        <v>46209.397199074076</v>
      </c>
      <c r="O1727" s="14" t="str">
        <f>HYPERLINK("https://otsuka-europe-crm.veevavault.com/ui/#object/email_activity__v/V8C000000043431", "EN-002102397")</f>
        <v>EN-002102397</v>
      </c>
    </row>
    <row r="1728" spans="1:15" ht="16" x14ac:dyDescent="0.2">
      <c r="A1728" s="19"/>
      <c r="B1728" s="19"/>
      <c r="C1728" s="19"/>
      <c r="D1728" s="19"/>
      <c r="E1728" s="19"/>
      <c r="F1728" s="19"/>
      <c r="G1728" s="19"/>
      <c r="H1728" s="19"/>
      <c r="I1728" s="19"/>
      <c r="J1728" s="19"/>
      <c r="K1728" s="19"/>
      <c r="L1728" s="19"/>
      <c r="M1728" s="19"/>
      <c r="N1728" s="19"/>
      <c r="O1728" s="14" t="str">
        <f>HYPERLINK("https://otsuka-europe-crm.veevavault.com/ui/#object/email_activity__v/V8C000000044410", "EN-002102396")</f>
        <v>EN-002102396</v>
      </c>
    </row>
    <row r="1729" spans="1:15" ht="16" x14ac:dyDescent="0.2">
      <c r="A1729" s="18" t="str">
        <f>HYPERLINK("https://otsuka-europe-crm.veevavault.com/ui/#object/account__v/V4TZ04ASGB4KE60", "SERENA FASANO")</f>
        <v>SERENA FASANO</v>
      </c>
      <c r="B1729" s="18" t="str">
        <f>HYPERLINK("https://otsuka-europe-crm.veevavault.com/ui/#object/vcountry__v/VENZ000004SONFQ", "IT")</f>
        <v>IT</v>
      </c>
      <c r="C1729" s="20" t="s">
        <v>42</v>
      </c>
      <c r="D172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29" s="22" t="str">
        <f>HYPERLINK("https://otsuka-europe-crm.veevavault.com/ui/#object/sent_email__v/VBL000000031293", "SE-001439640")</f>
        <v>SE-001439640</v>
      </c>
      <c r="F1729" s="25">
        <v>46209.398368055554</v>
      </c>
      <c r="G1729" s="24">
        <v>1</v>
      </c>
      <c r="H1729" s="24">
        <v>1</v>
      </c>
      <c r="I1729" s="24">
        <v>1</v>
      </c>
      <c r="J1729" s="25">
        <v>46210.456759259258</v>
      </c>
      <c r="K1729" s="24">
        <v>1</v>
      </c>
      <c r="L172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29" s="22" t="str">
        <f>HYPERLINK("mailto:giada.camassa@outsuka.it", "giada.camassa@outsuka.it")</f>
        <v>giada.camassa@outsuka.it</v>
      </c>
      <c r="N1729" s="25">
        <v>46209.397349537037</v>
      </c>
      <c r="O1729" s="14" t="str">
        <f>HYPERLINK("https://otsuka-europe-crm.veevavault.com/ui/#object/email_activity__v/V8C000000043435", "EN-002102402")</f>
        <v>EN-002102402</v>
      </c>
    </row>
    <row r="1730" spans="1:15" ht="16" x14ac:dyDescent="0.2">
      <c r="A1730" s="26"/>
      <c r="B1730" s="26"/>
      <c r="C1730" s="26"/>
      <c r="D1730" s="26"/>
      <c r="E1730" s="26"/>
      <c r="F1730" s="26"/>
      <c r="G1730" s="26"/>
      <c r="H1730" s="26"/>
      <c r="I1730" s="26"/>
      <c r="J1730" s="26"/>
      <c r="K1730" s="26"/>
      <c r="L1730" s="26"/>
      <c r="M1730" s="26"/>
      <c r="N1730" s="26"/>
      <c r="O1730" s="14" t="str">
        <f>HYPERLINK("https://otsuka-europe-crm.veevavault.com/ui/#object/email_activity__v/V8C000000044411", "EN-002102398")</f>
        <v>EN-002102398</v>
      </c>
    </row>
    <row r="1731" spans="1:15" ht="16" x14ac:dyDescent="0.2">
      <c r="A1731" s="19"/>
      <c r="B1731" s="19"/>
      <c r="C1731" s="19"/>
      <c r="D1731" s="19"/>
      <c r="E1731" s="19"/>
      <c r="F1731" s="19"/>
      <c r="G1731" s="19"/>
      <c r="H1731" s="19"/>
      <c r="I1731" s="19"/>
      <c r="J1731" s="19"/>
      <c r="K1731" s="19"/>
      <c r="L1731" s="19"/>
      <c r="M1731" s="19"/>
      <c r="N1731" s="19"/>
      <c r="O1731" s="14" t="str">
        <f>HYPERLINK("https://otsuka-europe-crm.veevavault.com/ui/#object/email_activity__v/V8C000000044697", "EN-002102958")</f>
        <v>EN-002102958</v>
      </c>
    </row>
    <row r="1732" spans="1:15" ht="64" x14ac:dyDescent="0.2">
      <c r="A1732" s="7" t="str">
        <f>HYPERLINK("https://otsuka-europe-crm.veevavault.com/ui/#object/account__v/V4TZ06G6O71SB7D", "ANTONIETTA LA VERDE")</f>
        <v>ANTONIETTA LA VERDE</v>
      </c>
      <c r="B1732" s="7" t="str">
        <f t="shared" ref="B1732:B1737" si="46">HYPERLINK("https://otsuka-europe-crm.veevavault.com/ui/#object/vcountry__v/VENZ000004SONFQ", "IT")</f>
        <v>IT</v>
      </c>
      <c r="C1732" s="8" t="s">
        <v>42</v>
      </c>
      <c r="D1732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732" s="10" t="str">
        <f>HYPERLINK("https://otsuka-europe-crm.veevavault.com/ui/#object/sent_email__v/VBL000000030199", "SE-001439641")</f>
        <v>SE-001439641</v>
      </c>
      <c r="F1732" s="11"/>
      <c r="G1732" s="12">
        <v>0</v>
      </c>
      <c r="H1732" s="12">
        <v>0</v>
      </c>
      <c r="I1732" s="12">
        <v>0</v>
      </c>
      <c r="J1732" s="11"/>
      <c r="K1732" s="12">
        <v>0</v>
      </c>
      <c r="L1732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732" s="10" t="str">
        <f t="shared" ref="M1732:M1737" si="47">HYPERLINK("mailto:giada.camassa@outsuka.it", "giada.camassa@outsuka.it")</f>
        <v>giada.camassa@outsuka.it</v>
      </c>
      <c r="N1732" s="13">
        <v>46209.398020833331</v>
      </c>
      <c r="O1732" s="14" t="str">
        <f>HYPERLINK("https://otsuka-europe-crm.veevavault.com/ui/#object/email_activity__v/V8C000000043432", "EN-002102399")</f>
        <v>EN-002102399</v>
      </c>
    </row>
    <row r="1733" spans="1:15" ht="64" x14ac:dyDescent="0.2">
      <c r="A1733" s="7" t="str">
        <f>HYPERLINK("https://otsuka-europe-crm.veevavault.com/ui/#object/account__v/V4TZ04ASGBC5XG5", "SEBASTIANO LORUSSO")</f>
        <v>SEBASTIANO LORUSSO</v>
      </c>
      <c r="B1733" s="7" t="str">
        <f t="shared" si="46"/>
        <v>IT</v>
      </c>
      <c r="C1733" s="8" t="s">
        <v>42</v>
      </c>
      <c r="D173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33" s="10" t="str">
        <f>HYPERLINK("https://otsuka-europe-crm.veevavault.com/ui/#object/sent_email__v/VBL000000030200", "SE-001439642")</f>
        <v>SE-001439642</v>
      </c>
      <c r="F1733" s="11"/>
      <c r="G1733" s="12">
        <v>0</v>
      </c>
      <c r="H1733" s="12">
        <v>0</v>
      </c>
      <c r="I1733" s="12">
        <v>0</v>
      </c>
      <c r="J1733" s="11"/>
      <c r="K1733" s="12">
        <v>0</v>
      </c>
      <c r="L173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33" s="10" t="str">
        <f t="shared" si="47"/>
        <v>giada.camassa@outsuka.it</v>
      </c>
      <c r="N1733" s="13">
        <v>46209.398020833331</v>
      </c>
      <c r="O1733" s="14" t="str">
        <f>HYPERLINK("https://otsuka-europe-crm.veevavault.com/ui/#object/email_activity__v/V8C000000043433", "EN-002102400")</f>
        <v>EN-002102400</v>
      </c>
    </row>
    <row r="1734" spans="1:15" ht="64" x14ac:dyDescent="0.2">
      <c r="A1734" s="7" t="str">
        <f>HYPERLINK("https://otsuka-europe-crm.veevavault.com/ui/#object/account__v/V4TZ025E86FK8AA", "SILVIA MANCUSO")</f>
        <v>SILVIA MANCUSO</v>
      </c>
      <c r="B1734" s="7" t="str">
        <f t="shared" si="46"/>
        <v>IT</v>
      </c>
      <c r="C1734" s="8" t="s">
        <v>42</v>
      </c>
      <c r="D173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34" s="10" t="str">
        <f>HYPERLINK("https://otsuka-europe-crm.veevavault.com/ui/#object/sent_email__v/VBL000000031294", "SE-001439643")</f>
        <v>SE-001439643</v>
      </c>
      <c r="F1734" s="11"/>
      <c r="G1734" s="12">
        <v>0</v>
      </c>
      <c r="H1734" s="12">
        <v>0</v>
      </c>
      <c r="I1734" s="12">
        <v>0</v>
      </c>
      <c r="J1734" s="11"/>
      <c r="K1734" s="12">
        <v>0</v>
      </c>
      <c r="L173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34" s="10" t="str">
        <f t="shared" si="47"/>
        <v>giada.camassa@outsuka.it</v>
      </c>
      <c r="N1734" s="13">
        <v>46209.398275462961</v>
      </c>
      <c r="O1734" s="14" t="str">
        <f>HYPERLINK("https://otsuka-europe-crm.veevavault.com/ui/#object/email_activity__v/V8C000000044412", "EN-002102403")</f>
        <v>EN-002102403</v>
      </c>
    </row>
    <row r="1735" spans="1:15" ht="64" x14ac:dyDescent="0.2">
      <c r="A1735" s="7" t="str">
        <f>HYPERLINK("https://otsuka-europe-crm.veevavault.com/ui/#object/account__v/V4TZ025E83K1VAF", "ANNALISA MARINO")</f>
        <v>ANNALISA MARINO</v>
      </c>
      <c r="B1735" s="7" t="str">
        <f t="shared" si="46"/>
        <v>IT</v>
      </c>
      <c r="C1735" s="8" t="s">
        <v>42</v>
      </c>
      <c r="D1735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35" s="10" t="str">
        <f>HYPERLINK("https://otsuka-europe-crm.veevavault.com/ui/#object/sent_email__v/VBL000000031295", "SE-001439644")</f>
        <v>SE-001439644</v>
      </c>
      <c r="F1735" s="11"/>
      <c r="G1735" s="12">
        <v>0</v>
      </c>
      <c r="H1735" s="12">
        <v>0</v>
      </c>
      <c r="I1735" s="12">
        <v>0</v>
      </c>
      <c r="J1735" s="11"/>
      <c r="K1735" s="12">
        <v>0</v>
      </c>
      <c r="L1735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35" s="10" t="str">
        <f t="shared" si="47"/>
        <v>giada.camassa@outsuka.it</v>
      </c>
      <c r="N1735" s="13">
        <v>46209.398576388892</v>
      </c>
      <c r="O1735" s="14" t="str">
        <f>HYPERLINK("https://otsuka-europe-crm.veevavault.com/ui/#object/email_activity__v/V8C000000043437", "EN-002102405")</f>
        <v>EN-002102405</v>
      </c>
    </row>
    <row r="1736" spans="1:15" ht="64" x14ac:dyDescent="0.2">
      <c r="A1736" s="7" t="str">
        <f>HYPERLINK("https://otsuka-europe-crm.veevavault.com/ui/#object/account__v/V4TZ04ASGBNYFQ7", "DANIELE MAURO")</f>
        <v>DANIELE MAURO</v>
      </c>
      <c r="B1736" s="7" t="str">
        <f t="shared" si="46"/>
        <v>IT</v>
      </c>
      <c r="C1736" s="8" t="s">
        <v>42</v>
      </c>
      <c r="D173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36" s="10" t="str">
        <f>HYPERLINK("https://otsuka-europe-crm.veevavault.com/ui/#object/sent_email__v/VBL000000031296", "SE-001439645")</f>
        <v>SE-001439645</v>
      </c>
      <c r="F1736" s="11"/>
      <c r="G1736" s="12">
        <v>0</v>
      </c>
      <c r="H1736" s="12">
        <v>0</v>
      </c>
      <c r="I1736" s="12">
        <v>0</v>
      </c>
      <c r="J1736" s="11"/>
      <c r="K1736" s="12">
        <v>0</v>
      </c>
      <c r="L173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36" s="10" t="str">
        <f t="shared" si="47"/>
        <v>giada.camassa@outsuka.it</v>
      </c>
      <c r="N1736" s="13">
        <v>46209.398611111108</v>
      </c>
      <c r="O1736" s="14" t="str">
        <f>HYPERLINK("https://otsuka-europe-crm.veevavault.com/ui/#object/email_activity__v/V8C000000043436", "EN-002102404")</f>
        <v>EN-002102404</v>
      </c>
    </row>
    <row r="1737" spans="1:15" ht="16" x14ac:dyDescent="0.2">
      <c r="A1737" s="18" t="str">
        <f>HYPERLINK("https://otsuka-europe-crm.veevavault.com/ui/#object/account__v/V4TZ04ASGC0197N", "CATERINA NACLERIO")</f>
        <v>CATERINA NACLERIO</v>
      </c>
      <c r="B1737" s="18" t="str">
        <f t="shared" si="46"/>
        <v>IT</v>
      </c>
      <c r="C1737" s="20" t="s">
        <v>42</v>
      </c>
      <c r="D173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37" s="22" t="str">
        <f>HYPERLINK("https://otsuka-europe-crm.veevavault.com/ui/#object/sent_email__v/VBL000000031297", "SE-001439646")</f>
        <v>SE-001439646</v>
      </c>
      <c r="F1737" s="25">
        <v>46209.399351851855</v>
      </c>
      <c r="G1737" s="24">
        <v>1</v>
      </c>
      <c r="H1737" s="24">
        <v>1</v>
      </c>
      <c r="I1737" s="24">
        <v>0</v>
      </c>
      <c r="J1737" s="23"/>
      <c r="K1737" s="24">
        <v>0</v>
      </c>
      <c r="L173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37" s="22" t="str">
        <f t="shared" si="47"/>
        <v>giada.camassa@outsuka.it</v>
      </c>
      <c r="N1737" s="25">
        <v>46209.398958333331</v>
      </c>
      <c r="O1737" s="14" t="str">
        <f>HYPERLINK("https://otsuka-europe-crm.veevavault.com/ui/#object/email_activity__v/V8C000000043438", "EN-002102406")</f>
        <v>EN-002102406</v>
      </c>
    </row>
    <row r="1738" spans="1:15" ht="16" x14ac:dyDescent="0.2">
      <c r="A1738" s="19"/>
      <c r="B1738" s="19"/>
      <c r="C1738" s="19"/>
      <c r="D1738" s="19"/>
      <c r="E1738" s="19"/>
      <c r="F1738" s="19"/>
      <c r="G1738" s="19"/>
      <c r="H1738" s="19"/>
      <c r="I1738" s="19"/>
      <c r="J1738" s="19"/>
      <c r="K1738" s="19"/>
      <c r="L1738" s="19"/>
      <c r="M1738" s="19"/>
      <c r="N1738" s="19"/>
      <c r="O1738" s="14" t="str">
        <f>HYPERLINK("https://otsuka-europe-crm.veevavault.com/ui/#object/email_activity__v/V8C000000043440", "EN-002102408")</f>
        <v>EN-002102408</v>
      </c>
    </row>
    <row r="1739" spans="1:15" ht="16" x14ac:dyDescent="0.2">
      <c r="A1739" s="18" t="str">
        <f>HYPERLINK("https://otsuka-europe-crm.veevavault.com/ui/#object/account__v/V4TZ025E83QZZAU", "VALERIA OREFICE")</f>
        <v>VALERIA OREFICE</v>
      </c>
      <c r="B1739" s="18" t="str">
        <f>HYPERLINK("https://otsuka-europe-crm.veevavault.com/ui/#object/vcountry__v/VENZ000004SONFQ", "IT")</f>
        <v>IT</v>
      </c>
      <c r="C1739" s="20" t="s">
        <v>42</v>
      </c>
      <c r="D1739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39" s="22" t="str">
        <f>HYPERLINK("https://otsuka-europe-crm.veevavault.com/ui/#object/sent_email__v/VBL000000030201", "SE-001439647")</f>
        <v>SE-001439647</v>
      </c>
      <c r="F1739" s="23"/>
      <c r="G1739" s="24">
        <v>0</v>
      </c>
      <c r="H1739" s="24">
        <v>0</v>
      </c>
      <c r="I1739" s="24">
        <v>1</v>
      </c>
      <c r="J1739" s="25">
        <v>46211.371944444443</v>
      </c>
      <c r="K1739" s="24">
        <v>1</v>
      </c>
      <c r="L1739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39" s="22" t="str">
        <f>HYPERLINK("mailto:giada.camassa@outsuka.it", "giada.camassa@outsuka.it")</f>
        <v>giada.camassa@outsuka.it</v>
      </c>
      <c r="N1739" s="25">
        <v>46209.399293981478</v>
      </c>
      <c r="O1739" s="14" t="str">
        <f>HYPERLINK("https://otsuka-europe-crm.veevavault.com/ui/#object/email_activity__v/V8C000000043439", "EN-002102407")</f>
        <v>EN-002102407</v>
      </c>
    </row>
    <row r="1740" spans="1:15" ht="16" x14ac:dyDescent="0.2">
      <c r="A1740" s="26"/>
      <c r="B1740" s="26"/>
      <c r="C1740" s="26"/>
      <c r="D1740" s="26"/>
      <c r="E1740" s="26"/>
      <c r="F1740" s="26"/>
      <c r="G1740" s="26"/>
      <c r="H1740" s="26"/>
      <c r="I1740" s="26"/>
      <c r="J1740" s="26"/>
      <c r="K1740" s="26"/>
      <c r="L1740" s="26"/>
      <c r="M1740" s="26"/>
      <c r="N1740" s="26"/>
      <c r="O1740" s="14" t="str">
        <f>HYPERLINK("https://otsuka-europe-crm.veevavault.com/ui/#object/email_activity__v/V8C000000044509", "EN-002102598")</f>
        <v>EN-002102598</v>
      </c>
    </row>
    <row r="1741" spans="1:15" ht="16" x14ac:dyDescent="0.2">
      <c r="A1741" s="19"/>
      <c r="B1741" s="19"/>
      <c r="C1741" s="19"/>
      <c r="D1741" s="19"/>
      <c r="E1741" s="19"/>
      <c r="F1741" s="19"/>
      <c r="G1741" s="19"/>
      <c r="H1741" s="19"/>
      <c r="I1741" s="19"/>
      <c r="J1741" s="19"/>
      <c r="K1741" s="19"/>
      <c r="L1741" s="19"/>
      <c r="M1741" s="19"/>
      <c r="N1741" s="19"/>
      <c r="O1741" s="14" t="str">
        <f>HYPERLINK("https://otsuka-europe-crm.veevavault.com/ui/#object/email_activity__v/V8C000000044787", "EN-002103153")</f>
        <v>EN-002103153</v>
      </c>
    </row>
    <row r="1742" spans="1:15" ht="64" x14ac:dyDescent="0.2">
      <c r="A1742" s="7" t="str">
        <f>HYPERLINK("https://otsuka-europe-crm.veevavault.com/ui/#object/account__v/V4TZ04ASGBUJPKN", "ANDREA PICCHIANTI DIAMANTI")</f>
        <v>ANDREA PICCHIANTI DIAMANTI</v>
      </c>
      <c r="B1742" s="7" t="str">
        <f>HYPERLINK("https://otsuka-europe-crm.veevavault.com/ui/#object/vcountry__v/VENZ000004SONFQ", "IT")</f>
        <v>IT</v>
      </c>
      <c r="C1742" s="8" t="s">
        <v>42</v>
      </c>
      <c r="D1742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42" s="10" t="str">
        <f>HYPERLINK("https://otsuka-europe-crm.veevavault.com/ui/#object/sent_email__v/VBL000000030202", "SE-001439648")</f>
        <v>SE-001439648</v>
      </c>
      <c r="F1742" s="11"/>
      <c r="G1742" s="12">
        <v>0</v>
      </c>
      <c r="H1742" s="12">
        <v>0</v>
      </c>
      <c r="I1742" s="12">
        <v>0</v>
      </c>
      <c r="J1742" s="11"/>
      <c r="K1742" s="12">
        <v>0</v>
      </c>
      <c r="L1742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42" s="10" t="str">
        <f>HYPERLINK("mailto:giada.camassa@outsuka.it", "giada.camassa@outsuka.it")</f>
        <v>giada.camassa@outsuka.it</v>
      </c>
      <c r="N1742" s="13">
        <v>46209.399664351855</v>
      </c>
      <c r="O1742" s="14" t="str">
        <f>HYPERLINK("https://otsuka-europe-crm.veevavault.com/ui/#object/email_activity__v/V8C000000043441", "EN-002102409")</f>
        <v>EN-002102409</v>
      </c>
    </row>
    <row r="1743" spans="1:15" ht="64" x14ac:dyDescent="0.2">
      <c r="A1743" s="7" t="str">
        <f>HYPERLINK("https://otsuka-europe-crm.veevavault.com/ui/#object/account__v/V4TZ04ASGBNL7LI", "ALESSANDRA POMPA")</f>
        <v>ALESSANDRA POMPA</v>
      </c>
      <c r="B1743" s="7" t="str">
        <f>HYPERLINK("https://otsuka-europe-crm.veevavault.com/ui/#object/vcountry__v/VENZ000004SONFQ", "IT")</f>
        <v>IT</v>
      </c>
      <c r="C1743" s="8" t="s">
        <v>42</v>
      </c>
      <c r="D174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43" s="10" t="str">
        <f>HYPERLINK("https://otsuka-europe-crm.veevavault.com/ui/#object/sent_email__v/VBL000000030203", "SE-001439649")</f>
        <v>SE-001439649</v>
      </c>
      <c r="F1743" s="11"/>
      <c r="G1743" s="12">
        <v>0</v>
      </c>
      <c r="H1743" s="12">
        <v>0</v>
      </c>
      <c r="I1743" s="12">
        <v>0</v>
      </c>
      <c r="J1743" s="11"/>
      <c r="K1743" s="12">
        <v>0</v>
      </c>
      <c r="L174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43" s="10" t="str">
        <f>HYPERLINK("mailto:giada.camassa@outsuka.it", "giada.camassa@outsuka.it")</f>
        <v>giada.camassa@outsuka.it</v>
      </c>
      <c r="N1743" s="13">
        <v>46209.4</v>
      </c>
      <c r="O1743" s="14" t="str">
        <f>HYPERLINK("https://otsuka-europe-crm.veevavault.com/ui/#object/email_activity__v/V8C000000043442", "EN-002102410")</f>
        <v>EN-002102410</v>
      </c>
    </row>
    <row r="1744" spans="1:15" ht="16" x14ac:dyDescent="0.2">
      <c r="A1744" s="18" t="str">
        <f>HYPERLINK("https://otsuka-europe-crm.veevavault.com/ui/#object/account__v/V4TZ04ASGBCJYE1", "IMMACOLATA PREVETE")</f>
        <v>IMMACOLATA PREVETE</v>
      </c>
      <c r="B1744" s="18" t="str">
        <f>HYPERLINK("https://otsuka-europe-crm.veevavault.com/ui/#object/vcountry__v/VENZ000004SONFQ", "IT")</f>
        <v>IT</v>
      </c>
      <c r="C1744" s="20" t="s">
        <v>42</v>
      </c>
      <c r="D1744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44" s="22" t="str">
        <f>HYPERLINK("https://otsuka-europe-crm.veevavault.com/ui/#object/sent_email__v/VBL000000030204", "SE-001439650")</f>
        <v>SE-001439650</v>
      </c>
      <c r="F1744" s="25">
        <v>46209.400543981479</v>
      </c>
      <c r="G1744" s="24">
        <v>1</v>
      </c>
      <c r="H1744" s="24">
        <v>1</v>
      </c>
      <c r="I1744" s="24">
        <v>0</v>
      </c>
      <c r="J1744" s="23"/>
      <c r="K1744" s="24">
        <v>0</v>
      </c>
      <c r="L1744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44" s="22" t="str">
        <f>HYPERLINK("mailto:giada.camassa@outsuka.it", "giada.camassa@outsuka.it")</f>
        <v>giada.camassa@outsuka.it</v>
      </c>
      <c r="N1744" s="25">
        <v>46209.400092592594</v>
      </c>
      <c r="O1744" s="14" t="str">
        <f>HYPERLINK("https://otsuka-europe-crm.veevavault.com/ui/#object/email_activity__v/V8C000000043443", "EN-002102411")</f>
        <v>EN-002102411</v>
      </c>
    </row>
    <row r="1745" spans="1:15" ht="16" x14ac:dyDescent="0.2">
      <c r="A1745" s="19"/>
      <c r="B1745" s="19"/>
      <c r="C1745" s="19"/>
      <c r="D1745" s="19"/>
      <c r="E1745" s="19"/>
      <c r="F1745" s="19"/>
      <c r="G1745" s="19"/>
      <c r="H1745" s="19"/>
      <c r="I1745" s="19"/>
      <c r="J1745" s="19"/>
      <c r="K1745" s="19"/>
      <c r="L1745" s="19"/>
      <c r="M1745" s="19"/>
      <c r="N1745" s="19"/>
      <c r="O1745" s="14" t="str">
        <f>HYPERLINK("https://otsuka-europe-crm.veevavault.com/ui/#object/email_activity__v/V8C000000043447", "EN-002102415")</f>
        <v>EN-002102415</v>
      </c>
    </row>
    <row r="1746" spans="1:15" ht="64" x14ac:dyDescent="0.2">
      <c r="A1746" s="7" t="str">
        <f>HYPERLINK("https://otsuka-europe-crm.veevavault.com/ui/#object/account__v/V4TZ025E833A1BQ", "ILARIA PUCA")</f>
        <v>ILARIA PUCA</v>
      </c>
      <c r="B1746" s="7" t="str">
        <f>HYPERLINK("https://otsuka-europe-crm.veevavault.com/ui/#object/vcountry__v/VENZ000004SONFQ", "IT")</f>
        <v>IT</v>
      </c>
      <c r="C1746" s="8" t="s">
        <v>42</v>
      </c>
      <c r="D1746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46" s="10" t="str">
        <f>HYPERLINK("https://otsuka-europe-crm.veevavault.com/ui/#object/sent_email__v/VBL000000030205", "SE-001439651")</f>
        <v>SE-001439651</v>
      </c>
      <c r="F1746" s="11"/>
      <c r="G1746" s="12">
        <v>0</v>
      </c>
      <c r="H1746" s="12">
        <v>0</v>
      </c>
      <c r="I1746" s="12">
        <v>0</v>
      </c>
      <c r="J1746" s="11"/>
      <c r="K1746" s="12">
        <v>0</v>
      </c>
      <c r="L1746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46" s="10" t="str">
        <f>HYPERLINK("mailto:giada.camassa@outsuka.it", "giada.camassa@outsuka.it")</f>
        <v>giada.camassa@outsuka.it</v>
      </c>
      <c r="N1746" s="13">
        <v>46209.400324074071</v>
      </c>
      <c r="O1746" s="14" t="str">
        <f>HYPERLINK("https://otsuka-europe-crm.veevavault.com/ui/#object/email_activity__v/V8C000000043444", "EN-002102412")</f>
        <v>EN-002102412</v>
      </c>
    </row>
    <row r="1747" spans="1:15" ht="16" x14ac:dyDescent="0.2">
      <c r="A1747" s="18" t="str">
        <f>HYPERLINK("https://otsuka-europe-crm.veevavault.com/ui/#object/account__v/V4TZ04ASGDUDWJR", "GIANLUCA SANTOBONI")</f>
        <v>GIANLUCA SANTOBONI</v>
      </c>
      <c r="B1747" s="18" t="str">
        <f>HYPERLINK("https://otsuka-europe-crm.veevavault.com/ui/#object/vcountry__v/VENZ000004SONFQ", "IT")</f>
        <v>IT</v>
      </c>
      <c r="C1747" s="20" t="s">
        <v>42</v>
      </c>
      <c r="D174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47" s="22" t="str">
        <f>HYPERLINK("https://otsuka-europe-crm.veevavault.com/ui/#object/sent_email__v/VBL000000031298", "SE-001439652")</f>
        <v>SE-001439652</v>
      </c>
      <c r="F1747" s="25">
        <v>46213.729259259257</v>
      </c>
      <c r="G1747" s="24">
        <v>1</v>
      </c>
      <c r="H1747" s="24">
        <v>1</v>
      </c>
      <c r="I1747" s="24">
        <v>0</v>
      </c>
      <c r="J1747" s="23"/>
      <c r="K1747" s="24">
        <v>0</v>
      </c>
      <c r="L174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47" s="22" t="str">
        <f>HYPERLINK("mailto:giada.camassa@outsuka.it", "giada.camassa@outsuka.it")</f>
        <v>giada.camassa@outsuka.it</v>
      </c>
      <c r="N1747" s="25">
        <v>46209.400520833333</v>
      </c>
      <c r="O1747" s="14" t="str">
        <f>HYPERLINK("https://otsuka-europe-crm.veevavault.com/ui/#object/email_activity__v/V8C000000043446", "EN-002102414")</f>
        <v>EN-002102414</v>
      </c>
    </row>
    <row r="1748" spans="1:15" ht="16" x14ac:dyDescent="0.2">
      <c r="A1748" s="26"/>
      <c r="B1748" s="26"/>
      <c r="C1748" s="26"/>
      <c r="D1748" s="26"/>
      <c r="E1748" s="26"/>
      <c r="F1748" s="26"/>
      <c r="G1748" s="26"/>
      <c r="H1748" s="26"/>
      <c r="I1748" s="26"/>
      <c r="J1748" s="26"/>
      <c r="K1748" s="26"/>
      <c r="L1748" s="26"/>
      <c r="M1748" s="26"/>
      <c r="N1748" s="26"/>
      <c r="O1748" s="14" t="str">
        <f>HYPERLINK("https://otsuka-europe-crm.veevavault.com/ui/#object/email_activity__v/V8C000000048287", "EN-002104818")</f>
        <v>EN-002104818</v>
      </c>
    </row>
    <row r="1749" spans="1:15" ht="16" x14ac:dyDescent="0.2">
      <c r="A1749" s="19"/>
      <c r="B1749" s="19"/>
      <c r="C1749" s="19"/>
      <c r="D1749" s="19"/>
      <c r="E1749" s="19"/>
      <c r="F1749" s="19"/>
      <c r="G1749" s="19"/>
      <c r="H1749" s="19"/>
      <c r="I1749" s="19"/>
      <c r="J1749" s="19"/>
      <c r="K1749" s="19"/>
      <c r="L1749" s="19"/>
      <c r="M1749" s="19"/>
      <c r="N1749" s="19"/>
      <c r="O1749" s="14" t="str">
        <f>HYPERLINK("https://otsuka-europe-crm.veevavault.com/ui/#object/email_activity__v/V8C000000049064", "EN-002104992")</f>
        <v>EN-002104992</v>
      </c>
    </row>
    <row r="1750" spans="1:15" ht="16" x14ac:dyDescent="0.2">
      <c r="A1750" s="18" t="str">
        <f>HYPERLINK("https://otsuka-europe-crm.veevavault.com/ui/#object/account__v/V4TZ04ASGBJUHK4", "CHIARA SCIROCCO")</f>
        <v>CHIARA SCIROCCO</v>
      </c>
      <c r="B1750" s="18" t="str">
        <f>HYPERLINK("https://otsuka-europe-crm.veevavault.com/ui/#object/vcountry__v/VENZ000004SONFQ", "IT")</f>
        <v>IT</v>
      </c>
      <c r="C1750" s="20" t="s">
        <v>42</v>
      </c>
      <c r="D1750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50" s="22" t="str">
        <f>HYPERLINK("https://otsuka-europe-crm.veevavault.com/ui/#object/sent_email__v/VBL000000031299", "SE-001439653")</f>
        <v>SE-001439653</v>
      </c>
      <c r="F1750" s="25">
        <v>46209.401064814818</v>
      </c>
      <c r="G1750" s="24">
        <v>1</v>
      </c>
      <c r="H1750" s="24">
        <v>1</v>
      </c>
      <c r="I1750" s="24">
        <v>0</v>
      </c>
      <c r="J1750" s="23"/>
      <c r="K1750" s="24">
        <v>0</v>
      </c>
      <c r="L1750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50" s="22" t="str">
        <f>HYPERLINK("mailto:giada.camassa@outsuka.it", "giada.camassa@outsuka.it")</f>
        <v>giada.camassa@outsuka.it</v>
      </c>
      <c r="N1750" s="25">
        <v>46209.400856481479</v>
      </c>
      <c r="O1750" s="14" t="str">
        <f>HYPERLINK("https://otsuka-europe-crm.veevavault.com/ui/#object/email_activity__v/V8C000000043449", "EN-002102418")</f>
        <v>EN-002102418</v>
      </c>
    </row>
    <row r="1751" spans="1:15" ht="16" x14ac:dyDescent="0.2">
      <c r="A1751" s="19"/>
      <c r="B1751" s="19"/>
      <c r="C1751" s="19"/>
      <c r="D1751" s="19"/>
      <c r="E1751" s="19"/>
      <c r="F1751" s="19"/>
      <c r="G1751" s="19"/>
      <c r="H1751" s="19"/>
      <c r="I1751" s="19"/>
      <c r="J1751" s="19"/>
      <c r="K1751" s="19"/>
      <c r="L1751" s="19"/>
      <c r="M1751" s="19"/>
      <c r="N1751" s="19"/>
      <c r="O1751" s="14" t="str">
        <f>HYPERLINK("https://otsuka-europe-crm.veevavault.com/ui/#object/email_activity__v/V8C000000044413", "EN-002102416")</f>
        <v>EN-002102416</v>
      </c>
    </row>
    <row r="1752" spans="1:15" ht="16" x14ac:dyDescent="0.2">
      <c r="A1752" s="18" t="str">
        <f>HYPERLINK("https://otsuka-europe-crm.veevavault.com/ui/#object/account__v/V4TZ025E84GCU9J", "LIVIA MARIA SORRENTINO")</f>
        <v>LIVIA MARIA SORRENTINO</v>
      </c>
      <c r="B1752" s="18" t="str">
        <f>HYPERLINK("https://otsuka-europe-crm.veevavault.com/ui/#object/vcountry__v/VENZ000004SONFQ", "IT")</f>
        <v>IT</v>
      </c>
      <c r="C1752" s="20" t="s">
        <v>42</v>
      </c>
      <c r="D1752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752" s="22" t="str">
        <f>HYPERLINK("https://otsuka-europe-crm.veevavault.com/ui/#object/sent_email__v/VBL000000031300", "SE-001439654")</f>
        <v>SE-001439654</v>
      </c>
      <c r="F1752" s="25">
        <v>46209.40116898148</v>
      </c>
      <c r="G1752" s="24">
        <v>1</v>
      </c>
      <c r="H1752" s="24">
        <v>1</v>
      </c>
      <c r="I1752" s="24">
        <v>0</v>
      </c>
      <c r="J1752" s="23"/>
      <c r="K1752" s="24">
        <v>0</v>
      </c>
      <c r="L1752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752" s="22" t="str">
        <f>HYPERLINK("mailto:giada.camassa@outsuka.it", "giada.camassa@outsuka.it")</f>
        <v>giada.camassa@outsuka.it</v>
      </c>
      <c r="N1752" s="25">
        <v>46209.400914351849</v>
      </c>
      <c r="O1752" s="14" t="str">
        <f>HYPERLINK("https://otsuka-europe-crm.veevavault.com/ui/#object/email_activity__v/V8C000000043450", "EN-002102419")</f>
        <v>EN-002102419</v>
      </c>
    </row>
    <row r="1753" spans="1:15" ht="16" x14ac:dyDescent="0.2">
      <c r="A1753" s="19"/>
      <c r="B1753" s="19"/>
      <c r="C1753" s="19"/>
      <c r="D1753" s="19"/>
      <c r="E1753" s="19"/>
      <c r="F1753" s="19"/>
      <c r="G1753" s="19"/>
      <c r="H1753" s="19"/>
      <c r="I1753" s="19"/>
      <c r="J1753" s="19"/>
      <c r="K1753" s="19"/>
      <c r="L1753" s="19"/>
      <c r="M1753" s="19"/>
      <c r="N1753" s="19"/>
      <c r="O1753" s="14" t="str">
        <f>HYPERLINK("https://otsuka-europe-crm.veevavault.com/ui/#object/email_activity__v/V8C000000043451", "EN-002102420")</f>
        <v>EN-002102420</v>
      </c>
    </row>
    <row r="1754" spans="1:15" ht="16" x14ac:dyDescent="0.2">
      <c r="A1754" s="18" t="str">
        <f>HYPERLINK("https://otsuka-europe-crm.veevavault.com/ui/#object/account__v/V4TZ00000633HTB", "HADI ABADIE")</f>
        <v>HADI ABADIE</v>
      </c>
      <c r="B1754" s="18" t="str">
        <f>HYPERLINK("https://otsuka-europe-crm.veevavault.com/ui/#object/vcountry__v/VENZ000004SONFA", "FR")</f>
        <v>FR</v>
      </c>
      <c r="C1754" s="20" t="s">
        <v>40</v>
      </c>
      <c r="D1754" s="21" t="str">
        <f>HYPERLINK("https://otsuka-europe-crm.veevavault.com/ui/#object/approved_document__v/V5OZ04ASG4G02Y6", "INVITATION_VAD_2023")</f>
        <v>INVITATION_VAD_2023</v>
      </c>
      <c r="E1754" s="22" t="str">
        <f>HYPERLINK("https://otsuka-europe-crm.veevavault.com/ui/#object/sent_email__v/VBL000000030206", "SE-001439655")</f>
        <v>SE-001439655</v>
      </c>
      <c r="F1754" s="25">
        <v>46209.424444444441</v>
      </c>
      <c r="G1754" s="24">
        <v>1</v>
      </c>
      <c r="H1754" s="24">
        <v>1</v>
      </c>
      <c r="I1754" s="24">
        <v>0</v>
      </c>
      <c r="J1754" s="23"/>
      <c r="K1754" s="24">
        <v>0</v>
      </c>
      <c r="L1754" s="22" t="str">
        <f>HYPERLINK("https://otsuka-europe-crm.veevavault.com/ui/#object/approved_document__v/V5OZ04ASG4G02Y6", "INVITATION_VAD_2023")</f>
        <v>INVITATION_VAD_2023</v>
      </c>
      <c r="M1754" s="22" t="str">
        <f>HYPERLINK("mailto:cchevalliermiserole@crm.otsuka-europe.com", "cchevalliermiserole@crm.otsuka-europe.com")</f>
        <v>cchevalliermiserole@crm.otsuka-europe.com</v>
      </c>
      <c r="N1754" s="25">
        <v>46209.417754629627</v>
      </c>
      <c r="O1754" s="14" t="str">
        <f>HYPERLINK("https://otsuka-europe-crm.veevavault.com/ui/#object/email_activity__v/V8C000000043458", "EN-002102432")</f>
        <v>EN-002102432</v>
      </c>
    </row>
    <row r="1755" spans="1:15" ht="16" x14ac:dyDescent="0.2">
      <c r="A1755" s="26"/>
      <c r="B1755" s="26"/>
      <c r="C1755" s="26"/>
      <c r="D1755" s="26"/>
      <c r="E1755" s="26"/>
      <c r="F1755" s="26"/>
      <c r="G1755" s="26"/>
      <c r="H1755" s="26"/>
      <c r="I1755" s="26"/>
      <c r="J1755" s="26"/>
      <c r="K1755" s="26"/>
      <c r="L1755" s="26"/>
      <c r="M1755" s="26"/>
      <c r="N1755" s="26"/>
      <c r="O1755" s="14" t="str">
        <f>HYPERLINK("https://otsuka-europe-crm.veevavault.com/ui/#object/email_activity__v/V8C000000044420", "EN-002102434")</f>
        <v>EN-002102434</v>
      </c>
    </row>
    <row r="1756" spans="1:15" ht="16" x14ac:dyDescent="0.2">
      <c r="A1756" s="26"/>
      <c r="B1756" s="26"/>
      <c r="C1756" s="26"/>
      <c r="D1756" s="26"/>
      <c r="E1756" s="26"/>
      <c r="F1756" s="26"/>
      <c r="G1756" s="26"/>
      <c r="H1756" s="26"/>
      <c r="I1756" s="26"/>
      <c r="J1756" s="26"/>
      <c r="K1756" s="26"/>
      <c r="L1756" s="26"/>
      <c r="M1756" s="26"/>
      <c r="N1756" s="26"/>
      <c r="O1756" s="14" t="str">
        <f>HYPERLINK("https://otsuka-europe-crm.veevavault.com/ui/#object/email_activity__v/V8C00000004B246", "EN-002107145")</f>
        <v>EN-002107145</v>
      </c>
    </row>
    <row r="1757" spans="1:15" ht="16" x14ac:dyDescent="0.2">
      <c r="A1757" s="19"/>
      <c r="B1757" s="19"/>
      <c r="C1757" s="19"/>
      <c r="D1757" s="19"/>
      <c r="E1757" s="19"/>
      <c r="F1757" s="19"/>
      <c r="G1757" s="19"/>
      <c r="H1757" s="19"/>
      <c r="I1757" s="19"/>
      <c r="J1757" s="19"/>
      <c r="K1757" s="19"/>
      <c r="L1757" s="19"/>
      <c r="M1757" s="19"/>
      <c r="N1757" s="19"/>
      <c r="O1757" s="14" t="str">
        <f>HYPERLINK("https://otsuka-europe-crm.veevavault.com/ui/#object/email_activity__v/V8C00000004D455", "EN-002108991")</f>
        <v>EN-002108991</v>
      </c>
    </row>
    <row r="1758" spans="1:15" ht="16" x14ac:dyDescent="0.2">
      <c r="A1758" s="18" t="str">
        <f>HYPERLINK("https://otsuka-europe-crm.veevavault.com/ui/#object/account__v/V4TZ0000062T5MW", "Ralf Kallies")</f>
        <v>Ralf Kallies</v>
      </c>
      <c r="B1758" s="18" t="str">
        <f>HYPERLINK("https://otsuka-europe-crm.veevavault.com/ui/#object/vcountry__v/VENZ000004SONFP", "DE")</f>
        <v>DE</v>
      </c>
      <c r="C1758" s="20" t="s">
        <v>43</v>
      </c>
      <c r="D1758" s="21" t="str">
        <f>HYPERLINK("https://otsuka-europe-crm.veevavault.com/ui/#object/approved_document__v/V5OZ025E82SVR69", "VAE DE AM960 - Switch Oral - 960_2025-09")</f>
        <v>VAE DE AM960 - Switch Oral - 960_2025-09</v>
      </c>
      <c r="E1758" s="22" t="str">
        <f>HYPERLINK("https://otsuka-europe-crm.veevavault.com/ui/#object/sent_email__v/VBL000000031301", "SE-001439656")</f>
        <v>SE-001439656</v>
      </c>
      <c r="F1758" s="25">
        <v>46209.454097222224</v>
      </c>
      <c r="G1758" s="24">
        <v>1</v>
      </c>
      <c r="H1758" s="24">
        <v>2</v>
      </c>
      <c r="I1758" s="24">
        <v>1</v>
      </c>
      <c r="J1758" s="25">
        <v>46209.455972222226</v>
      </c>
      <c r="K1758" s="24">
        <v>3</v>
      </c>
      <c r="L1758" s="22" t="str">
        <f>HYPERLINK("https://otsuka-europe-crm.veevavault.com/ui/#object/approved_document__v/V5OZ025E82SVR69", "VAE DE AM960 - Switch Oral - 960_2025-09")</f>
        <v>VAE DE AM960 - Switch Oral - 960_2025-09</v>
      </c>
      <c r="M1758" s="22" t="str">
        <f>HYPERLINK("mailto:kwanczek@crm.otsuka-europe.com", "kwanczek@crm.otsuka-europe.com")</f>
        <v>kwanczek@crm.otsuka-europe.com</v>
      </c>
      <c r="N1758" s="25">
        <v>46209.453935185185</v>
      </c>
      <c r="O1758" s="14" t="str">
        <f>HYPERLINK("https://otsuka-europe-crm.veevavault.com/ui/#object/email_activity__v/V8C000000043465", "EN-002102454")</f>
        <v>EN-002102454</v>
      </c>
    </row>
    <row r="1759" spans="1:15" ht="16" x14ac:dyDescent="0.2">
      <c r="A1759" s="26"/>
      <c r="B1759" s="26"/>
      <c r="C1759" s="26"/>
      <c r="D1759" s="26"/>
      <c r="E1759" s="26"/>
      <c r="F1759" s="26"/>
      <c r="G1759" s="26"/>
      <c r="H1759" s="26"/>
      <c r="I1759" s="26"/>
      <c r="J1759" s="26"/>
      <c r="K1759" s="26"/>
      <c r="L1759" s="26"/>
      <c r="M1759" s="26"/>
      <c r="N1759" s="26"/>
      <c r="O1759" s="14" t="str">
        <f>HYPERLINK("https://otsuka-europe-crm.veevavault.com/ui/#object/email_activity__v/V8C000000043466", "EN-002102452")</f>
        <v>EN-002102452</v>
      </c>
    </row>
    <row r="1760" spans="1:15" ht="16" x14ac:dyDescent="0.2">
      <c r="A1760" s="26"/>
      <c r="B1760" s="26"/>
      <c r="C1760" s="26"/>
      <c r="D1760" s="26"/>
      <c r="E1760" s="26"/>
      <c r="F1760" s="26"/>
      <c r="G1760" s="26"/>
      <c r="H1760" s="26"/>
      <c r="I1760" s="26"/>
      <c r="J1760" s="26"/>
      <c r="K1760" s="26"/>
      <c r="L1760" s="26"/>
      <c r="M1760" s="26"/>
      <c r="N1760" s="26"/>
      <c r="O1760" s="14" t="str">
        <f>HYPERLINK("https://otsuka-europe-crm.veevavault.com/ui/#object/email_activity__v/V8C000000044431", "EN-002102451")</f>
        <v>EN-002102451</v>
      </c>
    </row>
    <row r="1761" spans="1:15" ht="16" x14ac:dyDescent="0.2">
      <c r="A1761" s="26"/>
      <c r="B1761" s="26"/>
      <c r="C1761" s="26"/>
      <c r="D1761" s="26"/>
      <c r="E1761" s="26"/>
      <c r="F1761" s="26"/>
      <c r="G1761" s="26"/>
      <c r="H1761" s="26"/>
      <c r="I1761" s="26"/>
      <c r="J1761" s="26"/>
      <c r="K1761" s="26"/>
      <c r="L1761" s="26"/>
      <c r="M1761" s="26"/>
      <c r="N1761" s="26"/>
      <c r="O1761" s="14" t="str">
        <f>HYPERLINK("https://otsuka-europe-crm.veevavault.com/ui/#object/email_activity__v/V8C000000044432", "EN-002102455")</f>
        <v>EN-002102455</v>
      </c>
    </row>
    <row r="1762" spans="1:15" ht="16" x14ac:dyDescent="0.2">
      <c r="A1762" s="26"/>
      <c r="B1762" s="26"/>
      <c r="C1762" s="26"/>
      <c r="D1762" s="26"/>
      <c r="E1762" s="26"/>
      <c r="F1762" s="26"/>
      <c r="G1762" s="26"/>
      <c r="H1762" s="26"/>
      <c r="I1762" s="26"/>
      <c r="J1762" s="26"/>
      <c r="K1762" s="26"/>
      <c r="L1762" s="26"/>
      <c r="M1762" s="26"/>
      <c r="N1762" s="26"/>
      <c r="O1762" s="14" t="str">
        <f>HYPERLINK("https://otsuka-europe-crm.veevavault.com/ui/#object/email_activity__v/V8C000000044433", "EN-002102453")</f>
        <v>EN-002102453</v>
      </c>
    </row>
    <row r="1763" spans="1:15" ht="16" x14ac:dyDescent="0.2">
      <c r="A1763" s="19"/>
      <c r="B1763" s="19"/>
      <c r="C1763" s="19"/>
      <c r="D1763" s="19"/>
      <c r="E1763" s="19"/>
      <c r="F1763" s="19"/>
      <c r="G1763" s="19"/>
      <c r="H1763" s="19"/>
      <c r="I1763" s="19"/>
      <c r="J1763" s="19"/>
      <c r="K1763" s="19"/>
      <c r="L1763" s="19"/>
      <c r="M1763" s="19"/>
      <c r="N1763" s="19"/>
      <c r="O1763" s="14" t="str">
        <f>HYPERLINK("https://otsuka-europe-crm.veevavault.com/ui/#object/email_activity__v/V8C000000044434", "EN-002102456")</f>
        <v>EN-002102456</v>
      </c>
    </row>
    <row r="1764" spans="1:15" ht="64" x14ac:dyDescent="0.2">
      <c r="A1764" s="7" t="str">
        <f>HYPERLINK("https://otsuka-europe-crm.veevavault.com/ui/#object/account__v/V4TZ025E83652Z3", "PIER GIACOMO CERASUOLO")</f>
        <v>PIER GIACOMO CERASUOLO</v>
      </c>
      <c r="B1764" s="7" t="str">
        <f>HYPERLINK("https://otsuka-europe-crm.veevavault.com/ui/#object/vcountry__v/VENZ000004SONFQ", "IT")</f>
        <v>IT</v>
      </c>
      <c r="C1764" s="8" t="s">
        <v>42</v>
      </c>
      <c r="D176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764" s="10" t="str">
        <f>HYPERLINK("https://otsuka-europe-crm.veevavault.com/ui/#object/sent_email__v/VBL000000031302", "SE-001439657")</f>
        <v>SE-001439657</v>
      </c>
      <c r="F1764" s="11"/>
      <c r="G1764" s="12">
        <v>0</v>
      </c>
      <c r="H1764" s="12">
        <v>0</v>
      </c>
      <c r="I1764" s="12">
        <v>0</v>
      </c>
      <c r="J1764" s="11"/>
      <c r="K1764" s="12">
        <v>0</v>
      </c>
      <c r="L176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764" s="10" t="str">
        <f>HYPERLINK("mailto:giada.camassa@outsuka.it", "giada.camassa@outsuka.it")</f>
        <v>giada.camassa@outsuka.it</v>
      </c>
      <c r="N1764" s="13">
        <v>46209.472546296296</v>
      </c>
      <c r="O1764" s="14" t="str">
        <f>HYPERLINK("https://otsuka-europe-crm.veevavault.com/ui/#object/email_activity__v/V8C000000043470", "EN-002102471")</f>
        <v>EN-002102471</v>
      </c>
    </row>
    <row r="1765" spans="1:15" ht="16" x14ac:dyDescent="0.2">
      <c r="A1765" s="18" t="str">
        <f>HYPERLINK("https://otsuka-europe-crm.veevavault.com/ui/#object/account__v/V4TZ06G6O9VG5MA", "ESPERANZA CORBACHO NAVARRO")</f>
        <v>ESPERANZA CORBACHO NAVARRO</v>
      </c>
      <c r="B1765" s="18" t="str">
        <f>HYPERLINK("https://otsuka-europe-crm.veevavault.com/ui/#object/vcountry__v/VENZ000004SONF5", "ES")</f>
        <v>ES</v>
      </c>
      <c r="C1765" s="20" t="s">
        <v>39</v>
      </c>
      <c r="D1765" s="21" t="str">
        <f>HYPERLINK("https://otsuka-europe-crm.veevavault.com/ui/#object/approved_document__v/V5OZ06G6O6RFL1P", "ES Veeva Privacy Notice Email")</f>
        <v>ES Veeva Privacy Notice Email</v>
      </c>
      <c r="E1765" s="22" t="str">
        <f>HYPERLINK("https://otsuka-europe-crm.veevavault.com/ui/#object/sent_email__v/VBL000000030207", "SE-001439658")</f>
        <v>SE-001439658</v>
      </c>
      <c r="F1765" s="25">
        <v>46209.612893518519</v>
      </c>
      <c r="G1765" s="24">
        <v>1</v>
      </c>
      <c r="H1765" s="24">
        <v>2</v>
      </c>
      <c r="I1765" s="24">
        <v>0</v>
      </c>
      <c r="J1765" s="23"/>
      <c r="K1765" s="24">
        <v>0</v>
      </c>
      <c r="L1765" s="22" t="str">
        <f>HYPERLINK("https://otsuka-europe-crm.veevavault.com/ui/#object/approved_document__v/V5OZ06G6O6RFL1P", "ES Veeva Privacy Notice Email")</f>
        <v>ES Veeva Privacy Notice Email</v>
      </c>
      <c r="M1765" s="22" t="str">
        <f>HYPERLINK("mailto:mgravan@crm.otsuka-europe.com", "mgravan@crm.otsuka-europe.com")</f>
        <v>mgravan@crm.otsuka-europe.com</v>
      </c>
      <c r="N1765" s="25">
        <v>46209.502500000002</v>
      </c>
      <c r="O1765" s="14" t="str">
        <f>HYPERLINK("https://otsuka-europe-crm.veevavault.com/ui/#object/email_activity__v/V8C000000044453", "EN-002102486")</f>
        <v>EN-002102486</v>
      </c>
    </row>
    <row r="1766" spans="1:15" ht="16" x14ac:dyDescent="0.2">
      <c r="A1766" s="26"/>
      <c r="B1766" s="26"/>
      <c r="C1766" s="26"/>
      <c r="D1766" s="26"/>
      <c r="E1766" s="26"/>
      <c r="F1766" s="26"/>
      <c r="G1766" s="26"/>
      <c r="H1766" s="26"/>
      <c r="I1766" s="26"/>
      <c r="J1766" s="26"/>
      <c r="K1766" s="26"/>
      <c r="L1766" s="26"/>
      <c r="M1766" s="26"/>
      <c r="N1766" s="26"/>
      <c r="O1766" s="14" t="str">
        <f>HYPERLINK("https://otsuka-europe-crm.veevavault.com/ui/#object/email_activity__v/V8C000000044478", "EN-002102532")</f>
        <v>EN-002102532</v>
      </c>
    </row>
    <row r="1767" spans="1:15" ht="16" x14ac:dyDescent="0.2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/>
      <c r="L1767" s="19"/>
      <c r="M1767" s="19"/>
      <c r="N1767" s="19"/>
      <c r="O1767" s="14" t="str">
        <f>HYPERLINK("https://otsuka-europe-crm.veevavault.com/ui/#object/email_activity__v/V8C000000044480", "EN-002102534")</f>
        <v>EN-002102534</v>
      </c>
    </row>
    <row r="1768" spans="1:15" ht="16" x14ac:dyDescent="0.2">
      <c r="A1768" s="18" t="str">
        <f>HYPERLINK("https://otsuka-europe-crm.veevavault.com/ui/#object/account__v/V4TZ025E83E2ZKD", "GRAZIELLA CARIDI")</f>
        <v>GRAZIELLA CARIDI</v>
      </c>
      <c r="B1768" s="18" t="str">
        <f>HYPERLINK("https://otsuka-europe-crm.veevavault.com/ui/#object/vcountry__v/VENZ000004SONFQ", "IT")</f>
        <v>IT</v>
      </c>
      <c r="C1768" s="20" t="s">
        <v>42</v>
      </c>
      <c r="D1768" s="21" t="str">
        <f>HYPERLINK("https://otsuka-europe-crm.veevavault.com/ui/#object/approved_document__v/V5O00000001A024", "Lupkynis - rischio - IT-LUP-2600002 v1.0 -  NEPHRO")</f>
        <v>Lupkynis - rischio - IT-LUP-2600002 v1.0 -  NEPHRO</v>
      </c>
      <c r="E1768" s="22" t="str">
        <f>HYPERLINK("https://otsuka-europe-crm.veevavault.com/ui/#object/sent_email__v/VBL000000034125", "SE-001442479")</f>
        <v>SE-001442479</v>
      </c>
      <c r="F1768" s="25">
        <v>46209.811712962961</v>
      </c>
      <c r="G1768" s="24">
        <v>1</v>
      </c>
      <c r="H1768" s="24">
        <v>2</v>
      </c>
      <c r="I1768" s="24">
        <v>0</v>
      </c>
      <c r="J1768" s="23"/>
      <c r="K1768" s="24">
        <v>0</v>
      </c>
      <c r="L1768" s="22" t="str">
        <f>HYPERLINK("https://otsuka-europe-crm.veevavault.com/ui/#object/approved_document__v/V5O00000001A024", "Lupkynis - rischio - IT-LUP-2600002 v1.0 -  NEPHRO")</f>
        <v>Lupkynis - rischio - IT-LUP-2600002 v1.0 -  NEPHRO</v>
      </c>
      <c r="M1768" s="22" t="str">
        <f>HYPERLINK("mailto:alfredo.pisapia@crm.otsuka-europe.com", "alfredo.pisapia@crm.otsuka-europe.com")</f>
        <v>alfredo.pisapia@crm.otsuka-europe.com</v>
      </c>
      <c r="N1768" s="25">
        <v>46209.520567129628</v>
      </c>
      <c r="O1768" s="14" t="str">
        <f>HYPERLINK("https://otsuka-europe-crm.veevavault.com/ui/#object/email_activity__v/V8C000000043479", "EN-002102492")</f>
        <v>EN-002102492</v>
      </c>
    </row>
    <row r="1769" spans="1:15" ht="16" x14ac:dyDescent="0.2">
      <c r="A1769" s="26"/>
      <c r="B1769" s="26"/>
      <c r="C1769" s="26"/>
      <c r="D1769" s="26"/>
      <c r="E1769" s="26"/>
      <c r="F1769" s="26"/>
      <c r="G1769" s="26"/>
      <c r="H1769" s="26"/>
      <c r="I1769" s="26"/>
      <c r="J1769" s="26"/>
      <c r="K1769" s="26"/>
      <c r="L1769" s="26"/>
      <c r="M1769" s="26"/>
      <c r="N1769" s="26"/>
      <c r="O1769" s="14" t="str">
        <f>HYPERLINK("https://otsuka-europe-crm.veevavault.com/ui/#object/email_activity__v/V8C000000043531", "EN-002102594")</f>
        <v>EN-002102594</v>
      </c>
    </row>
    <row r="1770" spans="1:15" ht="16" x14ac:dyDescent="0.2">
      <c r="A1770" s="19"/>
      <c r="B1770" s="19"/>
      <c r="C1770" s="19"/>
      <c r="D1770" s="19"/>
      <c r="E1770" s="19"/>
      <c r="F1770" s="19"/>
      <c r="G1770" s="19"/>
      <c r="H1770" s="19"/>
      <c r="I1770" s="19"/>
      <c r="J1770" s="19"/>
      <c r="K1770" s="19"/>
      <c r="L1770" s="19"/>
      <c r="M1770" s="19"/>
      <c r="N1770" s="19"/>
      <c r="O1770" s="14" t="str">
        <f>HYPERLINK("https://otsuka-europe-crm.veevavault.com/ui/#object/email_activity__v/V8C000000044467", "EN-002102517")</f>
        <v>EN-002102517</v>
      </c>
    </row>
    <row r="1771" spans="1:15" ht="16" x14ac:dyDescent="0.2">
      <c r="A1771" s="18" t="str">
        <f>HYPERLINK("https://otsuka-europe-crm.veevavault.com/ui/#object/account__v/V4TZ00000633KQI", "WALID YAKHLEF")</f>
        <v>WALID YAKHLEF</v>
      </c>
      <c r="B1771" s="18" t="str">
        <f>HYPERLINK("https://otsuka-europe-crm.veevavault.com/ui/#object/vcountry__v/VENZ000004SONFA", "FR")</f>
        <v>FR</v>
      </c>
      <c r="C1771" s="20" t="s">
        <v>40</v>
      </c>
      <c r="D1771" s="21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771" s="22" t="str">
        <f>HYPERLINK("https://otsuka-europe-crm.veevavault.com/ui/#object/sent_email__v/VBL000000034126", "SE-001442480")</f>
        <v>SE-001442480</v>
      </c>
      <c r="F1771" s="25">
        <v>46232.425034722219</v>
      </c>
      <c r="G1771" s="24">
        <v>1</v>
      </c>
      <c r="H1771" s="24">
        <v>6</v>
      </c>
      <c r="I1771" s="24">
        <v>0</v>
      </c>
      <c r="J1771" s="23"/>
      <c r="K1771" s="24">
        <v>0</v>
      </c>
      <c r="L1771" s="22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771" s="22" t="str">
        <f>HYPERLINK("mailto:mperrin@crm.otsuka-europe.com", "mperrin@crm.otsuka-europe.com")</f>
        <v>mperrin@crm.otsuka-europe.com</v>
      </c>
      <c r="N1771" s="25">
        <v>46209.548067129632</v>
      </c>
      <c r="O1771" s="14" t="str">
        <f>HYPERLINK("https://otsuka-europe-crm.veevavault.com/ui/#object/email_activity__v/V8C000000043483", "EN-002102500")</f>
        <v>EN-002102500</v>
      </c>
    </row>
    <row r="1772" spans="1:15" ht="16" x14ac:dyDescent="0.2">
      <c r="A1772" s="26"/>
      <c r="B1772" s="26"/>
      <c r="C1772" s="26"/>
      <c r="D1772" s="26"/>
      <c r="E1772" s="26"/>
      <c r="F1772" s="26"/>
      <c r="G1772" s="26"/>
      <c r="H1772" s="26"/>
      <c r="I1772" s="26"/>
      <c r="J1772" s="26"/>
      <c r="K1772" s="26"/>
      <c r="L1772" s="26"/>
      <c r="M1772" s="26"/>
      <c r="N1772" s="26"/>
      <c r="O1772" s="14" t="str">
        <f>HYPERLINK("https://otsuka-europe-crm.veevavault.com/ui/#object/email_activity__v/V8C000000043716", "EN-002102982")</f>
        <v>EN-002102982</v>
      </c>
    </row>
    <row r="1773" spans="1:15" ht="16" x14ac:dyDescent="0.2">
      <c r="A1773" s="26"/>
      <c r="B1773" s="26"/>
      <c r="C1773" s="26"/>
      <c r="D1773" s="26"/>
      <c r="E1773" s="26"/>
      <c r="F1773" s="26"/>
      <c r="G1773" s="26"/>
      <c r="H1773" s="26"/>
      <c r="I1773" s="26"/>
      <c r="J1773" s="26"/>
      <c r="K1773" s="26"/>
      <c r="L1773" s="26"/>
      <c r="M1773" s="26"/>
      <c r="N1773" s="26"/>
      <c r="O1773" s="14" t="str">
        <f>HYPERLINK("https://otsuka-europe-crm.veevavault.com/ui/#object/email_activity__v/V8C000000043722", "EN-002102988")</f>
        <v>EN-002102988</v>
      </c>
    </row>
    <row r="1774" spans="1:15" ht="16" x14ac:dyDescent="0.2">
      <c r="A1774" s="26"/>
      <c r="B1774" s="26"/>
      <c r="C1774" s="26"/>
      <c r="D1774" s="26"/>
      <c r="E1774" s="26"/>
      <c r="F1774" s="26"/>
      <c r="G1774" s="26"/>
      <c r="H1774" s="26"/>
      <c r="I1774" s="26"/>
      <c r="J1774" s="26"/>
      <c r="K1774" s="26"/>
      <c r="L1774" s="26"/>
      <c r="M1774" s="26"/>
      <c r="N1774" s="26"/>
      <c r="O1774" s="14" t="str">
        <f>HYPERLINK("https://otsuka-europe-crm.veevavault.com/ui/#object/email_activity__v/V8C000000043723", "EN-002102989")</f>
        <v>EN-002102989</v>
      </c>
    </row>
    <row r="1775" spans="1:15" ht="16" x14ac:dyDescent="0.2">
      <c r="A1775" s="26"/>
      <c r="B1775" s="26"/>
      <c r="C1775" s="26"/>
      <c r="D1775" s="26"/>
      <c r="E1775" s="26"/>
      <c r="F1775" s="26"/>
      <c r="G1775" s="26"/>
      <c r="H1775" s="26"/>
      <c r="I1775" s="26"/>
      <c r="J1775" s="26"/>
      <c r="K1775" s="26"/>
      <c r="L1775" s="26"/>
      <c r="M1775" s="26"/>
      <c r="N1775" s="26"/>
      <c r="O1775" s="14" t="str">
        <f>HYPERLINK("https://otsuka-europe-crm.veevavault.com/ui/#object/email_activity__v/V8C000000043724", "EN-002102990")</f>
        <v>EN-002102990</v>
      </c>
    </row>
    <row r="1776" spans="1:15" ht="16" x14ac:dyDescent="0.2">
      <c r="A1776" s="26"/>
      <c r="B1776" s="26"/>
      <c r="C1776" s="26"/>
      <c r="D1776" s="26"/>
      <c r="E1776" s="26"/>
      <c r="F1776" s="26"/>
      <c r="G1776" s="26"/>
      <c r="H1776" s="26"/>
      <c r="I1776" s="26"/>
      <c r="J1776" s="26"/>
      <c r="K1776" s="26"/>
      <c r="L1776" s="26"/>
      <c r="M1776" s="26"/>
      <c r="N1776" s="26"/>
      <c r="O1776" s="14" t="str">
        <f>HYPERLINK("https://otsuka-europe-crm.veevavault.com/ui/#object/email_activity__v/V8C000000043733", "EN-002103004")</f>
        <v>EN-002103004</v>
      </c>
    </row>
    <row r="1777" spans="1:15" ht="16" x14ac:dyDescent="0.2">
      <c r="A1777" s="19"/>
      <c r="B1777" s="19"/>
      <c r="C1777" s="19"/>
      <c r="D1777" s="19"/>
      <c r="E1777" s="19"/>
      <c r="F1777" s="19"/>
      <c r="G1777" s="19"/>
      <c r="H1777" s="19"/>
      <c r="I1777" s="19"/>
      <c r="J1777" s="19"/>
      <c r="K1777" s="19"/>
      <c r="L1777" s="19"/>
      <c r="M1777" s="19"/>
      <c r="N1777" s="19"/>
      <c r="O1777" s="14" t="str">
        <f>HYPERLINK("https://otsuka-europe-crm.veevavault.com/ui/#object/email_activity__v/V8C00000004E605", "EN-002109545")</f>
        <v>EN-002109545</v>
      </c>
    </row>
    <row r="1778" spans="1:15" ht="48" x14ac:dyDescent="0.2">
      <c r="A1778" s="7" t="str">
        <f>HYPERLINK("https://otsuka-europe-crm.veevavault.com/ui/#object/account__v/V4TZ00000633J8Y", "KAHINA LAMRI")</f>
        <v>KAHINA LAMRI</v>
      </c>
      <c r="B1778" s="7" t="str">
        <f>HYPERLINK("https://otsuka-europe-crm.veevavault.com/ui/#object/vcountry__v/VENZ000004SONFA", "FR")</f>
        <v>FR</v>
      </c>
      <c r="C1778" s="8" t="s">
        <v>40</v>
      </c>
      <c r="D1778" s="9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E1778" s="10" t="str">
        <f>HYPERLINK("https://otsuka-europe-crm.veevavault.com/ui/#object/sent_email__v/VBL000000034127", "SE-001442481")</f>
        <v>SE-001442481</v>
      </c>
      <c r="F1778" s="11"/>
      <c r="G1778" s="12">
        <v>0</v>
      </c>
      <c r="H1778" s="12">
        <v>0</v>
      </c>
      <c r="I1778" s="12">
        <v>0</v>
      </c>
      <c r="J1778" s="11"/>
      <c r="K1778" s="12">
        <v>0</v>
      </c>
      <c r="L1778" s="10" t="str">
        <f>HYPERLINK("https://otsuka-europe-crm.veevavault.com/ui/#object/approved_document__v/V5O00000001G003", "EMail Brochure Patients et Brochure Aidants - FR-CNS-2600006")</f>
        <v>EMail Brochure Patients et Brochure Aidants - FR-CNS-2600006</v>
      </c>
      <c r="M1778" s="10" t="str">
        <f>HYPERLINK("mailto:mperrin@crm.otsuka-europe.com", "mperrin@crm.otsuka-europe.com")</f>
        <v>mperrin@crm.otsuka-europe.com</v>
      </c>
      <c r="N1778" s="13">
        <v>46209.548125000001</v>
      </c>
      <c r="O1778" s="14" t="str">
        <f>HYPERLINK("https://otsuka-europe-crm.veevavault.com/ui/#object/email_activity__v/V8C000000043484", "EN-002102501")</f>
        <v>EN-002102501</v>
      </c>
    </row>
    <row r="1779" spans="1:15" ht="16" x14ac:dyDescent="0.2">
      <c r="A1779" s="18" t="str">
        <f>HYPERLINK("https://otsuka-europe-crm.veevavault.com/ui/#object/account__v/V4TZ06G6O71T7HR", "MIREIA RIUS TEIXIDO")</f>
        <v>MIREIA RIUS TEIXIDO</v>
      </c>
      <c r="B1779" s="18" t="str">
        <f>HYPERLINK("https://otsuka-europe-crm.veevavault.com/ui/#object/vcountry__v/VENZ000004SONF5", "ES")</f>
        <v>ES</v>
      </c>
      <c r="C1779" s="20" t="s">
        <v>39</v>
      </c>
      <c r="D1779" s="21" t="str">
        <f>HYPERLINK("https://otsuka-europe-crm.veevavault.com/ui/#object/approved_document__v/V5OZ04ASG4FWKA9", "Documento Autorizaciขn Centro Empleador")</f>
        <v>Documento Autorizaciขn Centro Empleador</v>
      </c>
      <c r="E1779" s="22" t="str">
        <f>HYPERLINK("https://otsuka-europe-crm.veevavault.com/ui/#object/sent_email__v/VBL000000034132", "SE-001442482")</f>
        <v>SE-001442482</v>
      </c>
      <c r="F1779" s="25">
        <v>46209.623287037037</v>
      </c>
      <c r="G1779" s="24">
        <v>1</v>
      </c>
      <c r="H1779" s="24">
        <v>1</v>
      </c>
      <c r="I1779" s="24">
        <v>1</v>
      </c>
      <c r="J1779" s="25">
        <v>46209.623900462961</v>
      </c>
      <c r="K1779" s="24">
        <v>3</v>
      </c>
      <c r="L1779" s="22" t="str">
        <f>HYPERLINK("https://otsuka-europe-crm.veevavault.com/ui/#object/approved_document__v/V5OZ04ASG4FWKA9", "Documento Autorizaciขn Centro Empleador")</f>
        <v>Documento Autorizaciขn Centro Empleador</v>
      </c>
      <c r="M1779" s="22" t="str">
        <f>HYPERLINK("mailto:jllombart@crm.otsuka-europe.com", "jllombart@crm.otsuka-europe.com")</f>
        <v>jllombart@crm.otsuka-europe.com</v>
      </c>
      <c r="N1779" s="25">
        <v>46209.614189814813</v>
      </c>
      <c r="O1779" s="14" t="str">
        <f>HYPERLINK("https://otsuka-europe-crm.veevavault.com/ui/#object/email_activity__v/V8C000000043499", "EN-002102535")</f>
        <v>EN-002102535</v>
      </c>
    </row>
    <row r="1780" spans="1:15" ht="16" x14ac:dyDescent="0.2">
      <c r="A1780" s="26"/>
      <c r="B1780" s="26"/>
      <c r="C1780" s="26"/>
      <c r="D1780" s="26"/>
      <c r="E1780" s="26"/>
      <c r="F1780" s="26"/>
      <c r="G1780" s="26"/>
      <c r="H1780" s="26"/>
      <c r="I1780" s="26"/>
      <c r="J1780" s="26"/>
      <c r="K1780" s="26"/>
      <c r="L1780" s="26"/>
      <c r="M1780" s="26"/>
      <c r="N1780" s="26"/>
      <c r="O1780" s="14" t="str">
        <f>HYPERLINK("https://otsuka-europe-crm.veevavault.com/ui/#object/email_activity__v/V8C000000044485", "EN-002102549")</f>
        <v>EN-002102549</v>
      </c>
    </row>
    <row r="1781" spans="1:15" ht="16" x14ac:dyDescent="0.2">
      <c r="A1781" s="26"/>
      <c r="B1781" s="26"/>
      <c r="C1781" s="26"/>
      <c r="D1781" s="26"/>
      <c r="E1781" s="26"/>
      <c r="F1781" s="26"/>
      <c r="G1781" s="26"/>
      <c r="H1781" s="26"/>
      <c r="I1781" s="26"/>
      <c r="J1781" s="26"/>
      <c r="K1781" s="26"/>
      <c r="L1781" s="26"/>
      <c r="M1781" s="26"/>
      <c r="N1781" s="26"/>
      <c r="O1781" s="14" t="str">
        <f>HYPERLINK("https://otsuka-europe-crm.veevavault.com/ui/#object/email_activity__v/V8C000000044486", "EN-002102550")</f>
        <v>EN-002102550</v>
      </c>
    </row>
    <row r="1782" spans="1:15" ht="16" x14ac:dyDescent="0.2">
      <c r="A1782" s="26"/>
      <c r="B1782" s="26"/>
      <c r="C1782" s="26"/>
      <c r="D1782" s="26"/>
      <c r="E1782" s="26"/>
      <c r="F1782" s="26"/>
      <c r="G1782" s="26"/>
      <c r="H1782" s="26"/>
      <c r="I1782" s="26"/>
      <c r="J1782" s="26"/>
      <c r="K1782" s="26"/>
      <c r="L1782" s="26"/>
      <c r="M1782" s="26"/>
      <c r="N1782" s="26"/>
      <c r="O1782" s="14" t="str">
        <f>HYPERLINK("https://otsuka-europe-crm.veevavault.com/ui/#object/email_activity__v/V8C000000044487", "EN-002102551")</f>
        <v>EN-002102551</v>
      </c>
    </row>
    <row r="1783" spans="1:15" ht="16" x14ac:dyDescent="0.2">
      <c r="A1783" s="19"/>
      <c r="B1783" s="19"/>
      <c r="C1783" s="19"/>
      <c r="D1783" s="19"/>
      <c r="E1783" s="19"/>
      <c r="F1783" s="19"/>
      <c r="G1783" s="19"/>
      <c r="H1783" s="19"/>
      <c r="I1783" s="19"/>
      <c r="J1783" s="19"/>
      <c r="K1783" s="19"/>
      <c r="L1783" s="19"/>
      <c r="M1783" s="19"/>
      <c r="N1783" s="19"/>
      <c r="O1783" s="14" t="str">
        <f>HYPERLINK("https://otsuka-europe-crm.veevavault.com/ui/#object/email_activity__v/V8C000000044488", "EN-002102552")</f>
        <v>EN-002102552</v>
      </c>
    </row>
    <row r="1784" spans="1:15" ht="32" x14ac:dyDescent="0.2">
      <c r="A1784" s="7" t="str">
        <f>HYPERLINK("https://otsuka-europe-crm.veevavault.com/ui/#object/account__v/V4TZ0000062PEDN", "Mukul Sharma")</f>
        <v>Mukul Sharma</v>
      </c>
      <c r="B1784" s="7" t="str">
        <f>HYPERLINK("https://otsuka-europe-crm.veevavault.com/ui/#object/vcountry__v/VENZ000004SONFK", "GB")</f>
        <v>GB</v>
      </c>
      <c r="C1784" s="8" t="s">
        <v>41</v>
      </c>
      <c r="D1784" s="9" t="str">
        <f>HYPERLINK("https://otsuka-europe-crm.veevavault.com/ui/#object/approved_document__v/V5O00000000I022", "Aripiprazole 960mg FAQ VAE")</f>
        <v>Aripiprazole 960mg FAQ VAE</v>
      </c>
      <c r="E1784" s="10" t="str">
        <f>HYPERLINK("https://otsuka-europe-crm.veevavault.com/ui/#object/sent_email__v/VBL000000034133", "SE-001442483")</f>
        <v>SE-001442483</v>
      </c>
      <c r="F1784" s="11"/>
      <c r="G1784" s="12">
        <v>0</v>
      </c>
      <c r="H1784" s="12">
        <v>0</v>
      </c>
      <c r="I1784" s="12">
        <v>0</v>
      </c>
      <c r="J1784" s="11"/>
      <c r="K1784" s="12">
        <v>0</v>
      </c>
      <c r="L1784" s="10" t="str">
        <f>HYPERLINK("https://otsuka-europe-crm.veevavault.com/ui/#object/approved_document__v/V5O00000000I022", "Aripiprazole 960mg FAQ VAE")</f>
        <v>Aripiprazole 960mg FAQ VAE</v>
      </c>
      <c r="M1784" s="10" t="str">
        <f>HYPERLINK("mailto:sfinnigan@crm.otsuka-europe.com", "sfinnigan@crm.otsuka-europe.com")</f>
        <v>sfinnigan@crm.otsuka-europe.com</v>
      </c>
      <c r="N1784" s="13">
        <v>46209.618680555555</v>
      </c>
      <c r="O1784" s="14" t="str">
        <f>HYPERLINK("https://otsuka-europe-crm.veevavault.com/ui/#object/email_activity__v/V8C000000044482", "EN-002102537")</f>
        <v>EN-002102537</v>
      </c>
    </row>
    <row r="1785" spans="1:15" ht="32" x14ac:dyDescent="0.2">
      <c r="A1785" s="7" t="str">
        <f>HYPERLINK("https://otsuka-europe-crm.veevavault.com/ui/#object/account__v/V4TZ0000062PEDS", "Parveen Sharma")</f>
        <v>Parveen Sharma</v>
      </c>
      <c r="B1785" s="7" t="str">
        <f>HYPERLINK("https://otsuka-europe-crm.veevavault.com/ui/#object/vcountry__v/VENZ000004SONFK", "GB")</f>
        <v>GB</v>
      </c>
      <c r="C1785" s="8" t="s">
        <v>41</v>
      </c>
      <c r="D1785" s="9" t="str">
        <f>HYPERLINK("https://otsuka-europe-crm.veevavault.com/ui/#object/approved_document__v/V5O00000000I022", "Aripiprazole 960mg FAQ VAE")</f>
        <v>Aripiprazole 960mg FAQ VAE</v>
      </c>
      <c r="E1785" s="10" t="str">
        <f>HYPERLINK("https://otsuka-europe-crm.veevavault.com/ui/#object/sent_email__v/VBL000000034134", "SE-001442484")</f>
        <v>SE-001442484</v>
      </c>
      <c r="F1785" s="11"/>
      <c r="G1785" s="12">
        <v>0</v>
      </c>
      <c r="H1785" s="12">
        <v>0</v>
      </c>
      <c r="I1785" s="12">
        <v>0</v>
      </c>
      <c r="J1785" s="11"/>
      <c r="K1785" s="12">
        <v>0</v>
      </c>
      <c r="L1785" s="10" t="str">
        <f>HYPERLINK("https://otsuka-europe-crm.veevavault.com/ui/#object/approved_document__v/V5O00000000I022", "Aripiprazole 960mg FAQ VAE")</f>
        <v>Aripiprazole 960mg FAQ VAE</v>
      </c>
      <c r="M1785" s="10" t="str">
        <f>HYPERLINK("mailto:sfinnigan@crm.otsuka-europe.com", "sfinnigan@crm.otsuka-europe.com")</f>
        <v>sfinnigan@crm.otsuka-europe.com</v>
      </c>
      <c r="N1785" s="13">
        <v>46209.618854166663</v>
      </c>
      <c r="O1785" s="14" t="str">
        <f>HYPERLINK("https://otsuka-europe-crm.veevavault.com/ui/#object/email_activity__v/V8C000000044483", "EN-002102538")</f>
        <v>EN-002102538</v>
      </c>
    </row>
    <row r="1786" spans="1:15" ht="32" x14ac:dyDescent="0.2">
      <c r="A1786" s="7" t="str">
        <f>HYPERLINK("https://otsuka-europe-crm.veevavault.com/ui/#object/account__v/V4TZ0000062PBQD", "Devena Tyagi Sharma")</f>
        <v>Devena Tyagi Sharma</v>
      </c>
      <c r="B1786" s="7" t="str">
        <f>HYPERLINK("https://otsuka-europe-crm.veevavault.com/ui/#object/vcountry__v/VENZ000004SONFK", "GB")</f>
        <v>GB</v>
      </c>
      <c r="C1786" s="8" t="s">
        <v>41</v>
      </c>
      <c r="D1786" s="9" t="str">
        <f>HYPERLINK("https://otsuka-europe-crm.veevavault.com/ui/#object/approved_document__v/V5O00000000I022", "Aripiprazole 960mg FAQ VAE")</f>
        <v>Aripiprazole 960mg FAQ VAE</v>
      </c>
      <c r="E1786" s="10" t="str">
        <f>HYPERLINK("https://otsuka-europe-crm.veevavault.com/ui/#object/sent_email__v/VBL000000034135", "SE-001442485")</f>
        <v>SE-001442485</v>
      </c>
      <c r="F1786" s="11"/>
      <c r="G1786" s="12">
        <v>0</v>
      </c>
      <c r="H1786" s="12">
        <v>0</v>
      </c>
      <c r="I1786" s="12">
        <v>0</v>
      </c>
      <c r="J1786" s="11"/>
      <c r="K1786" s="12">
        <v>0</v>
      </c>
      <c r="L1786" s="10" t="str">
        <f>HYPERLINK("https://otsuka-europe-crm.veevavault.com/ui/#object/approved_document__v/V5O00000000I022", "Aripiprazole 960mg FAQ VAE")</f>
        <v>Aripiprazole 960mg FAQ VAE</v>
      </c>
      <c r="M1786" s="10" t="str">
        <f>HYPERLINK("mailto:sfinnigan@crm.otsuka-europe.com", "sfinnigan@crm.otsuka-europe.com")</f>
        <v>sfinnigan@crm.otsuka-europe.com</v>
      </c>
      <c r="N1786" s="13">
        <v>46209.619363425925</v>
      </c>
      <c r="O1786" s="14" t="str">
        <f>HYPERLINK("https://otsuka-europe-crm.veevavault.com/ui/#object/email_activity__v/V8C000000043500", "EN-002102539")</f>
        <v>EN-002102539</v>
      </c>
    </row>
    <row r="1787" spans="1:15" ht="32" x14ac:dyDescent="0.2">
      <c r="A1787" s="7" t="str">
        <f>HYPERLINK("https://otsuka-europe-crm.veevavault.com/ui/#object/account__v/V4TZ0000062PD81", "Sotonte Bobmanuel")</f>
        <v>Sotonte Bobmanuel</v>
      </c>
      <c r="B1787" s="7" t="str">
        <f>HYPERLINK("https://otsuka-europe-crm.veevavault.com/ui/#object/vcountry__v/VENZ000004SONFK", "GB")</f>
        <v>GB</v>
      </c>
      <c r="C1787" s="8" t="s">
        <v>41</v>
      </c>
      <c r="D1787" s="9" t="str">
        <f>HYPERLINK("https://otsuka-europe-crm.veevavault.com/ui/#object/approved_document__v/V5O00000000I022", "Aripiprazole 960mg FAQ VAE")</f>
        <v>Aripiprazole 960mg FAQ VAE</v>
      </c>
      <c r="E1787" s="10" t="str">
        <f>HYPERLINK("https://otsuka-europe-crm.veevavault.com/ui/#object/sent_email__v/VBL000000034136", "SE-001442486")</f>
        <v>SE-001442486</v>
      </c>
      <c r="F1787" s="11"/>
      <c r="G1787" s="12">
        <v>0</v>
      </c>
      <c r="H1787" s="12">
        <v>0</v>
      </c>
      <c r="I1787" s="12">
        <v>0</v>
      </c>
      <c r="J1787" s="11"/>
      <c r="K1787" s="12">
        <v>0</v>
      </c>
      <c r="L1787" s="10" t="str">
        <f>HYPERLINK("https://otsuka-europe-crm.veevavault.com/ui/#object/approved_document__v/V5O00000000I022", "Aripiprazole 960mg FAQ VAE")</f>
        <v>Aripiprazole 960mg FAQ VAE</v>
      </c>
      <c r="M1787" s="10" t="str">
        <f>HYPERLINK("mailto:sfinnigan@crm.otsuka-europe.com", "sfinnigan@crm.otsuka-europe.com")</f>
        <v>sfinnigan@crm.otsuka-europe.com</v>
      </c>
      <c r="N1787" s="13">
        <v>46209.61991898148</v>
      </c>
      <c r="O1787" s="14" t="str">
        <f>HYPERLINK("https://otsuka-europe-crm.veevavault.com/ui/#object/email_activity__v/V8C000000043502", "EN-002102541")</f>
        <v>EN-002102541</v>
      </c>
    </row>
    <row r="1788" spans="1:15" ht="16" x14ac:dyDescent="0.2">
      <c r="A1788" s="18" t="str">
        <f>HYPERLINK("https://otsuka-europe-crm.veevavault.com/ui/#object/account__v/V4TZ0000062PHXS", "Abdulhakim Rhouma")</f>
        <v>Abdulhakim Rhouma</v>
      </c>
      <c r="B1788" s="18" t="str">
        <f>HYPERLINK("https://otsuka-europe-crm.veevavault.com/ui/#object/vcountry__v/VENZ000004SONFK", "GB")</f>
        <v>GB</v>
      </c>
      <c r="C1788" s="20" t="s">
        <v>41</v>
      </c>
      <c r="D1788" s="21" t="str">
        <f>HYPERLINK("https://otsuka-europe-crm.veevavault.com/ui/#object/approved_document__v/V5O00000000I022", "Aripiprazole 960mg FAQ VAE")</f>
        <v>Aripiprazole 960mg FAQ VAE</v>
      </c>
      <c r="E1788" s="22" t="str">
        <f>HYPERLINK("https://otsuka-europe-crm.veevavault.com/ui/#object/sent_email__v/VBL000000034137", "SE-001442487")</f>
        <v>SE-001442487</v>
      </c>
      <c r="F1788" s="25">
        <v>46209.620289351849</v>
      </c>
      <c r="G1788" s="24">
        <v>1</v>
      </c>
      <c r="H1788" s="24">
        <v>1</v>
      </c>
      <c r="I1788" s="24">
        <v>1</v>
      </c>
      <c r="J1788" s="25">
        <v>46209.620289351849</v>
      </c>
      <c r="K1788" s="24">
        <v>1</v>
      </c>
      <c r="L1788" s="22" t="str">
        <f>HYPERLINK("https://otsuka-europe-crm.veevavault.com/ui/#object/approved_document__v/V5O00000000I022", "Aripiprazole 960mg FAQ VAE")</f>
        <v>Aripiprazole 960mg FAQ VAE</v>
      </c>
      <c r="M1788" s="22" t="str">
        <f>HYPERLINK("mailto:sfinnigan@crm.otsuka-europe.com", "sfinnigan@crm.otsuka-europe.com")</f>
        <v>sfinnigan@crm.otsuka-europe.com</v>
      </c>
      <c r="N1788" s="25">
        <v>46209.62023148148</v>
      </c>
      <c r="O1788" s="14" t="str">
        <f>HYPERLINK("https://otsuka-europe-crm.veevavault.com/ui/#object/email_activity__v/V8C000000043503", "EN-002102543")</f>
        <v>EN-002102543</v>
      </c>
    </row>
    <row r="1789" spans="1:15" ht="16" x14ac:dyDescent="0.2">
      <c r="A1789" s="26"/>
      <c r="B1789" s="26"/>
      <c r="C1789" s="26"/>
      <c r="D1789" s="26"/>
      <c r="E1789" s="26"/>
      <c r="F1789" s="26"/>
      <c r="G1789" s="26"/>
      <c r="H1789" s="26"/>
      <c r="I1789" s="26"/>
      <c r="J1789" s="26"/>
      <c r="K1789" s="26"/>
      <c r="L1789" s="26"/>
      <c r="M1789" s="26"/>
      <c r="N1789" s="26"/>
      <c r="O1789" s="14" t="str">
        <f>HYPERLINK("https://otsuka-europe-crm.veevavault.com/ui/#object/email_activity__v/V8C000000043504", "EN-002102542")</f>
        <v>EN-002102542</v>
      </c>
    </row>
    <row r="1790" spans="1:15" ht="16" x14ac:dyDescent="0.2">
      <c r="A1790" s="19"/>
      <c r="B1790" s="19"/>
      <c r="C1790" s="19"/>
      <c r="D1790" s="19"/>
      <c r="E1790" s="19"/>
      <c r="F1790" s="19"/>
      <c r="G1790" s="19"/>
      <c r="H1790" s="19"/>
      <c r="I1790" s="19"/>
      <c r="J1790" s="19"/>
      <c r="K1790" s="19"/>
      <c r="L1790" s="19"/>
      <c r="M1790" s="19"/>
      <c r="N1790" s="19"/>
      <c r="O1790" s="14" t="str">
        <f>HYPERLINK("https://otsuka-europe-crm.veevavault.com/ui/#object/email_activity__v/V8C000000043505", "EN-002102544")</f>
        <v>EN-002102544</v>
      </c>
    </row>
    <row r="1791" spans="1:15" ht="16" x14ac:dyDescent="0.2">
      <c r="A1791" s="18" t="str">
        <f>HYPERLINK("https://otsuka-europe-crm.veevavault.com/ui/#object/account__v/V4TZ06G6OCEI9W1", "Babatunde Adeniji")</f>
        <v>Babatunde Adeniji</v>
      </c>
      <c r="B1791" s="18" t="str">
        <f>HYPERLINK("https://otsuka-europe-crm.veevavault.com/ui/#object/vcountry__v/VENZ000004SONFK", "GB")</f>
        <v>GB</v>
      </c>
      <c r="C1791" s="20" t="s">
        <v>41</v>
      </c>
      <c r="D1791" s="21" t="str">
        <f>HYPERLINK("https://otsuka-europe-crm.veevavault.com/ui/#object/approved_document__v/V5O00000000I022", "Aripiprazole 960mg FAQ VAE")</f>
        <v>Aripiprazole 960mg FAQ VAE</v>
      </c>
      <c r="E1791" s="22" t="str">
        <f>HYPERLINK("https://otsuka-europe-crm.veevavault.com/ui/#object/sent_email__v/VBL000000032217", "SE-001442488")</f>
        <v>SE-001442488</v>
      </c>
      <c r="F1791" s="25">
        <v>46209.624571759261</v>
      </c>
      <c r="G1791" s="24">
        <v>1</v>
      </c>
      <c r="H1791" s="24">
        <v>1</v>
      </c>
      <c r="I1791" s="24">
        <v>0</v>
      </c>
      <c r="J1791" s="23"/>
      <c r="K1791" s="24">
        <v>0</v>
      </c>
      <c r="L1791" s="22" t="str">
        <f>HYPERLINK("https://otsuka-europe-crm.veevavault.com/ui/#object/approved_document__v/V5O00000000I022", "Aripiprazole 960mg FAQ VAE")</f>
        <v>Aripiprazole 960mg FAQ VAE</v>
      </c>
      <c r="M1791" s="22" t="str">
        <f>HYPERLINK("mailto:sfinnigan@crm.otsuka-europe.com", "sfinnigan@crm.otsuka-europe.com")</f>
        <v>sfinnigan@crm.otsuka-europe.com</v>
      </c>
      <c r="N1791" s="25">
        <v>46209.622696759259</v>
      </c>
      <c r="O1791" s="14" t="str">
        <f>HYPERLINK("https://otsuka-europe-crm.veevavault.com/ui/#object/email_activity__v/V8C000000044484", "EN-002102547")</f>
        <v>EN-002102547</v>
      </c>
    </row>
    <row r="1792" spans="1:15" ht="16" x14ac:dyDescent="0.2">
      <c r="A1792" s="19"/>
      <c r="B1792" s="19"/>
      <c r="C1792" s="19"/>
      <c r="D1792" s="19"/>
      <c r="E1792" s="19"/>
      <c r="F1792" s="19"/>
      <c r="G1792" s="19"/>
      <c r="H1792" s="19"/>
      <c r="I1792" s="19"/>
      <c r="J1792" s="19"/>
      <c r="K1792" s="19"/>
      <c r="L1792" s="19"/>
      <c r="M1792" s="19"/>
      <c r="N1792" s="19"/>
      <c r="O1792" s="14" t="str">
        <f>HYPERLINK("https://otsuka-europe-crm.veevavault.com/ui/#object/email_activity__v/V8C000000044489", "EN-002102555")</f>
        <v>EN-002102555</v>
      </c>
    </row>
    <row r="1793" spans="1:15" ht="16" x14ac:dyDescent="0.2">
      <c r="A1793" s="18" t="str">
        <f>HYPERLINK("https://otsuka-europe-crm.veevavault.com/ui/#object/account__v/V4TZ0000062PJ5B", "Olusola Adeyemi")</f>
        <v>Olusola Adeyemi</v>
      </c>
      <c r="B1793" s="18" t="str">
        <f>HYPERLINK("https://otsuka-europe-crm.veevavault.com/ui/#object/vcountry__v/VENZ000004SONFK", "GB")</f>
        <v>GB</v>
      </c>
      <c r="C1793" s="20" t="s">
        <v>41</v>
      </c>
      <c r="D1793" s="21" t="str">
        <f>HYPERLINK("https://otsuka-europe-crm.veevavault.com/ui/#object/approved_document__v/V5O00000000I022", "Aripiprazole 960mg FAQ VAE")</f>
        <v>Aripiprazole 960mg FAQ VAE</v>
      </c>
      <c r="E1793" s="22" t="str">
        <f>HYPERLINK("https://otsuka-europe-crm.veevavault.com/ui/#object/sent_email__v/VBL000000034138", "SE-001442489")</f>
        <v>SE-001442489</v>
      </c>
      <c r="F1793" s="25">
        <v>46228.819884259261</v>
      </c>
      <c r="G1793" s="24">
        <v>1</v>
      </c>
      <c r="H1793" s="24">
        <v>2</v>
      </c>
      <c r="I1793" s="24">
        <v>0</v>
      </c>
      <c r="J1793" s="23"/>
      <c r="K1793" s="24">
        <v>0</v>
      </c>
      <c r="L1793" s="22" t="str">
        <f>HYPERLINK("https://otsuka-europe-crm.veevavault.com/ui/#object/approved_document__v/V5O00000000I022", "Aripiprazole 960mg FAQ VAE")</f>
        <v>Aripiprazole 960mg FAQ VAE</v>
      </c>
      <c r="M1793" s="22" t="str">
        <f>HYPERLINK("mailto:sfinnigan@crm.otsuka-europe.com", "sfinnigan@crm.otsuka-europe.com")</f>
        <v>sfinnigan@crm.otsuka-europe.com</v>
      </c>
      <c r="N1793" s="25">
        <v>46209.623020833336</v>
      </c>
      <c r="O1793" s="14" t="str">
        <f>HYPERLINK("https://otsuka-europe-crm.veevavault.com/ui/#object/email_activity__v/V8C000000043508", "EN-002102548")</f>
        <v>EN-002102548</v>
      </c>
    </row>
    <row r="1794" spans="1:15" ht="16" x14ac:dyDescent="0.2">
      <c r="A1794" s="26"/>
      <c r="B1794" s="26"/>
      <c r="C1794" s="26"/>
      <c r="D1794" s="26"/>
      <c r="E1794" s="26"/>
      <c r="F1794" s="26"/>
      <c r="G1794" s="26"/>
      <c r="H1794" s="26"/>
      <c r="I1794" s="26"/>
      <c r="J1794" s="26"/>
      <c r="K1794" s="26"/>
      <c r="L1794" s="26"/>
      <c r="M1794" s="26"/>
      <c r="N1794" s="26"/>
      <c r="O1794" s="14" t="str">
        <f>HYPERLINK("https://otsuka-europe-crm.veevavault.com/ui/#object/email_activity__v/V8C000000043564", "EN-002102652")</f>
        <v>EN-002102652</v>
      </c>
    </row>
    <row r="1795" spans="1:15" ht="16" x14ac:dyDescent="0.2">
      <c r="A1795" s="19"/>
      <c r="B1795" s="19"/>
      <c r="C1795" s="19"/>
      <c r="D1795" s="19"/>
      <c r="E1795" s="19"/>
      <c r="F1795" s="19"/>
      <c r="G1795" s="19"/>
      <c r="H1795" s="19"/>
      <c r="I1795" s="19"/>
      <c r="J1795" s="19"/>
      <c r="K1795" s="19"/>
      <c r="L1795" s="19"/>
      <c r="M1795" s="19"/>
      <c r="N1795" s="19"/>
      <c r="O1795" s="14" t="str">
        <f>HYPERLINK("https://otsuka-europe-crm.veevavault.com/ui/#object/email_activity__v/V8C00000004D461", "EN-002109005")</f>
        <v>EN-002109005</v>
      </c>
    </row>
    <row r="1796" spans="1:15" ht="32" x14ac:dyDescent="0.2">
      <c r="A1796" s="7" t="str">
        <f>HYPERLINK("https://otsuka-europe-crm.veevavault.com/ui/#object/account__v/V4TZ0000062PB3N", "Aaliya Adnan")</f>
        <v>Aaliya Adnan</v>
      </c>
      <c r="B1796" s="7" t="str">
        <f>HYPERLINK("https://otsuka-europe-crm.veevavault.com/ui/#object/vcountry__v/VENZ000004SONFK", "GB")</f>
        <v>GB</v>
      </c>
      <c r="C1796" s="8" t="s">
        <v>41</v>
      </c>
      <c r="D1796" s="9" t="str">
        <f>HYPERLINK("https://otsuka-europe-crm.veevavault.com/ui/#object/approved_document__v/V5O00000000I022", "Aripiprazole 960mg FAQ VAE")</f>
        <v>Aripiprazole 960mg FAQ VAE</v>
      </c>
      <c r="E1796" s="10" t="str">
        <f>HYPERLINK("https://otsuka-europe-crm.veevavault.com/ui/#object/sent_email__v/VBL000000034139", "SE-001442490")</f>
        <v>SE-001442490</v>
      </c>
      <c r="F1796" s="11"/>
      <c r="G1796" s="12">
        <v>0</v>
      </c>
      <c r="H1796" s="12">
        <v>0</v>
      </c>
      <c r="I1796" s="12">
        <v>0</v>
      </c>
      <c r="J1796" s="11"/>
      <c r="K1796" s="12">
        <v>0</v>
      </c>
      <c r="L1796" s="10" t="str">
        <f>HYPERLINK("https://otsuka-europe-crm.veevavault.com/ui/#object/approved_document__v/V5O00000000I022", "Aripiprazole 960mg FAQ VAE")</f>
        <v>Aripiprazole 960mg FAQ VAE</v>
      </c>
      <c r="M1796" s="10" t="str">
        <f>HYPERLINK("mailto:sfinnigan@crm.otsuka-europe.com", "sfinnigan@crm.otsuka-europe.com")</f>
        <v>sfinnigan@crm.otsuka-europe.com</v>
      </c>
      <c r="N1796" s="13">
        <v>46209.624085648145</v>
      </c>
      <c r="O1796" s="14" t="str">
        <f>HYPERLINK("https://otsuka-europe-crm.veevavault.com/ui/#object/email_activity__v/V8C000000043510", "EN-002102554")</f>
        <v>EN-002102554</v>
      </c>
    </row>
    <row r="1797" spans="1:15" ht="32" x14ac:dyDescent="0.2">
      <c r="A1797" s="7" t="str">
        <f>HYPERLINK("https://otsuka-europe-crm.veevavault.com/ui/#object/account__v/V4TZ06G6O8L0YNP", "Rashid Ahmad")</f>
        <v>Rashid Ahmad</v>
      </c>
      <c r="B1797" s="7" t="str">
        <f>HYPERLINK("https://otsuka-europe-crm.veevavault.com/ui/#object/vcountry__v/VENZ000004SONFK", "GB")</f>
        <v>GB</v>
      </c>
      <c r="C1797" s="8" t="s">
        <v>41</v>
      </c>
      <c r="D1797" s="9" t="str">
        <f>HYPERLINK("https://otsuka-europe-crm.veevavault.com/ui/#object/approved_document__v/V5O00000000I022", "Aripiprazole 960mg FAQ VAE")</f>
        <v>Aripiprazole 960mg FAQ VAE</v>
      </c>
      <c r="E1797" s="10" t="str">
        <f>HYPERLINK("https://otsuka-europe-crm.veevavault.com/ui/#object/sent_email__v/VBL000000034140", "SE-001442491")</f>
        <v>SE-001442491</v>
      </c>
      <c r="F1797" s="11"/>
      <c r="G1797" s="12">
        <v>0</v>
      </c>
      <c r="H1797" s="12">
        <v>0</v>
      </c>
      <c r="I1797" s="12">
        <v>0</v>
      </c>
      <c r="J1797" s="11"/>
      <c r="K1797" s="12">
        <v>0</v>
      </c>
      <c r="L1797" s="10" t="str">
        <f>HYPERLINK("https://otsuka-europe-crm.veevavault.com/ui/#object/approved_document__v/V5O00000000I022", "Aripiprazole 960mg FAQ VAE")</f>
        <v>Aripiprazole 960mg FAQ VAE</v>
      </c>
      <c r="M1797" s="10" t="str">
        <f>HYPERLINK("mailto:sfinnigan@crm.otsuka-europe.com", "sfinnigan@crm.otsuka-europe.com")</f>
        <v>sfinnigan@crm.otsuka-europe.com</v>
      </c>
      <c r="N1797" s="13">
        <v>46209.624791666669</v>
      </c>
      <c r="O1797" s="14" t="str">
        <f>HYPERLINK("https://otsuka-europe-crm.veevavault.com/ui/#object/email_activity__v/V8C000000044490", "EN-002102556")</f>
        <v>EN-002102556</v>
      </c>
    </row>
    <row r="1798" spans="1:15" ht="16" x14ac:dyDescent="0.2">
      <c r="A1798" s="18" t="str">
        <f>HYPERLINK("https://otsuka-europe-crm.veevavault.com/ui/#object/account__v/V4T000000023098", "ANTONELA SCIARROTTA")</f>
        <v>ANTONELA SCIARROTTA</v>
      </c>
      <c r="B1798" s="18" t="str">
        <f>HYPERLINK("https://otsuka-europe-crm.veevavault.com/ui/#object/vcountry__v/VENZ000004SONF5", "ES")</f>
        <v>ES</v>
      </c>
      <c r="C1798" s="20" t="s">
        <v>39</v>
      </c>
      <c r="D1798" s="21" t="str">
        <f>HYPERLINK("https://otsuka-europe-crm.veevavault.com/ui/#object/approved_document__v/V5OZ04ASG4FWKA9", "Documento Autorizaciขn Centro Empleador")</f>
        <v>Documento Autorizaciขn Centro Empleador</v>
      </c>
      <c r="E1798" s="22" t="str">
        <f>HYPERLINK("https://otsuka-europe-crm.veevavault.com/ui/#object/sent_email__v/VBL000000034141", "SE-001442492")</f>
        <v>SE-001442492</v>
      </c>
      <c r="F1798" s="25">
        <v>46209.832997685182</v>
      </c>
      <c r="G1798" s="24">
        <v>1</v>
      </c>
      <c r="H1798" s="24">
        <v>2</v>
      </c>
      <c r="I1798" s="24">
        <v>1</v>
      </c>
      <c r="J1798" s="25">
        <v>46209.833043981482</v>
      </c>
      <c r="K1798" s="24">
        <v>2</v>
      </c>
      <c r="L1798" s="22" t="str">
        <f>HYPERLINK("https://otsuka-europe-crm.veevavault.com/ui/#object/approved_document__v/V5OZ04ASG4FWKA9", "Documento Autorizaciขn Centro Empleador")</f>
        <v>Documento Autorizaciขn Centro Empleador</v>
      </c>
      <c r="M1798" s="22" t="str">
        <f>HYPERLINK("mailto:jllombart@crm.otsuka-europe.com", "jllombart@crm.otsuka-europe.com")</f>
        <v>jllombart@crm.otsuka-europe.com</v>
      </c>
      <c r="N1798" s="25">
        <v>46209.655821759261</v>
      </c>
      <c r="O1798" s="14" t="str">
        <f>HYPERLINK("https://otsuka-europe-crm.veevavault.com/ui/#object/email_activity__v/V8C000000043516", "EN-002102565")</f>
        <v>EN-002102565</v>
      </c>
    </row>
    <row r="1799" spans="1:15" ht="16" x14ac:dyDescent="0.2">
      <c r="A1799" s="26"/>
      <c r="B1799" s="26"/>
      <c r="C1799" s="26"/>
      <c r="D1799" s="26"/>
      <c r="E1799" s="26"/>
      <c r="F1799" s="26"/>
      <c r="G1799" s="26"/>
      <c r="H1799" s="26"/>
      <c r="I1799" s="26"/>
      <c r="J1799" s="26"/>
      <c r="K1799" s="26"/>
      <c r="L1799" s="26"/>
      <c r="M1799" s="26"/>
      <c r="N1799" s="26"/>
      <c r="O1799" s="14" t="str">
        <f>HYPERLINK("https://otsuka-europe-crm.veevavault.com/ui/#object/email_activity__v/V8C000000044492", "EN-002102563")</f>
        <v>EN-002102563</v>
      </c>
    </row>
    <row r="1800" spans="1:15" ht="16" x14ac:dyDescent="0.2">
      <c r="A1800" s="26"/>
      <c r="B1800" s="26"/>
      <c r="C1800" s="26"/>
      <c r="D1800" s="26"/>
      <c r="E1800" s="26"/>
      <c r="F1800" s="26"/>
      <c r="G1800" s="26"/>
      <c r="H1800" s="26"/>
      <c r="I1800" s="26"/>
      <c r="J1800" s="26"/>
      <c r="K1800" s="26"/>
      <c r="L1800" s="26"/>
      <c r="M1800" s="26"/>
      <c r="N1800" s="26"/>
      <c r="O1800" s="14" t="str">
        <f>HYPERLINK("https://otsuka-europe-crm.veevavault.com/ui/#object/email_activity__v/V8C000000044493", "EN-002102564")</f>
        <v>EN-002102564</v>
      </c>
    </row>
    <row r="1801" spans="1:15" ht="16" x14ac:dyDescent="0.2">
      <c r="A1801" s="26"/>
      <c r="B1801" s="26"/>
      <c r="C1801" s="26"/>
      <c r="D1801" s="26"/>
      <c r="E1801" s="26"/>
      <c r="F1801" s="26"/>
      <c r="G1801" s="26"/>
      <c r="H1801" s="26"/>
      <c r="I1801" s="26"/>
      <c r="J1801" s="26"/>
      <c r="K1801" s="26"/>
      <c r="L1801" s="26"/>
      <c r="M1801" s="26"/>
      <c r="N1801" s="26"/>
      <c r="O1801" s="14" t="str">
        <f>HYPERLINK("https://otsuka-europe-crm.veevavault.com/ui/#object/email_activity__v/V8C000000044510", "EN-002102599")</f>
        <v>EN-002102599</v>
      </c>
    </row>
    <row r="1802" spans="1:15" ht="16" x14ac:dyDescent="0.2">
      <c r="A1802" s="19"/>
      <c r="B1802" s="19"/>
      <c r="C1802" s="19"/>
      <c r="D1802" s="19"/>
      <c r="E1802" s="19"/>
      <c r="F1802" s="19"/>
      <c r="G1802" s="19"/>
      <c r="H1802" s="19"/>
      <c r="I1802" s="19"/>
      <c r="J1802" s="19"/>
      <c r="K1802" s="19"/>
      <c r="L1802" s="19"/>
      <c r="M1802" s="19"/>
      <c r="N1802" s="19"/>
      <c r="O1802" s="14" t="str">
        <f>HYPERLINK("https://otsuka-europe-crm.veevavault.com/ui/#object/email_activity__v/V8C000000044511", "EN-002102600")</f>
        <v>EN-002102600</v>
      </c>
    </row>
    <row r="1803" spans="1:15" ht="16" x14ac:dyDescent="0.2">
      <c r="A1803" s="18" t="str">
        <f>HYPERLINK("https://otsuka-europe-crm.veevavault.com/ui/#object/account__v/V4T000000023098", "ANTONELA SCIARROTTA")</f>
        <v>ANTONELA SCIARROTTA</v>
      </c>
      <c r="B1803" s="18" t="str">
        <f>HYPERLINK("https://otsuka-europe-crm.veevavault.com/ui/#object/vcountry__v/VENZ000004SONF5", "ES")</f>
        <v>ES</v>
      </c>
      <c r="C1803" s="20" t="s">
        <v>39</v>
      </c>
      <c r="D1803" s="21" t="str">
        <f>HYPERLINK("https://otsuka-europe-crm.veevavault.com/ui/#object/approved_document__v/V5O00000000D100", "Spain - Consent Email 1 Aug 25")</f>
        <v>Spain - Consent Email 1 Aug 25</v>
      </c>
      <c r="E1803" s="22" t="str">
        <f>HYPERLINK("https://otsuka-europe-crm.veevavault.com/ui/#object/sent_email__v/VBL000000034142", "SE-001442493")</f>
        <v>SE-001442493</v>
      </c>
      <c r="F1803" s="25">
        <v>46209.675555555557</v>
      </c>
      <c r="G1803" s="24">
        <v>1</v>
      </c>
      <c r="H1803" s="24">
        <v>1</v>
      </c>
      <c r="I1803" s="24">
        <v>1</v>
      </c>
      <c r="J1803" s="25">
        <v>46209.834803240738</v>
      </c>
      <c r="K1803" s="24">
        <v>4</v>
      </c>
      <c r="L1803" s="22" t="str">
        <f>HYPERLINK("https://otsuka-europe-crm.veevavault.com/ui/#object/approved_document__v/V5O00000000D100", "Spain - Consent Email 1 Aug 25")</f>
        <v>Spain - Consent Email 1 Aug 25</v>
      </c>
      <c r="M1803" s="22" t="str">
        <f>HYPERLINK("mailto:jllombart@crm.otsuka-europe.com", "jllombart@crm.otsuka-europe.com")</f>
        <v>jllombart@crm.otsuka-europe.com</v>
      </c>
      <c r="N1803" s="25">
        <v>46209.655821759261</v>
      </c>
      <c r="O1803" s="14" t="str">
        <f>HYPERLINK("https://otsuka-europe-crm.veevavault.com/ui/#object/email_activity__v/V8C000000043515", "EN-002102561")</f>
        <v>EN-002102561</v>
      </c>
    </row>
    <row r="1804" spans="1:15" ht="16" x14ac:dyDescent="0.2">
      <c r="A1804" s="26"/>
      <c r="B1804" s="26"/>
      <c r="C1804" s="26"/>
      <c r="D1804" s="26"/>
      <c r="E1804" s="26"/>
      <c r="F1804" s="26"/>
      <c r="G1804" s="26"/>
      <c r="H1804" s="26"/>
      <c r="I1804" s="26"/>
      <c r="J1804" s="26"/>
      <c r="K1804" s="26"/>
      <c r="L1804" s="26"/>
      <c r="M1804" s="26"/>
      <c r="N1804" s="26"/>
      <c r="O1804" s="14" t="str">
        <f>HYPERLINK("https://otsuka-europe-crm.veevavault.com/ui/#object/email_activity__v/V8C000000043517", "EN-002102569")</f>
        <v>EN-002102569</v>
      </c>
    </row>
    <row r="1805" spans="1:15" ht="16" x14ac:dyDescent="0.2">
      <c r="A1805" s="26"/>
      <c r="B1805" s="26"/>
      <c r="C1805" s="26"/>
      <c r="D1805" s="26"/>
      <c r="E1805" s="26"/>
      <c r="F1805" s="26"/>
      <c r="G1805" s="26"/>
      <c r="H1805" s="26"/>
      <c r="I1805" s="26"/>
      <c r="J1805" s="26"/>
      <c r="K1805" s="26"/>
      <c r="L1805" s="26"/>
      <c r="M1805" s="26"/>
      <c r="N1805" s="26"/>
      <c r="O1805" s="14" t="str">
        <f>HYPERLINK("https://otsuka-europe-crm.veevavault.com/ui/#object/email_activity__v/V8C000000043518", "EN-002102567")</f>
        <v>EN-002102567</v>
      </c>
    </row>
    <row r="1806" spans="1:15" ht="16" x14ac:dyDescent="0.2">
      <c r="A1806" s="26"/>
      <c r="B1806" s="26"/>
      <c r="C1806" s="26"/>
      <c r="D1806" s="26"/>
      <c r="E1806" s="26"/>
      <c r="F1806" s="26"/>
      <c r="G1806" s="26"/>
      <c r="H1806" s="26"/>
      <c r="I1806" s="26"/>
      <c r="J1806" s="26"/>
      <c r="K1806" s="26"/>
      <c r="L1806" s="26"/>
      <c r="M1806" s="26"/>
      <c r="N1806" s="26"/>
      <c r="O1806" s="14" t="str">
        <f>HYPERLINK("https://otsuka-europe-crm.veevavault.com/ui/#object/email_activity__v/V8C000000044512", "EN-002102601")</f>
        <v>EN-002102601</v>
      </c>
    </row>
    <row r="1807" spans="1:15" ht="16" x14ac:dyDescent="0.2">
      <c r="A1807" s="26"/>
      <c r="B1807" s="26"/>
      <c r="C1807" s="26"/>
      <c r="D1807" s="26"/>
      <c r="E1807" s="26"/>
      <c r="F1807" s="26"/>
      <c r="G1807" s="26"/>
      <c r="H1807" s="26"/>
      <c r="I1807" s="26"/>
      <c r="J1807" s="26"/>
      <c r="K1807" s="26"/>
      <c r="L1807" s="26"/>
      <c r="M1807" s="26"/>
      <c r="N1807" s="26"/>
      <c r="O1807" s="14" t="str">
        <f>HYPERLINK("https://otsuka-europe-crm.veevavault.com/ui/#object/email_activity__v/V8C000000044514", "EN-002102603")</f>
        <v>EN-002102603</v>
      </c>
    </row>
    <row r="1808" spans="1:15" ht="16" x14ac:dyDescent="0.2">
      <c r="A1808" s="19"/>
      <c r="B1808" s="19"/>
      <c r="C1808" s="19"/>
      <c r="D1808" s="19"/>
      <c r="E1808" s="19"/>
      <c r="F1808" s="19"/>
      <c r="G1808" s="19"/>
      <c r="H1808" s="19"/>
      <c r="I1808" s="19"/>
      <c r="J1808" s="19"/>
      <c r="K1808" s="19"/>
      <c r="L1808" s="19"/>
      <c r="M1808" s="19"/>
      <c r="N1808" s="19"/>
      <c r="O1808" s="14" t="str">
        <f>HYPERLINK("https://otsuka-europe-crm.veevavault.com/ui/#object/email_activity__v/V8C000000044515", "EN-002102604")</f>
        <v>EN-002102604</v>
      </c>
    </row>
    <row r="1809" spans="1:15" ht="16" x14ac:dyDescent="0.2">
      <c r="A1809" s="18" t="str">
        <f>HYPERLINK("https://otsuka-europe-crm.veevavault.com/ui/#object/account__v/V4T000000023098", "ANTONELA SCIARROTTA")</f>
        <v>ANTONELA SCIARROTTA</v>
      </c>
      <c r="B1809" s="18" t="str">
        <f>HYPERLINK("https://otsuka-europe-crm.veevavault.com/ui/#object/vcountry__v/VENZ000004SONF5", "ES")</f>
        <v>ES</v>
      </c>
      <c r="C1809" s="20" t="s">
        <v>39</v>
      </c>
      <c r="D1809" s="21" t="str">
        <f>HYPERLINK("https://otsuka-europe-crm.veevavault.com/ui/#object/approved_document__v/V5OZ04ASG4FWKA7", "Reuniones Online Consent - 2")</f>
        <v>Reuniones Online Consent - 2</v>
      </c>
      <c r="E1809" s="22" t="str">
        <f>HYPERLINK("https://otsuka-europe-crm.veevavault.com/ui/#object/sent_email__v/VBL000000034143", "SE-001442494")</f>
        <v>SE-001442494</v>
      </c>
      <c r="F1809" s="25">
        <v>46209.675416666665</v>
      </c>
      <c r="G1809" s="24">
        <v>1</v>
      </c>
      <c r="H1809" s="24">
        <v>1</v>
      </c>
      <c r="I1809" s="24">
        <v>1</v>
      </c>
      <c r="J1809" s="25">
        <v>46209.675416666665</v>
      </c>
      <c r="K1809" s="24">
        <v>1</v>
      </c>
      <c r="L1809" s="22" t="str">
        <f>HYPERLINK("https://otsuka-europe-crm.veevavault.com/ui/#object/approved_document__v/V5OZ04ASG4FWKA7", "Reuniones Online Consent - 2")</f>
        <v>Reuniones Online Consent - 2</v>
      </c>
      <c r="M1809" s="22" t="str">
        <f>HYPERLINK("mailto:jllombart@crm.otsuka-europe.com", "jllombart@crm.otsuka-europe.com")</f>
        <v>jllombart@crm.otsuka-europe.com</v>
      </c>
      <c r="N1809" s="25">
        <v>46209.655821759261</v>
      </c>
      <c r="O1809" s="14" t="str">
        <f>HYPERLINK("https://otsuka-europe-crm.veevavault.com/ui/#object/email_activity__v/V8C000000044491", "EN-002102562")</f>
        <v>EN-002102562</v>
      </c>
    </row>
    <row r="1810" spans="1:15" ht="16" x14ac:dyDescent="0.2">
      <c r="A1810" s="26"/>
      <c r="B1810" s="26"/>
      <c r="C1810" s="26"/>
      <c r="D1810" s="26"/>
      <c r="E1810" s="26"/>
      <c r="F1810" s="26"/>
      <c r="G1810" s="26"/>
      <c r="H1810" s="26"/>
      <c r="I1810" s="26"/>
      <c r="J1810" s="26"/>
      <c r="K1810" s="26"/>
      <c r="L1810" s="26"/>
      <c r="M1810" s="26"/>
      <c r="N1810" s="26"/>
      <c r="O1810" s="14" t="str">
        <f>HYPERLINK("https://otsuka-europe-crm.veevavault.com/ui/#object/email_activity__v/V8C000000044494", "EN-002102568")</f>
        <v>EN-002102568</v>
      </c>
    </row>
    <row r="1811" spans="1:15" ht="16" x14ac:dyDescent="0.2">
      <c r="A1811" s="19"/>
      <c r="B1811" s="19"/>
      <c r="C1811" s="19"/>
      <c r="D1811" s="19"/>
      <c r="E1811" s="19"/>
      <c r="F1811" s="19"/>
      <c r="G1811" s="19"/>
      <c r="H1811" s="19"/>
      <c r="I1811" s="19"/>
      <c r="J1811" s="19"/>
      <c r="K1811" s="19"/>
      <c r="L1811" s="19"/>
      <c r="M1811" s="19"/>
      <c r="N1811" s="19"/>
      <c r="O1811" s="14" t="str">
        <f>HYPERLINK("https://otsuka-europe-crm.veevavault.com/ui/#object/email_activity__v/V8C000000044495", "EN-002102566")</f>
        <v>EN-002102566</v>
      </c>
    </row>
    <row r="1812" spans="1:15" ht="32" x14ac:dyDescent="0.2">
      <c r="A1812" s="7" t="str">
        <f>HYPERLINK("https://otsuka-europe-crm.veevavault.com/ui/#object/account__v/V4TZ06G6O71SB8N", "ALESSANDRA LAUDATO")</f>
        <v>ALESSANDRA LAUDATO</v>
      </c>
      <c r="B1812" s="7" t="str">
        <f t="shared" ref="B1812:B1817" si="48">HYPERLINK("https://otsuka-europe-crm.veevavault.com/ui/#object/vcountry__v/VENZ000004SONFQ", "IT")</f>
        <v>IT</v>
      </c>
      <c r="C1812" s="8" t="s">
        <v>42</v>
      </c>
      <c r="D1812" s="9" t="str">
        <f t="shared" ref="D1812:D1817" si="49">HYPERLINK("https://otsuka-europe-crm.veevavault.com/ui/#object/approved_document__v/V5O00000001G004", "Branded_RXULTI_AE Ansia_IT-RXU-2500035")</f>
        <v>Branded_RXULTI_AE Ansia_IT-RXU-2500035</v>
      </c>
      <c r="E1812" s="10" t="str">
        <f>HYPERLINK("https://otsuka-europe-crm.veevavault.com/ui/#object/sent_email__v/VBL000000032218", "SE-001442495")</f>
        <v>SE-001442495</v>
      </c>
      <c r="F1812" s="11"/>
      <c r="G1812" s="12">
        <v>0</v>
      </c>
      <c r="H1812" s="12">
        <v>0</v>
      </c>
      <c r="I1812" s="12">
        <v>0</v>
      </c>
      <c r="J1812" s="11"/>
      <c r="K1812" s="12">
        <v>0</v>
      </c>
      <c r="L1812" s="10" t="str">
        <f t="shared" ref="L1812:L1817" si="50">HYPERLINK("https://otsuka-europe-crm.veevavault.com/ui/#object/approved_document__v/V5O00000001G004", "Branded_RXULTI_AE Ansia_IT-RXU-2500035")</f>
        <v>Branded_RXULTI_AE Ansia_IT-RXU-2500035</v>
      </c>
      <c r="M1812" s="10" t="str">
        <f t="shared" ref="M1812:M1817" si="51">HYPERLINK("mailto:maria.gargiulo@crm.otsuka-europe.com", "maria.gargiulo@crm.otsuka-europe.com")</f>
        <v>maria.gargiulo@crm.otsuka-europe.com</v>
      </c>
      <c r="N1812" s="13">
        <v>46210.254884259259</v>
      </c>
      <c r="O1812" s="14" t="str">
        <f>HYPERLINK("https://otsuka-europe-crm.veevavault.com/ui/#object/email_activity__v/V8C000000043556", "EN-002102640")</f>
        <v>EN-002102640</v>
      </c>
    </row>
    <row r="1813" spans="1:15" ht="32" x14ac:dyDescent="0.2">
      <c r="A1813" s="7" t="str">
        <f>HYPERLINK("https://otsuka-europe-crm.veevavault.com/ui/#object/account__v/V4TZ06G6O71SB5W", "ANASTASIA LEO")</f>
        <v>ANASTASIA LEO</v>
      </c>
      <c r="B1813" s="7" t="str">
        <f t="shared" si="48"/>
        <v>IT</v>
      </c>
      <c r="C1813" s="8" t="s">
        <v>42</v>
      </c>
      <c r="D1813" s="9" t="str">
        <f t="shared" si="49"/>
        <v>Branded_RXULTI_AE Ansia_IT-RXU-2500035</v>
      </c>
      <c r="E1813" s="10" t="str">
        <f>HYPERLINK("https://otsuka-europe-crm.veevavault.com/ui/#object/sent_email__v/VBL000000032219", "SE-001442496")</f>
        <v>SE-001442496</v>
      </c>
      <c r="F1813" s="11"/>
      <c r="G1813" s="12">
        <v>0</v>
      </c>
      <c r="H1813" s="12">
        <v>0</v>
      </c>
      <c r="I1813" s="12">
        <v>0</v>
      </c>
      <c r="J1813" s="11"/>
      <c r="K1813" s="12">
        <v>0</v>
      </c>
      <c r="L1813" s="10" t="str">
        <f t="shared" si="50"/>
        <v>Branded_RXULTI_AE Ansia_IT-RXU-2500035</v>
      </c>
      <c r="M1813" s="10" t="str">
        <f t="shared" si="51"/>
        <v>maria.gargiulo@crm.otsuka-europe.com</v>
      </c>
      <c r="N1813" s="13">
        <v>46210.25508101852</v>
      </c>
      <c r="O1813" s="14" t="str">
        <f>HYPERLINK("https://otsuka-europe-crm.veevavault.com/ui/#object/email_activity__v/V8C000000043557", "EN-002102641")</f>
        <v>EN-002102641</v>
      </c>
    </row>
    <row r="1814" spans="1:15" ht="32" x14ac:dyDescent="0.2">
      <c r="A1814" s="7" t="str">
        <f>HYPERLINK("https://otsuka-europe-crm.veevavault.com/ui/#object/account__v/V4TZ06G6O71SB5T", "GENNARO LEONE")</f>
        <v>GENNARO LEONE</v>
      </c>
      <c r="B1814" s="7" t="str">
        <f t="shared" si="48"/>
        <v>IT</v>
      </c>
      <c r="C1814" s="8" t="s">
        <v>42</v>
      </c>
      <c r="D1814" s="9" t="str">
        <f t="shared" si="49"/>
        <v>Branded_RXULTI_AE Ansia_IT-RXU-2500035</v>
      </c>
      <c r="E1814" s="10" t="str">
        <f>HYPERLINK("https://otsuka-europe-crm.veevavault.com/ui/#object/sent_email__v/VBL000000032220", "SE-001442497")</f>
        <v>SE-001442497</v>
      </c>
      <c r="F1814" s="11"/>
      <c r="G1814" s="12">
        <v>0</v>
      </c>
      <c r="H1814" s="12">
        <v>0</v>
      </c>
      <c r="I1814" s="12">
        <v>0</v>
      </c>
      <c r="J1814" s="11"/>
      <c r="K1814" s="12">
        <v>0</v>
      </c>
      <c r="L1814" s="10" t="str">
        <f t="shared" si="50"/>
        <v>Branded_RXULTI_AE Ansia_IT-RXU-2500035</v>
      </c>
      <c r="M1814" s="10" t="str">
        <f t="shared" si="51"/>
        <v>maria.gargiulo@crm.otsuka-europe.com</v>
      </c>
      <c r="N1814" s="13">
        <v>46210.255219907405</v>
      </c>
      <c r="O1814" s="14" t="str">
        <f>HYPERLINK("https://otsuka-europe-crm.veevavault.com/ui/#object/email_activity__v/V8C000000043558", "EN-002102642")</f>
        <v>EN-002102642</v>
      </c>
    </row>
    <row r="1815" spans="1:15" ht="32" x14ac:dyDescent="0.2">
      <c r="A1815" s="7" t="str">
        <f>HYPERLINK("https://otsuka-europe-crm.veevavault.com/ui/#object/account__v/V4TZ06G6O71SB61", "FRANCA LEPRE")</f>
        <v>FRANCA LEPRE</v>
      </c>
      <c r="B1815" s="7" t="str">
        <f t="shared" si="48"/>
        <v>IT</v>
      </c>
      <c r="C1815" s="8" t="s">
        <v>42</v>
      </c>
      <c r="D1815" s="9" t="str">
        <f t="shared" si="49"/>
        <v>Branded_RXULTI_AE Ansia_IT-RXU-2500035</v>
      </c>
      <c r="E1815" s="10" t="str">
        <f>HYPERLINK("https://otsuka-europe-crm.veevavault.com/ui/#object/sent_email__v/VBL000000032221", "SE-001442498")</f>
        <v>SE-001442498</v>
      </c>
      <c r="F1815" s="11"/>
      <c r="G1815" s="12">
        <v>0</v>
      </c>
      <c r="H1815" s="12">
        <v>0</v>
      </c>
      <c r="I1815" s="12">
        <v>0</v>
      </c>
      <c r="J1815" s="11"/>
      <c r="K1815" s="12">
        <v>0</v>
      </c>
      <c r="L1815" s="10" t="str">
        <f t="shared" si="50"/>
        <v>Branded_RXULTI_AE Ansia_IT-RXU-2500035</v>
      </c>
      <c r="M1815" s="10" t="str">
        <f t="shared" si="51"/>
        <v>maria.gargiulo@crm.otsuka-europe.com</v>
      </c>
      <c r="N1815" s="13">
        <v>46210.255555555559</v>
      </c>
      <c r="O1815" s="14" t="str">
        <f>HYPERLINK("https://otsuka-europe-crm.veevavault.com/ui/#object/email_activity__v/V8C000000043559", "EN-002102643")</f>
        <v>EN-002102643</v>
      </c>
    </row>
    <row r="1816" spans="1:15" ht="32" x14ac:dyDescent="0.2">
      <c r="A1816" s="7" t="str">
        <f>HYPERLINK("https://otsuka-europe-crm.veevavault.com/ui/#object/account__v/V4TZ04ASGDOWW1K", "CLAUDIA MASSARELLI")</f>
        <v>CLAUDIA MASSARELLI</v>
      </c>
      <c r="B1816" s="7" t="str">
        <f t="shared" si="48"/>
        <v>IT</v>
      </c>
      <c r="C1816" s="8" t="s">
        <v>42</v>
      </c>
      <c r="D1816" s="9" t="str">
        <f t="shared" si="49"/>
        <v>Branded_RXULTI_AE Ansia_IT-RXU-2500035</v>
      </c>
      <c r="E1816" s="10" t="str">
        <f>HYPERLINK("https://otsuka-europe-crm.veevavault.com/ui/#object/sent_email__v/VBL000000032222", "SE-001442499")</f>
        <v>SE-001442499</v>
      </c>
      <c r="F1816" s="11"/>
      <c r="G1816" s="12">
        <v>0</v>
      </c>
      <c r="H1816" s="12">
        <v>0</v>
      </c>
      <c r="I1816" s="12">
        <v>0</v>
      </c>
      <c r="J1816" s="11"/>
      <c r="K1816" s="12">
        <v>0</v>
      </c>
      <c r="L1816" s="10" t="str">
        <f t="shared" si="50"/>
        <v>Branded_RXULTI_AE Ansia_IT-RXU-2500035</v>
      </c>
      <c r="M1816" s="10" t="str">
        <f t="shared" si="51"/>
        <v>maria.gargiulo@crm.otsuka-europe.com</v>
      </c>
      <c r="N1816" s="13">
        <v>46210.255960648145</v>
      </c>
      <c r="O1816" s="14" t="str">
        <f>HYPERLINK("https://otsuka-europe-crm.veevavault.com/ui/#object/email_activity__v/V8C000000043560", "EN-002102644")</f>
        <v>EN-002102644</v>
      </c>
    </row>
    <row r="1817" spans="1:15" ht="16" x14ac:dyDescent="0.2">
      <c r="A1817" s="18" t="str">
        <f>HYPERLINK("https://otsuka-europe-crm.veevavault.com/ui/#object/account__v/V4TZ06G6O71SBI0", "RAFFAELLA MAZZIOTTI DI CELSO")</f>
        <v>RAFFAELLA MAZZIOTTI DI CELSO</v>
      </c>
      <c r="B1817" s="18" t="str">
        <f t="shared" si="48"/>
        <v>IT</v>
      </c>
      <c r="C1817" s="20" t="s">
        <v>42</v>
      </c>
      <c r="D1817" s="21" t="str">
        <f t="shared" si="49"/>
        <v>Branded_RXULTI_AE Ansia_IT-RXU-2500035</v>
      </c>
      <c r="E1817" s="22" t="str">
        <f>HYPERLINK("https://otsuka-europe-crm.veevavault.com/ui/#object/sent_email__v/VBL000000032223", "SE-001442500")</f>
        <v>SE-001442500</v>
      </c>
      <c r="F1817" s="25">
        <v>46218.691493055558</v>
      </c>
      <c r="G1817" s="24">
        <v>1</v>
      </c>
      <c r="H1817" s="24">
        <v>1</v>
      </c>
      <c r="I1817" s="24">
        <v>0</v>
      </c>
      <c r="J1817" s="23"/>
      <c r="K1817" s="24">
        <v>0</v>
      </c>
      <c r="L1817" s="22" t="str">
        <f t="shared" si="50"/>
        <v>Branded_RXULTI_AE Ansia_IT-RXU-2500035</v>
      </c>
      <c r="M1817" s="22" t="str">
        <f t="shared" si="51"/>
        <v>maria.gargiulo@crm.otsuka-europe.com</v>
      </c>
      <c r="N1817" s="25">
        <v>46210.256296296298</v>
      </c>
      <c r="O1817" s="14" t="str">
        <f>HYPERLINK("https://otsuka-europe-crm.veevavault.com/ui/#object/email_activity__v/V8C000000043561", "EN-002102645")</f>
        <v>EN-002102645</v>
      </c>
    </row>
    <row r="1818" spans="1:15" ht="16" x14ac:dyDescent="0.2">
      <c r="A1818" s="26"/>
      <c r="B1818" s="26"/>
      <c r="C1818" s="26"/>
      <c r="D1818" s="26"/>
      <c r="E1818" s="26"/>
      <c r="F1818" s="26"/>
      <c r="G1818" s="26"/>
      <c r="H1818" s="26"/>
      <c r="I1818" s="26"/>
      <c r="J1818" s="26"/>
      <c r="K1818" s="26"/>
      <c r="L1818" s="26"/>
      <c r="M1818" s="26"/>
      <c r="N1818" s="26"/>
      <c r="O1818" s="14" t="str">
        <f>HYPERLINK("https://otsuka-europe-crm.veevavault.com/ui/#object/email_activity__v/V8C000000044533", "EN-002102653")</f>
        <v>EN-002102653</v>
      </c>
    </row>
    <row r="1819" spans="1:15" ht="16" x14ac:dyDescent="0.2">
      <c r="A1819" s="19"/>
      <c r="B1819" s="19"/>
      <c r="C1819" s="19"/>
      <c r="D1819" s="19"/>
      <c r="E1819" s="19"/>
      <c r="F1819" s="19"/>
      <c r="G1819" s="19"/>
      <c r="H1819" s="19"/>
      <c r="I1819" s="19"/>
      <c r="J1819" s="19"/>
      <c r="K1819" s="19"/>
      <c r="L1819" s="19"/>
      <c r="M1819" s="19"/>
      <c r="N1819" s="19"/>
      <c r="O1819" s="14" t="str">
        <f>HYPERLINK("https://otsuka-europe-crm.veevavault.com/ui/#object/email_activity__v/V8C000000049826", "EN-002106488")</f>
        <v>EN-002106488</v>
      </c>
    </row>
    <row r="1820" spans="1:15" ht="32" x14ac:dyDescent="0.2">
      <c r="A1820" s="7" t="str">
        <f>HYPERLINK("https://otsuka-europe-crm.veevavault.com/ui/#object/account__v/V4TZ06G6O71SBJF", "ALESSANDRA MIRABELLA")</f>
        <v>ALESSANDRA MIRABELLA</v>
      </c>
      <c r="B1820" s="7" t="str">
        <f>HYPERLINK("https://otsuka-europe-crm.veevavault.com/ui/#object/vcountry__v/VENZ000004SONFQ", "IT")</f>
        <v>IT</v>
      </c>
      <c r="C1820" s="8" t="s">
        <v>42</v>
      </c>
      <c r="D1820" s="9" t="str">
        <f>HYPERLINK("https://otsuka-europe-crm.veevavault.com/ui/#object/approved_document__v/V5O00000001G004", "Branded_RXULTI_AE Ansia_IT-RXU-2500035")</f>
        <v>Branded_RXULTI_AE Ansia_IT-RXU-2500035</v>
      </c>
      <c r="E1820" s="10" t="str">
        <f>HYPERLINK("https://otsuka-europe-crm.veevavault.com/ui/#object/sent_email__v/VBL000000032224", "SE-001442501")</f>
        <v>SE-001442501</v>
      </c>
      <c r="F1820" s="11"/>
      <c r="G1820" s="12">
        <v>0</v>
      </c>
      <c r="H1820" s="12">
        <v>0</v>
      </c>
      <c r="I1820" s="12">
        <v>0</v>
      </c>
      <c r="J1820" s="11"/>
      <c r="K1820" s="12">
        <v>0</v>
      </c>
      <c r="L1820" s="10" t="str">
        <f>HYPERLINK("https://otsuka-europe-crm.veevavault.com/ui/#object/approved_document__v/V5O00000001G004", "Branded_RXULTI_AE Ansia_IT-RXU-2500035")</f>
        <v>Branded_RXULTI_AE Ansia_IT-RXU-2500035</v>
      </c>
      <c r="M1820" s="10" t="str">
        <f>HYPERLINK("mailto:maria.gargiulo@crm.otsuka-europe.com", "maria.gargiulo@crm.otsuka-europe.com")</f>
        <v>maria.gargiulo@crm.otsuka-europe.com</v>
      </c>
      <c r="N1820" s="13">
        <v>46210.256828703707</v>
      </c>
      <c r="O1820" s="14" t="str">
        <f>HYPERLINK("https://otsuka-europe-crm.veevavault.com/ui/#object/email_activity__v/V8C000000044529", "EN-002102646")</f>
        <v>EN-002102646</v>
      </c>
    </row>
    <row r="1821" spans="1:15" ht="32" x14ac:dyDescent="0.2">
      <c r="A1821" s="7" t="str">
        <f>HYPERLINK("https://otsuka-europe-crm.veevavault.com/ui/#object/account__v/V4TZ06G6O71SBO6", "VERONICA LUTGARDA NAPOLITANO")</f>
        <v>VERONICA LUTGARDA NAPOLITANO</v>
      </c>
      <c r="B1821" s="7" t="str">
        <f>HYPERLINK("https://otsuka-europe-crm.veevavault.com/ui/#object/vcountry__v/VENZ000004SONFQ", "IT")</f>
        <v>IT</v>
      </c>
      <c r="C1821" s="8" t="s">
        <v>42</v>
      </c>
      <c r="D1821" s="9" t="str">
        <f>HYPERLINK("https://otsuka-europe-crm.veevavault.com/ui/#object/approved_document__v/V5O00000001G004", "Branded_RXULTI_AE Ansia_IT-RXU-2500035")</f>
        <v>Branded_RXULTI_AE Ansia_IT-RXU-2500035</v>
      </c>
      <c r="E1821" s="10" t="str">
        <f>HYPERLINK("https://otsuka-europe-crm.veevavault.com/ui/#object/sent_email__v/VBL000000032226", "SE-001442504")</f>
        <v>SE-001442504</v>
      </c>
      <c r="F1821" s="11"/>
      <c r="G1821" s="12">
        <v>0</v>
      </c>
      <c r="H1821" s="12">
        <v>0</v>
      </c>
      <c r="I1821" s="12">
        <v>0</v>
      </c>
      <c r="J1821" s="11"/>
      <c r="K1821" s="12">
        <v>0</v>
      </c>
      <c r="L1821" s="10" t="str">
        <f>HYPERLINK("https://otsuka-europe-crm.veevavault.com/ui/#object/approved_document__v/V5O00000001G004", "Branded_RXULTI_AE Ansia_IT-RXU-2500035")</f>
        <v>Branded_RXULTI_AE Ansia_IT-RXU-2500035</v>
      </c>
      <c r="M1821" s="10" t="str">
        <f>HYPERLINK("mailto:maria.gargiulo@crm.otsuka-europe.com", "maria.gargiulo@crm.otsuka-europe.com")</f>
        <v>maria.gargiulo@crm.otsuka-europe.com</v>
      </c>
      <c r="N1821" s="13">
        <v>46210.2578587963</v>
      </c>
      <c r="O1821" s="14" t="str">
        <f>HYPERLINK("https://otsuka-europe-crm.veevavault.com/ui/#object/email_activity__v/V8C000000043562", "EN-002102647")</f>
        <v>EN-002102647</v>
      </c>
    </row>
    <row r="1822" spans="1:15" ht="48" x14ac:dyDescent="0.2">
      <c r="A1822" s="7" t="str">
        <f>HYPERLINK("https://otsuka-europe-crm.veevavault.com/ui/#object/account__v/V4T00000001X194", "JULIEN BOURGEOT")</f>
        <v>JULIEN BOURGEOT</v>
      </c>
      <c r="B1822" s="7" t="str">
        <f>HYPERLINK("https://otsuka-europe-crm.veevavault.com/ui/#object/vcountry__v/VENZ000004SONFA", "FR")</f>
        <v>FR</v>
      </c>
      <c r="C1822" s="8" t="s">
        <v>40</v>
      </c>
      <c r="D1822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822" s="10" t="str">
        <f>HYPERLINK("https://otsuka-europe-crm.veevavault.com/ui/#object/sent_email__v/VBL000000032227", "SE-001442505")</f>
        <v>SE-001442505</v>
      </c>
      <c r="F1822" s="11"/>
      <c r="G1822" s="12">
        <v>0</v>
      </c>
      <c r="H1822" s="12">
        <v>0</v>
      </c>
      <c r="I1822" s="12">
        <v>0</v>
      </c>
      <c r="J1822" s="11"/>
      <c r="K1822" s="12">
        <v>0</v>
      </c>
      <c r="L1822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822" s="10" t="str">
        <f>HYPERLINK("mailto:ijardy@crm.otsuka-europe.com", "ijardy@crm.otsuka-europe.com")</f>
        <v>ijardy@crm.otsuka-europe.com</v>
      </c>
      <c r="N1822" s="13">
        <v>46211.423761574071</v>
      </c>
      <c r="O1822" s="14" t="str">
        <f>HYPERLINK("https://otsuka-europe-crm.veevavault.com/ui/#object/email_activity__v/V8C000000044809", "EN-002103193")</f>
        <v>EN-002103193</v>
      </c>
    </row>
    <row r="1823" spans="1:15" ht="48" x14ac:dyDescent="0.2">
      <c r="A1823" s="7" t="str">
        <f>HYPERLINK("https://otsuka-europe-crm.veevavault.com/ui/#object/account__v/V4TZ00000633OXH", "EMELINE DESFONDS")</f>
        <v>EMELINE DESFONDS</v>
      </c>
      <c r="B1823" s="7" t="str">
        <f>HYPERLINK("https://otsuka-europe-crm.veevavault.com/ui/#object/vcountry__v/VENZ000004SONFA", "FR")</f>
        <v>FR</v>
      </c>
      <c r="C1823" s="8" t="s">
        <v>40</v>
      </c>
      <c r="D1823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823" s="10" t="str">
        <f>HYPERLINK("https://otsuka-europe-crm.veevavault.com/ui/#object/sent_email__v/VBL000000032228", "SE-001442506")</f>
        <v>SE-001442506</v>
      </c>
      <c r="F1823" s="11"/>
      <c r="G1823" s="12">
        <v>0</v>
      </c>
      <c r="H1823" s="12">
        <v>0</v>
      </c>
      <c r="I1823" s="12">
        <v>0</v>
      </c>
      <c r="J1823" s="11"/>
      <c r="K1823" s="12">
        <v>0</v>
      </c>
      <c r="L1823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823" s="10" t="str">
        <f>HYPERLINK("mailto:ijardy@crm.otsuka-europe.com", "ijardy@crm.otsuka-europe.com")</f>
        <v>ijardy@crm.otsuka-europe.com</v>
      </c>
      <c r="N1823" s="13">
        <v>46211.423761574071</v>
      </c>
      <c r="O1823" s="14" t="str">
        <f>HYPERLINK("https://otsuka-europe-crm.veevavault.com/ui/#object/email_activity__v/V8C000000043832", "EN-002103197")</f>
        <v>EN-002103197</v>
      </c>
    </row>
    <row r="1824" spans="1:15" ht="48" x14ac:dyDescent="0.2">
      <c r="A1824" s="7" t="str">
        <f>HYPERLINK("https://otsuka-europe-crm.veevavault.com/ui/#object/account__v/V4TZ04ASG92JEKE", "NESRINE LEKEHAL")</f>
        <v>NESRINE LEKEHAL</v>
      </c>
      <c r="B1824" s="7" t="str">
        <f>HYPERLINK("https://otsuka-europe-crm.veevavault.com/ui/#object/vcountry__v/VENZ000004SONFA", "FR")</f>
        <v>FR</v>
      </c>
      <c r="C1824" s="8" t="s">
        <v>40</v>
      </c>
      <c r="D1824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824" s="10" t="str">
        <f>HYPERLINK("https://otsuka-europe-crm.veevavault.com/ui/#object/sent_email__v/VBL000000034145", "SE-001442507")</f>
        <v>SE-001442507</v>
      </c>
      <c r="F1824" s="11"/>
      <c r="G1824" s="12">
        <v>0</v>
      </c>
      <c r="H1824" s="12">
        <v>0</v>
      </c>
      <c r="I1824" s="12">
        <v>0</v>
      </c>
      <c r="J1824" s="11"/>
      <c r="K1824" s="12">
        <v>0</v>
      </c>
      <c r="L1824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824" s="10" t="str">
        <f>HYPERLINK("mailto:ijardy@crm.otsuka-europe.com", "ijardy@crm.otsuka-europe.com")</f>
        <v>ijardy@crm.otsuka-europe.com</v>
      </c>
      <c r="N1824" s="13">
        <v>46211.423761574071</v>
      </c>
      <c r="O1824" s="14" t="str">
        <f>HYPERLINK("https://otsuka-europe-crm.veevavault.com/ui/#object/email_activity__v/V8C000000043831", "EN-002103196")</f>
        <v>EN-002103196</v>
      </c>
    </row>
    <row r="1825" spans="1:15" ht="48" x14ac:dyDescent="0.2">
      <c r="A1825" s="7" t="str">
        <f>HYPERLINK("https://otsuka-europe-crm.veevavault.com/ui/#object/account__v/V4T000000012032", "CHIARA SPAGNOLO")</f>
        <v>CHIARA SPAGNOLO</v>
      </c>
      <c r="B1825" s="7" t="str">
        <f>HYPERLINK("https://otsuka-europe-crm.veevavault.com/ui/#object/vcountry__v/VENZ000004SONFQ", "IT")</f>
        <v>IT</v>
      </c>
      <c r="C1825" s="8" t="s">
        <v>42</v>
      </c>
      <c r="D1825" s="9" t="str">
        <f>HYPERLINK("https://otsuka-europe-crm.veevavault.com/ui/#object/approved_document__v/V5OZ025E82T9SYM", "ABILIFY 960/720_Branded_AE Burden_IT-AM2-2500124")</f>
        <v>ABILIFY 960/720_Branded_AE Burden_IT-AM2-2500124</v>
      </c>
      <c r="E1825" s="10" t="str">
        <f>HYPERLINK("https://otsuka-europe-crm.veevavault.com/ui/#object/sent_email__v/VBL000000034146", "SE-001442508")</f>
        <v>SE-001442508</v>
      </c>
      <c r="F1825" s="11"/>
      <c r="G1825" s="12">
        <v>0</v>
      </c>
      <c r="H1825" s="12">
        <v>0</v>
      </c>
      <c r="I1825" s="12">
        <v>0</v>
      </c>
      <c r="J1825" s="11"/>
      <c r="K1825" s="12">
        <v>0</v>
      </c>
      <c r="L1825" s="10" t="str">
        <f>HYPERLINK("https://otsuka-europe-crm.veevavault.com/ui/#object/approved_document__v/V5OZ025E82T9SYM", "ABILIFY 960/720_Branded_AE Burden_IT-AM2-2500124")</f>
        <v>ABILIFY 960/720_Branded_AE Burden_IT-AM2-2500124</v>
      </c>
      <c r="M1825" s="10" t="str">
        <f>HYPERLINK("mailto:laura.mallia@crm.otsuka-europe.com", "laura.mallia@crm.otsuka-europe.com")</f>
        <v>laura.mallia@crm.otsuka-europe.com</v>
      </c>
      <c r="N1825" s="13">
        <v>46210.3674537037</v>
      </c>
      <c r="O1825" s="14" t="str">
        <f>HYPERLINK("https://otsuka-europe-crm.veevavault.com/ui/#object/email_activity__v/V8C000000044537", "EN-002102658")</f>
        <v>EN-002102658</v>
      </c>
    </row>
    <row r="1826" spans="1:15" ht="16" x14ac:dyDescent="0.2">
      <c r="A1826" s="18" t="str">
        <f>HYPERLINK("https://otsuka-europe-crm.veevavault.com/ui/#object/account__v/V4TZ06G6O71T86A", "PALOMA MUÑOZ-CALERO FRANCO")</f>
        <v>PALOMA MUÑOZ-CALERO FRANCO</v>
      </c>
      <c r="B1826" s="18" t="str">
        <f>HYPERLINK("https://otsuka-europe-crm.veevavault.com/ui/#object/vcountry__v/VENZ000004SONF5", "ES")</f>
        <v>ES</v>
      </c>
      <c r="C1826" s="20" t="s">
        <v>39</v>
      </c>
      <c r="D1826" s="21" t="str">
        <f>HYPERLINK("https://otsuka-europe-crm.veevavault.com/ui/#object/approved_document__v/V5OZ04ASG4FWKA9", "Documento Autorizaciขn Centro Empleador")</f>
        <v>Documento Autorizaciขn Centro Empleador</v>
      </c>
      <c r="E1826" s="22" t="str">
        <f>HYPERLINK("https://otsuka-europe-crm.veevavault.com/ui/#object/sent_email__v/VBL000000034147", "SE-001442509")</f>
        <v>SE-001442509</v>
      </c>
      <c r="F1826" s="25">
        <v>46210.602546296293</v>
      </c>
      <c r="G1826" s="24">
        <v>1</v>
      </c>
      <c r="H1826" s="24">
        <v>2</v>
      </c>
      <c r="I1826" s="24">
        <v>1</v>
      </c>
      <c r="J1826" s="25">
        <v>46210.602546296293</v>
      </c>
      <c r="K1826" s="24">
        <v>1</v>
      </c>
      <c r="L1826" s="22" t="str">
        <f>HYPERLINK("https://otsuka-europe-crm.veevavault.com/ui/#object/approved_document__v/V5OZ04ASG4FWKA9", "Documento Autorizaciขn Centro Empleador")</f>
        <v>Documento Autorizaciขn Centro Empleador</v>
      </c>
      <c r="M1826" s="22" t="str">
        <f>HYPERLINK("mailto:oestevez@crm.otsuka-europe.com", "oestevez@crm.otsuka-europe.com")</f>
        <v>oestevez@crm.otsuka-europe.com</v>
      </c>
      <c r="N1826" s="25">
        <v>46210.373414351852</v>
      </c>
      <c r="O1826" s="14" t="str">
        <f>HYPERLINK("https://otsuka-europe-crm.veevavault.com/ui/#object/email_activity__v/V8C000000043747", "EN-002103030")</f>
        <v>EN-002103030</v>
      </c>
    </row>
    <row r="1827" spans="1:15" ht="16" x14ac:dyDescent="0.2">
      <c r="A1827" s="26"/>
      <c r="B1827" s="26"/>
      <c r="C1827" s="26"/>
      <c r="D1827" s="26"/>
      <c r="E1827" s="26"/>
      <c r="F1827" s="26"/>
      <c r="G1827" s="26"/>
      <c r="H1827" s="26"/>
      <c r="I1827" s="26"/>
      <c r="J1827" s="26"/>
      <c r="K1827" s="26"/>
      <c r="L1827" s="26"/>
      <c r="M1827" s="26"/>
      <c r="N1827" s="26"/>
      <c r="O1827" s="14" t="str">
        <f>HYPERLINK("https://otsuka-europe-crm.veevavault.com/ui/#object/email_activity__v/V8C000000043748", "EN-002103029")</f>
        <v>EN-002103029</v>
      </c>
    </row>
    <row r="1828" spans="1:15" ht="16" x14ac:dyDescent="0.2">
      <c r="A1828" s="26"/>
      <c r="B1828" s="26"/>
      <c r="C1828" s="26"/>
      <c r="D1828" s="26"/>
      <c r="E1828" s="26"/>
      <c r="F1828" s="26"/>
      <c r="G1828" s="26"/>
      <c r="H1828" s="26"/>
      <c r="I1828" s="26"/>
      <c r="J1828" s="26"/>
      <c r="K1828" s="26"/>
      <c r="L1828" s="26"/>
      <c r="M1828" s="26"/>
      <c r="N1828" s="26"/>
      <c r="O1828" s="14" t="str">
        <f>HYPERLINK("https://otsuka-europe-crm.veevavault.com/ui/#object/email_activity__v/V8C000000043749", "EN-002103031")</f>
        <v>EN-002103031</v>
      </c>
    </row>
    <row r="1829" spans="1:15" ht="16" x14ac:dyDescent="0.2">
      <c r="A1829" s="19"/>
      <c r="B1829" s="19"/>
      <c r="C1829" s="19"/>
      <c r="D1829" s="19"/>
      <c r="E1829" s="19"/>
      <c r="F1829" s="19"/>
      <c r="G1829" s="19"/>
      <c r="H1829" s="19"/>
      <c r="I1829" s="19"/>
      <c r="J1829" s="19"/>
      <c r="K1829" s="19"/>
      <c r="L1829" s="19"/>
      <c r="M1829" s="19"/>
      <c r="N1829" s="19"/>
      <c r="O1829" s="14" t="str">
        <f>HYPERLINK("https://otsuka-europe-crm.veevavault.com/ui/#object/email_activity__v/V8C000000044538", "EN-002102659")</f>
        <v>EN-002102659</v>
      </c>
    </row>
    <row r="1830" spans="1:15" ht="16" x14ac:dyDescent="0.2">
      <c r="A1830" s="18" t="str">
        <f>HYPERLINK("https://otsuka-europe-crm.veevavault.com/ui/#object/account__v/V4TZ06G6O71T7GB", "JORGE GOMEZ-ARNAU RAMIREZ")</f>
        <v>JORGE GOMEZ-ARNAU RAMIREZ</v>
      </c>
      <c r="B1830" s="18" t="str">
        <f>HYPERLINK("https://otsuka-europe-crm.veevavault.com/ui/#object/vcountry__v/VENZ000004SONF5", "ES")</f>
        <v>ES</v>
      </c>
      <c r="C1830" s="20" t="s">
        <v>39</v>
      </c>
      <c r="D1830" s="21" t="str">
        <f>HYPERLINK("https://otsuka-europe-crm.veevavault.com/ui/#object/approved_document__v/V5OZ04ASG4FWKA9", "Documento Autorizaciขn Centro Empleador")</f>
        <v>Documento Autorizaciขn Centro Empleador</v>
      </c>
      <c r="E1830" s="22" t="str">
        <f>HYPERLINK("https://otsuka-europe-crm.veevavault.com/ui/#object/sent_email__v/VBL000000032229", "SE-001442510")</f>
        <v>SE-001442510</v>
      </c>
      <c r="F1830" s="25">
        <v>46210.387233796297</v>
      </c>
      <c r="G1830" s="24">
        <v>1</v>
      </c>
      <c r="H1830" s="24">
        <v>4</v>
      </c>
      <c r="I1830" s="24">
        <v>1</v>
      </c>
      <c r="J1830" s="25">
        <v>46210.387349537035</v>
      </c>
      <c r="K1830" s="24">
        <v>3</v>
      </c>
      <c r="L1830" s="22" t="str">
        <f>HYPERLINK("https://otsuka-europe-crm.veevavault.com/ui/#object/approved_document__v/V5OZ04ASG4FWKA9", "Documento Autorizaciขn Centro Empleador")</f>
        <v>Documento Autorizaciขn Centro Empleador</v>
      </c>
      <c r="M1830" s="22" t="str">
        <f>HYPERLINK("mailto:oestevez@crm.otsuka-europe.com", "oestevez@crm.otsuka-europe.com")</f>
        <v>oestevez@crm.otsuka-europe.com</v>
      </c>
      <c r="N1830" s="25">
        <v>46210.385081018518</v>
      </c>
      <c r="O1830" s="14" t="str">
        <f>HYPERLINK("https://otsuka-europe-crm.veevavault.com/ui/#object/email_activity__v/V8C000000043571", "EN-002102671")</f>
        <v>EN-002102671</v>
      </c>
    </row>
    <row r="1831" spans="1:15" ht="16" x14ac:dyDescent="0.2">
      <c r="A1831" s="26"/>
      <c r="B1831" s="26"/>
      <c r="C1831" s="26"/>
      <c r="D1831" s="26"/>
      <c r="E1831" s="26"/>
      <c r="F1831" s="26"/>
      <c r="G1831" s="26"/>
      <c r="H1831" s="26"/>
      <c r="I1831" s="26"/>
      <c r="J1831" s="26"/>
      <c r="K1831" s="26"/>
      <c r="L1831" s="26"/>
      <c r="M1831" s="26"/>
      <c r="N1831" s="26"/>
      <c r="O1831" s="14" t="str">
        <f>HYPERLINK("https://otsuka-europe-crm.veevavault.com/ui/#object/email_activity__v/V8C000000043573", "EN-002102675")</f>
        <v>EN-002102675</v>
      </c>
    </row>
    <row r="1832" spans="1:15" ht="16" x14ac:dyDescent="0.2">
      <c r="A1832" s="26"/>
      <c r="B1832" s="26"/>
      <c r="C1832" s="26"/>
      <c r="D1832" s="26"/>
      <c r="E1832" s="26"/>
      <c r="F1832" s="26"/>
      <c r="G1832" s="26"/>
      <c r="H1832" s="26"/>
      <c r="I1832" s="26"/>
      <c r="J1832" s="26"/>
      <c r="K1832" s="26"/>
      <c r="L1832" s="26"/>
      <c r="M1832" s="26"/>
      <c r="N1832" s="26"/>
      <c r="O1832" s="14" t="str">
        <f>HYPERLINK("https://otsuka-europe-crm.veevavault.com/ui/#object/email_activity__v/V8C000000043574", "EN-002102676")</f>
        <v>EN-002102676</v>
      </c>
    </row>
    <row r="1833" spans="1:15" ht="16" x14ac:dyDescent="0.2">
      <c r="A1833" s="26"/>
      <c r="B1833" s="26"/>
      <c r="C1833" s="26"/>
      <c r="D1833" s="26"/>
      <c r="E1833" s="26"/>
      <c r="F1833" s="26"/>
      <c r="G1833" s="26"/>
      <c r="H1833" s="26"/>
      <c r="I1833" s="26"/>
      <c r="J1833" s="26"/>
      <c r="K1833" s="26"/>
      <c r="L1833" s="26"/>
      <c r="M1833" s="26"/>
      <c r="N1833" s="26"/>
      <c r="O1833" s="14" t="str">
        <f>HYPERLINK("https://otsuka-europe-crm.veevavault.com/ui/#object/email_activity__v/V8C000000043575", "EN-002102677")</f>
        <v>EN-002102677</v>
      </c>
    </row>
    <row r="1834" spans="1:15" ht="16" x14ac:dyDescent="0.2">
      <c r="A1834" s="26"/>
      <c r="B1834" s="26"/>
      <c r="C1834" s="26"/>
      <c r="D1834" s="26"/>
      <c r="E1834" s="26"/>
      <c r="F1834" s="26"/>
      <c r="G1834" s="26"/>
      <c r="H1834" s="26"/>
      <c r="I1834" s="26"/>
      <c r="J1834" s="26"/>
      <c r="K1834" s="26"/>
      <c r="L1834" s="26"/>
      <c r="M1834" s="26"/>
      <c r="N1834" s="26"/>
      <c r="O1834" s="14" t="str">
        <f>HYPERLINK("https://otsuka-europe-crm.veevavault.com/ui/#object/email_activity__v/V8C000000044545", "EN-002102674")</f>
        <v>EN-002102674</v>
      </c>
    </row>
    <row r="1835" spans="1:15" ht="16" x14ac:dyDescent="0.2">
      <c r="A1835" s="26"/>
      <c r="B1835" s="26"/>
      <c r="C1835" s="26"/>
      <c r="D1835" s="26"/>
      <c r="E1835" s="26"/>
      <c r="F1835" s="26"/>
      <c r="G1835" s="26"/>
      <c r="H1835" s="26"/>
      <c r="I1835" s="26"/>
      <c r="J1835" s="26"/>
      <c r="K1835" s="26"/>
      <c r="L1835" s="26"/>
      <c r="M1835" s="26"/>
      <c r="N1835" s="26"/>
      <c r="O1835" s="14" t="str">
        <f>HYPERLINK("https://otsuka-europe-crm.veevavault.com/ui/#object/email_activity__v/V8C000000044546", "EN-002102673")</f>
        <v>EN-002102673</v>
      </c>
    </row>
    <row r="1836" spans="1:15" ht="16" x14ac:dyDescent="0.2">
      <c r="A1836" s="26"/>
      <c r="B1836" s="26"/>
      <c r="C1836" s="26"/>
      <c r="D1836" s="26"/>
      <c r="E1836" s="26"/>
      <c r="F1836" s="26"/>
      <c r="G1836" s="26"/>
      <c r="H1836" s="26"/>
      <c r="I1836" s="26"/>
      <c r="J1836" s="26"/>
      <c r="K1836" s="26"/>
      <c r="L1836" s="26"/>
      <c r="M1836" s="26"/>
      <c r="N1836" s="26"/>
      <c r="O1836" s="14" t="str">
        <f>HYPERLINK("https://otsuka-europe-crm.veevavault.com/ui/#object/email_activity__v/V8C000000044547", "EN-002102678")</f>
        <v>EN-002102678</v>
      </c>
    </row>
    <row r="1837" spans="1:15" ht="16" x14ac:dyDescent="0.2">
      <c r="A1837" s="19"/>
      <c r="B1837" s="19"/>
      <c r="C1837" s="19"/>
      <c r="D1837" s="19"/>
      <c r="E1837" s="19"/>
      <c r="F1837" s="19"/>
      <c r="G1837" s="19"/>
      <c r="H1837" s="19"/>
      <c r="I1837" s="19"/>
      <c r="J1837" s="19"/>
      <c r="K1837" s="19"/>
      <c r="L1837" s="19"/>
      <c r="M1837" s="19"/>
      <c r="N1837" s="19"/>
      <c r="O1837" s="14" t="str">
        <f>HYPERLINK("https://otsuka-europe-crm.veevavault.com/ui/#object/email_activity__v/V8C000000044548", "EN-002102679")</f>
        <v>EN-002102679</v>
      </c>
    </row>
    <row r="1838" spans="1:15" ht="32" x14ac:dyDescent="0.2">
      <c r="A1838" s="7" t="str">
        <f>HYPERLINK("https://otsuka-europe-crm.veevavault.com/ui/#object/account__v/V4T00000002B084", "SARA MATESANZ ORTIZ")</f>
        <v>SARA MATESANZ ORTIZ</v>
      </c>
      <c r="B1838" s="7" t="str">
        <f>HYPERLINK("https://otsuka-europe-crm.veevavault.com/ui/#object/vcountry__v/VENZ000004SONF5", "ES")</f>
        <v>ES</v>
      </c>
      <c r="C1838" s="8" t="s">
        <v>39</v>
      </c>
      <c r="D1838" s="9" t="str">
        <f>HYPERLINK("https://otsuka-europe-crm.veevavault.com/ui/#object/approved_document__v/V5OZ06G6O6RFL1P", "ES Veeva Privacy Notice Email")</f>
        <v>ES Veeva Privacy Notice Email</v>
      </c>
      <c r="E1838" s="10" t="str">
        <f>HYPERLINK("https://otsuka-europe-crm.veevavault.com/ui/#object/sent_email__v/VBL000000034148", "SE-001442511")</f>
        <v>SE-001442511</v>
      </c>
      <c r="F1838" s="11"/>
      <c r="G1838" s="12">
        <v>0</v>
      </c>
      <c r="H1838" s="12">
        <v>0</v>
      </c>
      <c r="I1838" s="12">
        <v>0</v>
      </c>
      <c r="J1838" s="11"/>
      <c r="K1838" s="12">
        <v>0</v>
      </c>
      <c r="L1838" s="10" t="str">
        <f>HYPERLINK("https://otsuka-europe-crm.veevavault.com/ui/#object/approved_document__v/V5OZ06G6O6RFL1P", "ES Veeva Privacy Notice Email")</f>
        <v>ES Veeva Privacy Notice Email</v>
      </c>
      <c r="M1838" s="10" t="str">
        <f>HYPERLINK("mailto:jvillalain@crm.otsuka-europe.com", "jvillalain@crm.otsuka-europe.com")</f>
        <v>jvillalain@crm.otsuka-europe.com</v>
      </c>
      <c r="N1838" s="13">
        <v>46210.439027777778</v>
      </c>
      <c r="O1838" s="14" t="str">
        <f>HYPERLINK("https://otsuka-europe-crm.veevavault.com/ui/#object/email_activity__v/V8C000000044689", "EN-002102944")</f>
        <v>EN-002102944</v>
      </c>
    </row>
    <row r="1839" spans="1:15" ht="16" x14ac:dyDescent="0.2">
      <c r="A1839" s="18" t="str">
        <f>HYPERLINK("https://otsuka-europe-crm.veevavault.com/ui/#object/account__v/V4TZ025E85KOOGX", "Hunar Abdul-Rahim")</f>
        <v>Hunar Abdul-Rahim</v>
      </c>
      <c r="B1839" s="18" t="str">
        <f>HYPERLINK("https://otsuka-europe-crm.veevavault.com/ui/#object/vcountry__v/VENZ000004SONFK", "GB")</f>
        <v>GB</v>
      </c>
      <c r="C1839" s="20" t="s">
        <v>41</v>
      </c>
      <c r="D1839" s="21" t="str">
        <f>HYPERLINK("https://otsuka-europe-crm.veevavault.com/ui/#object/approved_document__v/V5O00000000D081", "UK - Consent Email 1 Aug 25")</f>
        <v>UK - Consent Email 1 Aug 25</v>
      </c>
      <c r="E1839" s="22" t="str">
        <f>HYPERLINK("https://otsuka-europe-crm.veevavault.com/ui/#object/sent_email__v/VBL000000034149", "SE-001442512")</f>
        <v>SE-001442512</v>
      </c>
      <c r="F1839" s="23"/>
      <c r="G1839" s="24">
        <v>0</v>
      </c>
      <c r="H1839" s="24">
        <v>0</v>
      </c>
      <c r="I1839" s="24">
        <v>0</v>
      </c>
      <c r="J1839" s="23"/>
      <c r="K1839" s="24">
        <v>0</v>
      </c>
      <c r="L1839" s="22" t="str">
        <f>HYPERLINK("https://otsuka-europe-crm.veevavault.com/ui/#object/approved_document__v/V5O00000000D081", "UK - Consent Email 1 Aug 25")</f>
        <v>UK - Consent Email 1 Aug 25</v>
      </c>
      <c r="M1839" s="22" t="str">
        <f>HYPERLINK("mailto:rgill@crm.otsuka-europe.com", "rgill@crm.otsuka-europe.com")</f>
        <v>rgill@crm.otsuka-europe.com</v>
      </c>
      <c r="N1839" s="25">
        <v>46210.440335648149</v>
      </c>
      <c r="O1839" s="14" t="str">
        <f>HYPERLINK("https://otsuka-europe-crm.veevavault.com/ui/#object/email_activity__v/V8C000000044691", "EN-002102946")</f>
        <v>EN-002102946</v>
      </c>
    </row>
    <row r="1840" spans="1:15" ht="16" x14ac:dyDescent="0.2">
      <c r="A1840" s="19"/>
      <c r="B1840" s="19"/>
      <c r="C1840" s="19"/>
      <c r="D1840" s="19"/>
      <c r="E1840" s="19"/>
      <c r="F1840" s="19"/>
      <c r="G1840" s="19"/>
      <c r="H1840" s="19"/>
      <c r="I1840" s="19"/>
      <c r="J1840" s="19"/>
      <c r="K1840" s="19"/>
      <c r="L1840" s="19"/>
      <c r="M1840" s="19"/>
      <c r="N1840" s="19"/>
      <c r="O1840" s="14" t="str">
        <f>HYPERLINK("https://otsuka-europe-crm.veevavault.com/ui/#object/email_activity__v/V8C000000044737", "EN-002103046")</f>
        <v>EN-002103046</v>
      </c>
    </row>
    <row r="1841" spans="1:15" ht="16" x14ac:dyDescent="0.2">
      <c r="A1841" s="18" t="str">
        <f>HYPERLINK("https://otsuka-europe-crm.veevavault.com/ui/#object/account__v/V4TZ025E85KOOGX", "Hunar Abdul-Rahim")</f>
        <v>Hunar Abdul-Rahim</v>
      </c>
      <c r="B1841" s="18" t="str">
        <f>HYPERLINK("https://otsuka-europe-crm.veevavault.com/ui/#object/vcountry__v/VENZ000004SONFK", "GB")</f>
        <v>GB</v>
      </c>
      <c r="C1841" s="20" t="s">
        <v>41</v>
      </c>
      <c r="D1841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1841" s="22" t="str">
        <f>HYPERLINK("https://otsuka-europe-crm.veevavault.com/ui/#object/sent_email__v/VBL000000034150", "SE-001442513")</f>
        <v>SE-001442513</v>
      </c>
      <c r="F1841" s="23"/>
      <c r="G1841" s="24">
        <v>0</v>
      </c>
      <c r="H1841" s="24">
        <v>0</v>
      </c>
      <c r="I1841" s="24">
        <v>0</v>
      </c>
      <c r="J1841" s="23"/>
      <c r="K1841" s="24">
        <v>0</v>
      </c>
      <c r="L1841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1841" s="22" t="str">
        <f>HYPERLINK("mailto:rgill@crm.otsuka-europe.com", "rgill@crm.otsuka-europe.com")</f>
        <v>rgill@crm.otsuka-europe.com</v>
      </c>
      <c r="N1841" s="25">
        <v>46210.440335648149</v>
      </c>
      <c r="O1841" s="14" t="str">
        <f>HYPERLINK("https://otsuka-europe-crm.veevavault.com/ui/#object/email_activity__v/V8C000000044690", "EN-002102945")</f>
        <v>EN-002102945</v>
      </c>
    </row>
    <row r="1842" spans="1:15" ht="16" x14ac:dyDescent="0.2">
      <c r="A1842" s="19"/>
      <c r="B1842" s="19"/>
      <c r="C1842" s="19"/>
      <c r="D1842" s="19"/>
      <c r="E1842" s="19"/>
      <c r="F1842" s="19"/>
      <c r="G1842" s="19"/>
      <c r="H1842" s="19"/>
      <c r="I1842" s="19"/>
      <c r="J1842" s="19"/>
      <c r="K1842" s="19"/>
      <c r="L1842" s="19"/>
      <c r="M1842" s="19"/>
      <c r="N1842" s="19"/>
      <c r="O1842" s="14" t="str">
        <f>HYPERLINK("https://otsuka-europe-crm.veevavault.com/ui/#object/email_activity__v/V8C000000044738", "EN-002103047")</f>
        <v>EN-002103047</v>
      </c>
    </row>
    <row r="1843" spans="1:15" ht="64" x14ac:dyDescent="0.2">
      <c r="A1843" s="7" t="str">
        <f>HYPERLINK("https://otsuka-europe-crm.veevavault.com/ui/#object/account__v/V4TZ04ASGBCJYE1", "IMMACOLATA PREVETE")</f>
        <v>IMMACOLATA PREVETE</v>
      </c>
      <c r="B1843" s="7" t="str">
        <f>HYPERLINK("https://otsuka-europe-crm.veevavault.com/ui/#object/vcountry__v/VENZ000004SONFQ", "IT")</f>
        <v>IT</v>
      </c>
      <c r="C1843" s="8" t="s">
        <v>42</v>
      </c>
      <c r="D1843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843" s="10" t="str">
        <f>HYPERLINK("https://otsuka-europe-crm.veevavault.com/ui/#object/sent_email__v/VBL000000034151", "SE-001442514")</f>
        <v>SE-001442514</v>
      </c>
      <c r="F1843" s="11"/>
      <c r="G1843" s="12">
        <v>0</v>
      </c>
      <c r="H1843" s="12">
        <v>0</v>
      </c>
      <c r="I1843" s="12">
        <v>0</v>
      </c>
      <c r="J1843" s="11"/>
      <c r="K1843" s="12">
        <v>0</v>
      </c>
      <c r="L1843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843" s="10" t="str">
        <f>HYPERLINK("mailto:giada.camassa@outsuka.it", "giada.camassa@outsuka.it")</f>
        <v>giada.camassa@outsuka.it</v>
      </c>
      <c r="N1843" s="13">
        <v>46210.467893518522</v>
      </c>
      <c r="O1843" s="14" t="str">
        <f>HYPERLINK("https://otsuka-europe-crm.veevavault.com/ui/#object/email_activity__v/V8C000000044701", "EN-002102963")</f>
        <v>EN-002102963</v>
      </c>
    </row>
    <row r="1844" spans="1:15" ht="16" x14ac:dyDescent="0.2">
      <c r="A1844" s="18" t="str">
        <f>HYPERLINK("https://otsuka-europe-crm.veevavault.com/ui/#object/account__v/V4TZ025E867FBUA", "FRANCESCA DELLA CASA")</f>
        <v>FRANCESCA DELLA CASA</v>
      </c>
      <c r="B1844" s="18" t="str">
        <f>HYPERLINK("https://otsuka-europe-crm.veevavault.com/ui/#object/vcountry__v/VENZ000004SONFQ", "IT")</f>
        <v>IT</v>
      </c>
      <c r="C1844" s="20" t="s">
        <v>42</v>
      </c>
      <c r="D1844" s="21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E1844" s="22" t="str">
        <f>HYPERLINK("https://otsuka-europe-crm.veevavault.com/ui/#object/sent_email__v/VBL000000032230", "SE-001442515")</f>
        <v>SE-001442515</v>
      </c>
      <c r="F1844" s="25">
        <v>46210.469953703701</v>
      </c>
      <c r="G1844" s="24">
        <v>1</v>
      </c>
      <c r="H1844" s="24">
        <v>1</v>
      </c>
      <c r="I1844" s="24">
        <v>1</v>
      </c>
      <c r="J1844" s="25">
        <v>46211.349560185183</v>
      </c>
      <c r="K1844" s="24">
        <v>1</v>
      </c>
      <c r="L1844" s="22" t="str">
        <f>HYPERLINK("https://otsuka-europe-crm.veevavault.com/ui/#object/approved_document__v/V5O00000000G060", "AE - AGGIORNAMENTI SEZIONE APPROFONDIMENTI IMMUNO IT-NPR-2500150")</f>
        <v>AE - AGGIORNAMENTI SEZIONE APPROFONDIMENTI IMMUNO IT-NPR-2500150</v>
      </c>
      <c r="M1844" s="22" t="str">
        <f>HYPERLINK("mailto:giada.camassa@outsuka.it", "giada.camassa@outsuka.it")</f>
        <v>giada.camassa@outsuka.it</v>
      </c>
      <c r="N1844" s="25">
        <v>46210.469548611109</v>
      </c>
      <c r="O1844" s="14" t="str">
        <f>HYPERLINK("https://otsuka-europe-crm.veevavault.com/ui/#object/email_activity__v/V8C000000043708", "EN-002102966")</f>
        <v>EN-002102966</v>
      </c>
    </row>
    <row r="1845" spans="1:15" ht="16" x14ac:dyDescent="0.2">
      <c r="A1845" s="26"/>
      <c r="B1845" s="26"/>
      <c r="C1845" s="26"/>
      <c r="D1845" s="26"/>
      <c r="E1845" s="26"/>
      <c r="F1845" s="26"/>
      <c r="G1845" s="26"/>
      <c r="H1845" s="26"/>
      <c r="I1845" s="26"/>
      <c r="J1845" s="26"/>
      <c r="K1845" s="26"/>
      <c r="L1845" s="26"/>
      <c r="M1845" s="26"/>
      <c r="N1845" s="26"/>
      <c r="O1845" s="14" t="str">
        <f>HYPERLINK("https://otsuka-europe-crm.veevavault.com/ui/#object/email_activity__v/V8C000000043811", "EN-002103148")</f>
        <v>EN-002103148</v>
      </c>
    </row>
    <row r="1846" spans="1:15" ht="16" x14ac:dyDescent="0.2">
      <c r="A1846" s="19"/>
      <c r="B1846" s="19"/>
      <c r="C1846" s="19"/>
      <c r="D1846" s="19"/>
      <c r="E1846" s="19"/>
      <c r="F1846" s="19"/>
      <c r="G1846" s="19"/>
      <c r="H1846" s="19"/>
      <c r="I1846" s="19"/>
      <c r="J1846" s="19"/>
      <c r="K1846" s="19"/>
      <c r="L1846" s="19"/>
      <c r="M1846" s="19"/>
      <c r="N1846" s="19"/>
      <c r="O1846" s="14" t="str">
        <f>HYPERLINK("https://otsuka-europe-crm.veevavault.com/ui/#object/email_activity__v/V8C000000044702", "EN-002102965")</f>
        <v>EN-002102965</v>
      </c>
    </row>
    <row r="1847" spans="1:15" ht="16" x14ac:dyDescent="0.2">
      <c r="A1847" s="18" t="str">
        <f>HYPERLINK("https://otsuka-europe-crm.veevavault.com/ui/#object/account__v/V4TZ025E86FK8AA", "SILVIA MANCUSO")</f>
        <v>SILVIA MANCUSO</v>
      </c>
      <c r="B1847" s="18" t="str">
        <f>HYPERLINK("https://otsuka-europe-crm.veevavault.com/ui/#object/vcountry__v/VENZ000004SONFQ", "IT")</f>
        <v>IT</v>
      </c>
      <c r="C1847" s="20" t="s">
        <v>42</v>
      </c>
      <c r="D1847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847" s="22" t="str">
        <f>HYPERLINK("https://otsuka-europe-crm.veevavault.com/ui/#object/sent_email__v/VBL000000032238", "SE-001442516")</f>
        <v>SE-001442516</v>
      </c>
      <c r="F1847" s="25">
        <v>46210.607523148145</v>
      </c>
      <c r="G1847" s="24">
        <v>1</v>
      </c>
      <c r="H1847" s="24">
        <v>1</v>
      </c>
      <c r="I1847" s="24">
        <v>1</v>
      </c>
      <c r="J1847" s="25">
        <v>46210.607523148145</v>
      </c>
      <c r="K1847" s="24">
        <v>1</v>
      </c>
      <c r="L1847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847" s="22" t="str">
        <f>HYPERLINK("mailto:giada.camassa@outsuka.it", "giada.camassa@outsuka.it")</f>
        <v>giada.camassa@outsuka.it</v>
      </c>
      <c r="N1847" s="25">
        <v>46210.591874999998</v>
      </c>
      <c r="O1847" s="14" t="str">
        <f>HYPERLINK("https://otsuka-europe-crm.veevavault.com/ui/#object/email_activity__v/V8C000000044719", "EN-002103011")</f>
        <v>EN-002103011</v>
      </c>
    </row>
    <row r="1848" spans="1:15" ht="16" x14ac:dyDescent="0.2">
      <c r="A1848" s="26"/>
      <c r="B1848" s="26"/>
      <c r="C1848" s="26"/>
      <c r="D1848" s="26"/>
      <c r="E1848" s="26"/>
      <c r="F1848" s="26"/>
      <c r="G1848" s="26"/>
      <c r="H1848" s="26"/>
      <c r="I1848" s="26"/>
      <c r="J1848" s="26"/>
      <c r="K1848" s="26"/>
      <c r="L1848" s="26"/>
      <c r="M1848" s="26"/>
      <c r="N1848" s="26"/>
      <c r="O1848" s="14" t="str">
        <f>HYPERLINK("https://otsuka-europe-crm.veevavault.com/ui/#object/email_activity__v/V8C000000044727", "EN-002103034")</f>
        <v>EN-002103034</v>
      </c>
    </row>
    <row r="1849" spans="1:15" ht="16" x14ac:dyDescent="0.2">
      <c r="A1849" s="19"/>
      <c r="B1849" s="19"/>
      <c r="C1849" s="19"/>
      <c r="D1849" s="19"/>
      <c r="E1849" s="19"/>
      <c r="F1849" s="19"/>
      <c r="G1849" s="19"/>
      <c r="H1849" s="19"/>
      <c r="I1849" s="19"/>
      <c r="J1849" s="19"/>
      <c r="K1849" s="19"/>
      <c r="L1849" s="19"/>
      <c r="M1849" s="19"/>
      <c r="N1849" s="19"/>
      <c r="O1849" s="14" t="str">
        <f>HYPERLINK("https://otsuka-europe-crm.veevavault.com/ui/#object/email_activity__v/V8C000000044728", "EN-002103033")</f>
        <v>EN-002103033</v>
      </c>
    </row>
    <row r="1850" spans="1:15" ht="64" x14ac:dyDescent="0.2">
      <c r="A1850" s="7" t="str">
        <f>HYPERLINK("https://otsuka-europe-crm.veevavault.com/ui/#object/account__v/V4TZ06G6O71SB7D", "ANTONIETTA LA VERDE")</f>
        <v>ANTONIETTA LA VERDE</v>
      </c>
      <c r="B1850" s="7" t="str">
        <f>HYPERLINK("https://otsuka-europe-crm.veevavault.com/ui/#object/vcountry__v/VENZ000004SONFQ", "IT")</f>
        <v>IT</v>
      </c>
      <c r="C1850" s="8" t="s">
        <v>42</v>
      </c>
      <c r="D1850" s="9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1850" s="10" t="str">
        <f>HYPERLINK("https://otsuka-europe-crm.veevavault.com/ui/#object/sent_email__v/VBL000000034157", "SE-001442517")</f>
        <v>SE-001442517</v>
      </c>
      <c r="F1850" s="11"/>
      <c r="G1850" s="12">
        <v>0</v>
      </c>
      <c r="H1850" s="12">
        <v>0</v>
      </c>
      <c r="I1850" s="12">
        <v>0</v>
      </c>
      <c r="J1850" s="11"/>
      <c r="K1850" s="12">
        <v>0</v>
      </c>
      <c r="L1850" s="10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1850" s="10" t="str">
        <f>HYPERLINK("mailto:giada.camassa@outsuka.it", "giada.camassa@outsuka.it")</f>
        <v>giada.camassa@outsuka.it</v>
      </c>
      <c r="N1850" s="13">
        <v>46210.592453703706</v>
      </c>
      <c r="O1850" s="14" t="str">
        <f>HYPERLINK("https://otsuka-europe-crm.veevavault.com/ui/#object/email_activity__v/V8C000000044720", "EN-002103012")</f>
        <v>EN-002103012</v>
      </c>
    </row>
    <row r="1851" spans="1:15" ht="16" x14ac:dyDescent="0.2">
      <c r="A1851" s="18" t="str">
        <f>HYPERLINK("https://otsuka-europe-crm.veevavault.com/ui/#object/account__v/V4TZ025E83QZZAU", "VALERIA OREFICE")</f>
        <v>VALERIA OREFICE</v>
      </c>
      <c r="B1851" s="18" t="str">
        <f>HYPERLINK("https://otsuka-europe-crm.veevavault.com/ui/#object/vcountry__v/VENZ000004SONFQ", "IT")</f>
        <v>IT</v>
      </c>
      <c r="C1851" s="20" t="s">
        <v>42</v>
      </c>
      <c r="D1851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851" s="22" t="str">
        <f>HYPERLINK("https://otsuka-europe-crm.veevavault.com/ui/#object/sent_email__v/VBL000000034158", "SE-001442518")</f>
        <v>SE-001442518</v>
      </c>
      <c r="F1851" s="23"/>
      <c r="G1851" s="24">
        <v>0</v>
      </c>
      <c r="H1851" s="24">
        <v>0</v>
      </c>
      <c r="I1851" s="24">
        <v>1</v>
      </c>
      <c r="J1851" s="25">
        <v>46210.59710648148</v>
      </c>
      <c r="K1851" s="24">
        <v>1</v>
      </c>
      <c r="L1851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851" s="22" t="str">
        <f>HYPERLINK("mailto:giada.camassa@outsuka.it", "giada.camassa@outsuka.it")</f>
        <v>giada.camassa@outsuka.it</v>
      </c>
      <c r="N1851" s="25">
        <v>46210.593460648146</v>
      </c>
      <c r="O1851" s="14" t="str">
        <f>HYPERLINK("https://otsuka-europe-crm.veevavault.com/ui/#object/email_activity__v/V8C000000043738", "EN-002103014")</f>
        <v>EN-002103014</v>
      </c>
    </row>
    <row r="1852" spans="1:15" ht="16" x14ac:dyDescent="0.2">
      <c r="A1852" s="26"/>
      <c r="B1852" s="26"/>
      <c r="C1852" s="26"/>
      <c r="D1852" s="26"/>
      <c r="E1852" s="26"/>
      <c r="F1852" s="26"/>
      <c r="G1852" s="26"/>
      <c r="H1852" s="26"/>
      <c r="I1852" s="26"/>
      <c r="J1852" s="26"/>
      <c r="K1852" s="26"/>
      <c r="L1852" s="26"/>
      <c r="M1852" s="26"/>
      <c r="N1852" s="26"/>
      <c r="O1852" s="14" t="str">
        <f>HYPERLINK("https://otsuka-europe-crm.veevavault.com/ui/#object/email_activity__v/V8C000000043742", "EN-002103020")</f>
        <v>EN-002103020</v>
      </c>
    </row>
    <row r="1853" spans="1:15" ht="16" x14ac:dyDescent="0.2">
      <c r="A1853" s="19"/>
      <c r="B1853" s="19"/>
      <c r="C1853" s="19"/>
      <c r="D1853" s="19"/>
      <c r="E1853" s="19"/>
      <c r="F1853" s="19"/>
      <c r="G1853" s="19"/>
      <c r="H1853" s="19"/>
      <c r="I1853" s="19"/>
      <c r="J1853" s="19"/>
      <c r="K1853" s="19"/>
      <c r="L1853" s="19"/>
      <c r="M1853" s="19"/>
      <c r="N1853" s="19"/>
      <c r="O1853" s="14" t="str">
        <f>HYPERLINK("https://otsuka-europe-crm.veevavault.com/ui/#object/email_activity__v/V8C000000044724", "EN-002103022")</f>
        <v>EN-002103022</v>
      </c>
    </row>
    <row r="1854" spans="1:15" ht="64" x14ac:dyDescent="0.2">
      <c r="A1854" s="7" t="str">
        <f>HYPERLINK("https://otsuka-europe-crm.veevavault.com/ui/#object/account__v/V4TZ025E83OV63L", "MARIANGELA ATTENO")</f>
        <v>MARIANGELA ATTENO</v>
      </c>
      <c r="B1854" s="7" t="str">
        <f>HYPERLINK("https://otsuka-europe-crm.veevavault.com/ui/#object/vcountry__v/VENZ000004SONFQ", "IT")</f>
        <v>IT</v>
      </c>
      <c r="C1854" s="8" t="s">
        <v>42</v>
      </c>
      <c r="D185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854" s="10" t="str">
        <f>HYPERLINK("https://otsuka-europe-crm.veevavault.com/ui/#object/sent_email__v/VBL000000034159", "SE-001442519")</f>
        <v>SE-001442519</v>
      </c>
      <c r="F1854" s="11"/>
      <c r="G1854" s="12">
        <v>0</v>
      </c>
      <c r="H1854" s="12">
        <v>0</v>
      </c>
      <c r="I1854" s="12">
        <v>0</v>
      </c>
      <c r="J1854" s="11"/>
      <c r="K1854" s="12">
        <v>0</v>
      </c>
      <c r="L185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854" s="10" t="str">
        <f>HYPERLINK("mailto:giada.camassa@outsuka.it", "giada.camassa@outsuka.it")</f>
        <v>giada.camassa@outsuka.it</v>
      </c>
      <c r="N1854" s="13">
        <v>46210.594143518516</v>
      </c>
      <c r="O1854" s="14" t="str">
        <f>HYPERLINK("https://otsuka-europe-crm.veevavault.com/ui/#object/email_activity__v/V8C000000043739", "EN-002103015")</f>
        <v>EN-002103015</v>
      </c>
    </row>
    <row r="1855" spans="1:15" ht="16" x14ac:dyDescent="0.2">
      <c r="A1855" s="18" t="str">
        <f>HYPERLINK("https://otsuka-europe-crm.veevavault.com/ui/#object/account__v/V4TZ04ASGBJU6PN", "MELANIA ALESSIA COSCIA")</f>
        <v>MELANIA ALESSIA COSCIA</v>
      </c>
      <c r="B1855" s="18" t="str">
        <f>HYPERLINK("https://otsuka-europe-crm.veevavault.com/ui/#object/vcountry__v/VENZ000004SONFQ", "IT")</f>
        <v>IT</v>
      </c>
      <c r="C1855" s="20" t="s">
        <v>42</v>
      </c>
      <c r="D1855" s="21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855" s="22" t="str">
        <f>HYPERLINK("https://otsuka-europe-crm.veevavault.com/ui/#object/sent_email__v/VBL000000034160", "SE-001442520")</f>
        <v>SE-001442520</v>
      </c>
      <c r="F1855" s="25">
        <v>46210.596273148149</v>
      </c>
      <c r="G1855" s="24">
        <v>1</v>
      </c>
      <c r="H1855" s="24">
        <v>1</v>
      </c>
      <c r="I1855" s="24">
        <v>1</v>
      </c>
      <c r="J1855" s="25">
        <v>46210.894143518519</v>
      </c>
      <c r="K1855" s="24">
        <v>7</v>
      </c>
      <c r="L1855" s="22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855" s="22" t="str">
        <f>HYPERLINK("mailto:giada.camassa@outsuka.it", "giada.camassa@outsuka.it")</f>
        <v>giada.camassa@outsuka.it</v>
      </c>
      <c r="N1855" s="25">
        <v>46210.595879629633</v>
      </c>
      <c r="O1855" s="14" t="str">
        <f>HYPERLINK("https://otsuka-europe-crm.veevavault.com/ui/#object/email_activity__v/V8C000000043740", "EN-002103018")</f>
        <v>EN-002103018</v>
      </c>
    </row>
    <row r="1856" spans="1:15" ht="16" x14ac:dyDescent="0.2">
      <c r="A1856" s="26"/>
      <c r="B1856" s="26"/>
      <c r="C1856" s="26"/>
      <c r="D1856" s="26"/>
      <c r="E1856" s="26"/>
      <c r="F1856" s="26"/>
      <c r="G1856" s="26"/>
      <c r="H1856" s="26"/>
      <c r="I1856" s="26"/>
      <c r="J1856" s="26"/>
      <c r="K1856" s="26"/>
      <c r="L1856" s="26"/>
      <c r="M1856" s="26"/>
      <c r="N1856" s="26"/>
      <c r="O1856" s="14" t="str">
        <f>HYPERLINK("https://otsuka-europe-crm.veevavault.com/ui/#object/email_activity__v/V8C000000043741", "EN-002103017")</f>
        <v>EN-002103017</v>
      </c>
    </row>
    <row r="1857" spans="1:15" ht="16" x14ac:dyDescent="0.2">
      <c r="A1857" s="26"/>
      <c r="B1857" s="26"/>
      <c r="C1857" s="26"/>
      <c r="D1857" s="26"/>
      <c r="E1857" s="26"/>
      <c r="F1857" s="26"/>
      <c r="G1857" s="26"/>
      <c r="H1857" s="26"/>
      <c r="I1857" s="26"/>
      <c r="J1857" s="26"/>
      <c r="K1857" s="26"/>
      <c r="L1857" s="26"/>
      <c r="M1857" s="26"/>
      <c r="N1857" s="26"/>
      <c r="O1857" s="14" t="str">
        <f>HYPERLINK("https://otsuka-europe-crm.veevavault.com/ui/#object/email_activity__v/V8C000000043743", "EN-002103024")</f>
        <v>EN-002103024</v>
      </c>
    </row>
    <row r="1858" spans="1:15" ht="16" x14ac:dyDescent="0.2">
      <c r="A1858" s="26"/>
      <c r="B1858" s="26"/>
      <c r="C1858" s="26"/>
      <c r="D1858" s="26"/>
      <c r="E1858" s="26"/>
      <c r="F1858" s="26"/>
      <c r="G1858" s="26"/>
      <c r="H1858" s="26"/>
      <c r="I1858" s="26"/>
      <c r="J1858" s="26"/>
      <c r="K1858" s="26"/>
      <c r="L1858" s="26"/>
      <c r="M1858" s="26"/>
      <c r="N1858" s="26"/>
      <c r="O1858" s="14" t="str">
        <f>HYPERLINK("https://otsuka-europe-crm.veevavault.com/ui/#object/email_activity__v/V8C000000043744", "EN-002103025")</f>
        <v>EN-002103025</v>
      </c>
    </row>
    <row r="1859" spans="1:15" ht="16" x14ac:dyDescent="0.2">
      <c r="A1859" s="26"/>
      <c r="B1859" s="26"/>
      <c r="C1859" s="26"/>
      <c r="D1859" s="26"/>
      <c r="E1859" s="26"/>
      <c r="F1859" s="26"/>
      <c r="G1859" s="26"/>
      <c r="H1859" s="26"/>
      <c r="I1859" s="26"/>
      <c r="J1859" s="26"/>
      <c r="K1859" s="26"/>
      <c r="L1859" s="26"/>
      <c r="M1859" s="26"/>
      <c r="N1859" s="26"/>
      <c r="O1859" s="14" t="str">
        <f>HYPERLINK("https://otsuka-europe-crm.veevavault.com/ui/#object/email_activity__v/V8C000000043784", "EN-002103095")</f>
        <v>EN-002103095</v>
      </c>
    </row>
    <row r="1860" spans="1:15" ht="16" x14ac:dyDescent="0.2">
      <c r="A1860" s="26"/>
      <c r="B1860" s="26"/>
      <c r="C1860" s="26"/>
      <c r="D1860" s="26"/>
      <c r="E1860" s="26"/>
      <c r="F1860" s="26"/>
      <c r="G1860" s="26"/>
      <c r="H1860" s="26"/>
      <c r="I1860" s="26"/>
      <c r="J1860" s="26"/>
      <c r="K1860" s="26"/>
      <c r="L1860" s="26"/>
      <c r="M1860" s="26"/>
      <c r="N1860" s="26"/>
      <c r="O1860" s="14" t="str">
        <f>HYPERLINK("https://otsuka-europe-crm.veevavault.com/ui/#object/email_activity__v/V8C000000044721", "EN-002103016")</f>
        <v>EN-002103016</v>
      </c>
    </row>
    <row r="1861" spans="1:15" ht="16" x14ac:dyDescent="0.2">
      <c r="A1861" s="26"/>
      <c r="B1861" s="26"/>
      <c r="C1861" s="26"/>
      <c r="D1861" s="26"/>
      <c r="E1861" s="26"/>
      <c r="F1861" s="26"/>
      <c r="G1861" s="26"/>
      <c r="H1861" s="26"/>
      <c r="I1861" s="26"/>
      <c r="J1861" s="26"/>
      <c r="K1861" s="26"/>
      <c r="L1861" s="26"/>
      <c r="M1861" s="26"/>
      <c r="N1861" s="26"/>
      <c r="O1861" s="14" t="str">
        <f>HYPERLINK("https://otsuka-europe-crm.veevavault.com/ui/#object/email_activity__v/V8C000000044722", "EN-002103019")</f>
        <v>EN-002103019</v>
      </c>
    </row>
    <row r="1862" spans="1:15" ht="16" x14ac:dyDescent="0.2">
      <c r="A1862" s="26"/>
      <c r="B1862" s="26"/>
      <c r="C1862" s="26"/>
      <c r="D1862" s="26"/>
      <c r="E1862" s="26"/>
      <c r="F1862" s="26"/>
      <c r="G1862" s="26"/>
      <c r="H1862" s="26"/>
      <c r="I1862" s="26"/>
      <c r="J1862" s="26"/>
      <c r="K1862" s="26"/>
      <c r="L1862" s="26"/>
      <c r="M1862" s="26"/>
      <c r="N1862" s="26"/>
      <c r="O1862" s="14" t="str">
        <f>HYPERLINK("https://otsuka-europe-crm.veevavault.com/ui/#object/email_activity__v/V8C000000044725", "EN-002103023")</f>
        <v>EN-002103023</v>
      </c>
    </row>
    <row r="1863" spans="1:15" ht="16" x14ac:dyDescent="0.2">
      <c r="A1863" s="19"/>
      <c r="B1863" s="19"/>
      <c r="C1863" s="19"/>
      <c r="D1863" s="19"/>
      <c r="E1863" s="19"/>
      <c r="F1863" s="19"/>
      <c r="G1863" s="19"/>
      <c r="H1863" s="19"/>
      <c r="I1863" s="19"/>
      <c r="J1863" s="19"/>
      <c r="K1863" s="19"/>
      <c r="L1863" s="19"/>
      <c r="M1863" s="19"/>
      <c r="N1863" s="19"/>
      <c r="O1863" s="14" t="str">
        <f>HYPERLINK("https://otsuka-europe-crm.veevavault.com/ui/#object/email_activity__v/V8C000000044726", "EN-002103026")</f>
        <v>EN-002103026</v>
      </c>
    </row>
    <row r="1864" spans="1:15" ht="64" x14ac:dyDescent="0.2">
      <c r="A1864" s="7" t="str">
        <f>HYPERLINK("https://otsuka-europe-crm.veevavault.com/ui/#object/account__v/V4TZ025E83652Z3", "PIER GIACOMO CERASUOLO")</f>
        <v>PIER GIACOMO CERASUOLO</v>
      </c>
      <c r="B1864" s="7" t="str">
        <f>HYPERLINK("https://otsuka-europe-crm.veevavault.com/ui/#object/vcountry__v/VENZ000004SONFQ", "IT")</f>
        <v>IT</v>
      </c>
      <c r="C1864" s="8" t="s">
        <v>42</v>
      </c>
      <c r="D1864" s="9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E1864" s="10" t="str">
        <f>HYPERLINK("https://otsuka-europe-crm.veevavault.com/ui/#object/sent_email__v/VBL000000032239", "SE-001442521")</f>
        <v>SE-001442521</v>
      </c>
      <c r="F1864" s="11"/>
      <c r="G1864" s="12">
        <v>0</v>
      </c>
      <c r="H1864" s="12">
        <v>0</v>
      </c>
      <c r="I1864" s="12">
        <v>0</v>
      </c>
      <c r="J1864" s="11"/>
      <c r="K1864" s="12">
        <v>0</v>
      </c>
      <c r="L1864" s="10" t="str">
        <f>HYPERLINK("https://otsuka-europe-crm.veevavault.com/ui/#object/approved_document__v/V5O00000000G062", "AE - AGGIORNAMENTI SEZIONE APPROFONDIMENTI REUMA IT-NPR-2500150")</f>
        <v>AE - AGGIORNAMENTI SEZIONE APPROFONDIMENTI REUMA IT-NPR-2500150</v>
      </c>
      <c r="M1864" s="10" t="str">
        <f>HYPERLINK("mailto:giada.camassa@outsuka.it", "giada.camassa@outsuka.it")</f>
        <v>giada.camassa@outsuka.it</v>
      </c>
      <c r="N1864" s="13">
        <v>46210.596990740742</v>
      </c>
      <c r="O1864" s="14" t="str">
        <f>HYPERLINK("https://otsuka-europe-crm.veevavault.com/ui/#object/email_activity__v/V8C000000044723", "EN-002103021")</f>
        <v>EN-002103021</v>
      </c>
    </row>
    <row r="1865" spans="1:15" ht="32" x14ac:dyDescent="0.2">
      <c r="A1865" s="7" t="str">
        <f>HYPERLINK("https://otsuka-europe-crm.veevavault.com/ui/#object/account__v/V4TZ0000062PIZ9", "Adarsh Vohra")</f>
        <v>Adarsh Vohra</v>
      </c>
      <c r="B1865" s="7" t="str">
        <f>HYPERLINK("https://otsuka-europe-crm.veevavault.com/ui/#object/vcountry__v/VENZ000004SONFK", "GB")</f>
        <v>GB</v>
      </c>
      <c r="C1865" s="8" t="s">
        <v>41</v>
      </c>
      <c r="D1865" s="9" t="str">
        <f>HYPERLINK("https://otsuka-europe-crm.veevavault.com/ui/#object/approved_document__v/V5O00000000I022", "Aripiprazole 960mg FAQ VAE")</f>
        <v>Aripiprazole 960mg FAQ VAE</v>
      </c>
      <c r="E1865" s="10" t="str">
        <f>HYPERLINK("https://otsuka-europe-crm.veevavault.com/ui/#object/sent_email__v/VBL000000034161", "SE-001442522")</f>
        <v>SE-001442522</v>
      </c>
      <c r="F1865" s="11"/>
      <c r="G1865" s="12">
        <v>0</v>
      </c>
      <c r="H1865" s="12">
        <v>0</v>
      </c>
      <c r="I1865" s="12">
        <v>0</v>
      </c>
      <c r="J1865" s="11"/>
      <c r="K1865" s="12">
        <v>0</v>
      </c>
      <c r="L1865" s="10" t="str">
        <f>HYPERLINK("https://otsuka-europe-crm.veevavault.com/ui/#object/approved_document__v/V5O00000000I022", "Aripiprazole 960mg FAQ VAE")</f>
        <v>Aripiprazole 960mg FAQ VAE</v>
      </c>
      <c r="M1865" s="10" t="str">
        <f>HYPERLINK("mailto:sfinnigan@crm.otsuka-europe.com", "sfinnigan@crm.otsuka-europe.com")</f>
        <v>sfinnigan@crm.otsuka-europe.com</v>
      </c>
      <c r="N1865" s="13">
        <v>46210.617511574077</v>
      </c>
      <c r="O1865" s="14" t="str">
        <f>HYPERLINK("https://otsuka-europe-crm.veevavault.com/ui/#object/email_activity__v/V8C000000043752", "EN-002103036")</f>
        <v>EN-002103036</v>
      </c>
    </row>
    <row r="1866" spans="1:15" ht="16" x14ac:dyDescent="0.2">
      <c r="A1866" s="18" t="str">
        <f>HYPERLINK("https://otsuka-europe-crm.veevavault.com/ui/#object/account__v/V4TZ00000633K07", "ANDRADA ROSCA")</f>
        <v>ANDRADA ROSCA</v>
      </c>
      <c r="B1866" s="18" t="str">
        <f>HYPERLINK("https://otsuka-europe-crm.veevavault.com/ui/#object/vcountry__v/VENZ000004SONFA", "FR")</f>
        <v>FR</v>
      </c>
      <c r="C1866" s="20" t="s">
        <v>40</v>
      </c>
      <c r="D1866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866" s="22" t="str">
        <f>HYPERLINK("https://otsuka-europe-crm.veevavault.com/ui/#object/sent_email__v/VBL000000034162", "SE-001442523")</f>
        <v>SE-001442523</v>
      </c>
      <c r="F1866" s="25">
        <v>46211.423854166664</v>
      </c>
      <c r="G1866" s="24">
        <v>1</v>
      </c>
      <c r="H1866" s="24">
        <v>1</v>
      </c>
      <c r="I1866" s="24">
        <v>0</v>
      </c>
      <c r="J1866" s="23"/>
      <c r="K1866" s="24">
        <v>0</v>
      </c>
      <c r="L1866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866" s="22" t="str">
        <f>HYPERLINK("mailto:gloriod@crm.otsuka-europe.com", "gloriod@crm.otsuka-europe.com")</f>
        <v>gloriod@crm.otsuka-europe.com</v>
      </c>
      <c r="N1866" s="25">
        <v>46211.423761574071</v>
      </c>
      <c r="O1866" s="14" t="str">
        <f>HYPERLINK("https://otsuka-europe-crm.veevavault.com/ui/#object/email_activity__v/V8C000000043830", "EN-002103195")</f>
        <v>EN-002103195</v>
      </c>
    </row>
    <row r="1867" spans="1:15" ht="16" x14ac:dyDescent="0.2">
      <c r="A1867" s="19"/>
      <c r="B1867" s="19"/>
      <c r="C1867" s="19"/>
      <c r="D1867" s="19"/>
      <c r="E1867" s="19"/>
      <c r="F1867" s="19"/>
      <c r="G1867" s="19"/>
      <c r="H1867" s="19"/>
      <c r="I1867" s="19"/>
      <c r="J1867" s="19"/>
      <c r="K1867" s="19"/>
      <c r="L1867" s="19"/>
      <c r="M1867" s="19"/>
      <c r="N1867" s="19"/>
      <c r="O1867" s="14" t="str">
        <f>HYPERLINK("https://otsuka-europe-crm.veevavault.com/ui/#object/email_activity__v/V8C000000044810", "EN-002103194")</f>
        <v>EN-002103194</v>
      </c>
    </row>
    <row r="1868" spans="1:15" ht="16" x14ac:dyDescent="0.2">
      <c r="A1868" s="18" t="str">
        <f>HYPERLINK("https://otsuka-europe-crm.veevavault.com/ui/#object/account__v/V4T000000026001", "LAURE DEVILLE")</f>
        <v>LAURE DEVILLE</v>
      </c>
      <c r="B1868" s="18" t="str">
        <f>HYPERLINK("https://otsuka-europe-crm.veevavault.com/ui/#object/vcountry__v/VENZ000004SONFA", "FR")</f>
        <v>FR</v>
      </c>
      <c r="C1868" s="20" t="s">
        <v>40</v>
      </c>
      <c r="D1868" s="21" t="str">
        <f>HYPERLINK("https://otsuka-europe-crm.veevavault.com/ui/#object/approved_document__v/V5OZ0000004WMI9", "FR Veeva Privacy Notice Email")</f>
        <v>FR Veeva Privacy Notice Email</v>
      </c>
      <c r="E1868" s="22" t="str">
        <f>HYPERLINK("https://otsuka-europe-crm.veevavault.com/ui/#object/sent_email__v/VBL000000032240", "SE-001442524")</f>
        <v>SE-001442524</v>
      </c>
      <c r="F1868" s="23"/>
      <c r="G1868" s="24">
        <v>0</v>
      </c>
      <c r="H1868" s="24">
        <v>0</v>
      </c>
      <c r="I1868" s="24">
        <v>0</v>
      </c>
      <c r="J1868" s="23"/>
      <c r="K1868" s="24">
        <v>0</v>
      </c>
      <c r="L1868" s="22" t="str">
        <f>HYPERLINK("https://otsuka-europe-crm.veevavault.com/ui/#object/approved_document__v/V5OZ0000004WMI9", "FR Veeva Privacy Notice Email")</f>
        <v>FR Veeva Privacy Notice Email</v>
      </c>
      <c r="M1868" s="22" t="str">
        <f>HYPERLINK("mailto:vzida@crm.otsuka-europe.com", "vzida@crm.otsuka-europe.com")</f>
        <v>vzida@crm.otsuka-europe.com</v>
      </c>
      <c r="N1868" s="25">
        <v>46210.701655092591</v>
      </c>
      <c r="O1868" s="14" t="str">
        <f>HYPERLINK("https://otsuka-europe-crm.veevavault.com/ui/#object/email_activity__v/V8C000000043765", "EN-002103065")</f>
        <v>EN-002103065</v>
      </c>
    </row>
    <row r="1869" spans="1:15" ht="16" x14ac:dyDescent="0.2">
      <c r="A1869" s="19"/>
      <c r="B1869" s="19"/>
      <c r="C1869" s="19"/>
      <c r="D1869" s="19"/>
      <c r="E1869" s="19"/>
      <c r="F1869" s="19"/>
      <c r="G1869" s="19"/>
      <c r="H1869" s="19"/>
      <c r="I1869" s="19"/>
      <c r="J1869" s="19"/>
      <c r="K1869" s="19"/>
      <c r="L1869" s="19"/>
      <c r="M1869" s="19"/>
      <c r="N1869" s="19"/>
      <c r="O1869" s="14" t="str">
        <f>HYPERLINK("https://otsuka-europe-crm.veevavault.com/ui/#object/email_activity__v/V8C000000043892", "EN-002103310")</f>
        <v>EN-002103310</v>
      </c>
    </row>
    <row r="1870" spans="1:15" ht="16" x14ac:dyDescent="0.2">
      <c r="A1870" s="18" t="str">
        <f>HYPERLINK("https://otsuka-europe-crm.veevavault.com/ui/#object/account__v/V4TZ00000633HTB", "HADI ABADIE")</f>
        <v>HADI ABADIE</v>
      </c>
      <c r="B1870" s="18" t="str">
        <f>HYPERLINK("https://otsuka-europe-crm.veevavault.com/ui/#object/vcountry__v/VENZ000004SONFA", "FR")</f>
        <v>FR</v>
      </c>
      <c r="C1870" s="20" t="s">
        <v>40</v>
      </c>
      <c r="D1870" s="21" t="str">
        <f>HYPERLINK("https://otsuka-europe-crm.veevavault.com/ui/#object/approved_document__v/V5OZ04ASG4G02Y6", "INVITATION_VAD_2023")</f>
        <v>INVITATION_VAD_2023</v>
      </c>
      <c r="E1870" s="22" t="str">
        <f>HYPERLINK("https://otsuka-europe-crm.veevavault.com/ui/#object/sent_email__v/VBL000000032241", "SE-001442525")</f>
        <v>SE-001442525</v>
      </c>
      <c r="F1870" s="25">
        <v>46211.413888888892</v>
      </c>
      <c r="G1870" s="24">
        <v>1</v>
      </c>
      <c r="H1870" s="24">
        <v>2</v>
      </c>
      <c r="I1870" s="24">
        <v>0</v>
      </c>
      <c r="J1870" s="23"/>
      <c r="K1870" s="24">
        <v>0</v>
      </c>
      <c r="L1870" s="22" t="str">
        <f>HYPERLINK("https://otsuka-europe-crm.veevavault.com/ui/#object/approved_document__v/V5OZ04ASG4G02Y6", "INVITATION_VAD_2023")</f>
        <v>INVITATION_VAD_2023</v>
      </c>
      <c r="M1870" s="22" t="str">
        <f>HYPERLINK("mailto:cchevalliermiserole@crm.otsuka-europe.com", "cchevalliermiserole@crm.otsuka-europe.com")</f>
        <v>cchevalliermiserole@crm.otsuka-europe.com</v>
      </c>
      <c r="N1870" s="25">
        <v>46211.290636574071</v>
      </c>
      <c r="O1870" s="14" t="str">
        <f>HYPERLINK("https://otsuka-europe-crm.veevavault.com/ui/#object/email_activity__v/V8C000000043828", "EN-002103191")</f>
        <v>EN-002103191</v>
      </c>
    </row>
    <row r="1871" spans="1:15" ht="16" x14ac:dyDescent="0.2">
      <c r="A1871" s="26"/>
      <c r="B1871" s="26"/>
      <c r="C1871" s="26"/>
      <c r="D1871" s="26"/>
      <c r="E1871" s="26"/>
      <c r="F1871" s="26"/>
      <c r="G1871" s="26"/>
      <c r="H1871" s="26"/>
      <c r="I1871" s="26"/>
      <c r="J1871" s="26"/>
      <c r="K1871" s="26"/>
      <c r="L1871" s="26"/>
      <c r="M1871" s="26"/>
      <c r="N1871" s="26"/>
      <c r="O1871" s="14" t="str">
        <f>HYPERLINK("https://otsuka-europe-crm.veevavault.com/ui/#object/email_activity__v/V8C000000043829", "EN-002103192")</f>
        <v>EN-002103192</v>
      </c>
    </row>
    <row r="1872" spans="1:15" ht="16" x14ac:dyDescent="0.2">
      <c r="A1872" s="26"/>
      <c r="B1872" s="26"/>
      <c r="C1872" s="26"/>
      <c r="D1872" s="26"/>
      <c r="E1872" s="26"/>
      <c r="F1872" s="26"/>
      <c r="G1872" s="26"/>
      <c r="H1872" s="26"/>
      <c r="I1872" s="26"/>
      <c r="J1872" s="26"/>
      <c r="K1872" s="26"/>
      <c r="L1872" s="26"/>
      <c r="M1872" s="26"/>
      <c r="N1872" s="26"/>
      <c r="O1872" s="14" t="str">
        <f>HYPERLINK("https://otsuka-europe-crm.veevavault.com/ui/#object/email_activity__v/V8C000000044773", "EN-002103131")</f>
        <v>EN-002103131</v>
      </c>
    </row>
    <row r="1873" spans="1:15" ht="16" x14ac:dyDescent="0.2">
      <c r="A1873" s="26"/>
      <c r="B1873" s="26"/>
      <c r="C1873" s="26"/>
      <c r="D1873" s="26"/>
      <c r="E1873" s="26"/>
      <c r="F1873" s="26"/>
      <c r="G1873" s="26"/>
      <c r="H1873" s="26"/>
      <c r="I1873" s="26"/>
      <c r="J1873" s="26"/>
      <c r="K1873" s="26"/>
      <c r="L1873" s="26"/>
      <c r="M1873" s="26"/>
      <c r="N1873" s="26"/>
      <c r="O1873" s="14" t="str">
        <f>HYPERLINK("https://otsuka-europe-crm.veevavault.com/ui/#object/email_activity__v/V8C000000044782", "EN-002103147")</f>
        <v>EN-002103147</v>
      </c>
    </row>
    <row r="1874" spans="1:15" ht="16" x14ac:dyDescent="0.2">
      <c r="A1874" s="19"/>
      <c r="B1874" s="19"/>
      <c r="C1874" s="19"/>
      <c r="D1874" s="19"/>
      <c r="E1874" s="19"/>
      <c r="F1874" s="19"/>
      <c r="G1874" s="19"/>
      <c r="H1874" s="19"/>
      <c r="I1874" s="19"/>
      <c r="J1874" s="19"/>
      <c r="K1874" s="19"/>
      <c r="L1874" s="19"/>
      <c r="M1874" s="19"/>
      <c r="N1874" s="19"/>
      <c r="O1874" s="14" t="str">
        <f>HYPERLINK("https://otsuka-europe-crm.veevavault.com/ui/#object/email_activity__v/V8C00000004E318", "EN-002108989")</f>
        <v>EN-002108989</v>
      </c>
    </row>
    <row r="1875" spans="1:15" ht="16" x14ac:dyDescent="0.2">
      <c r="A1875" s="18" t="str">
        <f>HYPERLINK("https://otsuka-europe-crm.veevavault.com/ui/#object/account__v/V4T00000002A125", "ANGELO DOMENICO D'ADDIO FIGUEROA")</f>
        <v>ANGELO DOMENICO D'ADDIO FIGUEROA</v>
      </c>
      <c r="B1875" s="18" t="str">
        <f>HYPERLINK("https://otsuka-europe-crm.veevavault.com/ui/#object/vcountry__v/VENZ000004SONF5", "ES")</f>
        <v>ES</v>
      </c>
      <c r="C1875" s="20" t="s">
        <v>39</v>
      </c>
      <c r="D1875" s="21" t="str">
        <f>HYPERLINK("https://otsuka-europe-crm.veevavault.com/ui/#object/approved_document__v/V5OZ04ASG4FWKA9", "Documento Autorizaciขn Centro Empleador")</f>
        <v>Documento Autorizaciขn Centro Empleador</v>
      </c>
      <c r="E1875" s="22" t="str">
        <f>HYPERLINK("https://otsuka-europe-crm.veevavault.com/ui/#object/sent_email__v/VBL000000034163", "SE-001442526")</f>
        <v>SE-001442526</v>
      </c>
      <c r="F1875" s="25">
        <v>46212.498900462961</v>
      </c>
      <c r="G1875" s="24">
        <v>1</v>
      </c>
      <c r="H1875" s="24">
        <v>3</v>
      </c>
      <c r="I1875" s="24">
        <v>1</v>
      </c>
      <c r="J1875" s="25">
        <v>46212.499050925922</v>
      </c>
      <c r="K1875" s="24">
        <v>5</v>
      </c>
      <c r="L1875" s="22" t="str">
        <f>HYPERLINK("https://otsuka-europe-crm.veevavault.com/ui/#object/approved_document__v/V5OZ04ASG4FWKA9", "Documento Autorizaciขn Centro Empleador")</f>
        <v>Documento Autorizaciขn Centro Empleador</v>
      </c>
      <c r="M1875" s="22" t="str">
        <f>HYPERLINK("mailto:sruiz@crm.otsuka-europe.com", "sruiz@crm.otsuka-europe.com")</f>
        <v>sruiz@crm.otsuka-europe.com</v>
      </c>
      <c r="N1875" s="25">
        <v>46211.321284722224</v>
      </c>
      <c r="O1875" s="14" t="str">
        <f>HYPERLINK("https://otsuka-europe-crm.veevavault.com/ui/#object/email_activity__v/V8C000000043810", "EN-002103145")</f>
        <v>EN-002103145</v>
      </c>
    </row>
    <row r="1876" spans="1:15" ht="16" x14ac:dyDescent="0.2">
      <c r="A1876" s="26"/>
      <c r="B1876" s="26"/>
      <c r="C1876" s="26"/>
      <c r="D1876" s="26"/>
      <c r="E1876" s="26"/>
      <c r="F1876" s="26"/>
      <c r="G1876" s="26"/>
      <c r="H1876" s="26"/>
      <c r="I1876" s="26"/>
      <c r="J1876" s="26"/>
      <c r="K1876" s="26"/>
      <c r="L1876" s="26"/>
      <c r="M1876" s="26"/>
      <c r="N1876" s="26"/>
      <c r="O1876" s="14" t="str">
        <f>HYPERLINK("https://otsuka-europe-crm.veevavault.com/ui/#object/email_activity__v/V8C000000043873", "EN-002103267")</f>
        <v>EN-002103267</v>
      </c>
    </row>
    <row r="1877" spans="1:15" ht="16" x14ac:dyDescent="0.2">
      <c r="A1877" s="26"/>
      <c r="B1877" s="26"/>
      <c r="C1877" s="26"/>
      <c r="D1877" s="26"/>
      <c r="E1877" s="26"/>
      <c r="F1877" s="26"/>
      <c r="G1877" s="26"/>
      <c r="H1877" s="26"/>
      <c r="I1877" s="26"/>
      <c r="J1877" s="26"/>
      <c r="K1877" s="26"/>
      <c r="L1877" s="26"/>
      <c r="M1877" s="26"/>
      <c r="N1877" s="26"/>
      <c r="O1877" s="14" t="str">
        <f>HYPERLINK("https://otsuka-europe-crm.veevavault.com/ui/#object/email_activity__v/V8C000000044777", "EN-002103139")</f>
        <v>EN-002103139</v>
      </c>
    </row>
    <row r="1878" spans="1:15" ht="16" x14ac:dyDescent="0.2">
      <c r="A1878" s="26"/>
      <c r="B1878" s="26"/>
      <c r="C1878" s="26"/>
      <c r="D1878" s="26"/>
      <c r="E1878" s="26"/>
      <c r="F1878" s="26"/>
      <c r="G1878" s="26"/>
      <c r="H1878" s="26"/>
      <c r="I1878" s="26"/>
      <c r="J1878" s="26"/>
      <c r="K1878" s="26"/>
      <c r="L1878" s="26"/>
      <c r="M1878" s="26"/>
      <c r="N1878" s="26"/>
      <c r="O1878" s="14" t="str">
        <f>HYPERLINK("https://otsuka-europe-crm.veevavault.com/ui/#object/email_activity__v/V8C000000044839", "EN-002103266")</f>
        <v>EN-002103266</v>
      </c>
    </row>
    <row r="1879" spans="1:15" ht="16" x14ac:dyDescent="0.2">
      <c r="A1879" s="26"/>
      <c r="B1879" s="26"/>
      <c r="C1879" s="26"/>
      <c r="D1879" s="26"/>
      <c r="E1879" s="26"/>
      <c r="F1879" s="26"/>
      <c r="G1879" s="26"/>
      <c r="H1879" s="26"/>
      <c r="I1879" s="26"/>
      <c r="J1879" s="26"/>
      <c r="K1879" s="26"/>
      <c r="L1879" s="26"/>
      <c r="M1879" s="26"/>
      <c r="N1879" s="26"/>
      <c r="O1879" s="14" t="str">
        <f>HYPERLINK("https://otsuka-europe-crm.veevavault.com/ui/#object/email_activity__v/V8C000000044840", "EN-002103268")</f>
        <v>EN-002103268</v>
      </c>
    </row>
    <row r="1880" spans="1:15" ht="16" x14ac:dyDescent="0.2">
      <c r="A1880" s="26"/>
      <c r="B1880" s="26"/>
      <c r="C1880" s="26"/>
      <c r="D1880" s="26"/>
      <c r="E1880" s="26"/>
      <c r="F1880" s="26"/>
      <c r="G1880" s="26"/>
      <c r="H1880" s="26"/>
      <c r="I1880" s="26"/>
      <c r="J1880" s="26"/>
      <c r="K1880" s="26"/>
      <c r="L1880" s="26"/>
      <c r="M1880" s="26"/>
      <c r="N1880" s="26"/>
      <c r="O1880" s="14" t="str">
        <f>HYPERLINK("https://otsuka-europe-crm.veevavault.com/ui/#object/email_activity__v/V8C000000044841", "EN-002103269")</f>
        <v>EN-002103269</v>
      </c>
    </row>
    <row r="1881" spans="1:15" ht="16" x14ac:dyDescent="0.2">
      <c r="A1881" s="26"/>
      <c r="B1881" s="26"/>
      <c r="C1881" s="26"/>
      <c r="D1881" s="26"/>
      <c r="E1881" s="26"/>
      <c r="F1881" s="26"/>
      <c r="G1881" s="26"/>
      <c r="H1881" s="26"/>
      <c r="I1881" s="26"/>
      <c r="J1881" s="26"/>
      <c r="K1881" s="26"/>
      <c r="L1881" s="26"/>
      <c r="M1881" s="26"/>
      <c r="N1881" s="26"/>
      <c r="O1881" s="14" t="str">
        <f>HYPERLINK("https://otsuka-europe-crm.veevavault.com/ui/#object/email_activity__v/V8C000000044842", "EN-002103270")</f>
        <v>EN-002103270</v>
      </c>
    </row>
    <row r="1882" spans="1:15" ht="16" x14ac:dyDescent="0.2">
      <c r="A1882" s="26"/>
      <c r="B1882" s="26"/>
      <c r="C1882" s="26"/>
      <c r="D1882" s="26"/>
      <c r="E1882" s="26"/>
      <c r="F1882" s="26"/>
      <c r="G1882" s="26"/>
      <c r="H1882" s="26"/>
      <c r="I1882" s="26"/>
      <c r="J1882" s="26"/>
      <c r="K1882" s="26"/>
      <c r="L1882" s="26"/>
      <c r="M1882" s="26"/>
      <c r="N1882" s="26"/>
      <c r="O1882" s="14" t="str">
        <f>HYPERLINK("https://otsuka-europe-crm.veevavault.com/ui/#object/email_activity__v/V8C000000045305", "EN-002103896")</f>
        <v>EN-002103896</v>
      </c>
    </row>
    <row r="1883" spans="1:15" ht="16" x14ac:dyDescent="0.2">
      <c r="A1883" s="19"/>
      <c r="B1883" s="19"/>
      <c r="C1883" s="19"/>
      <c r="D1883" s="19"/>
      <c r="E1883" s="19"/>
      <c r="F1883" s="19"/>
      <c r="G1883" s="19"/>
      <c r="H1883" s="19"/>
      <c r="I1883" s="19"/>
      <c r="J1883" s="19"/>
      <c r="K1883" s="19"/>
      <c r="L1883" s="19"/>
      <c r="M1883" s="19"/>
      <c r="N1883" s="19"/>
      <c r="O1883" s="14" t="str">
        <f>HYPERLINK("https://otsuka-europe-crm.veevavault.com/ui/#object/email_activity__v/V8C000000045307", "EN-002103898")</f>
        <v>EN-002103898</v>
      </c>
    </row>
    <row r="1884" spans="1:15" ht="16" x14ac:dyDescent="0.2">
      <c r="A1884" s="18" t="str">
        <f>HYPERLINK("https://otsuka-europe-crm.veevavault.com/ui/#object/account__v/V4T00000002A125", "ANGELO DOMENICO D'ADDIO FIGUEROA")</f>
        <v>ANGELO DOMENICO D'ADDIO FIGUEROA</v>
      </c>
      <c r="B1884" s="18" t="str">
        <f>HYPERLINK("https://otsuka-europe-crm.veevavault.com/ui/#object/vcountry__v/VENZ000004SONF5", "ES")</f>
        <v>ES</v>
      </c>
      <c r="C1884" s="20" t="s">
        <v>39</v>
      </c>
      <c r="D1884" s="21" t="str">
        <f>HYPERLINK("https://otsuka-europe-crm.veevavault.com/ui/#object/approved_document__v/V5OZ04ASG4FWKA7", "Reuniones Online Consent - 2")</f>
        <v>Reuniones Online Consent - 2</v>
      </c>
      <c r="E1884" s="22" t="str">
        <f>HYPERLINK("https://otsuka-europe-crm.veevavault.com/ui/#object/sent_email__v/VBL000000034164", "SE-001442527")</f>
        <v>SE-001442527</v>
      </c>
      <c r="F1884" s="25">
        <v>46212.499201388891</v>
      </c>
      <c r="G1884" s="24">
        <v>1</v>
      </c>
      <c r="H1884" s="24">
        <v>2</v>
      </c>
      <c r="I1884" s="24">
        <v>1</v>
      </c>
      <c r="J1884" s="25">
        <v>46212.499247685184</v>
      </c>
      <c r="K1884" s="24">
        <v>3</v>
      </c>
      <c r="L1884" s="22" t="str">
        <f>HYPERLINK("https://otsuka-europe-crm.veevavault.com/ui/#object/approved_document__v/V5OZ04ASG4FWKA7", "Reuniones Online Consent - 2")</f>
        <v>Reuniones Online Consent - 2</v>
      </c>
      <c r="M1884" s="22" t="str">
        <f>HYPERLINK("mailto:sruiz@crm.otsuka-europe.com", "sruiz@crm.otsuka-europe.com")</f>
        <v>sruiz@crm.otsuka-europe.com</v>
      </c>
      <c r="N1884" s="25">
        <v>46211.321273148147</v>
      </c>
      <c r="O1884" s="14" t="str">
        <f>HYPERLINK("https://otsuka-europe-crm.veevavault.com/ui/#object/email_activity__v/V8C000000043874", "EN-002103271")</f>
        <v>EN-002103271</v>
      </c>
    </row>
    <row r="1885" spans="1:15" ht="16" x14ac:dyDescent="0.2">
      <c r="A1885" s="26"/>
      <c r="B1885" s="26"/>
      <c r="C1885" s="26"/>
      <c r="D1885" s="26"/>
      <c r="E1885" s="26"/>
      <c r="F1885" s="26"/>
      <c r="G1885" s="26"/>
      <c r="H1885" s="26"/>
      <c r="I1885" s="26"/>
      <c r="J1885" s="26"/>
      <c r="K1885" s="26"/>
      <c r="L1885" s="26"/>
      <c r="M1885" s="26"/>
      <c r="N1885" s="26"/>
      <c r="O1885" s="14" t="str">
        <f>HYPERLINK("https://otsuka-europe-crm.veevavault.com/ui/#object/email_activity__v/V8C000000043875", "EN-002103272")</f>
        <v>EN-002103272</v>
      </c>
    </row>
    <row r="1886" spans="1:15" ht="16" x14ac:dyDescent="0.2">
      <c r="A1886" s="26"/>
      <c r="B1886" s="26"/>
      <c r="C1886" s="26"/>
      <c r="D1886" s="26"/>
      <c r="E1886" s="26"/>
      <c r="F1886" s="26"/>
      <c r="G1886" s="26"/>
      <c r="H1886" s="26"/>
      <c r="I1886" s="26"/>
      <c r="J1886" s="26"/>
      <c r="K1886" s="26"/>
      <c r="L1886" s="26"/>
      <c r="M1886" s="26"/>
      <c r="N1886" s="26"/>
      <c r="O1886" s="14" t="str">
        <f>HYPERLINK("https://otsuka-europe-crm.veevavault.com/ui/#object/email_activity__v/V8C000000043876", "EN-002103273")</f>
        <v>EN-002103273</v>
      </c>
    </row>
    <row r="1887" spans="1:15" ht="16" x14ac:dyDescent="0.2">
      <c r="A1887" s="26"/>
      <c r="B1887" s="26"/>
      <c r="C1887" s="26"/>
      <c r="D1887" s="26"/>
      <c r="E1887" s="26"/>
      <c r="F1887" s="26"/>
      <c r="G1887" s="26"/>
      <c r="H1887" s="26"/>
      <c r="I1887" s="26"/>
      <c r="J1887" s="26"/>
      <c r="K1887" s="26"/>
      <c r="L1887" s="26"/>
      <c r="M1887" s="26"/>
      <c r="N1887" s="26"/>
      <c r="O1887" s="14" t="str">
        <f>HYPERLINK("https://otsuka-europe-crm.veevavault.com/ui/#object/email_activity__v/V8C000000044779", "EN-002103141")</f>
        <v>EN-002103141</v>
      </c>
    </row>
    <row r="1888" spans="1:15" ht="16" x14ac:dyDescent="0.2">
      <c r="A1888" s="26"/>
      <c r="B1888" s="26"/>
      <c r="C1888" s="26"/>
      <c r="D1888" s="26"/>
      <c r="E1888" s="26"/>
      <c r="F1888" s="26"/>
      <c r="G1888" s="26"/>
      <c r="H1888" s="26"/>
      <c r="I1888" s="26"/>
      <c r="J1888" s="26"/>
      <c r="K1888" s="26"/>
      <c r="L1888" s="26"/>
      <c r="M1888" s="26"/>
      <c r="N1888" s="26"/>
      <c r="O1888" s="14" t="str">
        <f>HYPERLINK("https://otsuka-europe-crm.veevavault.com/ui/#object/email_activity__v/V8C000000045308", "EN-002103899")</f>
        <v>EN-002103899</v>
      </c>
    </row>
    <row r="1889" spans="1:15" ht="16" x14ac:dyDescent="0.2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19"/>
      <c r="L1889" s="19"/>
      <c r="M1889" s="19"/>
      <c r="N1889" s="19"/>
      <c r="O1889" s="14" t="str">
        <f>HYPERLINK("https://otsuka-europe-crm.veevavault.com/ui/#object/email_activity__v/V8C000000046040", "EN-002103900")</f>
        <v>EN-002103900</v>
      </c>
    </row>
    <row r="1890" spans="1:15" ht="16" x14ac:dyDescent="0.2">
      <c r="A1890" s="18" t="str">
        <f>HYPERLINK("https://otsuka-europe-crm.veevavault.com/ui/#object/account__v/V4T00000002A125", "ANGELO DOMENICO D'ADDIO FIGUEROA")</f>
        <v>ANGELO DOMENICO D'ADDIO FIGUEROA</v>
      </c>
      <c r="B1890" s="18" t="str">
        <f>HYPERLINK("https://otsuka-europe-crm.veevavault.com/ui/#object/vcountry__v/VENZ000004SONF5", "ES")</f>
        <v>ES</v>
      </c>
      <c r="C1890" s="20" t="s">
        <v>39</v>
      </c>
      <c r="D1890" s="21" t="str">
        <f>HYPERLINK("https://otsuka-europe-crm.veevavault.com/ui/#object/approved_document__v/V5O00000000D100", "Spain - Consent Email 1 Aug 25")</f>
        <v>Spain - Consent Email 1 Aug 25</v>
      </c>
      <c r="E1890" s="22" t="str">
        <f>HYPERLINK("https://otsuka-europe-crm.veevavault.com/ui/#object/sent_email__v/VBL000000034165", "SE-001442528")</f>
        <v>SE-001442528</v>
      </c>
      <c r="F1890" s="25">
        <v>46212.499467592592</v>
      </c>
      <c r="G1890" s="24">
        <v>1</v>
      </c>
      <c r="H1890" s="24">
        <v>1</v>
      </c>
      <c r="I1890" s="24">
        <v>1</v>
      </c>
      <c r="J1890" s="25">
        <v>46212.499467592592</v>
      </c>
      <c r="K1890" s="24">
        <v>1</v>
      </c>
      <c r="L1890" s="22" t="str">
        <f>HYPERLINK("https://otsuka-europe-crm.veevavault.com/ui/#object/approved_document__v/V5O00000000D100", "Spain - Consent Email 1 Aug 25")</f>
        <v>Spain - Consent Email 1 Aug 25</v>
      </c>
      <c r="M1890" s="22" t="str">
        <f>HYPERLINK("mailto:sruiz@crm.otsuka-europe.com", "sruiz@crm.otsuka-europe.com")</f>
        <v>sruiz@crm.otsuka-europe.com</v>
      </c>
      <c r="N1890" s="25">
        <v>46211.321273148147</v>
      </c>
      <c r="O1890" s="14" t="str">
        <f>HYPERLINK("https://otsuka-europe-crm.veevavault.com/ui/#object/email_activity__v/V8C000000044778", "EN-002103140")</f>
        <v>EN-002103140</v>
      </c>
    </row>
    <row r="1891" spans="1:15" ht="16" x14ac:dyDescent="0.2">
      <c r="A1891" s="26"/>
      <c r="B1891" s="26"/>
      <c r="C1891" s="26"/>
      <c r="D1891" s="26"/>
      <c r="E1891" s="26"/>
      <c r="F1891" s="26"/>
      <c r="G1891" s="26"/>
      <c r="H1891" s="26"/>
      <c r="I1891" s="26"/>
      <c r="J1891" s="26"/>
      <c r="K1891" s="26"/>
      <c r="L1891" s="26"/>
      <c r="M1891" s="26"/>
      <c r="N1891" s="26"/>
      <c r="O1891" s="14" t="str">
        <f>HYPERLINK("https://otsuka-europe-crm.veevavault.com/ui/#object/email_activity__v/V8C000000046041", "EN-002103903")</f>
        <v>EN-002103903</v>
      </c>
    </row>
    <row r="1892" spans="1:15" ht="16" x14ac:dyDescent="0.2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19"/>
      <c r="L1892" s="19"/>
      <c r="M1892" s="19"/>
      <c r="N1892" s="19"/>
      <c r="O1892" s="14" t="str">
        <f>HYPERLINK("https://otsuka-europe-crm.veevavault.com/ui/#object/email_activity__v/V8C000000046042", "EN-002103902")</f>
        <v>EN-002103902</v>
      </c>
    </row>
    <row r="1893" spans="1:15" ht="16" x14ac:dyDescent="0.2">
      <c r="A1893" s="18" t="str">
        <f>HYPERLINK("https://otsuka-europe-crm.veevavault.com/ui/#object/account__v/V4T00000001B044", "BEATRIZ CUEVAS RUIZ")</f>
        <v>BEATRIZ CUEVAS RUIZ</v>
      </c>
      <c r="B1893" s="18" t="str">
        <f>HYPERLINK("https://otsuka-europe-crm.veevavault.com/ui/#object/vcountry__v/VENZ000004SONF5", "ES")</f>
        <v>ES</v>
      </c>
      <c r="C1893" s="20" t="s">
        <v>39</v>
      </c>
      <c r="D1893" s="21" t="str">
        <f>HYPERLINK("https://otsuka-europe-crm.veevavault.com/ui/#object/approved_document__v/V5OZ04ASG4FWKA7", "Reuniones Online Consent - 2")</f>
        <v>Reuniones Online Consent - 2</v>
      </c>
      <c r="E1893" s="22" t="str">
        <f>HYPERLINK("https://otsuka-europe-crm.veevavault.com/ui/#object/sent_email__v/VBL000000032242", "SE-001442532")</f>
        <v>SE-001442532</v>
      </c>
      <c r="F1893" s="25">
        <v>46211.386886574073</v>
      </c>
      <c r="G1893" s="24">
        <v>1</v>
      </c>
      <c r="H1893" s="24">
        <v>2</v>
      </c>
      <c r="I1893" s="24">
        <v>1</v>
      </c>
      <c r="J1893" s="25">
        <v>46211.386886574073</v>
      </c>
      <c r="K1893" s="24">
        <v>2</v>
      </c>
      <c r="L1893" s="22" t="str">
        <f>HYPERLINK("https://otsuka-europe-crm.veevavault.com/ui/#object/approved_document__v/V5OZ04ASG4FWKA7", "Reuniones Online Consent - 2")</f>
        <v>Reuniones Online Consent - 2</v>
      </c>
      <c r="M1893" s="22" t="str">
        <f>HYPERLINK("mailto:pmartinez@crm.otsuka-europe.com", "pmartinez@crm.otsuka-europe.com")</f>
        <v>pmartinez@crm.otsuka-europe.com</v>
      </c>
      <c r="N1893" s="25">
        <v>46211.342129629629</v>
      </c>
      <c r="O1893" s="14" t="str">
        <f>HYPERLINK("https://otsuka-europe-crm.veevavault.com/ui/#object/email_activity__v/V8C000000043809", "EN-002103144")</f>
        <v>EN-002103144</v>
      </c>
    </row>
    <row r="1894" spans="1:15" ht="16" x14ac:dyDescent="0.2">
      <c r="A1894" s="26"/>
      <c r="B1894" s="26"/>
      <c r="C1894" s="26"/>
      <c r="D1894" s="26"/>
      <c r="E1894" s="26"/>
      <c r="F1894" s="26"/>
      <c r="G1894" s="26"/>
      <c r="H1894" s="26"/>
      <c r="I1894" s="26"/>
      <c r="J1894" s="26"/>
      <c r="K1894" s="26"/>
      <c r="L1894" s="26"/>
      <c r="M1894" s="26"/>
      <c r="N1894" s="26"/>
      <c r="O1894" s="14" t="str">
        <f>HYPERLINK("https://otsuka-europe-crm.veevavault.com/ui/#object/email_activity__v/V8C000000043823", "EN-002103176")</f>
        <v>EN-002103176</v>
      </c>
    </row>
    <row r="1895" spans="1:15" ht="16" x14ac:dyDescent="0.2">
      <c r="A1895" s="26"/>
      <c r="B1895" s="26"/>
      <c r="C1895" s="26"/>
      <c r="D1895" s="26"/>
      <c r="E1895" s="26"/>
      <c r="F1895" s="26"/>
      <c r="G1895" s="26"/>
      <c r="H1895" s="26"/>
      <c r="I1895" s="26"/>
      <c r="J1895" s="26"/>
      <c r="K1895" s="26"/>
      <c r="L1895" s="26"/>
      <c r="M1895" s="26"/>
      <c r="N1895" s="26"/>
      <c r="O1895" s="14" t="str">
        <f>HYPERLINK("https://otsuka-europe-crm.veevavault.com/ui/#object/email_activity__v/V8C000000043824", "EN-002103175")</f>
        <v>EN-002103175</v>
      </c>
    </row>
    <row r="1896" spans="1:15" ht="16" x14ac:dyDescent="0.2">
      <c r="A1896" s="26"/>
      <c r="B1896" s="26"/>
      <c r="C1896" s="26"/>
      <c r="D1896" s="26"/>
      <c r="E1896" s="26"/>
      <c r="F1896" s="26"/>
      <c r="G1896" s="26"/>
      <c r="H1896" s="26"/>
      <c r="I1896" s="26"/>
      <c r="J1896" s="26"/>
      <c r="K1896" s="26"/>
      <c r="L1896" s="26"/>
      <c r="M1896" s="26"/>
      <c r="N1896" s="26"/>
      <c r="O1896" s="14" t="str">
        <f>HYPERLINK("https://otsuka-europe-crm.veevavault.com/ui/#object/email_activity__v/V8C000000043825", "EN-002103178")</f>
        <v>EN-002103178</v>
      </c>
    </row>
    <row r="1897" spans="1:15" ht="16" x14ac:dyDescent="0.2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/>
      <c r="L1897" s="19"/>
      <c r="M1897" s="19"/>
      <c r="N1897" s="19"/>
      <c r="O1897" s="14" t="str">
        <f>HYPERLINK("https://otsuka-europe-crm.veevavault.com/ui/#object/email_activity__v/V8C000000043826", "EN-002103177")</f>
        <v>EN-002103177</v>
      </c>
    </row>
    <row r="1898" spans="1:15" ht="16" x14ac:dyDescent="0.2">
      <c r="A1898" s="18" t="str">
        <f>HYPERLINK("https://otsuka-europe-crm.veevavault.com/ui/#object/account__v/V4T00000001B044", "BEATRIZ CUEVAS RUIZ")</f>
        <v>BEATRIZ CUEVAS RUIZ</v>
      </c>
      <c r="B1898" s="18" t="str">
        <f>HYPERLINK("https://otsuka-europe-crm.veevavault.com/ui/#object/vcountry__v/VENZ000004SONF5", "ES")</f>
        <v>ES</v>
      </c>
      <c r="C1898" s="20" t="s">
        <v>39</v>
      </c>
      <c r="D1898" s="21" t="str">
        <f>HYPERLINK("https://otsuka-europe-crm.veevavault.com/ui/#object/approved_document__v/V5OZ04ASG4FWKA9", "Documento Autorizaciขn Centro Empleador")</f>
        <v>Documento Autorizaciขn Centro Empleador</v>
      </c>
      <c r="E1898" s="22" t="str">
        <f>HYPERLINK("https://otsuka-europe-crm.veevavault.com/ui/#object/sent_email__v/VBL000000032243", "SE-001442533")</f>
        <v>SE-001442533</v>
      </c>
      <c r="F1898" s="25">
        <v>46211.386759259258</v>
      </c>
      <c r="G1898" s="24">
        <v>1</v>
      </c>
      <c r="H1898" s="24">
        <v>1</v>
      </c>
      <c r="I1898" s="24">
        <v>1</v>
      </c>
      <c r="J1898" s="25">
        <v>46211.386782407404</v>
      </c>
      <c r="K1898" s="24">
        <v>2</v>
      </c>
      <c r="L1898" s="22" t="str">
        <f>HYPERLINK("https://otsuka-europe-crm.veevavault.com/ui/#object/approved_document__v/V5OZ04ASG4FWKA9", "Documento Autorizaciขn Centro Empleador")</f>
        <v>Documento Autorizaciขn Centro Empleador</v>
      </c>
      <c r="M1898" s="22" t="str">
        <f>HYPERLINK("mailto:pmartinez@crm.otsuka-europe.com", "pmartinez@crm.otsuka-europe.com")</f>
        <v>pmartinez@crm.otsuka-europe.com</v>
      </c>
      <c r="N1898" s="25">
        <v>46211.342129629629</v>
      </c>
      <c r="O1898" s="14" t="str">
        <f>HYPERLINK("https://otsuka-europe-crm.veevavault.com/ui/#object/email_activity__v/V8C000000043808", "EN-002103143")</f>
        <v>EN-002103143</v>
      </c>
    </row>
    <row r="1899" spans="1:15" ht="16" x14ac:dyDescent="0.2">
      <c r="A1899" s="26"/>
      <c r="B1899" s="26"/>
      <c r="C1899" s="26"/>
      <c r="D1899" s="26"/>
      <c r="E1899" s="26"/>
      <c r="F1899" s="26"/>
      <c r="G1899" s="26"/>
      <c r="H1899" s="26"/>
      <c r="I1899" s="26"/>
      <c r="J1899" s="26"/>
      <c r="K1899" s="26"/>
      <c r="L1899" s="26"/>
      <c r="M1899" s="26"/>
      <c r="N1899" s="26"/>
      <c r="O1899" s="14" t="str">
        <f>HYPERLINK("https://otsuka-europe-crm.veevavault.com/ui/#object/email_activity__v/V8C000000043820", "EN-002103173")</f>
        <v>EN-002103173</v>
      </c>
    </row>
    <row r="1900" spans="1:15" ht="16" x14ac:dyDescent="0.2">
      <c r="A1900" s="26"/>
      <c r="B1900" s="26"/>
      <c r="C1900" s="26"/>
      <c r="D1900" s="26"/>
      <c r="E1900" s="26"/>
      <c r="F1900" s="26"/>
      <c r="G1900" s="26"/>
      <c r="H1900" s="26"/>
      <c r="I1900" s="26"/>
      <c r="J1900" s="26"/>
      <c r="K1900" s="26"/>
      <c r="L1900" s="26"/>
      <c r="M1900" s="26"/>
      <c r="N1900" s="26"/>
      <c r="O1900" s="14" t="str">
        <f>HYPERLINK("https://otsuka-europe-crm.veevavault.com/ui/#object/email_activity__v/V8C000000043821", "EN-002103172")</f>
        <v>EN-002103172</v>
      </c>
    </row>
    <row r="1901" spans="1:15" ht="16" x14ac:dyDescent="0.2">
      <c r="A1901" s="19"/>
      <c r="B1901" s="19"/>
      <c r="C1901" s="19"/>
      <c r="D1901" s="19"/>
      <c r="E1901" s="19"/>
      <c r="F1901" s="19"/>
      <c r="G1901" s="19"/>
      <c r="H1901" s="19"/>
      <c r="I1901" s="19"/>
      <c r="J1901" s="19"/>
      <c r="K1901" s="19"/>
      <c r="L1901" s="19"/>
      <c r="M1901" s="19"/>
      <c r="N1901" s="19"/>
      <c r="O1901" s="14" t="str">
        <f>HYPERLINK("https://otsuka-europe-crm.veevavault.com/ui/#object/email_activity__v/V8C000000043822", "EN-002103174")</f>
        <v>EN-002103174</v>
      </c>
    </row>
    <row r="1902" spans="1:15" ht="16" x14ac:dyDescent="0.2">
      <c r="A1902" s="18" t="str">
        <f>HYPERLINK("https://otsuka-europe-crm.veevavault.com/ui/#object/account__v/V4T00000002B127", "CLARA ESPERANZA RUIZ PAGE")</f>
        <v>CLARA ESPERANZA RUIZ PAGE</v>
      </c>
      <c r="B1902" s="18" t="str">
        <f>HYPERLINK("https://otsuka-europe-crm.veevavault.com/ui/#object/vcountry__v/VENZ000004SONF5", "ES")</f>
        <v>ES</v>
      </c>
      <c r="C1902" s="20" t="s">
        <v>39</v>
      </c>
      <c r="D1902" s="21" t="str">
        <f>HYPERLINK("https://otsuka-europe-crm.veevavault.com/ui/#object/approved_document__v/V5O00000000D100", "Spain - Consent Email 1 Aug 25")</f>
        <v>Spain - Consent Email 1 Aug 25</v>
      </c>
      <c r="E1902" s="22" t="str">
        <f>HYPERLINK("https://otsuka-europe-crm.veevavault.com/ui/#object/sent_email__v/VBL000000034169", "SE-001442534")</f>
        <v>SE-001442534</v>
      </c>
      <c r="F1902" s="23"/>
      <c r="G1902" s="24">
        <v>0</v>
      </c>
      <c r="H1902" s="24">
        <v>0</v>
      </c>
      <c r="I1902" s="24">
        <v>1</v>
      </c>
      <c r="J1902" s="25">
        <v>46211.405891203707</v>
      </c>
      <c r="K1902" s="24">
        <v>1</v>
      </c>
      <c r="L1902" s="22" t="str">
        <f>HYPERLINK("https://otsuka-europe-crm.veevavault.com/ui/#object/approved_document__v/V5O00000000D100", "Spain - Consent Email 1 Aug 25")</f>
        <v>Spain - Consent Email 1 Aug 25</v>
      </c>
      <c r="M1902" s="22" t="str">
        <f>HYPERLINK("mailto:ccalero@crm.otsuka-europe.com", "ccalero@crm.otsuka-europe.com")</f>
        <v>ccalero@crm.otsuka-europe.com</v>
      </c>
      <c r="N1902" s="25">
        <v>46211.404965277776</v>
      </c>
      <c r="O1902" s="14" t="str">
        <f>HYPERLINK("https://otsuka-europe-crm.veevavault.com/ui/#object/email_activity__v/V8C000000044801", "EN-002103183")</f>
        <v>EN-002103183</v>
      </c>
    </row>
    <row r="1903" spans="1:15" ht="16" x14ac:dyDescent="0.2">
      <c r="A1903" s="26"/>
      <c r="B1903" s="26"/>
      <c r="C1903" s="26"/>
      <c r="D1903" s="26"/>
      <c r="E1903" s="26"/>
      <c r="F1903" s="26"/>
      <c r="G1903" s="26"/>
      <c r="H1903" s="26"/>
      <c r="I1903" s="26"/>
      <c r="J1903" s="26"/>
      <c r="K1903" s="26"/>
      <c r="L1903" s="26"/>
      <c r="M1903" s="26"/>
      <c r="N1903" s="26"/>
      <c r="O1903" s="14" t="str">
        <f>HYPERLINK("https://otsuka-europe-crm.veevavault.com/ui/#object/email_activity__v/V8C000000044805", "EN-002103187")</f>
        <v>EN-002103187</v>
      </c>
    </row>
    <row r="1904" spans="1:15" ht="16" x14ac:dyDescent="0.2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19"/>
      <c r="L1904" s="19"/>
      <c r="M1904" s="19"/>
      <c r="N1904" s="19"/>
      <c r="O1904" s="14" t="str">
        <f>HYPERLINK("https://otsuka-europe-crm.veevavault.com/ui/#object/email_activity__v/V8C000000044807", "EN-002103189")</f>
        <v>EN-002103189</v>
      </c>
    </row>
    <row r="1905" spans="1:15" ht="16" x14ac:dyDescent="0.2">
      <c r="A1905" s="18" t="str">
        <f>HYPERLINK("https://otsuka-europe-crm.veevavault.com/ui/#object/account__v/V4T00000002B127", "CLARA ESPERANZA RUIZ PAGE")</f>
        <v>CLARA ESPERANZA RUIZ PAGE</v>
      </c>
      <c r="B1905" s="18" t="str">
        <f>HYPERLINK("https://otsuka-europe-crm.veevavault.com/ui/#object/vcountry__v/VENZ000004SONF5", "ES")</f>
        <v>ES</v>
      </c>
      <c r="C1905" s="20" t="s">
        <v>39</v>
      </c>
      <c r="D1905" s="21" t="str">
        <f>HYPERLINK("https://otsuka-europe-crm.veevavault.com/ui/#object/approved_document__v/V5OZ04ASG4FWKA7", "Reuniones Online Consent - 2")</f>
        <v>Reuniones Online Consent - 2</v>
      </c>
      <c r="E1905" s="22" t="str">
        <f>HYPERLINK("https://otsuka-europe-crm.veevavault.com/ui/#object/sent_email__v/VBL000000034170", "SE-001442535")</f>
        <v>SE-001442535</v>
      </c>
      <c r="F1905" s="23"/>
      <c r="G1905" s="24">
        <v>0</v>
      </c>
      <c r="H1905" s="24">
        <v>0</v>
      </c>
      <c r="I1905" s="24">
        <v>1</v>
      </c>
      <c r="J1905" s="25">
        <v>46211.405729166669</v>
      </c>
      <c r="K1905" s="24">
        <v>1</v>
      </c>
      <c r="L1905" s="22" t="str">
        <f>HYPERLINK("https://otsuka-europe-crm.veevavault.com/ui/#object/approved_document__v/V5OZ04ASG4FWKA7", "Reuniones Online Consent - 2")</f>
        <v>Reuniones Online Consent - 2</v>
      </c>
      <c r="M1905" s="22" t="str">
        <f>HYPERLINK("mailto:ccalero@crm.otsuka-europe.com", "ccalero@crm.otsuka-europe.com")</f>
        <v>ccalero@crm.otsuka-europe.com</v>
      </c>
      <c r="N1905" s="25">
        <v>46211.404953703706</v>
      </c>
      <c r="O1905" s="14" t="str">
        <f>HYPERLINK("https://otsuka-europe-crm.veevavault.com/ui/#object/email_activity__v/V8C000000044800", "EN-002103182")</f>
        <v>EN-002103182</v>
      </c>
    </row>
    <row r="1906" spans="1:15" ht="16" x14ac:dyDescent="0.2">
      <c r="A1906" s="26"/>
      <c r="B1906" s="26"/>
      <c r="C1906" s="26"/>
      <c r="D1906" s="26"/>
      <c r="E1906" s="26"/>
      <c r="F1906" s="26"/>
      <c r="G1906" s="26"/>
      <c r="H1906" s="26"/>
      <c r="I1906" s="26"/>
      <c r="J1906" s="26"/>
      <c r="K1906" s="26"/>
      <c r="L1906" s="26"/>
      <c r="M1906" s="26"/>
      <c r="N1906" s="26"/>
      <c r="O1906" s="14" t="str">
        <f>HYPERLINK("https://otsuka-europe-crm.veevavault.com/ui/#object/email_activity__v/V8C000000044803", "EN-002103185")</f>
        <v>EN-002103185</v>
      </c>
    </row>
    <row r="1907" spans="1:15" ht="16" x14ac:dyDescent="0.2">
      <c r="A1907" s="19"/>
      <c r="B1907" s="19"/>
      <c r="C1907" s="19"/>
      <c r="D1907" s="19"/>
      <c r="E1907" s="19"/>
      <c r="F1907" s="19"/>
      <c r="G1907" s="19"/>
      <c r="H1907" s="19"/>
      <c r="I1907" s="19"/>
      <c r="J1907" s="19"/>
      <c r="K1907" s="19"/>
      <c r="L1907" s="19"/>
      <c r="M1907" s="19"/>
      <c r="N1907" s="19"/>
      <c r="O1907" s="14" t="str">
        <f>HYPERLINK("https://otsuka-europe-crm.veevavault.com/ui/#object/email_activity__v/V8C000000044804", "EN-002103186")</f>
        <v>EN-002103186</v>
      </c>
    </row>
    <row r="1908" spans="1:15" ht="16" x14ac:dyDescent="0.2">
      <c r="A1908" s="18" t="str">
        <f>HYPERLINK("https://otsuka-europe-crm.veevavault.com/ui/#object/account__v/V4T00000002B127", "CLARA ESPERANZA RUIZ PAGE")</f>
        <v>CLARA ESPERANZA RUIZ PAGE</v>
      </c>
      <c r="B1908" s="18" t="str">
        <f>HYPERLINK("https://otsuka-europe-crm.veevavault.com/ui/#object/vcountry__v/VENZ000004SONF5", "ES")</f>
        <v>ES</v>
      </c>
      <c r="C1908" s="20" t="s">
        <v>39</v>
      </c>
      <c r="D1908" s="21" t="str">
        <f>HYPERLINK("https://otsuka-europe-crm.veevavault.com/ui/#object/approved_document__v/V5OZ04ASG4FWKA9", "Documento Autorizaciขn Centro Empleador")</f>
        <v>Documento Autorizaciขn Centro Empleador</v>
      </c>
      <c r="E1908" s="22" t="str">
        <f>HYPERLINK("https://otsuka-europe-crm.veevavault.com/ui/#object/sent_email__v/VBL000000034171", "SE-001442536")</f>
        <v>SE-001442536</v>
      </c>
      <c r="F1908" s="23"/>
      <c r="G1908" s="24">
        <v>0</v>
      </c>
      <c r="H1908" s="24">
        <v>0</v>
      </c>
      <c r="I1908" s="24">
        <v>1</v>
      </c>
      <c r="J1908" s="25">
        <v>46211.406041666669</v>
      </c>
      <c r="K1908" s="24">
        <v>1</v>
      </c>
      <c r="L1908" s="22" t="str">
        <f>HYPERLINK("https://otsuka-europe-crm.veevavault.com/ui/#object/approved_document__v/V5OZ04ASG4FWKA9", "Documento Autorizaciขn Centro Empleador")</f>
        <v>Documento Autorizaciขn Centro Empleador</v>
      </c>
      <c r="M1908" s="22" t="str">
        <f>HYPERLINK("mailto:ccalero@crm.otsuka-europe.com", "ccalero@crm.otsuka-europe.com")</f>
        <v>ccalero@crm.otsuka-europe.com</v>
      </c>
      <c r="N1908" s="25">
        <v>46211.404976851853</v>
      </c>
      <c r="O1908" s="14" t="str">
        <f>HYPERLINK("https://otsuka-europe-crm.veevavault.com/ui/#object/email_activity__v/V8C000000044799", "EN-002103181")</f>
        <v>EN-002103181</v>
      </c>
    </row>
    <row r="1909" spans="1:15" ht="16" x14ac:dyDescent="0.2">
      <c r="A1909" s="26"/>
      <c r="B1909" s="26"/>
      <c r="C1909" s="26"/>
      <c r="D1909" s="26"/>
      <c r="E1909" s="26"/>
      <c r="F1909" s="26"/>
      <c r="G1909" s="26"/>
      <c r="H1909" s="26"/>
      <c r="I1909" s="26"/>
      <c r="J1909" s="26"/>
      <c r="K1909" s="26"/>
      <c r="L1909" s="26"/>
      <c r="M1909" s="26"/>
      <c r="N1909" s="26"/>
      <c r="O1909" s="14" t="str">
        <f>HYPERLINK("https://otsuka-europe-crm.veevavault.com/ui/#object/email_activity__v/V8C000000044806", "EN-002103188")</f>
        <v>EN-002103188</v>
      </c>
    </row>
    <row r="1910" spans="1:15" ht="16" x14ac:dyDescent="0.2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/>
      <c r="L1910" s="19"/>
      <c r="M1910" s="19"/>
      <c r="N1910" s="19"/>
      <c r="O1910" s="14" t="str">
        <f>HYPERLINK("https://otsuka-europe-crm.veevavault.com/ui/#object/email_activity__v/V8C000000044808", "EN-002103190")</f>
        <v>EN-002103190</v>
      </c>
    </row>
    <row r="1911" spans="1:15" ht="16" x14ac:dyDescent="0.2">
      <c r="A1911" s="18" t="str">
        <f>HYPERLINK("https://otsuka-europe-crm.veevavault.com/ui/#object/account__v/V4TZ00000633HTB", "HADI ABADIE")</f>
        <v>HADI ABADIE</v>
      </c>
      <c r="B1911" s="18" t="str">
        <f>HYPERLINK("https://otsuka-europe-crm.veevavault.com/ui/#object/vcountry__v/VENZ000004SONFA", "FR")</f>
        <v>FR</v>
      </c>
      <c r="C1911" s="20" t="s">
        <v>40</v>
      </c>
      <c r="D1911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1911" s="22" t="str">
        <f>HYPERLINK("https://otsuka-europe-crm.veevavault.com/ui/#object/sent_email__v/VBL000000032244", "SE-001442537")</f>
        <v>SE-001442537</v>
      </c>
      <c r="F1911" s="25">
        <v>46212.516041666669</v>
      </c>
      <c r="G1911" s="24">
        <v>1</v>
      </c>
      <c r="H1911" s="24">
        <v>1</v>
      </c>
      <c r="I1911" s="24">
        <v>0</v>
      </c>
      <c r="J1911" s="23"/>
      <c r="K1911" s="24">
        <v>0</v>
      </c>
      <c r="L1911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1911" s="22" t="str">
        <f>HYPERLINK("mailto:cchevalliermiserole@crm.otsuka-europe.com", "cchevalliermiserole@crm.otsuka-europe.com")</f>
        <v>cchevalliermiserole@crm.otsuka-europe.com</v>
      </c>
      <c r="N1911" s="25">
        <v>46212.507094907407</v>
      </c>
      <c r="O1911" s="14" t="str">
        <f>HYPERLINK("https://otsuka-europe-crm.veevavault.com/ui/#object/email_activity__v/V8C000000045315", "EN-002103909")</f>
        <v>EN-002103909</v>
      </c>
    </row>
    <row r="1912" spans="1:15" ht="16" x14ac:dyDescent="0.2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/>
      <c r="L1912" s="19"/>
      <c r="M1912" s="19"/>
      <c r="N1912" s="19"/>
      <c r="O1912" s="14" t="str">
        <f>HYPERLINK("https://otsuka-europe-crm.veevavault.com/ui/#object/email_activity__v/V8C000000046044", "EN-002103913")</f>
        <v>EN-002103913</v>
      </c>
    </row>
    <row r="1913" spans="1:15" ht="16" x14ac:dyDescent="0.2">
      <c r="A1913" s="18" t="str">
        <f>HYPERLINK("https://otsuka-europe-crm.veevavault.com/ui/#object/account__v/V4TZ00000633HTB", "HADI ABADIE")</f>
        <v>HADI ABADIE</v>
      </c>
      <c r="B1913" s="18" t="str">
        <f>HYPERLINK("https://otsuka-europe-crm.veevavault.com/ui/#object/vcountry__v/VENZ000004SONFA", "FR")</f>
        <v>FR</v>
      </c>
      <c r="C1913" s="20" t="s">
        <v>40</v>
      </c>
      <c r="D1913" s="21" t="str">
        <f>HYPERLINK("https://otsuka-europe-crm.veevavault.com/ui/#object/approved_document__v/V5OZ04ASG4G02Y7", "REMERCIEMENTS_VAD_2023")</f>
        <v>REMERCIEMENTS_VAD_2023</v>
      </c>
      <c r="E1913" s="22" t="str">
        <f>HYPERLINK("https://otsuka-europe-crm.veevavault.com/ui/#object/sent_email__v/VBL000000032245", "SE-001442538")</f>
        <v>SE-001442538</v>
      </c>
      <c r="F1913" s="23"/>
      <c r="G1913" s="24">
        <v>0</v>
      </c>
      <c r="H1913" s="24">
        <v>0</v>
      </c>
      <c r="I1913" s="24">
        <v>0</v>
      </c>
      <c r="J1913" s="23"/>
      <c r="K1913" s="24">
        <v>0</v>
      </c>
      <c r="L1913" s="22" t="str">
        <f>HYPERLINK("https://otsuka-europe-crm.veevavault.com/ui/#object/approved_document__v/V5OZ04ASG4G02Y7", "REMERCIEMENTS_VAD_2023")</f>
        <v>REMERCIEMENTS_VAD_2023</v>
      </c>
      <c r="M1913" s="22" t="str">
        <f>HYPERLINK("mailto:cchevalliermiserole@crm.otsuka-europe.com", "cchevalliermiserole@crm.otsuka-europe.com")</f>
        <v>cchevalliermiserole@crm.otsuka-europe.com</v>
      </c>
      <c r="N1913" s="25">
        <v>46211.426215277781</v>
      </c>
      <c r="O1913" s="14" t="str">
        <f>HYPERLINK("https://otsuka-europe-crm.veevavault.com/ui/#object/email_activity__v/V8C000000043833", "EN-002103198")</f>
        <v>EN-002103198</v>
      </c>
    </row>
    <row r="1914" spans="1:15" ht="16" x14ac:dyDescent="0.2">
      <c r="A1914" s="19"/>
      <c r="B1914" s="19"/>
      <c r="C1914" s="19"/>
      <c r="D1914" s="19"/>
      <c r="E1914" s="19"/>
      <c r="F1914" s="19"/>
      <c r="G1914" s="19"/>
      <c r="H1914" s="19"/>
      <c r="I1914" s="19"/>
      <c r="J1914" s="19"/>
      <c r="K1914" s="19"/>
      <c r="L1914" s="19"/>
      <c r="M1914" s="19"/>
      <c r="N1914" s="19"/>
      <c r="O1914" s="14" t="str">
        <f>HYPERLINK("https://otsuka-europe-crm.veevavault.com/ui/#object/email_activity__v/V8C000000044815", "EN-002103208")</f>
        <v>EN-002103208</v>
      </c>
    </row>
    <row r="1915" spans="1:15" ht="16" x14ac:dyDescent="0.2">
      <c r="A1915" s="18" t="str">
        <f>HYPERLINK("https://otsuka-europe-crm.veevavault.com/ui/#object/account__v/V4T00000002A065", "MARIA ANGELES ORTEGA RIVERO")</f>
        <v>MARIA ANGELES ORTEGA RIVERO</v>
      </c>
      <c r="B1915" s="18" t="str">
        <f>HYPERLINK("https://otsuka-europe-crm.veevavault.com/ui/#object/vcountry__v/VENZ000004SONF5", "ES")</f>
        <v>ES</v>
      </c>
      <c r="C1915" s="20" t="s">
        <v>39</v>
      </c>
      <c r="D1915" s="21" t="str">
        <f>HYPERLINK("https://otsuka-europe-crm.veevavault.com/ui/#object/approved_document__v/V5OZ06G6O6RFL1P", "ES Veeva Privacy Notice Email")</f>
        <v>ES Veeva Privacy Notice Email</v>
      </c>
      <c r="E1915" s="22" t="str">
        <f>HYPERLINK("https://otsuka-europe-crm.veevavault.com/ui/#object/sent_email__v/VBL000000032246", "SE-001442539")</f>
        <v>SE-001442539</v>
      </c>
      <c r="F1915" s="25">
        <v>46211.715601851851</v>
      </c>
      <c r="G1915" s="24">
        <v>1</v>
      </c>
      <c r="H1915" s="24">
        <v>1</v>
      </c>
      <c r="I1915" s="24">
        <v>1</v>
      </c>
      <c r="J1915" s="25">
        <v>46211.715671296297</v>
      </c>
      <c r="K1915" s="24">
        <v>1</v>
      </c>
      <c r="L1915" s="22" t="str">
        <f>HYPERLINK("https://otsuka-europe-crm.veevavault.com/ui/#object/approved_document__v/V5OZ06G6O6RFL1P", "ES Veeva Privacy Notice Email")</f>
        <v>ES Veeva Privacy Notice Email</v>
      </c>
      <c r="M1915" s="22" t="str">
        <f>HYPERLINK("mailto:jllombart@crm.otsuka-europe.com", "jllombart@crm.otsuka-europe.com")</f>
        <v>jllombart@crm.otsuka-europe.com</v>
      </c>
      <c r="N1915" s="25">
        <v>46211.434756944444</v>
      </c>
      <c r="O1915" s="14" t="str">
        <f>HYPERLINK("https://otsuka-europe-crm.veevavault.com/ui/#object/email_activity__v/V8C000000044812", "EN-002103204")</f>
        <v>EN-002103204</v>
      </c>
    </row>
    <row r="1916" spans="1:15" ht="16" x14ac:dyDescent="0.2">
      <c r="A1916" s="26"/>
      <c r="B1916" s="26"/>
      <c r="C1916" s="26"/>
      <c r="D1916" s="26"/>
      <c r="E1916" s="26"/>
      <c r="F1916" s="26"/>
      <c r="G1916" s="26"/>
      <c r="H1916" s="26"/>
      <c r="I1916" s="26"/>
      <c r="J1916" s="26"/>
      <c r="K1916" s="26"/>
      <c r="L1916" s="26"/>
      <c r="M1916" s="26"/>
      <c r="N1916" s="26"/>
      <c r="O1916" s="14" t="str">
        <f>HYPERLINK("https://otsuka-europe-crm.veevavault.com/ui/#object/email_activity__v/V8C000000044837", "EN-002103261")</f>
        <v>EN-002103261</v>
      </c>
    </row>
    <row r="1917" spans="1:15" ht="16" x14ac:dyDescent="0.2">
      <c r="A1917" s="26"/>
      <c r="B1917" s="26"/>
      <c r="C1917" s="26"/>
      <c r="D1917" s="26"/>
      <c r="E1917" s="26"/>
      <c r="F1917" s="26"/>
      <c r="G1917" s="26"/>
      <c r="H1917" s="26"/>
      <c r="I1917" s="26"/>
      <c r="J1917" s="26"/>
      <c r="K1917" s="26"/>
      <c r="L1917" s="26"/>
      <c r="M1917" s="26"/>
      <c r="N1917" s="26"/>
      <c r="O1917" s="14" t="str">
        <f>HYPERLINK("https://otsuka-europe-crm.veevavault.com/ui/#object/email_activity__v/V8C000000044838", "EN-002103262")</f>
        <v>EN-002103262</v>
      </c>
    </row>
    <row r="1918" spans="1:15" ht="16" x14ac:dyDescent="0.2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19"/>
      <c r="N1918" s="19"/>
      <c r="O1918" s="14" t="str">
        <f>HYPERLINK("https://otsuka-europe-crm.veevavault.com/ui/#object/email_activity__v/V8C000000044856", "EN-002103300")</f>
        <v>EN-002103300</v>
      </c>
    </row>
    <row r="1919" spans="1:15" ht="16" x14ac:dyDescent="0.2">
      <c r="A1919" s="18" t="str">
        <f>HYPERLINK("https://otsuka-europe-crm.veevavault.com/ui/#object/account__v/V4T000000023097", "MARIA TORRADO GINER")</f>
        <v>MARIA TORRADO GINER</v>
      </c>
      <c r="B1919" s="18" t="str">
        <f>HYPERLINK("https://otsuka-europe-crm.veevavault.com/ui/#object/vcountry__v/VENZ000004SONF5", "ES")</f>
        <v>ES</v>
      </c>
      <c r="C1919" s="20" t="s">
        <v>39</v>
      </c>
      <c r="D1919" s="21" t="str">
        <f>HYPERLINK("https://otsuka-europe-crm.veevavault.com/ui/#object/approved_document__v/V5OZ06G6O6RFL1P", "ES Veeva Privacy Notice Email")</f>
        <v>ES Veeva Privacy Notice Email</v>
      </c>
      <c r="E1919" s="22" t="str">
        <f>HYPERLINK("https://otsuka-europe-crm.veevavault.com/ui/#object/sent_email__v/VBL000000034172", "SE-001442540")</f>
        <v>SE-001442540</v>
      </c>
      <c r="F1919" s="23"/>
      <c r="G1919" s="24">
        <v>0</v>
      </c>
      <c r="H1919" s="24">
        <v>0</v>
      </c>
      <c r="I1919" s="24">
        <v>0</v>
      </c>
      <c r="J1919" s="23"/>
      <c r="K1919" s="24">
        <v>0</v>
      </c>
      <c r="L1919" s="22" t="str">
        <f>HYPERLINK("https://otsuka-europe-crm.veevavault.com/ui/#object/approved_document__v/V5OZ06G6O6RFL1P", "ES Veeva Privacy Notice Email")</f>
        <v>ES Veeva Privacy Notice Email</v>
      </c>
      <c r="M1919" s="22" t="str">
        <f>HYPERLINK("mailto:jllombart@crm.otsuka-europe.com", "jllombart@crm.otsuka-europe.com")</f>
        <v>jllombart@crm.otsuka-europe.com</v>
      </c>
      <c r="N1919" s="25">
        <v>46211.43513888889</v>
      </c>
      <c r="O1919" s="14" t="str">
        <f>HYPERLINK("https://otsuka-europe-crm.veevavault.com/ui/#object/email_activity__v/V8C000000043838", "EN-002103207")</f>
        <v>EN-002103207</v>
      </c>
    </row>
    <row r="1920" spans="1:15" ht="16" x14ac:dyDescent="0.2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19"/>
      <c r="L1920" s="19"/>
      <c r="M1920" s="19"/>
      <c r="N1920" s="19"/>
      <c r="O1920" s="14" t="str">
        <f>HYPERLINK("https://otsuka-europe-crm.veevavault.com/ui/#object/email_activity__v/V8C000000044813", "EN-002103205")</f>
        <v>EN-002103205</v>
      </c>
    </row>
    <row r="1921" spans="1:15" ht="16" x14ac:dyDescent="0.2">
      <c r="A1921" s="18" t="str">
        <f>HYPERLINK("https://otsuka-europe-crm.veevavault.com/ui/#object/account__v/V4TZ06G6O71T8RR", "ALBERTO GONZALO SANTIAGO MORENO")</f>
        <v>ALBERTO GONZALO SANTIAGO MORENO</v>
      </c>
      <c r="B1921" s="18" t="str">
        <f>HYPERLINK("https://otsuka-europe-crm.veevavault.com/ui/#object/vcountry__v/VENZ000004SONF5", "ES")</f>
        <v>ES</v>
      </c>
      <c r="C1921" s="20" t="s">
        <v>39</v>
      </c>
      <c r="D1921" s="21" t="str">
        <f>HYPERLINK("https://otsuka-europe-crm.veevavault.com/ui/#object/approved_document__v/V5OZ06G6O6RFL1P", "ES Veeva Privacy Notice Email")</f>
        <v>ES Veeva Privacy Notice Email</v>
      </c>
      <c r="E1921" s="22" t="str">
        <f>HYPERLINK("https://otsuka-europe-crm.veevavault.com/ui/#object/sent_email__v/VBL000000034173", "SE-001442541")</f>
        <v>SE-001442541</v>
      </c>
      <c r="F1921" s="25">
        <v>46211.622083333335</v>
      </c>
      <c r="G1921" s="24">
        <v>1</v>
      </c>
      <c r="H1921" s="24">
        <v>1</v>
      </c>
      <c r="I1921" s="24">
        <v>0</v>
      </c>
      <c r="J1921" s="23"/>
      <c r="K1921" s="24">
        <v>0</v>
      </c>
      <c r="L1921" s="22" t="str">
        <f>HYPERLINK("https://otsuka-europe-crm.veevavault.com/ui/#object/approved_document__v/V5OZ06G6O6RFL1P", "ES Veeva Privacy Notice Email")</f>
        <v>ES Veeva Privacy Notice Email</v>
      </c>
      <c r="M1921" s="22" t="str">
        <f>HYPERLINK("mailto:jblazquez@crm.otsuka-europe.com", "jblazquez@crm.otsuka-europe.com")</f>
        <v>jblazquez@crm.otsuka-europe.com</v>
      </c>
      <c r="N1921" s="25">
        <v>46211.477500000001</v>
      </c>
      <c r="O1921" s="14" t="str">
        <f>HYPERLINK("https://otsuka-europe-crm.veevavault.com/ui/#object/email_activity__v/V8C000000043840", "EN-002103210")</f>
        <v>EN-002103210</v>
      </c>
    </row>
    <row r="1922" spans="1:15" ht="16" x14ac:dyDescent="0.2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19"/>
      <c r="L1922" s="19"/>
      <c r="M1922" s="19"/>
      <c r="N1922" s="19"/>
      <c r="O1922" s="14" t="str">
        <f>HYPERLINK("https://otsuka-europe-crm.veevavault.com/ui/#object/email_activity__v/V8C000000044833", "EN-002103248")</f>
        <v>EN-002103248</v>
      </c>
    </row>
    <row r="1923" spans="1:15" ht="16" x14ac:dyDescent="0.2">
      <c r="A1923" s="18" t="str">
        <f>HYPERLINK("https://otsuka-europe-crm.veevavault.com/ui/#object/account__v/V4TZ06G6O71TA4M", "JOSE MARIA GRAÑA FANDOS")</f>
        <v>JOSE MARIA GRAÑA FANDOS</v>
      </c>
      <c r="B1923" s="18" t="str">
        <f>HYPERLINK("https://otsuka-europe-crm.veevavault.com/ui/#object/vcountry__v/VENZ000004SONF5", "ES")</f>
        <v>ES</v>
      </c>
      <c r="C1923" s="20" t="s">
        <v>39</v>
      </c>
      <c r="D1923" s="21" t="str">
        <f>HYPERLINK("https://otsuka-europe-crm.veevavault.com/ui/#object/approved_document__v/V5O00000000D100", "Spain - Consent Email 1 Aug 25")</f>
        <v>Spain - Consent Email 1 Aug 25</v>
      </c>
      <c r="E1923" s="22" t="str">
        <f>HYPERLINK("https://otsuka-europe-crm.veevavault.com/ui/#object/sent_email__v/VBL000000032247", "SE-001442542")</f>
        <v>SE-001442542</v>
      </c>
      <c r="F1923" s="23"/>
      <c r="G1923" s="24">
        <v>0</v>
      </c>
      <c r="H1923" s="24">
        <v>0</v>
      </c>
      <c r="I1923" s="24">
        <v>1</v>
      </c>
      <c r="J1923" s="25">
        <v>46211.521180555559</v>
      </c>
      <c r="K1923" s="24">
        <v>1</v>
      </c>
      <c r="L1923" s="22" t="str">
        <f>HYPERLINK("https://otsuka-europe-crm.veevavault.com/ui/#object/approved_document__v/V5O00000000D100", "Spain - Consent Email 1 Aug 25")</f>
        <v>Spain - Consent Email 1 Aug 25</v>
      </c>
      <c r="M1923" s="22" t="str">
        <f>HYPERLINK("mailto:ccalero@crm.otsuka-europe.com", "ccalero@crm.otsuka-europe.com")</f>
        <v>ccalero@crm.otsuka-europe.com</v>
      </c>
      <c r="N1923" s="25">
        <v>46211.518738425926</v>
      </c>
      <c r="O1923" s="14" t="str">
        <f>HYPERLINK("https://otsuka-europe-crm.veevavault.com/ui/#object/email_activity__v/V8C000000043847", "EN-002103217")</f>
        <v>EN-002103217</v>
      </c>
    </row>
    <row r="1924" spans="1:15" ht="16" x14ac:dyDescent="0.2">
      <c r="A1924" s="26"/>
      <c r="B1924" s="26"/>
      <c r="C1924" s="26"/>
      <c r="D1924" s="26"/>
      <c r="E1924" s="26"/>
      <c r="F1924" s="26"/>
      <c r="G1924" s="26"/>
      <c r="H1924" s="26"/>
      <c r="I1924" s="26"/>
      <c r="J1924" s="26"/>
      <c r="K1924" s="26"/>
      <c r="L1924" s="26"/>
      <c r="M1924" s="26"/>
      <c r="N1924" s="26"/>
      <c r="O1924" s="14" t="str">
        <f>HYPERLINK("https://otsuka-europe-crm.veevavault.com/ui/#object/email_activity__v/V8C000000044818", "EN-002103220")</f>
        <v>EN-002103220</v>
      </c>
    </row>
    <row r="1925" spans="1:15" ht="16" x14ac:dyDescent="0.2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19"/>
      <c r="L1925" s="19"/>
      <c r="M1925" s="19"/>
      <c r="N1925" s="19"/>
      <c r="O1925" s="14" t="str">
        <f>HYPERLINK("https://otsuka-europe-crm.veevavault.com/ui/#object/email_activity__v/V8C000000044819", "EN-002103221")</f>
        <v>EN-002103221</v>
      </c>
    </row>
    <row r="1926" spans="1:15" ht="16" x14ac:dyDescent="0.2">
      <c r="A1926" s="18" t="str">
        <f>HYPERLINK("https://otsuka-europe-crm.veevavault.com/ui/#object/account__v/V4TZ06G6O71TA4M", "JOSE MARIA GRAÑA FANDOS")</f>
        <v>JOSE MARIA GRAÑA FANDOS</v>
      </c>
      <c r="B1926" s="18" t="str">
        <f>HYPERLINK("https://otsuka-europe-crm.veevavault.com/ui/#object/vcountry__v/VENZ000004SONF5", "ES")</f>
        <v>ES</v>
      </c>
      <c r="C1926" s="20" t="s">
        <v>39</v>
      </c>
      <c r="D1926" s="21" t="str">
        <f>HYPERLINK("https://otsuka-europe-crm.veevavault.com/ui/#object/approved_document__v/V5OZ04ASG4FWKA7", "Reuniones Online Consent - 2")</f>
        <v>Reuniones Online Consent - 2</v>
      </c>
      <c r="E1926" s="22" t="str">
        <f>HYPERLINK("https://otsuka-europe-crm.veevavault.com/ui/#object/sent_email__v/VBL000000032248", "SE-001442543")</f>
        <v>SE-001442543</v>
      </c>
      <c r="F1926" s="23"/>
      <c r="G1926" s="24">
        <v>0</v>
      </c>
      <c r="H1926" s="24">
        <v>0</v>
      </c>
      <c r="I1926" s="24">
        <v>1</v>
      </c>
      <c r="J1926" s="25">
        <v>46211.520914351851</v>
      </c>
      <c r="K1926" s="24">
        <v>1</v>
      </c>
      <c r="L1926" s="22" t="str">
        <f>HYPERLINK("https://otsuka-europe-crm.veevavault.com/ui/#object/approved_document__v/V5OZ04ASG4FWKA7", "Reuniones Online Consent - 2")</f>
        <v>Reuniones Online Consent - 2</v>
      </c>
      <c r="M1926" s="22" t="str">
        <f>HYPERLINK("mailto:ccalero@crm.otsuka-europe.com", "ccalero@crm.otsuka-europe.com")</f>
        <v>ccalero@crm.otsuka-europe.com</v>
      </c>
      <c r="N1926" s="25">
        <v>46211.518738425926</v>
      </c>
      <c r="O1926" s="14" t="str">
        <f>HYPERLINK("https://otsuka-europe-crm.veevavault.com/ui/#object/email_activity__v/V8C000000043846", "EN-002103216")</f>
        <v>EN-002103216</v>
      </c>
    </row>
    <row r="1927" spans="1:15" ht="16" x14ac:dyDescent="0.2">
      <c r="A1927" s="26"/>
      <c r="B1927" s="26"/>
      <c r="C1927" s="26"/>
      <c r="D1927" s="26"/>
      <c r="E1927" s="26"/>
      <c r="F1927" s="26"/>
      <c r="G1927" s="26"/>
      <c r="H1927" s="26"/>
      <c r="I1927" s="26"/>
      <c r="J1927" s="26"/>
      <c r="K1927" s="26"/>
      <c r="L1927" s="26"/>
      <c r="M1927" s="26"/>
      <c r="N1927" s="26"/>
      <c r="O1927" s="14" t="str">
        <f>HYPERLINK("https://otsuka-europe-crm.veevavault.com/ui/#object/email_activity__v/V8C000000044816", "EN-002103218")</f>
        <v>EN-002103218</v>
      </c>
    </row>
    <row r="1928" spans="1:15" ht="16" x14ac:dyDescent="0.2">
      <c r="A1928" s="19"/>
      <c r="B1928" s="19"/>
      <c r="C1928" s="19"/>
      <c r="D1928" s="19"/>
      <c r="E1928" s="19"/>
      <c r="F1928" s="19"/>
      <c r="G1928" s="19"/>
      <c r="H1928" s="19"/>
      <c r="I1928" s="19"/>
      <c r="J1928" s="19"/>
      <c r="K1928" s="19"/>
      <c r="L1928" s="19"/>
      <c r="M1928" s="19"/>
      <c r="N1928" s="19"/>
      <c r="O1928" s="14" t="str">
        <f>HYPERLINK("https://otsuka-europe-crm.veevavault.com/ui/#object/email_activity__v/V8C000000044817", "EN-002103219")</f>
        <v>EN-002103219</v>
      </c>
    </row>
    <row r="1929" spans="1:15" ht="16" x14ac:dyDescent="0.2">
      <c r="A1929" s="18" t="str">
        <f>HYPERLINK("https://otsuka-europe-crm.veevavault.com/ui/#object/account__v/V4TZ06G6O71TA4M", "JOSE MARIA GRAÑA FANDOS")</f>
        <v>JOSE MARIA GRAÑA FANDOS</v>
      </c>
      <c r="B1929" s="18" t="str">
        <f>HYPERLINK("https://otsuka-europe-crm.veevavault.com/ui/#object/vcountry__v/VENZ000004SONF5", "ES")</f>
        <v>ES</v>
      </c>
      <c r="C1929" s="20" t="s">
        <v>39</v>
      </c>
      <c r="D1929" s="21" t="str">
        <f>HYPERLINK("https://otsuka-europe-crm.veevavault.com/ui/#object/approved_document__v/V5OZ04ASG4FWKA9", "Documento Autorizaciขn Centro Empleador")</f>
        <v>Documento Autorizaciขn Centro Empleador</v>
      </c>
      <c r="E1929" s="22" t="str">
        <f>HYPERLINK("https://otsuka-europe-crm.veevavault.com/ui/#object/sent_email__v/VBL000000032249", "SE-001442544")</f>
        <v>SE-001442544</v>
      </c>
      <c r="F1929" s="23"/>
      <c r="G1929" s="24">
        <v>0</v>
      </c>
      <c r="H1929" s="24">
        <v>0</v>
      </c>
      <c r="I1929" s="24">
        <v>1</v>
      </c>
      <c r="J1929" s="25">
        <v>46211.521412037036</v>
      </c>
      <c r="K1929" s="24">
        <v>1</v>
      </c>
      <c r="L1929" s="22" t="str">
        <f>HYPERLINK("https://otsuka-europe-crm.veevavault.com/ui/#object/approved_document__v/V5OZ04ASG4FWKA9", "Documento Autorizaciขn Centro Empleador")</f>
        <v>Documento Autorizaciขn Centro Empleador</v>
      </c>
      <c r="M1929" s="22" t="str">
        <f>HYPERLINK("mailto:ccalero@crm.otsuka-europe.com", "ccalero@crm.otsuka-europe.com")</f>
        <v>ccalero@crm.otsuka-europe.com</v>
      </c>
      <c r="N1929" s="25">
        <v>46211.518761574072</v>
      </c>
      <c r="O1929" s="14" t="str">
        <f>HYPERLINK("https://otsuka-europe-crm.veevavault.com/ui/#object/email_activity__v/V8C000000043845", "EN-002103215")</f>
        <v>EN-002103215</v>
      </c>
    </row>
    <row r="1930" spans="1:15" ht="16" x14ac:dyDescent="0.2">
      <c r="A1930" s="26"/>
      <c r="B1930" s="26"/>
      <c r="C1930" s="26"/>
      <c r="D1930" s="26"/>
      <c r="E1930" s="26"/>
      <c r="F1930" s="26"/>
      <c r="G1930" s="26"/>
      <c r="H1930" s="26"/>
      <c r="I1930" s="26"/>
      <c r="J1930" s="26"/>
      <c r="K1930" s="26"/>
      <c r="L1930" s="26"/>
      <c r="M1930" s="26"/>
      <c r="N1930" s="26"/>
      <c r="O1930" s="14" t="str">
        <f>HYPERLINK("https://otsuka-europe-crm.veevavault.com/ui/#object/email_activity__v/V8C000000044820", "EN-002103222")</f>
        <v>EN-002103222</v>
      </c>
    </row>
    <row r="1931" spans="1:15" ht="16" x14ac:dyDescent="0.2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/>
      <c r="L1931" s="19"/>
      <c r="M1931" s="19"/>
      <c r="N1931" s="19"/>
      <c r="O1931" s="14" t="str">
        <f>HYPERLINK("https://otsuka-europe-crm.veevavault.com/ui/#object/email_activity__v/V8C000000044821", "EN-002103223")</f>
        <v>EN-002103223</v>
      </c>
    </row>
    <row r="1932" spans="1:15" ht="16" x14ac:dyDescent="0.2">
      <c r="A1932" s="18" t="str">
        <f>HYPERLINK("https://otsuka-europe-crm.veevavault.com/ui/#object/account__v/V4TZ06G6O71TAJB", "EVA CASTELLS BESCOS")</f>
        <v>EVA CASTELLS BESCOS</v>
      </c>
      <c r="B1932" s="18" t="str">
        <f>HYPERLINK("https://otsuka-europe-crm.veevavault.com/ui/#object/vcountry__v/VENZ000004SONF5", "ES")</f>
        <v>ES</v>
      </c>
      <c r="C1932" s="20" t="s">
        <v>39</v>
      </c>
      <c r="D1932" s="21" t="str">
        <f>HYPERLINK("https://otsuka-europe-crm.veevavault.com/ui/#object/approved_document__v/V5OZ04ASG4FWKA9", "Documento Autorizaciขn Centro Empleador")</f>
        <v>Documento Autorizaciขn Centro Empleador</v>
      </c>
      <c r="E1932" s="22" t="str">
        <f>HYPERLINK("https://otsuka-europe-crm.veevavault.com/ui/#object/sent_email__v/VBL000000032250", "SE-001442545")</f>
        <v>SE-001442545</v>
      </c>
      <c r="F1932" s="25">
        <v>46211.832453703704</v>
      </c>
      <c r="G1932" s="24">
        <v>1</v>
      </c>
      <c r="H1932" s="24">
        <v>2</v>
      </c>
      <c r="I1932" s="24">
        <v>1</v>
      </c>
      <c r="J1932" s="25">
        <v>46211.832453703704</v>
      </c>
      <c r="K1932" s="24">
        <v>1</v>
      </c>
      <c r="L1932" s="22" t="str">
        <f>HYPERLINK("https://otsuka-europe-crm.veevavault.com/ui/#object/approved_document__v/V5OZ04ASG4FWKA9", "Documento Autorizaciขn Centro Empleador")</f>
        <v>Documento Autorizaciขn Centro Empleador</v>
      </c>
      <c r="M1932" s="22" t="str">
        <f>HYPERLINK("mailto:sruiz@crm.otsuka-europe.com", "sruiz@crm.otsuka-europe.com")</f>
        <v>sruiz@crm.otsuka-europe.com</v>
      </c>
      <c r="N1932" s="25">
        <v>46211.528136574074</v>
      </c>
      <c r="O1932" s="14" t="str">
        <f>HYPERLINK("https://otsuka-europe-crm.veevavault.com/ui/#object/email_activity__v/V8C000000043885", "EN-002103288")</f>
        <v>EN-002103288</v>
      </c>
    </row>
    <row r="1933" spans="1:15" ht="16" x14ac:dyDescent="0.2">
      <c r="A1933" s="26"/>
      <c r="B1933" s="26"/>
      <c r="C1933" s="26"/>
      <c r="D1933" s="26"/>
      <c r="E1933" s="26"/>
      <c r="F1933" s="26"/>
      <c r="G1933" s="26"/>
      <c r="H1933" s="26"/>
      <c r="I1933" s="26"/>
      <c r="J1933" s="26"/>
      <c r="K1933" s="26"/>
      <c r="L1933" s="26"/>
      <c r="M1933" s="26"/>
      <c r="N1933" s="26"/>
      <c r="O1933" s="14" t="str">
        <f>HYPERLINK("https://otsuka-europe-crm.veevavault.com/ui/#object/email_activity__v/V8C000000044822", "EN-002103224")</f>
        <v>EN-002103224</v>
      </c>
    </row>
    <row r="1934" spans="1:15" ht="16" x14ac:dyDescent="0.2">
      <c r="A1934" s="26"/>
      <c r="B1934" s="26"/>
      <c r="C1934" s="26"/>
      <c r="D1934" s="26"/>
      <c r="E1934" s="26"/>
      <c r="F1934" s="26"/>
      <c r="G1934" s="26"/>
      <c r="H1934" s="26"/>
      <c r="I1934" s="26"/>
      <c r="J1934" s="26"/>
      <c r="K1934" s="26"/>
      <c r="L1934" s="26"/>
      <c r="M1934" s="26"/>
      <c r="N1934" s="26"/>
      <c r="O1934" s="14" t="str">
        <f>HYPERLINK("https://otsuka-europe-crm.veevavault.com/ui/#object/email_activity__v/V8C000000044845", "EN-002103281")</f>
        <v>EN-002103281</v>
      </c>
    </row>
    <row r="1935" spans="1:15" ht="16" x14ac:dyDescent="0.2">
      <c r="A1935" s="26"/>
      <c r="B1935" s="26"/>
      <c r="C1935" s="26"/>
      <c r="D1935" s="26"/>
      <c r="E1935" s="26"/>
      <c r="F1935" s="26"/>
      <c r="G1935" s="26"/>
      <c r="H1935" s="26"/>
      <c r="I1935" s="26"/>
      <c r="J1935" s="26"/>
      <c r="K1935" s="26"/>
      <c r="L1935" s="26"/>
      <c r="M1935" s="26"/>
      <c r="N1935" s="26"/>
      <c r="O1935" s="14" t="str">
        <f>HYPERLINK("https://otsuka-europe-crm.veevavault.com/ui/#object/email_activity__v/V8C000000044846", "EN-002103280")</f>
        <v>EN-002103280</v>
      </c>
    </row>
    <row r="1936" spans="1:15" ht="16" x14ac:dyDescent="0.2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19"/>
      <c r="L1936" s="19"/>
      <c r="M1936" s="19"/>
      <c r="N1936" s="19"/>
      <c r="O1936" s="14" t="str">
        <f>HYPERLINK("https://otsuka-europe-crm.veevavault.com/ui/#object/email_activity__v/V8C000000044847", "EN-002103282")</f>
        <v>EN-002103282</v>
      </c>
    </row>
    <row r="1937" spans="1:15" ht="16" x14ac:dyDescent="0.2">
      <c r="A1937" s="18" t="str">
        <f>HYPERLINK("https://otsuka-europe-crm.veevavault.com/ui/#object/account__v/V4TZ06G6O71T8JH", "JOSE MANUEL HERRERO MARFIL")</f>
        <v>JOSE MANUEL HERRERO MARFIL</v>
      </c>
      <c r="B1937" s="18" t="str">
        <f>HYPERLINK("https://otsuka-europe-crm.veevavault.com/ui/#object/vcountry__v/VENZ000004SONF5", "ES")</f>
        <v>ES</v>
      </c>
      <c r="C1937" s="20" t="s">
        <v>39</v>
      </c>
      <c r="D1937" s="21" t="str">
        <f>HYPERLINK("https://otsuka-europe-crm.veevavault.com/ui/#object/approved_document__v/V5OZ04ASG4FWKA9", "Documento Autorizaciขn Centro Empleador")</f>
        <v>Documento Autorizaciขn Centro Empleador</v>
      </c>
      <c r="E1937" s="22" t="str">
        <f>HYPERLINK("https://otsuka-europe-crm.veevavault.com/ui/#object/sent_email__v/VBL000000032251", "SE-001442546")</f>
        <v>SE-001442546</v>
      </c>
      <c r="F1937" s="25">
        <v>46211.840532407405</v>
      </c>
      <c r="G1937" s="24">
        <v>1</v>
      </c>
      <c r="H1937" s="24">
        <v>2</v>
      </c>
      <c r="I1937" s="24">
        <v>0</v>
      </c>
      <c r="J1937" s="23"/>
      <c r="K1937" s="24">
        <v>0</v>
      </c>
      <c r="L1937" s="22" t="str">
        <f>HYPERLINK("https://otsuka-europe-crm.veevavault.com/ui/#object/approved_document__v/V5OZ04ASG4FWKA9", "Documento Autorizaciขn Centro Empleador")</f>
        <v>Documento Autorizaciขn Centro Empleador</v>
      </c>
      <c r="M1937" s="22" t="str">
        <f>HYPERLINK("mailto:sruiz@crm.otsuka-europe.com", "sruiz@crm.otsuka-europe.com")</f>
        <v>sruiz@crm.otsuka-europe.com</v>
      </c>
      <c r="N1937" s="25">
        <v>46211.528217592589</v>
      </c>
      <c r="O1937" s="14" t="str">
        <f>HYPERLINK("https://otsuka-europe-crm.veevavault.com/ui/#object/email_activity__v/V8C000000043855", "EN-002103240")</f>
        <v>EN-002103240</v>
      </c>
    </row>
    <row r="1938" spans="1:15" ht="16" x14ac:dyDescent="0.2">
      <c r="A1938" s="26"/>
      <c r="B1938" s="26"/>
      <c r="C1938" s="26"/>
      <c r="D1938" s="26"/>
      <c r="E1938" s="26"/>
      <c r="F1938" s="26"/>
      <c r="G1938" s="26"/>
      <c r="H1938" s="26"/>
      <c r="I1938" s="26"/>
      <c r="J1938" s="26"/>
      <c r="K1938" s="26"/>
      <c r="L1938" s="26"/>
      <c r="M1938" s="26"/>
      <c r="N1938" s="26"/>
      <c r="O1938" s="14" t="str">
        <f>HYPERLINK("https://otsuka-europe-crm.veevavault.com/ui/#object/email_activity__v/V8C000000043883", "EN-002103286")</f>
        <v>EN-002103286</v>
      </c>
    </row>
    <row r="1939" spans="1:15" ht="16" x14ac:dyDescent="0.2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/>
      <c r="L1939" s="19"/>
      <c r="M1939" s="19"/>
      <c r="N1939" s="19"/>
      <c r="O1939" s="14" t="str">
        <f>HYPERLINK("https://otsuka-europe-crm.veevavault.com/ui/#object/email_activity__v/V8C000000044823", "EN-002103225")</f>
        <v>EN-002103225</v>
      </c>
    </row>
    <row r="1940" spans="1:15" ht="16" x14ac:dyDescent="0.2">
      <c r="A1940" s="18" t="str">
        <f>HYPERLINK("https://otsuka-europe-crm.veevavault.com/ui/#object/account__v/V4T000000020039", "C.M.G. Nieuwhof")</f>
        <v>C.M.G. Nieuwhof</v>
      </c>
      <c r="B1940" s="18" t="str">
        <f>HYPERLINK("https://otsuka-europe-crm.veevavault.com/ui/#object/vcountry__v/VENZ000004SONF4", "NL")</f>
        <v>NL</v>
      </c>
      <c r="C1940" s="20" t="s">
        <v>44</v>
      </c>
      <c r="D1940" s="21" t="str">
        <f>HYPERLINK("https://otsuka-europe-crm.veevavault.com/ui/#object/approved_document__v/V5O00000000O009", "OPSAB Privacy Notice Email February 2026 - NOR-NPR-2500018")</f>
        <v>OPSAB Privacy Notice Email February 2026 - NOR-NPR-2500018</v>
      </c>
      <c r="E1940" s="22" t="str">
        <f>HYPERLINK("https://otsuka-europe-crm.veevavault.com/ui/#object/sent_email__v/VBL000000032252", "SE-001442547")</f>
        <v>SE-001442547</v>
      </c>
      <c r="F1940" s="25">
        <v>46212.644328703704</v>
      </c>
      <c r="G1940" s="24">
        <v>1</v>
      </c>
      <c r="H1940" s="24">
        <v>2</v>
      </c>
      <c r="I1940" s="24">
        <v>0</v>
      </c>
      <c r="J1940" s="23"/>
      <c r="K1940" s="24">
        <v>0</v>
      </c>
      <c r="L1940" s="22" t="str">
        <f>HYPERLINK("https://otsuka-europe-crm.veevavault.com/ui/#object/approved_document__v/V5O00000000O009", "OPSAB Privacy Notice Email February 2026 - NOR-NPR-2500018")</f>
        <v>OPSAB Privacy Notice Email February 2026 - NOR-NPR-2500018</v>
      </c>
      <c r="M1940" s="22" t="str">
        <f>HYPERLINK("mailto:jana.bommelijn@crm.otsuka-europe.com", "jana.bommelijn@crm.otsuka-europe.com")</f>
        <v>jana.bommelijn@crm.otsuka-europe.com</v>
      </c>
      <c r="N1940" s="25">
        <v>46211.58189814815</v>
      </c>
      <c r="O1940" s="14" t="str">
        <f>HYPERLINK("https://otsuka-europe-crm.veevavault.com/ui/#object/email_activity__v/V8C000000043852", "EN-002103234")</f>
        <v>EN-002103234</v>
      </c>
    </row>
    <row r="1941" spans="1:15" ht="16" x14ac:dyDescent="0.2">
      <c r="A1941" s="26"/>
      <c r="B1941" s="26"/>
      <c r="C1941" s="26"/>
      <c r="D1941" s="26"/>
      <c r="E1941" s="26"/>
      <c r="F1941" s="26"/>
      <c r="G1941" s="26"/>
      <c r="H1941" s="26"/>
      <c r="I1941" s="26"/>
      <c r="J1941" s="26"/>
      <c r="K1941" s="26"/>
      <c r="L1941" s="26"/>
      <c r="M1941" s="26"/>
      <c r="N1941" s="26"/>
      <c r="O1941" s="14" t="str">
        <f>HYPERLINK("https://otsuka-europe-crm.veevavault.com/ui/#object/email_activity__v/V8C000000046076", "EN-002103970")</f>
        <v>EN-002103970</v>
      </c>
    </row>
    <row r="1942" spans="1:15" ht="16" x14ac:dyDescent="0.2">
      <c r="A1942" s="19"/>
      <c r="B1942" s="19"/>
      <c r="C1942" s="19"/>
      <c r="D1942" s="19"/>
      <c r="E1942" s="19"/>
      <c r="F1942" s="19"/>
      <c r="G1942" s="19"/>
      <c r="H1942" s="19"/>
      <c r="I1942" s="19"/>
      <c r="J1942" s="19"/>
      <c r="K1942" s="19"/>
      <c r="L1942" s="19"/>
      <c r="M1942" s="19"/>
      <c r="N1942" s="19"/>
      <c r="O1942" s="14" t="str">
        <f>HYPERLINK("https://otsuka-europe-crm.veevavault.com/ui/#object/email_activity__v/V8C000000046077", "EN-002103971")</f>
        <v>EN-002103971</v>
      </c>
    </row>
    <row r="1943" spans="1:15" ht="16" x14ac:dyDescent="0.2">
      <c r="A1943" s="18" t="str">
        <f>HYPERLINK("https://otsuka-europe-crm.veevavault.com/ui/#object/account__v/V4TZ04ASGAVARGZ", "CAROLINA FRANCO PORRAS")</f>
        <v>CAROLINA FRANCO PORRAS</v>
      </c>
      <c r="B1943" s="18" t="str">
        <f>HYPERLINK("https://otsuka-europe-crm.veevavault.com/ui/#object/vcountry__v/VENZ000004SONF5", "ES")</f>
        <v>ES</v>
      </c>
      <c r="C1943" s="20" t="s">
        <v>39</v>
      </c>
      <c r="D1943" s="21" t="str">
        <f>HYPERLINK("https://otsuka-europe-crm.veevavault.com/ui/#object/approved_document__v/V5O00000001R002", "Programa X Jornada UHB")</f>
        <v>Programa X Jornada UHB</v>
      </c>
      <c r="E1943" s="22" t="str">
        <f>HYPERLINK("https://otsuka-europe-crm.veevavault.com/ui/#object/sent_email__v/VBL000000034174", "SE-001442548")</f>
        <v>SE-001442548</v>
      </c>
      <c r="F1943" s="23"/>
      <c r="G1943" s="24">
        <v>0</v>
      </c>
      <c r="H1943" s="24">
        <v>0</v>
      </c>
      <c r="I1943" s="24">
        <v>0</v>
      </c>
      <c r="J1943" s="23"/>
      <c r="K1943" s="24">
        <v>0</v>
      </c>
      <c r="L1943" s="22" t="str">
        <f>HYPERLINK("https://otsuka-europe-crm.veevavault.com/ui/#object/approved_document__v/V5O00000001R002", "Programa X Jornada UHB")</f>
        <v>Programa X Jornada UHB</v>
      </c>
      <c r="M1943" s="22" t="str">
        <f>HYPERLINK("mailto:fdiaz@crm.otsuka-europe.com", "fdiaz@crm.otsuka-europe.com")</f>
        <v>fdiaz@crm.otsuka-europe.com</v>
      </c>
      <c r="N1943" s="25">
        <v>46211.646261574075</v>
      </c>
      <c r="O1943" s="14" t="str">
        <f>HYPERLINK("https://otsuka-europe-crm.veevavault.com/ui/#object/email_activity__v/V8C000000043862", "EN-002103250")</f>
        <v>EN-002103250</v>
      </c>
    </row>
    <row r="1944" spans="1:15" ht="16" x14ac:dyDescent="0.2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19"/>
      <c r="L1944" s="19"/>
      <c r="M1944" s="19"/>
      <c r="N1944" s="19"/>
      <c r="O1944" s="14" t="str">
        <f>HYPERLINK("https://otsuka-europe-crm.veevavault.com/ui/#object/email_activity__v/V8C000000044863", "EN-002103309")</f>
        <v>EN-002103309</v>
      </c>
    </row>
    <row r="1945" spans="1:15" ht="16" x14ac:dyDescent="0.2">
      <c r="A1945" s="18" t="str">
        <f>HYPERLINK("https://otsuka-europe-crm.veevavault.com/ui/#object/account__v/V4TZ06G6O71TAJB", "EVA CASTELLS BESCOS")</f>
        <v>EVA CASTELLS BESCOS</v>
      </c>
      <c r="B1945" s="18" t="str">
        <f>HYPERLINK("https://otsuka-europe-crm.veevavault.com/ui/#object/vcountry__v/VENZ000004SONF5", "ES")</f>
        <v>ES</v>
      </c>
      <c r="C1945" s="20" t="s">
        <v>39</v>
      </c>
      <c r="D1945" s="21" t="str">
        <f>HYPERLINK("https://otsuka-europe-crm.veevavault.com/ui/#object/approved_document__v/V5OZ04ASG4FWKA9", "Documento Autorizaciขn Centro Empleador")</f>
        <v>Documento Autorizaciขn Centro Empleador</v>
      </c>
      <c r="E1945" s="22" t="str">
        <f>HYPERLINK("https://otsuka-europe-crm.veevavault.com/ui/#object/sent_email__v/VBL000000034175", "SE-001442549")</f>
        <v>SE-001442549</v>
      </c>
      <c r="F1945" s="25">
        <v>46211.830706018518</v>
      </c>
      <c r="G1945" s="24">
        <v>1</v>
      </c>
      <c r="H1945" s="24">
        <v>1</v>
      </c>
      <c r="I1945" s="24">
        <v>1</v>
      </c>
      <c r="J1945" s="25">
        <v>46211.830925925926</v>
      </c>
      <c r="K1945" s="24">
        <v>1</v>
      </c>
      <c r="L1945" s="22" t="str">
        <f>HYPERLINK("https://otsuka-europe-crm.veevavault.com/ui/#object/approved_document__v/V5OZ04ASG4FWKA9", "Documento Autorizaciขn Centro Empleador")</f>
        <v>Documento Autorizaciขn Centro Empleador</v>
      </c>
      <c r="M1945" s="22" t="str">
        <f>HYPERLINK("mailto:sruiz@crm.otsuka-europe.com", "sruiz@crm.otsuka-europe.com")</f>
        <v>sruiz@crm.otsuka-europe.com</v>
      </c>
      <c r="N1945" s="25">
        <v>46211.68959490741</v>
      </c>
      <c r="O1945" s="14" t="str">
        <f>HYPERLINK("https://otsuka-europe-crm.veevavault.com/ui/#object/email_activity__v/V8C000000043868", "EN-002103259")</f>
        <v>EN-002103259</v>
      </c>
    </row>
    <row r="1946" spans="1:15" ht="16" x14ac:dyDescent="0.2">
      <c r="A1946" s="26"/>
      <c r="B1946" s="26"/>
      <c r="C1946" s="26"/>
      <c r="D1946" s="26"/>
      <c r="E1946" s="26"/>
      <c r="F1946" s="26"/>
      <c r="G1946" s="26"/>
      <c r="H1946" s="26"/>
      <c r="I1946" s="26"/>
      <c r="J1946" s="26"/>
      <c r="K1946" s="26"/>
      <c r="L1946" s="26"/>
      <c r="M1946" s="26"/>
      <c r="N1946" s="26"/>
      <c r="O1946" s="14" t="str">
        <f>HYPERLINK("https://otsuka-europe-crm.veevavault.com/ui/#object/email_activity__v/V8C000000043880", "EN-002103279")</f>
        <v>EN-002103279</v>
      </c>
    </row>
    <row r="1947" spans="1:15" ht="16" x14ac:dyDescent="0.2">
      <c r="A1947" s="26"/>
      <c r="B1947" s="26"/>
      <c r="C1947" s="26"/>
      <c r="D1947" s="26"/>
      <c r="E1947" s="26"/>
      <c r="F1947" s="26"/>
      <c r="G1947" s="26"/>
      <c r="H1947" s="26"/>
      <c r="I1947" s="26"/>
      <c r="J1947" s="26"/>
      <c r="K1947" s="26"/>
      <c r="L1947" s="26"/>
      <c r="M1947" s="26"/>
      <c r="N1947" s="26"/>
      <c r="O1947" s="14" t="str">
        <f>HYPERLINK("https://otsuka-europe-crm.veevavault.com/ui/#object/email_activity__v/V8C000000044844", "EN-002103278")</f>
        <v>EN-002103278</v>
      </c>
    </row>
    <row r="1948" spans="1:15" ht="16" x14ac:dyDescent="0.2">
      <c r="A1948" s="19"/>
      <c r="B1948" s="19"/>
      <c r="C1948" s="19"/>
      <c r="D1948" s="19"/>
      <c r="E1948" s="19"/>
      <c r="F1948" s="19"/>
      <c r="G1948" s="19"/>
      <c r="H1948" s="19"/>
      <c r="I1948" s="19"/>
      <c r="J1948" s="19"/>
      <c r="K1948" s="19"/>
      <c r="L1948" s="19"/>
      <c r="M1948" s="19"/>
      <c r="N1948" s="19"/>
      <c r="O1948" s="14" t="str">
        <f>HYPERLINK("https://otsuka-europe-crm.veevavault.com/ui/#object/email_activity__v/V8C000000044849", "EN-002103289")</f>
        <v>EN-002103289</v>
      </c>
    </row>
    <row r="1949" spans="1:15" ht="16" x14ac:dyDescent="0.2">
      <c r="A1949" s="18" t="str">
        <f>HYPERLINK("https://otsuka-europe-crm.veevavault.com/ui/#object/account__v/V4TZ06G6O71T8JH", "JOSE MANUEL HERRERO MARFIL")</f>
        <v>JOSE MANUEL HERRERO MARFIL</v>
      </c>
      <c r="B1949" s="18" t="str">
        <f>HYPERLINK("https://otsuka-europe-crm.veevavault.com/ui/#object/vcountry__v/VENZ000004SONF5", "ES")</f>
        <v>ES</v>
      </c>
      <c r="C1949" s="20" t="s">
        <v>39</v>
      </c>
      <c r="D1949" s="21" t="str">
        <f>HYPERLINK("https://otsuka-europe-crm.veevavault.com/ui/#object/approved_document__v/V5OZ04ASG4FWKA9", "Documento Autorizaciขn Centro Empleador")</f>
        <v>Documento Autorizaciขn Centro Empleador</v>
      </c>
      <c r="E1949" s="22" t="str">
        <f>HYPERLINK("https://otsuka-europe-crm.veevavault.com/ui/#object/sent_email__v/VBL000000034176", "SE-001442550")</f>
        <v>SE-001442550</v>
      </c>
      <c r="F1949" s="25">
        <v>46211.840694444443</v>
      </c>
      <c r="G1949" s="24">
        <v>1</v>
      </c>
      <c r="H1949" s="24">
        <v>2</v>
      </c>
      <c r="I1949" s="24">
        <v>1</v>
      </c>
      <c r="J1949" s="25">
        <v>46211.84034722222</v>
      </c>
      <c r="K1949" s="24">
        <v>2</v>
      </c>
      <c r="L1949" s="22" t="str">
        <f>HYPERLINK("https://otsuka-europe-crm.veevavault.com/ui/#object/approved_document__v/V5OZ04ASG4FWKA9", "Documento Autorizaciขn Centro Empleador")</f>
        <v>Documento Autorizaciขn Centro Empleador</v>
      </c>
      <c r="M1949" s="22" t="str">
        <f>HYPERLINK("mailto:sruiz@crm.otsuka-europe.com", "sruiz@crm.otsuka-europe.com")</f>
        <v>sruiz@crm.otsuka-europe.com</v>
      </c>
      <c r="N1949" s="25">
        <v>46211.690092592595</v>
      </c>
      <c r="O1949" s="14" t="str">
        <f>HYPERLINK("https://otsuka-europe-crm.veevavault.com/ui/#object/email_activity__v/V8C000000043869", "EN-002103260")</f>
        <v>EN-002103260</v>
      </c>
    </row>
    <row r="1950" spans="1:15" ht="16" x14ac:dyDescent="0.2">
      <c r="A1950" s="26"/>
      <c r="B1950" s="26"/>
      <c r="C1950" s="26"/>
      <c r="D1950" s="26"/>
      <c r="E1950" s="26"/>
      <c r="F1950" s="26"/>
      <c r="G1950" s="26"/>
      <c r="H1950" s="26"/>
      <c r="I1950" s="26"/>
      <c r="J1950" s="26"/>
      <c r="K1950" s="26"/>
      <c r="L1950" s="26"/>
      <c r="M1950" s="26"/>
      <c r="N1950" s="26"/>
      <c r="O1950" s="14" t="str">
        <f>HYPERLINK("https://otsuka-europe-crm.veevavault.com/ui/#object/email_activity__v/V8C000000043881", "EN-002103283")</f>
        <v>EN-002103283</v>
      </c>
    </row>
    <row r="1951" spans="1:15" ht="16" x14ac:dyDescent="0.2">
      <c r="A1951" s="26"/>
      <c r="B1951" s="26"/>
      <c r="C1951" s="26"/>
      <c r="D1951" s="26"/>
      <c r="E1951" s="26"/>
      <c r="F1951" s="26"/>
      <c r="G1951" s="26"/>
      <c r="H1951" s="26"/>
      <c r="I1951" s="26"/>
      <c r="J1951" s="26"/>
      <c r="K1951" s="26"/>
      <c r="L1951" s="26"/>
      <c r="M1951" s="26"/>
      <c r="N1951" s="26"/>
      <c r="O1951" s="14" t="str">
        <f>HYPERLINK("https://otsuka-europe-crm.veevavault.com/ui/#object/email_activity__v/V8C000000043882", "EN-002103284")</f>
        <v>EN-002103284</v>
      </c>
    </row>
    <row r="1952" spans="1:15" ht="16" x14ac:dyDescent="0.2">
      <c r="A1952" s="26"/>
      <c r="B1952" s="26"/>
      <c r="C1952" s="26"/>
      <c r="D1952" s="26"/>
      <c r="E1952" s="26"/>
      <c r="F1952" s="26"/>
      <c r="G1952" s="26"/>
      <c r="H1952" s="26"/>
      <c r="I1952" s="26"/>
      <c r="J1952" s="26"/>
      <c r="K1952" s="26"/>
      <c r="L1952" s="26"/>
      <c r="M1952" s="26"/>
      <c r="N1952" s="26"/>
      <c r="O1952" s="14" t="str">
        <f>HYPERLINK("https://otsuka-europe-crm.veevavault.com/ui/#object/email_activity__v/V8C000000043884", "EN-002103287")</f>
        <v>EN-002103287</v>
      </c>
    </row>
    <row r="1953" spans="1:15" ht="16" x14ac:dyDescent="0.2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19"/>
      <c r="L1953" s="19"/>
      <c r="M1953" s="19"/>
      <c r="N1953" s="19"/>
      <c r="O1953" s="14" t="str">
        <f>HYPERLINK("https://otsuka-europe-crm.veevavault.com/ui/#object/email_activity__v/V8C000000044848", "EN-002103285")</f>
        <v>EN-002103285</v>
      </c>
    </row>
    <row r="1954" spans="1:15" ht="32" x14ac:dyDescent="0.2">
      <c r="A1954" s="7" t="str">
        <f>HYPERLINK("https://otsuka-europe-crm.veevavault.com/ui/#object/account__v/V4TZ025E84EVLD5", "JORGE SALVADOR GARCIA")</f>
        <v>JORGE SALVADOR GARCIA</v>
      </c>
      <c r="B1954" s="7" t="str">
        <f>HYPERLINK("https://otsuka-europe-crm.veevavault.com/ui/#object/vcountry__v/VENZ000004SONF5", "ES")</f>
        <v>ES</v>
      </c>
      <c r="C1954" s="8" t="s">
        <v>39</v>
      </c>
      <c r="D1954" s="9" t="str">
        <f>HYPERLINK("https://otsuka-europe-crm.veevavault.com/ui/#object/approved_document__v/V5O00000001R002", "Programa X Jornada UHB")</f>
        <v>Programa X Jornada UHB</v>
      </c>
      <c r="E1954" s="10" t="str">
        <f>HYPERLINK("https://otsuka-europe-crm.veevavault.com/ui/#object/sent_email__v/VBL000000034177", "SE-001442551")</f>
        <v>SE-001442551</v>
      </c>
      <c r="F1954" s="11"/>
      <c r="G1954" s="12">
        <v>0</v>
      </c>
      <c r="H1954" s="12">
        <v>0</v>
      </c>
      <c r="I1954" s="12">
        <v>0</v>
      </c>
      <c r="J1954" s="11"/>
      <c r="K1954" s="12">
        <v>0</v>
      </c>
      <c r="L1954" s="10" t="str">
        <f>HYPERLINK("https://otsuka-europe-crm.veevavault.com/ui/#object/approved_document__v/V5O00000001R002", "Programa X Jornada UHB")</f>
        <v>Programa X Jornada UHB</v>
      </c>
      <c r="M1954" s="10" t="str">
        <f>HYPERLINK("mailto:mgravan@crm.otsuka-europe.com", "mgravan@crm.otsuka-europe.com")</f>
        <v>mgravan@crm.otsuka-europe.com</v>
      </c>
      <c r="N1954" s="13">
        <v>46211.98065972222</v>
      </c>
      <c r="O1954" s="14" t="str">
        <f>HYPERLINK("https://otsuka-europe-crm.veevavault.com/ui/#object/email_activity__v/V8C000000044860", "EN-002103306")</f>
        <v>EN-002103306</v>
      </c>
    </row>
    <row r="1955" spans="1:15" ht="32" x14ac:dyDescent="0.2">
      <c r="A1955" s="7" t="str">
        <f>HYPERLINK("https://otsuka-europe-crm.veevavault.com/ui/#object/account__v/V4TZ06G6O71TBVI", "IRENE RAMIREZ GUTIERREZ")</f>
        <v>IRENE RAMIREZ GUTIERREZ</v>
      </c>
      <c r="B1955" s="7" t="str">
        <f>HYPERLINK("https://otsuka-europe-crm.veevavault.com/ui/#object/vcountry__v/VENZ000004SONF5", "ES")</f>
        <v>ES</v>
      </c>
      <c r="C1955" s="8" t="s">
        <v>39</v>
      </c>
      <c r="D1955" s="9" t="str">
        <f>HYPERLINK("https://otsuka-europe-crm.veevavault.com/ui/#object/approved_document__v/V5O00000001R002", "Programa X Jornada UHB")</f>
        <v>Programa X Jornada UHB</v>
      </c>
      <c r="E1955" s="10" t="str">
        <f>HYPERLINK("https://otsuka-europe-crm.veevavault.com/ui/#object/sent_email__v/VBL000000034178", "SE-001442552")</f>
        <v>SE-001442552</v>
      </c>
      <c r="F1955" s="11"/>
      <c r="G1955" s="12">
        <v>0</v>
      </c>
      <c r="H1955" s="12">
        <v>0</v>
      </c>
      <c r="I1955" s="12">
        <v>0</v>
      </c>
      <c r="J1955" s="11"/>
      <c r="K1955" s="12">
        <v>0</v>
      </c>
      <c r="L1955" s="10" t="str">
        <f>HYPERLINK("https://otsuka-europe-crm.veevavault.com/ui/#object/approved_document__v/V5O00000001R002", "Programa X Jornada UHB")</f>
        <v>Programa X Jornada UHB</v>
      </c>
      <c r="M1955" s="10" t="str">
        <f>HYPERLINK("mailto:mgravan@crm.otsuka-europe.com", "mgravan@crm.otsuka-europe.com")</f>
        <v>mgravan@crm.otsuka-europe.com</v>
      </c>
      <c r="N1955" s="13">
        <v>46211.98065972222</v>
      </c>
      <c r="O1955" s="14" t="str">
        <f>HYPERLINK("https://otsuka-europe-crm.veevavault.com/ui/#object/email_activity__v/V8C000000044861", "EN-002103307")</f>
        <v>EN-002103307</v>
      </c>
    </row>
    <row r="1956" spans="1:15" ht="16" x14ac:dyDescent="0.2">
      <c r="A1956" s="18" t="str">
        <f>HYPERLINK("https://otsuka-europe-crm.veevavault.com/ui/#object/account__v/V4TZ0000062R6A7", "Anna Nater")</f>
        <v>Anna Nater</v>
      </c>
      <c r="B1956" s="18" t="str">
        <f>HYPERLINK("https://otsuka-europe-crm.veevavault.com/ui/#object/vcountry__v/VENZ000004SONFN", "CH")</f>
        <v>CH</v>
      </c>
      <c r="C1956" s="20" t="s">
        <v>45</v>
      </c>
      <c r="D1956" s="21" t="str">
        <f>HYPERLINK("https://otsuka-europe-crm.veevavault.com/ui/#object/approved_document__v/V5O00000001L016", "ALL_Flexibilität_Ferienplanung_2026_AA_de")</f>
        <v>ALL_Flexibilität_Ferienplanung_2026_AA_de</v>
      </c>
      <c r="E1956" s="22" t="str">
        <f>HYPERLINK("https://otsuka-europe-crm.veevavault.com/ui/#object/sent_email__v/VBL000000034179", "SE-001442557")</f>
        <v>SE-001442557</v>
      </c>
      <c r="F1956" s="25">
        <v>46212.370659722219</v>
      </c>
      <c r="G1956" s="24">
        <v>1</v>
      </c>
      <c r="H1956" s="24">
        <v>3</v>
      </c>
      <c r="I1956" s="24">
        <v>0</v>
      </c>
      <c r="J1956" s="23"/>
      <c r="K1956" s="24">
        <v>0</v>
      </c>
      <c r="L1956" s="22" t="str">
        <f>HYPERLINK("https://otsuka-europe-crm.veevavault.com/ui/#object/approved_document__v/V5O00000001L016", "ALL_Flexibilität_Ferienplanung_2026_AA_de")</f>
        <v>ALL_Flexibilität_Ferienplanung_2026_AA_de</v>
      </c>
      <c r="M1956" s="22" t="str">
        <f>HYPERLINK("mailto:scapeder@crm.otsuka-europe.com", "scapeder@crm.otsuka-europe.com")</f>
        <v>scapeder@crm.otsuka-europe.com</v>
      </c>
      <c r="N1956" s="25">
        <v>46212.361157407409</v>
      </c>
      <c r="O1956" s="14" t="str">
        <f>HYPERLINK("https://otsuka-europe-crm.veevavault.com/ui/#object/email_activity__v/V8C000000043899", "EN-002103330")</f>
        <v>EN-002103330</v>
      </c>
    </row>
    <row r="1957" spans="1:15" ht="16" x14ac:dyDescent="0.2">
      <c r="A1957" s="26"/>
      <c r="B1957" s="26"/>
      <c r="C1957" s="26"/>
      <c r="D1957" s="26"/>
      <c r="E1957" s="26"/>
      <c r="F1957" s="26"/>
      <c r="G1957" s="26"/>
      <c r="H1957" s="26"/>
      <c r="I1957" s="26"/>
      <c r="J1957" s="26"/>
      <c r="K1957" s="26"/>
      <c r="L1957" s="26"/>
      <c r="M1957" s="26"/>
      <c r="N1957" s="26"/>
      <c r="O1957" s="14" t="str">
        <f>HYPERLINK("https://otsuka-europe-crm.veevavault.com/ui/#object/email_activity__v/V8C000000044873", "EN-002103326")</f>
        <v>EN-002103326</v>
      </c>
    </row>
    <row r="1958" spans="1:15" ht="16" x14ac:dyDescent="0.2">
      <c r="A1958" s="26"/>
      <c r="B1958" s="26"/>
      <c r="C1958" s="26"/>
      <c r="D1958" s="26"/>
      <c r="E1958" s="26"/>
      <c r="F1958" s="26"/>
      <c r="G1958" s="26"/>
      <c r="H1958" s="26"/>
      <c r="I1958" s="26"/>
      <c r="J1958" s="26"/>
      <c r="K1958" s="26"/>
      <c r="L1958" s="26"/>
      <c r="M1958" s="26"/>
      <c r="N1958" s="26"/>
      <c r="O1958" s="14" t="str">
        <f>HYPERLINK("https://otsuka-europe-crm.veevavault.com/ui/#object/email_activity__v/V8C000000044975", "EN-002103440")</f>
        <v>EN-002103440</v>
      </c>
    </row>
    <row r="1959" spans="1:15" ht="16" x14ac:dyDescent="0.2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19"/>
      <c r="N1959" s="19"/>
      <c r="O1959" s="14" t="str">
        <f>HYPERLINK("https://otsuka-europe-crm.veevavault.com/ui/#object/email_activity__v/V8C000000044976", "EN-002103441")</f>
        <v>EN-002103441</v>
      </c>
    </row>
    <row r="1960" spans="1:15" ht="32" x14ac:dyDescent="0.2">
      <c r="A1960" s="7" t="str">
        <f>HYPERLINK("https://otsuka-europe-crm.veevavault.com/ui/#object/account__v/V4TZ025E82HAQTU", "Amina Bouzidi")</f>
        <v>Amina Bouzidi</v>
      </c>
      <c r="B1960" s="7" t="str">
        <f t="shared" ref="B1960:B1967" si="52">HYPERLINK("https://otsuka-europe-crm.veevavault.com/ui/#object/vcountry__v/VENZ000004SONFN", "CH")</f>
        <v>CH</v>
      </c>
      <c r="C1960" s="8" t="s">
        <v>45</v>
      </c>
      <c r="D1960" s="9" t="str">
        <f t="shared" ref="D1960:D1967" si="53">HYPERLINK("https://otsuka-europe-crm.veevavault.com/ui/#object/approved_document__v/V5O00000001L016", "ALL_Flexibilität_Ferienplanung_2026_AA_de")</f>
        <v>ALL_Flexibilität_Ferienplanung_2026_AA_de</v>
      </c>
      <c r="E1960" s="10" t="str">
        <f>HYPERLINK("https://otsuka-europe-crm.veevavault.com/ui/#object/sent_email__v/VBL000000034180", "SE-001442558")</f>
        <v>SE-001442558</v>
      </c>
      <c r="F1960" s="11"/>
      <c r="G1960" s="12">
        <v>0</v>
      </c>
      <c r="H1960" s="12">
        <v>0</v>
      </c>
      <c r="I1960" s="12">
        <v>0</v>
      </c>
      <c r="J1960" s="11"/>
      <c r="K1960" s="12">
        <v>0</v>
      </c>
      <c r="L1960" s="10" t="str">
        <f t="shared" ref="L1960:L1967" si="54">HYPERLINK("https://otsuka-europe-crm.veevavault.com/ui/#object/approved_document__v/V5O00000001L016", "ALL_Flexibilität_Ferienplanung_2026_AA_de")</f>
        <v>ALL_Flexibilität_Ferienplanung_2026_AA_de</v>
      </c>
      <c r="M1960" s="10" t="str">
        <f t="shared" ref="M1960:M1967" si="55">HYPERLINK("mailto:scapeder@crm.otsuka-europe.com", "scapeder@crm.otsuka-europe.com")</f>
        <v>scapeder@crm.otsuka-europe.com</v>
      </c>
      <c r="N1960" s="13">
        <v>46212.361157407409</v>
      </c>
      <c r="O1960" s="14" t="str">
        <f>HYPERLINK("https://otsuka-europe-crm.veevavault.com/ui/#object/email_activity__v/V8C000000044874", "EN-002103327")</f>
        <v>EN-002103327</v>
      </c>
    </row>
    <row r="1961" spans="1:15" ht="32" x14ac:dyDescent="0.2">
      <c r="A1961" s="7" t="str">
        <f>HYPERLINK("https://otsuka-europe-crm.veevavault.com/ui/#object/account__v/V4TZ0000062R5W2", "Andreas Wolf")</f>
        <v>Andreas Wolf</v>
      </c>
      <c r="B1961" s="7" t="str">
        <f t="shared" si="52"/>
        <v>CH</v>
      </c>
      <c r="C1961" s="8" t="s">
        <v>45</v>
      </c>
      <c r="D1961" s="9" t="str">
        <f t="shared" si="53"/>
        <v>ALL_Flexibilität_Ferienplanung_2026_AA_de</v>
      </c>
      <c r="E1961" s="10" t="str">
        <f>HYPERLINK("https://otsuka-europe-crm.veevavault.com/ui/#object/sent_email__v/VBL000000034181", "SE-001442559")</f>
        <v>SE-001442559</v>
      </c>
      <c r="F1961" s="11"/>
      <c r="G1961" s="12">
        <v>0</v>
      </c>
      <c r="H1961" s="12">
        <v>0</v>
      </c>
      <c r="I1961" s="12">
        <v>0</v>
      </c>
      <c r="J1961" s="11"/>
      <c r="K1961" s="12">
        <v>0</v>
      </c>
      <c r="L1961" s="10" t="str">
        <f t="shared" si="54"/>
        <v>ALL_Flexibilität_Ferienplanung_2026_AA_de</v>
      </c>
      <c r="M1961" s="10" t="str">
        <f t="shared" si="55"/>
        <v>scapeder@crm.otsuka-europe.com</v>
      </c>
      <c r="N1961" s="13">
        <v>46212.361157407409</v>
      </c>
      <c r="O1961" s="14" t="str">
        <f>HYPERLINK("https://otsuka-europe-crm.veevavault.com/ui/#object/email_activity__v/V8C000000044870", "EN-002103323")</f>
        <v>EN-002103323</v>
      </c>
    </row>
    <row r="1962" spans="1:15" ht="32" x14ac:dyDescent="0.2">
      <c r="A1962" s="7" t="str">
        <f>HYPERLINK("https://otsuka-europe-crm.veevavault.com/ui/#object/account__v/V4TZ0000062R5NJ", "Antonios Liolios")</f>
        <v>Antonios Liolios</v>
      </c>
      <c r="B1962" s="7" t="str">
        <f t="shared" si="52"/>
        <v>CH</v>
      </c>
      <c r="C1962" s="8" t="s">
        <v>45</v>
      </c>
      <c r="D1962" s="9" t="str">
        <f t="shared" si="53"/>
        <v>ALL_Flexibilität_Ferienplanung_2026_AA_de</v>
      </c>
      <c r="E1962" s="10" t="str">
        <f>HYPERLINK("https://otsuka-europe-crm.veevavault.com/ui/#object/sent_email__v/VBL000000034182", "SE-001442560")</f>
        <v>SE-001442560</v>
      </c>
      <c r="F1962" s="11"/>
      <c r="G1962" s="12">
        <v>0</v>
      </c>
      <c r="H1962" s="12">
        <v>0</v>
      </c>
      <c r="I1962" s="12">
        <v>0</v>
      </c>
      <c r="J1962" s="11"/>
      <c r="K1962" s="12">
        <v>0</v>
      </c>
      <c r="L1962" s="10" t="str">
        <f t="shared" si="54"/>
        <v>ALL_Flexibilität_Ferienplanung_2026_AA_de</v>
      </c>
      <c r="M1962" s="10" t="str">
        <f t="shared" si="55"/>
        <v>scapeder@crm.otsuka-europe.com</v>
      </c>
      <c r="N1962" s="13">
        <v>46212.361157407409</v>
      </c>
      <c r="O1962" s="14" t="str">
        <f>HYPERLINK("https://otsuka-europe-crm.veevavault.com/ui/#object/email_activity__v/V8C000000044871", "EN-002103324")</f>
        <v>EN-002103324</v>
      </c>
    </row>
    <row r="1963" spans="1:15" ht="32" x14ac:dyDescent="0.2">
      <c r="A1963" s="7" t="str">
        <f>HYPERLINK("https://otsuka-europe-crm.veevavault.com/ui/#object/account__v/V4TZ04ASGG03UW7", "Agnes Sándor")</f>
        <v>Agnes Sándor</v>
      </c>
      <c r="B1963" s="7" t="str">
        <f t="shared" si="52"/>
        <v>CH</v>
      </c>
      <c r="C1963" s="8" t="s">
        <v>45</v>
      </c>
      <c r="D1963" s="9" t="str">
        <f t="shared" si="53"/>
        <v>ALL_Flexibilität_Ferienplanung_2026_AA_de</v>
      </c>
      <c r="E1963" s="10" t="str">
        <f>HYPERLINK("https://otsuka-europe-crm.veevavault.com/ui/#object/sent_email__v/VBL000000034183", "SE-001442561")</f>
        <v>SE-001442561</v>
      </c>
      <c r="F1963" s="11"/>
      <c r="G1963" s="12">
        <v>0</v>
      </c>
      <c r="H1963" s="12">
        <v>0</v>
      </c>
      <c r="I1963" s="12">
        <v>0</v>
      </c>
      <c r="J1963" s="11"/>
      <c r="K1963" s="12">
        <v>0</v>
      </c>
      <c r="L1963" s="10" t="str">
        <f t="shared" si="54"/>
        <v>ALL_Flexibilität_Ferienplanung_2026_AA_de</v>
      </c>
      <c r="M1963" s="10" t="str">
        <f t="shared" si="55"/>
        <v>scapeder@crm.otsuka-europe.com</v>
      </c>
      <c r="N1963" s="13">
        <v>46212.361157407409</v>
      </c>
      <c r="O1963" s="14" t="str">
        <f>HYPERLINK("https://otsuka-europe-crm.veevavault.com/ui/#object/email_activity__v/V8C000000044868", "EN-002103321")</f>
        <v>EN-002103321</v>
      </c>
    </row>
    <row r="1964" spans="1:15" ht="32" x14ac:dyDescent="0.2">
      <c r="A1964" s="7" t="str">
        <f>HYPERLINK("https://otsuka-europe-crm.veevavault.com/ui/#object/account__v/V4TZ0000062R3YS", "Anne-Kathrin Sejdiu")</f>
        <v>Anne-Kathrin Sejdiu</v>
      </c>
      <c r="B1964" s="7" t="str">
        <f t="shared" si="52"/>
        <v>CH</v>
      </c>
      <c r="C1964" s="8" t="s">
        <v>45</v>
      </c>
      <c r="D1964" s="9" t="str">
        <f t="shared" si="53"/>
        <v>ALL_Flexibilität_Ferienplanung_2026_AA_de</v>
      </c>
      <c r="E1964" s="10" t="str">
        <f>HYPERLINK("https://otsuka-europe-crm.veevavault.com/ui/#object/sent_email__v/VBL000000034184", "SE-001442562")</f>
        <v>SE-001442562</v>
      </c>
      <c r="F1964" s="11"/>
      <c r="G1964" s="12">
        <v>0</v>
      </c>
      <c r="H1964" s="12">
        <v>0</v>
      </c>
      <c r="I1964" s="12">
        <v>0</v>
      </c>
      <c r="J1964" s="11"/>
      <c r="K1964" s="12">
        <v>0</v>
      </c>
      <c r="L1964" s="10" t="str">
        <f t="shared" si="54"/>
        <v>ALL_Flexibilität_Ferienplanung_2026_AA_de</v>
      </c>
      <c r="M1964" s="10" t="str">
        <f t="shared" si="55"/>
        <v>scapeder@crm.otsuka-europe.com</v>
      </c>
      <c r="N1964" s="13">
        <v>46212.361157407409</v>
      </c>
      <c r="O1964" s="14" t="str">
        <f>HYPERLINK("https://otsuka-europe-crm.veevavault.com/ui/#object/email_activity__v/V8C000000044876", "EN-002103329")</f>
        <v>EN-002103329</v>
      </c>
    </row>
    <row r="1965" spans="1:15" ht="32" x14ac:dyDescent="0.2">
      <c r="A1965" s="7" t="str">
        <f>HYPERLINK("https://otsuka-europe-crm.veevavault.com/ui/#object/account__v/V4TZ06G6OBI6FIZ", "Andrei-Ionut Morar")</f>
        <v>Andrei-Ionut Morar</v>
      </c>
      <c r="B1965" s="7" t="str">
        <f t="shared" si="52"/>
        <v>CH</v>
      </c>
      <c r="C1965" s="8" t="s">
        <v>45</v>
      </c>
      <c r="D1965" s="9" t="str">
        <f t="shared" si="53"/>
        <v>ALL_Flexibilität_Ferienplanung_2026_AA_de</v>
      </c>
      <c r="E1965" s="10" t="str">
        <f>HYPERLINK("https://otsuka-europe-crm.veevavault.com/ui/#object/sent_email__v/VBL000000034185", "SE-001442563")</f>
        <v>SE-001442563</v>
      </c>
      <c r="F1965" s="11"/>
      <c r="G1965" s="12">
        <v>0</v>
      </c>
      <c r="H1965" s="12">
        <v>0</v>
      </c>
      <c r="I1965" s="12">
        <v>0</v>
      </c>
      <c r="J1965" s="11"/>
      <c r="K1965" s="12">
        <v>0</v>
      </c>
      <c r="L1965" s="10" t="str">
        <f t="shared" si="54"/>
        <v>ALL_Flexibilität_Ferienplanung_2026_AA_de</v>
      </c>
      <c r="M1965" s="10" t="str">
        <f t="shared" si="55"/>
        <v>scapeder@crm.otsuka-europe.com</v>
      </c>
      <c r="N1965" s="13">
        <v>46212.361157407409</v>
      </c>
      <c r="O1965" s="14" t="str">
        <f>HYPERLINK("https://otsuka-europe-crm.veevavault.com/ui/#object/email_activity__v/V8C000000044875", "EN-002103328")</f>
        <v>EN-002103328</v>
      </c>
    </row>
    <row r="1966" spans="1:15" ht="32" x14ac:dyDescent="0.2">
      <c r="A1966" s="7" t="str">
        <f>HYPERLINK("https://otsuka-europe-crm.veevavault.com/ui/#object/account__v/V4TZ06G6OBIE05E", "Adrian Xhigoli")</f>
        <v>Adrian Xhigoli</v>
      </c>
      <c r="B1966" s="7" t="str">
        <f t="shared" si="52"/>
        <v>CH</v>
      </c>
      <c r="C1966" s="8" t="s">
        <v>45</v>
      </c>
      <c r="D1966" s="9" t="str">
        <f t="shared" si="53"/>
        <v>ALL_Flexibilität_Ferienplanung_2026_AA_de</v>
      </c>
      <c r="E1966" s="10" t="str">
        <f>HYPERLINK("https://otsuka-europe-crm.veevavault.com/ui/#object/sent_email__v/VBL000000034186", "SE-001442564")</f>
        <v>SE-001442564</v>
      </c>
      <c r="F1966" s="11"/>
      <c r="G1966" s="12">
        <v>0</v>
      </c>
      <c r="H1966" s="12">
        <v>0</v>
      </c>
      <c r="I1966" s="12">
        <v>0</v>
      </c>
      <c r="J1966" s="11"/>
      <c r="K1966" s="12">
        <v>0</v>
      </c>
      <c r="L1966" s="10" t="str">
        <f t="shared" si="54"/>
        <v>ALL_Flexibilität_Ferienplanung_2026_AA_de</v>
      </c>
      <c r="M1966" s="10" t="str">
        <f t="shared" si="55"/>
        <v>scapeder@crm.otsuka-europe.com</v>
      </c>
      <c r="N1966" s="13">
        <v>46212.361157407409</v>
      </c>
      <c r="O1966" s="14" t="str">
        <f>HYPERLINK("https://otsuka-europe-crm.veevavault.com/ui/#object/email_activity__v/V8C000000043909", "EN-002103436")</f>
        <v>EN-002103436</v>
      </c>
    </row>
    <row r="1967" spans="1:15" ht="16" x14ac:dyDescent="0.2">
      <c r="A1967" s="18" t="str">
        <f>HYPERLINK("https://otsuka-europe-crm.veevavault.com/ui/#object/account__v/V4TZ06G6OBI6FV7", "Andreas Riedel")</f>
        <v>Andreas Riedel</v>
      </c>
      <c r="B1967" s="18" t="str">
        <f t="shared" si="52"/>
        <v>CH</v>
      </c>
      <c r="C1967" s="20" t="s">
        <v>45</v>
      </c>
      <c r="D1967" s="21" t="str">
        <f t="shared" si="53"/>
        <v>ALL_Flexibilität_Ferienplanung_2026_AA_de</v>
      </c>
      <c r="E1967" s="22" t="str">
        <f>HYPERLINK("https://otsuka-europe-crm.veevavault.com/ui/#object/sent_email__v/VBL000000034187", "SE-001442565")</f>
        <v>SE-001442565</v>
      </c>
      <c r="F1967" s="25">
        <v>46212.361307870371</v>
      </c>
      <c r="G1967" s="24">
        <v>1</v>
      </c>
      <c r="H1967" s="24">
        <v>1</v>
      </c>
      <c r="I1967" s="24">
        <v>0</v>
      </c>
      <c r="J1967" s="23"/>
      <c r="K1967" s="24">
        <v>0</v>
      </c>
      <c r="L1967" s="22" t="str">
        <f t="shared" si="54"/>
        <v>ALL_Flexibilität_Ferienplanung_2026_AA_de</v>
      </c>
      <c r="M1967" s="22" t="str">
        <f t="shared" si="55"/>
        <v>scapeder@crm.otsuka-europe.com</v>
      </c>
      <c r="N1967" s="25">
        <v>46212.361157407409</v>
      </c>
      <c r="O1967" s="14" t="str">
        <f>HYPERLINK("https://otsuka-europe-crm.veevavault.com/ui/#object/email_activity__v/V8C000000044869", "EN-002103322")</f>
        <v>EN-002103322</v>
      </c>
    </row>
    <row r="1968" spans="1:15" ht="16" x14ac:dyDescent="0.2">
      <c r="A1968" s="19"/>
      <c r="B1968" s="19"/>
      <c r="C1968" s="19"/>
      <c r="D1968" s="19"/>
      <c r="E1968" s="19"/>
      <c r="F1968" s="19"/>
      <c r="G1968" s="19"/>
      <c r="H1968" s="19"/>
      <c r="I1968" s="19"/>
      <c r="J1968" s="19"/>
      <c r="K1968" s="19"/>
      <c r="L1968" s="19"/>
      <c r="M1968" s="19"/>
      <c r="N1968" s="19"/>
      <c r="O1968" s="14" t="str">
        <f>HYPERLINK("https://otsuka-europe-crm.veevavault.com/ui/#object/email_activity__v/V8C000000044877", "EN-002103331")</f>
        <v>EN-002103331</v>
      </c>
    </row>
    <row r="1969" spans="1:15" ht="32" x14ac:dyDescent="0.2">
      <c r="A1969" s="7" t="str">
        <f>HYPERLINK("https://otsuka-europe-crm.veevavault.com/ui/#object/account__v/V4TZ0000062R3ZI", "Alexander Skall")</f>
        <v>Alexander Skall</v>
      </c>
      <c r="B1969" s="7" t="str">
        <f>HYPERLINK("https://otsuka-europe-crm.veevavault.com/ui/#object/vcountry__v/VENZ000004SONFN", "CH")</f>
        <v>CH</v>
      </c>
      <c r="C1969" s="8" t="s">
        <v>45</v>
      </c>
      <c r="D1969" s="9" t="str">
        <f>HYPERLINK("https://otsuka-europe-crm.veevavault.com/ui/#object/approved_document__v/V5O00000001L016", "ALL_Flexibilität_Ferienplanung_2026_AA_de")</f>
        <v>ALL_Flexibilität_Ferienplanung_2026_AA_de</v>
      </c>
      <c r="E1969" s="10" t="str">
        <f>HYPERLINK("https://otsuka-europe-crm.veevavault.com/ui/#object/sent_email__v/VBL000000034188", "SE-001442566")</f>
        <v>SE-001442566</v>
      </c>
      <c r="F1969" s="11"/>
      <c r="G1969" s="12">
        <v>0</v>
      </c>
      <c r="H1969" s="12">
        <v>0</v>
      </c>
      <c r="I1969" s="12">
        <v>0</v>
      </c>
      <c r="J1969" s="11"/>
      <c r="K1969" s="12">
        <v>0</v>
      </c>
      <c r="L1969" s="10" t="str">
        <f>HYPERLINK("https://otsuka-europe-crm.veevavault.com/ui/#object/approved_document__v/V5O00000001L016", "ALL_Flexibilität_Ferienplanung_2026_AA_de")</f>
        <v>ALL_Flexibilität_Ferienplanung_2026_AA_de</v>
      </c>
      <c r="M1969" s="10" t="str">
        <f>HYPERLINK("mailto:scapeder@crm.otsuka-europe.com", "scapeder@crm.otsuka-europe.com")</f>
        <v>scapeder@crm.otsuka-europe.com</v>
      </c>
      <c r="N1969" s="13">
        <v>46212.361157407409</v>
      </c>
      <c r="O1969" s="14" t="str">
        <f>HYPERLINK("https://otsuka-europe-crm.veevavault.com/ui/#object/email_activity__v/V8C000000044872", "EN-002103325")</f>
        <v>EN-002103325</v>
      </c>
    </row>
    <row r="1970" spans="1:15" ht="32" x14ac:dyDescent="0.2">
      <c r="A1970" s="7" t="str">
        <f>HYPERLINK("https://otsuka-europe-crm.veevavault.com/ui/#object/account__v/V4TZ0000062R67H", "Agim Pireva")</f>
        <v>Agim Pireva</v>
      </c>
      <c r="B1970" s="7" t="str">
        <f>HYPERLINK("https://otsuka-europe-crm.veevavault.com/ui/#object/vcountry__v/VENZ000004SONFN", "CH")</f>
        <v>CH</v>
      </c>
      <c r="C1970" s="8" t="s">
        <v>45</v>
      </c>
      <c r="D1970" s="9" t="str">
        <f>HYPERLINK("https://otsuka-europe-crm.veevavault.com/ui/#object/approved_document__v/V5O00000001L016", "ALL_Flexibilität_Ferienplanung_2026_AA_de")</f>
        <v>ALL_Flexibilität_Ferienplanung_2026_AA_de</v>
      </c>
      <c r="E1970" s="10" t="str">
        <f>HYPERLINK("https://otsuka-europe-crm.veevavault.com/ui/#object/sent_email__v/VBL000000034189", "SE-001442567")</f>
        <v>SE-001442567</v>
      </c>
      <c r="F1970" s="11"/>
      <c r="G1970" s="12">
        <v>0</v>
      </c>
      <c r="H1970" s="12">
        <v>0</v>
      </c>
      <c r="I1970" s="12">
        <v>0</v>
      </c>
      <c r="J1970" s="11"/>
      <c r="K1970" s="12">
        <v>0</v>
      </c>
      <c r="L1970" s="10" t="str">
        <f>HYPERLINK("https://otsuka-europe-crm.veevavault.com/ui/#object/approved_document__v/V5O00000001L016", "ALL_Flexibilität_Ferienplanung_2026_AA_de")</f>
        <v>ALL_Flexibilität_Ferienplanung_2026_AA_de</v>
      </c>
      <c r="M1970" s="10" t="str">
        <f>HYPERLINK("mailto:scapeder@crm.otsuka-europe.com", "scapeder@crm.otsuka-europe.com")</f>
        <v>scapeder@crm.otsuka-europe.com</v>
      </c>
      <c r="N1970" s="13">
        <v>46212.361157407409</v>
      </c>
      <c r="O1970" s="14" t="str">
        <f>HYPERLINK("https://otsuka-europe-crm.veevavault.com/ui/#object/email_activity__v/V8C000000043908", "EN-002103435")</f>
        <v>EN-002103435</v>
      </c>
    </row>
    <row r="1971" spans="1:15" ht="32" x14ac:dyDescent="0.2">
      <c r="A1971" s="7" t="str">
        <f>HYPERLINK("https://otsuka-europe-crm.veevavault.com/ui/#object/account__v/V4TZ0000062R77W", "Carlos Garcia")</f>
        <v>Carlos Garcia</v>
      </c>
      <c r="B1971" s="7" t="str">
        <f>HYPERLINK("https://otsuka-europe-crm.veevavault.com/ui/#object/vcountry__v/VENZ000004SONFN", "CH")</f>
        <v>CH</v>
      </c>
      <c r="C1971" s="8" t="s">
        <v>45</v>
      </c>
      <c r="D1971" s="9" t="str">
        <f>HYPERLINK("https://otsuka-europe-crm.veevavault.com/ui/#object/approved_document__v/V5O00000001L016", "ALL_Flexibilität_Ferienplanung_2026_AA_de")</f>
        <v>ALL_Flexibilität_Ferienplanung_2026_AA_de</v>
      </c>
      <c r="E1971" s="10" t="str">
        <f>HYPERLINK("https://otsuka-europe-crm.veevavault.com/ui/#object/sent_email__v/VBL000000034190", "SE-001442568")</f>
        <v>SE-001442568</v>
      </c>
      <c r="F1971" s="11"/>
      <c r="G1971" s="12">
        <v>0</v>
      </c>
      <c r="H1971" s="12">
        <v>0</v>
      </c>
      <c r="I1971" s="12">
        <v>0</v>
      </c>
      <c r="J1971" s="11"/>
      <c r="K1971" s="12">
        <v>0</v>
      </c>
      <c r="L1971" s="10" t="str">
        <f>HYPERLINK("https://otsuka-europe-crm.veevavault.com/ui/#object/approved_document__v/V5O00000001L016", "ALL_Flexibilität_Ferienplanung_2026_AA_de")</f>
        <v>ALL_Flexibilität_Ferienplanung_2026_AA_de</v>
      </c>
      <c r="M1971" s="10" t="str">
        <f>HYPERLINK("mailto:scapeder@crm.otsuka-europe.com", "scapeder@crm.otsuka-europe.com")</f>
        <v>scapeder@crm.otsuka-europe.com</v>
      </c>
      <c r="N1971" s="13">
        <v>46212.362025462964</v>
      </c>
      <c r="O1971" s="14" t="str">
        <f>HYPERLINK("https://otsuka-europe-crm.veevavault.com/ui/#object/email_activity__v/V8C000000044880", "EN-002103334")</f>
        <v>EN-002103334</v>
      </c>
    </row>
    <row r="1972" spans="1:15" ht="16" x14ac:dyDescent="0.2">
      <c r="A1972" s="18" t="str">
        <f>HYPERLINK("https://otsuka-europe-crm.veevavault.com/ui/#object/account__v/V4TZ0000062RWCI", "Beat Nick")</f>
        <v>Beat Nick</v>
      </c>
      <c r="B1972" s="18" t="str">
        <f>HYPERLINK("https://otsuka-europe-crm.veevavault.com/ui/#object/vcountry__v/VENZ000004SONFN", "CH")</f>
        <v>CH</v>
      </c>
      <c r="C1972" s="20" t="s">
        <v>45</v>
      </c>
      <c r="D1972" s="21" t="str">
        <f>HYPERLINK("https://otsuka-europe-crm.veevavault.com/ui/#object/approved_document__v/V5O00000001L016", "ALL_Flexibilität_Ferienplanung_2026_AA_de")</f>
        <v>ALL_Flexibilität_Ferienplanung_2026_AA_de</v>
      </c>
      <c r="E1972" s="22" t="str">
        <f>HYPERLINK("https://otsuka-europe-crm.veevavault.com/ui/#object/sent_email__v/VBL000000034191", "SE-001442569")</f>
        <v>SE-001442569</v>
      </c>
      <c r="F1972" s="23"/>
      <c r="G1972" s="24">
        <v>0</v>
      </c>
      <c r="H1972" s="24">
        <v>0</v>
      </c>
      <c r="I1972" s="24">
        <v>0</v>
      </c>
      <c r="J1972" s="23"/>
      <c r="K1972" s="24">
        <v>0</v>
      </c>
      <c r="L1972" s="22" t="str">
        <f>HYPERLINK("https://otsuka-europe-crm.veevavault.com/ui/#object/approved_document__v/V5O00000001L016", "ALL_Flexibilität_Ferienplanung_2026_AA_de")</f>
        <v>ALL_Flexibilität_Ferienplanung_2026_AA_de</v>
      </c>
      <c r="M1972" s="22" t="str">
        <f>HYPERLINK("mailto:scapeder@crm.otsuka-europe.com", "scapeder@crm.otsuka-europe.com")</f>
        <v>scapeder@crm.otsuka-europe.com</v>
      </c>
      <c r="N1972" s="25">
        <v>46212.361990740741</v>
      </c>
      <c r="O1972" s="14" t="str">
        <f>HYPERLINK("https://otsuka-europe-crm.veevavault.com/ui/#object/email_activity__v/V8C000000044878", "EN-002103332")</f>
        <v>EN-002103332</v>
      </c>
    </row>
    <row r="1973" spans="1:15" ht="16" x14ac:dyDescent="0.2">
      <c r="A1973" s="26"/>
      <c r="B1973" s="26"/>
      <c r="C1973" s="26"/>
      <c r="D1973" s="26"/>
      <c r="E1973" s="26"/>
      <c r="F1973" s="26"/>
      <c r="G1973" s="26"/>
      <c r="H1973" s="26"/>
      <c r="I1973" s="26"/>
      <c r="J1973" s="26"/>
      <c r="K1973" s="26"/>
      <c r="L1973" s="26"/>
      <c r="M1973" s="26"/>
      <c r="N1973" s="26"/>
      <c r="O1973" s="14" t="str">
        <f>HYPERLINK("https://otsuka-europe-crm.veevavault.com/ui/#object/email_activity__v/V8C000000045204", "EN-002103669")</f>
        <v>EN-002103669</v>
      </c>
    </row>
    <row r="1974" spans="1:15" ht="16" x14ac:dyDescent="0.2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/>
      <c r="L1974" s="19"/>
      <c r="M1974" s="19"/>
      <c r="N1974" s="19"/>
      <c r="O1974" s="14" t="str">
        <f>HYPERLINK("https://otsuka-europe-crm.veevavault.com/ui/#object/email_activity__v/V8C000000049383", "EN-002105551")</f>
        <v>EN-002105551</v>
      </c>
    </row>
    <row r="1975" spans="1:15" ht="32" x14ac:dyDescent="0.2">
      <c r="A1975" s="7" t="str">
        <f>HYPERLINK("https://otsuka-europe-crm.veevavault.com/ui/#object/account__v/V4TZ0000062R6I9", "Cemaleddin Alicioglu")</f>
        <v>Cemaleddin Alicioglu</v>
      </c>
      <c r="B1975" s="7" t="str">
        <f>HYPERLINK("https://otsuka-europe-crm.veevavault.com/ui/#object/vcountry__v/VENZ000004SONFN", "CH")</f>
        <v>CH</v>
      </c>
      <c r="C1975" s="8" t="s">
        <v>45</v>
      </c>
      <c r="D1975" s="9" t="str">
        <f>HYPERLINK("https://otsuka-europe-crm.veevavault.com/ui/#object/approved_document__v/V5O00000001L016", "ALL_Flexibilität_Ferienplanung_2026_AA_de")</f>
        <v>ALL_Flexibilität_Ferienplanung_2026_AA_de</v>
      </c>
      <c r="E1975" s="10" t="str">
        <f>HYPERLINK("https://otsuka-europe-crm.veevavault.com/ui/#object/sent_email__v/VBL000000034192", "SE-001442570")</f>
        <v>SE-001442570</v>
      </c>
      <c r="F1975" s="11"/>
      <c r="G1975" s="12">
        <v>0</v>
      </c>
      <c r="H1975" s="12">
        <v>0</v>
      </c>
      <c r="I1975" s="12">
        <v>0</v>
      </c>
      <c r="J1975" s="11"/>
      <c r="K1975" s="12">
        <v>0</v>
      </c>
      <c r="L1975" s="10" t="str">
        <f>HYPERLINK("https://otsuka-europe-crm.veevavault.com/ui/#object/approved_document__v/V5O00000001L016", "ALL_Flexibilität_Ferienplanung_2026_AA_de")</f>
        <v>ALL_Flexibilität_Ferienplanung_2026_AA_de</v>
      </c>
      <c r="M1975" s="10" t="str">
        <f>HYPERLINK("mailto:scapeder@crm.otsuka-europe.com", "scapeder@crm.otsuka-europe.com")</f>
        <v>scapeder@crm.otsuka-europe.com</v>
      </c>
      <c r="N1975" s="13">
        <v>46212.361990740741</v>
      </c>
      <c r="O1975" s="14" t="str">
        <f>HYPERLINK("https://otsuka-europe-crm.veevavault.com/ui/#object/email_activity__v/V8C000000044884", "EN-002103338")</f>
        <v>EN-002103338</v>
      </c>
    </row>
    <row r="1976" spans="1:15" ht="32" x14ac:dyDescent="0.2">
      <c r="A1976" s="7" t="str">
        <f>HYPERLINK("https://otsuka-europe-crm.veevavault.com/ui/#object/account__v/V4TZ04ASGCYOC5O", "Barbara Annen")</f>
        <v>Barbara Annen</v>
      </c>
      <c r="B1976" s="7" t="str">
        <f>HYPERLINK("https://otsuka-europe-crm.veevavault.com/ui/#object/vcountry__v/VENZ000004SONFN", "CH")</f>
        <v>CH</v>
      </c>
      <c r="C1976" s="8" t="s">
        <v>45</v>
      </c>
      <c r="D1976" s="9" t="str">
        <f>HYPERLINK("https://otsuka-europe-crm.veevavault.com/ui/#object/approved_document__v/V5O00000001L016", "ALL_Flexibilität_Ferienplanung_2026_AA_de")</f>
        <v>ALL_Flexibilität_Ferienplanung_2026_AA_de</v>
      </c>
      <c r="E1976" s="10" t="str">
        <f>HYPERLINK("https://otsuka-europe-crm.veevavault.com/ui/#object/sent_email__v/VBL000000034193", "SE-001442571")</f>
        <v>SE-001442571</v>
      </c>
      <c r="F1976" s="11"/>
      <c r="G1976" s="12">
        <v>0</v>
      </c>
      <c r="H1976" s="12">
        <v>0</v>
      </c>
      <c r="I1976" s="12">
        <v>0</v>
      </c>
      <c r="J1976" s="11"/>
      <c r="K1976" s="12">
        <v>0</v>
      </c>
      <c r="L1976" s="10" t="str">
        <f>HYPERLINK("https://otsuka-europe-crm.veevavault.com/ui/#object/approved_document__v/V5O00000001L016", "ALL_Flexibilität_Ferienplanung_2026_AA_de")</f>
        <v>ALL_Flexibilität_Ferienplanung_2026_AA_de</v>
      </c>
      <c r="M1976" s="10" t="str">
        <f>HYPERLINK("mailto:scapeder@crm.otsuka-europe.com", "scapeder@crm.otsuka-europe.com")</f>
        <v>scapeder@crm.otsuka-europe.com</v>
      </c>
      <c r="N1976" s="13">
        <v>46212.361990740741</v>
      </c>
      <c r="O1976" s="14" t="str">
        <f>HYPERLINK("https://otsuka-europe-crm.veevavault.com/ui/#object/email_activity__v/V8C000000044879", "EN-002103333")</f>
        <v>EN-002103333</v>
      </c>
    </row>
    <row r="1977" spans="1:15" ht="16" x14ac:dyDescent="0.2">
      <c r="A1977" s="18" t="str">
        <f>HYPERLINK("https://otsuka-europe-crm.veevavault.com/ui/#object/account__v/V4TZ0000062R70S", "Barbara Dolezal")</f>
        <v>Barbara Dolezal</v>
      </c>
      <c r="B1977" s="18" t="str">
        <f>HYPERLINK("https://otsuka-europe-crm.veevavault.com/ui/#object/vcountry__v/VENZ000004SONFN", "CH")</f>
        <v>CH</v>
      </c>
      <c r="C1977" s="20" t="s">
        <v>45</v>
      </c>
      <c r="D1977" s="21" t="str">
        <f>HYPERLINK("https://otsuka-europe-crm.veevavault.com/ui/#object/approved_document__v/V5O00000001L016", "ALL_Flexibilität_Ferienplanung_2026_AA_de")</f>
        <v>ALL_Flexibilität_Ferienplanung_2026_AA_de</v>
      </c>
      <c r="E1977" s="22" t="str">
        <f>HYPERLINK("https://otsuka-europe-crm.veevavault.com/ui/#object/sent_email__v/VBL000000034194", "SE-001442572")</f>
        <v>SE-001442572</v>
      </c>
      <c r="F1977" s="23"/>
      <c r="G1977" s="24">
        <v>0</v>
      </c>
      <c r="H1977" s="24">
        <v>0</v>
      </c>
      <c r="I1977" s="24">
        <v>0</v>
      </c>
      <c r="J1977" s="23"/>
      <c r="K1977" s="24">
        <v>0</v>
      </c>
      <c r="L1977" s="22" t="str">
        <f>HYPERLINK("https://otsuka-europe-crm.veevavault.com/ui/#object/approved_document__v/V5O00000001L016", "ALL_Flexibilität_Ferienplanung_2026_AA_de")</f>
        <v>ALL_Flexibilität_Ferienplanung_2026_AA_de</v>
      </c>
      <c r="M1977" s="22" t="str">
        <f>HYPERLINK("mailto:scapeder@crm.otsuka-europe.com", "scapeder@crm.otsuka-europe.com")</f>
        <v>scapeder@crm.otsuka-europe.com</v>
      </c>
      <c r="N1977" s="25">
        <v>46212.362037037034</v>
      </c>
      <c r="O1977" s="14" t="str">
        <f>HYPERLINK("https://otsuka-europe-crm.veevavault.com/ui/#object/email_activity__v/V8C000000044881", "EN-002103335")</f>
        <v>EN-002103335</v>
      </c>
    </row>
    <row r="1978" spans="1:15" ht="16" x14ac:dyDescent="0.2">
      <c r="A1978" s="26"/>
      <c r="B1978" s="26"/>
      <c r="C1978" s="26"/>
      <c r="D1978" s="26"/>
      <c r="E1978" s="26"/>
      <c r="F1978" s="26"/>
      <c r="G1978" s="26"/>
      <c r="H1978" s="26"/>
      <c r="I1978" s="26"/>
      <c r="J1978" s="26"/>
      <c r="K1978" s="26"/>
      <c r="L1978" s="26"/>
      <c r="M1978" s="26"/>
      <c r="N1978" s="26"/>
      <c r="O1978" s="14" t="str">
        <f>HYPERLINK("https://otsuka-europe-crm.veevavault.com/ui/#object/email_activity__v/V8C00000004A074", "EN-002105033")</f>
        <v>EN-002105033</v>
      </c>
    </row>
    <row r="1979" spans="1:15" ht="16" x14ac:dyDescent="0.2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/>
      <c r="L1979" s="19"/>
      <c r="M1979" s="19"/>
      <c r="N1979" s="19"/>
      <c r="O1979" s="14" t="str">
        <f>HYPERLINK("https://otsuka-europe-crm.veevavault.com/ui/#object/email_activity__v/V8C00000004B275", "EN-002107196")</f>
        <v>EN-002107196</v>
      </c>
    </row>
    <row r="1980" spans="1:15" ht="16" x14ac:dyDescent="0.2">
      <c r="A1980" s="18" t="str">
        <f>HYPERLINK("https://otsuka-europe-crm.veevavault.com/ui/#object/account__v/V4TZ0000062SG5T", "Beat Ramseier")</f>
        <v>Beat Ramseier</v>
      </c>
      <c r="B1980" s="18" t="str">
        <f>HYPERLINK("https://otsuka-europe-crm.veevavault.com/ui/#object/vcountry__v/VENZ000004SONFN", "CH")</f>
        <v>CH</v>
      </c>
      <c r="C1980" s="20" t="s">
        <v>45</v>
      </c>
      <c r="D1980" s="21" t="str">
        <f>HYPERLINK("https://otsuka-europe-crm.veevavault.com/ui/#object/approved_document__v/V5O00000001L016", "ALL_Flexibilität_Ferienplanung_2026_AA_de")</f>
        <v>ALL_Flexibilität_Ferienplanung_2026_AA_de</v>
      </c>
      <c r="E1980" s="22" t="str">
        <f>HYPERLINK("https://otsuka-europe-crm.veevavault.com/ui/#object/sent_email__v/VBL000000034195", "SE-001442573")</f>
        <v>SE-001442573</v>
      </c>
      <c r="F1980" s="23"/>
      <c r="G1980" s="24">
        <v>0</v>
      </c>
      <c r="H1980" s="24">
        <v>0</v>
      </c>
      <c r="I1980" s="24">
        <v>0</v>
      </c>
      <c r="J1980" s="23"/>
      <c r="K1980" s="24">
        <v>0</v>
      </c>
      <c r="L1980" s="22" t="str">
        <f>HYPERLINK("https://otsuka-europe-crm.veevavault.com/ui/#object/approved_document__v/V5O00000001L016", "ALL_Flexibilität_Ferienplanung_2026_AA_de")</f>
        <v>ALL_Flexibilität_Ferienplanung_2026_AA_de</v>
      </c>
      <c r="M1980" s="22" t="str">
        <f>HYPERLINK("mailto:scapeder@crm.otsuka-europe.com", "scapeder@crm.otsuka-europe.com")</f>
        <v>scapeder@crm.otsuka-europe.com</v>
      </c>
      <c r="N1980" s="25">
        <v>46212.361990740741</v>
      </c>
      <c r="O1980" s="14" t="str">
        <f>HYPERLINK("https://otsuka-europe-crm.veevavault.com/ui/#object/email_activity__v/V8C000000044882", "EN-002103336")</f>
        <v>EN-002103336</v>
      </c>
    </row>
    <row r="1981" spans="1:15" ht="16" x14ac:dyDescent="0.2">
      <c r="A1981" s="26"/>
      <c r="B1981" s="26"/>
      <c r="C1981" s="26"/>
      <c r="D1981" s="26"/>
      <c r="E1981" s="26"/>
      <c r="F1981" s="26"/>
      <c r="G1981" s="26"/>
      <c r="H1981" s="26"/>
      <c r="I1981" s="26"/>
      <c r="J1981" s="26"/>
      <c r="K1981" s="26"/>
      <c r="L1981" s="26"/>
      <c r="M1981" s="26"/>
      <c r="N1981" s="26"/>
      <c r="O1981" s="14" t="str">
        <f>HYPERLINK("https://otsuka-europe-crm.veevavault.com/ui/#object/email_activity__v/V8C000000045343", "EN-002103968")</f>
        <v>EN-002103968</v>
      </c>
    </row>
    <row r="1982" spans="1:15" ht="16" x14ac:dyDescent="0.2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/>
      <c r="L1982" s="19"/>
      <c r="M1982" s="19"/>
      <c r="N1982" s="19"/>
      <c r="O1982" s="14" t="str">
        <f>HYPERLINK("https://otsuka-europe-crm.veevavault.com/ui/#object/email_activity__v/V8C000000046074", "EN-002103967")</f>
        <v>EN-002103967</v>
      </c>
    </row>
    <row r="1983" spans="1:15" ht="32" x14ac:dyDescent="0.2">
      <c r="A1983" s="7" t="str">
        <f>HYPERLINK("https://otsuka-europe-crm.veevavault.com/ui/#object/account__v/V4TZ0000062R6GZ", "Bernhard Affolter")</f>
        <v>Bernhard Affolter</v>
      </c>
      <c r="B1983" s="7" t="str">
        <f>HYPERLINK("https://otsuka-europe-crm.veevavault.com/ui/#object/vcountry__v/VENZ000004SONFN", "CH")</f>
        <v>CH</v>
      </c>
      <c r="C1983" s="8" t="s">
        <v>45</v>
      </c>
      <c r="D1983" s="9" t="str">
        <f>HYPERLINK("https://otsuka-europe-crm.veevavault.com/ui/#object/approved_document__v/V5O00000001L016", "ALL_Flexibilität_Ferienplanung_2026_AA_de")</f>
        <v>ALL_Flexibilität_Ferienplanung_2026_AA_de</v>
      </c>
      <c r="E1983" s="10" t="str">
        <f>HYPERLINK("https://otsuka-europe-crm.veevavault.com/ui/#object/sent_email__v/VBL000000034196", "SE-001442574")</f>
        <v>SE-001442574</v>
      </c>
      <c r="F1983" s="11"/>
      <c r="G1983" s="12">
        <v>0</v>
      </c>
      <c r="H1983" s="12">
        <v>0</v>
      </c>
      <c r="I1983" s="12">
        <v>0</v>
      </c>
      <c r="J1983" s="11"/>
      <c r="K1983" s="12">
        <v>0</v>
      </c>
      <c r="L1983" s="10" t="str">
        <f>HYPERLINK("https://otsuka-europe-crm.veevavault.com/ui/#object/approved_document__v/V5O00000001L016", "ALL_Flexibilität_Ferienplanung_2026_AA_de")</f>
        <v>ALL_Flexibilität_Ferienplanung_2026_AA_de</v>
      </c>
      <c r="M1983" s="10" t="str">
        <f>HYPERLINK("mailto:scapeder@crm.otsuka-europe.com", "scapeder@crm.otsuka-europe.com")</f>
        <v>scapeder@crm.otsuka-europe.com</v>
      </c>
      <c r="N1983" s="13">
        <v>46212.361990740741</v>
      </c>
      <c r="O1983" s="14" t="str">
        <f>HYPERLINK("https://otsuka-europe-crm.veevavault.com/ui/#object/email_activity__v/V8C000000044883", "EN-002103337")</f>
        <v>EN-002103337</v>
      </c>
    </row>
    <row r="1984" spans="1:15" ht="16" x14ac:dyDescent="0.2">
      <c r="A1984" s="18" t="str">
        <f>HYPERLINK("https://otsuka-europe-crm.veevavault.com/ui/#object/account__v/V4TZ06G6OBI6FNJ", "Christina Andreou")</f>
        <v>Christina Andreou</v>
      </c>
      <c r="B1984" s="18" t="str">
        <f>HYPERLINK("https://otsuka-europe-crm.veevavault.com/ui/#object/vcountry__v/VENZ000004SONFN", "CH")</f>
        <v>CH</v>
      </c>
      <c r="C1984" s="20" t="s">
        <v>45</v>
      </c>
      <c r="D1984" s="21" t="str">
        <f>HYPERLINK("https://otsuka-europe-crm.veevavault.com/ui/#object/approved_document__v/V5O00000001L016", "ALL_Flexibilität_Ferienplanung_2026_AA_de")</f>
        <v>ALL_Flexibilität_Ferienplanung_2026_AA_de</v>
      </c>
      <c r="E1984" s="22" t="str">
        <f>HYPERLINK("https://otsuka-europe-crm.veevavault.com/ui/#object/sent_email__v/VBL000000034197", "SE-001442575")</f>
        <v>SE-001442575</v>
      </c>
      <c r="F1984" s="25">
        <v>46212.402789351851</v>
      </c>
      <c r="G1984" s="24">
        <v>1</v>
      </c>
      <c r="H1984" s="24">
        <v>1</v>
      </c>
      <c r="I1984" s="24">
        <v>0</v>
      </c>
      <c r="J1984" s="23"/>
      <c r="K1984" s="24">
        <v>0</v>
      </c>
      <c r="L1984" s="22" t="str">
        <f>HYPERLINK("https://otsuka-europe-crm.veevavault.com/ui/#object/approved_document__v/V5O00000001L016", "ALL_Flexibilität_Ferienplanung_2026_AA_de")</f>
        <v>ALL_Flexibilität_Ferienplanung_2026_AA_de</v>
      </c>
      <c r="M1984" s="22" t="str">
        <f>HYPERLINK("mailto:scapeder@crm.otsuka-europe.com", "scapeder@crm.otsuka-europe.com")</f>
        <v>scapeder@crm.otsuka-europe.com</v>
      </c>
      <c r="N1984" s="25">
        <v>46212.362650462965</v>
      </c>
      <c r="O1984" s="14" t="str">
        <f>HYPERLINK("https://otsuka-europe-crm.veevavault.com/ui/#object/email_activity__v/V8C000000044894", "EN-002103348")</f>
        <v>EN-002103348</v>
      </c>
    </row>
    <row r="1985" spans="1:15" ht="16" x14ac:dyDescent="0.2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/>
      <c r="L1985" s="19"/>
      <c r="M1985" s="19"/>
      <c r="N1985" s="19"/>
      <c r="O1985" s="14" t="str">
        <f>HYPERLINK("https://otsuka-europe-crm.veevavault.com/ui/#object/email_activity__v/V8C000000045238", "EN-002103770")</f>
        <v>EN-002103770</v>
      </c>
    </row>
    <row r="1986" spans="1:15" ht="16" x14ac:dyDescent="0.2">
      <c r="A1986" s="18" t="str">
        <f>HYPERLINK("https://otsuka-europe-crm.veevavault.com/ui/#object/account__v/V4TZ0000062SGP8", "Daniela Hubl")</f>
        <v>Daniela Hubl</v>
      </c>
      <c r="B1986" s="18" t="str">
        <f>HYPERLINK("https://otsuka-europe-crm.veevavault.com/ui/#object/vcountry__v/VENZ000004SONFN", "CH")</f>
        <v>CH</v>
      </c>
      <c r="C1986" s="20" t="s">
        <v>45</v>
      </c>
      <c r="D1986" s="21" t="str">
        <f>HYPERLINK("https://otsuka-europe-crm.veevavault.com/ui/#object/approved_document__v/V5O00000001L016", "ALL_Flexibilität_Ferienplanung_2026_AA_de")</f>
        <v>ALL_Flexibilität_Ferienplanung_2026_AA_de</v>
      </c>
      <c r="E1986" s="22" t="str">
        <f>HYPERLINK("https://otsuka-europe-crm.veevavault.com/ui/#object/sent_email__v/VBL000000034198", "SE-001442576")</f>
        <v>SE-001442576</v>
      </c>
      <c r="F1986" s="25">
        <v>46212.362766203703</v>
      </c>
      <c r="G1986" s="24">
        <v>1</v>
      </c>
      <c r="H1986" s="24">
        <v>1</v>
      </c>
      <c r="I1986" s="24">
        <v>0</v>
      </c>
      <c r="J1986" s="23"/>
      <c r="K1986" s="24">
        <v>0</v>
      </c>
      <c r="L1986" s="22" t="str">
        <f>HYPERLINK("https://otsuka-europe-crm.veevavault.com/ui/#object/approved_document__v/V5O00000001L016", "ALL_Flexibilität_Ferienplanung_2026_AA_de")</f>
        <v>ALL_Flexibilität_Ferienplanung_2026_AA_de</v>
      </c>
      <c r="M1986" s="22" t="str">
        <f>HYPERLINK("mailto:scapeder@crm.otsuka-europe.com", "scapeder@crm.otsuka-europe.com")</f>
        <v>scapeder@crm.otsuka-europe.com</v>
      </c>
      <c r="N1986" s="25">
        <v>46212.362650462965</v>
      </c>
      <c r="O1986" s="14" t="str">
        <f>HYPERLINK("https://otsuka-europe-crm.veevavault.com/ui/#object/email_activity__v/V8C000000044890", "EN-002103344")</f>
        <v>EN-002103344</v>
      </c>
    </row>
    <row r="1987" spans="1:15" ht="16" x14ac:dyDescent="0.2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19"/>
      <c r="L1987" s="19"/>
      <c r="M1987" s="19"/>
      <c r="N1987" s="19"/>
      <c r="O1987" s="14" t="str">
        <f>HYPERLINK("https://otsuka-europe-crm.veevavault.com/ui/#object/email_activity__v/V8C000000044895", "EN-002103349")</f>
        <v>EN-002103349</v>
      </c>
    </row>
    <row r="1988" spans="1:15" ht="32" x14ac:dyDescent="0.2">
      <c r="A1988" s="7" t="str">
        <f>HYPERLINK("https://otsuka-europe-crm.veevavault.com/ui/#object/account__v/V4TZ0000062R5CB", "Christian Huber")</f>
        <v>Christian Huber</v>
      </c>
      <c r="B1988" s="7" t="str">
        <f>HYPERLINK("https://otsuka-europe-crm.veevavault.com/ui/#object/vcountry__v/VENZ000004SONFN", "CH")</f>
        <v>CH</v>
      </c>
      <c r="C1988" s="8" t="s">
        <v>45</v>
      </c>
      <c r="D1988" s="9" t="str">
        <f>HYPERLINK("https://otsuka-europe-crm.veevavault.com/ui/#object/approved_document__v/V5O00000001L016", "ALL_Flexibilität_Ferienplanung_2026_AA_de")</f>
        <v>ALL_Flexibilität_Ferienplanung_2026_AA_de</v>
      </c>
      <c r="E1988" s="10" t="str">
        <f>HYPERLINK("https://otsuka-europe-crm.veevavault.com/ui/#object/sent_email__v/VBL000000034199", "SE-001442577")</f>
        <v>SE-001442577</v>
      </c>
      <c r="F1988" s="11"/>
      <c r="G1988" s="12">
        <v>0</v>
      </c>
      <c r="H1988" s="12">
        <v>0</v>
      </c>
      <c r="I1988" s="12">
        <v>0</v>
      </c>
      <c r="J1988" s="11"/>
      <c r="K1988" s="12">
        <v>0</v>
      </c>
      <c r="L1988" s="10" t="str">
        <f>HYPERLINK("https://otsuka-europe-crm.veevavault.com/ui/#object/approved_document__v/V5O00000001L016", "ALL_Flexibilität_Ferienplanung_2026_AA_de")</f>
        <v>ALL_Flexibilität_Ferienplanung_2026_AA_de</v>
      </c>
      <c r="M1988" s="10" t="str">
        <f>HYPERLINK("mailto:scapeder@crm.otsuka-europe.com", "scapeder@crm.otsuka-europe.com")</f>
        <v>scapeder@crm.otsuka-europe.com</v>
      </c>
      <c r="N1988" s="13">
        <v>46212.362650462965</v>
      </c>
      <c r="O1988" s="14" t="str">
        <f>HYPERLINK("https://otsuka-europe-crm.veevavault.com/ui/#object/email_activity__v/V8C000000044891", "EN-002103345")</f>
        <v>EN-002103345</v>
      </c>
    </row>
    <row r="1989" spans="1:15" ht="16" x14ac:dyDescent="0.2">
      <c r="A1989" s="18" t="str">
        <f>HYPERLINK("https://otsuka-europe-crm.veevavault.com/ui/#object/account__v/V4TZ0000062R6TU", "Christoph Brandmaier")</f>
        <v>Christoph Brandmaier</v>
      </c>
      <c r="B1989" s="18" t="str">
        <f>HYPERLINK("https://otsuka-europe-crm.veevavault.com/ui/#object/vcountry__v/VENZ000004SONFN", "CH")</f>
        <v>CH</v>
      </c>
      <c r="C1989" s="20" t="s">
        <v>45</v>
      </c>
      <c r="D1989" s="21" t="str">
        <f>HYPERLINK("https://otsuka-europe-crm.veevavault.com/ui/#object/approved_document__v/V5O00000001L016", "ALL_Flexibilität_Ferienplanung_2026_AA_de")</f>
        <v>ALL_Flexibilität_Ferienplanung_2026_AA_de</v>
      </c>
      <c r="E1989" s="22" t="str">
        <f>HYPERLINK("https://otsuka-europe-crm.veevavault.com/ui/#object/sent_email__v/VBL000000034200", "SE-001442578")</f>
        <v>SE-001442578</v>
      </c>
      <c r="F1989" s="25">
        <v>46212.362743055557</v>
      </c>
      <c r="G1989" s="24">
        <v>1</v>
      </c>
      <c r="H1989" s="24">
        <v>1</v>
      </c>
      <c r="I1989" s="24">
        <v>0</v>
      </c>
      <c r="J1989" s="23"/>
      <c r="K1989" s="24">
        <v>0</v>
      </c>
      <c r="L1989" s="22" t="str">
        <f>HYPERLINK("https://otsuka-europe-crm.veevavault.com/ui/#object/approved_document__v/V5O00000001L016", "ALL_Flexibilität_Ferienplanung_2026_AA_de")</f>
        <v>ALL_Flexibilität_Ferienplanung_2026_AA_de</v>
      </c>
      <c r="M1989" s="22" t="str">
        <f>HYPERLINK("mailto:scapeder@crm.otsuka-europe.com", "scapeder@crm.otsuka-europe.com")</f>
        <v>scapeder@crm.otsuka-europe.com</v>
      </c>
      <c r="N1989" s="25">
        <v>46212.362650462965</v>
      </c>
      <c r="O1989" s="14" t="str">
        <f>HYPERLINK("https://otsuka-europe-crm.veevavault.com/ui/#object/email_activity__v/V8C000000044889", "EN-002103343")</f>
        <v>EN-002103343</v>
      </c>
    </row>
    <row r="1990" spans="1:15" ht="16" x14ac:dyDescent="0.2">
      <c r="A1990" s="19"/>
      <c r="B1990" s="19"/>
      <c r="C1990" s="19"/>
      <c r="D1990" s="19"/>
      <c r="E1990" s="19"/>
      <c r="F1990" s="19"/>
      <c r="G1990" s="19"/>
      <c r="H1990" s="19"/>
      <c r="I1990" s="19"/>
      <c r="J1990" s="19"/>
      <c r="K1990" s="19"/>
      <c r="L1990" s="19"/>
      <c r="M1990" s="19"/>
      <c r="N1990" s="19"/>
      <c r="O1990" s="14" t="str">
        <f>HYPERLINK("https://otsuka-europe-crm.veevavault.com/ui/#object/email_activity__v/V8C000000044893", "EN-002103347")</f>
        <v>EN-002103347</v>
      </c>
    </row>
    <row r="1991" spans="1:15" ht="16" x14ac:dyDescent="0.2">
      <c r="A1991" s="18" t="str">
        <f>HYPERLINK("https://otsuka-europe-crm.veevavault.com/ui/#object/account__v/V4TZ0000062R5NR", "Christian Lay")</f>
        <v>Christian Lay</v>
      </c>
      <c r="B1991" s="18" t="str">
        <f>HYPERLINK("https://otsuka-europe-crm.veevavault.com/ui/#object/vcountry__v/VENZ000004SONFN", "CH")</f>
        <v>CH</v>
      </c>
      <c r="C1991" s="20" t="s">
        <v>45</v>
      </c>
      <c r="D1991" s="21" t="str">
        <f>HYPERLINK("https://otsuka-europe-crm.veevavault.com/ui/#object/approved_document__v/V5O00000001L016", "ALL_Flexibilität_Ferienplanung_2026_AA_de")</f>
        <v>ALL_Flexibilität_Ferienplanung_2026_AA_de</v>
      </c>
      <c r="E1991" s="22" t="str">
        <f>HYPERLINK("https://otsuka-europe-crm.veevavault.com/ui/#object/sent_email__v/VBL000000034201", "SE-001442579")</f>
        <v>SE-001442579</v>
      </c>
      <c r="F1991" s="25">
        <v>46212.362719907411</v>
      </c>
      <c r="G1991" s="24">
        <v>1</v>
      </c>
      <c r="H1991" s="24">
        <v>1</v>
      </c>
      <c r="I1991" s="24">
        <v>0</v>
      </c>
      <c r="J1991" s="23"/>
      <c r="K1991" s="24">
        <v>0</v>
      </c>
      <c r="L1991" s="22" t="str">
        <f>HYPERLINK("https://otsuka-europe-crm.veevavault.com/ui/#object/approved_document__v/V5O00000001L016", "ALL_Flexibilität_Ferienplanung_2026_AA_de")</f>
        <v>ALL_Flexibilität_Ferienplanung_2026_AA_de</v>
      </c>
      <c r="M1991" s="22" t="str">
        <f>HYPERLINK("mailto:scapeder@crm.otsuka-europe.com", "scapeder@crm.otsuka-europe.com")</f>
        <v>scapeder@crm.otsuka-europe.com</v>
      </c>
      <c r="N1991" s="25">
        <v>46212.362650462965</v>
      </c>
      <c r="O1991" s="14" t="str">
        <f>HYPERLINK("https://otsuka-europe-crm.veevavault.com/ui/#object/email_activity__v/V8C000000044897", "EN-002103351")</f>
        <v>EN-002103351</v>
      </c>
    </row>
    <row r="1992" spans="1:15" ht="16" x14ac:dyDescent="0.2">
      <c r="A1992" s="19"/>
      <c r="B1992" s="19"/>
      <c r="C1992" s="19"/>
      <c r="D1992" s="19"/>
      <c r="E1992" s="19"/>
      <c r="F1992" s="19"/>
      <c r="G1992" s="19"/>
      <c r="H1992" s="19"/>
      <c r="I1992" s="19"/>
      <c r="J1992" s="19"/>
      <c r="K1992" s="19"/>
      <c r="L1992" s="19"/>
      <c r="M1992" s="19"/>
      <c r="N1992" s="19"/>
      <c r="O1992" s="14" t="str">
        <f>HYPERLINK("https://otsuka-europe-crm.veevavault.com/ui/#object/email_activity__v/V8C000000044899", "EN-002103353")</f>
        <v>EN-002103353</v>
      </c>
    </row>
    <row r="1993" spans="1:15" ht="16" x14ac:dyDescent="0.2">
      <c r="A1993" s="18" t="str">
        <f>HYPERLINK("https://otsuka-europe-crm.veevavault.com/ui/#object/account__v/V4TZ0000062SG6O", "Christoph Richter")</f>
        <v>Christoph Richter</v>
      </c>
      <c r="B1993" s="18" t="str">
        <f>HYPERLINK("https://otsuka-europe-crm.veevavault.com/ui/#object/vcountry__v/VENZ000004SONFN", "CH")</f>
        <v>CH</v>
      </c>
      <c r="C1993" s="20" t="s">
        <v>45</v>
      </c>
      <c r="D1993" s="21" t="str">
        <f>HYPERLINK("https://otsuka-europe-crm.veevavault.com/ui/#object/approved_document__v/V5O00000001L016", "ALL_Flexibilität_Ferienplanung_2026_AA_de")</f>
        <v>ALL_Flexibilität_Ferienplanung_2026_AA_de</v>
      </c>
      <c r="E1993" s="22" t="str">
        <f>HYPERLINK("https://otsuka-europe-crm.veevavault.com/ui/#object/sent_email__v/VBL000000034202", "SE-001442580")</f>
        <v>SE-001442580</v>
      </c>
      <c r="F1993" s="25">
        <v>46212.363055555557</v>
      </c>
      <c r="G1993" s="24">
        <v>1</v>
      </c>
      <c r="H1993" s="24">
        <v>1</v>
      </c>
      <c r="I1993" s="24">
        <v>0</v>
      </c>
      <c r="J1993" s="23"/>
      <c r="K1993" s="24">
        <v>0</v>
      </c>
      <c r="L1993" s="22" t="str">
        <f>HYPERLINK("https://otsuka-europe-crm.veevavault.com/ui/#object/approved_document__v/V5O00000001L016", "ALL_Flexibilität_Ferienplanung_2026_AA_de")</f>
        <v>ALL_Flexibilität_Ferienplanung_2026_AA_de</v>
      </c>
      <c r="M1993" s="22" t="str">
        <f>HYPERLINK("mailto:scapeder@crm.otsuka-europe.com", "scapeder@crm.otsuka-europe.com")</f>
        <v>scapeder@crm.otsuka-europe.com</v>
      </c>
      <c r="N1993" s="25">
        <v>46212.362638888888</v>
      </c>
      <c r="O1993" s="14" t="str">
        <f>HYPERLINK("https://otsuka-europe-crm.veevavault.com/ui/#object/email_activity__v/V8C000000044896", "EN-002103350")</f>
        <v>EN-002103350</v>
      </c>
    </row>
    <row r="1994" spans="1:15" ht="16" x14ac:dyDescent="0.2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19"/>
      <c r="L1994" s="19"/>
      <c r="M1994" s="19"/>
      <c r="N1994" s="19"/>
      <c r="O1994" s="14" t="str">
        <f>HYPERLINK("https://otsuka-europe-crm.veevavault.com/ui/#object/email_activity__v/V8C000000044901", "EN-002103355")</f>
        <v>EN-002103355</v>
      </c>
    </row>
    <row r="1995" spans="1:15" ht="32" x14ac:dyDescent="0.2">
      <c r="A1995" s="7" t="str">
        <f>HYPERLINK("https://otsuka-europe-crm.veevavault.com/ui/#object/account__v/V4TZ0000062R5BP", "Christoph Linnemann")</f>
        <v>Christoph Linnemann</v>
      </c>
      <c r="B1995" s="7" t="str">
        <f>HYPERLINK("https://otsuka-europe-crm.veevavault.com/ui/#object/vcountry__v/VENZ000004SONFN", "CH")</f>
        <v>CH</v>
      </c>
      <c r="C1995" s="8" t="s">
        <v>45</v>
      </c>
      <c r="D1995" s="9" t="str">
        <f>HYPERLINK("https://otsuka-europe-crm.veevavault.com/ui/#object/approved_document__v/V5O00000001L016", "ALL_Flexibilität_Ferienplanung_2026_AA_de")</f>
        <v>ALL_Flexibilität_Ferienplanung_2026_AA_de</v>
      </c>
      <c r="E1995" s="10" t="str">
        <f>HYPERLINK("https://otsuka-europe-crm.veevavault.com/ui/#object/sent_email__v/VBL000000034203", "SE-001442581")</f>
        <v>SE-001442581</v>
      </c>
      <c r="F1995" s="11"/>
      <c r="G1995" s="12">
        <v>0</v>
      </c>
      <c r="H1995" s="12">
        <v>0</v>
      </c>
      <c r="I1995" s="12">
        <v>0</v>
      </c>
      <c r="J1995" s="11"/>
      <c r="K1995" s="12">
        <v>0</v>
      </c>
      <c r="L1995" s="10" t="str">
        <f>HYPERLINK("https://otsuka-europe-crm.veevavault.com/ui/#object/approved_document__v/V5O00000001L016", "ALL_Flexibilität_Ferienplanung_2026_AA_de")</f>
        <v>ALL_Flexibilität_Ferienplanung_2026_AA_de</v>
      </c>
      <c r="M1995" s="10" t="str">
        <f>HYPERLINK("mailto:scapeder@crm.otsuka-europe.com", "scapeder@crm.otsuka-europe.com")</f>
        <v>scapeder@crm.otsuka-europe.com</v>
      </c>
      <c r="N1995" s="13">
        <v>46212.362638888888</v>
      </c>
      <c r="O1995" s="14" t="str">
        <f>HYPERLINK("https://otsuka-europe-crm.veevavault.com/ui/#object/email_activity__v/V8C000000044887", "EN-002103341")</f>
        <v>EN-002103341</v>
      </c>
    </row>
    <row r="1996" spans="1:15" ht="32" x14ac:dyDescent="0.2">
      <c r="A1996" s="7" t="str">
        <f>HYPERLINK("https://otsuka-europe-crm.veevavault.com/ui/#object/account__v/V4TZ0000062RJPO", "Christian Mikutta")</f>
        <v>Christian Mikutta</v>
      </c>
      <c r="B1996" s="7" t="str">
        <f>HYPERLINK("https://otsuka-europe-crm.veevavault.com/ui/#object/vcountry__v/VENZ000004SONFN", "CH")</f>
        <v>CH</v>
      </c>
      <c r="C1996" s="8" t="s">
        <v>45</v>
      </c>
      <c r="D1996" s="9" t="str">
        <f>HYPERLINK("https://otsuka-europe-crm.veevavault.com/ui/#object/approved_document__v/V5O00000001L016", "ALL_Flexibilität_Ferienplanung_2026_AA_de")</f>
        <v>ALL_Flexibilität_Ferienplanung_2026_AA_de</v>
      </c>
      <c r="E1996" s="10" t="str">
        <f>HYPERLINK("https://otsuka-europe-crm.veevavault.com/ui/#object/sent_email__v/VBL000000034204", "SE-001442582")</f>
        <v>SE-001442582</v>
      </c>
      <c r="F1996" s="11"/>
      <c r="G1996" s="12">
        <v>0</v>
      </c>
      <c r="H1996" s="12">
        <v>0</v>
      </c>
      <c r="I1996" s="12">
        <v>0</v>
      </c>
      <c r="J1996" s="11"/>
      <c r="K1996" s="12">
        <v>0</v>
      </c>
      <c r="L1996" s="10" t="str">
        <f>HYPERLINK("https://otsuka-europe-crm.veevavault.com/ui/#object/approved_document__v/V5O00000001L016", "ALL_Flexibilität_Ferienplanung_2026_AA_de")</f>
        <v>ALL_Flexibilität_Ferienplanung_2026_AA_de</v>
      </c>
      <c r="M1996" s="10" t="str">
        <f>HYPERLINK("mailto:scapeder@crm.otsuka-europe.com", "scapeder@crm.otsuka-europe.com")</f>
        <v>scapeder@crm.otsuka-europe.com</v>
      </c>
      <c r="N1996" s="13">
        <v>46212.362638888888</v>
      </c>
      <c r="O1996" s="14" t="str">
        <f>HYPERLINK("https://otsuka-europe-crm.veevavault.com/ui/#object/email_activity__v/V8C000000044888", "EN-002103342")</f>
        <v>EN-002103342</v>
      </c>
    </row>
    <row r="1997" spans="1:15" ht="32" x14ac:dyDescent="0.2">
      <c r="A1997" s="7" t="str">
        <f>HYPERLINK("https://otsuka-europe-crm.veevavault.com/ui/#object/account__v/V4TZ0000062R472", "Cornelius Alexander Bück")</f>
        <v>Cornelius Alexander Bück</v>
      </c>
      <c r="B1997" s="7" t="str">
        <f>HYPERLINK("https://otsuka-europe-crm.veevavault.com/ui/#object/vcountry__v/VENZ000004SONFN", "CH")</f>
        <v>CH</v>
      </c>
      <c r="C1997" s="8" t="s">
        <v>45</v>
      </c>
      <c r="D1997" s="9" t="str">
        <f>HYPERLINK("https://otsuka-europe-crm.veevavault.com/ui/#object/approved_document__v/V5O00000001L016", "ALL_Flexibilität_Ferienplanung_2026_AA_de")</f>
        <v>ALL_Flexibilität_Ferienplanung_2026_AA_de</v>
      </c>
      <c r="E1997" s="10" t="str">
        <f>HYPERLINK("https://otsuka-europe-crm.veevavault.com/ui/#object/sent_email__v/VBL000000034205", "SE-001442583")</f>
        <v>SE-001442583</v>
      </c>
      <c r="F1997" s="11"/>
      <c r="G1997" s="12">
        <v>0</v>
      </c>
      <c r="H1997" s="12">
        <v>0</v>
      </c>
      <c r="I1997" s="12">
        <v>0</v>
      </c>
      <c r="J1997" s="11"/>
      <c r="K1997" s="12">
        <v>0</v>
      </c>
      <c r="L1997" s="10" t="str">
        <f>HYPERLINK("https://otsuka-europe-crm.veevavault.com/ui/#object/approved_document__v/V5O00000001L016", "ALL_Flexibilität_Ferienplanung_2026_AA_de")</f>
        <v>ALL_Flexibilität_Ferienplanung_2026_AA_de</v>
      </c>
      <c r="M1997" s="10" t="str">
        <f>HYPERLINK("mailto:scapeder@crm.otsuka-europe.com", "scapeder@crm.otsuka-europe.com")</f>
        <v>scapeder@crm.otsuka-europe.com</v>
      </c>
      <c r="N1997" s="13">
        <v>46212.362638888888</v>
      </c>
      <c r="O1997" s="14" t="str">
        <f>HYPERLINK("https://otsuka-europe-crm.veevavault.com/ui/#object/email_activity__v/V8C000000044898", "EN-002103352")</f>
        <v>EN-002103352</v>
      </c>
    </row>
    <row r="1998" spans="1:15" ht="16" x14ac:dyDescent="0.2">
      <c r="A1998" s="18" t="str">
        <f>HYPERLINK("https://otsuka-europe-crm.veevavault.com/ui/#object/account__v/V4TZ0000062SGVF", "Christoph Wigger")</f>
        <v>Christoph Wigger</v>
      </c>
      <c r="B1998" s="18" t="str">
        <f>HYPERLINK("https://otsuka-europe-crm.veevavault.com/ui/#object/vcountry__v/VENZ000004SONFN", "CH")</f>
        <v>CH</v>
      </c>
      <c r="C1998" s="20" t="s">
        <v>45</v>
      </c>
      <c r="D1998" s="21" t="str">
        <f>HYPERLINK("https://otsuka-europe-crm.veevavault.com/ui/#object/approved_document__v/V5O00000001L016", "ALL_Flexibilität_Ferienplanung_2026_AA_de")</f>
        <v>ALL_Flexibilität_Ferienplanung_2026_AA_de</v>
      </c>
      <c r="E1998" s="22" t="str">
        <f>HYPERLINK("https://otsuka-europe-crm.veevavault.com/ui/#object/sent_email__v/VBL000000034206", "SE-001442584")</f>
        <v>SE-001442584</v>
      </c>
      <c r="F1998" s="25">
        <v>46212.362743055557</v>
      </c>
      <c r="G1998" s="24">
        <v>1</v>
      </c>
      <c r="H1998" s="24">
        <v>1</v>
      </c>
      <c r="I1998" s="24">
        <v>0</v>
      </c>
      <c r="J1998" s="23"/>
      <c r="K1998" s="24">
        <v>0</v>
      </c>
      <c r="L1998" s="22" t="str">
        <f>HYPERLINK("https://otsuka-europe-crm.veevavault.com/ui/#object/approved_document__v/V5O00000001L016", "ALL_Flexibilität_Ferienplanung_2026_AA_de")</f>
        <v>ALL_Flexibilität_Ferienplanung_2026_AA_de</v>
      </c>
      <c r="M1998" s="22" t="str">
        <f>HYPERLINK("mailto:scapeder@crm.otsuka-europe.com", "scapeder@crm.otsuka-europe.com")</f>
        <v>scapeder@crm.otsuka-europe.com</v>
      </c>
      <c r="N1998" s="25">
        <v>46212.362638888888</v>
      </c>
      <c r="O1998" s="14" t="str">
        <f>HYPERLINK("https://otsuka-europe-crm.veevavault.com/ui/#object/email_activity__v/V8C000000044886", "EN-002103340")</f>
        <v>EN-002103340</v>
      </c>
    </row>
    <row r="1999" spans="1:15" ht="16" x14ac:dyDescent="0.2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19"/>
      <c r="L1999" s="19"/>
      <c r="M1999" s="19"/>
      <c r="N1999" s="19"/>
      <c r="O1999" s="14" t="str">
        <f>HYPERLINK("https://otsuka-europe-crm.veevavault.com/ui/#object/email_activity__v/V8C000000044892", "EN-002103346")</f>
        <v>EN-002103346</v>
      </c>
    </row>
    <row r="2000" spans="1:15" ht="64" x14ac:dyDescent="0.2">
      <c r="A2000" s="7" t="str">
        <f>HYPERLINK("https://otsuka-europe-crm.veevavault.com/ui/#object/account__v/V4TZ06G6O71T74T", "FRANZ MARCELO FERNANDEZ RODRIGUEZ")</f>
        <v>FRANZ MARCELO FERNANDEZ RODRIGUEZ</v>
      </c>
      <c r="B2000" s="7" t="str">
        <f>HYPERLINK("https://otsuka-europe-crm.veevavault.com/ui/#object/vcountry__v/VENZ000004SONF5", "ES")</f>
        <v>ES</v>
      </c>
      <c r="C2000" s="8" t="s">
        <v>39</v>
      </c>
      <c r="D200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000" s="10" t="str">
        <f>HYPERLINK("https://otsuka-europe-crm.veevavault.com/ui/#object/sent_email__v/VBL000000032257", "SE-001442585")</f>
        <v>SE-001442585</v>
      </c>
      <c r="F2000" s="11"/>
      <c r="G2000" s="12">
        <v>0</v>
      </c>
      <c r="H2000" s="12">
        <v>0</v>
      </c>
      <c r="I2000" s="12">
        <v>0</v>
      </c>
      <c r="J2000" s="11"/>
      <c r="K2000" s="12">
        <v>0</v>
      </c>
      <c r="L200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000" s="10" t="str">
        <f>HYPERLINK("mailto:pmartinez@crm.otsuka-europe.com", "pmartinez@crm.otsuka-europe.com")</f>
        <v>pmartinez@crm.otsuka-europe.com</v>
      </c>
      <c r="N2000" s="13">
        <v>46212.362986111111</v>
      </c>
      <c r="O2000" s="14" t="str">
        <f>HYPERLINK("https://otsuka-europe-crm.veevavault.com/ui/#object/email_activity__v/V8C000000044900", "EN-002103354")</f>
        <v>EN-002103354</v>
      </c>
    </row>
    <row r="2001" spans="1:15" ht="16" x14ac:dyDescent="0.2">
      <c r="A2001" s="18" t="str">
        <f>HYPERLINK("https://otsuka-europe-crm.veevavault.com/ui/#object/account__v/V4TZ06G6O9BKSTY", "Estelle Rollin-Simon")</f>
        <v>Estelle Rollin-Simon</v>
      </c>
      <c r="B2001" s="18" t="str">
        <f>HYPERLINK("https://otsuka-europe-crm.veevavault.com/ui/#object/vcountry__v/VENZ000004SONFN", "CH")</f>
        <v>CH</v>
      </c>
      <c r="C2001" s="20" t="s">
        <v>45</v>
      </c>
      <c r="D2001" s="21" t="str">
        <f>HYPERLINK("https://otsuka-europe-crm.veevavault.com/ui/#object/approved_document__v/V5O00000001L016", "ALL_Flexibilität_Ferienplanung_2026_AA_de")</f>
        <v>ALL_Flexibilität_Ferienplanung_2026_AA_de</v>
      </c>
      <c r="E2001" s="22" t="str">
        <f>HYPERLINK("https://otsuka-europe-crm.veevavault.com/ui/#object/sent_email__v/VBL000000034207", "SE-001442586")</f>
        <v>SE-001442586</v>
      </c>
      <c r="F2001" s="25">
        <v>46212.363657407404</v>
      </c>
      <c r="G2001" s="24">
        <v>1</v>
      </c>
      <c r="H2001" s="24">
        <v>1</v>
      </c>
      <c r="I2001" s="24">
        <v>0</v>
      </c>
      <c r="J2001" s="23"/>
      <c r="K2001" s="24">
        <v>0</v>
      </c>
      <c r="L2001" s="22" t="str">
        <f>HYPERLINK("https://otsuka-europe-crm.veevavault.com/ui/#object/approved_document__v/V5O00000001L016", "ALL_Flexibilität_Ferienplanung_2026_AA_de")</f>
        <v>ALL_Flexibilität_Ferienplanung_2026_AA_de</v>
      </c>
      <c r="M2001" s="22" t="str">
        <f>HYPERLINK("mailto:scapeder@crm.otsuka-europe.com", "scapeder@crm.otsuka-europe.com")</f>
        <v>scapeder@crm.otsuka-europe.com</v>
      </c>
      <c r="N2001" s="25">
        <v>46212.363518518519</v>
      </c>
      <c r="O2001" s="14" t="str">
        <f>HYPERLINK("https://otsuka-europe-crm.veevavault.com/ui/#object/email_activity__v/V8C000000044911", "EN-002103365")</f>
        <v>EN-002103365</v>
      </c>
    </row>
    <row r="2002" spans="1:15" ht="16" x14ac:dyDescent="0.2">
      <c r="A2002" s="19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19"/>
      <c r="N2002" s="19"/>
      <c r="O2002" s="14" t="str">
        <f>HYPERLINK("https://otsuka-europe-crm.veevavault.com/ui/#object/email_activity__v/V8C000000044913", "EN-002103367")</f>
        <v>EN-002103367</v>
      </c>
    </row>
    <row r="2003" spans="1:15" ht="32" x14ac:dyDescent="0.2">
      <c r="A2003" s="7" t="str">
        <f>HYPERLINK("https://otsuka-europe-crm.veevavault.com/ui/#object/account__v/V4TZ06G6O8TC022", "Elias Hollatz")</f>
        <v>Elias Hollatz</v>
      </c>
      <c r="B2003" s="7" t="str">
        <f t="shared" ref="B2003:B2008" si="56">HYPERLINK("https://otsuka-europe-crm.veevavault.com/ui/#object/vcountry__v/VENZ000004SONFN", "CH")</f>
        <v>CH</v>
      </c>
      <c r="C2003" s="8" t="s">
        <v>45</v>
      </c>
      <c r="D2003" s="9" t="str">
        <f t="shared" ref="D2003:D2008" si="57">HYPERLINK("https://otsuka-europe-crm.veevavault.com/ui/#object/approved_document__v/V5O00000001L016", "ALL_Flexibilität_Ferienplanung_2026_AA_de")</f>
        <v>ALL_Flexibilität_Ferienplanung_2026_AA_de</v>
      </c>
      <c r="E2003" s="10" t="str">
        <f>HYPERLINK("https://otsuka-europe-crm.veevavault.com/ui/#object/sent_email__v/VBL000000034208", "SE-001442587")</f>
        <v>SE-001442587</v>
      </c>
      <c r="F2003" s="11"/>
      <c r="G2003" s="12">
        <v>0</v>
      </c>
      <c r="H2003" s="12">
        <v>0</v>
      </c>
      <c r="I2003" s="12">
        <v>0</v>
      </c>
      <c r="J2003" s="11"/>
      <c r="K2003" s="12">
        <v>0</v>
      </c>
      <c r="L2003" s="10" t="str">
        <f t="shared" ref="L2003:L2008" si="58">HYPERLINK("https://otsuka-europe-crm.veevavault.com/ui/#object/approved_document__v/V5O00000001L016", "ALL_Flexibilität_Ferienplanung_2026_AA_de")</f>
        <v>ALL_Flexibilität_Ferienplanung_2026_AA_de</v>
      </c>
      <c r="M2003" s="10" t="str">
        <f t="shared" ref="M2003:M2008" si="59">HYPERLINK("mailto:scapeder@crm.otsuka-europe.com", "scapeder@crm.otsuka-europe.com")</f>
        <v>scapeder@crm.otsuka-europe.com</v>
      </c>
      <c r="N2003" s="13">
        <v>46212.363518518519</v>
      </c>
      <c r="O2003" s="14" t="str">
        <f>HYPERLINK("https://otsuka-europe-crm.veevavault.com/ui/#object/email_activity__v/V8C000000044910", "EN-002103364")</f>
        <v>EN-002103364</v>
      </c>
    </row>
    <row r="2004" spans="1:15" ht="32" x14ac:dyDescent="0.2">
      <c r="A2004" s="7" t="str">
        <f>HYPERLINK("https://otsuka-europe-crm.veevavault.com/ui/#object/account__v/V4TZ06G6OBI6GYN", "Evelyne Rechsteiner")</f>
        <v>Evelyne Rechsteiner</v>
      </c>
      <c r="B2004" s="7" t="str">
        <f t="shared" si="56"/>
        <v>CH</v>
      </c>
      <c r="C2004" s="8" t="s">
        <v>45</v>
      </c>
      <c r="D2004" s="9" t="str">
        <f t="shared" si="57"/>
        <v>ALL_Flexibilität_Ferienplanung_2026_AA_de</v>
      </c>
      <c r="E2004" s="10" t="str">
        <f>HYPERLINK("https://otsuka-europe-crm.veevavault.com/ui/#object/sent_email__v/VBL000000034209", "SE-001442588")</f>
        <v>SE-001442588</v>
      </c>
      <c r="F2004" s="11"/>
      <c r="G2004" s="12">
        <v>0</v>
      </c>
      <c r="H2004" s="12">
        <v>0</v>
      </c>
      <c r="I2004" s="12">
        <v>0</v>
      </c>
      <c r="J2004" s="11"/>
      <c r="K2004" s="12">
        <v>0</v>
      </c>
      <c r="L2004" s="10" t="str">
        <f t="shared" si="58"/>
        <v>ALL_Flexibilität_Ferienplanung_2026_AA_de</v>
      </c>
      <c r="M2004" s="10" t="str">
        <f t="shared" si="59"/>
        <v>scapeder@crm.otsuka-europe.com</v>
      </c>
      <c r="N2004" s="13">
        <v>46212.363518518519</v>
      </c>
      <c r="O2004" s="14" t="str">
        <f>HYPERLINK("https://otsuka-europe-crm.veevavault.com/ui/#object/email_activity__v/V8C000000044907", "EN-002103361")</f>
        <v>EN-002103361</v>
      </c>
    </row>
    <row r="2005" spans="1:15" ht="32" x14ac:dyDescent="0.2">
      <c r="A2005" s="7" t="str">
        <f>HYPERLINK("https://otsuka-europe-crm.veevavault.com/ui/#object/account__v/V4TZ04ASGCYQ9VK", "Frank Heitzler")</f>
        <v>Frank Heitzler</v>
      </c>
      <c r="B2005" s="7" t="str">
        <f t="shared" si="56"/>
        <v>CH</v>
      </c>
      <c r="C2005" s="8" t="s">
        <v>45</v>
      </c>
      <c r="D2005" s="9" t="str">
        <f t="shared" si="57"/>
        <v>ALL_Flexibilität_Ferienplanung_2026_AA_de</v>
      </c>
      <c r="E2005" s="10" t="str">
        <f>HYPERLINK("https://otsuka-europe-crm.veevavault.com/ui/#object/sent_email__v/VBL000000034210", "SE-001442589")</f>
        <v>SE-001442589</v>
      </c>
      <c r="F2005" s="11"/>
      <c r="G2005" s="12">
        <v>0</v>
      </c>
      <c r="H2005" s="12">
        <v>0</v>
      </c>
      <c r="I2005" s="12">
        <v>0</v>
      </c>
      <c r="J2005" s="11"/>
      <c r="K2005" s="12">
        <v>0</v>
      </c>
      <c r="L2005" s="10" t="str">
        <f t="shared" si="58"/>
        <v>ALL_Flexibilität_Ferienplanung_2026_AA_de</v>
      </c>
      <c r="M2005" s="10" t="str">
        <f t="shared" si="59"/>
        <v>scapeder@crm.otsuka-europe.com</v>
      </c>
      <c r="N2005" s="13">
        <v>46212.363518518519</v>
      </c>
      <c r="O2005" s="14" t="str">
        <f>HYPERLINK("https://otsuka-europe-crm.veevavault.com/ui/#object/email_activity__v/V8C000000044912", "EN-002103366")</f>
        <v>EN-002103366</v>
      </c>
    </row>
    <row r="2006" spans="1:15" ht="32" x14ac:dyDescent="0.2">
      <c r="A2006" s="7" t="str">
        <f>HYPERLINK("https://otsuka-europe-crm.veevavault.com/ui/#object/account__v/V4TZ0000062SGFO", "Dusica Simic-Stevanovic")</f>
        <v>Dusica Simic-Stevanovic</v>
      </c>
      <c r="B2006" s="7" t="str">
        <f t="shared" si="56"/>
        <v>CH</v>
      </c>
      <c r="C2006" s="8" t="s">
        <v>45</v>
      </c>
      <c r="D2006" s="9" t="str">
        <f t="shared" si="57"/>
        <v>ALL_Flexibilität_Ferienplanung_2026_AA_de</v>
      </c>
      <c r="E2006" s="10" t="str">
        <f>HYPERLINK("https://otsuka-europe-crm.veevavault.com/ui/#object/sent_email__v/VBL000000034211", "SE-001442590")</f>
        <v>SE-001442590</v>
      </c>
      <c r="F2006" s="11"/>
      <c r="G2006" s="12">
        <v>0</v>
      </c>
      <c r="H2006" s="12">
        <v>0</v>
      </c>
      <c r="I2006" s="12">
        <v>0</v>
      </c>
      <c r="J2006" s="11"/>
      <c r="K2006" s="12">
        <v>0</v>
      </c>
      <c r="L2006" s="10" t="str">
        <f t="shared" si="58"/>
        <v>ALL_Flexibilität_Ferienplanung_2026_AA_de</v>
      </c>
      <c r="M2006" s="10" t="str">
        <f t="shared" si="59"/>
        <v>scapeder@crm.otsuka-europe.com</v>
      </c>
      <c r="N2006" s="13">
        <v>46212.363506944443</v>
      </c>
      <c r="O2006" s="14" t="str">
        <f>HYPERLINK("https://otsuka-europe-crm.veevavault.com/ui/#object/email_activity__v/V8C000000044904", "EN-002103358")</f>
        <v>EN-002103358</v>
      </c>
    </row>
    <row r="2007" spans="1:15" ht="32" x14ac:dyDescent="0.2">
      <c r="A2007" s="7" t="str">
        <f>HYPERLINK("https://otsuka-europe-crm.veevavault.com/ui/#object/account__v/V4TZ0000062R68A", "Eva-Maria Pichler")</f>
        <v>Eva-Maria Pichler</v>
      </c>
      <c r="B2007" s="7" t="str">
        <f t="shared" si="56"/>
        <v>CH</v>
      </c>
      <c r="C2007" s="8" t="s">
        <v>45</v>
      </c>
      <c r="D2007" s="9" t="str">
        <f t="shared" si="57"/>
        <v>ALL_Flexibilität_Ferienplanung_2026_AA_de</v>
      </c>
      <c r="E2007" s="10" t="str">
        <f>HYPERLINK("https://otsuka-europe-crm.veevavault.com/ui/#object/sent_email__v/VBL000000034212", "SE-001442591")</f>
        <v>SE-001442591</v>
      </c>
      <c r="F2007" s="11"/>
      <c r="G2007" s="12">
        <v>0</v>
      </c>
      <c r="H2007" s="12">
        <v>0</v>
      </c>
      <c r="I2007" s="12">
        <v>0</v>
      </c>
      <c r="J2007" s="11"/>
      <c r="K2007" s="12">
        <v>0</v>
      </c>
      <c r="L2007" s="10" t="str">
        <f t="shared" si="58"/>
        <v>ALL_Flexibilität_Ferienplanung_2026_AA_de</v>
      </c>
      <c r="M2007" s="10" t="str">
        <f t="shared" si="59"/>
        <v>scapeder@crm.otsuka-europe.com</v>
      </c>
      <c r="N2007" s="13">
        <v>46212.363506944443</v>
      </c>
      <c r="O2007" s="14" t="str">
        <f>HYPERLINK("https://otsuka-europe-crm.veevavault.com/ui/#object/email_activity__v/V8C000000044903", "EN-002103357")</f>
        <v>EN-002103357</v>
      </c>
    </row>
    <row r="2008" spans="1:15" ht="16" x14ac:dyDescent="0.2">
      <c r="A2008" s="18" t="str">
        <f>HYPERLINK("https://otsuka-europe-crm.veevavault.com/ui/#object/account__v/V4TZ0000062R5WH", "Evgeniy Perlov")</f>
        <v>Evgeniy Perlov</v>
      </c>
      <c r="B2008" s="18" t="str">
        <f t="shared" si="56"/>
        <v>CH</v>
      </c>
      <c r="C2008" s="20" t="s">
        <v>45</v>
      </c>
      <c r="D2008" s="21" t="str">
        <f t="shared" si="57"/>
        <v>ALL_Flexibilität_Ferienplanung_2026_AA_de</v>
      </c>
      <c r="E2008" s="22" t="str">
        <f>HYPERLINK("https://otsuka-europe-crm.veevavault.com/ui/#object/sent_email__v/VBL000000034213", "SE-001442592")</f>
        <v>SE-001442592</v>
      </c>
      <c r="F2008" s="25">
        <v>46212.429062499999</v>
      </c>
      <c r="G2008" s="24">
        <v>1</v>
      </c>
      <c r="H2008" s="24">
        <v>1</v>
      </c>
      <c r="I2008" s="24">
        <v>0</v>
      </c>
      <c r="J2008" s="23"/>
      <c r="K2008" s="24">
        <v>0</v>
      </c>
      <c r="L2008" s="22" t="str">
        <f t="shared" si="58"/>
        <v>ALL_Flexibilität_Ferienplanung_2026_AA_de</v>
      </c>
      <c r="M2008" s="22" t="str">
        <f t="shared" si="59"/>
        <v>scapeder@crm.otsuka-europe.com</v>
      </c>
      <c r="N2008" s="25">
        <v>46212.363506944443</v>
      </c>
      <c r="O2008" s="14" t="str">
        <f>HYPERLINK("https://otsuka-europe-crm.veevavault.com/ui/#object/email_activity__v/V8C000000043991", "EN-002103794")</f>
        <v>EN-002103794</v>
      </c>
    </row>
    <row r="2009" spans="1:15" ht="16" x14ac:dyDescent="0.2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19"/>
      <c r="L2009" s="19"/>
      <c r="M2009" s="19"/>
      <c r="N2009" s="19"/>
      <c r="O2009" s="14" t="str">
        <f>HYPERLINK("https://otsuka-europe-crm.veevavault.com/ui/#object/email_activity__v/V8C000000044902", "EN-002103356")</f>
        <v>EN-002103356</v>
      </c>
    </row>
    <row r="2010" spans="1:15" ht="16" x14ac:dyDescent="0.2">
      <c r="A2010" s="18" t="str">
        <f>HYPERLINK("https://otsuka-europe-crm.veevavault.com/ui/#object/account__v/V4TZ0000062R88F", "Dieter Leonhardt")</f>
        <v>Dieter Leonhardt</v>
      </c>
      <c r="B2010" s="18" t="str">
        <f>HYPERLINK("https://otsuka-europe-crm.veevavault.com/ui/#object/vcountry__v/VENZ000004SONFN", "CH")</f>
        <v>CH</v>
      </c>
      <c r="C2010" s="20" t="s">
        <v>45</v>
      </c>
      <c r="D2010" s="21" t="str">
        <f>HYPERLINK("https://otsuka-europe-crm.veevavault.com/ui/#object/approved_document__v/V5O00000001L016", "ALL_Flexibilität_Ferienplanung_2026_AA_de")</f>
        <v>ALL_Flexibilität_Ferienplanung_2026_AA_de</v>
      </c>
      <c r="E2010" s="22" t="str">
        <f>HYPERLINK("https://otsuka-europe-crm.veevavault.com/ui/#object/sent_email__v/VBL000000034214", "SE-001442593")</f>
        <v>SE-001442593</v>
      </c>
      <c r="F2010" s="25">
        <v>46212.746782407405</v>
      </c>
      <c r="G2010" s="24">
        <v>1</v>
      </c>
      <c r="H2010" s="24">
        <v>12</v>
      </c>
      <c r="I2010" s="24">
        <v>0</v>
      </c>
      <c r="J2010" s="23"/>
      <c r="K2010" s="24">
        <v>0</v>
      </c>
      <c r="L2010" s="22" t="str">
        <f>HYPERLINK("https://otsuka-europe-crm.veevavault.com/ui/#object/approved_document__v/V5O00000001L016", "ALL_Flexibilität_Ferienplanung_2026_AA_de")</f>
        <v>ALL_Flexibilität_Ferienplanung_2026_AA_de</v>
      </c>
      <c r="M2010" s="22" t="str">
        <f>HYPERLINK("mailto:scapeder@crm.otsuka-europe.com", "scapeder@crm.otsuka-europe.com")</f>
        <v>scapeder@crm.otsuka-europe.com</v>
      </c>
      <c r="N2010" s="25">
        <v>46212.363506944443</v>
      </c>
      <c r="O2010" s="14" t="str">
        <f>HYPERLINK("https://otsuka-europe-crm.veevavault.com/ui/#object/email_activity__v/V8C000000043974", "EN-002103764")</f>
        <v>EN-002103764</v>
      </c>
    </row>
    <row r="2011" spans="1:15" ht="16" x14ac:dyDescent="0.2">
      <c r="A2011" s="26"/>
      <c r="B2011" s="26"/>
      <c r="C2011" s="26"/>
      <c r="D2011" s="26"/>
      <c r="E2011" s="26"/>
      <c r="F2011" s="26"/>
      <c r="G2011" s="26"/>
      <c r="H2011" s="26"/>
      <c r="I2011" s="26"/>
      <c r="J2011" s="26"/>
      <c r="K2011" s="26"/>
      <c r="L2011" s="26"/>
      <c r="M2011" s="26"/>
      <c r="N2011" s="26"/>
      <c r="O2011" s="14" t="str">
        <f>HYPERLINK("https://otsuka-europe-crm.veevavault.com/ui/#object/email_activity__v/V8C000000044908", "EN-002103362")</f>
        <v>EN-002103362</v>
      </c>
    </row>
    <row r="2012" spans="1:15" ht="16" x14ac:dyDescent="0.2">
      <c r="A2012" s="26"/>
      <c r="B2012" s="26"/>
      <c r="C2012" s="26"/>
      <c r="D2012" s="26"/>
      <c r="E2012" s="26"/>
      <c r="F2012" s="26"/>
      <c r="G2012" s="26"/>
      <c r="H2012" s="26"/>
      <c r="I2012" s="26"/>
      <c r="J2012" s="26"/>
      <c r="K2012" s="26"/>
      <c r="L2012" s="26"/>
      <c r="M2012" s="26"/>
      <c r="N2012" s="26"/>
      <c r="O2012" s="14" t="str">
        <f>HYPERLINK("https://otsuka-europe-crm.veevavault.com/ui/#object/email_activity__v/V8C000000044921", "EN-002103375")</f>
        <v>EN-002103375</v>
      </c>
    </row>
    <row r="2013" spans="1:15" ht="16" x14ac:dyDescent="0.2">
      <c r="A2013" s="26"/>
      <c r="B2013" s="26"/>
      <c r="C2013" s="26"/>
      <c r="D2013" s="26"/>
      <c r="E2013" s="26"/>
      <c r="F2013" s="26"/>
      <c r="G2013" s="26"/>
      <c r="H2013" s="26"/>
      <c r="I2013" s="26"/>
      <c r="J2013" s="26"/>
      <c r="K2013" s="26"/>
      <c r="L2013" s="26"/>
      <c r="M2013" s="26"/>
      <c r="N2013" s="26"/>
      <c r="O2013" s="14" t="str">
        <f>HYPERLINK("https://otsuka-europe-crm.veevavault.com/ui/#object/email_activity__v/V8C000000044973", "EN-002103438")</f>
        <v>EN-002103438</v>
      </c>
    </row>
    <row r="2014" spans="1:15" ht="16" x14ac:dyDescent="0.2">
      <c r="A2014" s="26"/>
      <c r="B2014" s="26"/>
      <c r="C2014" s="26"/>
      <c r="D2014" s="26"/>
      <c r="E2014" s="26"/>
      <c r="F2014" s="26"/>
      <c r="G2014" s="26"/>
      <c r="H2014" s="26"/>
      <c r="I2014" s="26"/>
      <c r="J2014" s="26"/>
      <c r="K2014" s="26"/>
      <c r="L2014" s="26"/>
      <c r="M2014" s="26"/>
      <c r="N2014" s="26"/>
      <c r="O2014" s="14" t="str">
        <f>HYPERLINK("https://otsuka-europe-crm.veevavault.com/ui/#object/email_activity__v/V8C000000044974", "EN-002103439")</f>
        <v>EN-002103439</v>
      </c>
    </row>
    <row r="2015" spans="1:15" ht="16" x14ac:dyDescent="0.2">
      <c r="A2015" s="26"/>
      <c r="B2015" s="26"/>
      <c r="C2015" s="26"/>
      <c r="D2015" s="26"/>
      <c r="E2015" s="26"/>
      <c r="F2015" s="26"/>
      <c r="G2015" s="26"/>
      <c r="H2015" s="26"/>
      <c r="I2015" s="26"/>
      <c r="J2015" s="26"/>
      <c r="K2015" s="26"/>
      <c r="L2015" s="26"/>
      <c r="M2015" s="26"/>
      <c r="N2015" s="26"/>
      <c r="O2015" s="14" t="str">
        <f>HYPERLINK("https://otsuka-europe-crm.veevavault.com/ui/#object/email_activity__v/V8C000000045206", "EN-002103671")</f>
        <v>EN-002103671</v>
      </c>
    </row>
    <row r="2016" spans="1:15" ht="16" x14ac:dyDescent="0.2">
      <c r="A2016" s="26"/>
      <c r="B2016" s="26"/>
      <c r="C2016" s="26"/>
      <c r="D2016" s="26"/>
      <c r="E2016" s="26"/>
      <c r="F2016" s="26"/>
      <c r="G2016" s="26"/>
      <c r="H2016" s="26"/>
      <c r="I2016" s="26"/>
      <c r="J2016" s="26"/>
      <c r="K2016" s="26"/>
      <c r="L2016" s="26"/>
      <c r="M2016" s="26"/>
      <c r="N2016" s="26"/>
      <c r="O2016" s="14" t="str">
        <f>HYPERLINK("https://otsuka-europe-crm.veevavault.com/ui/#object/email_activity__v/V8C000000045207", "EN-002103672")</f>
        <v>EN-002103672</v>
      </c>
    </row>
    <row r="2017" spans="1:15" ht="16" x14ac:dyDescent="0.2">
      <c r="A2017" s="26"/>
      <c r="B2017" s="26"/>
      <c r="C2017" s="26"/>
      <c r="D2017" s="26"/>
      <c r="E2017" s="26"/>
      <c r="F2017" s="26"/>
      <c r="G2017" s="26"/>
      <c r="H2017" s="26"/>
      <c r="I2017" s="26"/>
      <c r="J2017" s="26"/>
      <c r="K2017" s="26"/>
      <c r="L2017" s="26"/>
      <c r="M2017" s="26"/>
      <c r="N2017" s="26"/>
      <c r="O2017" s="14" t="str">
        <f>HYPERLINK("https://otsuka-europe-crm.veevavault.com/ui/#object/email_activity__v/V8C000000045256", "EN-002103809")</f>
        <v>EN-002103809</v>
      </c>
    </row>
    <row r="2018" spans="1:15" ht="16" x14ac:dyDescent="0.2">
      <c r="A2018" s="26"/>
      <c r="B2018" s="26"/>
      <c r="C2018" s="26"/>
      <c r="D2018" s="26"/>
      <c r="E2018" s="26"/>
      <c r="F2018" s="26"/>
      <c r="G2018" s="26"/>
      <c r="H2018" s="26"/>
      <c r="I2018" s="26"/>
      <c r="J2018" s="26"/>
      <c r="K2018" s="26"/>
      <c r="L2018" s="26"/>
      <c r="M2018" s="26"/>
      <c r="N2018" s="26"/>
      <c r="O2018" s="14" t="str">
        <f>HYPERLINK("https://otsuka-europe-crm.veevavault.com/ui/#object/email_activity__v/V8C000000045408", "EN-002104155")</f>
        <v>EN-002104155</v>
      </c>
    </row>
    <row r="2019" spans="1:15" ht="16" x14ac:dyDescent="0.2">
      <c r="A2019" s="26"/>
      <c r="B2019" s="26"/>
      <c r="C2019" s="26"/>
      <c r="D2019" s="26"/>
      <c r="E2019" s="26"/>
      <c r="F2019" s="26"/>
      <c r="G2019" s="26"/>
      <c r="H2019" s="26"/>
      <c r="I2019" s="26"/>
      <c r="J2019" s="26"/>
      <c r="K2019" s="26"/>
      <c r="L2019" s="26"/>
      <c r="M2019" s="26"/>
      <c r="N2019" s="26"/>
      <c r="O2019" s="14" t="str">
        <f>HYPERLINK("https://otsuka-europe-crm.veevavault.com/ui/#object/email_activity__v/V8C000000046003", "EN-002103813")</f>
        <v>EN-002103813</v>
      </c>
    </row>
    <row r="2020" spans="1:15" ht="16" x14ac:dyDescent="0.2">
      <c r="A2020" s="26"/>
      <c r="B2020" s="26"/>
      <c r="C2020" s="26"/>
      <c r="D2020" s="26"/>
      <c r="E2020" s="26"/>
      <c r="F2020" s="26"/>
      <c r="G2020" s="26"/>
      <c r="H2020" s="26"/>
      <c r="I2020" s="26"/>
      <c r="J2020" s="26"/>
      <c r="K2020" s="26"/>
      <c r="L2020" s="26"/>
      <c r="M2020" s="26"/>
      <c r="N2020" s="26"/>
      <c r="O2020" s="14" t="str">
        <f>HYPERLINK("https://otsuka-europe-crm.veevavault.com/ui/#object/email_activity__v/V8C000000046064", "EN-002103954")</f>
        <v>EN-002103954</v>
      </c>
    </row>
    <row r="2021" spans="1:15" ht="16" x14ac:dyDescent="0.2">
      <c r="A2021" s="26"/>
      <c r="B2021" s="26"/>
      <c r="C2021" s="26"/>
      <c r="D2021" s="26"/>
      <c r="E2021" s="26"/>
      <c r="F2021" s="26"/>
      <c r="G2021" s="26"/>
      <c r="H2021" s="26"/>
      <c r="I2021" s="26"/>
      <c r="J2021" s="26"/>
      <c r="K2021" s="26"/>
      <c r="L2021" s="26"/>
      <c r="M2021" s="26"/>
      <c r="N2021" s="26"/>
      <c r="O2021" s="14" t="str">
        <f>HYPERLINK("https://otsuka-europe-crm.veevavault.com/ui/#object/email_activity__v/V8C000000046065", "EN-002103955")</f>
        <v>EN-002103955</v>
      </c>
    </row>
    <row r="2022" spans="1:15" ht="16" x14ac:dyDescent="0.2">
      <c r="A2022" s="26"/>
      <c r="B2022" s="26"/>
      <c r="C2022" s="26"/>
      <c r="D2022" s="26"/>
      <c r="E2022" s="26"/>
      <c r="F2022" s="26"/>
      <c r="G2022" s="26"/>
      <c r="H2022" s="26"/>
      <c r="I2022" s="26"/>
      <c r="J2022" s="26"/>
      <c r="K2022" s="26"/>
      <c r="L2022" s="26"/>
      <c r="M2022" s="26"/>
      <c r="N2022" s="26"/>
      <c r="O2022" s="14" t="str">
        <f>HYPERLINK("https://otsuka-europe-crm.veevavault.com/ui/#object/email_activity__v/V8C000000046066", "EN-002103956")</f>
        <v>EN-002103956</v>
      </c>
    </row>
    <row r="2023" spans="1:15" ht="16" x14ac:dyDescent="0.2">
      <c r="A2023" s="19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19"/>
      <c r="N2023" s="19"/>
      <c r="O2023" s="14" t="str">
        <f>HYPERLINK("https://otsuka-europe-crm.veevavault.com/ui/#object/email_activity__v/V8C000000047017", "EN-002104187")</f>
        <v>EN-002104187</v>
      </c>
    </row>
    <row r="2024" spans="1:15" ht="32" x14ac:dyDescent="0.2">
      <c r="A2024" s="7" t="str">
        <f>HYPERLINK("https://otsuka-europe-crm.veevavault.com/ui/#object/account__v/V4TZ0000062R3YV", "Dusica Arsic")</f>
        <v>Dusica Arsic</v>
      </c>
      <c r="B2024" s="7" t="str">
        <f t="shared" ref="B2024:B2030" si="60">HYPERLINK("https://otsuka-europe-crm.veevavault.com/ui/#object/vcountry__v/VENZ000004SONFN", "CH")</f>
        <v>CH</v>
      </c>
      <c r="C2024" s="8" t="s">
        <v>45</v>
      </c>
      <c r="D2024" s="9" t="str">
        <f t="shared" ref="D2024:D2030" si="61">HYPERLINK("https://otsuka-europe-crm.veevavault.com/ui/#object/approved_document__v/V5O00000001L016", "ALL_Flexibilität_Ferienplanung_2026_AA_de")</f>
        <v>ALL_Flexibilität_Ferienplanung_2026_AA_de</v>
      </c>
      <c r="E2024" s="10" t="str">
        <f>HYPERLINK("https://otsuka-europe-crm.veevavault.com/ui/#object/sent_email__v/VBL000000034215", "SE-001442594")</f>
        <v>SE-001442594</v>
      </c>
      <c r="F2024" s="11"/>
      <c r="G2024" s="12">
        <v>0</v>
      </c>
      <c r="H2024" s="12">
        <v>0</v>
      </c>
      <c r="I2024" s="12">
        <v>0</v>
      </c>
      <c r="J2024" s="11"/>
      <c r="K2024" s="12">
        <v>0</v>
      </c>
      <c r="L2024" s="10" t="str">
        <f t="shared" ref="L2024:L2030" si="62">HYPERLINK("https://otsuka-europe-crm.veevavault.com/ui/#object/approved_document__v/V5O00000001L016", "ALL_Flexibilität_Ferienplanung_2026_AA_de")</f>
        <v>ALL_Flexibilität_Ferienplanung_2026_AA_de</v>
      </c>
      <c r="M2024" s="10" t="str">
        <f t="shared" ref="M2024:M2030" si="63">HYPERLINK("mailto:scapeder@crm.otsuka-europe.com", "scapeder@crm.otsuka-europe.com")</f>
        <v>scapeder@crm.otsuka-europe.com</v>
      </c>
      <c r="N2024" s="13">
        <v>46212.363506944443</v>
      </c>
      <c r="O2024" s="14" t="str">
        <f>HYPERLINK("https://otsuka-europe-crm.veevavault.com/ui/#object/email_activity__v/V8C000000044909", "EN-002103363")</f>
        <v>EN-002103363</v>
      </c>
    </row>
    <row r="2025" spans="1:15" ht="32" x14ac:dyDescent="0.2">
      <c r="A2025" s="7" t="str">
        <f>HYPERLINK("https://otsuka-europe-crm.veevavault.com/ui/#object/account__v/V4TZ06G6OBI6FIP", "Denis Kenzin")</f>
        <v>Denis Kenzin</v>
      </c>
      <c r="B2025" s="7" t="str">
        <f t="shared" si="60"/>
        <v>CH</v>
      </c>
      <c r="C2025" s="8" t="s">
        <v>45</v>
      </c>
      <c r="D2025" s="9" t="str">
        <f t="shared" si="61"/>
        <v>ALL_Flexibilität_Ferienplanung_2026_AA_de</v>
      </c>
      <c r="E2025" s="10" t="str">
        <f>HYPERLINK("https://otsuka-europe-crm.veevavault.com/ui/#object/sent_email__v/VBL000000034216", "SE-001442595")</f>
        <v>SE-001442595</v>
      </c>
      <c r="F2025" s="11"/>
      <c r="G2025" s="12">
        <v>0</v>
      </c>
      <c r="H2025" s="12">
        <v>0</v>
      </c>
      <c r="I2025" s="12">
        <v>0</v>
      </c>
      <c r="J2025" s="11"/>
      <c r="K2025" s="12">
        <v>0</v>
      </c>
      <c r="L2025" s="10" t="str">
        <f t="shared" si="62"/>
        <v>ALL_Flexibilität_Ferienplanung_2026_AA_de</v>
      </c>
      <c r="M2025" s="10" t="str">
        <f t="shared" si="63"/>
        <v>scapeder@crm.otsuka-europe.com</v>
      </c>
      <c r="N2025" s="13">
        <v>46212.363506944443</v>
      </c>
      <c r="O2025" s="14" t="str">
        <f>HYPERLINK("https://otsuka-europe-crm.veevavault.com/ui/#object/email_activity__v/V8C000000044905", "EN-002103359")</f>
        <v>EN-002103359</v>
      </c>
    </row>
    <row r="2026" spans="1:15" ht="32" x14ac:dyDescent="0.2">
      <c r="A2026" s="7" t="str">
        <f>HYPERLINK("https://otsuka-europe-crm.veevavault.com/ui/#object/account__v/V4TZ06G6OC91URY", "David Gurrea Salas")</f>
        <v>David Gurrea Salas</v>
      </c>
      <c r="B2026" s="7" t="str">
        <f t="shared" si="60"/>
        <v>CH</v>
      </c>
      <c r="C2026" s="8" t="s">
        <v>45</v>
      </c>
      <c r="D2026" s="9" t="str">
        <f t="shared" si="61"/>
        <v>ALL_Flexibilität_Ferienplanung_2026_AA_de</v>
      </c>
      <c r="E2026" s="10" t="str">
        <f>HYPERLINK("https://otsuka-europe-crm.veevavault.com/ui/#object/sent_email__v/VBL000000034217", "SE-001442596")</f>
        <v>SE-001442596</v>
      </c>
      <c r="F2026" s="11"/>
      <c r="G2026" s="12">
        <v>0</v>
      </c>
      <c r="H2026" s="12">
        <v>0</v>
      </c>
      <c r="I2026" s="12">
        <v>0</v>
      </c>
      <c r="J2026" s="11"/>
      <c r="K2026" s="12">
        <v>0</v>
      </c>
      <c r="L2026" s="10" t="str">
        <f t="shared" si="62"/>
        <v>ALL_Flexibilität_Ferienplanung_2026_AA_de</v>
      </c>
      <c r="M2026" s="10" t="str">
        <f t="shared" si="63"/>
        <v>scapeder@crm.otsuka-europe.com</v>
      </c>
      <c r="N2026" s="13">
        <v>46212.363506944443</v>
      </c>
      <c r="O2026" s="14" t="str">
        <f>HYPERLINK("https://otsuka-europe-crm.veevavault.com/ui/#object/email_activity__v/V8C000000044906", "EN-002103360")</f>
        <v>EN-002103360</v>
      </c>
    </row>
    <row r="2027" spans="1:15" ht="32" x14ac:dyDescent="0.2">
      <c r="A2027" s="7" t="str">
        <f>HYPERLINK("https://otsuka-europe-crm.veevavault.com/ui/#object/account__v/V4TZ0000062R7CV", "Gafur Sherbeti")</f>
        <v>Gafur Sherbeti</v>
      </c>
      <c r="B2027" s="7" t="str">
        <f t="shared" si="60"/>
        <v>CH</v>
      </c>
      <c r="C2027" s="8" t="s">
        <v>45</v>
      </c>
      <c r="D2027" s="9" t="str">
        <f t="shared" si="61"/>
        <v>ALL_Flexibilität_Ferienplanung_2026_AA_de</v>
      </c>
      <c r="E2027" s="10" t="str">
        <f>HYPERLINK("https://otsuka-europe-crm.veevavault.com/ui/#object/sent_email__v/VBL000000034218", "SE-001442597")</f>
        <v>SE-001442597</v>
      </c>
      <c r="F2027" s="11"/>
      <c r="G2027" s="12">
        <v>0</v>
      </c>
      <c r="H2027" s="12">
        <v>0</v>
      </c>
      <c r="I2027" s="12">
        <v>0</v>
      </c>
      <c r="J2027" s="11"/>
      <c r="K2027" s="12">
        <v>0</v>
      </c>
      <c r="L2027" s="10" t="str">
        <f t="shared" si="62"/>
        <v>ALL_Flexibilität_Ferienplanung_2026_AA_de</v>
      </c>
      <c r="M2027" s="10" t="str">
        <f t="shared" si="63"/>
        <v>scapeder@crm.otsuka-europe.com</v>
      </c>
      <c r="N2027" s="13">
        <v>46212.364108796297</v>
      </c>
      <c r="O2027" s="14" t="str">
        <f>HYPERLINK("https://otsuka-europe-crm.veevavault.com/ui/#object/email_activity__v/V8C000000044919", "EN-002103373")</f>
        <v>EN-002103373</v>
      </c>
    </row>
    <row r="2028" spans="1:15" ht="32" x14ac:dyDescent="0.2">
      <c r="A2028" s="7" t="str">
        <f>HYPERLINK("https://otsuka-europe-crm.veevavault.com/ui/#object/account__v/V4TZ025E87XXAJB", "Ioana-Cleopatra Rogojan")</f>
        <v>Ioana-Cleopatra Rogojan</v>
      </c>
      <c r="B2028" s="7" t="str">
        <f t="shared" si="60"/>
        <v>CH</v>
      </c>
      <c r="C2028" s="8" t="s">
        <v>45</v>
      </c>
      <c r="D2028" s="9" t="str">
        <f t="shared" si="61"/>
        <v>ALL_Flexibilität_Ferienplanung_2026_AA_de</v>
      </c>
      <c r="E2028" s="10" t="str">
        <f>HYPERLINK("https://otsuka-europe-crm.veevavault.com/ui/#object/sent_email__v/VBL000000034219", "SE-001442598")</f>
        <v>SE-001442598</v>
      </c>
      <c r="F2028" s="11"/>
      <c r="G2028" s="12">
        <v>0</v>
      </c>
      <c r="H2028" s="12">
        <v>0</v>
      </c>
      <c r="I2028" s="12">
        <v>0</v>
      </c>
      <c r="J2028" s="11"/>
      <c r="K2028" s="12">
        <v>0</v>
      </c>
      <c r="L2028" s="10" t="str">
        <f t="shared" si="62"/>
        <v>ALL_Flexibilität_Ferienplanung_2026_AA_de</v>
      </c>
      <c r="M2028" s="10" t="str">
        <f t="shared" si="63"/>
        <v>scapeder@crm.otsuka-europe.com</v>
      </c>
      <c r="N2028" s="13">
        <v>46212.364108796297</v>
      </c>
      <c r="O2028" s="14" t="str">
        <f>HYPERLINK("https://otsuka-europe-crm.veevavault.com/ui/#object/email_activity__v/V8C000000044920", "EN-002103374")</f>
        <v>EN-002103374</v>
      </c>
    </row>
    <row r="2029" spans="1:15" ht="32" x14ac:dyDescent="0.2">
      <c r="A2029" s="7" t="str">
        <f>HYPERLINK("https://otsuka-europe-crm.veevavault.com/ui/#object/account__v/V4TZ0000062R6WG", "Ingo Butzke")</f>
        <v>Ingo Butzke</v>
      </c>
      <c r="B2029" s="7" t="str">
        <f t="shared" si="60"/>
        <v>CH</v>
      </c>
      <c r="C2029" s="8" t="s">
        <v>45</v>
      </c>
      <c r="D2029" s="9" t="str">
        <f t="shared" si="61"/>
        <v>ALL_Flexibilität_Ferienplanung_2026_AA_de</v>
      </c>
      <c r="E2029" s="10" t="str">
        <f>HYPERLINK("https://otsuka-europe-crm.veevavault.com/ui/#object/sent_email__v/VBL000000034220", "SE-001442599")</f>
        <v>SE-001442599</v>
      </c>
      <c r="F2029" s="11"/>
      <c r="G2029" s="12">
        <v>0</v>
      </c>
      <c r="H2029" s="12">
        <v>0</v>
      </c>
      <c r="I2029" s="12">
        <v>0</v>
      </c>
      <c r="J2029" s="11"/>
      <c r="K2029" s="12">
        <v>0</v>
      </c>
      <c r="L2029" s="10" t="str">
        <f t="shared" si="62"/>
        <v>ALL_Flexibilität_Ferienplanung_2026_AA_de</v>
      </c>
      <c r="M2029" s="10" t="str">
        <f t="shared" si="63"/>
        <v>scapeder@crm.otsuka-europe.com</v>
      </c>
      <c r="N2029" s="13">
        <v>46212.364074074074</v>
      </c>
      <c r="O2029" s="14" t="str">
        <f>HYPERLINK("https://otsuka-europe-crm.veevavault.com/ui/#object/email_activity__v/V8C000000044922", "EN-002103376")</f>
        <v>EN-002103376</v>
      </c>
    </row>
    <row r="2030" spans="1:15" ht="16" x14ac:dyDescent="0.2">
      <c r="A2030" s="18" t="str">
        <f>HYPERLINK("https://otsuka-europe-crm.veevavault.com/ui/#object/account__v/V4TZ0000062R5T0", "Friederike Höfer")</f>
        <v>Friederike Höfer</v>
      </c>
      <c r="B2030" s="18" t="str">
        <f t="shared" si="60"/>
        <v>CH</v>
      </c>
      <c r="C2030" s="20" t="s">
        <v>45</v>
      </c>
      <c r="D2030" s="21" t="str">
        <f t="shared" si="61"/>
        <v>ALL_Flexibilität_Ferienplanung_2026_AA_de</v>
      </c>
      <c r="E2030" s="22" t="str">
        <f>HYPERLINK("https://otsuka-europe-crm.veevavault.com/ui/#object/sent_email__v/VBL000000034221", "SE-001442600")</f>
        <v>SE-001442600</v>
      </c>
      <c r="F2030" s="23"/>
      <c r="G2030" s="24">
        <v>0</v>
      </c>
      <c r="H2030" s="24">
        <v>0</v>
      </c>
      <c r="I2030" s="24">
        <v>0</v>
      </c>
      <c r="J2030" s="23"/>
      <c r="K2030" s="24">
        <v>0</v>
      </c>
      <c r="L2030" s="22" t="str">
        <f t="shared" si="62"/>
        <v>ALL_Flexibilität_Ferienplanung_2026_AA_de</v>
      </c>
      <c r="M2030" s="22" t="str">
        <f t="shared" si="63"/>
        <v>scapeder@crm.otsuka-europe.com</v>
      </c>
      <c r="N2030" s="25">
        <v>46212.364074074074</v>
      </c>
      <c r="O2030" s="14" t="str">
        <f>HYPERLINK("https://otsuka-europe-crm.veevavault.com/ui/#object/email_activity__v/V8C000000044923", "EN-002103377")</f>
        <v>EN-002103377</v>
      </c>
    </row>
    <row r="2031" spans="1:15" ht="16" x14ac:dyDescent="0.2">
      <c r="A2031" s="19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19"/>
      <c r="N2031" s="19"/>
      <c r="O2031" s="14" t="str">
        <f>HYPERLINK("https://otsuka-europe-crm.veevavault.com/ui/#object/email_activity__v/V8C000000047012", "EN-002104178")</f>
        <v>EN-002104178</v>
      </c>
    </row>
    <row r="2032" spans="1:15" ht="32" x14ac:dyDescent="0.2">
      <c r="A2032" s="7" t="str">
        <f>HYPERLINK("https://otsuka-europe-crm.veevavault.com/ui/#object/account__v/V4TZ0000062R7XG", "Hardy Koch")</f>
        <v>Hardy Koch</v>
      </c>
      <c r="B2032" s="7" t="str">
        <f t="shared" ref="B2032:B2038" si="64">HYPERLINK("https://otsuka-europe-crm.veevavault.com/ui/#object/vcountry__v/VENZ000004SONFN", "CH")</f>
        <v>CH</v>
      </c>
      <c r="C2032" s="8" t="s">
        <v>45</v>
      </c>
      <c r="D2032" s="9" t="str">
        <f t="shared" ref="D2032:D2038" si="65">HYPERLINK("https://otsuka-europe-crm.veevavault.com/ui/#object/approved_document__v/V5O00000001L016", "ALL_Flexibilität_Ferienplanung_2026_AA_de")</f>
        <v>ALL_Flexibilität_Ferienplanung_2026_AA_de</v>
      </c>
      <c r="E2032" s="10" t="str">
        <f>HYPERLINK("https://otsuka-europe-crm.veevavault.com/ui/#object/sent_email__v/VBL000000034222", "SE-001442601")</f>
        <v>SE-001442601</v>
      </c>
      <c r="F2032" s="11"/>
      <c r="G2032" s="12">
        <v>0</v>
      </c>
      <c r="H2032" s="12">
        <v>0</v>
      </c>
      <c r="I2032" s="12">
        <v>0</v>
      </c>
      <c r="J2032" s="11"/>
      <c r="K2032" s="12">
        <v>0</v>
      </c>
      <c r="L2032" s="10" t="str">
        <f t="shared" ref="L2032:L2038" si="66">HYPERLINK("https://otsuka-europe-crm.veevavault.com/ui/#object/approved_document__v/V5O00000001L016", "ALL_Flexibilität_Ferienplanung_2026_AA_de")</f>
        <v>ALL_Flexibilität_Ferienplanung_2026_AA_de</v>
      </c>
      <c r="M2032" s="10" t="str">
        <f t="shared" ref="M2032:M2038" si="67">HYPERLINK("mailto:scapeder@crm.otsuka-europe.com", "scapeder@crm.otsuka-europe.com")</f>
        <v>scapeder@crm.otsuka-europe.com</v>
      </c>
      <c r="N2032" s="13">
        <v>46212.364074074074</v>
      </c>
      <c r="O2032" s="14" t="str">
        <f>HYPERLINK("https://otsuka-europe-crm.veevavault.com/ui/#object/email_activity__v/V8C000000044916", "EN-002103370")</f>
        <v>EN-002103370</v>
      </c>
    </row>
    <row r="2033" spans="1:15" ht="32" x14ac:dyDescent="0.2">
      <c r="A2033" s="7" t="str">
        <f>HYPERLINK("https://otsuka-europe-crm.veevavault.com/ui/#object/account__v/V4TZ06G6OBI6G1W", "Ilunga Cimbela")</f>
        <v>Ilunga Cimbela</v>
      </c>
      <c r="B2033" s="7" t="str">
        <f t="shared" si="64"/>
        <v>CH</v>
      </c>
      <c r="C2033" s="8" t="s">
        <v>45</v>
      </c>
      <c r="D2033" s="9" t="str">
        <f t="shared" si="65"/>
        <v>ALL_Flexibilität_Ferienplanung_2026_AA_de</v>
      </c>
      <c r="E2033" s="10" t="str">
        <f>HYPERLINK("https://otsuka-europe-crm.veevavault.com/ui/#object/sent_email__v/VBL000000034223", "SE-001442602")</f>
        <v>SE-001442602</v>
      </c>
      <c r="F2033" s="11"/>
      <c r="G2033" s="12">
        <v>0</v>
      </c>
      <c r="H2033" s="12">
        <v>0</v>
      </c>
      <c r="I2033" s="12">
        <v>0</v>
      </c>
      <c r="J2033" s="11"/>
      <c r="K2033" s="12">
        <v>0</v>
      </c>
      <c r="L2033" s="10" t="str">
        <f t="shared" si="66"/>
        <v>ALL_Flexibilität_Ferienplanung_2026_AA_de</v>
      </c>
      <c r="M2033" s="10" t="str">
        <f t="shared" si="67"/>
        <v>scapeder@crm.otsuka-europe.com</v>
      </c>
      <c r="N2033" s="13">
        <v>46212.364074074074</v>
      </c>
      <c r="O2033" s="14" t="str">
        <f>HYPERLINK("https://otsuka-europe-crm.veevavault.com/ui/#object/email_activity__v/V8C000000044914", "EN-002103368")</f>
        <v>EN-002103368</v>
      </c>
    </row>
    <row r="2034" spans="1:15" ht="32" x14ac:dyDescent="0.2">
      <c r="A2034" s="7" t="str">
        <f>HYPERLINK("https://otsuka-europe-crm.veevavault.com/ui/#object/account__v/V4TZ0000062SGSI", "Franziska Wenger")</f>
        <v>Franziska Wenger</v>
      </c>
      <c r="B2034" s="7" t="str">
        <f t="shared" si="64"/>
        <v>CH</v>
      </c>
      <c r="C2034" s="8" t="s">
        <v>45</v>
      </c>
      <c r="D2034" s="9" t="str">
        <f t="shared" si="65"/>
        <v>ALL_Flexibilität_Ferienplanung_2026_AA_de</v>
      </c>
      <c r="E2034" s="10" t="str">
        <f>HYPERLINK("https://otsuka-europe-crm.veevavault.com/ui/#object/sent_email__v/VBL000000034224", "SE-001442603")</f>
        <v>SE-001442603</v>
      </c>
      <c r="F2034" s="11"/>
      <c r="G2034" s="12">
        <v>0</v>
      </c>
      <c r="H2034" s="12">
        <v>0</v>
      </c>
      <c r="I2034" s="12">
        <v>0</v>
      </c>
      <c r="J2034" s="11"/>
      <c r="K2034" s="12">
        <v>0</v>
      </c>
      <c r="L2034" s="10" t="str">
        <f t="shared" si="66"/>
        <v>ALL_Flexibilität_Ferienplanung_2026_AA_de</v>
      </c>
      <c r="M2034" s="10" t="str">
        <f t="shared" si="67"/>
        <v>scapeder@crm.otsuka-europe.com</v>
      </c>
      <c r="N2034" s="13">
        <v>46212.364074074074</v>
      </c>
      <c r="O2034" s="14" t="str">
        <f>HYPERLINK("https://otsuka-europe-crm.veevavault.com/ui/#object/email_activity__v/V8C000000044915", "EN-002103369")</f>
        <v>EN-002103369</v>
      </c>
    </row>
    <row r="2035" spans="1:15" ht="32" x14ac:dyDescent="0.2">
      <c r="A2035" s="7" t="str">
        <f>HYPERLINK("https://otsuka-europe-crm.veevavault.com/ui/#object/account__v/V4TZ06G6OB4G2EF", "Galina Beck Bykova")</f>
        <v>Galina Beck Bykova</v>
      </c>
      <c r="B2035" s="7" t="str">
        <f t="shared" si="64"/>
        <v>CH</v>
      </c>
      <c r="C2035" s="8" t="s">
        <v>45</v>
      </c>
      <c r="D2035" s="9" t="str">
        <f t="shared" si="65"/>
        <v>ALL_Flexibilität_Ferienplanung_2026_AA_de</v>
      </c>
      <c r="E2035" s="10" t="str">
        <f>HYPERLINK("https://otsuka-europe-crm.veevavault.com/ui/#object/sent_email__v/VBL000000034225", "SE-001442604")</f>
        <v>SE-001442604</v>
      </c>
      <c r="F2035" s="11"/>
      <c r="G2035" s="12">
        <v>0</v>
      </c>
      <c r="H2035" s="12">
        <v>0</v>
      </c>
      <c r="I2035" s="12">
        <v>0</v>
      </c>
      <c r="J2035" s="11"/>
      <c r="K2035" s="12">
        <v>0</v>
      </c>
      <c r="L2035" s="10" t="str">
        <f t="shared" si="66"/>
        <v>ALL_Flexibilität_Ferienplanung_2026_AA_de</v>
      </c>
      <c r="M2035" s="10" t="str">
        <f t="shared" si="67"/>
        <v>scapeder@crm.otsuka-europe.com</v>
      </c>
      <c r="N2035" s="13">
        <v>46212.364074074074</v>
      </c>
      <c r="O2035" s="14" t="str">
        <f>HYPERLINK("https://otsuka-europe-crm.veevavault.com/ui/#object/email_activity__v/V8C000000044917", "EN-002103371")</f>
        <v>EN-002103371</v>
      </c>
    </row>
    <row r="2036" spans="1:15" ht="32" x14ac:dyDescent="0.2">
      <c r="A2036" s="7" t="str">
        <f>HYPERLINK("https://otsuka-europe-crm.veevavault.com/ui/#object/account__v/V4TZ0000062R7AD", "Georg Grass")</f>
        <v>Georg Grass</v>
      </c>
      <c r="B2036" s="7" t="str">
        <f t="shared" si="64"/>
        <v>CH</v>
      </c>
      <c r="C2036" s="8" t="s">
        <v>45</v>
      </c>
      <c r="D2036" s="9" t="str">
        <f t="shared" si="65"/>
        <v>ALL_Flexibilität_Ferienplanung_2026_AA_de</v>
      </c>
      <c r="E2036" s="10" t="str">
        <f>HYPERLINK("https://otsuka-europe-crm.veevavault.com/ui/#object/sent_email__v/VBL000000034226", "SE-001442605")</f>
        <v>SE-001442605</v>
      </c>
      <c r="F2036" s="11"/>
      <c r="G2036" s="12">
        <v>0</v>
      </c>
      <c r="H2036" s="12">
        <v>0</v>
      </c>
      <c r="I2036" s="12">
        <v>0</v>
      </c>
      <c r="J2036" s="11"/>
      <c r="K2036" s="12">
        <v>0</v>
      </c>
      <c r="L2036" s="10" t="str">
        <f t="shared" si="66"/>
        <v>ALL_Flexibilität_Ferienplanung_2026_AA_de</v>
      </c>
      <c r="M2036" s="10" t="str">
        <f t="shared" si="67"/>
        <v>scapeder@crm.otsuka-europe.com</v>
      </c>
      <c r="N2036" s="13">
        <v>46212.364074074074</v>
      </c>
      <c r="O2036" s="14" t="str">
        <f>HYPERLINK("https://otsuka-europe-crm.veevavault.com/ui/#object/email_activity__v/V8C000000044918", "EN-002103372")</f>
        <v>EN-002103372</v>
      </c>
    </row>
    <row r="2037" spans="1:15" ht="32" x14ac:dyDescent="0.2">
      <c r="A2037" s="7" t="str">
        <f>HYPERLINK("https://otsuka-europe-crm.veevavault.com/ui/#object/account__v/V4TZ0000062R4BJ", "Jochen Mutschler")</f>
        <v>Jochen Mutschler</v>
      </c>
      <c r="B2037" s="7" t="str">
        <f t="shared" si="64"/>
        <v>CH</v>
      </c>
      <c r="C2037" s="8" t="s">
        <v>45</v>
      </c>
      <c r="D2037" s="9" t="str">
        <f t="shared" si="65"/>
        <v>ALL_Flexibilität_Ferienplanung_2026_AA_de</v>
      </c>
      <c r="E2037" s="10" t="str">
        <f>HYPERLINK("https://otsuka-europe-crm.veevavault.com/ui/#object/sent_email__v/VBL000000034227", "SE-001442606")</f>
        <v>SE-001442606</v>
      </c>
      <c r="F2037" s="11"/>
      <c r="G2037" s="12">
        <v>0</v>
      </c>
      <c r="H2037" s="12">
        <v>0</v>
      </c>
      <c r="I2037" s="12">
        <v>0</v>
      </c>
      <c r="J2037" s="11"/>
      <c r="K2037" s="12">
        <v>0</v>
      </c>
      <c r="L2037" s="10" t="str">
        <f t="shared" si="66"/>
        <v>ALL_Flexibilität_Ferienplanung_2026_AA_de</v>
      </c>
      <c r="M2037" s="10" t="str">
        <f t="shared" si="67"/>
        <v>scapeder@crm.otsuka-europe.com</v>
      </c>
      <c r="N2037" s="13">
        <v>46212.364560185182</v>
      </c>
      <c r="O2037" s="14" t="str">
        <f>HYPERLINK("https://otsuka-europe-crm.veevavault.com/ui/#object/email_activity__v/V8C000000043900", "EN-002103380")</f>
        <v>EN-002103380</v>
      </c>
    </row>
    <row r="2038" spans="1:15" ht="16" x14ac:dyDescent="0.2">
      <c r="A2038" s="18" t="str">
        <f>HYPERLINK("https://otsuka-europe-crm.veevavault.com/ui/#object/account__v/V4TZ0000062SGH3", "Jens Sommer")</f>
        <v>Jens Sommer</v>
      </c>
      <c r="B2038" s="18" t="str">
        <f t="shared" si="64"/>
        <v>CH</v>
      </c>
      <c r="C2038" s="20" t="s">
        <v>45</v>
      </c>
      <c r="D2038" s="21" t="str">
        <f t="shared" si="65"/>
        <v>ALL_Flexibilität_Ferienplanung_2026_AA_de</v>
      </c>
      <c r="E2038" s="22" t="str">
        <f>HYPERLINK("https://otsuka-europe-crm.veevavault.com/ui/#object/sent_email__v/VBL000000034228", "SE-001442607")</f>
        <v>SE-001442607</v>
      </c>
      <c r="F2038" s="23"/>
      <c r="G2038" s="24">
        <v>0</v>
      </c>
      <c r="H2038" s="24">
        <v>0</v>
      </c>
      <c r="I2038" s="24">
        <v>0</v>
      </c>
      <c r="J2038" s="23"/>
      <c r="K2038" s="24">
        <v>0</v>
      </c>
      <c r="L2038" s="22" t="str">
        <f t="shared" si="66"/>
        <v>ALL_Flexibilität_Ferienplanung_2026_AA_de</v>
      </c>
      <c r="M2038" s="22" t="str">
        <f t="shared" si="67"/>
        <v>scapeder@crm.otsuka-europe.com</v>
      </c>
      <c r="N2038" s="25">
        <v>46212.364560185182</v>
      </c>
      <c r="O2038" s="14" t="str">
        <f>HYPERLINK("https://otsuka-europe-crm.veevavault.com/ui/#object/email_activity__v/V8C000000043901", "EN-002103381")</f>
        <v>EN-002103381</v>
      </c>
    </row>
    <row r="2039" spans="1:15" ht="16" x14ac:dyDescent="0.2">
      <c r="A2039" s="19"/>
      <c r="B2039" s="19"/>
      <c r="C2039" s="19"/>
      <c r="D2039" s="19"/>
      <c r="E2039" s="19"/>
      <c r="F2039" s="19"/>
      <c r="G2039" s="19"/>
      <c r="H2039" s="19"/>
      <c r="I2039" s="19"/>
      <c r="J2039" s="19"/>
      <c r="K2039" s="19"/>
      <c r="L2039" s="19"/>
      <c r="M2039" s="19"/>
      <c r="N2039" s="19"/>
      <c r="O2039" s="14" t="str">
        <f>HYPERLINK("https://otsuka-europe-crm.veevavault.com/ui/#object/email_activity__v/V8C000000049669", "EN-002106166")</f>
        <v>EN-002106166</v>
      </c>
    </row>
    <row r="2040" spans="1:15" ht="32" x14ac:dyDescent="0.2">
      <c r="A2040" s="7" t="str">
        <f>HYPERLINK("https://otsuka-europe-crm.veevavault.com/ui/#object/account__v/V4TZ0000062SGD9", "Josef Sachs")</f>
        <v>Josef Sachs</v>
      </c>
      <c r="B2040" s="7" t="str">
        <f t="shared" ref="B2040:B2049" si="68">HYPERLINK("https://otsuka-europe-crm.veevavault.com/ui/#object/vcountry__v/VENZ000004SONFN", "CH")</f>
        <v>CH</v>
      </c>
      <c r="C2040" s="8" t="s">
        <v>45</v>
      </c>
      <c r="D2040" s="9" t="str">
        <f t="shared" ref="D2040:D2049" si="69">HYPERLINK("https://otsuka-europe-crm.veevavault.com/ui/#object/approved_document__v/V5O00000001L016", "ALL_Flexibilität_Ferienplanung_2026_AA_de")</f>
        <v>ALL_Flexibilität_Ferienplanung_2026_AA_de</v>
      </c>
      <c r="E2040" s="10" t="str">
        <f>HYPERLINK("https://otsuka-europe-crm.veevavault.com/ui/#object/sent_email__v/VBL000000034229", "SE-001442608")</f>
        <v>SE-001442608</v>
      </c>
      <c r="F2040" s="11"/>
      <c r="G2040" s="12">
        <v>0</v>
      </c>
      <c r="H2040" s="12">
        <v>0</v>
      </c>
      <c r="I2040" s="12">
        <v>0</v>
      </c>
      <c r="J2040" s="11"/>
      <c r="K2040" s="12">
        <v>0</v>
      </c>
      <c r="L2040" s="10" t="str">
        <f t="shared" ref="L2040:L2049" si="70">HYPERLINK("https://otsuka-europe-crm.veevavault.com/ui/#object/approved_document__v/V5O00000001L016", "ALL_Flexibilität_Ferienplanung_2026_AA_de")</f>
        <v>ALL_Flexibilität_Ferienplanung_2026_AA_de</v>
      </c>
      <c r="M2040" s="10" t="str">
        <f t="shared" ref="M2040:M2049" si="71">HYPERLINK("mailto:scapeder@crm.otsuka-europe.com", "scapeder@crm.otsuka-europe.com")</f>
        <v>scapeder@crm.otsuka-europe.com</v>
      </c>
      <c r="N2040" s="13">
        <v>46212.364560185182</v>
      </c>
      <c r="O2040" s="14" t="str">
        <f>HYPERLINK("https://otsuka-europe-crm.veevavault.com/ui/#object/email_activity__v/V8C000000044925", "EN-002103379")</f>
        <v>EN-002103379</v>
      </c>
    </row>
    <row r="2041" spans="1:15" ht="32" x14ac:dyDescent="0.2">
      <c r="A2041" s="7" t="str">
        <f>HYPERLINK("https://otsuka-europe-crm.veevavault.com/ui/#object/account__v/V4TZ0000062SGY1", "Julijana Vukasinovic")</f>
        <v>Julijana Vukasinovic</v>
      </c>
      <c r="B2041" s="7" t="str">
        <f t="shared" si="68"/>
        <v>CH</v>
      </c>
      <c r="C2041" s="8" t="s">
        <v>45</v>
      </c>
      <c r="D2041" s="9" t="str">
        <f t="shared" si="69"/>
        <v>ALL_Flexibilität_Ferienplanung_2026_AA_de</v>
      </c>
      <c r="E2041" s="10" t="str">
        <f>HYPERLINK("https://otsuka-europe-crm.veevavault.com/ui/#object/sent_email__v/VBL000000034230", "SE-001442609")</f>
        <v>SE-001442609</v>
      </c>
      <c r="F2041" s="11"/>
      <c r="G2041" s="12">
        <v>0</v>
      </c>
      <c r="H2041" s="12">
        <v>0</v>
      </c>
      <c r="I2041" s="12">
        <v>0</v>
      </c>
      <c r="J2041" s="11"/>
      <c r="K2041" s="12">
        <v>0</v>
      </c>
      <c r="L2041" s="10" t="str">
        <f t="shared" si="70"/>
        <v>ALL_Flexibilität_Ferienplanung_2026_AA_de</v>
      </c>
      <c r="M2041" s="10" t="str">
        <f t="shared" si="71"/>
        <v>scapeder@crm.otsuka-europe.com</v>
      </c>
      <c r="N2041" s="13">
        <v>46212.364560185182</v>
      </c>
      <c r="O2041" s="14" t="str">
        <f>HYPERLINK("https://otsuka-europe-crm.veevavault.com/ui/#object/email_activity__v/V8C000000044928", "EN-002103384")</f>
        <v>EN-002103384</v>
      </c>
    </row>
    <row r="2042" spans="1:15" ht="32" x14ac:dyDescent="0.2">
      <c r="A2042" s="7" t="str">
        <f>HYPERLINK("https://otsuka-europe-crm.veevavault.com/ui/#object/account__v/V4TZ0000062R56D", "Katarzyna Fischmann")</f>
        <v>Katarzyna Fischmann</v>
      </c>
      <c r="B2042" s="7" t="str">
        <f t="shared" si="68"/>
        <v>CH</v>
      </c>
      <c r="C2042" s="8" t="s">
        <v>45</v>
      </c>
      <c r="D2042" s="9" t="str">
        <f t="shared" si="69"/>
        <v>ALL_Flexibilität_Ferienplanung_2026_AA_de</v>
      </c>
      <c r="E2042" s="10" t="str">
        <f>HYPERLINK("https://otsuka-europe-crm.veevavault.com/ui/#object/sent_email__v/VBL000000034231", "SE-001442610")</f>
        <v>SE-001442610</v>
      </c>
      <c r="F2042" s="11"/>
      <c r="G2042" s="12">
        <v>0</v>
      </c>
      <c r="H2042" s="12">
        <v>0</v>
      </c>
      <c r="I2042" s="12">
        <v>0</v>
      </c>
      <c r="J2042" s="11"/>
      <c r="K2042" s="12">
        <v>0</v>
      </c>
      <c r="L2042" s="10" t="str">
        <f t="shared" si="70"/>
        <v>ALL_Flexibilität_Ferienplanung_2026_AA_de</v>
      </c>
      <c r="M2042" s="10" t="str">
        <f t="shared" si="71"/>
        <v>scapeder@crm.otsuka-europe.com</v>
      </c>
      <c r="N2042" s="13">
        <v>46212.364560185182</v>
      </c>
      <c r="O2042" s="14" t="str">
        <f>HYPERLINK("https://otsuka-europe-crm.veevavault.com/ui/#object/email_activity__v/V8C000000044927", "EN-002103383")</f>
        <v>EN-002103383</v>
      </c>
    </row>
    <row r="2043" spans="1:15" ht="32" x14ac:dyDescent="0.2">
      <c r="A2043" s="7" t="str">
        <f>HYPERLINK("https://otsuka-europe-crm.veevavault.com/ui/#object/account__v/V4TZ04ASGCYQAI2", "Isabelle Urech")</f>
        <v>Isabelle Urech</v>
      </c>
      <c r="B2043" s="7" t="str">
        <f t="shared" si="68"/>
        <v>CH</v>
      </c>
      <c r="C2043" s="8" t="s">
        <v>45</v>
      </c>
      <c r="D2043" s="9" t="str">
        <f t="shared" si="69"/>
        <v>ALL_Flexibilität_Ferienplanung_2026_AA_de</v>
      </c>
      <c r="E2043" s="10" t="str">
        <f>HYPERLINK("https://otsuka-europe-crm.veevavault.com/ui/#object/sent_email__v/VBL000000034232", "SE-001442611")</f>
        <v>SE-001442611</v>
      </c>
      <c r="F2043" s="11"/>
      <c r="G2043" s="12">
        <v>0</v>
      </c>
      <c r="H2043" s="12">
        <v>0</v>
      </c>
      <c r="I2043" s="12">
        <v>0</v>
      </c>
      <c r="J2043" s="11"/>
      <c r="K2043" s="12">
        <v>0</v>
      </c>
      <c r="L2043" s="10" t="str">
        <f t="shared" si="70"/>
        <v>ALL_Flexibilität_Ferienplanung_2026_AA_de</v>
      </c>
      <c r="M2043" s="10" t="str">
        <f t="shared" si="71"/>
        <v>scapeder@crm.otsuka-europe.com</v>
      </c>
      <c r="N2043" s="13">
        <v>46212.364560185182</v>
      </c>
      <c r="O2043" s="14" t="str">
        <f>HYPERLINK("https://otsuka-europe-crm.veevavault.com/ui/#object/email_activity__v/V8C000000044926", "EN-002103382")</f>
        <v>EN-002103382</v>
      </c>
    </row>
    <row r="2044" spans="1:15" ht="32" x14ac:dyDescent="0.2">
      <c r="A2044" s="7" t="str">
        <f>HYPERLINK("https://otsuka-europe-crm.veevavault.com/ui/#object/account__v/V4TZ0000062R6D1", "Jean-Marie Sengelen")</f>
        <v>Jean-Marie Sengelen</v>
      </c>
      <c r="B2044" s="7" t="str">
        <f t="shared" si="68"/>
        <v>CH</v>
      </c>
      <c r="C2044" s="8" t="s">
        <v>45</v>
      </c>
      <c r="D2044" s="9" t="str">
        <f t="shared" si="69"/>
        <v>ALL_Flexibilität_Ferienplanung_2026_AA_de</v>
      </c>
      <c r="E2044" s="10" t="str">
        <f>HYPERLINK("https://otsuka-europe-crm.veevavault.com/ui/#object/sent_email__v/VBL000000034233", "SE-001442612")</f>
        <v>SE-001442612</v>
      </c>
      <c r="F2044" s="11"/>
      <c r="G2044" s="12">
        <v>0</v>
      </c>
      <c r="H2044" s="12">
        <v>0</v>
      </c>
      <c r="I2044" s="12">
        <v>0</v>
      </c>
      <c r="J2044" s="11"/>
      <c r="K2044" s="12">
        <v>0</v>
      </c>
      <c r="L2044" s="10" t="str">
        <f t="shared" si="70"/>
        <v>ALL_Flexibilität_Ferienplanung_2026_AA_de</v>
      </c>
      <c r="M2044" s="10" t="str">
        <f t="shared" si="71"/>
        <v>scapeder@crm.otsuka-europe.com</v>
      </c>
      <c r="N2044" s="13">
        <v>46212.364560185182</v>
      </c>
      <c r="O2044" s="14" t="str">
        <f>HYPERLINK("https://otsuka-europe-crm.veevavault.com/ui/#object/email_activity__v/V8C000000044924", "EN-002103378")</f>
        <v>EN-002103378</v>
      </c>
    </row>
    <row r="2045" spans="1:15" ht="32" x14ac:dyDescent="0.2">
      <c r="A2045" s="7" t="str">
        <f>HYPERLINK("https://otsuka-europe-crm.veevavault.com/ui/#object/account__v/V4TZ04ASGCYQAF0", "Luzius Pfiffner")</f>
        <v>Luzius Pfiffner</v>
      </c>
      <c r="B2045" s="7" t="str">
        <f t="shared" si="68"/>
        <v>CH</v>
      </c>
      <c r="C2045" s="8" t="s">
        <v>45</v>
      </c>
      <c r="D2045" s="9" t="str">
        <f t="shared" si="69"/>
        <v>ALL_Flexibilität_Ferienplanung_2026_AA_de</v>
      </c>
      <c r="E2045" s="10" t="str">
        <f>HYPERLINK("https://otsuka-europe-crm.veevavault.com/ui/#object/sent_email__v/VBL000000034234", "SE-001442613")</f>
        <v>SE-001442613</v>
      </c>
      <c r="F2045" s="11"/>
      <c r="G2045" s="12">
        <v>0</v>
      </c>
      <c r="H2045" s="12">
        <v>0</v>
      </c>
      <c r="I2045" s="12">
        <v>0</v>
      </c>
      <c r="J2045" s="11"/>
      <c r="K2045" s="12">
        <v>0</v>
      </c>
      <c r="L2045" s="10" t="str">
        <f t="shared" si="70"/>
        <v>ALL_Flexibilität_Ferienplanung_2026_AA_de</v>
      </c>
      <c r="M2045" s="10" t="str">
        <f t="shared" si="71"/>
        <v>scapeder@crm.otsuka-europe.com</v>
      </c>
      <c r="N2045" s="13">
        <v>46212.36509259259</v>
      </c>
      <c r="O2045" s="14" t="str">
        <f>HYPERLINK("https://otsuka-europe-crm.veevavault.com/ui/#object/email_activity__v/V8C000000044929", "EN-002103386")</f>
        <v>EN-002103386</v>
      </c>
    </row>
    <row r="2046" spans="1:15" ht="32" x14ac:dyDescent="0.2">
      <c r="A2046" s="7" t="str">
        <f>HYPERLINK("https://otsuka-europe-crm.veevavault.com/ui/#object/account__v/V4TZ0000062SGUC", "Marc Walter")</f>
        <v>Marc Walter</v>
      </c>
      <c r="B2046" s="7" t="str">
        <f t="shared" si="68"/>
        <v>CH</v>
      </c>
      <c r="C2046" s="8" t="s">
        <v>45</v>
      </c>
      <c r="D2046" s="9" t="str">
        <f t="shared" si="69"/>
        <v>ALL_Flexibilität_Ferienplanung_2026_AA_de</v>
      </c>
      <c r="E2046" s="10" t="str">
        <f>HYPERLINK("https://otsuka-europe-crm.veevavault.com/ui/#object/sent_email__v/VBL000000034235", "SE-001442614")</f>
        <v>SE-001442614</v>
      </c>
      <c r="F2046" s="11"/>
      <c r="G2046" s="12">
        <v>0</v>
      </c>
      <c r="H2046" s="12">
        <v>0</v>
      </c>
      <c r="I2046" s="12">
        <v>0</v>
      </c>
      <c r="J2046" s="11"/>
      <c r="K2046" s="12">
        <v>0</v>
      </c>
      <c r="L2046" s="10" t="str">
        <f t="shared" si="70"/>
        <v>ALL_Flexibilität_Ferienplanung_2026_AA_de</v>
      </c>
      <c r="M2046" s="10" t="str">
        <f t="shared" si="71"/>
        <v>scapeder@crm.otsuka-europe.com</v>
      </c>
      <c r="N2046" s="13">
        <v>46212.36509259259</v>
      </c>
      <c r="O2046" s="14" t="str">
        <f>HYPERLINK("https://otsuka-europe-crm.veevavault.com/ui/#object/email_activity__v/V8C000000044933", "EN-002103390")</f>
        <v>EN-002103390</v>
      </c>
    </row>
    <row r="2047" spans="1:15" ht="32" x14ac:dyDescent="0.2">
      <c r="A2047" s="7" t="str">
        <f>HYPERLINK("https://otsuka-europe-crm.veevavault.com/ui/#object/account__v/V4TZ0000062R5DK", "Kerstin Gentsch")</f>
        <v>Kerstin Gentsch</v>
      </c>
      <c r="B2047" s="7" t="str">
        <f t="shared" si="68"/>
        <v>CH</v>
      </c>
      <c r="C2047" s="8" t="s">
        <v>45</v>
      </c>
      <c r="D2047" s="9" t="str">
        <f t="shared" si="69"/>
        <v>ALL_Flexibilität_Ferienplanung_2026_AA_de</v>
      </c>
      <c r="E2047" s="10" t="str">
        <f>HYPERLINK("https://otsuka-europe-crm.veevavault.com/ui/#object/sent_email__v/VBL000000034236", "SE-001442615")</f>
        <v>SE-001442615</v>
      </c>
      <c r="F2047" s="11"/>
      <c r="G2047" s="12">
        <v>0</v>
      </c>
      <c r="H2047" s="12">
        <v>0</v>
      </c>
      <c r="I2047" s="12">
        <v>0</v>
      </c>
      <c r="J2047" s="11"/>
      <c r="K2047" s="12">
        <v>0</v>
      </c>
      <c r="L2047" s="10" t="str">
        <f t="shared" si="70"/>
        <v>ALL_Flexibilität_Ferienplanung_2026_AA_de</v>
      </c>
      <c r="M2047" s="10" t="str">
        <f t="shared" si="71"/>
        <v>scapeder@crm.otsuka-europe.com</v>
      </c>
      <c r="N2047" s="13">
        <v>46212.36509259259</v>
      </c>
      <c r="O2047" s="14" t="str">
        <f>HYPERLINK("https://otsuka-europe-crm.veevavault.com/ui/#object/email_activity__v/V8C000000044932", "EN-002103389")</f>
        <v>EN-002103389</v>
      </c>
    </row>
    <row r="2048" spans="1:15" ht="32" x14ac:dyDescent="0.2">
      <c r="A2048" s="7" t="str">
        <f>HYPERLINK("https://otsuka-europe-crm.veevavault.com/ui/#object/account__v/V4TZ0000062SGR3", "Marie-Theres Wellinger")</f>
        <v>Marie-Theres Wellinger</v>
      </c>
      <c r="B2048" s="7" t="str">
        <f t="shared" si="68"/>
        <v>CH</v>
      </c>
      <c r="C2048" s="8" t="s">
        <v>45</v>
      </c>
      <c r="D2048" s="9" t="str">
        <f t="shared" si="69"/>
        <v>ALL_Flexibilität_Ferienplanung_2026_AA_de</v>
      </c>
      <c r="E2048" s="10" t="str">
        <f>HYPERLINK("https://otsuka-europe-crm.veevavault.com/ui/#object/sent_email__v/VBL000000034237", "SE-001442616")</f>
        <v>SE-001442616</v>
      </c>
      <c r="F2048" s="11"/>
      <c r="G2048" s="12">
        <v>0</v>
      </c>
      <c r="H2048" s="12">
        <v>0</v>
      </c>
      <c r="I2048" s="12">
        <v>0</v>
      </c>
      <c r="J2048" s="11"/>
      <c r="K2048" s="12">
        <v>0</v>
      </c>
      <c r="L2048" s="10" t="str">
        <f t="shared" si="70"/>
        <v>ALL_Flexibilität_Ferienplanung_2026_AA_de</v>
      </c>
      <c r="M2048" s="10" t="str">
        <f t="shared" si="71"/>
        <v>scapeder@crm.otsuka-europe.com</v>
      </c>
      <c r="N2048" s="13">
        <v>46212.36509259259</v>
      </c>
      <c r="O2048" s="14" t="str">
        <f>HYPERLINK("https://otsuka-europe-crm.veevavault.com/ui/#object/email_activity__v/V8C000000044934", "EN-002103391")</f>
        <v>EN-002103391</v>
      </c>
    </row>
    <row r="2049" spans="1:15" ht="16" x14ac:dyDescent="0.2">
      <c r="A2049" s="18" t="str">
        <f>HYPERLINK("https://otsuka-europe-crm.veevavault.com/ui/#object/account__v/V4TZ04ASGCYQ9QH", "Marcia Steiner")</f>
        <v>Marcia Steiner</v>
      </c>
      <c r="B2049" s="18" t="str">
        <f t="shared" si="68"/>
        <v>CH</v>
      </c>
      <c r="C2049" s="20" t="s">
        <v>45</v>
      </c>
      <c r="D2049" s="21" t="str">
        <f t="shared" si="69"/>
        <v>ALL_Flexibilität_Ferienplanung_2026_AA_de</v>
      </c>
      <c r="E2049" s="22" t="str">
        <f>HYPERLINK("https://otsuka-europe-crm.veevavault.com/ui/#object/sent_email__v/VBL000000034238", "SE-001442617")</f>
        <v>SE-001442617</v>
      </c>
      <c r="F2049" s="23"/>
      <c r="G2049" s="24">
        <v>0</v>
      </c>
      <c r="H2049" s="24">
        <v>0</v>
      </c>
      <c r="I2049" s="24">
        <v>0</v>
      </c>
      <c r="J2049" s="23"/>
      <c r="K2049" s="24">
        <v>0</v>
      </c>
      <c r="L2049" s="22" t="str">
        <f t="shared" si="70"/>
        <v>ALL_Flexibilität_Ferienplanung_2026_AA_de</v>
      </c>
      <c r="M2049" s="22" t="str">
        <f t="shared" si="71"/>
        <v>scapeder@crm.otsuka-europe.com</v>
      </c>
      <c r="N2049" s="25">
        <v>46212.36509259259</v>
      </c>
      <c r="O2049" s="14" t="str">
        <f>HYPERLINK("https://otsuka-europe-crm.veevavault.com/ui/#object/email_activity__v/V8C000000044930", "EN-002103387")</f>
        <v>EN-002103387</v>
      </c>
    </row>
    <row r="2050" spans="1:15" ht="16" x14ac:dyDescent="0.2">
      <c r="A2050" s="19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19"/>
      <c r="N2050" s="19"/>
      <c r="O2050" s="14" t="str">
        <f>HYPERLINK("https://otsuka-europe-crm.veevavault.com/ui/#object/email_activity__v/V8C000000048289", "EN-002104825")</f>
        <v>EN-002104825</v>
      </c>
    </row>
    <row r="2051" spans="1:15" ht="32" x14ac:dyDescent="0.2">
      <c r="A2051" s="7" t="str">
        <f>HYPERLINK("https://otsuka-europe-crm.veevavault.com/ui/#object/account__v/V4TZ0000062R76I", "László Péter Gueth")</f>
        <v>László Péter Gueth</v>
      </c>
      <c r="B2051" s="7" t="str">
        <f t="shared" ref="B2051:B2059" si="72">HYPERLINK("https://otsuka-europe-crm.veevavault.com/ui/#object/vcountry__v/VENZ000004SONFN", "CH")</f>
        <v>CH</v>
      </c>
      <c r="C2051" s="8" t="s">
        <v>45</v>
      </c>
      <c r="D2051" s="9" t="str">
        <f t="shared" ref="D2051:D2059" si="73">HYPERLINK("https://otsuka-europe-crm.veevavault.com/ui/#object/approved_document__v/V5O00000001L016", "ALL_Flexibilität_Ferienplanung_2026_AA_de")</f>
        <v>ALL_Flexibilität_Ferienplanung_2026_AA_de</v>
      </c>
      <c r="E2051" s="10" t="str">
        <f>HYPERLINK("https://otsuka-europe-crm.veevavault.com/ui/#object/sent_email__v/VBL000000034239", "SE-001442618")</f>
        <v>SE-001442618</v>
      </c>
      <c r="F2051" s="11"/>
      <c r="G2051" s="12">
        <v>0</v>
      </c>
      <c r="H2051" s="12">
        <v>0</v>
      </c>
      <c r="I2051" s="12">
        <v>0</v>
      </c>
      <c r="J2051" s="11"/>
      <c r="K2051" s="12">
        <v>0</v>
      </c>
      <c r="L2051" s="10" t="str">
        <f t="shared" ref="L2051:L2059" si="74">HYPERLINK("https://otsuka-europe-crm.veevavault.com/ui/#object/approved_document__v/V5O00000001L016", "ALL_Flexibilität_Ferienplanung_2026_AA_de")</f>
        <v>ALL_Flexibilität_Ferienplanung_2026_AA_de</v>
      </c>
      <c r="M2051" s="10" t="str">
        <f t="shared" ref="M2051:M2059" si="75">HYPERLINK("mailto:scapeder@crm.otsuka-europe.com", "scapeder@crm.otsuka-europe.com")</f>
        <v>scapeder@crm.otsuka-europe.com</v>
      </c>
      <c r="N2051" s="13">
        <v>46212.36509259259</v>
      </c>
      <c r="O2051" s="14" t="str">
        <f>HYPERLINK("https://otsuka-europe-crm.veevavault.com/ui/#object/email_activity__v/V8C000000043902", "EN-002103385")</f>
        <v>EN-002103385</v>
      </c>
    </row>
    <row r="2052" spans="1:15" ht="32" x14ac:dyDescent="0.2">
      <c r="A2052" s="7" t="str">
        <f>HYPERLINK("https://otsuka-europe-crm.veevavault.com/ui/#object/account__v/V4TZ06G6OBI6GYL", "Marion Reichert Hutzli")</f>
        <v>Marion Reichert Hutzli</v>
      </c>
      <c r="B2052" s="7" t="str">
        <f t="shared" si="72"/>
        <v>CH</v>
      </c>
      <c r="C2052" s="8" t="s">
        <v>45</v>
      </c>
      <c r="D2052" s="9" t="str">
        <f t="shared" si="73"/>
        <v>ALL_Flexibilität_Ferienplanung_2026_AA_de</v>
      </c>
      <c r="E2052" s="10" t="str">
        <f>HYPERLINK("https://otsuka-europe-crm.veevavault.com/ui/#object/sent_email__v/VBL000000034240", "SE-001442619")</f>
        <v>SE-001442619</v>
      </c>
      <c r="F2052" s="11"/>
      <c r="G2052" s="12">
        <v>0</v>
      </c>
      <c r="H2052" s="12">
        <v>0</v>
      </c>
      <c r="I2052" s="12">
        <v>0</v>
      </c>
      <c r="J2052" s="11"/>
      <c r="K2052" s="12">
        <v>0</v>
      </c>
      <c r="L2052" s="10" t="str">
        <f t="shared" si="74"/>
        <v>ALL_Flexibilität_Ferienplanung_2026_AA_de</v>
      </c>
      <c r="M2052" s="10" t="str">
        <f t="shared" si="75"/>
        <v>scapeder@crm.otsuka-europe.com</v>
      </c>
      <c r="N2052" s="13">
        <v>46212.36509259259</v>
      </c>
      <c r="O2052" s="14" t="str">
        <f>HYPERLINK("https://otsuka-europe-crm.veevavault.com/ui/#object/email_activity__v/V8C000000045217", "EN-002103691")</f>
        <v>EN-002103691</v>
      </c>
    </row>
    <row r="2053" spans="1:15" ht="32" x14ac:dyDescent="0.2">
      <c r="A2053" s="7" t="str">
        <f>HYPERLINK("https://otsuka-europe-crm.veevavault.com/ui/#object/account__v/V4TZ0000062R5IH", "Katrin Hanno")</f>
        <v>Katrin Hanno</v>
      </c>
      <c r="B2053" s="7" t="str">
        <f t="shared" si="72"/>
        <v>CH</v>
      </c>
      <c r="C2053" s="8" t="s">
        <v>45</v>
      </c>
      <c r="D2053" s="9" t="str">
        <f t="shared" si="73"/>
        <v>ALL_Flexibilität_Ferienplanung_2026_AA_de</v>
      </c>
      <c r="E2053" s="10" t="str">
        <f>HYPERLINK("https://otsuka-europe-crm.veevavault.com/ui/#object/sent_email__v/VBL000000034241", "SE-001442620")</f>
        <v>SE-001442620</v>
      </c>
      <c r="F2053" s="11"/>
      <c r="G2053" s="12">
        <v>0</v>
      </c>
      <c r="H2053" s="12">
        <v>0</v>
      </c>
      <c r="I2053" s="12">
        <v>0</v>
      </c>
      <c r="J2053" s="11"/>
      <c r="K2053" s="12">
        <v>0</v>
      </c>
      <c r="L2053" s="10" t="str">
        <f t="shared" si="74"/>
        <v>ALL_Flexibilität_Ferienplanung_2026_AA_de</v>
      </c>
      <c r="M2053" s="10" t="str">
        <f t="shared" si="75"/>
        <v>scapeder@crm.otsuka-europe.com</v>
      </c>
      <c r="N2053" s="13">
        <v>46212.36509259259</v>
      </c>
      <c r="O2053" s="14" t="str">
        <f>HYPERLINK("https://otsuka-europe-crm.veevavault.com/ui/#object/email_activity__v/V8C000000044931", "EN-002103388")</f>
        <v>EN-002103388</v>
      </c>
    </row>
    <row r="2054" spans="1:15" ht="32" x14ac:dyDescent="0.2">
      <c r="A2054" s="7" t="str">
        <f>HYPERLINK("https://otsuka-europe-crm.veevavault.com/ui/#object/account__v/V4TZ025E87MQW18", "Moritz Büttelmann")</f>
        <v>Moritz Büttelmann</v>
      </c>
      <c r="B2054" s="7" t="str">
        <f t="shared" si="72"/>
        <v>CH</v>
      </c>
      <c r="C2054" s="8" t="s">
        <v>45</v>
      </c>
      <c r="D2054" s="9" t="str">
        <f t="shared" si="73"/>
        <v>ALL_Flexibilität_Ferienplanung_2026_AA_de</v>
      </c>
      <c r="E2054" s="10" t="str">
        <f>HYPERLINK("https://otsuka-europe-crm.veevavault.com/ui/#object/sent_email__v/VBL000000034242", "SE-001442621")</f>
        <v>SE-001442621</v>
      </c>
      <c r="F2054" s="11"/>
      <c r="G2054" s="12">
        <v>0</v>
      </c>
      <c r="H2054" s="12">
        <v>0</v>
      </c>
      <c r="I2054" s="12">
        <v>0</v>
      </c>
      <c r="J2054" s="11"/>
      <c r="K2054" s="12">
        <v>0</v>
      </c>
      <c r="L2054" s="10" t="str">
        <f t="shared" si="74"/>
        <v>ALL_Flexibilität_Ferienplanung_2026_AA_de</v>
      </c>
      <c r="M2054" s="10" t="str">
        <f t="shared" si="75"/>
        <v>scapeder@crm.otsuka-europe.com</v>
      </c>
      <c r="N2054" s="13">
        <v>46212.365613425929</v>
      </c>
      <c r="O2054" s="14" t="str">
        <f>HYPERLINK("https://otsuka-europe-crm.veevavault.com/ui/#object/email_activity__v/V8C000000044941", "EN-002103398")</f>
        <v>EN-002103398</v>
      </c>
    </row>
    <row r="2055" spans="1:15" ht="32" x14ac:dyDescent="0.2">
      <c r="A2055" s="7" t="str">
        <f>HYPERLINK("https://otsuka-europe-crm.veevavault.com/ui/#object/account__v/V4TZ0000062R45X", "Michel Dang")</f>
        <v>Michel Dang</v>
      </c>
      <c r="B2055" s="7" t="str">
        <f t="shared" si="72"/>
        <v>CH</v>
      </c>
      <c r="C2055" s="8" t="s">
        <v>45</v>
      </c>
      <c r="D2055" s="9" t="str">
        <f t="shared" si="73"/>
        <v>ALL_Flexibilität_Ferienplanung_2026_AA_de</v>
      </c>
      <c r="E2055" s="10" t="str">
        <f>HYPERLINK("https://otsuka-europe-crm.veevavault.com/ui/#object/sent_email__v/VBL000000034243", "SE-001442622")</f>
        <v>SE-001442622</v>
      </c>
      <c r="F2055" s="11"/>
      <c r="G2055" s="12">
        <v>0</v>
      </c>
      <c r="H2055" s="12">
        <v>0</v>
      </c>
      <c r="I2055" s="12">
        <v>0</v>
      </c>
      <c r="J2055" s="11"/>
      <c r="K2055" s="12">
        <v>0</v>
      </c>
      <c r="L2055" s="10" t="str">
        <f t="shared" si="74"/>
        <v>ALL_Flexibilität_Ferienplanung_2026_AA_de</v>
      </c>
      <c r="M2055" s="10" t="str">
        <f t="shared" si="75"/>
        <v>scapeder@crm.otsuka-europe.com</v>
      </c>
      <c r="N2055" s="13">
        <v>46212.365613425929</v>
      </c>
      <c r="O2055" s="14" t="str">
        <f>HYPERLINK("https://otsuka-europe-crm.veevavault.com/ui/#object/email_activity__v/V8C000000044939", "EN-002103396")</f>
        <v>EN-002103396</v>
      </c>
    </row>
    <row r="2056" spans="1:15" ht="32" x14ac:dyDescent="0.2">
      <c r="A2056" s="7" t="str">
        <f>HYPERLINK("https://otsuka-europe-crm.veevavault.com/ui/#object/account__v/V4TZ06G6OBI6G0W", "Michael Schumacher")</f>
        <v>Michael Schumacher</v>
      </c>
      <c r="B2056" s="7" t="str">
        <f t="shared" si="72"/>
        <v>CH</v>
      </c>
      <c r="C2056" s="8" t="s">
        <v>45</v>
      </c>
      <c r="D2056" s="9" t="str">
        <f t="shared" si="73"/>
        <v>ALL_Flexibilität_Ferienplanung_2026_AA_de</v>
      </c>
      <c r="E2056" s="10" t="str">
        <f>HYPERLINK("https://otsuka-europe-crm.veevavault.com/ui/#object/sent_email__v/VBL000000034244", "SE-001442623")</f>
        <v>SE-001442623</v>
      </c>
      <c r="F2056" s="11"/>
      <c r="G2056" s="12">
        <v>0</v>
      </c>
      <c r="H2056" s="12">
        <v>0</v>
      </c>
      <c r="I2056" s="12">
        <v>0</v>
      </c>
      <c r="J2056" s="11"/>
      <c r="K2056" s="12">
        <v>0</v>
      </c>
      <c r="L2056" s="10" t="str">
        <f t="shared" si="74"/>
        <v>ALL_Flexibilität_Ferienplanung_2026_AA_de</v>
      </c>
      <c r="M2056" s="10" t="str">
        <f t="shared" si="75"/>
        <v>scapeder@crm.otsuka-europe.com</v>
      </c>
      <c r="N2056" s="13">
        <v>46212.365613425929</v>
      </c>
      <c r="O2056" s="14" t="str">
        <f>HYPERLINK("https://otsuka-europe-crm.veevavault.com/ui/#object/email_activity__v/V8C000000044942", "EN-002103399")</f>
        <v>EN-002103399</v>
      </c>
    </row>
    <row r="2057" spans="1:15" ht="32" x14ac:dyDescent="0.2">
      <c r="A2057" s="7" t="str">
        <f>HYPERLINK("https://otsuka-europe-crm.veevavault.com/ui/#object/account__v/V4TZ0000062R4N8", "Michaela Harzke")</f>
        <v>Michaela Harzke</v>
      </c>
      <c r="B2057" s="7" t="str">
        <f t="shared" si="72"/>
        <v>CH</v>
      </c>
      <c r="C2057" s="8" t="s">
        <v>45</v>
      </c>
      <c r="D2057" s="9" t="str">
        <f t="shared" si="73"/>
        <v>ALL_Flexibilität_Ferienplanung_2026_AA_de</v>
      </c>
      <c r="E2057" s="10" t="str">
        <f>HYPERLINK("https://otsuka-europe-crm.veevavault.com/ui/#object/sent_email__v/VBL000000034245", "SE-001442624")</f>
        <v>SE-001442624</v>
      </c>
      <c r="F2057" s="11"/>
      <c r="G2057" s="12">
        <v>0</v>
      </c>
      <c r="H2057" s="12">
        <v>0</v>
      </c>
      <c r="I2057" s="12">
        <v>0</v>
      </c>
      <c r="J2057" s="11"/>
      <c r="K2057" s="12">
        <v>0</v>
      </c>
      <c r="L2057" s="10" t="str">
        <f t="shared" si="74"/>
        <v>ALL_Flexibilität_Ferienplanung_2026_AA_de</v>
      </c>
      <c r="M2057" s="10" t="str">
        <f t="shared" si="75"/>
        <v>scapeder@crm.otsuka-europe.com</v>
      </c>
      <c r="N2057" s="13">
        <v>46212.365601851852</v>
      </c>
      <c r="O2057" s="14" t="str">
        <f>HYPERLINK("https://otsuka-europe-crm.veevavault.com/ui/#object/email_activity__v/V8C000000044935", "EN-002103392")</f>
        <v>EN-002103392</v>
      </c>
    </row>
    <row r="2058" spans="1:15" ht="32" x14ac:dyDescent="0.2">
      <c r="A2058" s="7" t="str">
        <f>HYPERLINK("https://otsuka-europe-crm.veevavault.com/ui/#object/account__v/V4TZ025E87MQOV1", "Mona Voroneanu")</f>
        <v>Mona Voroneanu</v>
      </c>
      <c r="B2058" s="7" t="str">
        <f t="shared" si="72"/>
        <v>CH</v>
      </c>
      <c r="C2058" s="8" t="s">
        <v>45</v>
      </c>
      <c r="D2058" s="9" t="str">
        <f t="shared" si="73"/>
        <v>ALL_Flexibilität_Ferienplanung_2026_AA_de</v>
      </c>
      <c r="E2058" s="10" t="str">
        <f>HYPERLINK("https://otsuka-europe-crm.veevavault.com/ui/#object/sent_email__v/VBL000000034246", "SE-001442625")</f>
        <v>SE-001442625</v>
      </c>
      <c r="F2058" s="11"/>
      <c r="G2058" s="12">
        <v>0</v>
      </c>
      <c r="H2058" s="12">
        <v>0</v>
      </c>
      <c r="I2058" s="12">
        <v>0</v>
      </c>
      <c r="J2058" s="11"/>
      <c r="K2058" s="12">
        <v>0</v>
      </c>
      <c r="L2058" s="10" t="str">
        <f t="shared" si="74"/>
        <v>ALL_Flexibilität_Ferienplanung_2026_AA_de</v>
      </c>
      <c r="M2058" s="10" t="str">
        <f t="shared" si="75"/>
        <v>scapeder@crm.otsuka-europe.com</v>
      </c>
      <c r="N2058" s="13">
        <v>46212.365601851852</v>
      </c>
      <c r="O2058" s="14" t="str">
        <f>HYPERLINK("https://otsuka-europe-crm.veevavault.com/ui/#object/email_activity__v/V8C000000044940", "EN-002103397")</f>
        <v>EN-002103397</v>
      </c>
    </row>
    <row r="2059" spans="1:15" ht="16" x14ac:dyDescent="0.2">
      <c r="A2059" s="18" t="str">
        <f>HYPERLINK("https://otsuka-europe-crm.veevavault.com/ui/#object/account__v/V4TZ06G6OBI6FI2", "Maxim Zavorotnyy")</f>
        <v>Maxim Zavorotnyy</v>
      </c>
      <c r="B2059" s="18" t="str">
        <f t="shared" si="72"/>
        <v>CH</v>
      </c>
      <c r="C2059" s="20" t="s">
        <v>45</v>
      </c>
      <c r="D2059" s="21" t="str">
        <f t="shared" si="73"/>
        <v>ALL_Flexibilität_Ferienplanung_2026_AA_de</v>
      </c>
      <c r="E2059" s="22" t="str">
        <f>HYPERLINK("https://otsuka-europe-crm.veevavault.com/ui/#object/sent_email__v/VBL000000034247", "SE-001442626")</f>
        <v>SE-001442626</v>
      </c>
      <c r="F2059" s="25">
        <v>46213.477731481478</v>
      </c>
      <c r="G2059" s="24">
        <v>1</v>
      </c>
      <c r="H2059" s="24">
        <v>2</v>
      </c>
      <c r="I2059" s="24">
        <v>0</v>
      </c>
      <c r="J2059" s="23"/>
      <c r="K2059" s="24">
        <v>0</v>
      </c>
      <c r="L2059" s="22" t="str">
        <f t="shared" si="74"/>
        <v>ALL_Flexibilität_Ferienplanung_2026_AA_de</v>
      </c>
      <c r="M2059" s="22" t="str">
        <f t="shared" si="75"/>
        <v>scapeder@crm.otsuka-europe.com</v>
      </c>
      <c r="N2059" s="25">
        <v>46212.365601851852</v>
      </c>
      <c r="O2059" s="14" t="str">
        <f>HYPERLINK("https://otsuka-europe-crm.veevavault.com/ui/#object/email_activity__v/V8C000000044937", "EN-002103394")</f>
        <v>EN-002103394</v>
      </c>
    </row>
    <row r="2060" spans="1:15" ht="16" x14ac:dyDescent="0.2">
      <c r="A2060" s="26"/>
      <c r="B2060" s="26"/>
      <c r="C2060" s="26"/>
      <c r="D2060" s="26"/>
      <c r="E2060" s="26"/>
      <c r="F2060" s="26"/>
      <c r="G2060" s="26"/>
      <c r="H2060" s="26"/>
      <c r="I2060" s="26"/>
      <c r="J2060" s="26"/>
      <c r="K2060" s="26"/>
      <c r="L2060" s="26"/>
      <c r="M2060" s="26"/>
      <c r="N2060" s="26"/>
      <c r="O2060" s="14" t="str">
        <f>HYPERLINK("https://otsuka-europe-crm.veevavault.com/ui/#object/email_activity__v/V8C000000047045", "EN-002104234")</f>
        <v>EN-002104234</v>
      </c>
    </row>
    <row r="2061" spans="1:15" ht="16" x14ac:dyDescent="0.2">
      <c r="A2061" s="26"/>
      <c r="B2061" s="26"/>
      <c r="C2061" s="26"/>
      <c r="D2061" s="26"/>
      <c r="E2061" s="26"/>
      <c r="F2061" s="26"/>
      <c r="G2061" s="26"/>
      <c r="H2061" s="26"/>
      <c r="I2061" s="26"/>
      <c r="J2061" s="26"/>
      <c r="K2061" s="26"/>
      <c r="L2061" s="26"/>
      <c r="M2061" s="26"/>
      <c r="N2061" s="26"/>
      <c r="O2061" s="14" t="str">
        <f>HYPERLINK("https://otsuka-europe-crm.veevavault.com/ui/#object/email_activity__v/V8C000000048087", "EN-002104342")</f>
        <v>EN-002104342</v>
      </c>
    </row>
    <row r="2062" spans="1:15" ht="16" x14ac:dyDescent="0.2">
      <c r="A2062" s="26"/>
      <c r="B2062" s="26"/>
      <c r="C2062" s="26"/>
      <c r="D2062" s="26"/>
      <c r="E2062" s="26"/>
      <c r="F2062" s="26"/>
      <c r="G2062" s="26"/>
      <c r="H2062" s="26"/>
      <c r="I2062" s="26"/>
      <c r="J2062" s="26"/>
      <c r="K2062" s="26"/>
      <c r="L2062" s="26"/>
      <c r="M2062" s="26"/>
      <c r="N2062" s="26"/>
      <c r="O2062" s="14" t="str">
        <f>HYPERLINK("https://otsuka-europe-crm.veevavault.com/ui/#object/email_activity__v/V8C000000049828", "EN-002106501")</f>
        <v>EN-002106501</v>
      </c>
    </row>
    <row r="2063" spans="1:15" ht="16" x14ac:dyDescent="0.2">
      <c r="A2063" s="19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19"/>
      <c r="N2063" s="19"/>
      <c r="O2063" s="14" t="str">
        <f>HYPERLINK("https://otsuka-europe-crm.veevavault.com/ui/#object/email_activity__v/V8C00000004A415", "EN-002105760")</f>
        <v>EN-002105760</v>
      </c>
    </row>
    <row r="2064" spans="1:15" ht="32" x14ac:dyDescent="0.2">
      <c r="A2064" s="7" t="str">
        <f>HYPERLINK("https://otsuka-europe-crm.veevavault.com/ui/#object/account__v/V4TZ0000062R7JV", "Matthias Hilpert")</f>
        <v>Matthias Hilpert</v>
      </c>
      <c r="B2064" s="7" t="str">
        <f>HYPERLINK("https://otsuka-europe-crm.veevavault.com/ui/#object/vcountry__v/VENZ000004SONFN", "CH")</f>
        <v>CH</v>
      </c>
      <c r="C2064" s="8" t="s">
        <v>45</v>
      </c>
      <c r="D2064" s="9" t="str">
        <f>HYPERLINK("https://otsuka-europe-crm.veevavault.com/ui/#object/approved_document__v/V5O00000001L016", "ALL_Flexibilität_Ferienplanung_2026_AA_de")</f>
        <v>ALL_Flexibilität_Ferienplanung_2026_AA_de</v>
      </c>
      <c r="E2064" s="10" t="str">
        <f>HYPERLINK("https://otsuka-europe-crm.veevavault.com/ui/#object/sent_email__v/VBL000000034248", "SE-001442627")</f>
        <v>SE-001442627</v>
      </c>
      <c r="F2064" s="11"/>
      <c r="G2064" s="12">
        <v>0</v>
      </c>
      <c r="H2064" s="12">
        <v>0</v>
      </c>
      <c r="I2064" s="12">
        <v>0</v>
      </c>
      <c r="J2064" s="11"/>
      <c r="K2064" s="12">
        <v>0</v>
      </c>
      <c r="L2064" s="10" t="str">
        <f>HYPERLINK("https://otsuka-europe-crm.veevavault.com/ui/#object/approved_document__v/V5O00000001L016", "ALL_Flexibilität_Ferienplanung_2026_AA_de")</f>
        <v>ALL_Flexibilität_Ferienplanung_2026_AA_de</v>
      </c>
      <c r="M2064" s="10" t="str">
        <f>HYPERLINK("mailto:scapeder@crm.otsuka-europe.com", "scapeder@crm.otsuka-europe.com")</f>
        <v>scapeder@crm.otsuka-europe.com</v>
      </c>
      <c r="N2064" s="13">
        <v>46212.365601851852</v>
      </c>
      <c r="O2064" s="14" t="str">
        <f>HYPERLINK("https://otsuka-europe-crm.veevavault.com/ui/#object/email_activity__v/V8C000000044936", "EN-002103393")</f>
        <v>EN-002103393</v>
      </c>
    </row>
    <row r="2065" spans="1:15" ht="16" x14ac:dyDescent="0.2">
      <c r="A2065" s="18" t="str">
        <f>HYPERLINK("https://otsuka-europe-crm.veevavault.com/ui/#object/account__v/V4TZ0000062R7C5", "Markus Guzek")</f>
        <v>Markus Guzek</v>
      </c>
      <c r="B2065" s="18" t="str">
        <f>HYPERLINK("https://otsuka-europe-crm.veevavault.com/ui/#object/vcountry__v/VENZ000004SONFN", "CH")</f>
        <v>CH</v>
      </c>
      <c r="C2065" s="20" t="s">
        <v>45</v>
      </c>
      <c r="D2065" s="21" t="str">
        <f>HYPERLINK("https://otsuka-europe-crm.veevavault.com/ui/#object/approved_document__v/V5O00000001L016", "ALL_Flexibilität_Ferienplanung_2026_AA_de")</f>
        <v>ALL_Flexibilität_Ferienplanung_2026_AA_de</v>
      </c>
      <c r="E2065" s="22" t="str">
        <f>HYPERLINK("https://otsuka-europe-crm.veevavault.com/ui/#object/sent_email__v/VBL000000034249", "SE-001442628")</f>
        <v>SE-001442628</v>
      </c>
      <c r="F2065" s="23"/>
      <c r="G2065" s="24">
        <v>0</v>
      </c>
      <c r="H2065" s="24">
        <v>0</v>
      </c>
      <c r="I2065" s="24">
        <v>0</v>
      </c>
      <c r="J2065" s="23"/>
      <c r="K2065" s="24">
        <v>0</v>
      </c>
      <c r="L2065" s="22" t="str">
        <f>HYPERLINK("https://otsuka-europe-crm.veevavault.com/ui/#object/approved_document__v/V5O00000001L016", "ALL_Flexibilität_Ferienplanung_2026_AA_de")</f>
        <v>ALL_Flexibilität_Ferienplanung_2026_AA_de</v>
      </c>
      <c r="M2065" s="22" t="str">
        <f>HYPERLINK("mailto:scapeder@crm.otsuka-europe.com", "scapeder@crm.otsuka-europe.com")</f>
        <v>scapeder@crm.otsuka-europe.com</v>
      </c>
      <c r="N2065" s="25">
        <v>46212.365601851852</v>
      </c>
      <c r="O2065" s="14" t="str">
        <f>HYPERLINK("https://otsuka-europe-crm.veevavault.com/ui/#object/email_activity__v/V8C000000043914", "EN-002103677")</f>
        <v>EN-002103677</v>
      </c>
    </row>
    <row r="2066" spans="1:15" ht="16" x14ac:dyDescent="0.2">
      <c r="A2066" s="19"/>
      <c r="B2066" s="19"/>
      <c r="C2066" s="19"/>
      <c r="D2066" s="19"/>
      <c r="E2066" s="19"/>
      <c r="F2066" s="19"/>
      <c r="G2066" s="19"/>
      <c r="H2066" s="19"/>
      <c r="I2066" s="19"/>
      <c r="J2066" s="19"/>
      <c r="K2066" s="19"/>
      <c r="L2066" s="19"/>
      <c r="M2066" s="19"/>
      <c r="N2066" s="19"/>
      <c r="O2066" s="14" t="str">
        <f>HYPERLINK("https://otsuka-europe-crm.veevavault.com/ui/#object/email_activity__v/V8C000000044944", "EN-002103401")</f>
        <v>EN-002103401</v>
      </c>
    </row>
    <row r="2067" spans="1:15" ht="32" x14ac:dyDescent="0.2">
      <c r="A2067" s="7" t="str">
        <f>HYPERLINK("https://otsuka-europe-crm.veevavault.com/ui/#object/account__v/V4TZ025E82IQH3M", "Nicole Karina Nicolaiko Temperly")</f>
        <v>Nicole Karina Nicolaiko Temperly</v>
      </c>
      <c r="B2067" s="7" t="str">
        <f>HYPERLINK("https://otsuka-europe-crm.veevavault.com/ui/#object/vcountry__v/VENZ000004SONFN", "CH")</f>
        <v>CH</v>
      </c>
      <c r="C2067" s="8" t="s">
        <v>45</v>
      </c>
      <c r="D2067" s="9" t="str">
        <f>HYPERLINK("https://otsuka-europe-crm.veevavault.com/ui/#object/approved_document__v/V5O00000001L016", "ALL_Flexibilität_Ferienplanung_2026_AA_de")</f>
        <v>ALL_Flexibilität_Ferienplanung_2026_AA_de</v>
      </c>
      <c r="E2067" s="10" t="str">
        <f>HYPERLINK("https://otsuka-europe-crm.veevavault.com/ui/#object/sent_email__v/VBL000000034250", "SE-001442629")</f>
        <v>SE-001442629</v>
      </c>
      <c r="F2067" s="11"/>
      <c r="G2067" s="12">
        <v>0</v>
      </c>
      <c r="H2067" s="12">
        <v>0</v>
      </c>
      <c r="I2067" s="12">
        <v>0</v>
      </c>
      <c r="J2067" s="11"/>
      <c r="K2067" s="12">
        <v>0</v>
      </c>
      <c r="L2067" s="10" t="str">
        <f>HYPERLINK("https://otsuka-europe-crm.veevavault.com/ui/#object/approved_document__v/V5O00000001L016", "ALL_Flexibilität_Ferienplanung_2026_AA_de")</f>
        <v>ALL_Flexibilität_Ferienplanung_2026_AA_de</v>
      </c>
      <c r="M2067" s="10" t="str">
        <f>HYPERLINK("mailto:scapeder@crm.otsuka-europe.com", "scapeder@crm.otsuka-europe.com")</f>
        <v>scapeder@crm.otsuka-europe.com</v>
      </c>
      <c r="N2067" s="13">
        <v>46212.365613425929</v>
      </c>
      <c r="O2067" s="14" t="str">
        <f>HYPERLINK("https://otsuka-europe-crm.veevavault.com/ui/#object/email_activity__v/V8C000000044938", "EN-002103395")</f>
        <v>EN-002103395</v>
      </c>
    </row>
    <row r="2068" spans="1:15" ht="32" x14ac:dyDescent="0.2">
      <c r="A2068" s="7" t="str">
        <f>HYPERLINK("https://otsuka-europe-crm.veevavault.com/ui/#object/account__v/V4TZ0000062SGRQ", "Monika Weiss")</f>
        <v>Monika Weiss</v>
      </c>
      <c r="B2068" s="7" t="str">
        <f>HYPERLINK("https://otsuka-europe-crm.veevavault.com/ui/#object/vcountry__v/VENZ000004SONFN", "CH")</f>
        <v>CH</v>
      </c>
      <c r="C2068" s="8" t="s">
        <v>45</v>
      </c>
      <c r="D2068" s="9" t="str">
        <f>HYPERLINK("https://otsuka-europe-crm.veevavault.com/ui/#object/approved_document__v/V5O00000001L016", "ALL_Flexibilität_Ferienplanung_2026_AA_de")</f>
        <v>ALL_Flexibilität_Ferienplanung_2026_AA_de</v>
      </c>
      <c r="E2068" s="10" t="str">
        <f>HYPERLINK("https://otsuka-europe-crm.veevavault.com/ui/#object/sent_email__v/VBL000000034251", "SE-001442630")</f>
        <v>SE-001442630</v>
      </c>
      <c r="F2068" s="11"/>
      <c r="G2068" s="12">
        <v>0</v>
      </c>
      <c r="H2068" s="12">
        <v>0</v>
      </c>
      <c r="I2068" s="12">
        <v>0</v>
      </c>
      <c r="J2068" s="11"/>
      <c r="K2068" s="12">
        <v>0</v>
      </c>
      <c r="L2068" s="10" t="str">
        <f>HYPERLINK("https://otsuka-europe-crm.veevavault.com/ui/#object/approved_document__v/V5O00000001L016", "ALL_Flexibilität_Ferienplanung_2026_AA_de")</f>
        <v>ALL_Flexibilität_Ferienplanung_2026_AA_de</v>
      </c>
      <c r="M2068" s="10" t="str">
        <f>HYPERLINK("mailto:scapeder@crm.otsuka-europe.com", "scapeder@crm.otsuka-europe.com")</f>
        <v>scapeder@crm.otsuka-europe.com</v>
      </c>
      <c r="N2068" s="13">
        <v>46212.365613425929</v>
      </c>
      <c r="O2068" s="14" t="str">
        <f>HYPERLINK("https://otsuka-europe-crm.veevavault.com/ui/#object/email_activity__v/V8C000000044943", "EN-002103400")</f>
        <v>EN-002103400</v>
      </c>
    </row>
    <row r="2069" spans="1:15" ht="32" x14ac:dyDescent="0.2">
      <c r="A2069" s="7" t="str">
        <f>HYPERLINK("https://otsuka-europe-crm.veevavault.com/ui/#object/account__v/V4TZ0000062R4BB", "Patrick Nemeshazy")</f>
        <v>Patrick Nemeshazy</v>
      </c>
      <c r="B2069" s="7" t="str">
        <f>HYPERLINK("https://otsuka-europe-crm.veevavault.com/ui/#object/vcountry__v/VENZ000004SONFN", "CH")</f>
        <v>CH</v>
      </c>
      <c r="C2069" s="8" t="s">
        <v>45</v>
      </c>
      <c r="D2069" s="9" t="str">
        <f>HYPERLINK("https://otsuka-europe-crm.veevavault.com/ui/#object/approved_document__v/V5O00000001L016", "ALL_Flexibilität_Ferienplanung_2026_AA_de")</f>
        <v>ALL_Flexibilität_Ferienplanung_2026_AA_de</v>
      </c>
      <c r="E2069" s="10" t="str">
        <f>HYPERLINK("https://otsuka-europe-crm.veevavault.com/ui/#object/sent_email__v/VBL000000034252", "SE-001442631")</f>
        <v>SE-001442631</v>
      </c>
      <c r="F2069" s="11"/>
      <c r="G2069" s="12">
        <v>0</v>
      </c>
      <c r="H2069" s="12">
        <v>0</v>
      </c>
      <c r="I2069" s="12">
        <v>0</v>
      </c>
      <c r="J2069" s="11"/>
      <c r="K2069" s="12">
        <v>0</v>
      </c>
      <c r="L2069" s="10" t="str">
        <f>HYPERLINK("https://otsuka-europe-crm.veevavault.com/ui/#object/approved_document__v/V5O00000001L016", "ALL_Flexibilität_Ferienplanung_2026_AA_de")</f>
        <v>ALL_Flexibilität_Ferienplanung_2026_AA_de</v>
      </c>
      <c r="M2069" s="10" t="str">
        <f>HYPERLINK("mailto:scapeder@crm.otsuka-europe.com", "scapeder@crm.otsuka-europe.com")</f>
        <v>scapeder@crm.otsuka-europe.com</v>
      </c>
      <c r="N2069" s="13">
        <v>46212.365949074076</v>
      </c>
      <c r="O2069" s="14" t="str">
        <f>HYPERLINK("https://otsuka-europe-crm.veevavault.com/ui/#object/email_activity__v/V8C000000044951", "EN-002103411")</f>
        <v>EN-002103411</v>
      </c>
    </row>
    <row r="2070" spans="1:15" ht="16" x14ac:dyDescent="0.2">
      <c r="A2070" s="18" t="str">
        <f>HYPERLINK("https://otsuka-europe-crm.veevavault.com/ui/#object/account__v/V4TZ0000062R6JJ", "Philipp Eich")</f>
        <v>Philipp Eich</v>
      </c>
      <c r="B2070" s="18" t="str">
        <f>HYPERLINK("https://otsuka-europe-crm.veevavault.com/ui/#object/vcountry__v/VENZ000004SONFN", "CH")</f>
        <v>CH</v>
      </c>
      <c r="C2070" s="20" t="s">
        <v>45</v>
      </c>
      <c r="D2070" s="21" t="str">
        <f>HYPERLINK("https://otsuka-europe-crm.veevavault.com/ui/#object/approved_document__v/V5O00000001L016", "ALL_Flexibilität_Ferienplanung_2026_AA_de")</f>
        <v>ALL_Flexibilität_Ferienplanung_2026_AA_de</v>
      </c>
      <c r="E2070" s="22" t="str">
        <f>HYPERLINK("https://otsuka-europe-crm.veevavault.com/ui/#object/sent_email__v/VBL000000034253", "SE-001442632")</f>
        <v>SE-001442632</v>
      </c>
      <c r="F2070" s="23"/>
      <c r="G2070" s="24">
        <v>0</v>
      </c>
      <c r="H2070" s="24">
        <v>0</v>
      </c>
      <c r="I2070" s="24">
        <v>1</v>
      </c>
      <c r="J2070" s="25">
        <v>46212.432800925926</v>
      </c>
      <c r="K2070" s="24">
        <v>1</v>
      </c>
      <c r="L2070" s="22" t="str">
        <f>HYPERLINK("https://otsuka-europe-crm.veevavault.com/ui/#object/approved_document__v/V5O00000001L016", "ALL_Flexibilität_Ferienplanung_2026_AA_de")</f>
        <v>ALL_Flexibilität_Ferienplanung_2026_AA_de</v>
      </c>
      <c r="M2070" s="22" t="str">
        <f>HYPERLINK("mailto:scapeder@crm.otsuka-europe.com", "scapeder@crm.otsuka-europe.com")</f>
        <v>scapeder@crm.otsuka-europe.com</v>
      </c>
      <c r="N2070" s="25">
        <v>46212.365949074076</v>
      </c>
      <c r="O2070" s="14" t="str">
        <f>HYPERLINK("https://otsuka-europe-crm.veevavault.com/ui/#object/email_activity__v/V8C000000043990", "EN-002103793")</f>
        <v>EN-002103793</v>
      </c>
    </row>
    <row r="2071" spans="1:15" ht="16" x14ac:dyDescent="0.2">
      <c r="A2071" s="26"/>
      <c r="B2071" s="26"/>
      <c r="C2071" s="26"/>
      <c r="D2071" s="26"/>
      <c r="E2071" s="26"/>
      <c r="F2071" s="26"/>
      <c r="G2071" s="26"/>
      <c r="H2071" s="26"/>
      <c r="I2071" s="26"/>
      <c r="J2071" s="26"/>
      <c r="K2071" s="26"/>
      <c r="L2071" s="26"/>
      <c r="M2071" s="26"/>
      <c r="N2071" s="26"/>
      <c r="O2071" s="14" t="str">
        <f>HYPERLINK("https://otsuka-europe-crm.veevavault.com/ui/#object/email_activity__v/V8C000000043994", "EN-002103797")</f>
        <v>EN-002103797</v>
      </c>
    </row>
    <row r="2072" spans="1:15" ht="16" x14ac:dyDescent="0.2">
      <c r="A2072" s="26"/>
      <c r="B2072" s="26"/>
      <c r="C2072" s="26"/>
      <c r="D2072" s="26"/>
      <c r="E2072" s="26"/>
      <c r="F2072" s="26"/>
      <c r="G2072" s="26"/>
      <c r="H2072" s="26"/>
      <c r="I2072" s="26"/>
      <c r="J2072" s="26"/>
      <c r="K2072" s="26"/>
      <c r="L2072" s="26"/>
      <c r="M2072" s="26"/>
      <c r="N2072" s="26"/>
      <c r="O2072" s="14" t="str">
        <f>HYPERLINK("https://otsuka-europe-crm.veevavault.com/ui/#object/email_activity__v/V8C000000044945", "EN-002103404")</f>
        <v>EN-002103404</v>
      </c>
    </row>
    <row r="2073" spans="1:15" ht="16" x14ac:dyDescent="0.2">
      <c r="A2073" s="19"/>
      <c r="B2073" s="19"/>
      <c r="C2073" s="19"/>
      <c r="D2073" s="19"/>
      <c r="E2073" s="19"/>
      <c r="F2073" s="19"/>
      <c r="G2073" s="19"/>
      <c r="H2073" s="19"/>
      <c r="I2073" s="19"/>
      <c r="J2073" s="19"/>
      <c r="K2073" s="19"/>
      <c r="L2073" s="19"/>
      <c r="M2073" s="19"/>
      <c r="N2073" s="19"/>
      <c r="O2073" s="14" t="str">
        <f>HYPERLINK("https://otsuka-europe-crm.veevavault.com/ui/#object/email_activity__v/V8C000000046004", "EN-002103815")</f>
        <v>EN-002103815</v>
      </c>
    </row>
    <row r="2074" spans="1:15" ht="32" x14ac:dyDescent="0.2">
      <c r="A2074" s="7" t="str">
        <f>HYPERLINK("https://otsuka-europe-crm.veevavault.com/ui/#object/account__v/V4TZ0000062SGI9", "Reshat Spahija")</f>
        <v>Reshat Spahija</v>
      </c>
      <c r="B2074" s="7" t="str">
        <f>HYPERLINK("https://otsuka-europe-crm.veevavault.com/ui/#object/vcountry__v/VENZ000004SONFN", "CH")</f>
        <v>CH</v>
      </c>
      <c r="C2074" s="8" t="s">
        <v>45</v>
      </c>
      <c r="D2074" s="9" t="str">
        <f>HYPERLINK("https://otsuka-europe-crm.veevavault.com/ui/#object/approved_document__v/V5O00000001L016", "ALL_Flexibilität_Ferienplanung_2026_AA_de")</f>
        <v>ALL_Flexibilität_Ferienplanung_2026_AA_de</v>
      </c>
      <c r="E2074" s="10" t="str">
        <f>HYPERLINK("https://otsuka-europe-crm.veevavault.com/ui/#object/sent_email__v/VBL000000034254", "SE-001442633")</f>
        <v>SE-001442633</v>
      </c>
      <c r="F2074" s="11"/>
      <c r="G2074" s="12">
        <v>0</v>
      </c>
      <c r="H2074" s="12">
        <v>0</v>
      </c>
      <c r="I2074" s="12">
        <v>0</v>
      </c>
      <c r="J2074" s="11"/>
      <c r="K2074" s="12">
        <v>0</v>
      </c>
      <c r="L2074" s="10" t="str">
        <f>HYPERLINK("https://otsuka-europe-crm.veevavault.com/ui/#object/approved_document__v/V5O00000001L016", "ALL_Flexibilität_Ferienplanung_2026_AA_de")</f>
        <v>ALL_Flexibilität_Ferienplanung_2026_AA_de</v>
      </c>
      <c r="M2074" s="10" t="str">
        <f>HYPERLINK("mailto:scapeder@crm.otsuka-europe.com", "scapeder@crm.otsuka-europe.com")</f>
        <v>scapeder@crm.otsuka-europe.com</v>
      </c>
      <c r="N2074" s="13">
        <v>46212.365949074076</v>
      </c>
      <c r="O2074" s="14" t="str">
        <f>HYPERLINK("https://otsuka-europe-crm.veevavault.com/ui/#object/email_activity__v/V8C000000044952", "EN-002103412")</f>
        <v>EN-002103412</v>
      </c>
    </row>
    <row r="2075" spans="1:15" ht="32" x14ac:dyDescent="0.2">
      <c r="A2075" s="7" t="str">
        <f>HYPERLINK("https://otsuka-europe-crm.veevavault.com/ui/#object/account__v/V4TZ04ASGG03RFB", "Peter Masár")</f>
        <v>Peter Masár</v>
      </c>
      <c r="B2075" s="7" t="str">
        <f>HYPERLINK("https://otsuka-europe-crm.veevavault.com/ui/#object/vcountry__v/VENZ000004SONFN", "CH")</f>
        <v>CH</v>
      </c>
      <c r="C2075" s="8" t="s">
        <v>45</v>
      </c>
      <c r="D2075" s="9" t="str">
        <f>HYPERLINK("https://otsuka-europe-crm.veevavault.com/ui/#object/approved_document__v/V5O00000001L016", "ALL_Flexibilität_Ferienplanung_2026_AA_de")</f>
        <v>ALL_Flexibilität_Ferienplanung_2026_AA_de</v>
      </c>
      <c r="E2075" s="10" t="str">
        <f>HYPERLINK("https://otsuka-europe-crm.veevavault.com/ui/#object/sent_email__v/VBL000000034255", "SE-001442634")</f>
        <v>SE-001442634</v>
      </c>
      <c r="F2075" s="11"/>
      <c r="G2075" s="12">
        <v>0</v>
      </c>
      <c r="H2075" s="12">
        <v>0</v>
      </c>
      <c r="I2075" s="12">
        <v>0</v>
      </c>
      <c r="J2075" s="11"/>
      <c r="K2075" s="12">
        <v>0</v>
      </c>
      <c r="L2075" s="10" t="str">
        <f>HYPERLINK("https://otsuka-europe-crm.veevavault.com/ui/#object/approved_document__v/V5O00000001L016", "ALL_Flexibilität_Ferienplanung_2026_AA_de")</f>
        <v>ALL_Flexibilität_Ferienplanung_2026_AA_de</v>
      </c>
      <c r="M2075" s="10" t="str">
        <f>HYPERLINK("mailto:scapeder@crm.otsuka-europe.com", "scapeder@crm.otsuka-europe.com")</f>
        <v>scapeder@crm.otsuka-europe.com</v>
      </c>
      <c r="N2075" s="13">
        <v>46212.365949074076</v>
      </c>
      <c r="O2075" s="14" t="str">
        <f>HYPERLINK("https://otsuka-europe-crm.veevavault.com/ui/#object/email_activity__v/V8C000000044950", "EN-002103410")</f>
        <v>EN-002103410</v>
      </c>
    </row>
    <row r="2076" spans="1:15" ht="32" x14ac:dyDescent="0.2">
      <c r="A2076" s="7" t="str">
        <f>HYPERLINK("https://otsuka-europe-crm.veevavault.com/ui/#object/account__v/V4TZ025E83X08BY", "Roger Bernhard")</f>
        <v>Roger Bernhard</v>
      </c>
      <c r="B2076" s="7" t="str">
        <f>HYPERLINK("https://otsuka-europe-crm.veevavault.com/ui/#object/vcountry__v/VENZ000004SONFN", "CH")</f>
        <v>CH</v>
      </c>
      <c r="C2076" s="8" t="s">
        <v>45</v>
      </c>
      <c r="D2076" s="9" t="str">
        <f>HYPERLINK("https://otsuka-europe-crm.veevavault.com/ui/#object/approved_document__v/V5O00000001L016", "ALL_Flexibilität_Ferienplanung_2026_AA_de")</f>
        <v>ALL_Flexibilität_Ferienplanung_2026_AA_de</v>
      </c>
      <c r="E2076" s="10" t="str">
        <f>HYPERLINK("https://otsuka-europe-crm.veevavault.com/ui/#object/sent_email__v/VBL000000034256", "SE-001442635")</f>
        <v>SE-001442635</v>
      </c>
      <c r="F2076" s="11"/>
      <c r="G2076" s="12">
        <v>0</v>
      </c>
      <c r="H2076" s="12">
        <v>0</v>
      </c>
      <c r="I2076" s="12">
        <v>0</v>
      </c>
      <c r="J2076" s="11"/>
      <c r="K2076" s="12">
        <v>0</v>
      </c>
      <c r="L2076" s="10" t="str">
        <f>HYPERLINK("https://otsuka-europe-crm.veevavault.com/ui/#object/approved_document__v/V5O00000001L016", "ALL_Flexibilität_Ferienplanung_2026_AA_de")</f>
        <v>ALL_Flexibilität_Ferienplanung_2026_AA_de</v>
      </c>
      <c r="M2076" s="10" t="str">
        <f>HYPERLINK("mailto:scapeder@crm.otsuka-europe.com", "scapeder@crm.otsuka-europe.com")</f>
        <v>scapeder@crm.otsuka-europe.com</v>
      </c>
      <c r="N2076" s="13">
        <v>46212.365972222222</v>
      </c>
      <c r="O2076" s="14" t="str">
        <f>HYPERLINK("https://otsuka-europe-crm.veevavault.com/ui/#object/email_activity__v/V8C000000043905", "EN-002103409")</f>
        <v>EN-002103409</v>
      </c>
    </row>
    <row r="2077" spans="1:15" ht="32" x14ac:dyDescent="0.2">
      <c r="A2077" s="7" t="str">
        <f>HYPERLINK("https://otsuka-europe-crm.veevavault.com/ui/#object/account__v/V4TZ0000062SGXE", "Roland Vauth")</f>
        <v>Roland Vauth</v>
      </c>
      <c r="B2077" s="7" t="str">
        <f>HYPERLINK("https://otsuka-europe-crm.veevavault.com/ui/#object/vcountry__v/VENZ000004SONFN", "CH")</f>
        <v>CH</v>
      </c>
      <c r="C2077" s="8" t="s">
        <v>45</v>
      </c>
      <c r="D2077" s="9" t="str">
        <f>HYPERLINK("https://otsuka-europe-crm.veevavault.com/ui/#object/approved_document__v/V5O00000001L016", "ALL_Flexibilität_Ferienplanung_2026_AA_de")</f>
        <v>ALL_Flexibilität_Ferienplanung_2026_AA_de</v>
      </c>
      <c r="E2077" s="10" t="str">
        <f>HYPERLINK("https://otsuka-europe-crm.veevavault.com/ui/#object/sent_email__v/VBL000000034257", "SE-001442636")</f>
        <v>SE-001442636</v>
      </c>
      <c r="F2077" s="11"/>
      <c r="G2077" s="12">
        <v>0</v>
      </c>
      <c r="H2077" s="12">
        <v>0</v>
      </c>
      <c r="I2077" s="12">
        <v>0</v>
      </c>
      <c r="J2077" s="11"/>
      <c r="K2077" s="12">
        <v>0</v>
      </c>
      <c r="L2077" s="10" t="str">
        <f>HYPERLINK("https://otsuka-europe-crm.veevavault.com/ui/#object/approved_document__v/V5O00000001L016", "ALL_Flexibilität_Ferienplanung_2026_AA_de")</f>
        <v>ALL_Flexibilität_Ferienplanung_2026_AA_de</v>
      </c>
      <c r="M2077" s="10" t="str">
        <f>HYPERLINK("mailto:scapeder@crm.otsuka-europe.com", "scapeder@crm.otsuka-europe.com")</f>
        <v>scapeder@crm.otsuka-europe.com</v>
      </c>
      <c r="N2077" s="13">
        <v>46212.365949074076</v>
      </c>
      <c r="O2077" s="14" t="str">
        <f>HYPERLINK("https://otsuka-europe-crm.veevavault.com/ui/#object/email_activity__v/V8C000000043910", "EN-002103437")</f>
        <v>EN-002103437</v>
      </c>
    </row>
    <row r="2078" spans="1:15" ht="16" x14ac:dyDescent="0.2">
      <c r="A2078" s="18" t="str">
        <f>HYPERLINK("https://otsuka-europe-crm.veevavault.com/ui/#object/account__v/V4TZ0000062R6UX", "Nino Brunner")</f>
        <v>Nino Brunner</v>
      </c>
      <c r="B2078" s="18" t="str">
        <f>HYPERLINK("https://otsuka-europe-crm.veevavault.com/ui/#object/vcountry__v/VENZ000004SONFN", "CH")</f>
        <v>CH</v>
      </c>
      <c r="C2078" s="20" t="s">
        <v>45</v>
      </c>
      <c r="D2078" s="21" t="str">
        <f>HYPERLINK("https://otsuka-europe-crm.veevavault.com/ui/#object/approved_document__v/V5O00000001L016", "ALL_Flexibilität_Ferienplanung_2026_AA_de")</f>
        <v>ALL_Flexibilität_Ferienplanung_2026_AA_de</v>
      </c>
      <c r="E2078" s="22" t="str">
        <f>HYPERLINK("https://otsuka-europe-crm.veevavault.com/ui/#object/sent_email__v/VBL000000034258", "SE-001442637")</f>
        <v>SE-001442637</v>
      </c>
      <c r="F2078" s="23"/>
      <c r="G2078" s="24">
        <v>0</v>
      </c>
      <c r="H2078" s="24">
        <v>0</v>
      </c>
      <c r="I2078" s="24">
        <v>0</v>
      </c>
      <c r="J2078" s="23"/>
      <c r="K2078" s="24">
        <v>0</v>
      </c>
      <c r="L2078" s="22" t="str">
        <f>HYPERLINK("https://otsuka-europe-crm.veevavault.com/ui/#object/approved_document__v/V5O00000001L016", "ALL_Flexibilität_Ferienplanung_2026_AA_de")</f>
        <v>ALL_Flexibilität_Ferienplanung_2026_AA_de</v>
      </c>
      <c r="M2078" s="22" t="str">
        <f>HYPERLINK("mailto:scapeder@crm.otsuka-europe.com", "scapeder@crm.otsuka-europe.com")</f>
        <v>scapeder@crm.otsuka-europe.com</v>
      </c>
      <c r="N2078" s="25">
        <v>46212.365949074076</v>
      </c>
      <c r="O2078" s="14" t="str">
        <f>HYPERLINK("https://otsuka-europe-crm.veevavault.com/ui/#object/email_activity__v/V8C000000043904", "EN-002103403")</f>
        <v>EN-002103403</v>
      </c>
    </row>
    <row r="2079" spans="1:15" ht="16" x14ac:dyDescent="0.2">
      <c r="A2079" s="19"/>
      <c r="B2079" s="19"/>
      <c r="C2079" s="19"/>
      <c r="D2079" s="19"/>
      <c r="E2079" s="19"/>
      <c r="F2079" s="19"/>
      <c r="G2079" s="19"/>
      <c r="H2079" s="19"/>
      <c r="I2079" s="19"/>
      <c r="J2079" s="19"/>
      <c r="K2079" s="19"/>
      <c r="L2079" s="19"/>
      <c r="M2079" s="19"/>
      <c r="N2079" s="19"/>
      <c r="O2079" s="14" t="str">
        <f>HYPERLINK("https://otsuka-europe-crm.veevavault.com/ui/#object/email_activity__v/V8C000000047030", "EN-002104202")</f>
        <v>EN-002104202</v>
      </c>
    </row>
    <row r="2080" spans="1:15" ht="16" x14ac:dyDescent="0.2">
      <c r="A2080" s="18" t="str">
        <f>HYPERLINK("https://otsuka-europe-crm.veevavault.com/ui/#object/account__v/V4TZ025E875HTBA", "Petar-Marko Spanjol")</f>
        <v>Petar-Marko Spanjol</v>
      </c>
      <c r="B2080" s="18" t="str">
        <f>HYPERLINK("https://otsuka-europe-crm.veevavault.com/ui/#object/vcountry__v/VENZ000004SONFN", "CH")</f>
        <v>CH</v>
      </c>
      <c r="C2080" s="20" t="s">
        <v>45</v>
      </c>
      <c r="D2080" s="21" t="str">
        <f>HYPERLINK("https://otsuka-europe-crm.veevavault.com/ui/#object/approved_document__v/V5O00000001L016", "ALL_Flexibilität_Ferienplanung_2026_AA_de")</f>
        <v>ALL_Flexibilität_Ferienplanung_2026_AA_de</v>
      </c>
      <c r="E2080" s="22" t="str">
        <f>HYPERLINK("https://otsuka-europe-crm.veevavault.com/ui/#object/sent_email__v/VBL000000034259", "SE-001442638")</f>
        <v>SE-001442638</v>
      </c>
      <c r="F2080" s="25">
        <v>46218.331053240741</v>
      </c>
      <c r="G2080" s="24">
        <v>1</v>
      </c>
      <c r="H2080" s="24">
        <v>5</v>
      </c>
      <c r="I2080" s="24">
        <v>0</v>
      </c>
      <c r="J2080" s="23"/>
      <c r="K2080" s="24">
        <v>0</v>
      </c>
      <c r="L2080" s="22" t="str">
        <f>HYPERLINK("https://otsuka-europe-crm.veevavault.com/ui/#object/approved_document__v/V5O00000001L016", "ALL_Flexibilität_Ferienplanung_2026_AA_de")</f>
        <v>ALL_Flexibilität_Ferienplanung_2026_AA_de</v>
      </c>
      <c r="M2080" s="22" t="str">
        <f>HYPERLINK("mailto:scapeder@crm.otsuka-europe.com", "scapeder@crm.otsuka-europe.com")</f>
        <v>scapeder@crm.otsuka-europe.com</v>
      </c>
      <c r="N2080" s="25">
        <v>46212.365949074076</v>
      </c>
      <c r="O2080" s="14" t="str">
        <f>HYPERLINK("https://otsuka-europe-crm.veevavault.com/ui/#object/email_activity__v/V8C000000044949", "EN-002103408")</f>
        <v>EN-002103408</v>
      </c>
    </row>
    <row r="2081" spans="1:15" ht="16" x14ac:dyDescent="0.2">
      <c r="A2081" s="26"/>
      <c r="B2081" s="26"/>
      <c r="C2081" s="26"/>
      <c r="D2081" s="26"/>
      <c r="E2081" s="26"/>
      <c r="F2081" s="26"/>
      <c r="G2081" s="26"/>
      <c r="H2081" s="26"/>
      <c r="I2081" s="26"/>
      <c r="J2081" s="26"/>
      <c r="K2081" s="26"/>
      <c r="L2081" s="26"/>
      <c r="M2081" s="26"/>
      <c r="N2081" s="26"/>
      <c r="O2081" s="14" t="str">
        <f>HYPERLINK("https://otsuka-europe-crm.veevavault.com/ui/#object/email_activity__v/V8C000000049093", "EN-002105035")</f>
        <v>EN-002105035</v>
      </c>
    </row>
    <row r="2082" spans="1:15" ht="16" x14ac:dyDescent="0.2">
      <c r="A2082" s="26"/>
      <c r="B2082" s="26"/>
      <c r="C2082" s="26"/>
      <c r="D2082" s="26"/>
      <c r="E2082" s="26"/>
      <c r="F2082" s="26"/>
      <c r="G2082" s="26"/>
      <c r="H2082" s="26"/>
      <c r="I2082" s="26"/>
      <c r="J2082" s="26"/>
      <c r="K2082" s="26"/>
      <c r="L2082" s="26"/>
      <c r="M2082" s="26"/>
      <c r="N2082" s="26"/>
      <c r="O2082" s="14" t="str">
        <f>HYPERLINK("https://otsuka-europe-crm.veevavault.com/ui/#object/email_activity__v/V8C000000049111", "EN-002105116")</f>
        <v>EN-002105116</v>
      </c>
    </row>
    <row r="2083" spans="1:15" ht="16" x14ac:dyDescent="0.2">
      <c r="A2083" s="26"/>
      <c r="B2083" s="26"/>
      <c r="C2083" s="26"/>
      <c r="D2083" s="26"/>
      <c r="E2083" s="26"/>
      <c r="F2083" s="26"/>
      <c r="G2083" s="26"/>
      <c r="H2083" s="26"/>
      <c r="I2083" s="26"/>
      <c r="J2083" s="26"/>
      <c r="K2083" s="26"/>
      <c r="L2083" s="26"/>
      <c r="M2083" s="26"/>
      <c r="N2083" s="26"/>
      <c r="O2083" s="14" t="str">
        <f>HYPERLINK("https://otsuka-europe-crm.veevavault.com/ui/#object/email_activity__v/V8C000000049697", "EN-002106212")</f>
        <v>EN-002106212</v>
      </c>
    </row>
    <row r="2084" spans="1:15" ht="16" x14ac:dyDescent="0.2">
      <c r="A2084" s="26"/>
      <c r="B2084" s="26"/>
      <c r="C2084" s="26"/>
      <c r="D2084" s="26"/>
      <c r="E2084" s="26"/>
      <c r="F2084" s="26"/>
      <c r="G2084" s="26"/>
      <c r="H2084" s="26"/>
      <c r="I2084" s="26"/>
      <c r="J2084" s="26"/>
      <c r="K2084" s="26"/>
      <c r="L2084" s="26"/>
      <c r="M2084" s="26"/>
      <c r="N2084" s="26"/>
      <c r="O2084" s="14" t="str">
        <f>HYPERLINK("https://otsuka-europe-crm.veevavault.com/ui/#object/email_activity__v/V8C00000004A077", "EN-002105036")</f>
        <v>EN-002105036</v>
      </c>
    </row>
    <row r="2085" spans="1:15" ht="16" x14ac:dyDescent="0.2">
      <c r="A2085" s="19"/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19"/>
      <c r="N2085" s="19"/>
      <c r="O2085" s="14" t="str">
        <f>HYPERLINK("https://otsuka-europe-crm.veevavault.com/ui/#object/email_activity__v/V8C00000004A456", "EN-002105851")</f>
        <v>EN-002105851</v>
      </c>
    </row>
    <row r="2086" spans="1:15" ht="32" x14ac:dyDescent="0.2">
      <c r="A2086" s="7" t="str">
        <f>HYPERLINK("https://otsuka-europe-crm.veevavault.com/ui/#object/account__v/V4TZ04ASGCYOC09", "Richard Vettermann")</f>
        <v>Richard Vettermann</v>
      </c>
      <c r="B2086" s="7" t="str">
        <f t="shared" ref="B2086:B2091" si="76">HYPERLINK("https://otsuka-europe-crm.veevavault.com/ui/#object/vcountry__v/VENZ000004SONFN", "CH")</f>
        <v>CH</v>
      </c>
      <c r="C2086" s="8" t="s">
        <v>45</v>
      </c>
      <c r="D2086" s="9" t="str">
        <f t="shared" ref="D2086:D2091" si="77">HYPERLINK("https://otsuka-europe-crm.veevavault.com/ui/#object/approved_document__v/V5O00000001L016", "ALL_Flexibilität_Ferienplanung_2026_AA_de")</f>
        <v>ALL_Flexibilität_Ferienplanung_2026_AA_de</v>
      </c>
      <c r="E2086" s="10" t="str">
        <f>HYPERLINK("https://otsuka-europe-crm.veevavault.com/ui/#object/sent_email__v/VBL000000034260", "SE-001442639")</f>
        <v>SE-001442639</v>
      </c>
      <c r="F2086" s="11"/>
      <c r="G2086" s="12">
        <v>0</v>
      </c>
      <c r="H2086" s="12">
        <v>0</v>
      </c>
      <c r="I2086" s="12">
        <v>0</v>
      </c>
      <c r="J2086" s="11"/>
      <c r="K2086" s="12">
        <v>0</v>
      </c>
      <c r="L2086" s="10" t="str">
        <f t="shared" ref="L2086:L2091" si="78">HYPERLINK("https://otsuka-europe-crm.veevavault.com/ui/#object/approved_document__v/V5O00000001L016", "ALL_Flexibilität_Ferienplanung_2026_AA_de")</f>
        <v>ALL_Flexibilität_Ferienplanung_2026_AA_de</v>
      </c>
      <c r="M2086" s="10" t="str">
        <f t="shared" ref="M2086:M2091" si="79">HYPERLINK("mailto:scapeder@crm.otsuka-europe.com", "scapeder@crm.otsuka-europe.com")</f>
        <v>scapeder@crm.otsuka-europe.com</v>
      </c>
      <c r="N2086" s="13">
        <v>46212.365949074076</v>
      </c>
      <c r="O2086" s="14" t="str">
        <f>HYPERLINK("https://otsuka-europe-crm.veevavault.com/ui/#object/email_activity__v/V8C000000044947", "EN-002103406")</f>
        <v>EN-002103406</v>
      </c>
    </row>
    <row r="2087" spans="1:15" ht="32" x14ac:dyDescent="0.2">
      <c r="A2087" s="7" t="str">
        <f>HYPERLINK("https://otsuka-europe-crm.veevavault.com/ui/#object/account__v/V4TZ0000062SGIY", "Patrik Stephan")</f>
        <v>Patrik Stephan</v>
      </c>
      <c r="B2087" s="7" t="str">
        <f t="shared" si="76"/>
        <v>CH</v>
      </c>
      <c r="C2087" s="8" t="s">
        <v>45</v>
      </c>
      <c r="D2087" s="9" t="str">
        <f t="shared" si="77"/>
        <v>ALL_Flexibilität_Ferienplanung_2026_AA_de</v>
      </c>
      <c r="E2087" s="10" t="str">
        <f>HYPERLINK("https://otsuka-europe-crm.veevavault.com/ui/#object/sent_email__v/VBL000000034261", "SE-001442640")</f>
        <v>SE-001442640</v>
      </c>
      <c r="F2087" s="11"/>
      <c r="G2087" s="12">
        <v>0</v>
      </c>
      <c r="H2087" s="12">
        <v>0</v>
      </c>
      <c r="I2087" s="12">
        <v>0</v>
      </c>
      <c r="J2087" s="11"/>
      <c r="K2087" s="12">
        <v>0</v>
      </c>
      <c r="L2087" s="10" t="str">
        <f t="shared" si="78"/>
        <v>ALL_Flexibilität_Ferienplanung_2026_AA_de</v>
      </c>
      <c r="M2087" s="10" t="str">
        <f t="shared" si="79"/>
        <v>scapeder@crm.otsuka-europe.com</v>
      </c>
      <c r="N2087" s="13">
        <v>46212.365949074076</v>
      </c>
      <c r="O2087" s="14" t="str">
        <f>HYPERLINK("https://otsuka-europe-crm.veevavault.com/ui/#object/email_activity__v/V8C000000043903", "EN-002103402")</f>
        <v>EN-002103402</v>
      </c>
    </row>
    <row r="2088" spans="1:15" ht="32" x14ac:dyDescent="0.2">
      <c r="A2088" s="7" t="str">
        <f>HYPERLINK("https://otsuka-europe-crm.veevavault.com/ui/#object/account__v/V4TZ025E82HAJQC", "Peter Uestuener")</f>
        <v>Peter Uestuener</v>
      </c>
      <c r="B2088" s="7" t="str">
        <f t="shared" si="76"/>
        <v>CH</v>
      </c>
      <c r="C2088" s="8" t="s">
        <v>45</v>
      </c>
      <c r="D2088" s="9" t="str">
        <f t="shared" si="77"/>
        <v>ALL_Flexibilität_Ferienplanung_2026_AA_de</v>
      </c>
      <c r="E2088" s="10" t="str">
        <f>HYPERLINK("https://otsuka-europe-crm.veevavault.com/ui/#object/sent_email__v/VBL000000034262", "SE-001442641")</f>
        <v>SE-001442641</v>
      </c>
      <c r="F2088" s="11"/>
      <c r="G2088" s="12">
        <v>0</v>
      </c>
      <c r="H2088" s="12">
        <v>0</v>
      </c>
      <c r="I2088" s="12">
        <v>0</v>
      </c>
      <c r="J2088" s="11"/>
      <c r="K2088" s="12">
        <v>0</v>
      </c>
      <c r="L2088" s="10" t="str">
        <f t="shared" si="78"/>
        <v>ALL_Flexibilität_Ferienplanung_2026_AA_de</v>
      </c>
      <c r="M2088" s="10" t="str">
        <f t="shared" si="79"/>
        <v>scapeder@crm.otsuka-europe.com</v>
      </c>
      <c r="N2088" s="13">
        <v>46212.365949074076</v>
      </c>
      <c r="O2088" s="14" t="str">
        <f>HYPERLINK("https://otsuka-europe-crm.veevavault.com/ui/#object/email_activity__v/V8C000000044946", "EN-002103405")</f>
        <v>EN-002103405</v>
      </c>
    </row>
    <row r="2089" spans="1:15" ht="32" x14ac:dyDescent="0.2">
      <c r="A2089" s="7" t="str">
        <f>HYPERLINK("https://otsuka-europe-crm.veevavault.com/ui/#object/account__v/V4TZ0000062R5NB", "Philippe Pfeifer")</f>
        <v>Philippe Pfeifer</v>
      </c>
      <c r="B2089" s="7" t="str">
        <f t="shared" si="76"/>
        <v>CH</v>
      </c>
      <c r="C2089" s="8" t="s">
        <v>45</v>
      </c>
      <c r="D2089" s="9" t="str">
        <f t="shared" si="77"/>
        <v>ALL_Flexibilität_Ferienplanung_2026_AA_de</v>
      </c>
      <c r="E2089" s="10" t="str">
        <f>HYPERLINK("https://otsuka-europe-crm.veevavault.com/ui/#object/sent_email__v/VBL000000034263", "SE-001442642")</f>
        <v>SE-001442642</v>
      </c>
      <c r="F2089" s="11"/>
      <c r="G2089" s="12">
        <v>0</v>
      </c>
      <c r="H2089" s="12">
        <v>0</v>
      </c>
      <c r="I2089" s="12">
        <v>0</v>
      </c>
      <c r="J2089" s="11"/>
      <c r="K2089" s="12">
        <v>0</v>
      </c>
      <c r="L2089" s="10" t="str">
        <f t="shared" si="78"/>
        <v>ALL_Flexibilität_Ferienplanung_2026_AA_de</v>
      </c>
      <c r="M2089" s="10" t="str">
        <f t="shared" si="79"/>
        <v>scapeder@crm.otsuka-europe.com</v>
      </c>
      <c r="N2089" s="13">
        <v>46212.365949074076</v>
      </c>
      <c r="O2089" s="14" t="str">
        <f>HYPERLINK("https://otsuka-europe-crm.veevavault.com/ui/#object/email_activity__v/V8C000000044948", "EN-002103407")</f>
        <v>EN-002103407</v>
      </c>
    </row>
    <row r="2090" spans="1:15" ht="32" x14ac:dyDescent="0.2">
      <c r="A2090" s="7" t="str">
        <f>HYPERLINK("https://otsuka-europe-crm.veevavault.com/ui/#object/account__v/V4TZ025E83BEDPH", "Samuel Hofer")</f>
        <v>Samuel Hofer</v>
      </c>
      <c r="B2090" s="7" t="str">
        <f t="shared" si="76"/>
        <v>CH</v>
      </c>
      <c r="C2090" s="8" t="s">
        <v>45</v>
      </c>
      <c r="D2090" s="9" t="str">
        <f t="shared" si="77"/>
        <v>ALL_Flexibilität_Ferienplanung_2026_AA_de</v>
      </c>
      <c r="E2090" s="10" t="str">
        <f>HYPERLINK("https://otsuka-europe-crm.veevavault.com/ui/#object/sent_email__v/VBL000000034264", "SE-001442643")</f>
        <v>SE-001442643</v>
      </c>
      <c r="F2090" s="11"/>
      <c r="G2090" s="12">
        <v>0</v>
      </c>
      <c r="H2090" s="12">
        <v>0</v>
      </c>
      <c r="I2090" s="12">
        <v>0</v>
      </c>
      <c r="J2090" s="11"/>
      <c r="K2090" s="12">
        <v>0</v>
      </c>
      <c r="L2090" s="10" t="str">
        <f t="shared" si="78"/>
        <v>ALL_Flexibilität_Ferienplanung_2026_AA_de</v>
      </c>
      <c r="M2090" s="10" t="str">
        <f t="shared" si="79"/>
        <v>scapeder@crm.otsuka-europe.com</v>
      </c>
      <c r="N2090" s="13">
        <v>46212.366493055553</v>
      </c>
      <c r="O2090" s="14" t="str">
        <f>HYPERLINK("https://otsuka-europe-crm.veevavault.com/ui/#object/email_activity__v/V8C000000044959", "EN-002103421")</f>
        <v>EN-002103421</v>
      </c>
    </row>
    <row r="2091" spans="1:15" ht="16" x14ac:dyDescent="0.2">
      <c r="A2091" s="18" t="str">
        <f>HYPERLINK("https://otsuka-europe-crm.veevavault.com/ui/#object/account__v/V4TZ0000062R84H", "Silvia Cueni")</f>
        <v>Silvia Cueni</v>
      </c>
      <c r="B2091" s="18" t="str">
        <f t="shared" si="76"/>
        <v>CH</v>
      </c>
      <c r="C2091" s="20" t="s">
        <v>45</v>
      </c>
      <c r="D2091" s="21" t="str">
        <f t="shared" si="77"/>
        <v>ALL_Flexibilität_Ferienplanung_2026_AA_de</v>
      </c>
      <c r="E2091" s="22" t="str">
        <f>HYPERLINK("https://otsuka-europe-crm.veevavault.com/ui/#object/sent_email__v/VBL000000034265", "SE-001442644")</f>
        <v>SE-001442644</v>
      </c>
      <c r="F2091" s="23"/>
      <c r="G2091" s="24">
        <v>0</v>
      </c>
      <c r="H2091" s="24">
        <v>0</v>
      </c>
      <c r="I2091" s="24">
        <v>0</v>
      </c>
      <c r="J2091" s="23"/>
      <c r="K2091" s="24">
        <v>0</v>
      </c>
      <c r="L2091" s="22" t="str">
        <f t="shared" si="78"/>
        <v>ALL_Flexibilität_Ferienplanung_2026_AA_de</v>
      </c>
      <c r="M2091" s="22" t="str">
        <f t="shared" si="79"/>
        <v>scapeder@crm.otsuka-europe.com</v>
      </c>
      <c r="N2091" s="25">
        <v>46212.366469907407</v>
      </c>
      <c r="O2091" s="14" t="str">
        <f>HYPERLINK("https://otsuka-europe-crm.veevavault.com/ui/#object/email_activity__v/V8C000000044954", "EN-002103416")</f>
        <v>EN-002103416</v>
      </c>
    </row>
    <row r="2092" spans="1:15" ht="16" x14ac:dyDescent="0.2">
      <c r="A2092" s="26"/>
      <c r="B2092" s="26"/>
      <c r="C2092" s="26"/>
      <c r="D2092" s="26"/>
      <c r="E2092" s="26"/>
      <c r="F2092" s="26"/>
      <c r="G2092" s="26"/>
      <c r="H2092" s="26"/>
      <c r="I2092" s="26"/>
      <c r="J2092" s="26"/>
      <c r="K2092" s="26"/>
      <c r="L2092" s="26"/>
      <c r="M2092" s="26"/>
      <c r="N2092" s="26"/>
      <c r="O2092" s="14" t="str">
        <f>HYPERLINK("https://otsuka-europe-crm.veevavault.com/ui/#object/email_activity__v/V8C000000045357", "EN-002103992")</f>
        <v>EN-002103992</v>
      </c>
    </row>
    <row r="2093" spans="1:15" ht="16" x14ac:dyDescent="0.2">
      <c r="A2093" s="26"/>
      <c r="B2093" s="26"/>
      <c r="C2093" s="26"/>
      <c r="D2093" s="26"/>
      <c r="E2093" s="26"/>
      <c r="F2093" s="26"/>
      <c r="G2093" s="26"/>
      <c r="H2093" s="26"/>
      <c r="I2093" s="26"/>
      <c r="J2093" s="26"/>
      <c r="K2093" s="26"/>
      <c r="L2093" s="26"/>
      <c r="M2093" s="26"/>
      <c r="N2093" s="26"/>
      <c r="O2093" s="14" t="str">
        <f>HYPERLINK("https://otsuka-europe-crm.veevavault.com/ui/#object/email_activity__v/V8C000000046036", "EN-002103887")</f>
        <v>EN-002103887</v>
      </c>
    </row>
    <row r="2094" spans="1:15" ht="16" x14ac:dyDescent="0.2">
      <c r="A2094" s="19"/>
      <c r="B2094" s="19"/>
      <c r="C2094" s="19"/>
      <c r="D2094" s="19"/>
      <c r="E2094" s="19"/>
      <c r="F2094" s="19"/>
      <c r="G2094" s="19"/>
      <c r="H2094" s="19"/>
      <c r="I2094" s="19"/>
      <c r="J2094" s="19"/>
      <c r="K2094" s="19"/>
      <c r="L2094" s="19"/>
      <c r="M2094" s="19"/>
      <c r="N2094" s="19"/>
      <c r="O2094" s="14" t="str">
        <f>HYPERLINK("https://otsuka-europe-crm.veevavault.com/ui/#object/email_activity__v/V8C000000047033", "EN-002104210")</f>
        <v>EN-002104210</v>
      </c>
    </row>
    <row r="2095" spans="1:15" ht="32" x14ac:dyDescent="0.2">
      <c r="A2095" s="7" t="str">
        <f>HYPERLINK("https://otsuka-europe-crm.veevavault.com/ui/#object/account__v/V4TZ0000062R84O", "Sonja Loebnitz")</f>
        <v>Sonja Loebnitz</v>
      </c>
      <c r="B2095" s="7" t="str">
        <f>HYPERLINK("https://otsuka-europe-crm.veevavault.com/ui/#object/vcountry__v/VENZ000004SONFN", "CH")</f>
        <v>CH</v>
      </c>
      <c r="C2095" s="8" t="s">
        <v>45</v>
      </c>
      <c r="D2095" s="9" t="str">
        <f>HYPERLINK("https://otsuka-europe-crm.veevavault.com/ui/#object/approved_document__v/V5O00000001L016", "ALL_Flexibilität_Ferienplanung_2026_AA_de")</f>
        <v>ALL_Flexibilität_Ferienplanung_2026_AA_de</v>
      </c>
      <c r="E2095" s="10" t="str">
        <f>HYPERLINK("https://otsuka-europe-crm.veevavault.com/ui/#object/sent_email__v/VBL000000034266", "SE-001442645")</f>
        <v>SE-001442645</v>
      </c>
      <c r="F2095" s="11"/>
      <c r="G2095" s="12">
        <v>0</v>
      </c>
      <c r="H2095" s="12">
        <v>0</v>
      </c>
      <c r="I2095" s="12">
        <v>0</v>
      </c>
      <c r="J2095" s="11"/>
      <c r="K2095" s="12">
        <v>0</v>
      </c>
      <c r="L2095" s="10" t="str">
        <f>HYPERLINK("https://otsuka-europe-crm.veevavault.com/ui/#object/approved_document__v/V5O00000001L016", "ALL_Flexibilität_Ferienplanung_2026_AA_de")</f>
        <v>ALL_Flexibilität_Ferienplanung_2026_AA_de</v>
      </c>
      <c r="M2095" s="10" t="str">
        <f>HYPERLINK("mailto:scapeder@crm.otsuka-europe.com", "scapeder@crm.otsuka-europe.com")</f>
        <v>scapeder@crm.otsuka-europe.com</v>
      </c>
      <c r="N2095" s="13">
        <v>46212.366469907407</v>
      </c>
      <c r="O2095" s="14" t="str">
        <f>HYPERLINK("https://otsuka-europe-crm.veevavault.com/ui/#object/email_activity__v/V8C000000044961", "EN-002103423")</f>
        <v>EN-002103423</v>
      </c>
    </row>
    <row r="2096" spans="1:15" ht="16" x14ac:dyDescent="0.2">
      <c r="A2096" s="18" t="str">
        <f>HYPERLINK("https://otsuka-europe-crm.veevavault.com/ui/#object/account__v/V4TZ0000062SGTL", "Sebastian Walther")</f>
        <v>Sebastian Walther</v>
      </c>
      <c r="B2096" s="18" t="str">
        <f>HYPERLINK("https://otsuka-europe-crm.veevavault.com/ui/#object/vcountry__v/VENZ000004SONFN", "CH")</f>
        <v>CH</v>
      </c>
      <c r="C2096" s="20" t="s">
        <v>45</v>
      </c>
      <c r="D2096" s="21" t="str">
        <f>HYPERLINK("https://otsuka-europe-crm.veevavault.com/ui/#object/approved_document__v/V5O00000001L016", "ALL_Flexibilität_Ferienplanung_2026_AA_de")</f>
        <v>ALL_Flexibilität_Ferienplanung_2026_AA_de</v>
      </c>
      <c r="E2096" s="22" t="str">
        <f>HYPERLINK("https://otsuka-europe-crm.veevavault.com/ui/#object/sent_email__v/VBL000000034267", "SE-001442646")</f>
        <v>SE-001442646</v>
      </c>
      <c r="F2096" s="23"/>
      <c r="G2096" s="24">
        <v>0</v>
      </c>
      <c r="H2096" s="24">
        <v>0</v>
      </c>
      <c r="I2096" s="24">
        <v>0</v>
      </c>
      <c r="J2096" s="23"/>
      <c r="K2096" s="24">
        <v>0</v>
      </c>
      <c r="L2096" s="22" t="str">
        <f>HYPERLINK("https://otsuka-europe-crm.veevavault.com/ui/#object/approved_document__v/V5O00000001L016", "ALL_Flexibilität_Ferienplanung_2026_AA_de")</f>
        <v>ALL_Flexibilität_Ferienplanung_2026_AA_de</v>
      </c>
      <c r="M2096" s="22" t="str">
        <f>HYPERLINK("mailto:scapeder@crm.otsuka-europe.com", "scapeder@crm.otsuka-europe.com")</f>
        <v>scapeder@crm.otsuka-europe.com</v>
      </c>
      <c r="N2096" s="25">
        <v>46212.366469907407</v>
      </c>
      <c r="O2096" s="14" t="str">
        <f>HYPERLINK("https://otsuka-europe-crm.veevavault.com/ui/#object/email_activity__v/V8C000000044953", "EN-002103413")</f>
        <v>EN-002103413</v>
      </c>
    </row>
    <row r="2097" spans="1:15" ht="16" x14ac:dyDescent="0.2">
      <c r="A2097" s="19"/>
      <c r="B2097" s="19"/>
      <c r="C2097" s="19"/>
      <c r="D2097" s="19"/>
      <c r="E2097" s="19"/>
      <c r="F2097" s="19"/>
      <c r="G2097" s="19"/>
      <c r="H2097" s="19"/>
      <c r="I2097" s="19"/>
      <c r="J2097" s="19"/>
      <c r="K2097" s="19"/>
      <c r="L2097" s="19"/>
      <c r="M2097" s="19"/>
      <c r="N2097" s="19"/>
      <c r="O2097" s="14" t="str">
        <f>HYPERLINK("https://otsuka-europe-crm.veevavault.com/ui/#object/email_activity__v/V8C000000045347", "EN-002103976")</f>
        <v>EN-002103976</v>
      </c>
    </row>
    <row r="2098" spans="1:15" ht="32" x14ac:dyDescent="0.2">
      <c r="A2098" s="7" t="str">
        <f>HYPERLINK("https://otsuka-europe-crm.veevavault.com/ui/#object/account__v/V4TZ0000062R5GZ", "Susanne Cordovi Rodriguez")</f>
        <v>Susanne Cordovi Rodriguez</v>
      </c>
      <c r="B2098" s="7" t="str">
        <f>HYPERLINK("https://otsuka-europe-crm.veevavault.com/ui/#object/vcountry__v/VENZ000004SONFN", "CH")</f>
        <v>CH</v>
      </c>
      <c r="C2098" s="8" t="s">
        <v>45</v>
      </c>
      <c r="D2098" s="9" t="str">
        <f>HYPERLINK("https://otsuka-europe-crm.veevavault.com/ui/#object/approved_document__v/V5O00000001L016", "ALL_Flexibilität_Ferienplanung_2026_AA_de")</f>
        <v>ALL_Flexibilität_Ferienplanung_2026_AA_de</v>
      </c>
      <c r="E2098" s="10" t="str">
        <f>HYPERLINK("https://otsuka-europe-crm.veevavault.com/ui/#object/sent_email__v/VBL000000034268", "SE-001442647")</f>
        <v>SE-001442647</v>
      </c>
      <c r="F2098" s="11"/>
      <c r="G2098" s="12">
        <v>0</v>
      </c>
      <c r="H2098" s="12">
        <v>0</v>
      </c>
      <c r="I2098" s="12">
        <v>0</v>
      </c>
      <c r="J2098" s="11"/>
      <c r="K2098" s="12">
        <v>0</v>
      </c>
      <c r="L2098" s="10" t="str">
        <f>HYPERLINK("https://otsuka-europe-crm.veevavault.com/ui/#object/approved_document__v/V5O00000001L016", "ALL_Flexibilität_Ferienplanung_2026_AA_de")</f>
        <v>ALL_Flexibilität_Ferienplanung_2026_AA_de</v>
      </c>
      <c r="M2098" s="10" t="str">
        <f>HYPERLINK("mailto:scapeder@crm.otsuka-europe.com", "scapeder@crm.otsuka-europe.com")</f>
        <v>scapeder@crm.otsuka-europe.com</v>
      </c>
      <c r="N2098" s="13">
        <v>46212.366469907407</v>
      </c>
      <c r="O2098" s="14" t="str">
        <f>HYPERLINK("https://otsuka-europe-crm.veevavault.com/ui/#object/email_activity__v/V8C000000043906", "EN-002103414")</f>
        <v>EN-002103414</v>
      </c>
    </row>
    <row r="2099" spans="1:15" ht="32" x14ac:dyDescent="0.2">
      <c r="A2099" s="7" t="str">
        <f>HYPERLINK("https://otsuka-europe-crm.veevavault.com/ui/#object/account__v/V4TZ0000062SG5Y", "Sofija Rados")</f>
        <v>Sofija Rados</v>
      </c>
      <c r="B2099" s="7" t="str">
        <f>HYPERLINK("https://otsuka-europe-crm.veevavault.com/ui/#object/vcountry__v/VENZ000004SONFN", "CH")</f>
        <v>CH</v>
      </c>
      <c r="C2099" s="8" t="s">
        <v>45</v>
      </c>
      <c r="D2099" s="9" t="str">
        <f>HYPERLINK("https://otsuka-europe-crm.veevavault.com/ui/#object/approved_document__v/V5O00000001L016", "ALL_Flexibilität_Ferienplanung_2026_AA_de")</f>
        <v>ALL_Flexibilität_Ferienplanung_2026_AA_de</v>
      </c>
      <c r="E2099" s="10" t="str">
        <f>HYPERLINK("https://otsuka-europe-crm.veevavault.com/ui/#object/sent_email__v/VBL000000034269", "SE-001442648")</f>
        <v>SE-001442648</v>
      </c>
      <c r="F2099" s="11"/>
      <c r="G2099" s="12">
        <v>0</v>
      </c>
      <c r="H2099" s="12">
        <v>0</v>
      </c>
      <c r="I2099" s="12">
        <v>0</v>
      </c>
      <c r="J2099" s="11"/>
      <c r="K2099" s="12">
        <v>0</v>
      </c>
      <c r="L2099" s="10" t="str">
        <f>HYPERLINK("https://otsuka-europe-crm.veevavault.com/ui/#object/approved_document__v/V5O00000001L016", "ALL_Flexibilität_Ferienplanung_2026_AA_de")</f>
        <v>ALL_Flexibilität_Ferienplanung_2026_AA_de</v>
      </c>
      <c r="M2099" s="10" t="str">
        <f>HYPERLINK("mailto:scapeder@crm.otsuka-europe.com", "scapeder@crm.otsuka-europe.com")</f>
        <v>scapeder@crm.otsuka-europe.com</v>
      </c>
      <c r="N2099" s="13">
        <v>46212.366469907407</v>
      </c>
      <c r="O2099" s="14" t="str">
        <f>HYPERLINK("https://otsuka-europe-crm.veevavault.com/ui/#object/email_activity__v/V8C000000043907", "EN-002103415")</f>
        <v>EN-002103415</v>
      </c>
    </row>
    <row r="2100" spans="1:15" ht="32" x14ac:dyDescent="0.2">
      <c r="A2100" s="7" t="str">
        <f>HYPERLINK("https://otsuka-europe-crm.veevavault.com/ui/#object/account__v/V4TZ0000062R59U", "Susanne Hausmann")</f>
        <v>Susanne Hausmann</v>
      </c>
      <c r="B2100" s="7" t="str">
        <f>HYPERLINK("https://otsuka-europe-crm.veevavault.com/ui/#object/vcountry__v/VENZ000004SONFN", "CH")</f>
        <v>CH</v>
      </c>
      <c r="C2100" s="8" t="s">
        <v>45</v>
      </c>
      <c r="D2100" s="9" t="str">
        <f>HYPERLINK("https://otsuka-europe-crm.veevavault.com/ui/#object/approved_document__v/V5O00000001L016", "ALL_Flexibilität_Ferienplanung_2026_AA_de")</f>
        <v>ALL_Flexibilität_Ferienplanung_2026_AA_de</v>
      </c>
      <c r="E2100" s="10" t="str">
        <f>HYPERLINK("https://otsuka-europe-crm.veevavault.com/ui/#object/sent_email__v/VBL000000034270", "SE-001442649")</f>
        <v>SE-001442649</v>
      </c>
      <c r="F2100" s="11"/>
      <c r="G2100" s="12">
        <v>0</v>
      </c>
      <c r="H2100" s="12">
        <v>0</v>
      </c>
      <c r="I2100" s="12">
        <v>0</v>
      </c>
      <c r="J2100" s="11"/>
      <c r="K2100" s="12">
        <v>0</v>
      </c>
      <c r="L2100" s="10" t="str">
        <f>HYPERLINK("https://otsuka-europe-crm.veevavault.com/ui/#object/approved_document__v/V5O00000001L016", "ALL_Flexibilität_Ferienplanung_2026_AA_de")</f>
        <v>ALL_Flexibilität_Ferienplanung_2026_AA_de</v>
      </c>
      <c r="M2100" s="10" t="str">
        <f>HYPERLINK("mailto:scapeder@crm.otsuka-europe.com", "scapeder@crm.otsuka-europe.com")</f>
        <v>scapeder@crm.otsuka-europe.com</v>
      </c>
      <c r="N2100" s="13">
        <v>46212.36650462963</v>
      </c>
      <c r="O2100" s="14" t="str">
        <f>HYPERLINK("https://otsuka-europe-crm.veevavault.com/ui/#object/email_activity__v/V8C000000044960", "EN-002103422")</f>
        <v>EN-002103422</v>
      </c>
    </row>
    <row r="2101" spans="1:15" ht="16" x14ac:dyDescent="0.2">
      <c r="A2101" s="18" t="str">
        <f>HYPERLINK("https://otsuka-europe-crm.veevavault.com/ui/#object/account__v/V4TZ06G6OBI6FDJ", "Samir Suker Al Ghazali")</f>
        <v>Samir Suker Al Ghazali</v>
      </c>
      <c r="B2101" s="18" t="str">
        <f>HYPERLINK("https://otsuka-europe-crm.veevavault.com/ui/#object/vcountry__v/VENZ000004SONFN", "CH")</f>
        <v>CH</v>
      </c>
      <c r="C2101" s="20" t="s">
        <v>45</v>
      </c>
      <c r="D2101" s="21" t="str">
        <f>HYPERLINK("https://otsuka-europe-crm.veevavault.com/ui/#object/approved_document__v/V5O00000001L016", "ALL_Flexibilität_Ferienplanung_2026_AA_de")</f>
        <v>ALL_Flexibilität_Ferienplanung_2026_AA_de</v>
      </c>
      <c r="E2101" s="22" t="str">
        <f>HYPERLINK("https://otsuka-europe-crm.veevavault.com/ui/#object/sent_email__v/VBL000000034271", "SE-001442650")</f>
        <v>SE-001442650</v>
      </c>
      <c r="F2101" s="25">
        <v>46212.388414351852</v>
      </c>
      <c r="G2101" s="24">
        <v>1</v>
      </c>
      <c r="H2101" s="24">
        <v>1</v>
      </c>
      <c r="I2101" s="24">
        <v>0</v>
      </c>
      <c r="J2101" s="23"/>
      <c r="K2101" s="24">
        <v>0</v>
      </c>
      <c r="L2101" s="22" t="str">
        <f>HYPERLINK("https://otsuka-europe-crm.veevavault.com/ui/#object/approved_document__v/V5O00000001L016", "ALL_Flexibilität_Ferienplanung_2026_AA_de")</f>
        <v>ALL_Flexibilität_Ferienplanung_2026_AA_de</v>
      </c>
      <c r="M2101" s="22" t="str">
        <f>HYPERLINK("mailto:scapeder@crm.otsuka-europe.com", "scapeder@crm.otsuka-europe.com")</f>
        <v>scapeder@crm.otsuka-europe.com</v>
      </c>
      <c r="N2101" s="25">
        <v>46212.366493055553</v>
      </c>
      <c r="O2101" s="14" t="str">
        <f>HYPERLINK("https://otsuka-europe-crm.veevavault.com/ui/#object/email_activity__v/V8C000000043920", "EN-002103687")</f>
        <v>EN-002103687</v>
      </c>
    </row>
    <row r="2102" spans="1:15" ht="16" x14ac:dyDescent="0.2">
      <c r="A2102" s="26"/>
      <c r="B2102" s="26"/>
      <c r="C2102" s="26"/>
      <c r="D2102" s="26"/>
      <c r="E2102" s="26"/>
      <c r="F2102" s="26"/>
      <c r="G2102" s="26"/>
      <c r="H2102" s="26"/>
      <c r="I2102" s="26"/>
      <c r="J2102" s="26"/>
      <c r="K2102" s="26"/>
      <c r="L2102" s="26"/>
      <c r="M2102" s="26"/>
      <c r="N2102" s="26"/>
      <c r="O2102" s="14" t="str">
        <f>HYPERLINK("https://otsuka-europe-crm.veevavault.com/ui/#object/email_activity__v/V8C000000044958", "EN-002103420")</f>
        <v>EN-002103420</v>
      </c>
    </row>
    <row r="2103" spans="1:15" ht="16" x14ac:dyDescent="0.2">
      <c r="A2103" s="19"/>
      <c r="B2103" s="19"/>
      <c r="C2103" s="19"/>
      <c r="D2103" s="19"/>
      <c r="E2103" s="19"/>
      <c r="F2103" s="19"/>
      <c r="G2103" s="19"/>
      <c r="H2103" s="19"/>
      <c r="I2103" s="19"/>
      <c r="J2103" s="19"/>
      <c r="K2103" s="19"/>
      <c r="L2103" s="19"/>
      <c r="M2103" s="19"/>
      <c r="N2103" s="19"/>
      <c r="O2103" s="14" t="str">
        <f>HYPERLINK("https://otsuka-europe-crm.veevavault.com/ui/#object/email_activity__v/V8C00000004C016", "EN-002106765")</f>
        <v>EN-002106765</v>
      </c>
    </row>
    <row r="2104" spans="1:15" ht="32" x14ac:dyDescent="0.2">
      <c r="A2104" s="7" t="str">
        <f>HYPERLINK("https://otsuka-europe-crm.veevavault.com/ui/#object/account__v/V4TZ06G6OBI6FI1", "Safa Jouabli")</f>
        <v>Safa Jouabli</v>
      </c>
      <c r="B2104" s="7" t="str">
        <f t="shared" ref="B2104:B2112" si="80">HYPERLINK("https://otsuka-europe-crm.veevavault.com/ui/#object/vcountry__v/VENZ000004SONFN", "CH")</f>
        <v>CH</v>
      </c>
      <c r="C2104" s="8" t="s">
        <v>45</v>
      </c>
      <c r="D2104" s="9" t="str">
        <f t="shared" ref="D2104:D2112" si="81">HYPERLINK("https://otsuka-europe-crm.veevavault.com/ui/#object/approved_document__v/V5O00000001L016", "ALL_Flexibilität_Ferienplanung_2026_AA_de")</f>
        <v>ALL_Flexibilität_Ferienplanung_2026_AA_de</v>
      </c>
      <c r="E2104" s="10" t="str">
        <f>HYPERLINK("https://otsuka-europe-crm.veevavault.com/ui/#object/sent_email__v/VBL000000034272", "SE-001442651")</f>
        <v>SE-001442651</v>
      </c>
      <c r="F2104" s="11"/>
      <c r="G2104" s="12">
        <v>0</v>
      </c>
      <c r="H2104" s="12">
        <v>0</v>
      </c>
      <c r="I2104" s="12">
        <v>0</v>
      </c>
      <c r="J2104" s="11"/>
      <c r="K2104" s="12">
        <v>0</v>
      </c>
      <c r="L2104" s="10" t="str">
        <f t="shared" ref="L2104:L2112" si="82">HYPERLINK("https://otsuka-europe-crm.veevavault.com/ui/#object/approved_document__v/V5O00000001L016", "ALL_Flexibilität_Ferienplanung_2026_AA_de")</f>
        <v>ALL_Flexibilität_Ferienplanung_2026_AA_de</v>
      </c>
      <c r="M2104" s="10" t="str">
        <f t="shared" ref="M2104:M2112" si="83">HYPERLINK("mailto:scapeder@crm.otsuka-europe.com", "scapeder@crm.otsuka-europe.com")</f>
        <v>scapeder@crm.otsuka-europe.com</v>
      </c>
      <c r="N2104" s="13">
        <v>46212.366469907407</v>
      </c>
      <c r="O2104" s="14" t="str">
        <f>HYPERLINK("https://otsuka-europe-crm.veevavault.com/ui/#object/email_activity__v/V8C000000044956", "EN-002103418")</f>
        <v>EN-002103418</v>
      </c>
    </row>
    <row r="2105" spans="1:15" ht="32" x14ac:dyDescent="0.2">
      <c r="A2105" s="7" t="str">
        <f>HYPERLINK("https://otsuka-europe-crm.veevavault.com/ui/#object/account__v/V4TZ06G6O9VGD4A", "Stéphanie Lamon-Maier")</f>
        <v>Stéphanie Lamon-Maier</v>
      </c>
      <c r="B2105" s="7" t="str">
        <f t="shared" si="80"/>
        <v>CH</v>
      </c>
      <c r="C2105" s="8" t="s">
        <v>45</v>
      </c>
      <c r="D2105" s="9" t="str">
        <f t="shared" si="81"/>
        <v>ALL_Flexibilität_Ferienplanung_2026_AA_de</v>
      </c>
      <c r="E2105" s="10" t="str">
        <f>HYPERLINK("https://otsuka-europe-crm.veevavault.com/ui/#object/sent_email__v/VBL000000034273", "SE-001442652")</f>
        <v>SE-001442652</v>
      </c>
      <c r="F2105" s="11"/>
      <c r="G2105" s="12">
        <v>0</v>
      </c>
      <c r="H2105" s="12">
        <v>0</v>
      </c>
      <c r="I2105" s="12">
        <v>0</v>
      </c>
      <c r="J2105" s="11"/>
      <c r="K2105" s="12">
        <v>0</v>
      </c>
      <c r="L2105" s="10" t="str">
        <f t="shared" si="82"/>
        <v>ALL_Flexibilität_Ferienplanung_2026_AA_de</v>
      </c>
      <c r="M2105" s="10" t="str">
        <f t="shared" si="83"/>
        <v>scapeder@crm.otsuka-europe.com</v>
      </c>
      <c r="N2105" s="13">
        <v>46212.366469907407</v>
      </c>
      <c r="O2105" s="14" t="str">
        <f>HYPERLINK("https://otsuka-europe-crm.veevavault.com/ui/#object/email_activity__v/V8C000000044962", "EN-002103424")</f>
        <v>EN-002103424</v>
      </c>
    </row>
    <row r="2106" spans="1:15" ht="32" x14ac:dyDescent="0.2">
      <c r="A2106" s="7" t="str">
        <f>HYPERLINK("https://otsuka-europe-crm.veevavault.com/ui/#object/account__v/V4TZ0000062R5IG", "Sabine Iancu")</f>
        <v>Sabine Iancu</v>
      </c>
      <c r="B2106" s="7" t="str">
        <f t="shared" si="80"/>
        <v>CH</v>
      </c>
      <c r="C2106" s="8" t="s">
        <v>45</v>
      </c>
      <c r="D2106" s="9" t="str">
        <f t="shared" si="81"/>
        <v>ALL_Flexibilität_Ferienplanung_2026_AA_de</v>
      </c>
      <c r="E2106" s="10" t="str">
        <f>HYPERLINK("https://otsuka-europe-crm.veevavault.com/ui/#object/sent_email__v/VBL000000034274", "SE-001442653")</f>
        <v>SE-001442653</v>
      </c>
      <c r="F2106" s="11"/>
      <c r="G2106" s="12">
        <v>0</v>
      </c>
      <c r="H2106" s="12">
        <v>0</v>
      </c>
      <c r="I2106" s="12">
        <v>0</v>
      </c>
      <c r="J2106" s="11"/>
      <c r="K2106" s="12">
        <v>0</v>
      </c>
      <c r="L2106" s="10" t="str">
        <f t="shared" si="82"/>
        <v>ALL_Flexibilität_Ferienplanung_2026_AA_de</v>
      </c>
      <c r="M2106" s="10" t="str">
        <f t="shared" si="83"/>
        <v>scapeder@crm.otsuka-europe.com</v>
      </c>
      <c r="N2106" s="13">
        <v>46212.366469907407</v>
      </c>
      <c r="O2106" s="14" t="str">
        <f>HYPERLINK("https://otsuka-europe-crm.veevavault.com/ui/#object/email_activity__v/V8C000000044955", "EN-002103417")</f>
        <v>EN-002103417</v>
      </c>
    </row>
    <row r="2107" spans="1:15" ht="32" x14ac:dyDescent="0.2">
      <c r="A2107" s="7" t="str">
        <f>HYPERLINK("https://otsuka-europe-crm.veevavault.com/ui/#object/account__v/V4TZ06G6OBI6FR2", "Simone Rüedi")</f>
        <v>Simone Rüedi</v>
      </c>
      <c r="B2107" s="7" t="str">
        <f t="shared" si="80"/>
        <v>CH</v>
      </c>
      <c r="C2107" s="8" t="s">
        <v>45</v>
      </c>
      <c r="D2107" s="9" t="str">
        <f t="shared" si="81"/>
        <v>ALL_Flexibilität_Ferienplanung_2026_AA_de</v>
      </c>
      <c r="E2107" s="10" t="str">
        <f>HYPERLINK("https://otsuka-europe-crm.veevavault.com/ui/#object/sent_email__v/VBL000000034275", "SE-001442654")</f>
        <v>SE-001442654</v>
      </c>
      <c r="F2107" s="11"/>
      <c r="G2107" s="12">
        <v>0</v>
      </c>
      <c r="H2107" s="12">
        <v>0</v>
      </c>
      <c r="I2107" s="12">
        <v>0</v>
      </c>
      <c r="J2107" s="11"/>
      <c r="K2107" s="12">
        <v>0</v>
      </c>
      <c r="L2107" s="10" t="str">
        <f t="shared" si="82"/>
        <v>ALL_Flexibilität_Ferienplanung_2026_AA_de</v>
      </c>
      <c r="M2107" s="10" t="str">
        <f t="shared" si="83"/>
        <v>scapeder@crm.otsuka-europe.com</v>
      </c>
      <c r="N2107" s="13">
        <v>46212.366493055553</v>
      </c>
      <c r="O2107" s="14" t="str">
        <f>HYPERLINK("https://otsuka-europe-crm.veevavault.com/ui/#object/email_activity__v/V8C000000044957", "EN-002103419")</f>
        <v>EN-002103419</v>
      </c>
    </row>
    <row r="2108" spans="1:15" ht="32" x14ac:dyDescent="0.2">
      <c r="A2108" s="7" t="str">
        <f>HYPERLINK("https://otsuka-europe-crm.veevavault.com/ui/#object/account__v/V4TZ06G6OBI6GTT", "Urs Peter Mosimann")</f>
        <v>Urs Peter Mosimann</v>
      </c>
      <c r="B2108" s="7" t="str">
        <f t="shared" si="80"/>
        <v>CH</v>
      </c>
      <c r="C2108" s="8" t="s">
        <v>45</v>
      </c>
      <c r="D2108" s="9" t="str">
        <f t="shared" si="81"/>
        <v>ALL_Flexibilität_Ferienplanung_2026_AA_de</v>
      </c>
      <c r="E2108" s="10" t="str">
        <f>HYPERLINK("https://otsuka-europe-crm.veevavault.com/ui/#object/sent_email__v/VBL000000034276", "SE-001442655")</f>
        <v>SE-001442655</v>
      </c>
      <c r="F2108" s="11"/>
      <c r="G2108" s="12">
        <v>0</v>
      </c>
      <c r="H2108" s="12">
        <v>0</v>
      </c>
      <c r="I2108" s="12">
        <v>0</v>
      </c>
      <c r="J2108" s="11"/>
      <c r="K2108" s="12">
        <v>0</v>
      </c>
      <c r="L2108" s="10" t="str">
        <f t="shared" si="82"/>
        <v>ALL_Flexibilität_Ferienplanung_2026_AA_de</v>
      </c>
      <c r="M2108" s="10" t="str">
        <f t="shared" si="83"/>
        <v>scapeder@crm.otsuka-europe.com</v>
      </c>
      <c r="N2108" s="13">
        <v>46212.36681712963</v>
      </c>
      <c r="O2108" s="14" t="str">
        <f>HYPERLINK("https://otsuka-europe-crm.veevavault.com/ui/#object/email_activity__v/V8C000000044970", "EN-002103432")</f>
        <v>EN-002103432</v>
      </c>
    </row>
    <row r="2109" spans="1:15" ht="32" x14ac:dyDescent="0.2">
      <c r="A2109" s="7" t="str">
        <f>HYPERLINK("https://otsuka-europe-crm.veevavault.com/ui/#object/account__v/V4TZ0000062R5RR", "Tinche Eftimova")</f>
        <v>Tinche Eftimova</v>
      </c>
      <c r="B2109" s="7" t="str">
        <f t="shared" si="80"/>
        <v>CH</v>
      </c>
      <c r="C2109" s="8" t="s">
        <v>45</v>
      </c>
      <c r="D2109" s="9" t="str">
        <f t="shared" si="81"/>
        <v>ALL_Flexibilität_Ferienplanung_2026_AA_de</v>
      </c>
      <c r="E2109" s="10" t="str">
        <f>HYPERLINK("https://otsuka-europe-crm.veevavault.com/ui/#object/sent_email__v/VBL000000034277", "SE-001442656")</f>
        <v>SE-001442656</v>
      </c>
      <c r="F2109" s="11"/>
      <c r="G2109" s="12">
        <v>0</v>
      </c>
      <c r="H2109" s="12">
        <v>0</v>
      </c>
      <c r="I2109" s="12">
        <v>0</v>
      </c>
      <c r="J2109" s="11"/>
      <c r="K2109" s="12">
        <v>0</v>
      </c>
      <c r="L2109" s="10" t="str">
        <f t="shared" si="82"/>
        <v>ALL_Flexibilität_Ferienplanung_2026_AA_de</v>
      </c>
      <c r="M2109" s="10" t="str">
        <f t="shared" si="83"/>
        <v>scapeder@crm.otsuka-europe.com</v>
      </c>
      <c r="N2109" s="13">
        <v>46212.36681712963</v>
      </c>
      <c r="O2109" s="14" t="str">
        <f>HYPERLINK("https://otsuka-europe-crm.veevavault.com/ui/#object/email_activity__v/V8C000000044963", "EN-002103425")</f>
        <v>EN-002103425</v>
      </c>
    </row>
    <row r="2110" spans="1:15" ht="32" x14ac:dyDescent="0.2">
      <c r="A2110" s="7" t="str">
        <f>HYPERLINK("https://otsuka-europe-crm.veevavault.com/ui/#object/account__v/V4TZ0000062SGSC", "Thomas Weyand")</f>
        <v>Thomas Weyand</v>
      </c>
      <c r="B2110" s="7" t="str">
        <f t="shared" si="80"/>
        <v>CH</v>
      </c>
      <c r="C2110" s="8" t="s">
        <v>45</v>
      </c>
      <c r="D2110" s="9" t="str">
        <f t="shared" si="81"/>
        <v>ALL_Flexibilität_Ferienplanung_2026_AA_de</v>
      </c>
      <c r="E2110" s="10" t="str">
        <f>HYPERLINK("https://otsuka-europe-crm.veevavault.com/ui/#object/sent_email__v/VBL000000034278", "SE-001442657")</f>
        <v>SE-001442657</v>
      </c>
      <c r="F2110" s="11"/>
      <c r="G2110" s="12">
        <v>0</v>
      </c>
      <c r="H2110" s="12">
        <v>0</v>
      </c>
      <c r="I2110" s="12">
        <v>0</v>
      </c>
      <c r="J2110" s="11"/>
      <c r="K2110" s="12">
        <v>0</v>
      </c>
      <c r="L2110" s="10" t="str">
        <f t="shared" si="82"/>
        <v>ALL_Flexibilität_Ferienplanung_2026_AA_de</v>
      </c>
      <c r="M2110" s="10" t="str">
        <f t="shared" si="83"/>
        <v>scapeder@crm.otsuka-europe.com</v>
      </c>
      <c r="N2110" s="13">
        <v>46212.36681712963</v>
      </c>
      <c r="O2110" s="14" t="str">
        <f>HYPERLINK("https://otsuka-europe-crm.veevavault.com/ui/#object/email_activity__v/V8C000000044964", "EN-002103426")</f>
        <v>EN-002103426</v>
      </c>
    </row>
    <row r="2111" spans="1:15" ht="32" x14ac:dyDescent="0.2">
      <c r="A2111" s="7" t="str">
        <f>HYPERLINK("https://otsuka-europe-crm.veevavault.com/ui/#object/account__v/V4TZ025E88Z9JCQ", "Veronika Sommer")</f>
        <v>Veronika Sommer</v>
      </c>
      <c r="B2111" s="7" t="str">
        <f t="shared" si="80"/>
        <v>CH</v>
      </c>
      <c r="C2111" s="8" t="s">
        <v>45</v>
      </c>
      <c r="D2111" s="9" t="str">
        <f t="shared" si="81"/>
        <v>ALL_Flexibilität_Ferienplanung_2026_AA_de</v>
      </c>
      <c r="E2111" s="10" t="str">
        <f>HYPERLINK("https://otsuka-europe-crm.veevavault.com/ui/#object/sent_email__v/VBL000000034279", "SE-001442658")</f>
        <v>SE-001442658</v>
      </c>
      <c r="F2111" s="11"/>
      <c r="G2111" s="12">
        <v>0</v>
      </c>
      <c r="H2111" s="12">
        <v>0</v>
      </c>
      <c r="I2111" s="12">
        <v>0</v>
      </c>
      <c r="J2111" s="11"/>
      <c r="K2111" s="12">
        <v>0</v>
      </c>
      <c r="L2111" s="10" t="str">
        <f t="shared" si="82"/>
        <v>ALL_Flexibilität_Ferienplanung_2026_AA_de</v>
      </c>
      <c r="M2111" s="10" t="str">
        <f t="shared" si="83"/>
        <v>scapeder@crm.otsuka-europe.com</v>
      </c>
      <c r="N2111" s="13">
        <v>46212.36681712963</v>
      </c>
      <c r="O2111" s="14" t="str">
        <f>HYPERLINK("https://otsuka-europe-crm.veevavault.com/ui/#object/email_activity__v/V8C000000044968", "EN-002103430")</f>
        <v>EN-002103430</v>
      </c>
    </row>
    <row r="2112" spans="1:15" ht="16" x14ac:dyDescent="0.2">
      <c r="A2112" s="18" t="str">
        <f>HYPERLINK("https://otsuka-europe-crm.veevavault.com/ui/#object/account__v/V4TZ0000062RPFM", "Thomas Jörg Müller")</f>
        <v>Thomas Jörg Müller</v>
      </c>
      <c r="B2112" s="18" t="str">
        <f t="shared" si="80"/>
        <v>CH</v>
      </c>
      <c r="C2112" s="20" t="s">
        <v>45</v>
      </c>
      <c r="D2112" s="21" t="str">
        <f t="shared" si="81"/>
        <v>ALL_Flexibilität_Ferienplanung_2026_AA_de</v>
      </c>
      <c r="E2112" s="22" t="str">
        <f>HYPERLINK("https://otsuka-europe-crm.veevavault.com/ui/#object/sent_email__v/VBL000000034280", "SE-001442659")</f>
        <v>SE-001442659</v>
      </c>
      <c r="F2112" s="25">
        <v>46213.285104166665</v>
      </c>
      <c r="G2112" s="24">
        <v>1</v>
      </c>
      <c r="H2112" s="24">
        <v>1</v>
      </c>
      <c r="I2112" s="24">
        <v>0</v>
      </c>
      <c r="J2112" s="23"/>
      <c r="K2112" s="24">
        <v>0</v>
      </c>
      <c r="L2112" s="22" t="str">
        <f t="shared" si="82"/>
        <v>ALL_Flexibilität_Ferienplanung_2026_AA_de</v>
      </c>
      <c r="M2112" s="22" t="str">
        <f t="shared" si="83"/>
        <v>scapeder@crm.otsuka-europe.com</v>
      </c>
      <c r="N2112" s="25">
        <v>46212.36681712963</v>
      </c>
      <c r="O2112" s="14" t="str">
        <f>HYPERLINK("https://otsuka-europe-crm.veevavault.com/ui/#object/email_activity__v/V8C000000044967", "EN-002103429")</f>
        <v>EN-002103429</v>
      </c>
    </row>
    <row r="2113" spans="1:15" ht="16" x14ac:dyDescent="0.2">
      <c r="A2113" s="19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/>
      <c r="L2113" s="19"/>
      <c r="M2113" s="19"/>
      <c r="N2113" s="19"/>
      <c r="O2113" s="14" t="str">
        <f>HYPERLINK("https://otsuka-europe-crm.veevavault.com/ui/#object/email_activity__v/V8C000000048018", "EN-002104214")</f>
        <v>EN-002104214</v>
      </c>
    </row>
    <row r="2114" spans="1:15" ht="16" x14ac:dyDescent="0.2">
      <c r="A2114" s="18" t="str">
        <f>HYPERLINK("https://otsuka-europe-crm.veevavault.com/ui/#object/account__v/V4TZ0000062R7N2", "Thomas Gerster")</f>
        <v>Thomas Gerster</v>
      </c>
      <c r="B2114" s="18" t="str">
        <f>HYPERLINK("https://otsuka-europe-crm.veevavault.com/ui/#object/vcountry__v/VENZ000004SONFN", "CH")</f>
        <v>CH</v>
      </c>
      <c r="C2114" s="20" t="s">
        <v>45</v>
      </c>
      <c r="D2114" s="21" t="str">
        <f>HYPERLINK("https://otsuka-europe-crm.veevavault.com/ui/#object/approved_document__v/V5O00000001L016", "ALL_Flexibilität_Ferienplanung_2026_AA_de")</f>
        <v>ALL_Flexibilität_Ferienplanung_2026_AA_de</v>
      </c>
      <c r="E2114" s="22" t="str">
        <f>HYPERLINK("https://otsuka-europe-crm.veevavault.com/ui/#object/sent_email__v/VBL000000034281", "SE-001442660")</f>
        <v>SE-001442660</v>
      </c>
      <c r="F2114" s="25">
        <v>46212.371145833335</v>
      </c>
      <c r="G2114" s="24">
        <v>1</v>
      </c>
      <c r="H2114" s="24">
        <v>1</v>
      </c>
      <c r="I2114" s="24">
        <v>0</v>
      </c>
      <c r="J2114" s="23"/>
      <c r="K2114" s="24">
        <v>0</v>
      </c>
      <c r="L2114" s="22" t="str">
        <f>HYPERLINK("https://otsuka-europe-crm.veevavault.com/ui/#object/approved_document__v/V5O00000001L016", "ALL_Flexibilität_Ferienplanung_2026_AA_de")</f>
        <v>ALL_Flexibilität_Ferienplanung_2026_AA_de</v>
      </c>
      <c r="M2114" s="22" t="str">
        <f>HYPERLINK("mailto:scapeder@crm.otsuka-europe.com", "scapeder@crm.otsuka-europe.com")</f>
        <v>scapeder@crm.otsuka-europe.com</v>
      </c>
      <c r="N2114" s="25">
        <v>46212.36681712963</v>
      </c>
      <c r="O2114" s="14" t="str">
        <f>HYPERLINK("https://otsuka-europe-crm.veevavault.com/ui/#object/email_activity__v/V8C000000044969", "EN-002103431")</f>
        <v>EN-002103431</v>
      </c>
    </row>
    <row r="2115" spans="1:15" ht="16" x14ac:dyDescent="0.2">
      <c r="A2115" s="19"/>
      <c r="B2115" s="19"/>
      <c r="C2115" s="19"/>
      <c r="D2115" s="19"/>
      <c r="E2115" s="19"/>
      <c r="F2115" s="19"/>
      <c r="G2115" s="19"/>
      <c r="H2115" s="19"/>
      <c r="I2115" s="19"/>
      <c r="J2115" s="19"/>
      <c r="K2115" s="19"/>
      <c r="L2115" s="19"/>
      <c r="M2115" s="19"/>
      <c r="N2115" s="19"/>
      <c r="O2115" s="14" t="str">
        <f>HYPERLINK("https://otsuka-europe-crm.veevavault.com/ui/#object/email_activity__v/V8C000000045006", "EN-002103470")</f>
        <v>EN-002103470</v>
      </c>
    </row>
    <row r="2116" spans="1:15" ht="32" x14ac:dyDescent="0.2">
      <c r="A2116" s="7" t="str">
        <f>HYPERLINK("https://otsuka-europe-crm.veevavault.com/ui/#object/account__v/V4TZ0000062R7J9", "Thomas Ihde-Scholl")</f>
        <v>Thomas Ihde-Scholl</v>
      </c>
      <c r="B2116" s="7" t="str">
        <f>HYPERLINK("https://otsuka-europe-crm.veevavault.com/ui/#object/vcountry__v/VENZ000004SONFN", "CH")</f>
        <v>CH</v>
      </c>
      <c r="C2116" s="8" t="s">
        <v>45</v>
      </c>
      <c r="D2116" s="9" t="str">
        <f>HYPERLINK("https://otsuka-europe-crm.veevavault.com/ui/#object/approved_document__v/V5O00000001L016", "ALL_Flexibilität_Ferienplanung_2026_AA_de")</f>
        <v>ALL_Flexibilität_Ferienplanung_2026_AA_de</v>
      </c>
      <c r="E2116" s="10" t="str">
        <f>HYPERLINK("https://otsuka-europe-crm.veevavault.com/ui/#object/sent_email__v/VBL000000034282", "SE-001442661")</f>
        <v>SE-001442661</v>
      </c>
      <c r="F2116" s="11"/>
      <c r="G2116" s="12">
        <v>0</v>
      </c>
      <c r="H2116" s="12">
        <v>0</v>
      </c>
      <c r="I2116" s="12">
        <v>0</v>
      </c>
      <c r="J2116" s="11"/>
      <c r="K2116" s="12">
        <v>0</v>
      </c>
      <c r="L2116" s="10" t="str">
        <f>HYPERLINK("https://otsuka-europe-crm.veevavault.com/ui/#object/approved_document__v/V5O00000001L016", "ALL_Flexibilität_Ferienplanung_2026_AA_de")</f>
        <v>ALL_Flexibilität_Ferienplanung_2026_AA_de</v>
      </c>
      <c r="M2116" s="10" t="str">
        <f>HYPERLINK("mailto:scapeder@crm.otsuka-europe.com", "scapeder@crm.otsuka-europe.com")</f>
        <v>scapeder@crm.otsuka-europe.com</v>
      </c>
      <c r="N2116" s="13">
        <v>46212.36681712963</v>
      </c>
      <c r="O2116" s="14" t="str">
        <f>HYPERLINK("https://otsuka-europe-crm.veevavault.com/ui/#object/email_activity__v/V8C000000044966", "EN-002103428")</f>
        <v>EN-002103428</v>
      </c>
    </row>
    <row r="2117" spans="1:15" ht="32" x14ac:dyDescent="0.2">
      <c r="A2117" s="7" t="str">
        <f>HYPERLINK("https://otsuka-europe-crm.veevavault.com/ui/#object/account__v/V4TZ0000062SH01", "Tristan Zimmermann")</f>
        <v>Tristan Zimmermann</v>
      </c>
      <c r="B2117" s="7" t="str">
        <f>HYPERLINK("https://otsuka-europe-crm.veevavault.com/ui/#object/vcountry__v/VENZ000004SONFN", "CH")</f>
        <v>CH</v>
      </c>
      <c r="C2117" s="8" t="s">
        <v>45</v>
      </c>
      <c r="D2117" s="9" t="str">
        <f>HYPERLINK("https://otsuka-europe-crm.veevavault.com/ui/#object/approved_document__v/V5O00000001L016", "ALL_Flexibilität_Ferienplanung_2026_AA_de")</f>
        <v>ALL_Flexibilität_Ferienplanung_2026_AA_de</v>
      </c>
      <c r="E2117" s="10" t="str">
        <f>HYPERLINK("https://otsuka-europe-crm.veevavault.com/ui/#object/sent_email__v/VBL000000034283", "SE-001442662")</f>
        <v>SE-001442662</v>
      </c>
      <c r="F2117" s="11"/>
      <c r="G2117" s="12">
        <v>0</v>
      </c>
      <c r="H2117" s="12">
        <v>0</v>
      </c>
      <c r="I2117" s="12">
        <v>0</v>
      </c>
      <c r="J2117" s="11"/>
      <c r="K2117" s="12">
        <v>0</v>
      </c>
      <c r="L2117" s="10" t="str">
        <f>HYPERLINK("https://otsuka-europe-crm.veevavault.com/ui/#object/approved_document__v/V5O00000001L016", "ALL_Flexibilität_Ferienplanung_2026_AA_de")</f>
        <v>ALL_Flexibilität_Ferienplanung_2026_AA_de</v>
      </c>
      <c r="M2117" s="10" t="str">
        <f>HYPERLINK("mailto:scapeder@crm.otsuka-europe.com", "scapeder@crm.otsuka-europe.com")</f>
        <v>scapeder@crm.otsuka-europe.com</v>
      </c>
      <c r="N2117" s="13">
        <v>46212.36681712963</v>
      </c>
      <c r="O2117" s="14" t="str">
        <f>HYPERLINK("https://otsuka-europe-crm.veevavault.com/ui/#object/email_activity__v/V8C000000044965", "EN-002103427")</f>
        <v>EN-002103427</v>
      </c>
    </row>
    <row r="2118" spans="1:15" ht="16" x14ac:dyDescent="0.2">
      <c r="A2118" s="18" t="str">
        <f>HYPERLINK("https://otsuka-europe-crm.veevavault.com/ui/#object/account__v/V4TZ0000062R6KJ", "Younes Azizi")</f>
        <v>Younes Azizi</v>
      </c>
      <c r="B2118" s="18" t="str">
        <f>HYPERLINK("https://otsuka-europe-crm.veevavault.com/ui/#object/vcountry__v/VENZ000004SONFN", "CH")</f>
        <v>CH</v>
      </c>
      <c r="C2118" s="20" t="s">
        <v>45</v>
      </c>
      <c r="D2118" s="21" t="str">
        <f>HYPERLINK("https://otsuka-europe-crm.veevavault.com/ui/#object/approved_document__v/V5O00000001L016", "ALL_Flexibilität_Ferienplanung_2026_AA_de")</f>
        <v>ALL_Flexibilität_Ferienplanung_2026_AA_de</v>
      </c>
      <c r="E2118" s="22" t="str">
        <f>HYPERLINK("https://otsuka-europe-crm.veevavault.com/ui/#object/sent_email__v/VBL000000034284", "SE-001442663")</f>
        <v>SE-001442663</v>
      </c>
      <c r="F2118" s="23"/>
      <c r="G2118" s="24">
        <v>0</v>
      </c>
      <c r="H2118" s="24">
        <v>0</v>
      </c>
      <c r="I2118" s="24">
        <v>0</v>
      </c>
      <c r="J2118" s="23"/>
      <c r="K2118" s="24">
        <v>0</v>
      </c>
      <c r="L2118" s="22" t="str">
        <f>HYPERLINK("https://otsuka-europe-crm.veevavault.com/ui/#object/approved_document__v/V5O00000001L016", "ALL_Flexibilität_Ferienplanung_2026_AA_de")</f>
        <v>ALL_Flexibilität_Ferienplanung_2026_AA_de</v>
      </c>
      <c r="M2118" s="22" t="str">
        <f>HYPERLINK("mailto:scapeder@crm.otsuka-europe.com", "scapeder@crm.otsuka-europe.com")</f>
        <v>scapeder@crm.otsuka-europe.com</v>
      </c>
      <c r="N2118" s="25">
        <v>46212.367372685185</v>
      </c>
      <c r="O2118" s="14" t="str">
        <f>HYPERLINK("https://otsuka-europe-crm.veevavault.com/ui/#object/email_activity__v/V8C000000044971", "EN-002103433")</f>
        <v>EN-002103433</v>
      </c>
    </row>
    <row r="2119" spans="1:15" ht="16" x14ac:dyDescent="0.2">
      <c r="A2119" s="19"/>
      <c r="B2119" s="19"/>
      <c r="C2119" s="19"/>
      <c r="D2119" s="19"/>
      <c r="E2119" s="19"/>
      <c r="F2119" s="19"/>
      <c r="G2119" s="19"/>
      <c r="H2119" s="19"/>
      <c r="I2119" s="19"/>
      <c r="J2119" s="19"/>
      <c r="K2119" s="19"/>
      <c r="L2119" s="19"/>
      <c r="M2119" s="19"/>
      <c r="N2119" s="19"/>
      <c r="O2119" s="14" t="str">
        <f>HYPERLINK("https://otsuka-europe-crm.veevavault.com/ui/#object/email_activity__v/V8C00000004A008", "EN-002104882")</f>
        <v>EN-002104882</v>
      </c>
    </row>
    <row r="2120" spans="1:15" ht="32" x14ac:dyDescent="0.2">
      <c r="A2120" s="7" t="str">
        <f>HYPERLINK("https://otsuka-europe-crm.veevavault.com/ui/#object/account__v/V4TZ04ASG7NITRX", "Zita Bosnyakne Tislerics")</f>
        <v>Zita Bosnyakne Tislerics</v>
      </c>
      <c r="B2120" s="7" t="str">
        <f>HYPERLINK("https://otsuka-europe-crm.veevavault.com/ui/#object/vcountry__v/VENZ000004SONFN", "CH")</f>
        <v>CH</v>
      </c>
      <c r="C2120" s="8" t="s">
        <v>45</v>
      </c>
      <c r="D2120" s="9" t="str">
        <f>HYPERLINK("https://otsuka-europe-crm.veevavault.com/ui/#object/approved_document__v/V5O00000001L016", "ALL_Flexibilität_Ferienplanung_2026_AA_de")</f>
        <v>ALL_Flexibilität_Ferienplanung_2026_AA_de</v>
      </c>
      <c r="E2120" s="10" t="str">
        <f>HYPERLINK("https://otsuka-europe-crm.veevavault.com/ui/#object/sent_email__v/VBL000000034285", "SE-001442664")</f>
        <v>SE-001442664</v>
      </c>
      <c r="F2120" s="11"/>
      <c r="G2120" s="12">
        <v>0</v>
      </c>
      <c r="H2120" s="12">
        <v>0</v>
      </c>
      <c r="I2120" s="12">
        <v>0</v>
      </c>
      <c r="J2120" s="11"/>
      <c r="K2120" s="12">
        <v>0</v>
      </c>
      <c r="L2120" s="10" t="str">
        <f>HYPERLINK("https://otsuka-europe-crm.veevavault.com/ui/#object/approved_document__v/V5O00000001L016", "ALL_Flexibilität_Ferienplanung_2026_AA_de")</f>
        <v>ALL_Flexibilität_Ferienplanung_2026_AA_de</v>
      </c>
      <c r="M2120" s="10" t="str">
        <f>HYPERLINK("mailto:scapeder@crm.otsuka-europe.com", "scapeder@crm.otsuka-europe.com")</f>
        <v>scapeder@crm.otsuka-europe.com</v>
      </c>
      <c r="N2120" s="13">
        <v>46212.367372685185</v>
      </c>
      <c r="O2120" s="14" t="str">
        <f>HYPERLINK("https://otsuka-europe-crm.veevavault.com/ui/#object/email_activity__v/V8C000000044972", "EN-002103434")</f>
        <v>EN-002103434</v>
      </c>
    </row>
    <row r="2121" spans="1:15" ht="16" x14ac:dyDescent="0.2">
      <c r="A2121" s="18" t="str">
        <f>HYPERLINK("https://otsuka-europe-crm.veevavault.com/ui/#object/account__v/V4TZ06G6O71T74T", "FRANZ MARCELO FERNANDEZ RODRIGUEZ")</f>
        <v>FRANZ MARCELO FERNANDEZ RODRIGUEZ</v>
      </c>
      <c r="B2121" s="18" t="str">
        <f>HYPERLINK("https://otsuka-europe-crm.veevavault.com/ui/#object/vcountry__v/VENZ000004SONF5", "ES")</f>
        <v>ES</v>
      </c>
      <c r="C2121" s="20" t="s">
        <v>39</v>
      </c>
      <c r="D212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21" s="22" t="str">
        <f>HYPERLINK("https://otsuka-europe-crm.veevavault.com/ui/#object/sent_email__v/VBL000000034286", "SE-001442665")</f>
        <v>SE-001442665</v>
      </c>
      <c r="F2121" s="25">
        <v>46215.490567129629</v>
      </c>
      <c r="G2121" s="24">
        <v>1</v>
      </c>
      <c r="H2121" s="24">
        <v>5</v>
      </c>
      <c r="I2121" s="24">
        <v>0</v>
      </c>
      <c r="J2121" s="23"/>
      <c r="K2121" s="24">
        <v>0</v>
      </c>
      <c r="L212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21" s="22" t="str">
        <f>HYPERLINK("mailto:pmartinez@crm.otsuka-europe.com", "pmartinez@crm.otsuka-europe.com")</f>
        <v>pmartinez@crm.otsuka-europe.com</v>
      </c>
      <c r="N2121" s="25">
        <v>46212.371249999997</v>
      </c>
      <c r="O2121" s="14" t="str">
        <f>HYPERLINK("https://otsuka-europe-crm.veevavault.com/ui/#object/email_activity__v/V8C000000044993", "EN-002103458")</f>
        <v>EN-002103458</v>
      </c>
    </row>
    <row r="2122" spans="1:15" ht="16" x14ac:dyDescent="0.2">
      <c r="A2122" s="26"/>
      <c r="B2122" s="26"/>
      <c r="C2122" s="26"/>
      <c r="D2122" s="26"/>
      <c r="E2122" s="26"/>
      <c r="F2122" s="26"/>
      <c r="G2122" s="26"/>
      <c r="H2122" s="26"/>
      <c r="I2122" s="26"/>
      <c r="J2122" s="26"/>
      <c r="K2122" s="26"/>
      <c r="L2122" s="26"/>
      <c r="M2122" s="26"/>
      <c r="N2122" s="26"/>
      <c r="O2122" s="14" t="str">
        <f>HYPERLINK("https://otsuka-europe-crm.veevavault.com/ui/#object/email_activity__v/V8C000000047051", "EN-002104245")</f>
        <v>EN-002104245</v>
      </c>
    </row>
    <row r="2123" spans="1:15" ht="16" x14ac:dyDescent="0.2">
      <c r="A2123" s="26"/>
      <c r="B2123" s="26"/>
      <c r="C2123" s="26"/>
      <c r="D2123" s="26"/>
      <c r="E2123" s="26"/>
      <c r="F2123" s="26"/>
      <c r="G2123" s="26"/>
      <c r="H2123" s="26"/>
      <c r="I2123" s="26"/>
      <c r="J2123" s="26"/>
      <c r="K2123" s="26"/>
      <c r="L2123" s="26"/>
      <c r="M2123" s="26"/>
      <c r="N2123" s="26"/>
      <c r="O2123" s="14" t="str">
        <f>HYPERLINK("https://otsuka-europe-crm.veevavault.com/ui/#object/email_activity__v/V8C000000048014", "EN-002104208")</f>
        <v>EN-002104208</v>
      </c>
    </row>
    <row r="2124" spans="1:15" ht="16" x14ac:dyDescent="0.2">
      <c r="A2124" s="26"/>
      <c r="B2124" s="26"/>
      <c r="C2124" s="26"/>
      <c r="D2124" s="26"/>
      <c r="E2124" s="26"/>
      <c r="F2124" s="26"/>
      <c r="G2124" s="26"/>
      <c r="H2124" s="26"/>
      <c r="I2124" s="26"/>
      <c r="J2124" s="26"/>
      <c r="K2124" s="26"/>
      <c r="L2124" s="26"/>
      <c r="M2124" s="26"/>
      <c r="N2124" s="26"/>
      <c r="O2124" s="14" t="str">
        <f>HYPERLINK("https://otsuka-europe-crm.veevavault.com/ui/#object/email_activity__v/V8C000000048015", "EN-002104209")</f>
        <v>EN-002104209</v>
      </c>
    </row>
    <row r="2125" spans="1:15" ht="16" x14ac:dyDescent="0.2">
      <c r="A2125" s="26"/>
      <c r="B2125" s="26"/>
      <c r="C2125" s="26"/>
      <c r="D2125" s="26"/>
      <c r="E2125" s="26"/>
      <c r="F2125" s="26"/>
      <c r="G2125" s="26"/>
      <c r="H2125" s="26"/>
      <c r="I2125" s="26"/>
      <c r="J2125" s="26"/>
      <c r="K2125" s="26"/>
      <c r="L2125" s="26"/>
      <c r="M2125" s="26"/>
      <c r="N2125" s="26"/>
      <c r="O2125" s="14" t="str">
        <f>HYPERLINK("https://otsuka-europe-crm.veevavault.com/ui/#object/email_activity__v/V8C000000049047", "EN-002104959")</f>
        <v>EN-002104959</v>
      </c>
    </row>
    <row r="2126" spans="1:15" ht="16" x14ac:dyDescent="0.2">
      <c r="A2126" s="19"/>
      <c r="B2126" s="19"/>
      <c r="C2126" s="19"/>
      <c r="D2126" s="19"/>
      <c r="E2126" s="19"/>
      <c r="F2126" s="19"/>
      <c r="G2126" s="19"/>
      <c r="H2126" s="19"/>
      <c r="I2126" s="19"/>
      <c r="J2126" s="19"/>
      <c r="K2126" s="19"/>
      <c r="L2126" s="19"/>
      <c r="M2126" s="19"/>
      <c r="N2126" s="19"/>
      <c r="O2126" s="14" t="str">
        <f>HYPERLINK("https://otsuka-europe-crm.veevavault.com/ui/#object/email_activity__v/V8C00000004A044", "EN-002104958")</f>
        <v>EN-002104958</v>
      </c>
    </row>
    <row r="2127" spans="1:15" ht="16" x14ac:dyDescent="0.2">
      <c r="A2127" s="18" t="str">
        <f>HYPERLINK("https://otsuka-europe-crm.veevavault.com/ui/#object/account__v/V4TZ06G6O71T8OW", "JOSE LUIS PEREZ CANGA")</f>
        <v>JOSE LUIS PEREZ CANGA</v>
      </c>
      <c r="B2127" s="18" t="str">
        <f>HYPERLINK("https://otsuka-europe-crm.veevavault.com/ui/#object/vcountry__v/VENZ000004SONF5", "ES")</f>
        <v>ES</v>
      </c>
      <c r="C2127" s="20" t="s">
        <v>39</v>
      </c>
      <c r="D212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27" s="22" t="str">
        <f>HYPERLINK("https://otsuka-europe-crm.veevavault.com/ui/#object/sent_email__v/VBL000000034287", "SE-001442666")</f>
        <v>SE-001442666</v>
      </c>
      <c r="F2127" s="23"/>
      <c r="G2127" s="24">
        <v>0</v>
      </c>
      <c r="H2127" s="24">
        <v>0</v>
      </c>
      <c r="I2127" s="24">
        <v>0</v>
      </c>
      <c r="J2127" s="23"/>
      <c r="K2127" s="24">
        <v>0</v>
      </c>
      <c r="L212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27" s="22" t="str">
        <f>HYPERLINK("mailto:pmartinez@crm.otsuka-europe.com", "pmartinez@crm.otsuka-europe.com")</f>
        <v>pmartinez@crm.otsuka-europe.com</v>
      </c>
      <c r="N2127" s="25">
        <v>46212.37127314815</v>
      </c>
      <c r="O2127" s="14" t="str">
        <f>HYPERLINK("https://otsuka-europe-crm.veevavault.com/ui/#object/email_activity__v/V8C000000045119", "EN-002103583")</f>
        <v>EN-002103583</v>
      </c>
    </row>
    <row r="2128" spans="1:15" ht="16" x14ac:dyDescent="0.2">
      <c r="A2128" s="26"/>
      <c r="B2128" s="26"/>
      <c r="C2128" s="26"/>
      <c r="D2128" s="26"/>
      <c r="E2128" s="26"/>
      <c r="F2128" s="26"/>
      <c r="G2128" s="26"/>
      <c r="H2128" s="26"/>
      <c r="I2128" s="26"/>
      <c r="J2128" s="26"/>
      <c r="K2128" s="26"/>
      <c r="L2128" s="26"/>
      <c r="M2128" s="26"/>
      <c r="N2128" s="26"/>
      <c r="O2128" s="14" t="str">
        <f>HYPERLINK("https://otsuka-europe-crm.veevavault.com/ui/#object/email_activity__v/V8C000000047006", "EN-002104169")</f>
        <v>EN-002104169</v>
      </c>
    </row>
    <row r="2129" spans="1:15" ht="16" x14ac:dyDescent="0.2">
      <c r="A2129" s="19"/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  <c r="L2129" s="19"/>
      <c r="M2129" s="19"/>
      <c r="N2129" s="19"/>
      <c r="O2129" s="14" t="str">
        <f>HYPERLINK("https://otsuka-europe-crm.veevavault.com/ui/#object/email_activity__v/V8C000000049505", "EN-002105796")</f>
        <v>EN-002105796</v>
      </c>
    </row>
    <row r="2130" spans="1:15" ht="64" x14ac:dyDescent="0.2">
      <c r="A2130" s="7" t="str">
        <f>HYPERLINK("https://otsuka-europe-crm.veevavault.com/ui/#object/account__v/V4TZ06G6O71T7UI", "MARCO MONTOMOLI")</f>
        <v>MARCO MONTOMOLI</v>
      </c>
      <c r="B2130" s="7" t="str">
        <f>HYPERLINK("https://otsuka-europe-crm.veevavault.com/ui/#object/vcountry__v/VENZ000004SONF5", "ES")</f>
        <v>ES</v>
      </c>
      <c r="C2130" s="8" t="s">
        <v>39</v>
      </c>
      <c r="D213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0" s="10" t="str">
        <f>HYPERLINK("https://otsuka-europe-crm.veevavault.com/ui/#object/sent_email__v/VBL000000034288", "SE-001442667")</f>
        <v>SE-001442667</v>
      </c>
      <c r="F2130" s="11"/>
      <c r="G2130" s="12">
        <v>0</v>
      </c>
      <c r="H2130" s="12">
        <v>0</v>
      </c>
      <c r="I2130" s="12">
        <v>0</v>
      </c>
      <c r="J2130" s="11"/>
      <c r="K2130" s="12">
        <v>0</v>
      </c>
      <c r="L213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0" s="10" t="str">
        <f>HYPERLINK("mailto:pmartinez@crm.otsuka-europe.com", "pmartinez@crm.otsuka-europe.com")</f>
        <v>pmartinez@crm.otsuka-europe.com</v>
      </c>
      <c r="N2130" s="13">
        <v>46212.371249999997</v>
      </c>
      <c r="O2130" s="14" t="str">
        <f>HYPERLINK("https://otsuka-europe-crm.veevavault.com/ui/#object/email_activity__v/V8C000000045079", "EN-002103543")</f>
        <v>EN-002103543</v>
      </c>
    </row>
    <row r="2131" spans="1:15" ht="64" x14ac:dyDescent="0.2">
      <c r="A2131" s="7" t="str">
        <f>HYPERLINK("https://otsuka-europe-crm.veevavault.com/ui/#object/account__v/V4TZ06G6O71TBNX", "JOSE MARIA PORTOLES PEREZ")</f>
        <v>JOSE MARIA PORTOLES PEREZ</v>
      </c>
      <c r="B2131" s="7" t="str">
        <f>HYPERLINK("https://otsuka-europe-crm.veevavault.com/ui/#object/vcountry__v/VENZ000004SONF5", "ES")</f>
        <v>ES</v>
      </c>
      <c r="C2131" s="8" t="s">
        <v>39</v>
      </c>
      <c r="D213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1" s="10" t="str">
        <f>HYPERLINK("https://otsuka-europe-crm.veevavault.com/ui/#object/sent_email__v/VBL000000034289", "SE-001442668")</f>
        <v>SE-001442668</v>
      </c>
      <c r="F2131" s="11"/>
      <c r="G2131" s="12">
        <v>0</v>
      </c>
      <c r="H2131" s="12">
        <v>0</v>
      </c>
      <c r="I2131" s="12">
        <v>0</v>
      </c>
      <c r="J2131" s="11"/>
      <c r="K2131" s="12">
        <v>0</v>
      </c>
      <c r="L213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1" s="10" t="str">
        <f>HYPERLINK("mailto:pmartinez@crm.otsuka-europe.com", "pmartinez@crm.otsuka-europe.com")</f>
        <v>pmartinez@crm.otsuka-europe.com</v>
      </c>
      <c r="N2131" s="13">
        <v>46212.371249999997</v>
      </c>
      <c r="O2131" s="14" t="str">
        <f>HYPERLINK("https://otsuka-europe-crm.veevavault.com/ui/#object/email_activity__v/V8C000000045105", "EN-002103569")</f>
        <v>EN-002103569</v>
      </c>
    </row>
    <row r="2132" spans="1:15" ht="16" x14ac:dyDescent="0.2">
      <c r="A2132" s="18" t="str">
        <f>HYPERLINK("https://otsuka-europe-crm.veevavault.com/ui/#object/account__v/V4TZ06G6O71T8DL", "JAVIER NARANJO MUÑOZ")</f>
        <v>JAVIER NARANJO MUÑOZ</v>
      </c>
      <c r="B2132" s="18" t="str">
        <f>HYPERLINK("https://otsuka-europe-crm.veevavault.com/ui/#object/vcountry__v/VENZ000004SONF5", "ES")</f>
        <v>ES</v>
      </c>
      <c r="C2132" s="20" t="s">
        <v>39</v>
      </c>
      <c r="D21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2" s="22" t="str">
        <f>HYPERLINK("https://otsuka-europe-crm.veevavault.com/ui/#object/sent_email__v/VBL000000034290", "SE-001442669")</f>
        <v>SE-001442669</v>
      </c>
      <c r="F2132" s="25">
        <v>46212.373333333337</v>
      </c>
      <c r="G2132" s="24">
        <v>1</v>
      </c>
      <c r="H2132" s="24">
        <v>2</v>
      </c>
      <c r="I2132" s="24">
        <v>0</v>
      </c>
      <c r="J2132" s="23"/>
      <c r="K2132" s="24">
        <v>0</v>
      </c>
      <c r="L21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2" s="22" t="str">
        <f>HYPERLINK("mailto:pmartinez@crm.otsuka-europe.com", "pmartinez@crm.otsuka-europe.com")</f>
        <v>pmartinez@crm.otsuka-europe.com</v>
      </c>
      <c r="N2132" s="25">
        <v>46212.371249999997</v>
      </c>
      <c r="O2132" s="14" t="str">
        <f>HYPERLINK("https://otsuka-europe-crm.veevavault.com/ui/#object/email_activity__v/V8C000000045080", "EN-002103544")</f>
        <v>EN-002103544</v>
      </c>
    </row>
    <row r="2133" spans="1:15" ht="16" x14ac:dyDescent="0.2">
      <c r="A2133" s="26"/>
      <c r="B2133" s="26"/>
      <c r="C2133" s="26"/>
      <c r="D2133" s="26"/>
      <c r="E2133" s="26"/>
      <c r="F2133" s="26"/>
      <c r="G2133" s="26"/>
      <c r="H2133" s="26"/>
      <c r="I2133" s="26"/>
      <c r="J2133" s="26"/>
      <c r="K2133" s="26"/>
      <c r="L2133" s="26"/>
      <c r="M2133" s="26"/>
      <c r="N2133" s="26"/>
      <c r="O2133" s="14" t="str">
        <f>HYPERLINK("https://otsuka-europe-crm.veevavault.com/ui/#object/email_activity__v/V8C000000045168", "EN-002103632")</f>
        <v>EN-002103632</v>
      </c>
    </row>
    <row r="2134" spans="1:15" ht="16" x14ac:dyDescent="0.2">
      <c r="A2134" s="19"/>
      <c r="B2134" s="19"/>
      <c r="C2134" s="19"/>
      <c r="D2134" s="19"/>
      <c r="E2134" s="19"/>
      <c r="F2134" s="19"/>
      <c r="G2134" s="19"/>
      <c r="H2134" s="19"/>
      <c r="I2134" s="19"/>
      <c r="J2134" s="19"/>
      <c r="K2134" s="19"/>
      <c r="L2134" s="19"/>
      <c r="M2134" s="19"/>
      <c r="N2134" s="19"/>
      <c r="O2134" s="14" t="str">
        <f>HYPERLINK("https://otsuka-europe-crm.veevavault.com/ui/#object/email_activity__v/V8C000000045201", "EN-002103665")</f>
        <v>EN-002103665</v>
      </c>
    </row>
    <row r="2135" spans="1:15" ht="16" x14ac:dyDescent="0.2">
      <c r="A2135" s="18" t="str">
        <f>HYPERLINK("https://otsuka-europe-crm.veevavault.com/ui/#object/account__v/V4TZ06G6O71TBW0", "JUAN MARIANO RODRIGUEZ PORTILLO")</f>
        <v>JUAN MARIANO RODRIGUEZ PORTILLO</v>
      </c>
      <c r="B2135" s="18" t="str">
        <f>HYPERLINK("https://otsuka-europe-crm.veevavault.com/ui/#object/vcountry__v/VENZ000004SONF5", "ES")</f>
        <v>ES</v>
      </c>
      <c r="C2135" s="20" t="s">
        <v>39</v>
      </c>
      <c r="D21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5" s="22" t="str">
        <f>HYPERLINK("https://otsuka-europe-crm.veevavault.com/ui/#object/sent_email__v/VBL000000034291", "SE-001442670")</f>
        <v>SE-001442670</v>
      </c>
      <c r="F2135" s="23"/>
      <c r="G2135" s="24">
        <v>0</v>
      </c>
      <c r="H2135" s="24">
        <v>0</v>
      </c>
      <c r="I2135" s="24">
        <v>0</v>
      </c>
      <c r="J2135" s="23"/>
      <c r="K2135" s="24">
        <v>0</v>
      </c>
      <c r="L21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5" s="22" t="str">
        <f>HYPERLINK("mailto:pmartinez@crm.otsuka-europe.com", "pmartinez@crm.otsuka-europe.com")</f>
        <v>pmartinez@crm.otsuka-europe.com</v>
      </c>
      <c r="N2135" s="25">
        <v>46212.371249999997</v>
      </c>
      <c r="O2135" s="14" t="str">
        <f>HYPERLINK("https://otsuka-europe-crm.veevavault.com/ui/#object/email_activity__v/V8C000000044990", "EN-002103452")</f>
        <v>EN-002103452</v>
      </c>
    </row>
    <row r="2136" spans="1:15" ht="16" x14ac:dyDescent="0.2">
      <c r="A2136" s="19"/>
      <c r="B2136" s="19"/>
      <c r="C2136" s="19"/>
      <c r="D2136" s="19"/>
      <c r="E2136" s="19"/>
      <c r="F2136" s="19"/>
      <c r="G2136" s="19"/>
      <c r="H2136" s="19"/>
      <c r="I2136" s="19"/>
      <c r="J2136" s="19"/>
      <c r="K2136" s="19"/>
      <c r="L2136" s="19"/>
      <c r="M2136" s="19"/>
      <c r="N2136" s="19"/>
      <c r="O2136" s="14" t="str">
        <f>HYPERLINK("https://otsuka-europe-crm.veevavault.com/ui/#object/email_activity__v/V8C00000004C435", "EN-002107885")</f>
        <v>EN-002107885</v>
      </c>
    </row>
    <row r="2137" spans="1:15" ht="64" x14ac:dyDescent="0.2">
      <c r="A2137" s="7" t="str">
        <f>HYPERLINK("https://otsuka-europe-crm.veevavault.com/ui/#object/account__v/V4TZ06G6O71T7OA", "CLARA GARCIA CARRO")</f>
        <v>CLARA GARCIA CARRO</v>
      </c>
      <c r="B2137" s="7" t="str">
        <f>HYPERLINK("https://otsuka-europe-crm.veevavault.com/ui/#object/vcountry__v/VENZ000004SONF5", "ES")</f>
        <v>ES</v>
      </c>
      <c r="C2137" s="8" t="s">
        <v>39</v>
      </c>
      <c r="D213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7" s="10" t="str">
        <f>HYPERLINK("https://otsuka-europe-crm.veevavault.com/ui/#object/sent_email__v/VBL000000034292", "SE-001442671")</f>
        <v>SE-001442671</v>
      </c>
      <c r="F2137" s="11"/>
      <c r="G2137" s="12">
        <v>0</v>
      </c>
      <c r="H2137" s="12">
        <v>0</v>
      </c>
      <c r="I2137" s="12">
        <v>0</v>
      </c>
      <c r="J2137" s="11"/>
      <c r="K2137" s="12">
        <v>0</v>
      </c>
      <c r="L213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7" s="10" t="str">
        <f>HYPERLINK("mailto:pmartinez@crm.otsuka-europe.com", "pmartinez@crm.otsuka-europe.com")</f>
        <v>pmartinez@crm.otsuka-europe.com</v>
      </c>
      <c r="N2137" s="13">
        <v>46212.37128472222</v>
      </c>
      <c r="O2137" s="14" t="str">
        <f>HYPERLINK("https://otsuka-europe-crm.veevavault.com/ui/#object/email_activity__v/V8C000000045130", "EN-002103594")</f>
        <v>EN-002103594</v>
      </c>
    </row>
    <row r="2138" spans="1:15" ht="64" x14ac:dyDescent="0.2">
      <c r="A2138" s="7" t="str">
        <f>HYPERLINK("https://otsuka-europe-crm.veevavault.com/ui/#object/account__v/V4TZ06G6O71TB37", "NADIA MARTIN ALEMANY")</f>
        <v>NADIA MARTIN ALEMANY</v>
      </c>
      <c r="B2138" s="7" t="str">
        <f>HYPERLINK("https://otsuka-europe-crm.veevavault.com/ui/#object/vcountry__v/VENZ000004SONF5", "ES")</f>
        <v>ES</v>
      </c>
      <c r="C2138" s="8" t="s">
        <v>39</v>
      </c>
      <c r="D213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8" s="10" t="str">
        <f>HYPERLINK("https://otsuka-europe-crm.veevavault.com/ui/#object/sent_email__v/VBL000000034293", "SE-001442672")</f>
        <v>SE-001442672</v>
      </c>
      <c r="F2138" s="11"/>
      <c r="G2138" s="12">
        <v>0</v>
      </c>
      <c r="H2138" s="12">
        <v>0</v>
      </c>
      <c r="I2138" s="12">
        <v>0</v>
      </c>
      <c r="J2138" s="11"/>
      <c r="K2138" s="12">
        <v>0</v>
      </c>
      <c r="L213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8" s="10" t="str">
        <f>HYPERLINK("mailto:pmartinez@crm.otsuka-europe.com", "pmartinez@crm.otsuka-europe.com")</f>
        <v>pmartinez@crm.otsuka-europe.com</v>
      </c>
      <c r="N2138" s="13">
        <v>46212.371249999997</v>
      </c>
      <c r="O2138" s="14" t="str">
        <f>HYPERLINK("https://otsuka-europe-crm.veevavault.com/ui/#object/email_activity__v/V8C000000045083", "EN-002103547")</f>
        <v>EN-002103547</v>
      </c>
    </row>
    <row r="2139" spans="1:15" ht="16" x14ac:dyDescent="0.2">
      <c r="A2139" s="18" t="str">
        <f>HYPERLINK("https://otsuka-europe-crm.veevavault.com/ui/#object/account__v/V4TZ06G6O71TAU0", "MANUEL LUIS MACIA HERAS")</f>
        <v>MANUEL LUIS MACIA HERAS</v>
      </c>
      <c r="B2139" s="18" t="str">
        <f>HYPERLINK("https://otsuka-europe-crm.veevavault.com/ui/#object/vcountry__v/VENZ000004SONF5", "ES")</f>
        <v>ES</v>
      </c>
      <c r="C2139" s="20" t="s">
        <v>39</v>
      </c>
      <c r="D213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39" s="22" t="str">
        <f>HYPERLINK("https://otsuka-europe-crm.veevavault.com/ui/#object/sent_email__v/VBL000000034294", "SE-001442673")</f>
        <v>SE-001442673</v>
      </c>
      <c r="F2139" s="23"/>
      <c r="G2139" s="24">
        <v>0</v>
      </c>
      <c r="H2139" s="24">
        <v>0</v>
      </c>
      <c r="I2139" s="24">
        <v>0</v>
      </c>
      <c r="J2139" s="23"/>
      <c r="K2139" s="24">
        <v>0</v>
      </c>
      <c r="L213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39" s="22" t="str">
        <f>HYPERLINK("mailto:pmartinez@crm.otsuka-europe.com", "pmartinez@crm.otsuka-europe.com")</f>
        <v>pmartinez@crm.otsuka-europe.com</v>
      </c>
      <c r="N2139" s="25">
        <v>46212.371249999997</v>
      </c>
      <c r="O2139" s="14" t="str">
        <f>HYPERLINK("https://otsuka-europe-crm.veevavault.com/ui/#object/email_activity__v/V8C000000045034", "EN-002103498")</f>
        <v>EN-002103498</v>
      </c>
    </row>
    <row r="2140" spans="1:15" ht="16" x14ac:dyDescent="0.2">
      <c r="A2140" s="19"/>
      <c r="B2140" s="19"/>
      <c r="C2140" s="19"/>
      <c r="D2140" s="19"/>
      <c r="E2140" s="19"/>
      <c r="F2140" s="19"/>
      <c r="G2140" s="19"/>
      <c r="H2140" s="19"/>
      <c r="I2140" s="19"/>
      <c r="J2140" s="19"/>
      <c r="K2140" s="19"/>
      <c r="L2140" s="19"/>
      <c r="M2140" s="19"/>
      <c r="N2140" s="19"/>
      <c r="O2140" s="14" t="str">
        <f>HYPERLINK("https://otsuka-europe-crm.veevavault.com/ui/#object/email_activity__v/V8C000000046007", "EN-002103819")</f>
        <v>EN-002103819</v>
      </c>
    </row>
    <row r="2141" spans="1:15" ht="64" x14ac:dyDescent="0.2">
      <c r="A2141" s="7" t="str">
        <f>HYPERLINK("https://otsuka-europe-crm.veevavault.com/ui/#object/account__v/V4TZ06G6O71WX8J", "MARTA ARTAMENDI LARRAÑAGA")</f>
        <v>MARTA ARTAMENDI LARRAÑAGA</v>
      </c>
      <c r="B2141" s="7" t="str">
        <f>HYPERLINK("https://otsuka-europe-crm.veevavault.com/ui/#object/vcountry__v/VENZ000004SONF5", "ES")</f>
        <v>ES</v>
      </c>
      <c r="C2141" s="8" t="s">
        <v>39</v>
      </c>
      <c r="D214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1" s="10" t="str">
        <f>HYPERLINK("https://otsuka-europe-crm.veevavault.com/ui/#object/sent_email__v/VBL000000034295", "SE-001442674")</f>
        <v>SE-001442674</v>
      </c>
      <c r="F2141" s="11"/>
      <c r="G2141" s="12">
        <v>0</v>
      </c>
      <c r="H2141" s="12">
        <v>0</v>
      </c>
      <c r="I2141" s="12">
        <v>0</v>
      </c>
      <c r="J2141" s="11"/>
      <c r="K2141" s="12">
        <v>0</v>
      </c>
      <c r="L214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1" s="10" t="str">
        <f>HYPERLINK("mailto:pmartinez@crm.otsuka-europe.com", "pmartinez@crm.otsuka-europe.com")</f>
        <v>pmartinez@crm.otsuka-europe.com</v>
      </c>
      <c r="N2141" s="13">
        <v>46212.371249999997</v>
      </c>
      <c r="O2141" s="14" t="str">
        <f>HYPERLINK("https://otsuka-europe-crm.veevavault.com/ui/#object/email_activity__v/V8C000000045050", "EN-002103514")</f>
        <v>EN-002103514</v>
      </c>
    </row>
    <row r="2142" spans="1:15" ht="64" x14ac:dyDescent="0.2">
      <c r="A2142" s="7" t="str">
        <f>HYPERLINK("https://otsuka-europe-crm.veevavault.com/ui/#object/account__v/V4TZ06G6O71TBTI", "NICOLAS ROBERTO ROBLES PEREZ-MONTEOLIVA")</f>
        <v>NICOLAS ROBERTO ROBLES PEREZ-MONTEOLIVA</v>
      </c>
      <c r="B2142" s="7" t="str">
        <f>HYPERLINK("https://otsuka-europe-crm.veevavault.com/ui/#object/vcountry__v/VENZ000004SONF5", "ES")</f>
        <v>ES</v>
      </c>
      <c r="C2142" s="8" t="s">
        <v>39</v>
      </c>
      <c r="D214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2" s="10" t="str">
        <f>HYPERLINK("https://otsuka-europe-crm.veevavault.com/ui/#object/sent_email__v/VBL000000034296", "SE-001442675")</f>
        <v>SE-001442675</v>
      </c>
      <c r="F2142" s="11"/>
      <c r="G2142" s="12">
        <v>0</v>
      </c>
      <c r="H2142" s="12">
        <v>0</v>
      </c>
      <c r="I2142" s="12">
        <v>0</v>
      </c>
      <c r="J2142" s="11"/>
      <c r="K2142" s="12">
        <v>0</v>
      </c>
      <c r="L214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2" s="10" t="str">
        <f>HYPERLINK("mailto:pmartinez@crm.otsuka-europe.com", "pmartinez@crm.otsuka-europe.com")</f>
        <v>pmartinez@crm.otsuka-europe.com</v>
      </c>
      <c r="N2142" s="13">
        <v>46212.371319444443</v>
      </c>
      <c r="O2142" s="14" t="str">
        <f>HYPERLINK("https://otsuka-europe-crm.veevavault.com/ui/#object/email_activity__v/V8C000000045147", "EN-002103611")</f>
        <v>EN-002103611</v>
      </c>
    </row>
    <row r="2143" spans="1:15" ht="64" x14ac:dyDescent="0.2">
      <c r="A2143" s="7" t="str">
        <f>HYPERLINK("https://otsuka-europe-crm.veevavault.com/ui/#object/account__v/V4TZ06G6O71TBNL", "ESTEBAN POCH LOPEZ DE BRIÑAS")</f>
        <v>ESTEBAN POCH LOPEZ DE BRIÑAS</v>
      </c>
      <c r="B2143" s="7" t="str">
        <f>HYPERLINK("https://otsuka-europe-crm.veevavault.com/ui/#object/vcountry__v/VENZ000004SONF5", "ES")</f>
        <v>ES</v>
      </c>
      <c r="C2143" s="8" t="s">
        <v>39</v>
      </c>
      <c r="D214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3" s="10" t="str">
        <f>HYPERLINK("https://otsuka-europe-crm.veevavault.com/ui/#object/sent_email__v/VBL000000034297", "SE-001442676")</f>
        <v>SE-001442676</v>
      </c>
      <c r="F2143" s="11"/>
      <c r="G2143" s="12">
        <v>0</v>
      </c>
      <c r="H2143" s="12">
        <v>0</v>
      </c>
      <c r="I2143" s="12">
        <v>0</v>
      </c>
      <c r="J2143" s="11"/>
      <c r="K2143" s="12">
        <v>0</v>
      </c>
      <c r="L214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3" s="10" t="str">
        <f>HYPERLINK("mailto:pmartinez@crm.otsuka-europe.com", "pmartinez@crm.otsuka-europe.com")</f>
        <v>pmartinez@crm.otsuka-europe.com</v>
      </c>
      <c r="N2143" s="13">
        <v>46212.371249999997</v>
      </c>
      <c r="O2143" s="14" t="str">
        <f>HYPERLINK("https://otsuka-europe-crm.veevavault.com/ui/#object/email_activity__v/V8C000000045059", "EN-002103523")</f>
        <v>EN-002103523</v>
      </c>
    </row>
    <row r="2144" spans="1:15" ht="16" x14ac:dyDescent="0.2">
      <c r="A2144" s="18" t="str">
        <f>HYPERLINK("https://otsuka-europe-crm.veevavault.com/ui/#object/account__v/V4TZ06G6O71T9MW", "CECILIA DALL-ANESE SIEGENTHALER")</f>
        <v>CECILIA DALL-ANESE SIEGENTHALER</v>
      </c>
      <c r="B2144" s="18" t="str">
        <f>HYPERLINK("https://otsuka-europe-crm.veevavault.com/ui/#object/vcountry__v/VENZ000004SONF5", "ES")</f>
        <v>ES</v>
      </c>
      <c r="C2144" s="20" t="s">
        <v>39</v>
      </c>
      <c r="D214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4" s="22" t="str">
        <f>HYPERLINK("https://otsuka-europe-crm.veevavault.com/ui/#object/sent_email__v/VBL000000034298", "SE-001442677")</f>
        <v>SE-001442677</v>
      </c>
      <c r="F2144" s="23"/>
      <c r="G2144" s="24">
        <v>0</v>
      </c>
      <c r="H2144" s="24">
        <v>0</v>
      </c>
      <c r="I2144" s="24">
        <v>0</v>
      </c>
      <c r="J2144" s="23"/>
      <c r="K2144" s="24">
        <v>0</v>
      </c>
      <c r="L214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4" s="22" t="str">
        <f>HYPERLINK("mailto:pmartinez@crm.otsuka-europe.com", "pmartinez@crm.otsuka-europe.com")</f>
        <v>pmartinez@crm.otsuka-europe.com</v>
      </c>
      <c r="N2144" s="25">
        <v>46212.371192129627</v>
      </c>
      <c r="O2144" s="14" t="str">
        <f>HYPERLINK("https://otsuka-europe-crm.veevavault.com/ui/#object/email_activity__v/V8C000000045007", "EN-002103471")</f>
        <v>EN-002103471</v>
      </c>
    </row>
    <row r="2145" spans="1:15" ht="16" x14ac:dyDescent="0.2">
      <c r="A2145" s="19"/>
      <c r="B2145" s="19"/>
      <c r="C2145" s="19"/>
      <c r="D2145" s="19"/>
      <c r="E2145" s="19"/>
      <c r="F2145" s="19"/>
      <c r="G2145" s="19"/>
      <c r="H2145" s="19"/>
      <c r="I2145" s="19"/>
      <c r="J2145" s="19"/>
      <c r="K2145" s="19"/>
      <c r="L2145" s="19"/>
      <c r="M2145" s="19"/>
      <c r="N2145" s="19"/>
      <c r="O2145" s="14" t="str">
        <f>HYPERLINK("https://otsuka-europe-crm.veevavault.com/ui/#object/email_activity__v/V8C000000046035", "EN-002103885")</f>
        <v>EN-002103885</v>
      </c>
    </row>
    <row r="2146" spans="1:15" ht="64" x14ac:dyDescent="0.2">
      <c r="A2146" s="7" t="str">
        <f>HYPERLINK("https://otsuka-europe-crm.veevavault.com/ui/#object/account__v/V4TZ06G6O71T7H4", "DAVID ARROYO RUEDA")</f>
        <v>DAVID ARROYO RUEDA</v>
      </c>
      <c r="B2146" s="7" t="str">
        <f>HYPERLINK("https://otsuka-europe-crm.veevavault.com/ui/#object/vcountry__v/VENZ000004SONF5", "ES")</f>
        <v>ES</v>
      </c>
      <c r="C2146" s="8" t="s">
        <v>39</v>
      </c>
      <c r="D21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6" s="10" t="str">
        <f>HYPERLINK("https://otsuka-europe-crm.veevavault.com/ui/#object/sent_email__v/VBL000000034299", "SE-001442678")</f>
        <v>SE-001442678</v>
      </c>
      <c r="F2146" s="11"/>
      <c r="G2146" s="12">
        <v>0</v>
      </c>
      <c r="H2146" s="12">
        <v>0</v>
      </c>
      <c r="I2146" s="12">
        <v>0</v>
      </c>
      <c r="J2146" s="11"/>
      <c r="K2146" s="12">
        <v>0</v>
      </c>
      <c r="L21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6" s="10" t="str">
        <f>HYPERLINK("mailto:pmartinez@crm.otsuka-europe.com", "pmartinez@crm.otsuka-europe.com")</f>
        <v>pmartinez@crm.otsuka-europe.com</v>
      </c>
      <c r="N2146" s="13">
        <v>46212.371192129627</v>
      </c>
      <c r="O2146" s="14" t="str">
        <f>HYPERLINK("https://otsuka-europe-crm.veevavault.com/ui/#object/email_activity__v/V8C000000044978", "EN-002103443")</f>
        <v>EN-002103443</v>
      </c>
    </row>
    <row r="2147" spans="1:15" ht="16" x14ac:dyDescent="0.2">
      <c r="A2147" s="18" t="str">
        <f>HYPERLINK("https://otsuka-europe-crm.veevavault.com/ui/#object/account__v/V4TZ06G6O71TBBP", "LUIS JAVIER NIETO IGLESIAS")</f>
        <v>LUIS JAVIER NIETO IGLESIAS</v>
      </c>
      <c r="B2147" s="18" t="str">
        <f>HYPERLINK("https://otsuka-europe-crm.veevavault.com/ui/#object/vcountry__v/VENZ000004SONF5", "ES")</f>
        <v>ES</v>
      </c>
      <c r="C2147" s="20" t="s">
        <v>39</v>
      </c>
      <c r="D214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7" s="22" t="str">
        <f>HYPERLINK("https://otsuka-europe-crm.veevavault.com/ui/#object/sent_email__v/VBL000000034300", "SE-001442679")</f>
        <v>SE-001442679</v>
      </c>
      <c r="F2147" s="25">
        <v>46212.411909722221</v>
      </c>
      <c r="G2147" s="24">
        <v>1</v>
      </c>
      <c r="H2147" s="24">
        <v>1</v>
      </c>
      <c r="I2147" s="24">
        <v>0</v>
      </c>
      <c r="J2147" s="23"/>
      <c r="K2147" s="24">
        <v>0</v>
      </c>
      <c r="L214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7" s="22" t="str">
        <f>HYPERLINK("mailto:pmartinez@crm.otsuka-europe.com", "pmartinez@crm.otsuka-europe.com")</f>
        <v>pmartinez@crm.otsuka-europe.com</v>
      </c>
      <c r="N2147" s="25">
        <v>46212.371249999997</v>
      </c>
      <c r="O2147" s="14" t="str">
        <f>HYPERLINK("https://otsuka-europe-crm.veevavault.com/ui/#object/email_activity__v/V8C000000043983", "EN-002103779")</f>
        <v>EN-002103779</v>
      </c>
    </row>
    <row r="2148" spans="1:15" ht="16" x14ac:dyDescent="0.2">
      <c r="A2148" s="19"/>
      <c r="B2148" s="19"/>
      <c r="C2148" s="19"/>
      <c r="D2148" s="19"/>
      <c r="E2148" s="19"/>
      <c r="F2148" s="19"/>
      <c r="G2148" s="19"/>
      <c r="H2148" s="19"/>
      <c r="I2148" s="19"/>
      <c r="J2148" s="19"/>
      <c r="K2148" s="19"/>
      <c r="L2148" s="19"/>
      <c r="M2148" s="19"/>
      <c r="N2148" s="19"/>
      <c r="O2148" s="14" t="str">
        <f>HYPERLINK("https://otsuka-europe-crm.veevavault.com/ui/#object/email_activity__v/V8C000000045009", "EN-002103473")</f>
        <v>EN-002103473</v>
      </c>
    </row>
    <row r="2149" spans="1:15" ht="16" x14ac:dyDescent="0.2">
      <c r="A2149" s="18" t="str">
        <f>HYPERLINK("https://otsuka-europe-crm.veevavault.com/ui/#object/account__v/V4TZ06G6O71TC6D", "RAMON MARIA SARACHO ROTAECHE")</f>
        <v>RAMON MARIA SARACHO ROTAECHE</v>
      </c>
      <c r="B2149" s="18" t="str">
        <f>HYPERLINK("https://otsuka-europe-crm.veevavault.com/ui/#object/vcountry__v/VENZ000004SONF5", "ES")</f>
        <v>ES</v>
      </c>
      <c r="C2149" s="20" t="s">
        <v>39</v>
      </c>
      <c r="D214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49" s="22" t="str">
        <f>HYPERLINK("https://otsuka-europe-crm.veevavault.com/ui/#object/sent_email__v/VBL000000034301", "SE-001442680")</f>
        <v>SE-001442680</v>
      </c>
      <c r="F2149" s="25">
        <v>46212.420659722222</v>
      </c>
      <c r="G2149" s="24">
        <v>1</v>
      </c>
      <c r="H2149" s="24">
        <v>2</v>
      </c>
      <c r="I2149" s="24">
        <v>1</v>
      </c>
      <c r="J2149" s="25">
        <v>46212.420034722221</v>
      </c>
      <c r="K2149" s="24">
        <v>1</v>
      </c>
      <c r="L214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49" s="22" t="str">
        <f>HYPERLINK("mailto:pmartinez@crm.otsuka-europe.com", "pmartinez@crm.otsuka-europe.com")</f>
        <v>pmartinez@crm.otsuka-europe.com</v>
      </c>
      <c r="N2149" s="25">
        <v>46212.371249999997</v>
      </c>
      <c r="O2149" s="14" t="str">
        <f>HYPERLINK("https://otsuka-europe-crm.veevavault.com/ui/#object/email_activity__v/V8C000000043988", "EN-002103787")</f>
        <v>EN-002103787</v>
      </c>
    </row>
    <row r="2150" spans="1:15" ht="16" x14ac:dyDescent="0.2">
      <c r="A2150" s="26"/>
      <c r="B2150" s="26"/>
      <c r="C2150" s="26"/>
      <c r="D2150" s="26"/>
      <c r="E2150" s="26"/>
      <c r="F2150" s="26"/>
      <c r="G2150" s="26"/>
      <c r="H2150" s="26"/>
      <c r="I2150" s="26"/>
      <c r="J2150" s="26"/>
      <c r="K2150" s="26"/>
      <c r="L2150" s="26"/>
      <c r="M2150" s="26"/>
      <c r="N2150" s="26"/>
      <c r="O2150" s="14" t="str">
        <f>HYPERLINK("https://otsuka-europe-crm.veevavault.com/ui/#object/email_activity__v/V8C000000045015", "EN-002103479")</f>
        <v>EN-002103479</v>
      </c>
    </row>
    <row r="2151" spans="1:15" ht="16" x14ac:dyDescent="0.2">
      <c r="A2151" s="26"/>
      <c r="B2151" s="26"/>
      <c r="C2151" s="26"/>
      <c r="D2151" s="26"/>
      <c r="E2151" s="26"/>
      <c r="F2151" s="26"/>
      <c r="G2151" s="26"/>
      <c r="H2151" s="26"/>
      <c r="I2151" s="26"/>
      <c r="J2151" s="26"/>
      <c r="K2151" s="26"/>
      <c r="L2151" s="26"/>
      <c r="M2151" s="26"/>
      <c r="N2151" s="26"/>
      <c r="O2151" s="14" t="str">
        <f>HYPERLINK("https://otsuka-europe-crm.veevavault.com/ui/#object/email_activity__v/V8C000000045208", "EN-002103674")</f>
        <v>EN-002103674</v>
      </c>
    </row>
    <row r="2152" spans="1:15" ht="16" x14ac:dyDescent="0.2">
      <c r="A2152" s="26"/>
      <c r="B2152" s="26"/>
      <c r="C2152" s="26"/>
      <c r="D2152" s="26"/>
      <c r="E2152" s="26"/>
      <c r="F2152" s="26"/>
      <c r="G2152" s="26"/>
      <c r="H2152" s="26"/>
      <c r="I2152" s="26"/>
      <c r="J2152" s="26"/>
      <c r="K2152" s="26"/>
      <c r="L2152" s="26"/>
      <c r="M2152" s="26"/>
      <c r="N2152" s="26"/>
      <c r="O2152" s="14" t="str">
        <f>HYPERLINK("https://otsuka-europe-crm.veevavault.com/ui/#object/email_activity__v/V8C000000045245", "EN-002103785")</f>
        <v>EN-002103785</v>
      </c>
    </row>
    <row r="2153" spans="1:15" ht="16" x14ac:dyDescent="0.2">
      <c r="A2153" s="26"/>
      <c r="B2153" s="26"/>
      <c r="C2153" s="26"/>
      <c r="D2153" s="26"/>
      <c r="E2153" s="26"/>
      <c r="F2153" s="26"/>
      <c r="G2153" s="26"/>
      <c r="H2153" s="26"/>
      <c r="I2153" s="26"/>
      <c r="J2153" s="26"/>
      <c r="K2153" s="26"/>
      <c r="L2153" s="26"/>
      <c r="M2153" s="26"/>
      <c r="N2153" s="26"/>
      <c r="O2153" s="14" t="str">
        <f>HYPERLINK("https://otsuka-europe-crm.veevavault.com/ui/#object/email_activity__v/V8C000000045246", "EN-002103786")</f>
        <v>EN-002103786</v>
      </c>
    </row>
    <row r="2154" spans="1:15" ht="16" x14ac:dyDescent="0.2">
      <c r="A2154" s="19"/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  <c r="L2154" s="19"/>
      <c r="M2154" s="19"/>
      <c r="N2154" s="19"/>
      <c r="O2154" s="14" t="str">
        <f>HYPERLINK("https://otsuka-europe-crm.veevavault.com/ui/#object/email_activity__v/V8C000000045247", "EN-002103788")</f>
        <v>EN-002103788</v>
      </c>
    </row>
    <row r="2155" spans="1:15" ht="64" x14ac:dyDescent="0.2">
      <c r="A2155" s="7" t="str">
        <f>HYPERLINK("https://otsuka-europe-crm.veevavault.com/ui/#object/account__v/V4TZ06G6O71TCNC", "ANA MARIA HUERTA ARROYO")</f>
        <v>ANA MARIA HUERTA ARROYO</v>
      </c>
      <c r="B2155" s="7" t="str">
        <f>HYPERLINK("https://otsuka-europe-crm.veevavault.com/ui/#object/vcountry__v/VENZ000004SONF5", "ES")</f>
        <v>ES</v>
      </c>
      <c r="C2155" s="8" t="s">
        <v>39</v>
      </c>
      <c r="D215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55" s="10" t="str">
        <f>HYPERLINK("https://otsuka-europe-crm.veevavault.com/ui/#object/sent_email__v/VBL000000034302", "SE-001442681")</f>
        <v>SE-001442681</v>
      </c>
      <c r="F2155" s="11"/>
      <c r="G2155" s="12">
        <v>0</v>
      </c>
      <c r="H2155" s="12">
        <v>0</v>
      </c>
      <c r="I2155" s="12">
        <v>0</v>
      </c>
      <c r="J2155" s="11"/>
      <c r="K2155" s="12">
        <v>0</v>
      </c>
      <c r="L215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55" s="10" t="str">
        <f>HYPERLINK("mailto:pmartinez@crm.otsuka-europe.com", "pmartinez@crm.otsuka-europe.com")</f>
        <v>pmartinez@crm.otsuka-europe.com</v>
      </c>
      <c r="N2155" s="13">
        <v>46212.371249999997</v>
      </c>
      <c r="O2155" s="14" t="str">
        <f>HYPERLINK("https://otsuka-europe-crm.veevavault.com/ui/#object/email_activity__v/V8C000000045066", "EN-002103530")</f>
        <v>EN-002103530</v>
      </c>
    </row>
    <row r="2156" spans="1:15" ht="16" x14ac:dyDescent="0.2">
      <c r="A2156" s="18" t="str">
        <f>HYPERLINK("https://otsuka-europe-crm.veevavault.com/ui/#object/account__v/V4TZ06G6O71T7T1", "NEREA MARTINEZ SAEZ")</f>
        <v>NEREA MARTINEZ SAEZ</v>
      </c>
      <c r="B2156" s="18" t="str">
        <f>HYPERLINK("https://otsuka-europe-crm.veevavault.com/ui/#object/vcountry__v/VENZ000004SONF5", "ES")</f>
        <v>ES</v>
      </c>
      <c r="C2156" s="20" t="s">
        <v>39</v>
      </c>
      <c r="D215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56" s="22" t="str">
        <f>HYPERLINK("https://otsuka-europe-crm.veevavault.com/ui/#object/sent_email__v/VBL000000034303", "SE-001442682")</f>
        <v>SE-001442682</v>
      </c>
      <c r="F2156" s="25">
        <v>46212.395173611112</v>
      </c>
      <c r="G2156" s="24">
        <v>1</v>
      </c>
      <c r="H2156" s="24">
        <v>1</v>
      </c>
      <c r="I2156" s="24">
        <v>0</v>
      </c>
      <c r="J2156" s="23"/>
      <c r="K2156" s="24">
        <v>0</v>
      </c>
      <c r="L215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56" s="22" t="str">
        <f>HYPERLINK("mailto:pmartinez@crm.otsuka-europe.com", "pmartinez@crm.otsuka-europe.com")</f>
        <v>pmartinez@crm.otsuka-europe.com</v>
      </c>
      <c r="N2156" s="25">
        <v>46212.371249999997</v>
      </c>
      <c r="O2156" s="14" t="str">
        <f>HYPERLINK("https://otsuka-europe-crm.veevavault.com/ui/#object/email_activity__v/V8C000000043967", "EN-002103757")</f>
        <v>EN-002103757</v>
      </c>
    </row>
    <row r="2157" spans="1:15" ht="16" x14ac:dyDescent="0.2">
      <c r="A2157" s="19"/>
      <c r="B2157" s="19"/>
      <c r="C2157" s="19"/>
      <c r="D2157" s="19"/>
      <c r="E2157" s="19"/>
      <c r="F2157" s="19"/>
      <c r="G2157" s="19"/>
      <c r="H2157" s="19"/>
      <c r="I2157" s="19"/>
      <c r="J2157" s="19"/>
      <c r="K2157" s="19"/>
      <c r="L2157" s="19"/>
      <c r="M2157" s="19"/>
      <c r="N2157" s="19"/>
      <c r="O2157" s="14" t="str">
        <f>HYPERLINK("https://otsuka-europe-crm.veevavault.com/ui/#object/email_activity__v/V8C000000044989", "EN-002103451")</f>
        <v>EN-002103451</v>
      </c>
    </row>
    <row r="2158" spans="1:15" ht="64" x14ac:dyDescent="0.2">
      <c r="A2158" s="7" t="str">
        <f>HYPERLINK("https://otsuka-europe-crm.veevavault.com/ui/#object/account__v/V4TZ04ASG763UXI", "CRISTINA PEREZ MELON")</f>
        <v>CRISTINA PEREZ MELON</v>
      </c>
      <c r="B2158" s="7" t="str">
        <f>HYPERLINK("https://otsuka-europe-crm.veevavault.com/ui/#object/vcountry__v/VENZ000004SONF5", "ES")</f>
        <v>ES</v>
      </c>
      <c r="C2158" s="8" t="s">
        <v>39</v>
      </c>
      <c r="D215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58" s="10" t="str">
        <f>HYPERLINK("https://otsuka-europe-crm.veevavault.com/ui/#object/sent_email__v/VBL000000034304", "SE-001442683")</f>
        <v>SE-001442683</v>
      </c>
      <c r="F2158" s="11"/>
      <c r="G2158" s="12">
        <v>0</v>
      </c>
      <c r="H2158" s="12">
        <v>0</v>
      </c>
      <c r="I2158" s="12">
        <v>0</v>
      </c>
      <c r="J2158" s="11"/>
      <c r="K2158" s="12">
        <v>0</v>
      </c>
      <c r="L215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58" s="10" t="str">
        <f>HYPERLINK("mailto:pmartinez@crm.otsuka-europe.com", "pmartinez@crm.otsuka-europe.com")</f>
        <v>pmartinez@crm.otsuka-europe.com</v>
      </c>
      <c r="N2158" s="13">
        <v>46212.371249999997</v>
      </c>
      <c r="O2158" s="14" t="str">
        <f>HYPERLINK("https://otsuka-europe-crm.veevavault.com/ui/#object/email_activity__v/V8C000000045088", "EN-002103552")</f>
        <v>EN-002103552</v>
      </c>
    </row>
    <row r="2159" spans="1:15" ht="16" x14ac:dyDescent="0.2">
      <c r="A2159" s="18" t="str">
        <f>HYPERLINK("https://otsuka-europe-crm.veevavault.com/ui/#object/account__v/V4TZ06G6O71TA5J", "EDUARDO GUTIERREZ MARTINEZ")</f>
        <v>EDUARDO GUTIERREZ MARTINEZ</v>
      </c>
      <c r="B2159" s="18" t="str">
        <f>HYPERLINK("https://otsuka-europe-crm.veevavault.com/ui/#object/vcountry__v/VENZ000004SONF5", "ES")</f>
        <v>ES</v>
      </c>
      <c r="C2159" s="20" t="s">
        <v>39</v>
      </c>
      <c r="D215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59" s="22" t="str">
        <f>HYPERLINK("https://otsuka-europe-crm.veevavault.com/ui/#object/sent_email__v/VBL000000034305", "SE-001442684")</f>
        <v>SE-001442684</v>
      </c>
      <c r="F2159" s="23"/>
      <c r="G2159" s="24">
        <v>0</v>
      </c>
      <c r="H2159" s="24">
        <v>0</v>
      </c>
      <c r="I2159" s="24">
        <v>0</v>
      </c>
      <c r="J2159" s="23"/>
      <c r="K2159" s="24">
        <v>0</v>
      </c>
      <c r="L215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59" s="22" t="str">
        <f>HYPERLINK("mailto:pmartinez@crm.otsuka-europe.com", "pmartinez@crm.otsuka-europe.com")</f>
        <v>pmartinez@crm.otsuka-europe.com</v>
      </c>
      <c r="N2159" s="25">
        <v>46212.371249999997</v>
      </c>
      <c r="O2159" s="14" t="str">
        <f>HYPERLINK("https://otsuka-europe-crm.veevavault.com/ui/#object/email_activity__v/V8C000000044991", "EN-002103453")</f>
        <v>EN-002103453</v>
      </c>
    </row>
    <row r="2160" spans="1:15" ht="16" x14ac:dyDescent="0.2">
      <c r="A2160" s="19"/>
      <c r="B2160" s="19"/>
      <c r="C2160" s="19"/>
      <c r="D2160" s="19"/>
      <c r="E2160" s="19"/>
      <c r="F2160" s="19"/>
      <c r="G2160" s="19"/>
      <c r="H2160" s="19"/>
      <c r="I2160" s="19"/>
      <c r="J2160" s="19"/>
      <c r="K2160" s="19"/>
      <c r="L2160" s="19"/>
      <c r="M2160" s="19"/>
      <c r="N2160" s="19"/>
      <c r="O2160" s="14" t="str">
        <f>HYPERLINK("https://otsuka-europe-crm.veevavault.com/ui/#object/email_activity__v/V8C000000045198", "EN-002103662")</f>
        <v>EN-002103662</v>
      </c>
    </row>
    <row r="2161" spans="1:15" ht="64" x14ac:dyDescent="0.2">
      <c r="A2161" s="7" t="str">
        <f>HYPERLINK("https://otsuka-europe-crm.veevavault.com/ui/#object/account__v/V4TZ06G6O71TBEJ", "ALBERTO ORTIZ ARDUAN")</f>
        <v>ALBERTO ORTIZ ARDUAN</v>
      </c>
      <c r="B2161" s="7" t="str">
        <f>HYPERLINK("https://otsuka-europe-crm.veevavault.com/ui/#object/vcountry__v/VENZ000004SONF5", "ES")</f>
        <v>ES</v>
      </c>
      <c r="C2161" s="8" t="s">
        <v>39</v>
      </c>
      <c r="D216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61" s="10" t="str">
        <f>HYPERLINK("https://otsuka-europe-crm.veevavault.com/ui/#object/sent_email__v/VBL000000034306", "SE-001442685")</f>
        <v>SE-001442685</v>
      </c>
      <c r="F2161" s="11"/>
      <c r="G2161" s="12">
        <v>0</v>
      </c>
      <c r="H2161" s="12">
        <v>0</v>
      </c>
      <c r="I2161" s="12">
        <v>0</v>
      </c>
      <c r="J2161" s="11"/>
      <c r="K2161" s="12">
        <v>0</v>
      </c>
      <c r="L216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61" s="10" t="str">
        <f>HYPERLINK("mailto:pmartinez@crm.otsuka-europe.com", "pmartinez@crm.otsuka-europe.com")</f>
        <v>pmartinez@crm.otsuka-europe.com</v>
      </c>
      <c r="N2161" s="13">
        <v>46212.371249999997</v>
      </c>
      <c r="O2161" s="14" t="str">
        <f>HYPERLINK("https://otsuka-europe-crm.veevavault.com/ui/#object/email_activity__v/V8C000000045040", "EN-002103504")</f>
        <v>EN-002103504</v>
      </c>
    </row>
    <row r="2162" spans="1:15" ht="16" x14ac:dyDescent="0.2">
      <c r="A2162" s="18" t="str">
        <f>HYPERLINK("https://otsuka-europe-crm.veevavault.com/ui/#object/account__v/V4TZ06G6O71TBTS", "JOSE LUIS ROCHA CASTILLA")</f>
        <v>JOSE LUIS ROCHA CASTILLA</v>
      </c>
      <c r="B2162" s="18" t="str">
        <f>HYPERLINK("https://otsuka-europe-crm.veevavault.com/ui/#object/vcountry__v/VENZ000004SONF5", "ES")</f>
        <v>ES</v>
      </c>
      <c r="C2162" s="20" t="s">
        <v>39</v>
      </c>
      <c r="D216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62" s="22" t="str">
        <f>HYPERLINK("https://otsuka-europe-crm.veevavault.com/ui/#object/sent_email__v/VBL000000034307", "SE-001442686")</f>
        <v>SE-001442686</v>
      </c>
      <c r="F2162" s="25">
        <v>46212.371377314812</v>
      </c>
      <c r="G2162" s="24">
        <v>1</v>
      </c>
      <c r="H2162" s="24">
        <v>2</v>
      </c>
      <c r="I2162" s="24">
        <v>0</v>
      </c>
      <c r="J2162" s="23"/>
      <c r="K2162" s="24">
        <v>0</v>
      </c>
      <c r="L216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62" s="22" t="str">
        <f>HYPERLINK("mailto:pmartinez@crm.otsuka-europe.com", "pmartinez@crm.otsuka-europe.com")</f>
        <v>pmartinez@crm.otsuka-europe.com</v>
      </c>
      <c r="N2162" s="25">
        <v>46212.37128472222</v>
      </c>
      <c r="O2162" s="14" t="str">
        <f>HYPERLINK("https://otsuka-europe-crm.veevavault.com/ui/#object/email_activity__v/V8C000000045096", "EN-002103560")</f>
        <v>EN-002103560</v>
      </c>
    </row>
    <row r="2163" spans="1:15" ht="16" x14ac:dyDescent="0.2">
      <c r="A2163" s="26"/>
      <c r="B2163" s="26"/>
      <c r="C2163" s="26"/>
      <c r="D2163" s="26"/>
      <c r="E2163" s="26"/>
      <c r="F2163" s="26"/>
      <c r="G2163" s="26"/>
      <c r="H2163" s="26"/>
      <c r="I2163" s="26"/>
      <c r="J2163" s="26"/>
      <c r="K2163" s="26"/>
      <c r="L2163" s="26"/>
      <c r="M2163" s="26"/>
      <c r="N2163" s="26"/>
      <c r="O2163" s="14" t="str">
        <f>HYPERLINK("https://otsuka-europe-crm.veevavault.com/ui/#object/email_activity__v/V8C000000045123", "EN-002103587")</f>
        <v>EN-002103587</v>
      </c>
    </row>
    <row r="2164" spans="1:15" ht="16" x14ac:dyDescent="0.2">
      <c r="A2164" s="26"/>
      <c r="B2164" s="26"/>
      <c r="C2164" s="26"/>
      <c r="D2164" s="26"/>
      <c r="E2164" s="26"/>
      <c r="F2164" s="26"/>
      <c r="G2164" s="26"/>
      <c r="H2164" s="26"/>
      <c r="I2164" s="26"/>
      <c r="J2164" s="26"/>
      <c r="K2164" s="26"/>
      <c r="L2164" s="26"/>
      <c r="M2164" s="26"/>
      <c r="N2164" s="26"/>
      <c r="O2164" s="14" t="str">
        <f>HYPERLINK("https://otsuka-europe-crm.veevavault.com/ui/#object/email_activity__v/V8C000000045150", "EN-002103614")</f>
        <v>EN-002103614</v>
      </c>
    </row>
    <row r="2165" spans="1:15" ht="16" x14ac:dyDescent="0.2">
      <c r="A2165" s="26"/>
      <c r="B2165" s="26"/>
      <c r="C2165" s="26"/>
      <c r="D2165" s="26"/>
      <c r="E2165" s="26"/>
      <c r="F2165" s="26"/>
      <c r="G2165" s="26"/>
      <c r="H2165" s="26"/>
      <c r="I2165" s="26"/>
      <c r="J2165" s="26"/>
      <c r="K2165" s="26"/>
      <c r="L2165" s="26"/>
      <c r="M2165" s="26"/>
      <c r="N2165" s="26"/>
      <c r="O2165" s="14" t="str">
        <f>HYPERLINK("https://otsuka-europe-crm.veevavault.com/ui/#object/email_activity__v/V8C000000047010", "EN-002104173")</f>
        <v>EN-002104173</v>
      </c>
    </row>
    <row r="2166" spans="1:15" ht="16" x14ac:dyDescent="0.2">
      <c r="A2166" s="19"/>
      <c r="B2166" s="19"/>
      <c r="C2166" s="19"/>
      <c r="D2166" s="19"/>
      <c r="E2166" s="19"/>
      <c r="F2166" s="19"/>
      <c r="G2166" s="19"/>
      <c r="H2166" s="19"/>
      <c r="I2166" s="19"/>
      <c r="J2166" s="19"/>
      <c r="K2166" s="19"/>
      <c r="L2166" s="19"/>
      <c r="M2166" s="19"/>
      <c r="N2166" s="19"/>
      <c r="O2166" s="14" t="str">
        <f>HYPERLINK("https://otsuka-europe-crm.veevavault.com/ui/#object/email_activity__v/V8C000000048009", "EN-002104190")</f>
        <v>EN-002104190</v>
      </c>
    </row>
    <row r="2167" spans="1:15" ht="16" x14ac:dyDescent="0.2">
      <c r="A2167" s="18" t="str">
        <f>HYPERLINK("https://otsuka-europe-crm.veevavault.com/ui/#object/account__v/V4TZ06G6O71TCM3", "ANA VILAR GIMENO")</f>
        <v>ANA VILAR GIMENO</v>
      </c>
      <c r="B2167" s="18" t="str">
        <f>HYPERLINK("https://otsuka-europe-crm.veevavault.com/ui/#object/vcountry__v/VENZ000004SONF5", "ES")</f>
        <v>ES</v>
      </c>
      <c r="C2167" s="20" t="s">
        <v>39</v>
      </c>
      <c r="D216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67" s="22" t="str">
        <f>HYPERLINK("https://otsuka-europe-crm.veevavault.com/ui/#object/sent_email__v/VBL000000034308", "SE-001442687")</f>
        <v>SE-001442687</v>
      </c>
      <c r="F2167" s="23"/>
      <c r="G2167" s="24">
        <v>0</v>
      </c>
      <c r="H2167" s="24">
        <v>0</v>
      </c>
      <c r="I2167" s="24">
        <v>0</v>
      </c>
      <c r="J2167" s="23"/>
      <c r="K2167" s="24">
        <v>0</v>
      </c>
      <c r="L216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67" s="22" t="str">
        <f>HYPERLINK("mailto:pmartinez@crm.otsuka-europe.com", "pmartinez@crm.otsuka-europe.com")</f>
        <v>pmartinez@crm.otsuka-europe.com</v>
      </c>
      <c r="N2167" s="25">
        <v>46212.371249999997</v>
      </c>
      <c r="O2167" s="14" t="str">
        <f>HYPERLINK("https://otsuka-europe-crm.veevavault.com/ui/#object/email_activity__v/V8C000000045012", "EN-002103476")</f>
        <v>EN-002103476</v>
      </c>
    </row>
    <row r="2168" spans="1:15" ht="16" x14ac:dyDescent="0.2">
      <c r="A2168" s="19"/>
      <c r="B2168" s="19"/>
      <c r="C2168" s="19"/>
      <c r="D2168" s="19"/>
      <c r="E2168" s="19"/>
      <c r="F2168" s="19"/>
      <c r="G2168" s="19"/>
      <c r="H2168" s="19"/>
      <c r="I2168" s="19"/>
      <c r="J2168" s="19"/>
      <c r="K2168" s="19"/>
      <c r="L2168" s="19"/>
      <c r="M2168" s="19"/>
      <c r="N2168" s="19"/>
      <c r="O2168" s="14" t="str">
        <f>HYPERLINK("https://otsuka-europe-crm.veevavault.com/ui/#object/email_activity__v/V8C000000045209", "EN-002103675")</f>
        <v>EN-002103675</v>
      </c>
    </row>
    <row r="2169" spans="1:15" ht="64" x14ac:dyDescent="0.2">
      <c r="A2169" s="7" t="str">
        <f>HYPERLINK("https://otsuka-europe-crm.veevavault.com/ui/#object/account__v/V4TZ06G6O71T7S9", "ISABEL MARIA GALAN CARRILLO")</f>
        <v>ISABEL MARIA GALAN CARRILLO</v>
      </c>
      <c r="B2169" s="7" t="str">
        <f>HYPERLINK("https://otsuka-europe-crm.veevavault.com/ui/#object/vcountry__v/VENZ000004SONF5", "ES")</f>
        <v>ES</v>
      </c>
      <c r="C2169" s="8" t="s">
        <v>39</v>
      </c>
      <c r="D216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69" s="10" t="str">
        <f>HYPERLINK("https://otsuka-europe-crm.veevavault.com/ui/#object/sent_email__v/VBL000000034309", "SE-001442688")</f>
        <v>SE-001442688</v>
      </c>
      <c r="F2169" s="11"/>
      <c r="G2169" s="12">
        <v>0</v>
      </c>
      <c r="H2169" s="12">
        <v>0</v>
      </c>
      <c r="I2169" s="12">
        <v>0</v>
      </c>
      <c r="J2169" s="11"/>
      <c r="K2169" s="12">
        <v>0</v>
      </c>
      <c r="L216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69" s="10" t="str">
        <f>HYPERLINK("mailto:pmartinez@crm.otsuka-europe.com", "pmartinez@crm.otsuka-europe.com")</f>
        <v>pmartinez@crm.otsuka-europe.com</v>
      </c>
      <c r="N2169" s="13">
        <v>46212.371249999997</v>
      </c>
      <c r="O2169" s="14" t="str">
        <f>HYPERLINK("https://otsuka-europe-crm.veevavault.com/ui/#object/email_activity__v/V8C000000045086", "EN-002103550")</f>
        <v>EN-002103550</v>
      </c>
    </row>
    <row r="2170" spans="1:15" ht="16" x14ac:dyDescent="0.2">
      <c r="A2170" s="18" t="str">
        <f>HYPERLINK("https://otsuka-europe-crm.veevavault.com/ui/#object/account__v/V4TZ06G6O71TC7U", "MARIA DOLORES SANCHEZ DE LA NIETA GARCIA")</f>
        <v>MARIA DOLORES SANCHEZ DE LA NIETA GARCIA</v>
      </c>
      <c r="B2170" s="18" t="str">
        <f>HYPERLINK("https://otsuka-europe-crm.veevavault.com/ui/#object/vcountry__v/VENZ000004SONF5", "ES")</f>
        <v>ES</v>
      </c>
      <c r="C2170" s="20" t="s">
        <v>39</v>
      </c>
      <c r="D217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70" s="22" t="str">
        <f>HYPERLINK("https://otsuka-europe-crm.veevavault.com/ui/#object/sent_email__v/VBL000000034310", "SE-001442689")</f>
        <v>SE-001442689</v>
      </c>
      <c r="F2170" s="23"/>
      <c r="G2170" s="24">
        <v>0</v>
      </c>
      <c r="H2170" s="24">
        <v>0</v>
      </c>
      <c r="I2170" s="24">
        <v>0</v>
      </c>
      <c r="J2170" s="23"/>
      <c r="K2170" s="24">
        <v>0</v>
      </c>
      <c r="L217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70" s="22" t="str">
        <f>HYPERLINK("mailto:pmartinez@crm.otsuka-europe.com", "pmartinez@crm.otsuka-europe.com")</f>
        <v>pmartinez@crm.otsuka-europe.com</v>
      </c>
      <c r="N2170" s="25">
        <v>46212.371249999997</v>
      </c>
      <c r="O2170" s="14" t="str">
        <f>HYPERLINK("https://otsuka-europe-crm.veevavault.com/ui/#object/email_activity__v/V8C000000045062", "EN-002103526")</f>
        <v>EN-002103526</v>
      </c>
    </row>
    <row r="2171" spans="1:15" ht="16" x14ac:dyDescent="0.2">
      <c r="A2171" s="19"/>
      <c r="B2171" s="19"/>
      <c r="C2171" s="19"/>
      <c r="D2171" s="19"/>
      <c r="E2171" s="19"/>
      <c r="F2171" s="19"/>
      <c r="G2171" s="19"/>
      <c r="H2171" s="19"/>
      <c r="I2171" s="19"/>
      <c r="J2171" s="19"/>
      <c r="K2171" s="19"/>
      <c r="L2171" s="19"/>
      <c r="M2171" s="19"/>
      <c r="N2171" s="19"/>
      <c r="O2171" s="14" t="str">
        <f>HYPERLINK("https://otsuka-europe-crm.veevavault.com/ui/#object/email_activity__v/V8C00000004A036", "EN-002104939")</f>
        <v>EN-002104939</v>
      </c>
    </row>
    <row r="2172" spans="1:15" ht="16" x14ac:dyDescent="0.2">
      <c r="A2172" s="18" t="str">
        <f>HYPERLINK("https://otsuka-europe-crm.veevavault.com/ui/#object/account__v/V4TZ06G6O71T9UY", "XAVIER FULLADOSA OLIVERAS")</f>
        <v>XAVIER FULLADOSA OLIVERAS</v>
      </c>
      <c r="B2172" s="18" t="str">
        <f>HYPERLINK("https://otsuka-europe-crm.veevavault.com/ui/#object/vcountry__v/VENZ000004SONF5", "ES")</f>
        <v>ES</v>
      </c>
      <c r="C2172" s="20" t="s">
        <v>39</v>
      </c>
      <c r="D21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72" s="22" t="str">
        <f>HYPERLINK("https://otsuka-europe-crm.veevavault.com/ui/#object/sent_email__v/VBL000000034311", "SE-001442690")</f>
        <v>SE-001442690</v>
      </c>
      <c r="F2172" s="23"/>
      <c r="G2172" s="24">
        <v>0</v>
      </c>
      <c r="H2172" s="24">
        <v>0</v>
      </c>
      <c r="I2172" s="24">
        <v>0</v>
      </c>
      <c r="J2172" s="23"/>
      <c r="K2172" s="24">
        <v>0</v>
      </c>
      <c r="L21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72" s="22" t="str">
        <f>HYPERLINK("mailto:pmartinez@crm.otsuka-europe.com", "pmartinez@crm.otsuka-europe.com")</f>
        <v>pmartinez@crm.otsuka-europe.com</v>
      </c>
      <c r="N2172" s="25">
        <v>46212.371249999997</v>
      </c>
      <c r="O2172" s="14" t="str">
        <f>HYPERLINK("https://otsuka-europe-crm.veevavault.com/ui/#object/email_activity__v/V8C000000045039", "EN-002103503")</f>
        <v>EN-002103503</v>
      </c>
    </row>
    <row r="2173" spans="1:15" ht="16" x14ac:dyDescent="0.2">
      <c r="A2173" s="19"/>
      <c r="B2173" s="19"/>
      <c r="C2173" s="19"/>
      <c r="D2173" s="19"/>
      <c r="E2173" s="19"/>
      <c r="F2173" s="19"/>
      <c r="G2173" s="19"/>
      <c r="H2173" s="19"/>
      <c r="I2173" s="19"/>
      <c r="J2173" s="19"/>
      <c r="K2173" s="19"/>
      <c r="L2173" s="19"/>
      <c r="M2173" s="19"/>
      <c r="N2173" s="19"/>
      <c r="O2173" s="14" t="str">
        <f>HYPERLINK("https://otsuka-europe-crm.veevavault.com/ui/#object/email_activity__v/V8C000000045244", "EN-002103781")</f>
        <v>EN-002103781</v>
      </c>
    </row>
    <row r="2174" spans="1:15" ht="64" x14ac:dyDescent="0.2">
      <c r="A2174" s="7" t="str">
        <f>HYPERLINK("https://otsuka-europe-crm.veevavault.com/ui/#object/account__v/V4TZ025E82G72II", "KARLA JACKELINE LOPEZ ESPINOZA")</f>
        <v>KARLA JACKELINE LOPEZ ESPINOZA</v>
      </c>
      <c r="B2174" s="7" t="str">
        <f>HYPERLINK("https://otsuka-europe-crm.veevavault.com/ui/#object/vcountry__v/VENZ000004SONF5", "ES")</f>
        <v>ES</v>
      </c>
      <c r="C2174" s="8" t="s">
        <v>39</v>
      </c>
      <c r="D217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74" s="10" t="str">
        <f>HYPERLINK("https://otsuka-europe-crm.veevavault.com/ui/#object/sent_email__v/VBL000000034312", "SE-001442691")</f>
        <v>SE-001442691</v>
      </c>
      <c r="F2174" s="11"/>
      <c r="G2174" s="12">
        <v>0</v>
      </c>
      <c r="H2174" s="12">
        <v>0</v>
      </c>
      <c r="I2174" s="12">
        <v>0</v>
      </c>
      <c r="J2174" s="11"/>
      <c r="K2174" s="12">
        <v>0</v>
      </c>
      <c r="L217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74" s="10" t="str">
        <f>HYPERLINK("mailto:pmartinez@crm.otsuka-europe.com", "pmartinez@crm.otsuka-europe.com")</f>
        <v>pmartinez@crm.otsuka-europe.com</v>
      </c>
      <c r="N2174" s="13">
        <v>46212.371249999997</v>
      </c>
      <c r="O2174" s="14" t="str">
        <f>HYPERLINK("https://otsuka-europe-crm.veevavault.com/ui/#object/email_activity__v/V8C000000045048", "EN-002103512")</f>
        <v>EN-002103512</v>
      </c>
    </row>
    <row r="2175" spans="1:15" ht="16" x14ac:dyDescent="0.2">
      <c r="A2175" s="18" t="str">
        <f>HYPERLINK("https://otsuka-europe-crm.veevavault.com/ui/#object/account__v/V4TZ025E85VJANP", "ERIKA JENELIA ROMERO ZALDUMBIDE")</f>
        <v>ERIKA JENELIA ROMERO ZALDUMBIDE</v>
      </c>
      <c r="B2175" s="18" t="str">
        <f>HYPERLINK("https://otsuka-europe-crm.veevavault.com/ui/#object/vcountry__v/VENZ000004SONF5", "ES")</f>
        <v>ES</v>
      </c>
      <c r="C2175" s="20" t="s">
        <v>39</v>
      </c>
      <c r="D21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75" s="22" t="str">
        <f>HYPERLINK("https://otsuka-europe-crm.veevavault.com/ui/#object/sent_email__v/VBL000000034313", "SE-001442692")</f>
        <v>SE-001442692</v>
      </c>
      <c r="F2175" s="25">
        <v>46212.407557870371</v>
      </c>
      <c r="G2175" s="24">
        <v>1</v>
      </c>
      <c r="H2175" s="24">
        <v>2</v>
      </c>
      <c r="I2175" s="24">
        <v>0</v>
      </c>
      <c r="J2175" s="23"/>
      <c r="K2175" s="24">
        <v>0</v>
      </c>
      <c r="L21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75" s="22" t="str">
        <f>HYPERLINK("mailto:pmartinez@crm.otsuka-europe.com", "pmartinez@crm.otsuka-europe.com")</f>
        <v>pmartinez@crm.otsuka-europe.com</v>
      </c>
      <c r="N2175" s="25">
        <v>46212.371249999997</v>
      </c>
      <c r="O2175" s="14" t="str">
        <f>HYPERLINK("https://otsuka-europe-crm.veevavault.com/ui/#object/email_activity__v/V8C000000043980", "EN-002103775")</f>
        <v>EN-002103775</v>
      </c>
    </row>
    <row r="2176" spans="1:15" ht="16" x14ac:dyDescent="0.2">
      <c r="A2176" s="26"/>
      <c r="B2176" s="26"/>
      <c r="C2176" s="26"/>
      <c r="D2176" s="26"/>
      <c r="E2176" s="26"/>
      <c r="F2176" s="26"/>
      <c r="G2176" s="26"/>
      <c r="H2176" s="26"/>
      <c r="I2176" s="26"/>
      <c r="J2176" s="26"/>
      <c r="K2176" s="26"/>
      <c r="L2176" s="26"/>
      <c r="M2176" s="26"/>
      <c r="N2176" s="26"/>
      <c r="O2176" s="14" t="str">
        <f>HYPERLINK("https://otsuka-europe-crm.veevavault.com/ui/#object/email_activity__v/V8C000000045008", "EN-002103472")</f>
        <v>EN-002103472</v>
      </c>
    </row>
    <row r="2177" spans="1:15" ht="16" x14ac:dyDescent="0.2">
      <c r="A2177" s="19"/>
      <c r="B2177" s="19"/>
      <c r="C2177" s="19"/>
      <c r="D2177" s="19"/>
      <c r="E2177" s="19"/>
      <c r="F2177" s="19"/>
      <c r="G2177" s="19"/>
      <c r="H2177" s="19"/>
      <c r="I2177" s="19"/>
      <c r="J2177" s="19"/>
      <c r="K2177" s="19"/>
      <c r="L2177" s="19"/>
      <c r="M2177" s="19"/>
      <c r="N2177" s="19"/>
      <c r="O2177" s="14" t="str">
        <f>HYPERLINK("https://otsuka-europe-crm.veevavault.com/ui/#object/email_activity__v/V8C000000045242", "EN-002103774")</f>
        <v>EN-002103774</v>
      </c>
    </row>
    <row r="2178" spans="1:15" ht="16" x14ac:dyDescent="0.2">
      <c r="A2178" s="18" t="str">
        <f>HYPERLINK("https://otsuka-europe-crm.veevavault.com/ui/#object/account__v/V4TZ06G6OCBHSDQ", "ALAITZ FERNANDEZ URIARTE")</f>
        <v>ALAITZ FERNANDEZ URIARTE</v>
      </c>
      <c r="B2178" s="18" t="str">
        <f>HYPERLINK("https://otsuka-europe-crm.veevavault.com/ui/#object/vcountry__v/VENZ000004SONF5", "ES")</f>
        <v>ES</v>
      </c>
      <c r="C2178" s="20" t="s">
        <v>39</v>
      </c>
      <c r="D217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78" s="22" t="str">
        <f>HYPERLINK("https://otsuka-europe-crm.veevavault.com/ui/#object/sent_email__v/VBL000000034314", "SE-001442693")</f>
        <v>SE-001442693</v>
      </c>
      <c r="F2178" s="23"/>
      <c r="G2178" s="24">
        <v>0</v>
      </c>
      <c r="H2178" s="24">
        <v>0</v>
      </c>
      <c r="I2178" s="24">
        <v>0</v>
      </c>
      <c r="J2178" s="23"/>
      <c r="K2178" s="24">
        <v>0</v>
      </c>
      <c r="L217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78" s="22" t="str">
        <f>HYPERLINK("mailto:pmartinez@crm.otsuka-europe.com", "pmartinez@crm.otsuka-europe.com")</f>
        <v>pmartinez@crm.otsuka-europe.com</v>
      </c>
      <c r="N2178" s="25">
        <v>46212.371249999997</v>
      </c>
      <c r="O2178" s="14" t="str">
        <f>HYPERLINK("https://otsuka-europe-crm.veevavault.com/ui/#object/email_activity__v/V8C000000044987", "EN-002103456")</f>
        <v>EN-002103456</v>
      </c>
    </row>
    <row r="2179" spans="1:15" ht="16" x14ac:dyDescent="0.2">
      <c r="A2179" s="19"/>
      <c r="B2179" s="19"/>
      <c r="C2179" s="19"/>
      <c r="D2179" s="19"/>
      <c r="E2179" s="19"/>
      <c r="F2179" s="19"/>
      <c r="G2179" s="19"/>
      <c r="H2179" s="19"/>
      <c r="I2179" s="19"/>
      <c r="J2179" s="19"/>
      <c r="K2179" s="19"/>
      <c r="L2179" s="19"/>
      <c r="M2179" s="19"/>
      <c r="N2179" s="19"/>
      <c r="O2179" s="14" t="str">
        <f>HYPERLINK("https://otsuka-europe-crm.veevavault.com/ui/#object/email_activity__v/V8C000000048011", "EN-002104205")</f>
        <v>EN-002104205</v>
      </c>
    </row>
    <row r="2180" spans="1:15" ht="64" x14ac:dyDescent="0.2">
      <c r="A2180" s="7" t="str">
        <f>HYPERLINK("https://otsuka-europe-crm.veevavault.com/ui/#object/account__v/V4TZ06G6O71T7W2", "ELENA MONFA GUIX")</f>
        <v>ELENA MONFA GUIX</v>
      </c>
      <c r="B2180" s="7" t="str">
        <f>HYPERLINK("https://otsuka-europe-crm.veevavault.com/ui/#object/vcountry__v/VENZ000004SONF5", "ES")</f>
        <v>ES</v>
      </c>
      <c r="C2180" s="8" t="s">
        <v>39</v>
      </c>
      <c r="D218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80" s="10" t="str">
        <f>HYPERLINK("https://otsuka-europe-crm.veevavault.com/ui/#object/sent_email__v/VBL000000034315", "SE-001442694")</f>
        <v>SE-001442694</v>
      </c>
      <c r="F2180" s="11"/>
      <c r="G2180" s="12">
        <v>0</v>
      </c>
      <c r="H2180" s="12">
        <v>0</v>
      </c>
      <c r="I2180" s="12">
        <v>0</v>
      </c>
      <c r="J2180" s="11"/>
      <c r="K2180" s="12">
        <v>0</v>
      </c>
      <c r="L218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80" s="10" t="str">
        <f>HYPERLINK("mailto:pmartinez@crm.otsuka-europe.com", "pmartinez@crm.otsuka-europe.com")</f>
        <v>pmartinez@crm.otsuka-europe.com</v>
      </c>
      <c r="N2180" s="13">
        <v>46212.371192129627</v>
      </c>
      <c r="O2180" s="14" t="str">
        <f>HYPERLINK("https://otsuka-europe-crm.veevavault.com/ui/#object/email_activity__v/V8C000000045004", "EN-002103468")</f>
        <v>EN-002103468</v>
      </c>
    </row>
    <row r="2181" spans="1:15" ht="64" x14ac:dyDescent="0.2">
      <c r="A2181" s="7" t="str">
        <f>HYPERLINK("https://otsuka-europe-crm.veevavault.com/ui/#object/account__v/V4T00000000A026", "MARIA ARACELI POVEDANO MEDINA")</f>
        <v>MARIA ARACELI POVEDANO MEDINA</v>
      </c>
      <c r="B2181" s="7" t="str">
        <f>HYPERLINK("https://otsuka-europe-crm.veevavault.com/ui/#object/vcountry__v/VENZ000004SONF5", "ES")</f>
        <v>ES</v>
      </c>
      <c r="C2181" s="8" t="s">
        <v>39</v>
      </c>
      <c r="D218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81" s="10" t="str">
        <f>HYPERLINK("https://otsuka-europe-crm.veevavault.com/ui/#object/sent_email__v/VBL000000034316", "SE-001442695")</f>
        <v>SE-001442695</v>
      </c>
      <c r="F2181" s="11"/>
      <c r="G2181" s="12">
        <v>0</v>
      </c>
      <c r="H2181" s="12">
        <v>0</v>
      </c>
      <c r="I2181" s="12">
        <v>0</v>
      </c>
      <c r="J2181" s="11"/>
      <c r="K2181" s="12">
        <v>0</v>
      </c>
      <c r="L218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81" s="10" t="str">
        <f>HYPERLINK("mailto:pmartinez@crm.otsuka-europe.com", "pmartinez@crm.otsuka-europe.com")</f>
        <v>pmartinez@crm.otsuka-europe.com</v>
      </c>
      <c r="N2181" s="13">
        <v>46212.371192129627</v>
      </c>
      <c r="O2181" s="14" t="str">
        <f>HYPERLINK("https://otsuka-europe-crm.veevavault.com/ui/#object/email_activity__v/V8C000000044977", "EN-002103442")</f>
        <v>EN-002103442</v>
      </c>
    </row>
    <row r="2182" spans="1:15" ht="64" x14ac:dyDescent="0.2">
      <c r="A2182" s="7" t="str">
        <f>HYPERLINK("https://otsuka-europe-crm.veevavault.com/ui/#object/account__v/V4TZ025E84TMJY6", "CHRISTIAN ISRAEL ALFARO SANCHEZ")</f>
        <v>CHRISTIAN ISRAEL ALFARO SANCHEZ</v>
      </c>
      <c r="B2182" s="7" t="str">
        <f>HYPERLINK("https://otsuka-europe-crm.veevavault.com/ui/#object/vcountry__v/VENZ000004SONF5", "ES")</f>
        <v>ES</v>
      </c>
      <c r="C2182" s="8" t="s">
        <v>39</v>
      </c>
      <c r="D218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82" s="10" t="str">
        <f>HYPERLINK("https://otsuka-europe-crm.veevavault.com/ui/#object/sent_email__v/VBL000000034317", "SE-001442696")</f>
        <v>SE-001442696</v>
      </c>
      <c r="F2182" s="11"/>
      <c r="G2182" s="12">
        <v>0</v>
      </c>
      <c r="H2182" s="12">
        <v>0</v>
      </c>
      <c r="I2182" s="12">
        <v>0</v>
      </c>
      <c r="J2182" s="11"/>
      <c r="K2182" s="12">
        <v>0</v>
      </c>
      <c r="L218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82" s="10" t="str">
        <f>HYPERLINK("mailto:pmartinez@crm.otsuka-europe.com", "pmartinez@crm.otsuka-europe.com")</f>
        <v>pmartinez@crm.otsuka-europe.com</v>
      </c>
      <c r="N2182" s="13">
        <v>46212.371249999997</v>
      </c>
      <c r="O2182" s="14" t="str">
        <f>HYPERLINK("https://otsuka-europe-crm.veevavault.com/ui/#object/email_activity__v/V8C000000045043", "EN-002103507")</f>
        <v>EN-002103507</v>
      </c>
    </row>
    <row r="2183" spans="1:15" ht="16" x14ac:dyDescent="0.2">
      <c r="A2183" s="18" t="str">
        <f>HYPERLINK("https://otsuka-europe-crm.veevavault.com/ui/#object/account__v/V4TZ06G6O71T805", "MELISSA CINTRA CABRERA")</f>
        <v>MELISSA CINTRA CABRERA</v>
      </c>
      <c r="B2183" s="18" t="str">
        <f>HYPERLINK("https://otsuka-europe-crm.veevavault.com/ui/#object/vcountry__v/VENZ000004SONF5", "ES")</f>
        <v>ES</v>
      </c>
      <c r="C2183" s="20" t="s">
        <v>39</v>
      </c>
      <c r="D218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83" s="22" t="str">
        <f>HYPERLINK("https://otsuka-europe-crm.veevavault.com/ui/#object/sent_email__v/VBL000000034318", "SE-001442697")</f>
        <v>SE-001442697</v>
      </c>
      <c r="F2183" s="25">
        <v>46215.871307870373</v>
      </c>
      <c r="G2183" s="24">
        <v>1</v>
      </c>
      <c r="H2183" s="24">
        <v>4</v>
      </c>
      <c r="I2183" s="24">
        <v>0</v>
      </c>
      <c r="J2183" s="23"/>
      <c r="K2183" s="24">
        <v>0</v>
      </c>
      <c r="L218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83" s="22" t="str">
        <f>HYPERLINK("mailto:pmartinez@crm.otsuka-europe.com", "pmartinez@crm.otsuka-europe.com")</f>
        <v>pmartinez@crm.otsuka-europe.com</v>
      </c>
      <c r="N2183" s="25">
        <v>46212.371249999997</v>
      </c>
      <c r="O2183" s="14" t="str">
        <f>HYPERLINK("https://otsuka-europe-crm.veevavault.com/ui/#object/email_activity__v/V8C000000045032", "EN-002103496")</f>
        <v>EN-002103496</v>
      </c>
    </row>
    <row r="2184" spans="1:15" ht="16" x14ac:dyDescent="0.2">
      <c r="A2184" s="26"/>
      <c r="B2184" s="26"/>
      <c r="C2184" s="26"/>
      <c r="D2184" s="26"/>
      <c r="E2184" s="26"/>
      <c r="F2184" s="26"/>
      <c r="G2184" s="26"/>
      <c r="H2184" s="26"/>
      <c r="I2184" s="26"/>
      <c r="J2184" s="26"/>
      <c r="K2184" s="26"/>
      <c r="L2184" s="26"/>
      <c r="M2184" s="26"/>
      <c r="N2184" s="26"/>
      <c r="O2184" s="14" t="str">
        <f>HYPERLINK("https://otsuka-europe-crm.veevavault.com/ui/#object/email_activity__v/V8C000000045249", "EN-002103790")</f>
        <v>EN-002103790</v>
      </c>
    </row>
    <row r="2185" spans="1:15" ht="16" x14ac:dyDescent="0.2">
      <c r="A2185" s="26"/>
      <c r="B2185" s="26"/>
      <c r="C2185" s="26"/>
      <c r="D2185" s="26"/>
      <c r="E2185" s="26"/>
      <c r="F2185" s="26"/>
      <c r="G2185" s="26"/>
      <c r="H2185" s="26"/>
      <c r="I2185" s="26"/>
      <c r="J2185" s="26"/>
      <c r="K2185" s="26"/>
      <c r="L2185" s="26"/>
      <c r="M2185" s="26"/>
      <c r="N2185" s="26"/>
      <c r="O2185" s="14" t="str">
        <f>HYPERLINK("https://otsuka-europe-crm.veevavault.com/ui/#object/email_activity__v/V8C000000047024", "EN-002104195")</f>
        <v>EN-002104195</v>
      </c>
    </row>
    <row r="2186" spans="1:15" ht="16" x14ac:dyDescent="0.2">
      <c r="A2186" s="26"/>
      <c r="B2186" s="26"/>
      <c r="C2186" s="26"/>
      <c r="D2186" s="26"/>
      <c r="E2186" s="26"/>
      <c r="F2186" s="26"/>
      <c r="G2186" s="26"/>
      <c r="H2186" s="26"/>
      <c r="I2186" s="26"/>
      <c r="J2186" s="26"/>
      <c r="K2186" s="26"/>
      <c r="L2186" s="26"/>
      <c r="M2186" s="26"/>
      <c r="N2186" s="26"/>
      <c r="O2186" s="14" t="str">
        <f>HYPERLINK("https://otsuka-europe-crm.veevavault.com/ui/#object/email_activity__v/V8C000000048033", "EN-002104246")</f>
        <v>EN-002104246</v>
      </c>
    </row>
    <row r="2187" spans="1:15" ht="16" x14ac:dyDescent="0.2">
      <c r="A2187" s="19"/>
      <c r="B2187" s="19"/>
      <c r="C2187" s="19"/>
      <c r="D2187" s="19"/>
      <c r="E2187" s="19"/>
      <c r="F2187" s="19"/>
      <c r="G2187" s="19"/>
      <c r="H2187" s="19"/>
      <c r="I2187" s="19"/>
      <c r="J2187" s="19"/>
      <c r="K2187" s="19"/>
      <c r="L2187" s="19"/>
      <c r="M2187" s="19"/>
      <c r="N2187" s="19"/>
      <c r="O2187" s="14" t="str">
        <f>HYPERLINK("https://otsuka-europe-crm.veevavault.com/ui/#object/email_activity__v/V8C000000049082", "EN-002105014")</f>
        <v>EN-002105014</v>
      </c>
    </row>
    <row r="2188" spans="1:15" ht="16" x14ac:dyDescent="0.2">
      <c r="A2188" s="18" t="str">
        <f>HYPERLINK("https://otsuka-europe-crm.veevavault.com/ui/#object/account__v/V4TZ06G6O71TASB", "MANUEL LOPEZ MENDOZA")</f>
        <v>MANUEL LOPEZ MENDOZA</v>
      </c>
      <c r="B2188" s="18" t="str">
        <f>HYPERLINK("https://otsuka-europe-crm.veevavault.com/ui/#object/vcountry__v/VENZ000004SONF5", "ES")</f>
        <v>ES</v>
      </c>
      <c r="C2188" s="20" t="s">
        <v>39</v>
      </c>
      <c r="D218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88" s="22" t="str">
        <f>HYPERLINK("https://otsuka-europe-crm.veevavault.com/ui/#object/sent_email__v/VBL000000034319", "SE-001442698")</f>
        <v>SE-001442698</v>
      </c>
      <c r="F2188" s="25">
        <v>46212.425254629627</v>
      </c>
      <c r="G2188" s="24">
        <v>1</v>
      </c>
      <c r="H2188" s="24">
        <v>1</v>
      </c>
      <c r="I2188" s="24">
        <v>0</v>
      </c>
      <c r="J2188" s="23"/>
      <c r="K2188" s="24">
        <v>0</v>
      </c>
      <c r="L218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88" s="22" t="str">
        <f>HYPERLINK("mailto:pmartinez@crm.otsuka-europe.com", "pmartinez@crm.otsuka-europe.com")</f>
        <v>pmartinez@crm.otsuka-europe.com</v>
      </c>
      <c r="N2188" s="25">
        <v>46212.371249999997</v>
      </c>
      <c r="O2188" s="14" t="str">
        <f>HYPERLINK("https://otsuka-europe-crm.veevavault.com/ui/#object/email_activity__v/V8C000000044996", "EN-002103461")</f>
        <v>EN-002103461</v>
      </c>
    </row>
    <row r="2189" spans="1:15" ht="16" x14ac:dyDescent="0.2">
      <c r="A2189" s="19"/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19"/>
      <c r="N2189" s="19"/>
      <c r="O2189" s="14" t="str">
        <f>HYPERLINK("https://otsuka-europe-crm.veevavault.com/ui/#object/email_activity__v/V8C000000045248", "EN-002103789")</f>
        <v>EN-002103789</v>
      </c>
    </row>
    <row r="2190" spans="1:15" ht="16" x14ac:dyDescent="0.2">
      <c r="A2190" s="18" t="str">
        <f>HYPERLINK("https://otsuka-europe-crm.veevavault.com/ui/#object/account__v/V4TZ06G6O71T7HJ", "FABIOLA ALONSO GARCIA")</f>
        <v>FABIOLA ALONSO GARCIA</v>
      </c>
      <c r="B2190" s="18" t="str">
        <f>HYPERLINK("https://otsuka-europe-crm.veevavault.com/ui/#object/vcountry__v/VENZ000004SONF5", "ES")</f>
        <v>ES</v>
      </c>
      <c r="C2190" s="20" t="s">
        <v>39</v>
      </c>
      <c r="D219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90" s="22" t="str">
        <f>HYPERLINK("https://otsuka-europe-crm.veevavault.com/ui/#object/sent_email__v/VBL000000034320", "SE-001442699")</f>
        <v>SE-001442699</v>
      </c>
      <c r="F2190" s="25">
        <v>46212.38616898148</v>
      </c>
      <c r="G2190" s="24">
        <v>1</v>
      </c>
      <c r="H2190" s="24">
        <v>2</v>
      </c>
      <c r="I2190" s="24">
        <v>0</v>
      </c>
      <c r="J2190" s="23"/>
      <c r="K2190" s="24">
        <v>0</v>
      </c>
      <c r="L219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90" s="22" t="str">
        <f>HYPERLINK("mailto:pmartinez@crm.otsuka-europe.com", "pmartinez@crm.otsuka-europe.com")</f>
        <v>pmartinez@crm.otsuka-europe.com</v>
      </c>
      <c r="N2190" s="25">
        <v>46212.37127314815</v>
      </c>
      <c r="O2190" s="14" t="str">
        <f>HYPERLINK("https://otsuka-europe-crm.veevavault.com/ui/#object/email_activity__v/V8C000000045116", "EN-002103580")</f>
        <v>EN-002103580</v>
      </c>
    </row>
    <row r="2191" spans="1:15" ht="16" x14ac:dyDescent="0.2">
      <c r="A2191" s="26"/>
      <c r="B2191" s="26"/>
      <c r="C2191" s="26"/>
      <c r="D2191" s="26"/>
      <c r="E2191" s="26"/>
      <c r="F2191" s="26"/>
      <c r="G2191" s="26"/>
      <c r="H2191" s="26"/>
      <c r="I2191" s="26"/>
      <c r="J2191" s="26"/>
      <c r="K2191" s="26"/>
      <c r="L2191" s="26"/>
      <c r="M2191" s="26"/>
      <c r="N2191" s="26"/>
      <c r="O2191" s="14" t="str">
        <f>HYPERLINK("https://otsuka-europe-crm.veevavault.com/ui/#object/email_activity__v/V8C000000045199", "EN-002103663")</f>
        <v>EN-002103663</v>
      </c>
    </row>
    <row r="2192" spans="1:15" ht="16" x14ac:dyDescent="0.2">
      <c r="A2192" s="19"/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19"/>
      <c r="N2192" s="19"/>
      <c r="O2192" s="14" t="str">
        <f>HYPERLINK("https://otsuka-europe-crm.veevavault.com/ui/#object/email_activity__v/V8C000000045213", "EN-002103686")</f>
        <v>EN-002103686</v>
      </c>
    </row>
    <row r="2193" spans="1:15" ht="64" x14ac:dyDescent="0.2">
      <c r="A2193" s="7" t="str">
        <f>HYPERLINK("https://otsuka-europe-crm.veevavault.com/ui/#object/account__v/V4TZ06G6O71TCBW", "ROSER TORRA BALCELLS")</f>
        <v>ROSER TORRA BALCELLS</v>
      </c>
      <c r="B2193" s="7" t="str">
        <f>HYPERLINK("https://otsuka-europe-crm.veevavault.com/ui/#object/vcountry__v/VENZ000004SONF5", "ES")</f>
        <v>ES</v>
      </c>
      <c r="C2193" s="8" t="s">
        <v>39</v>
      </c>
      <c r="D219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93" s="10" t="str">
        <f>HYPERLINK("https://otsuka-europe-crm.veevavault.com/ui/#object/sent_email__v/VBL000000034321", "SE-001442700")</f>
        <v>SE-001442700</v>
      </c>
      <c r="F2193" s="11"/>
      <c r="G2193" s="12">
        <v>0</v>
      </c>
      <c r="H2193" s="12">
        <v>0</v>
      </c>
      <c r="I2193" s="12">
        <v>0</v>
      </c>
      <c r="J2193" s="11"/>
      <c r="K2193" s="12">
        <v>0</v>
      </c>
      <c r="L219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93" s="10" t="str">
        <f>HYPERLINK("mailto:pmartinez@crm.otsuka-europe.com", "pmartinez@crm.otsuka-europe.com")</f>
        <v>pmartinez@crm.otsuka-europe.com</v>
      </c>
      <c r="N2193" s="13">
        <v>46212.371249999997</v>
      </c>
      <c r="O2193" s="14" t="str">
        <f>HYPERLINK("https://otsuka-europe-crm.veevavault.com/ui/#object/email_activity__v/V8C000000045115", "EN-002103579")</f>
        <v>EN-002103579</v>
      </c>
    </row>
    <row r="2194" spans="1:15" ht="64" x14ac:dyDescent="0.2">
      <c r="A2194" s="7" t="str">
        <f>HYPERLINK("https://otsuka-europe-crm.veevavault.com/ui/#object/account__v/V4TZ06G6O71T8VI", "MADELYN SUGEIDY ESTEVEZ RODRIGUEZ")</f>
        <v>MADELYN SUGEIDY ESTEVEZ RODRIGUEZ</v>
      </c>
      <c r="B2194" s="7" t="str">
        <f>HYPERLINK("https://otsuka-europe-crm.veevavault.com/ui/#object/vcountry__v/VENZ000004SONF5", "ES")</f>
        <v>ES</v>
      </c>
      <c r="C2194" s="8" t="s">
        <v>39</v>
      </c>
      <c r="D219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94" s="10" t="str">
        <f>HYPERLINK("https://otsuka-europe-crm.veevavault.com/ui/#object/sent_email__v/VBL000000034322", "SE-001442701")</f>
        <v>SE-001442701</v>
      </c>
      <c r="F2194" s="11"/>
      <c r="G2194" s="12">
        <v>0</v>
      </c>
      <c r="H2194" s="12">
        <v>0</v>
      </c>
      <c r="I2194" s="12">
        <v>0</v>
      </c>
      <c r="J2194" s="11"/>
      <c r="K2194" s="12">
        <v>0</v>
      </c>
      <c r="L219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94" s="10" t="str">
        <f>HYPERLINK("mailto:pmartinez@crm.otsuka-europe.com", "pmartinez@crm.otsuka-europe.com")</f>
        <v>pmartinez@crm.otsuka-europe.com</v>
      </c>
      <c r="N2194" s="13">
        <v>46212.371249999997</v>
      </c>
      <c r="O2194" s="14" t="str">
        <f>HYPERLINK("https://otsuka-europe-crm.veevavault.com/ui/#object/email_activity__v/V8C000000045047", "EN-002103511")</f>
        <v>EN-002103511</v>
      </c>
    </row>
    <row r="2195" spans="1:15" ht="16" x14ac:dyDescent="0.2">
      <c r="A2195" s="18" t="str">
        <f>HYPERLINK("https://otsuka-europe-crm.veevavault.com/ui/#object/account__v/V4TZ06G6O71WUWS", "LILIA MARIANA OLIVEIRA AZEVEDO")</f>
        <v>LILIA MARIANA OLIVEIRA AZEVEDO</v>
      </c>
      <c r="B2195" s="18" t="str">
        <f>HYPERLINK("https://otsuka-europe-crm.veevavault.com/ui/#object/vcountry__v/VENZ000004SONF5", "ES")</f>
        <v>ES</v>
      </c>
      <c r="C2195" s="20" t="s">
        <v>39</v>
      </c>
      <c r="D219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95" s="22" t="str">
        <f>HYPERLINK("https://otsuka-europe-crm.veevavault.com/ui/#object/sent_email__v/VBL000000034323", "SE-001442702")</f>
        <v>SE-001442702</v>
      </c>
      <c r="F2195" s="25">
        <v>46212.371493055558</v>
      </c>
      <c r="G2195" s="24">
        <v>1</v>
      </c>
      <c r="H2195" s="24">
        <v>1</v>
      </c>
      <c r="I2195" s="24">
        <v>0</v>
      </c>
      <c r="J2195" s="23"/>
      <c r="K2195" s="24">
        <v>0</v>
      </c>
      <c r="L219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95" s="22" t="str">
        <f>HYPERLINK("mailto:pmartinez@crm.otsuka-europe.com", "pmartinez@crm.otsuka-europe.com")</f>
        <v>pmartinez@crm.otsuka-europe.com</v>
      </c>
      <c r="N2195" s="25">
        <v>46212.37128472222</v>
      </c>
      <c r="O2195" s="14" t="str">
        <f>HYPERLINK("https://otsuka-europe-crm.veevavault.com/ui/#object/email_activity__v/V8C000000045131", "EN-002103595")</f>
        <v>EN-002103595</v>
      </c>
    </row>
    <row r="2196" spans="1:15" ht="16" x14ac:dyDescent="0.2">
      <c r="A2196" s="26"/>
      <c r="B2196" s="26"/>
      <c r="C2196" s="26"/>
      <c r="D2196" s="26"/>
      <c r="E2196" s="26"/>
      <c r="F2196" s="26"/>
      <c r="G2196" s="26"/>
      <c r="H2196" s="26"/>
      <c r="I2196" s="26"/>
      <c r="J2196" s="26"/>
      <c r="K2196" s="26"/>
      <c r="L2196" s="26"/>
      <c r="M2196" s="26"/>
      <c r="N2196" s="26"/>
      <c r="O2196" s="14" t="str">
        <f>HYPERLINK("https://otsuka-europe-crm.veevavault.com/ui/#object/email_activity__v/V8C000000045161", "EN-002103625")</f>
        <v>EN-002103625</v>
      </c>
    </row>
    <row r="2197" spans="1:15" ht="16" x14ac:dyDescent="0.2">
      <c r="A2197" s="19"/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19"/>
      <c r="N2197" s="19"/>
      <c r="O2197" s="14" t="str">
        <f>HYPERLINK("https://otsuka-europe-crm.veevavault.com/ui/#object/email_activity__v/V8C00000004B231", "EN-002107108")</f>
        <v>EN-002107108</v>
      </c>
    </row>
    <row r="2198" spans="1:15" ht="64" x14ac:dyDescent="0.2">
      <c r="A2198" s="7" t="str">
        <f>HYPERLINK("https://otsuka-europe-crm.veevavault.com/ui/#object/account__v/V4TZ06G6O71TBBB", "MARIA LUISA MUÑIZ GOMEZ")</f>
        <v>MARIA LUISA MUÑIZ GOMEZ</v>
      </c>
      <c r="B2198" s="7" t="str">
        <f>HYPERLINK("https://otsuka-europe-crm.veevavault.com/ui/#object/vcountry__v/VENZ000004SONF5", "ES")</f>
        <v>ES</v>
      </c>
      <c r="C2198" s="8" t="s">
        <v>39</v>
      </c>
      <c r="D219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98" s="10" t="str">
        <f>HYPERLINK("https://otsuka-europe-crm.veevavault.com/ui/#object/sent_email__v/VBL000000034324", "SE-001442703")</f>
        <v>SE-001442703</v>
      </c>
      <c r="F2198" s="11"/>
      <c r="G2198" s="12">
        <v>0</v>
      </c>
      <c r="H2198" s="12">
        <v>0</v>
      </c>
      <c r="I2198" s="12">
        <v>0</v>
      </c>
      <c r="J2198" s="11"/>
      <c r="K2198" s="12">
        <v>0</v>
      </c>
      <c r="L219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98" s="10" t="str">
        <f>HYPERLINK("mailto:pmartinez@crm.otsuka-europe.com", "pmartinez@crm.otsuka-europe.com")</f>
        <v>pmartinez@crm.otsuka-europe.com</v>
      </c>
      <c r="N2198" s="13">
        <v>46212.371249999997</v>
      </c>
      <c r="O2198" s="14" t="str">
        <f>HYPERLINK("https://otsuka-europe-crm.veevavault.com/ui/#object/email_activity__v/V8C000000045107", "EN-002103571")</f>
        <v>EN-002103571</v>
      </c>
    </row>
    <row r="2199" spans="1:15" ht="16" x14ac:dyDescent="0.2">
      <c r="A2199" s="18" t="str">
        <f>HYPERLINK("https://otsuka-europe-crm.veevavault.com/ui/#object/account__v/V4TZ06G6O71T98M", "GABRIEL DE ARRIBA DE LA FUENTE")</f>
        <v>GABRIEL DE ARRIBA DE LA FUENTE</v>
      </c>
      <c r="B2199" s="18" t="str">
        <f>HYPERLINK("https://otsuka-europe-crm.veevavault.com/ui/#object/vcountry__v/VENZ000004SONF5", "ES")</f>
        <v>ES</v>
      </c>
      <c r="C2199" s="20" t="s">
        <v>39</v>
      </c>
      <c r="D219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199" s="22" t="str">
        <f>HYPERLINK("https://otsuka-europe-crm.veevavault.com/ui/#object/sent_email__v/VBL000000034325", "SE-001442704")</f>
        <v>SE-001442704</v>
      </c>
      <c r="F2199" s="25">
        <v>46212.414143518516</v>
      </c>
      <c r="G2199" s="24">
        <v>1</v>
      </c>
      <c r="H2199" s="24">
        <v>4</v>
      </c>
      <c r="I2199" s="24">
        <v>0</v>
      </c>
      <c r="J2199" s="23"/>
      <c r="K2199" s="24">
        <v>0</v>
      </c>
      <c r="L219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199" s="22" t="str">
        <f>HYPERLINK("mailto:pmartinez@crm.otsuka-europe.com", "pmartinez@crm.otsuka-europe.com")</f>
        <v>pmartinez@crm.otsuka-europe.com</v>
      </c>
      <c r="N2199" s="25">
        <v>46212.371249999997</v>
      </c>
      <c r="O2199" s="14" t="str">
        <f>HYPERLINK("https://otsuka-europe-crm.veevavault.com/ui/#object/email_activity__v/V8C000000043975", "EN-002103765")</f>
        <v>EN-002103765</v>
      </c>
    </row>
    <row r="2200" spans="1:15" ht="16" x14ac:dyDescent="0.2">
      <c r="A2200" s="26"/>
      <c r="B2200" s="26"/>
      <c r="C2200" s="26"/>
      <c r="D2200" s="26"/>
      <c r="E2200" s="26"/>
      <c r="F2200" s="26"/>
      <c r="G2200" s="26"/>
      <c r="H2200" s="26"/>
      <c r="I2200" s="26"/>
      <c r="J2200" s="26"/>
      <c r="K2200" s="26"/>
      <c r="L2200" s="26"/>
      <c r="M2200" s="26"/>
      <c r="N2200" s="26"/>
      <c r="O2200" s="14" t="str">
        <f>HYPERLINK("https://otsuka-europe-crm.veevavault.com/ui/#object/email_activity__v/V8C000000043976", "EN-002103766")</f>
        <v>EN-002103766</v>
      </c>
    </row>
    <row r="2201" spans="1:15" ht="16" x14ac:dyDescent="0.2">
      <c r="A2201" s="26"/>
      <c r="B2201" s="26"/>
      <c r="C2201" s="26"/>
      <c r="D2201" s="26"/>
      <c r="E2201" s="26"/>
      <c r="F2201" s="26"/>
      <c r="G2201" s="26"/>
      <c r="H2201" s="26"/>
      <c r="I2201" s="26"/>
      <c r="J2201" s="26"/>
      <c r="K2201" s="26"/>
      <c r="L2201" s="26"/>
      <c r="M2201" s="26"/>
      <c r="N2201" s="26"/>
      <c r="O2201" s="14" t="str">
        <f>HYPERLINK("https://otsuka-europe-crm.veevavault.com/ui/#object/email_activity__v/V8C000000043985", "EN-002103782")</f>
        <v>EN-002103782</v>
      </c>
    </row>
    <row r="2202" spans="1:15" ht="16" x14ac:dyDescent="0.2">
      <c r="A2202" s="26"/>
      <c r="B2202" s="26"/>
      <c r="C2202" s="26"/>
      <c r="D2202" s="26"/>
      <c r="E2202" s="26"/>
      <c r="F2202" s="26"/>
      <c r="G2202" s="26"/>
      <c r="H2202" s="26"/>
      <c r="I2202" s="26"/>
      <c r="J2202" s="26"/>
      <c r="K2202" s="26"/>
      <c r="L2202" s="26"/>
      <c r="M2202" s="26"/>
      <c r="N2202" s="26"/>
      <c r="O2202" s="14" t="str">
        <f>HYPERLINK("https://otsuka-europe-crm.veevavault.com/ui/#object/email_activity__v/V8C000000043986", "EN-002103783")</f>
        <v>EN-002103783</v>
      </c>
    </row>
    <row r="2203" spans="1:15" ht="16" x14ac:dyDescent="0.2">
      <c r="A2203" s="19"/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19"/>
      <c r="N2203" s="19"/>
      <c r="O2203" s="14" t="str">
        <f>HYPERLINK("https://otsuka-europe-crm.veevavault.com/ui/#object/email_activity__v/V8C000000045053", "EN-002103517")</f>
        <v>EN-002103517</v>
      </c>
    </row>
    <row r="2204" spans="1:15" ht="16" x14ac:dyDescent="0.2">
      <c r="A2204" s="18" t="str">
        <f>HYPERLINK("https://otsuka-europe-crm.veevavault.com/ui/#object/account__v/V4TZ06G6O71TCHL", "ISIDRO ANTON TORREGROSA MAICAS")</f>
        <v>ISIDRO ANTON TORREGROSA MAICAS</v>
      </c>
      <c r="B2204" s="18" t="str">
        <f>HYPERLINK("https://otsuka-europe-crm.veevavault.com/ui/#object/vcountry__v/VENZ000004SONF5", "ES")</f>
        <v>ES</v>
      </c>
      <c r="C2204" s="20" t="s">
        <v>39</v>
      </c>
      <c r="D220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04" s="22" t="str">
        <f>HYPERLINK("https://otsuka-europe-crm.veevavault.com/ui/#object/sent_email__v/VBL000000034326", "SE-001442705")</f>
        <v>SE-001442705</v>
      </c>
      <c r="F2204" s="25">
        <v>46212.372581018521</v>
      </c>
      <c r="G2204" s="24">
        <v>1</v>
      </c>
      <c r="H2204" s="24">
        <v>1</v>
      </c>
      <c r="I2204" s="24">
        <v>0</v>
      </c>
      <c r="J2204" s="23"/>
      <c r="K2204" s="24">
        <v>0</v>
      </c>
      <c r="L220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04" s="22" t="str">
        <f>HYPERLINK("mailto:pmartinez@crm.otsuka-europe.com", "pmartinez@crm.otsuka-europe.com")</f>
        <v>pmartinez@crm.otsuka-europe.com</v>
      </c>
      <c r="N2204" s="25">
        <v>46212.371249999997</v>
      </c>
      <c r="O2204" s="14" t="str">
        <f>HYPERLINK("https://otsuka-europe-crm.veevavault.com/ui/#object/email_activity__v/V8C000000045031", "EN-002103495")</f>
        <v>EN-002103495</v>
      </c>
    </row>
    <row r="2205" spans="1:15" ht="16" x14ac:dyDescent="0.2">
      <c r="A2205" s="26"/>
      <c r="B2205" s="26"/>
      <c r="C2205" s="26"/>
      <c r="D2205" s="26"/>
      <c r="E2205" s="26"/>
      <c r="F2205" s="26"/>
      <c r="G2205" s="26"/>
      <c r="H2205" s="26"/>
      <c r="I2205" s="26"/>
      <c r="J2205" s="26"/>
      <c r="K2205" s="26"/>
      <c r="L2205" s="26"/>
      <c r="M2205" s="26"/>
      <c r="N2205" s="26"/>
      <c r="O2205" s="14" t="str">
        <f>HYPERLINK("https://otsuka-europe-crm.veevavault.com/ui/#object/email_activity__v/V8C000000045197", "EN-002103661")</f>
        <v>EN-002103661</v>
      </c>
    </row>
    <row r="2206" spans="1:15" ht="16" x14ac:dyDescent="0.2">
      <c r="A2206" s="19"/>
      <c r="B2206" s="19"/>
      <c r="C2206" s="19"/>
      <c r="D2206" s="19"/>
      <c r="E2206" s="19"/>
      <c r="F2206" s="19"/>
      <c r="G2206" s="19"/>
      <c r="H2206" s="19"/>
      <c r="I2206" s="19"/>
      <c r="J2206" s="19"/>
      <c r="K2206" s="19"/>
      <c r="L2206" s="19"/>
      <c r="M2206" s="19"/>
      <c r="N2206" s="19"/>
      <c r="O2206" s="14" t="str">
        <f>HYPERLINK("https://otsuka-europe-crm.veevavault.com/ui/#object/email_activity__v/V8C00000004A001", "EN-002104871")</f>
        <v>EN-002104871</v>
      </c>
    </row>
    <row r="2207" spans="1:15" ht="64" x14ac:dyDescent="0.2">
      <c r="A2207" s="7" t="str">
        <f>HYPERLINK("https://otsuka-europe-crm.veevavault.com/ui/#object/account__v/V4TZ06G6O71TCJQ", "SOFIA ZARRAGA LARRONDO")</f>
        <v>SOFIA ZARRAGA LARRONDO</v>
      </c>
      <c r="B2207" s="7" t="str">
        <f>HYPERLINK("https://otsuka-europe-crm.veevavault.com/ui/#object/vcountry__v/VENZ000004SONF5", "ES")</f>
        <v>ES</v>
      </c>
      <c r="C2207" s="8" t="s">
        <v>39</v>
      </c>
      <c r="D22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07" s="10" t="str">
        <f>HYPERLINK("https://otsuka-europe-crm.veevavault.com/ui/#object/sent_email__v/VBL000000034327", "SE-001442706")</f>
        <v>SE-001442706</v>
      </c>
      <c r="F2207" s="11"/>
      <c r="G2207" s="12">
        <v>0</v>
      </c>
      <c r="H2207" s="12">
        <v>0</v>
      </c>
      <c r="I2207" s="12">
        <v>0</v>
      </c>
      <c r="J2207" s="11"/>
      <c r="K2207" s="12">
        <v>0</v>
      </c>
      <c r="L22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07" s="10" t="str">
        <f>HYPERLINK("mailto:pmartinez@crm.otsuka-europe.com", "pmartinez@crm.otsuka-europe.com")</f>
        <v>pmartinez@crm.otsuka-europe.com</v>
      </c>
      <c r="N2207" s="13">
        <v>46212.371296296296</v>
      </c>
      <c r="O2207" s="14" t="str">
        <f>HYPERLINK("https://otsuka-europe-crm.veevavault.com/ui/#object/email_activity__v/V8C000000045135", "EN-002103599")</f>
        <v>EN-002103599</v>
      </c>
    </row>
    <row r="2208" spans="1:15" ht="64" x14ac:dyDescent="0.2">
      <c r="A2208" s="7" t="str">
        <f>HYPERLINK("https://otsuka-europe-crm.veevavault.com/ui/#object/account__v/V4TZ06G6O71TBVS", "FERNANDA RAMOS CARRASCO")</f>
        <v>FERNANDA RAMOS CARRASCO</v>
      </c>
      <c r="B2208" s="7" t="str">
        <f>HYPERLINK("https://otsuka-europe-crm.veevavault.com/ui/#object/vcountry__v/VENZ000004SONF5", "ES")</f>
        <v>ES</v>
      </c>
      <c r="C2208" s="8" t="s">
        <v>39</v>
      </c>
      <c r="D220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08" s="10" t="str">
        <f>HYPERLINK("https://otsuka-europe-crm.veevavault.com/ui/#object/sent_email__v/VBL000000034328", "SE-001442707")</f>
        <v>SE-001442707</v>
      </c>
      <c r="F2208" s="11"/>
      <c r="G2208" s="12">
        <v>0</v>
      </c>
      <c r="H2208" s="12">
        <v>0</v>
      </c>
      <c r="I2208" s="12">
        <v>0</v>
      </c>
      <c r="J2208" s="11"/>
      <c r="K2208" s="12">
        <v>0</v>
      </c>
      <c r="L220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08" s="10" t="str">
        <f>HYPERLINK("mailto:pmartinez@crm.otsuka-europe.com", "pmartinez@crm.otsuka-europe.com")</f>
        <v>pmartinez@crm.otsuka-europe.com</v>
      </c>
      <c r="N2208" s="13">
        <v>46212.37127314815</v>
      </c>
      <c r="O2208" s="14" t="str">
        <f>HYPERLINK("https://otsuka-europe-crm.veevavault.com/ui/#object/email_activity__v/V8C000000045118", "EN-002103582")</f>
        <v>EN-002103582</v>
      </c>
    </row>
    <row r="2209" spans="1:15" ht="64" x14ac:dyDescent="0.2">
      <c r="A2209" s="7" t="str">
        <f>HYPERLINK("https://otsuka-europe-crm.veevavault.com/ui/#object/account__v/V4TZ06G6O71TJXW", "KARLA FLORES GIMENO")</f>
        <v>KARLA FLORES GIMENO</v>
      </c>
      <c r="B2209" s="7" t="str">
        <f>HYPERLINK("https://otsuka-europe-crm.veevavault.com/ui/#object/vcountry__v/VENZ000004SONF5", "ES")</f>
        <v>ES</v>
      </c>
      <c r="C2209" s="8" t="s">
        <v>39</v>
      </c>
      <c r="D220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09" s="10" t="str">
        <f>HYPERLINK("https://otsuka-europe-crm.veevavault.com/ui/#object/sent_email__v/VBL000000034329", "SE-001442708")</f>
        <v>SE-001442708</v>
      </c>
      <c r="F2209" s="11"/>
      <c r="G2209" s="12">
        <v>0</v>
      </c>
      <c r="H2209" s="12">
        <v>0</v>
      </c>
      <c r="I2209" s="12">
        <v>0</v>
      </c>
      <c r="J2209" s="11"/>
      <c r="K2209" s="12">
        <v>0</v>
      </c>
      <c r="L220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09" s="10" t="str">
        <f>HYPERLINK("mailto:pmartinez@crm.otsuka-europe.com", "pmartinez@crm.otsuka-europe.com")</f>
        <v>pmartinez@crm.otsuka-europe.com</v>
      </c>
      <c r="N2209" s="13">
        <v>46212.371319444443</v>
      </c>
      <c r="O2209" s="14" t="str">
        <f>HYPERLINK("https://otsuka-europe-crm.veevavault.com/ui/#object/email_activity__v/V8C000000045143", "EN-002103607")</f>
        <v>EN-002103607</v>
      </c>
    </row>
    <row r="2210" spans="1:15" ht="64" x14ac:dyDescent="0.2">
      <c r="A2210" s="7" t="str">
        <f>HYPERLINK("https://otsuka-europe-crm.veevavault.com/ui/#object/account__v/V4TZ06G6O71T8RA", "MARIA LANAU MARTINEZ")</f>
        <v>MARIA LANAU MARTINEZ</v>
      </c>
      <c r="B2210" s="7" t="str">
        <f>HYPERLINK("https://otsuka-europe-crm.veevavault.com/ui/#object/vcountry__v/VENZ000004SONF5", "ES")</f>
        <v>ES</v>
      </c>
      <c r="C2210" s="8" t="s">
        <v>39</v>
      </c>
      <c r="D221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10" s="10" t="str">
        <f>HYPERLINK("https://otsuka-europe-crm.veevavault.com/ui/#object/sent_email__v/VBL000000034330", "SE-001442709")</f>
        <v>SE-001442709</v>
      </c>
      <c r="F2210" s="11"/>
      <c r="G2210" s="12">
        <v>0</v>
      </c>
      <c r="H2210" s="12">
        <v>0</v>
      </c>
      <c r="I2210" s="12">
        <v>0</v>
      </c>
      <c r="J2210" s="11"/>
      <c r="K2210" s="12">
        <v>0</v>
      </c>
      <c r="L221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10" s="10" t="str">
        <f>HYPERLINK("mailto:pmartinez@crm.otsuka-europe.com", "pmartinez@crm.otsuka-europe.com")</f>
        <v>pmartinez@crm.otsuka-europe.com</v>
      </c>
      <c r="N2210" s="13">
        <v>46212.371249999997</v>
      </c>
      <c r="O2210" s="14" t="str">
        <f>HYPERLINK("https://otsuka-europe-crm.veevavault.com/ui/#object/email_activity__v/V8C000000045044", "EN-002103508")</f>
        <v>EN-002103508</v>
      </c>
    </row>
    <row r="2211" spans="1:15" ht="16" x14ac:dyDescent="0.2">
      <c r="A2211" s="18" t="str">
        <f>HYPERLINK("https://otsuka-europe-crm.veevavault.com/ui/#object/account__v/V4TZ06G6O71TB9P", "ENRIQUE MORALES RUIZ")</f>
        <v>ENRIQUE MORALES RUIZ</v>
      </c>
      <c r="B2211" s="18" t="str">
        <f>HYPERLINK("https://otsuka-europe-crm.veevavault.com/ui/#object/vcountry__v/VENZ000004SONF5", "ES")</f>
        <v>ES</v>
      </c>
      <c r="C2211" s="20" t="s">
        <v>39</v>
      </c>
      <c r="D221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11" s="22" t="str">
        <f>HYPERLINK("https://otsuka-europe-crm.veevavault.com/ui/#object/sent_email__v/VBL000000034331", "SE-001442710")</f>
        <v>SE-001442710</v>
      </c>
      <c r="F2211" s="23"/>
      <c r="G2211" s="24">
        <v>0</v>
      </c>
      <c r="H2211" s="24">
        <v>0</v>
      </c>
      <c r="I2211" s="24">
        <v>0</v>
      </c>
      <c r="J2211" s="23"/>
      <c r="K2211" s="24">
        <v>0</v>
      </c>
      <c r="L221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11" s="22" t="str">
        <f>HYPERLINK("mailto:pmartinez@crm.otsuka-europe.com", "pmartinez@crm.otsuka-europe.com")</f>
        <v>pmartinez@crm.otsuka-europe.com</v>
      </c>
      <c r="N2211" s="25">
        <v>46212.371192129627</v>
      </c>
      <c r="O2211" s="14" t="str">
        <f>HYPERLINK("https://otsuka-europe-crm.veevavault.com/ui/#object/email_activity__v/V8C000000045026", "EN-002103490")</f>
        <v>EN-002103490</v>
      </c>
    </row>
    <row r="2212" spans="1:15" ht="16" x14ac:dyDescent="0.2">
      <c r="A2212" s="19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19"/>
      <c r="N2212" s="19"/>
      <c r="O2212" s="14" t="str">
        <f>HYPERLINK("https://otsuka-europe-crm.veevavault.com/ui/#object/email_activity__v/V8C000000045407", "EN-002104154")</f>
        <v>EN-002104154</v>
      </c>
    </row>
    <row r="2213" spans="1:15" ht="16" x14ac:dyDescent="0.2">
      <c r="A2213" s="18" t="str">
        <f>HYPERLINK("https://otsuka-europe-crm.veevavault.com/ui/#object/account__v/V4TZ06G6O71U962", "JAVIER LORENZO DEIRA LORENZO")</f>
        <v>JAVIER LORENZO DEIRA LORENZO</v>
      </c>
      <c r="B2213" s="18" t="str">
        <f>HYPERLINK("https://otsuka-europe-crm.veevavault.com/ui/#object/vcountry__v/VENZ000004SONF5", "ES")</f>
        <v>ES</v>
      </c>
      <c r="C2213" s="20" t="s">
        <v>39</v>
      </c>
      <c r="D221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13" s="22" t="str">
        <f>HYPERLINK("https://otsuka-europe-crm.veevavault.com/ui/#object/sent_email__v/VBL000000034332", "SE-001442711")</f>
        <v>SE-001442711</v>
      </c>
      <c r="F2213" s="25">
        <v>46212.849953703706</v>
      </c>
      <c r="G2213" s="24">
        <v>1</v>
      </c>
      <c r="H2213" s="24">
        <v>1</v>
      </c>
      <c r="I2213" s="24">
        <v>0</v>
      </c>
      <c r="J2213" s="23"/>
      <c r="K2213" s="24">
        <v>0</v>
      </c>
      <c r="L221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13" s="22" t="str">
        <f>HYPERLINK("mailto:pmartinez@crm.otsuka-europe.com", "pmartinez@crm.otsuka-europe.com")</f>
        <v>pmartinez@crm.otsuka-europe.com</v>
      </c>
      <c r="N2213" s="25">
        <v>46212.371192129627</v>
      </c>
      <c r="O2213" s="14" t="str">
        <f>HYPERLINK("https://otsuka-europe-crm.veevavault.com/ui/#object/email_activity__v/V8C000000044979", "EN-002103444")</f>
        <v>EN-002103444</v>
      </c>
    </row>
    <row r="2214" spans="1:15" ht="16" x14ac:dyDescent="0.2">
      <c r="A2214" s="19"/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19"/>
      <c r="N2214" s="19"/>
      <c r="O2214" s="14" t="str">
        <f>HYPERLINK("https://otsuka-europe-crm.veevavault.com/ui/#object/email_activity__v/V8C000000047003", "EN-002104166")</f>
        <v>EN-002104166</v>
      </c>
    </row>
    <row r="2215" spans="1:15" ht="16" x14ac:dyDescent="0.2">
      <c r="A2215" s="18" t="str">
        <f>HYPERLINK("https://otsuka-europe-crm.veevavault.com/ui/#object/account__v/V4TZ06G6O71T9MQ", "RAQUEL DE TORO CASADO")</f>
        <v>RAQUEL DE TORO CASADO</v>
      </c>
      <c r="B2215" s="18" t="str">
        <f>HYPERLINK("https://otsuka-europe-crm.veevavault.com/ui/#object/vcountry__v/VENZ000004SONF5", "ES")</f>
        <v>ES</v>
      </c>
      <c r="C2215" s="20" t="s">
        <v>39</v>
      </c>
      <c r="D221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15" s="22" t="str">
        <f>HYPERLINK("https://otsuka-europe-crm.veevavault.com/ui/#object/sent_email__v/VBL000000034333", "SE-001442712")</f>
        <v>SE-001442712</v>
      </c>
      <c r="F2215" s="25">
        <v>46213.33222222222</v>
      </c>
      <c r="G2215" s="24">
        <v>1</v>
      </c>
      <c r="H2215" s="24">
        <v>3</v>
      </c>
      <c r="I2215" s="24">
        <v>0</v>
      </c>
      <c r="J2215" s="23"/>
      <c r="K2215" s="24">
        <v>0</v>
      </c>
      <c r="L221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15" s="22" t="str">
        <f>HYPERLINK("mailto:pmartinez@crm.otsuka-europe.com", "pmartinez@crm.otsuka-europe.com")</f>
        <v>pmartinez@crm.otsuka-europe.com</v>
      </c>
      <c r="N2215" s="25">
        <v>46212.371192129627</v>
      </c>
      <c r="O2215" s="14" t="str">
        <f>HYPERLINK("https://otsuka-europe-crm.veevavault.com/ui/#object/email_activity__v/V8C000000044982", "EN-002103449")</f>
        <v>EN-002103449</v>
      </c>
    </row>
    <row r="2216" spans="1:15" ht="16" x14ac:dyDescent="0.2">
      <c r="A2216" s="26"/>
      <c r="B2216" s="26"/>
      <c r="C2216" s="26"/>
      <c r="D2216" s="26"/>
      <c r="E2216" s="26"/>
      <c r="F2216" s="26"/>
      <c r="G2216" s="26"/>
      <c r="H2216" s="26"/>
      <c r="I2216" s="26"/>
      <c r="J2216" s="26"/>
      <c r="K2216" s="26"/>
      <c r="L2216" s="26"/>
      <c r="M2216" s="26"/>
      <c r="N2216" s="26"/>
      <c r="O2216" s="14" t="str">
        <f>HYPERLINK("https://otsuka-europe-crm.veevavault.com/ui/#object/email_activity__v/V8C000000045255", "EN-002103803")</f>
        <v>EN-002103803</v>
      </c>
    </row>
    <row r="2217" spans="1:15" ht="16" x14ac:dyDescent="0.2">
      <c r="A2217" s="26"/>
      <c r="B2217" s="26"/>
      <c r="C2217" s="26"/>
      <c r="D2217" s="26"/>
      <c r="E2217" s="26"/>
      <c r="F2217" s="26"/>
      <c r="G2217" s="26"/>
      <c r="H2217" s="26"/>
      <c r="I2217" s="26"/>
      <c r="J2217" s="26"/>
      <c r="K2217" s="26"/>
      <c r="L2217" s="26"/>
      <c r="M2217" s="26"/>
      <c r="N2217" s="26"/>
      <c r="O2217" s="14" t="str">
        <f>HYPERLINK("https://otsuka-europe-crm.veevavault.com/ui/#object/email_activity__v/V8C000000047044", "EN-002104233")</f>
        <v>EN-002104233</v>
      </c>
    </row>
    <row r="2218" spans="1:15" ht="16" x14ac:dyDescent="0.2">
      <c r="A2218" s="19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19"/>
      <c r="N2218" s="19"/>
      <c r="O2218" s="14" t="str">
        <f>HYPERLINK("https://otsuka-europe-crm.veevavault.com/ui/#object/email_activity__v/V8C000000048004", "EN-002104177")</f>
        <v>EN-002104177</v>
      </c>
    </row>
    <row r="2219" spans="1:15" ht="64" x14ac:dyDescent="0.2">
      <c r="A2219" s="7" t="str">
        <f>HYPERLINK("https://otsuka-europe-crm.veevavault.com/ui/#object/account__v/V4TZ06G6O71TAIP", "JOSE ANTONIO HERRERO CALVO")</f>
        <v>JOSE ANTONIO HERRERO CALVO</v>
      </c>
      <c r="B2219" s="7" t="str">
        <f>HYPERLINK("https://otsuka-europe-crm.veevavault.com/ui/#object/vcountry__v/VENZ000004SONF5", "ES")</f>
        <v>ES</v>
      </c>
      <c r="C2219" s="8" t="s">
        <v>39</v>
      </c>
      <c r="D221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19" s="10" t="str">
        <f>HYPERLINK("https://otsuka-europe-crm.veevavault.com/ui/#object/sent_email__v/VBL000000034334", "SE-001442713")</f>
        <v>SE-001442713</v>
      </c>
      <c r="F2219" s="11"/>
      <c r="G2219" s="12">
        <v>0</v>
      </c>
      <c r="H2219" s="12">
        <v>0</v>
      </c>
      <c r="I2219" s="12">
        <v>0</v>
      </c>
      <c r="J2219" s="11"/>
      <c r="K2219" s="12">
        <v>0</v>
      </c>
      <c r="L221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19" s="10" t="str">
        <f>HYPERLINK("mailto:pmartinez@crm.otsuka-europe.com", "pmartinez@crm.otsuka-europe.com")</f>
        <v>pmartinez@crm.otsuka-europe.com</v>
      </c>
      <c r="N2219" s="13">
        <v>46212.371168981481</v>
      </c>
      <c r="O2219" s="14" t="str">
        <f>HYPERLINK("https://otsuka-europe-crm.veevavault.com/ui/#object/email_activity__v/V8C000000044981", "EN-002103446")</f>
        <v>EN-002103446</v>
      </c>
    </row>
    <row r="2220" spans="1:15" ht="16" x14ac:dyDescent="0.2">
      <c r="A2220" s="18" t="str">
        <f>HYPERLINK("https://otsuka-europe-crm.veevavault.com/ui/#object/account__v/V4TZ06G6O71T964", "MARIA AUXILIADORA BAJO RUBIO")</f>
        <v>MARIA AUXILIADORA BAJO RUBIO</v>
      </c>
      <c r="B2220" s="18" t="str">
        <f>HYPERLINK("https://otsuka-europe-crm.veevavault.com/ui/#object/vcountry__v/VENZ000004SONF5", "ES")</f>
        <v>ES</v>
      </c>
      <c r="C2220" s="20" t="s">
        <v>39</v>
      </c>
      <c r="D22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20" s="22" t="str">
        <f>HYPERLINK("https://otsuka-europe-crm.veevavault.com/ui/#object/sent_email__v/VBL000000034335", "SE-001442714")</f>
        <v>SE-001442714</v>
      </c>
      <c r="F2220" s="25">
        <v>46212.39435185185</v>
      </c>
      <c r="G2220" s="24">
        <v>1</v>
      </c>
      <c r="H2220" s="24">
        <v>2</v>
      </c>
      <c r="I2220" s="24">
        <v>0</v>
      </c>
      <c r="J2220" s="23"/>
      <c r="K2220" s="24">
        <v>0</v>
      </c>
      <c r="L22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20" s="22" t="str">
        <f>HYPERLINK("mailto:pmartinez@crm.otsuka-europe.com", "pmartinez@crm.otsuka-europe.com")</f>
        <v>pmartinez@crm.otsuka-europe.com</v>
      </c>
      <c r="N2220" s="25">
        <v>46212.371168981481</v>
      </c>
      <c r="O2220" s="14" t="str">
        <f>HYPERLINK("https://otsuka-europe-crm.veevavault.com/ui/#object/email_activity__v/V8C000000043951", "EN-002103738")</f>
        <v>EN-002103738</v>
      </c>
    </row>
    <row r="2221" spans="1:15" ht="16" x14ac:dyDescent="0.2">
      <c r="A2221" s="26"/>
      <c r="B2221" s="26"/>
      <c r="C2221" s="26"/>
      <c r="D2221" s="26"/>
      <c r="E2221" s="26"/>
      <c r="F2221" s="26"/>
      <c r="G2221" s="26"/>
      <c r="H2221" s="26"/>
      <c r="I2221" s="26"/>
      <c r="J2221" s="26"/>
      <c r="K2221" s="26"/>
      <c r="L2221" s="26"/>
      <c r="M2221" s="26"/>
      <c r="N2221" s="26"/>
      <c r="O2221" s="14" t="str">
        <f>HYPERLINK("https://otsuka-europe-crm.veevavault.com/ui/#object/email_activity__v/V8C000000043959", "EN-002103748")</f>
        <v>EN-002103748</v>
      </c>
    </row>
    <row r="2222" spans="1:15" ht="16" x14ac:dyDescent="0.2">
      <c r="A2222" s="19"/>
      <c r="B2222" s="19"/>
      <c r="C2222" s="19"/>
      <c r="D2222" s="19"/>
      <c r="E2222" s="19"/>
      <c r="F2222" s="19"/>
      <c r="G2222" s="19"/>
      <c r="H2222" s="19"/>
      <c r="I2222" s="19"/>
      <c r="J2222" s="19"/>
      <c r="K2222" s="19"/>
      <c r="L2222" s="19"/>
      <c r="M2222" s="19"/>
      <c r="N2222" s="19"/>
      <c r="O2222" s="14" t="str">
        <f>HYPERLINK("https://otsuka-europe-crm.veevavault.com/ui/#object/email_activity__v/V8C000000045056", "EN-002103520")</f>
        <v>EN-002103520</v>
      </c>
    </row>
    <row r="2223" spans="1:15" ht="64" x14ac:dyDescent="0.2">
      <c r="A2223" s="7" t="str">
        <f>HYPERLINK("https://otsuka-europe-crm.veevavault.com/ui/#object/account__v/V4TZ06G6O71T9K5", "JUAN MANUEL BUADES FUSTER")</f>
        <v>JUAN MANUEL BUADES FUSTER</v>
      </c>
      <c r="B2223" s="7" t="str">
        <f>HYPERLINK("https://otsuka-europe-crm.veevavault.com/ui/#object/vcountry__v/VENZ000004SONF5", "ES")</f>
        <v>ES</v>
      </c>
      <c r="C2223" s="8" t="s">
        <v>39</v>
      </c>
      <c r="D222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23" s="10" t="str">
        <f>HYPERLINK("https://otsuka-europe-crm.veevavault.com/ui/#object/sent_email__v/VBL000000034336", "SE-001442715")</f>
        <v>SE-001442715</v>
      </c>
      <c r="F2223" s="11"/>
      <c r="G2223" s="12">
        <v>0</v>
      </c>
      <c r="H2223" s="12">
        <v>0</v>
      </c>
      <c r="I2223" s="12">
        <v>0</v>
      </c>
      <c r="J2223" s="11"/>
      <c r="K2223" s="12">
        <v>0</v>
      </c>
      <c r="L222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23" s="10" t="str">
        <f>HYPERLINK("mailto:pmartinez@crm.otsuka-europe.com", "pmartinez@crm.otsuka-europe.com")</f>
        <v>pmartinez@crm.otsuka-europe.com</v>
      </c>
      <c r="N2223" s="13">
        <v>46212.371168981481</v>
      </c>
      <c r="O2223" s="14" t="str">
        <f>HYPERLINK("https://otsuka-europe-crm.veevavault.com/ui/#object/email_activity__v/V8C000000044997", "EN-002103462")</f>
        <v>EN-002103462</v>
      </c>
    </row>
    <row r="2224" spans="1:15" ht="64" x14ac:dyDescent="0.2">
      <c r="A2224" s="7" t="str">
        <f>HYPERLINK("https://otsuka-europe-crm.veevavault.com/ui/#object/account__v/V4TZ06G6O71T9QT", "GEMA FERNANDEZ FRESNEDO")</f>
        <v>GEMA FERNANDEZ FRESNEDO</v>
      </c>
      <c r="B2224" s="7" t="str">
        <f>HYPERLINK("https://otsuka-europe-crm.veevavault.com/ui/#object/vcountry__v/VENZ000004SONF5", "ES")</f>
        <v>ES</v>
      </c>
      <c r="C2224" s="8" t="s">
        <v>39</v>
      </c>
      <c r="D222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24" s="10" t="str">
        <f>HYPERLINK("https://otsuka-europe-crm.veevavault.com/ui/#object/sent_email__v/VBL000000034337", "SE-001442716")</f>
        <v>SE-001442716</v>
      </c>
      <c r="F2224" s="11"/>
      <c r="G2224" s="12">
        <v>0</v>
      </c>
      <c r="H2224" s="12">
        <v>0</v>
      </c>
      <c r="I2224" s="12">
        <v>0</v>
      </c>
      <c r="J2224" s="11"/>
      <c r="K2224" s="12">
        <v>0</v>
      </c>
      <c r="L222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24" s="10" t="str">
        <f>HYPERLINK("mailto:pmartinez@crm.otsuka-europe.com", "pmartinez@crm.otsuka-europe.com")</f>
        <v>pmartinez@crm.otsuka-europe.com</v>
      </c>
      <c r="N2224" s="13">
        <v>46212.371168981481</v>
      </c>
      <c r="O2224" s="14" t="str">
        <f>HYPERLINK("https://otsuka-europe-crm.veevavault.com/ui/#object/email_activity__v/V8C000000045020", "EN-002103484")</f>
        <v>EN-002103484</v>
      </c>
    </row>
    <row r="2225" spans="1:15" ht="16" x14ac:dyDescent="0.2">
      <c r="A2225" s="18" t="str">
        <f>HYPERLINK("https://otsuka-europe-crm.veevavault.com/ui/#object/account__v/V4TZ06G6O71TBLN", "PATRICIA PEREZ BORGES")</f>
        <v>PATRICIA PEREZ BORGES</v>
      </c>
      <c r="B2225" s="18" t="str">
        <f>HYPERLINK("https://otsuka-europe-crm.veevavault.com/ui/#object/vcountry__v/VENZ000004SONF5", "ES")</f>
        <v>ES</v>
      </c>
      <c r="C2225" s="20" t="s">
        <v>39</v>
      </c>
      <c r="D22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25" s="22" t="str">
        <f>HYPERLINK("https://otsuka-europe-crm.veevavault.com/ui/#object/sent_email__v/VBL000000034338", "SE-001442717")</f>
        <v>SE-001442717</v>
      </c>
      <c r="F2225" s="25">
        <v>46212.385960648149</v>
      </c>
      <c r="G2225" s="24">
        <v>1</v>
      </c>
      <c r="H2225" s="24">
        <v>1</v>
      </c>
      <c r="I2225" s="24">
        <v>0</v>
      </c>
      <c r="J2225" s="23"/>
      <c r="K2225" s="24">
        <v>0</v>
      </c>
      <c r="L22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25" s="22" t="str">
        <f>HYPERLINK("mailto:pmartinez@crm.otsuka-europe.com", "pmartinez@crm.otsuka-europe.com")</f>
        <v>pmartinez@crm.otsuka-europe.com</v>
      </c>
      <c r="N2225" s="25">
        <v>46212.371203703704</v>
      </c>
      <c r="O2225" s="14" t="str">
        <f>HYPERLINK("https://otsuka-europe-crm.veevavault.com/ui/#object/email_activity__v/V8C000000043918", "EN-002103683")</f>
        <v>EN-002103683</v>
      </c>
    </row>
    <row r="2226" spans="1:15" ht="16" x14ac:dyDescent="0.2">
      <c r="A2226" s="19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19"/>
      <c r="N2226" s="19"/>
      <c r="O2226" s="14" t="str">
        <f>HYPERLINK("https://otsuka-europe-crm.veevavault.com/ui/#object/email_activity__v/V8C000000044983", "EN-002103447")</f>
        <v>EN-002103447</v>
      </c>
    </row>
    <row r="2227" spans="1:15" ht="64" x14ac:dyDescent="0.2">
      <c r="A2227" s="7" t="str">
        <f>HYPERLINK("https://otsuka-europe-crm.veevavault.com/ui/#object/account__v/V4TZ06G6O71T9MD", "JESUS ANGEL CALVIÑO VARELA")</f>
        <v>JESUS ANGEL CALVIÑO VARELA</v>
      </c>
      <c r="B2227" s="7" t="str">
        <f>HYPERLINK("https://otsuka-europe-crm.veevavault.com/ui/#object/vcountry__v/VENZ000004SONF5", "ES")</f>
        <v>ES</v>
      </c>
      <c r="C2227" s="8" t="s">
        <v>39</v>
      </c>
      <c r="D222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27" s="10" t="str">
        <f>HYPERLINK("https://otsuka-europe-crm.veevavault.com/ui/#object/sent_email__v/VBL000000034339", "SE-001442718")</f>
        <v>SE-001442718</v>
      </c>
      <c r="F2227" s="11"/>
      <c r="G2227" s="12">
        <v>0</v>
      </c>
      <c r="H2227" s="12">
        <v>0</v>
      </c>
      <c r="I2227" s="12">
        <v>0</v>
      </c>
      <c r="J2227" s="11"/>
      <c r="K2227" s="12">
        <v>0</v>
      </c>
      <c r="L222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27" s="10" t="str">
        <f>HYPERLINK("mailto:pmartinez@crm.otsuka-europe.com", "pmartinez@crm.otsuka-europe.com")</f>
        <v>pmartinez@crm.otsuka-europe.com</v>
      </c>
      <c r="N2227" s="13">
        <v>46212.371192129627</v>
      </c>
      <c r="O2227" s="14" t="str">
        <f>HYPERLINK("https://otsuka-europe-crm.veevavault.com/ui/#object/email_activity__v/V8C000000045021", "EN-002103485")</f>
        <v>EN-002103485</v>
      </c>
    </row>
    <row r="2228" spans="1:15" ht="16" x14ac:dyDescent="0.2">
      <c r="A2228" s="18" t="str">
        <f>HYPERLINK("https://otsuka-europe-crm.veevavault.com/ui/#object/account__v/V4TZ06G6O71TCHN", "FERNANDO TORNERO MOLINA")</f>
        <v>FERNANDO TORNERO MOLINA</v>
      </c>
      <c r="B2228" s="18" t="str">
        <f>HYPERLINK("https://otsuka-europe-crm.veevavault.com/ui/#object/vcountry__v/VENZ000004SONF5", "ES")</f>
        <v>ES</v>
      </c>
      <c r="C2228" s="20" t="s">
        <v>39</v>
      </c>
      <c r="D222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28" s="22" t="str">
        <f>HYPERLINK("https://otsuka-europe-crm.veevavault.com/ui/#object/sent_email__v/VBL000000034340", "SE-001442719")</f>
        <v>SE-001442719</v>
      </c>
      <c r="F2228" s="25">
        <v>46216.528136574074</v>
      </c>
      <c r="G2228" s="24">
        <v>1</v>
      </c>
      <c r="H2228" s="24">
        <v>1</v>
      </c>
      <c r="I2228" s="24">
        <v>0</v>
      </c>
      <c r="J2228" s="23"/>
      <c r="K2228" s="24">
        <v>0</v>
      </c>
      <c r="L222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28" s="22" t="str">
        <f>HYPERLINK("mailto:pmartinez@crm.otsuka-europe.com", "pmartinez@crm.otsuka-europe.com")</f>
        <v>pmartinez@crm.otsuka-europe.com</v>
      </c>
      <c r="N2228" s="25">
        <v>46212.371192129627</v>
      </c>
      <c r="O2228" s="14" t="str">
        <f>HYPERLINK("https://otsuka-europe-crm.veevavault.com/ui/#object/email_activity__v/V8C000000045002", "EN-002103466")</f>
        <v>EN-002103466</v>
      </c>
    </row>
    <row r="2229" spans="1:15" ht="16" x14ac:dyDescent="0.2">
      <c r="A2229" s="19"/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19"/>
      <c r="N2229" s="19"/>
      <c r="O2229" s="14" t="str">
        <f>HYPERLINK("https://otsuka-europe-crm.veevavault.com/ui/#object/email_activity__v/V8C00000004A285", "EN-002105499")</f>
        <v>EN-002105499</v>
      </c>
    </row>
    <row r="2230" spans="1:15" ht="16" x14ac:dyDescent="0.2">
      <c r="A2230" s="18" t="str">
        <f>HYPERLINK("https://otsuka-europe-crm.veevavault.com/ui/#object/account__v/V4TZ06G6O71T7OS", "VIRGINIA DOMINGUEZ PIMENTEL")</f>
        <v>VIRGINIA DOMINGUEZ PIMENTEL</v>
      </c>
      <c r="B2230" s="18" t="str">
        <f>HYPERLINK("https://otsuka-europe-crm.veevavault.com/ui/#object/vcountry__v/VENZ000004SONF5", "ES")</f>
        <v>ES</v>
      </c>
      <c r="C2230" s="20" t="s">
        <v>39</v>
      </c>
      <c r="D223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30" s="22" t="str">
        <f>HYPERLINK("https://otsuka-europe-crm.veevavault.com/ui/#object/sent_email__v/VBL000000034341", "SE-001442720")</f>
        <v>SE-001442720</v>
      </c>
      <c r="F2230" s="23"/>
      <c r="G2230" s="24">
        <v>0</v>
      </c>
      <c r="H2230" s="24">
        <v>0</v>
      </c>
      <c r="I2230" s="24">
        <v>0</v>
      </c>
      <c r="J2230" s="23"/>
      <c r="K2230" s="24">
        <v>0</v>
      </c>
      <c r="L223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30" s="22" t="str">
        <f>HYPERLINK("mailto:pmartinez@crm.otsuka-europe.com", "pmartinez@crm.otsuka-europe.com")</f>
        <v>pmartinez@crm.otsuka-europe.com</v>
      </c>
      <c r="N2230" s="25">
        <v>46212.371192129627</v>
      </c>
      <c r="O2230" s="14" t="str">
        <f>HYPERLINK("https://otsuka-europe-crm.veevavault.com/ui/#object/email_activity__v/V8C000000045024", "EN-002103488")</f>
        <v>EN-002103488</v>
      </c>
    </row>
    <row r="2231" spans="1:15" ht="16" x14ac:dyDescent="0.2">
      <c r="A2231" s="19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/>
      <c r="L2231" s="19"/>
      <c r="M2231" s="19"/>
      <c r="N2231" s="19"/>
      <c r="O2231" s="14" t="str">
        <f>HYPERLINK("https://otsuka-europe-crm.veevavault.com/ui/#object/email_activity__v/V8C000000047026", "EN-002104197")</f>
        <v>EN-002104197</v>
      </c>
    </row>
    <row r="2232" spans="1:15" ht="16" x14ac:dyDescent="0.2">
      <c r="A2232" s="18" t="str">
        <f>HYPERLINK("https://otsuka-europe-crm.veevavault.com/ui/#object/account__v/V4TZ06G6O71TC72", "PATRICIA DE SEQUERA ORTIZ")</f>
        <v>PATRICIA DE SEQUERA ORTIZ</v>
      </c>
      <c r="B2232" s="18" t="str">
        <f>HYPERLINK("https://otsuka-europe-crm.veevavault.com/ui/#object/vcountry__v/VENZ000004SONF5", "ES")</f>
        <v>ES</v>
      </c>
      <c r="C2232" s="20" t="s">
        <v>39</v>
      </c>
      <c r="D22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32" s="22" t="str">
        <f>HYPERLINK("https://otsuka-europe-crm.veevavault.com/ui/#object/sent_email__v/VBL000000034342", "SE-001442721")</f>
        <v>SE-001442721</v>
      </c>
      <c r="F2232" s="25">
        <v>46212.443668981483</v>
      </c>
      <c r="G2232" s="24">
        <v>1</v>
      </c>
      <c r="H2232" s="24">
        <v>4</v>
      </c>
      <c r="I2232" s="24">
        <v>0</v>
      </c>
      <c r="J2232" s="23"/>
      <c r="K2232" s="24">
        <v>0</v>
      </c>
      <c r="L22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32" s="22" t="str">
        <f>HYPERLINK("mailto:pmartinez@crm.otsuka-europe.com", "pmartinez@crm.otsuka-europe.com")</f>
        <v>pmartinez@crm.otsuka-europe.com</v>
      </c>
      <c r="N2232" s="25">
        <v>46212.371192129627</v>
      </c>
      <c r="O2232" s="14" t="str">
        <f>HYPERLINK("https://otsuka-europe-crm.veevavault.com/ui/#object/email_activity__v/V8C000000044980", "EN-002103445")</f>
        <v>EN-002103445</v>
      </c>
    </row>
    <row r="2233" spans="1:15" ht="16" x14ac:dyDescent="0.2">
      <c r="A2233" s="26"/>
      <c r="B2233" s="26"/>
      <c r="C2233" s="26"/>
      <c r="D2233" s="26"/>
      <c r="E2233" s="26"/>
      <c r="F2233" s="26"/>
      <c r="G2233" s="26"/>
      <c r="H2233" s="26"/>
      <c r="I2233" s="26"/>
      <c r="J2233" s="26"/>
      <c r="K2233" s="26"/>
      <c r="L2233" s="26"/>
      <c r="M2233" s="26"/>
      <c r="N2233" s="26"/>
      <c r="O2233" s="14" t="str">
        <f>HYPERLINK("https://otsuka-europe-crm.veevavault.com/ui/#object/email_activity__v/V8C000000045251", "EN-002103799")</f>
        <v>EN-002103799</v>
      </c>
    </row>
    <row r="2234" spans="1:15" ht="16" x14ac:dyDescent="0.2">
      <c r="A2234" s="26"/>
      <c r="B2234" s="26"/>
      <c r="C2234" s="26"/>
      <c r="D2234" s="26"/>
      <c r="E2234" s="26"/>
      <c r="F2234" s="26"/>
      <c r="G2234" s="26"/>
      <c r="H2234" s="26"/>
      <c r="I2234" s="26"/>
      <c r="J2234" s="26"/>
      <c r="K2234" s="26"/>
      <c r="L2234" s="26"/>
      <c r="M2234" s="26"/>
      <c r="N2234" s="26"/>
      <c r="O2234" s="14" t="str">
        <f>HYPERLINK("https://otsuka-europe-crm.veevavault.com/ui/#object/email_activity__v/V8C000000045252", "EN-002103800")</f>
        <v>EN-002103800</v>
      </c>
    </row>
    <row r="2235" spans="1:15" ht="16" x14ac:dyDescent="0.2">
      <c r="A2235" s="26"/>
      <c r="B2235" s="26"/>
      <c r="C2235" s="26"/>
      <c r="D2235" s="26"/>
      <c r="E2235" s="26"/>
      <c r="F2235" s="26"/>
      <c r="G2235" s="26"/>
      <c r="H2235" s="26"/>
      <c r="I2235" s="26"/>
      <c r="J2235" s="26"/>
      <c r="K2235" s="26"/>
      <c r="L2235" s="26"/>
      <c r="M2235" s="26"/>
      <c r="N2235" s="26"/>
      <c r="O2235" s="14" t="str">
        <f>HYPERLINK("https://otsuka-europe-crm.veevavault.com/ui/#object/email_activity__v/V8C000000045253", "EN-002103801")</f>
        <v>EN-002103801</v>
      </c>
    </row>
    <row r="2236" spans="1:15" ht="16" x14ac:dyDescent="0.2">
      <c r="A2236" s="19"/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19"/>
      <c r="N2236" s="19"/>
      <c r="O2236" s="14" t="str">
        <f>HYPERLINK("https://otsuka-europe-crm.veevavault.com/ui/#object/email_activity__v/V8C000000045254", "EN-002103802")</f>
        <v>EN-002103802</v>
      </c>
    </row>
    <row r="2237" spans="1:15" ht="64" x14ac:dyDescent="0.2">
      <c r="A2237" s="7" t="str">
        <f>HYPERLINK("https://otsuka-europe-crm.veevavault.com/ui/#object/account__v/V4TZ06G6O71TA00", "REBECA GARCIA AGUDO")</f>
        <v>REBECA GARCIA AGUDO</v>
      </c>
      <c r="B2237" s="7" t="str">
        <f>HYPERLINK("https://otsuka-europe-crm.veevavault.com/ui/#object/vcountry__v/VENZ000004SONF5", "ES")</f>
        <v>ES</v>
      </c>
      <c r="C2237" s="8" t="s">
        <v>39</v>
      </c>
      <c r="D223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37" s="10" t="str">
        <f>HYPERLINK("https://otsuka-europe-crm.veevavault.com/ui/#object/sent_email__v/VBL000000034343", "SE-001442722")</f>
        <v>SE-001442722</v>
      </c>
      <c r="F2237" s="11"/>
      <c r="G2237" s="12">
        <v>0</v>
      </c>
      <c r="H2237" s="12">
        <v>0</v>
      </c>
      <c r="I2237" s="12">
        <v>0</v>
      </c>
      <c r="J2237" s="11"/>
      <c r="K2237" s="12">
        <v>0</v>
      </c>
      <c r="L223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37" s="10" t="str">
        <f>HYPERLINK("mailto:pmartinez@crm.otsuka-europe.com", "pmartinez@crm.otsuka-europe.com")</f>
        <v>pmartinez@crm.otsuka-europe.com</v>
      </c>
      <c r="N2237" s="13">
        <v>46212.371192129627</v>
      </c>
      <c r="O2237" s="14" t="str">
        <f>HYPERLINK("https://otsuka-europe-crm.veevavault.com/ui/#object/email_activity__v/V8C000000045025", "EN-002103489")</f>
        <v>EN-002103489</v>
      </c>
    </row>
    <row r="2238" spans="1:15" ht="64" x14ac:dyDescent="0.2">
      <c r="A2238" s="7" t="str">
        <f>HYPERLINK("https://otsuka-europe-crm.veevavault.com/ui/#object/account__v/V4TZ06G6O71T8WQ", "ALVARO GOYOAGA ALVAREZ")</f>
        <v>ALVARO GOYOAGA ALVAREZ</v>
      </c>
      <c r="B2238" s="7" t="str">
        <f>HYPERLINK("https://otsuka-europe-crm.veevavault.com/ui/#object/vcountry__v/VENZ000004SONF5", "ES")</f>
        <v>ES</v>
      </c>
      <c r="C2238" s="8" t="s">
        <v>39</v>
      </c>
      <c r="D223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38" s="10" t="str">
        <f>HYPERLINK("https://otsuka-europe-crm.veevavault.com/ui/#object/sent_email__v/VBL000000034344", "SE-001442723")</f>
        <v>SE-001442723</v>
      </c>
      <c r="F2238" s="11"/>
      <c r="G2238" s="12">
        <v>0</v>
      </c>
      <c r="H2238" s="12">
        <v>0</v>
      </c>
      <c r="I2238" s="12">
        <v>0</v>
      </c>
      <c r="J2238" s="11"/>
      <c r="K2238" s="12">
        <v>0</v>
      </c>
      <c r="L223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38" s="10" t="str">
        <f>HYPERLINK("mailto:pmartinez@crm.otsuka-europe.com", "pmartinez@crm.otsuka-europe.com")</f>
        <v>pmartinez@crm.otsuka-europe.com</v>
      </c>
      <c r="N2238" s="13">
        <v>46212.371192129627</v>
      </c>
      <c r="O2238" s="14" t="str">
        <f>HYPERLINK("https://otsuka-europe-crm.veevavault.com/ui/#object/email_activity__v/V8C000000045097", "EN-002103561")</f>
        <v>EN-002103561</v>
      </c>
    </row>
    <row r="2239" spans="1:15" ht="64" x14ac:dyDescent="0.2">
      <c r="A2239" s="7" t="str">
        <f>HYPERLINK("https://otsuka-europe-crm.veevavault.com/ui/#object/account__v/V4TZ06G6O71TCJK", "JOSE MANUEL URBIZU GALLARDO")</f>
        <v>JOSE MANUEL URBIZU GALLARDO</v>
      </c>
      <c r="B2239" s="7" t="str">
        <f>HYPERLINK("https://otsuka-europe-crm.veevavault.com/ui/#object/vcountry__v/VENZ000004SONF5", "ES")</f>
        <v>ES</v>
      </c>
      <c r="C2239" s="8" t="s">
        <v>39</v>
      </c>
      <c r="D223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39" s="10" t="str">
        <f>HYPERLINK("https://otsuka-europe-crm.veevavault.com/ui/#object/sent_email__v/VBL000000034345", "SE-001442724")</f>
        <v>SE-001442724</v>
      </c>
      <c r="F2239" s="11"/>
      <c r="G2239" s="12">
        <v>0</v>
      </c>
      <c r="H2239" s="12">
        <v>0</v>
      </c>
      <c r="I2239" s="12">
        <v>0</v>
      </c>
      <c r="J2239" s="11"/>
      <c r="K2239" s="12">
        <v>0</v>
      </c>
      <c r="L223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39" s="10" t="str">
        <f>HYPERLINK("mailto:pmartinez@crm.otsuka-europe.com", "pmartinez@crm.otsuka-europe.com")</f>
        <v>pmartinez@crm.otsuka-europe.com</v>
      </c>
      <c r="N2239" s="13">
        <v>46212.371192129627</v>
      </c>
      <c r="O2239" s="14" t="str">
        <f>HYPERLINK("https://otsuka-europe-crm.veevavault.com/ui/#object/email_activity__v/V8C000000045005", "EN-002103469")</f>
        <v>EN-002103469</v>
      </c>
    </row>
    <row r="2240" spans="1:15" ht="16" x14ac:dyDescent="0.2">
      <c r="A2240" s="18" t="str">
        <f>HYPERLINK("https://otsuka-europe-crm.veevavault.com/ui/#object/account__v/V4TZ06G6O71TB8Y", "PABLO MOLINA VILA")</f>
        <v>PABLO MOLINA VILA</v>
      </c>
      <c r="B2240" s="18" t="str">
        <f>HYPERLINK("https://otsuka-europe-crm.veevavault.com/ui/#object/vcountry__v/VENZ000004SONF5", "ES")</f>
        <v>ES</v>
      </c>
      <c r="C2240" s="20" t="s">
        <v>39</v>
      </c>
      <c r="D224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40" s="22" t="str">
        <f>HYPERLINK("https://otsuka-europe-crm.veevavault.com/ui/#object/sent_email__v/VBL000000034346", "SE-001442725")</f>
        <v>SE-001442725</v>
      </c>
      <c r="F2240" s="25">
        <v>46212.408391203702</v>
      </c>
      <c r="G2240" s="24">
        <v>1</v>
      </c>
      <c r="H2240" s="24">
        <v>1</v>
      </c>
      <c r="I2240" s="24">
        <v>0</v>
      </c>
      <c r="J2240" s="23"/>
      <c r="K2240" s="24">
        <v>0</v>
      </c>
      <c r="L224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40" s="22" t="str">
        <f>HYPERLINK("mailto:pmartinez@crm.otsuka-europe.com", "pmartinez@crm.otsuka-europe.com")</f>
        <v>pmartinez@crm.otsuka-europe.com</v>
      </c>
      <c r="N2240" s="25">
        <v>46212.371192129627</v>
      </c>
      <c r="O2240" s="14" t="str">
        <f>HYPERLINK("https://otsuka-europe-crm.veevavault.com/ui/#object/email_activity__v/V8C000000043981", "EN-002103776")</f>
        <v>EN-002103776</v>
      </c>
    </row>
    <row r="2241" spans="1:15" ht="16" x14ac:dyDescent="0.2">
      <c r="A2241" s="19"/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19"/>
      <c r="N2241" s="19"/>
      <c r="O2241" s="14" t="str">
        <f>HYPERLINK("https://otsuka-europe-crm.veevavault.com/ui/#object/email_activity__v/V8C000000044986", "EN-002103455")</f>
        <v>EN-002103455</v>
      </c>
    </row>
    <row r="2242" spans="1:15" ht="16" x14ac:dyDescent="0.2">
      <c r="A2242" s="18" t="str">
        <f>HYPERLINK("https://otsuka-europe-crm.veevavault.com/ui/#object/account__v/V4TZ06G6O71T7GV", "MARIO ESPINOSA HERNANDEZ")</f>
        <v>MARIO ESPINOSA HERNANDEZ</v>
      </c>
      <c r="B2242" s="18" t="str">
        <f>HYPERLINK("https://otsuka-europe-crm.veevavault.com/ui/#object/vcountry__v/VENZ000004SONF5", "ES")</f>
        <v>ES</v>
      </c>
      <c r="C2242" s="20" t="s">
        <v>39</v>
      </c>
      <c r="D224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42" s="22" t="str">
        <f>HYPERLINK("https://otsuka-europe-crm.veevavault.com/ui/#object/sent_email__v/VBL000000034347", "SE-001442726")</f>
        <v>SE-001442726</v>
      </c>
      <c r="F2242" s="25">
        <v>46213.266597222224</v>
      </c>
      <c r="G2242" s="24">
        <v>1</v>
      </c>
      <c r="H2242" s="24">
        <v>3</v>
      </c>
      <c r="I2242" s="24">
        <v>0</v>
      </c>
      <c r="J2242" s="23"/>
      <c r="K2242" s="24">
        <v>0</v>
      </c>
      <c r="L224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42" s="22" t="str">
        <f>HYPERLINK("mailto:pmartinez@crm.otsuka-europe.com", "pmartinez@crm.otsuka-europe.com")</f>
        <v>pmartinez@crm.otsuka-europe.com</v>
      </c>
      <c r="N2242" s="25">
        <v>46212.371192129627</v>
      </c>
      <c r="O2242" s="14" t="str">
        <f>HYPERLINK("https://otsuka-europe-crm.veevavault.com/ui/#object/email_activity__v/V8C000000045001", "EN-002103465")</f>
        <v>EN-002103465</v>
      </c>
    </row>
    <row r="2243" spans="1:15" ht="16" x14ac:dyDescent="0.2">
      <c r="A2243" s="26"/>
      <c r="B2243" s="26"/>
      <c r="C2243" s="26"/>
      <c r="D2243" s="26"/>
      <c r="E2243" s="26"/>
      <c r="F2243" s="26"/>
      <c r="G2243" s="26"/>
      <c r="H2243" s="26"/>
      <c r="I2243" s="26"/>
      <c r="J2243" s="26"/>
      <c r="K2243" s="26"/>
      <c r="L2243" s="26"/>
      <c r="M2243" s="26"/>
      <c r="N2243" s="26"/>
      <c r="O2243" s="14" t="str">
        <f>HYPERLINK("https://otsuka-europe-crm.veevavault.com/ui/#object/email_activity__v/V8C000000045157", "EN-002103621")</f>
        <v>EN-002103621</v>
      </c>
    </row>
    <row r="2244" spans="1:15" ht="16" x14ac:dyDescent="0.2">
      <c r="A2244" s="26"/>
      <c r="B2244" s="26"/>
      <c r="C2244" s="26"/>
      <c r="D2244" s="26"/>
      <c r="E2244" s="26"/>
      <c r="F2244" s="26"/>
      <c r="G2244" s="26"/>
      <c r="H2244" s="26"/>
      <c r="I2244" s="26"/>
      <c r="J2244" s="26"/>
      <c r="K2244" s="26"/>
      <c r="L2244" s="26"/>
      <c r="M2244" s="26"/>
      <c r="N2244" s="26"/>
      <c r="O2244" s="14" t="str">
        <f>HYPERLINK("https://otsuka-europe-crm.veevavault.com/ui/#object/email_activity__v/V8C000000045333", "EN-002103940")</f>
        <v>EN-002103940</v>
      </c>
    </row>
    <row r="2245" spans="1:15" ht="16" x14ac:dyDescent="0.2">
      <c r="A2245" s="19"/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19"/>
      <c r="N2245" s="19"/>
      <c r="O2245" s="14" t="str">
        <f>HYPERLINK("https://otsuka-europe-crm.veevavault.com/ui/#object/email_activity__v/V8C000000048017", "EN-002104213")</f>
        <v>EN-002104213</v>
      </c>
    </row>
    <row r="2246" spans="1:15" ht="16" x14ac:dyDescent="0.2">
      <c r="A2246" s="18" t="str">
        <f>HYPERLINK("https://otsuka-europe-crm.veevavault.com/ui/#object/account__v/V4TZ06G6O71T8K5", "LUIS ALBERTO SANCHEZ CAMARA")</f>
        <v>LUIS ALBERTO SANCHEZ CAMARA</v>
      </c>
      <c r="B2246" s="18" t="str">
        <f>HYPERLINK("https://otsuka-europe-crm.veevavault.com/ui/#object/vcountry__v/VENZ000004SONF5", "ES")</f>
        <v>ES</v>
      </c>
      <c r="C2246" s="20" t="s">
        <v>39</v>
      </c>
      <c r="D224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46" s="22" t="str">
        <f>HYPERLINK("https://otsuka-europe-crm.veevavault.com/ui/#object/sent_email__v/VBL000000034348", "SE-001442727")</f>
        <v>SE-001442727</v>
      </c>
      <c r="F2246" s="25">
        <v>46213.308356481481</v>
      </c>
      <c r="G2246" s="24">
        <v>1</v>
      </c>
      <c r="H2246" s="24">
        <v>2</v>
      </c>
      <c r="I2246" s="24">
        <v>0</v>
      </c>
      <c r="J2246" s="23"/>
      <c r="K2246" s="24">
        <v>0</v>
      </c>
      <c r="L224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46" s="22" t="str">
        <f>HYPERLINK("mailto:pmartinez@crm.otsuka-europe.com", "pmartinez@crm.otsuka-europe.com")</f>
        <v>pmartinez@crm.otsuka-europe.com</v>
      </c>
      <c r="N2246" s="25">
        <v>46212.371203703704</v>
      </c>
      <c r="O2246" s="14" t="str">
        <f>HYPERLINK("https://otsuka-europe-crm.veevavault.com/ui/#object/email_activity__v/V8C000000044984", "EN-002103448")</f>
        <v>EN-002103448</v>
      </c>
    </row>
    <row r="2247" spans="1:15" ht="16" x14ac:dyDescent="0.2">
      <c r="A2247" s="26"/>
      <c r="B2247" s="26"/>
      <c r="C2247" s="26"/>
      <c r="D2247" s="26"/>
      <c r="E2247" s="26"/>
      <c r="F2247" s="26"/>
      <c r="G2247" s="26"/>
      <c r="H2247" s="26"/>
      <c r="I2247" s="26"/>
      <c r="J2247" s="26"/>
      <c r="K2247" s="26"/>
      <c r="L2247" s="26"/>
      <c r="M2247" s="26"/>
      <c r="N2247" s="26"/>
      <c r="O2247" s="14" t="str">
        <f>HYPERLINK("https://otsuka-europe-crm.veevavault.com/ui/#object/email_activity__v/V8C000000045170", "EN-002103634")</f>
        <v>EN-002103634</v>
      </c>
    </row>
    <row r="2248" spans="1:15" ht="16" x14ac:dyDescent="0.2">
      <c r="A2248" s="19"/>
      <c r="B2248" s="19"/>
      <c r="C2248" s="19"/>
      <c r="D2248" s="19"/>
      <c r="E2248" s="19"/>
      <c r="F2248" s="19"/>
      <c r="G2248" s="19"/>
      <c r="H2248" s="19"/>
      <c r="I2248" s="19"/>
      <c r="J2248" s="19"/>
      <c r="K2248" s="19"/>
      <c r="L2248" s="19"/>
      <c r="M2248" s="19"/>
      <c r="N2248" s="19"/>
      <c r="O2248" s="14" t="str">
        <f>HYPERLINK("https://otsuka-europe-crm.veevavault.com/ui/#object/email_activity__v/V8C000000047037", "EN-002104221")</f>
        <v>EN-002104221</v>
      </c>
    </row>
    <row r="2249" spans="1:15" ht="64" x14ac:dyDescent="0.2">
      <c r="A2249" s="7" t="str">
        <f>HYPERLINK("https://otsuka-europe-crm.veevavault.com/ui/#object/account__v/V4TZ06G6O71TCDU", "MARIA JOSE SOLER ROMEO")</f>
        <v>MARIA JOSE SOLER ROMEO</v>
      </c>
      <c r="B2249" s="7" t="str">
        <f>HYPERLINK("https://otsuka-europe-crm.veevavault.com/ui/#object/vcountry__v/VENZ000004SONF5", "ES")</f>
        <v>ES</v>
      </c>
      <c r="C2249" s="8" t="s">
        <v>39</v>
      </c>
      <c r="D224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49" s="10" t="str">
        <f>HYPERLINK("https://otsuka-europe-crm.veevavault.com/ui/#object/sent_email__v/VBL000000034349", "SE-001442728")</f>
        <v>SE-001442728</v>
      </c>
      <c r="F2249" s="11"/>
      <c r="G2249" s="12">
        <v>0</v>
      </c>
      <c r="H2249" s="12">
        <v>0</v>
      </c>
      <c r="I2249" s="12">
        <v>0</v>
      </c>
      <c r="J2249" s="11"/>
      <c r="K2249" s="12">
        <v>0</v>
      </c>
      <c r="L224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49" s="10" t="str">
        <f>HYPERLINK("mailto:pmartinez@crm.otsuka-europe.com", "pmartinez@crm.otsuka-europe.com")</f>
        <v>pmartinez@crm.otsuka-europe.com</v>
      </c>
      <c r="N2249" s="13">
        <v>46212.371192129627</v>
      </c>
      <c r="O2249" s="14" t="str">
        <f>HYPERLINK("https://otsuka-europe-crm.veevavault.com/ui/#object/email_activity__v/V8C000000045003", "EN-002103467")</f>
        <v>EN-002103467</v>
      </c>
    </row>
    <row r="2250" spans="1:15" ht="16" x14ac:dyDescent="0.2">
      <c r="A2250" s="18" t="str">
        <f>HYPERLINK("https://otsuka-europe-crm.veevavault.com/ui/#object/account__v/V4TZ06G6O71TAZU", "TAMARA GELEM MALEK MARIN")</f>
        <v>TAMARA GELEM MALEK MARIN</v>
      </c>
      <c r="B2250" s="18" t="str">
        <f>HYPERLINK("https://otsuka-europe-crm.veevavault.com/ui/#object/vcountry__v/VENZ000004SONF5", "ES")</f>
        <v>ES</v>
      </c>
      <c r="C2250" s="20" t="s">
        <v>39</v>
      </c>
      <c r="D22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50" s="22" t="str">
        <f>HYPERLINK("https://otsuka-europe-crm.veevavault.com/ui/#object/sent_email__v/VBL000000034350", "SE-001442729")</f>
        <v>SE-001442729</v>
      </c>
      <c r="F2250" s="25">
        <v>46219.790023148147</v>
      </c>
      <c r="G2250" s="24">
        <v>1</v>
      </c>
      <c r="H2250" s="24">
        <v>4</v>
      </c>
      <c r="I2250" s="24">
        <v>0</v>
      </c>
      <c r="J2250" s="23"/>
      <c r="K2250" s="24">
        <v>0</v>
      </c>
      <c r="L22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50" s="22" t="str">
        <f>HYPERLINK("mailto:pmartinez@crm.otsuka-europe.com", "pmartinez@crm.otsuka-europe.com")</f>
        <v>pmartinez@crm.otsuka-europe.com</v>
      </c>
      <c r="N2250" s="25">
        <v>46212.371192129627</v>
      </c>
      <c r="O2250" s="14" t="str">
        <f>HYPERLINK("https://otsuka-europe-crm.veevavault.com/ui/#object/email_activity__v/V8C000000045022", "EN-002103486")</f>
        <v>EN-002103486</v>
      </c>
    </row>
    <row r="2251" spans="1:15" ht="16" x14ac:dyDescent="0.2">
      <c r="A2251" s="26"/>
      <c r="B2251" s="26"/>
      <c r="C2251" s="26"/>
      <c r="D2251" s="26"/>
      <c r="E2251" s="26"/>
      <c r="F2251" s="26"/>
      <c r="G2251" s="26"/>
      <c r="H2251" s="26"/>
      <c r="I2251" s="26"/>
      <c r="J2251" s="26"/>
      <c r="K2251" s="26"/>
      <c r="L2251" s="26"/>
      <c r="M2251" s="26"/>
      <c r="N2251" s="26"/>
      <c r="O2251" s="14" t="str">
        <f>HYPERLINK("https://otsuka-europe-crm.veevavault.com/ui/#object/email_activity__v/V8C000000047377", "EN-002104829")</f>
        <v>EN-002104829</v>
      </c>
    </row>
    <row r="2252" spans="1:15" ht="16" x14ac:dyDescent="0.2">
      <c r="A2252" s="26"/>
      <c r="B2252" s="26"/>
      <c r="C2252" s="26"/>
      <c r="D2252" s="26"/>
      <c r="E2252" s="26"/>
      <c r="F2252" s="26"/>
      <c r="G2252" s="26"/>
      <c r="H2252" s="26"/>
      <c r="I2252" s="26"/>
      <c r="J2252" s="26"/>
      <c r="K2252" s="26"/>
      <c r="L2252" s="26"/>
      <c r="M2252" s="26"/>
      <c r="N2252" s="26"/>
      <c r="O2252" s="14" t="str">
        <f>HYPERLINK("https://otsuka-europe-crm.veevavault.com/ui/#object/email_activity__v/V8C000000047378", "EN-002104830")</f>
        <v>EN-002104830</v>
      </c>
    </row>
    <row r="2253" spans="1:15" ht="16" x14ac:dyDescent="0.2">
      <c r="A2253" s="26"/>
      <c r="B2253" s="26"/>
      <c r="C2253" s="26"/>
      <c r="D2253" s="26"/>
      <c r="E2253" s="26"/>
      <c r="F2253" s="26"/>
      <c r="G2253" s="26"/>
      <c r="H2253" s="26"/>
      <c r="I2253" s="26"/>
      <c r="J2253" s="26"/>
      <c r="K2253" s="26"/>
      <c r="L2253" s="26"/>
      <c r="M2253" s="26"/>
      <c r="N2253" s="26"/>
      <c r="O2253" s="14" t="str">
        <f>HYPERLINK("https://otsuka-europe-crm.veevavault.com/ui/#object/email_activity__v/V8C000000049870", "EN-002106613")</f>
        <v>EN-002106613</v>
      </c>
    </row>
    <row r="2254" spans="1:15" ht="16" x14ac:dyDescent="0.2">
      <c r="A2254" s="19"/>
      <c r="B2254" s="19"/>
      <c r="C2254" s="19"/>
      <c r="D2254" s="19"/>
      <c r="E2254" s="19"/>
      <c r="F2254" s="19"/>
      <c r="G2254" s="19"/>
      <c r="H2254" s="19"/>
      <c r="I2254" s="19"/>
      <c r="J2254" s="19"/>
      <c r="K2254" s="19"/>
      <c r="L2254" s="19"/>
      <c r="M2254" s="19"/>
      <c r="N2254" s="19"/>
      <c r="O2254" s="14" t="str">
        <f>HYPERLINK("https://otsuka-europe-crm.veevavault.com/ui/#object/email_activity__v/V8C00000004B003", "EN-002106732")</f>
        <v>EN-002106732</v>
      </c>
    </row>
    <row r="2255" spans="1:15" ht="64" x14ac:dyDescent="0.2">
      <c r="A2255" s="7" t="str">
        <f>HYPERLINK("https://otsuka-europe-crm.veevavault.com/ui/#object/account__v/V4TZ06G6O71TBOR", "MARIO ALFREDO PRIETO VELASCO")</f>
        <v>MARIO ALFREDO PRIETO VELASCO</v>
      </c>
      <c r="B2255" s="7" t="str">
        <f>HYPERLINK("https://otsuka-europe-crm.veevavault.com/ui/#object/vcountry__v/VENZ000004SONF5", "ES")</f>
        <v>ES</v>
      </c>
      <c r="C2255" s="8" t="s">
        <v>39</v>
      </c>
      <c r="D225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55" s="10" t="str">
        <f>HYPERLINK("https://otsuka-europe-crm.veevavault.com/ui/#object/sent_email__v/VBL000000034351", "SE-001442730")</f>
        <v>SE-001442730</v>
      </c>
      <c r="F2255" s="11"/>
      <c r="G2255" s="12">
        <v>0</v>
      </c>
      <c r="H2255" s="12">
        <v>0</v>
      </c>
      <c r="I2255" s="12">
        <v>0</v>
      </c>
      <c r="J2255" s="11"/>
      <c r="K2255" s="12">
        <v>0</v>
      </c>
      <c r="L225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55" s="10" t="str">
        <f>HYPERLINK("mailto:pmartinez@crm.otsuka-europe.com", "pmartinez@crm.otsuka-europe.com")</f>
        <v>pmartinez@crm.otsuka-europe.com</v>
      </c>
      <c r="N2255" s="13">
        <v>46212.371192129627</v>
      </c>
      <c r="O2255" s="14" t="str">
        <f>HYPERLINK("https://otsuka-europe-crm.veevavault.com/ui/#object/email_activity__v/V8C000000044998", "EN-002103463")</f>
        <v>EN-002103463</v>
      </c>
    </row>
    <row r="2256" spans="1:15" ht="64" x14ac:dyDescent="0.2">
      <c r="A2256" s="7" t="str">
        <f>HYPERLINK("https://otsuka-europe-crm.veevavault.com/ui/#object/account__v/V4TZ06G6O71TCK5", "MARIA ALMUDENA VEGA MARTINEZ")</f>
        <v>MARIA ALMUDENA VEGA MARTINEZ</v>
      </c>
      <c r="B2256" s="7" t="str">
        <f>HYPERLINK("https://otsuka-europe-crm.veevavault.com/ui/#object/vcountry__v/VENZ000004SONF5", "ES")</f>
        <v>ES</v>
      </c>
      <c r="C2256" s="8" t="s">
        <v>39</v>
      </c>
      <c r="D225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56" s="10" t="str">
        <f>HYPERLINK("https://otsuka-europe-crm.veevavault.com/ui/#object/sent_email__v/VBL000000034352", "SE-001442731")</f>
        <v>SE-001442731</v>
      </c>
      <c r="F2256" s="11"/>
      <c r="G2256" s="12">
        <v>0</v>
      </c>
      <c r="H2256" s="12">
        <v>0</v>
      </c>
      <c r="I2256" s="12">
        <v>0</v>
      </c>
      <c r="J2256" s="11"/>
      <c r="K2256" s="12">
        <v>0</v>
      </c>
      <c r="L225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56" s="10" t="str">
        <f>HYPERLINK("mailto:pmartinez@crm.otsuka-europe.com", "pmartinez@crm.otsuka-europe.com")</f>
        <v>pmartinez@crm.otsuka-europe.com</v>
      </c>
      <c r="N2256" s="13">
        <v>46212.371192129627</v>
      </c>
      <c r="O2256" s="14" t="str">
        <f>HYPERLINK("https://otsuka-europe-crm.veevavault.com/ui/#object/email_activity__v/V8C000000044999", "EN-002103464")</f>
        <v>EN-002103464</v>
      </c>
    </row>
    <row r="2257" spans="1:15" ht="16" x14ac:dyDescent="0.2">
      <c r="A2257" s="18" t="str">
        <f>HYPERLINK("https://otsuka-europe-crm.veevavault.com/ui/#object/account__v/V4TZ06G6O71TAHH", "DOMINGO JERONIMO HERNANDEZ MARRERO")</f>
        <v>DOMINGO JERONIMO HERNANDEZ MARRERO</v>
      </c>
      <c r="B2257" s="18" t="str">
        <f>HYPERLINK("https://otsuka-europe-crm.veevavault.com/ui/#object/vcountry__v/VENZ000004SONF5", "ES")</f>
        <v>ES</v>
      </c>
      <c r="C2257" s="20" t="s">
        <v>39</v>
      </c>
      <c r="D225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57" s="22" t="str">
        <f>HYPERLINK("https://otsuka-europe-crm.veevavault.com/ui/#object/sent_email__v/VBL000000034353", "SE-001442732")</f>
        <v>SE-001442732</v>
      </c>
      <c r="F2257" s="25">
        <v>46212.401608796295</v>
      </c>
      <c r="G2257" s="24">
        <v>1</v>
      </c>
      <c r="H2257" s="24">
        <v>1</v>
      </c>
      <c r="I2257" s="24">
        <v>0</v>
      </c>
      <c r="J2257" s="23"/>
      <c r="K2257" s="24">
        <v>0</v>
      </c>
      <c r="L225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57" s="22" t="str">
        <f>HYPERLINK("mailto:pmartinez@crm.otsuka-europe.com", "pmartinez@crm.otsuka-europe.com")</f>
        <v>pmartinez@crm.otsuka-europe.com</v>
      </c>
      <c r="N2257" s="25">
        <v>46212.371249999997</v>
      </c>
      <c r="O2257" s="14" t="str">
        <f>HYPERLINK("https://otsuka-europe-crm.veevavault.com/ui/#object/email_activity__v/V8C000000043978", "EN-002103768")</f>
        <v>EN-002103768</v>
      </c>
    </row>
    <row r="2258" spans="1:15" ht="16" x14ac:dyDescent="0.2">
      <c r="A2258" s="26"/>
      <c r="B2258" s="26"/>
      <c r="C2258" s="26"/>
      <c r="D2258" s="26"/>
      <c r="E2258" s="26"/>
      <c r="F2258" s="26"/>
      <c r="G2258" s="26"/>
      <c r="H2258" s="26"/>
      <c r="I2258" s="26"/>
      <c r="J2258" s="26"/>
      <c r="K2258" s="26"/>
      <c r="L2258" s="26"/>
      <c r="M2258" s="26"/>
      <c r="N2258" s="26"/>
      <c r="O2258" s="14" t="str">
        <f>HYPERLINK("https://otsuka-europe-crm.veevavault.com/ui/#object/email_activity__v/V8C000000045068", "EN-002103532")</f>
        <v>EN-002103532</v>
      </c>
    </row>
    <row r="2259" spans="1:15" ht="16" x14ac:dyDescent="0.2">
      <c r="A2259" s="19"/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19"/>
      <c r="N2259" s="19"/>
      <c r="O2259" s="14" t="str">
        <f>HYPERLINK("https://otsuka-europe-crm.veevavault.com/ui/#object/email_activity__v/V8C000000047025", "EN-002104196")</f>
        <v>EN-002104196</v>
      </c>
    </row>
    <row r="2260" spans="1:15" ht="16" x14ac:dyDescent="0.2">
      <c r="A2260" s="18" t="str">
        <f>HYPERLINK("https://otsuka-europe-crm.veevavault.com/ui/#object/account__v/V4TZ06G6O71TBT8", "CARMEN RAMOS TOMAS")</f>
        <v>CARMEN RAMOS TOMAS</v>
      </c>
      <c r="B2260" s="18" t="str">
        <f>HYPERLINK("https://otsuka-europe-crm.veevavault.com/ui/#object/vcountry__v/VENZ000004SONF5", "ES")</f>
        <v>ES</v>
      </c>
      <c r="C2260" s="20" t="s">
        <v>39</v>
      </c>
      <c r="D226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60" s="22" t="str">
        <f>HYPERLINK("https://otsuka-europe-crm.veevavault.com/ui/#object/sent_email__v/VBL000000034354", "SE-001442733")</f>
        <v>SE-001442733</v>
      </c>
      <c r="F2260" s="25">
        <v>46214.674537037034</v>
      </c>
      <c r="G2260" s="24">
        <v>1</v>
      </c>
      <c r="H2260" s="24">
        <v>1</v>
      </c>
      <c r="I2260" s="24">
        <v>0</v>
      </c>
      <c r="J2260" s="23"/>
      <c r="K2260" s="24">
        <v>0</v>
      </c>
      <c r="L226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60" s="22" t="str">
        <f>HYPERLINK("mailto:pmartinez@crm.otsuka-europe.com", "pmartinez@crm.otsuka-europe.com")</f>
        <v>pmartinez@crm.otsuka-europe.com</v>
      </c>
      <c r="N2260" s="25">
        <v>46212.37128472222</v>
      </c>
      <c r="O2260" s="14" t="str">
        <f>HYPERLINK("https://otsuka-europe-crm.veevavault.com/ui/#object/email_activity__v/V8C000000045127", "EN-002103591")</f>
        <v>EN-002103591</v>
      </c>
    </row>
    <row r="2261" spans="1:15" ht="16" x14ac:dyDescent="0.2">
      <c r="A2261" s="19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/>
      <c r="L2261" s="19"/>
      <c r="M2261" s="19"/>
      <c r="N2261" s="19"/>
      <c r="O2261" s="14" t="str">
        <f>HYPERLINK("https://otsuka-europe-crm.veevavault.com/ui/#object/email_activity__v/V8C00000004A026", "EN-002104918")</f>
        <v>EN-002104918</v>
      </c>
    </row>
    <row r="2262" spans="1:15" ht="16" x14ac:dyDescent="0.2">
      <c r="A2262" s="18" t="str">
        <f>HYPERLINK("https://otsuka-europe-crm.veevavault.com/ui/#object/account__v/V4TZ06G6O71T7K1", "ALTAGRACIA ELISA BELLO OVALLES")</f>
        <v>ALTAGRACIA ELISA BELLO OVALLES</v>
      </c>
      <c r="B2262" s="18" t="str">
        <f>HYPERLINK("https://otsuka-europe-crm.veevavault.com/ui/#object/vcountry__v/VENZ000004SONF5", "ES")</f>
        <v>ES</v>
      </c>
      <c r="C2262" s="20" t="s">
        <v>39</v>
      </c>
      <c r="D226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62" s="22" t="str">
        <f>HYPERLINK("https://otsuka-europe-crm.veevavault.com/ui/#object/sent_email__v/VBL000000034355", "SE-001442734")</f>
        <v>SE-001442734</v>
      </c>
      <c r="F2262" s="25">
        <v>46212.948784722219</v>
      </c>
      <c r="G2262" s="24">
        <v>1</v>
      </c>
      <c r="H2262" s="24">
        <v>1</v>
      </c>
      <c r="I2262" s="24">
        <v>0</v>
      </c>
      <c r="J2262" s="23"/>
      <c r="K2262" s="24">
        <v>0</v>
      </c>
      <c r="L226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62" s="22" t="str">
        <f>HYPERLINK("mailto:pmartinez@crm.otsuka-europe.com", "pmartinez@crm.otsuka-europe.com")</f>
        <v>pmartinez@crm.otsuka-europe.com</v>
      </c>
      <c r="N2262" s="25">
        <v>46212.37128472222</v>
      </c>
      <c r="O2262" s="14" t="str">
        <f>HYPERLINK("https://otsuka-europe-crm.veevavault.com/ui/#object/email_activity__v/V8C000000045125", "EN-002103589")</f>
        <v>EN-002103589</v>
      </c>
    </row>
    <row r="2263" spans="1:15" ht="16" x14ac:dyDescent="0.2">
      <c r="A2263" s="19"/>
      <c r="B2263" s="19"/>
      <c r="C2263" s="19"/>
      <c r="D2263" s="19"/>
      <c r="E2263" s="19"/>
      <c r="F2263" s="19"/>
      <c r="G2263" s="19"/>
      <c r="H2263" s="19"/>
      <c r="I2263" s="19"/>
      <c r="J2263" s="19"/>
      <c r="K2263" s="19"/>
      <c r="L2263" s="19"/>
      <c r="M2263" s="19"/>
      <c r="N2263" s="19"/>
      <c r="O2263" s="14" t="str">
        <f>HYPERLINK("https://otsuka-europe-crm.veevavault.com/ui/#object/email_activity__v/V8C000000048008", "EN-002104186")</f>
        <v>EN-002104186</v>
      </c>
    </row>
    <row r="2264" spans="1:15" ht="64" x14ac:dyDescent="0.2">
      <c r="A2264" s="7" t="str">
        <f>HYPERLINK("https://otsuka-europe-crm.veevavault.com/ui/#object/account__v/V4TZ06G6O71TAX1", "JUAN ANTONIO MARTIN NAVARRO")</f>
        <v>JUAN ANTONIO MARTIN NAVARRO</v>
      </c>
      <c r="B2264" s="7" t="str">
        <f>HYPERLINK("https://otsuka-europe-crm.veevavault.com/ui/#object/vcountry__v/VENZ000004SONF5", "ES")</f>
        <v>ES</v>
      </c>
      <c r="C2264" s="8" t="s">
        <v>39</v>
      </c>
      <c r="D226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64" s="10" t="str">
        <f>HYPERLINK("https://otsuka-europe-crm.veevavault.com/ui/#object/sent_email__v/VBL000000034356", "SE-001442735")</f>
        <v>SE-001442735</v>
      </c>
      <c r="F2264" s="11"/>
      <c r="G2264" s="12">
        <v>0</v>
      </c>
      <c r="H2264" s="12">
        <v>0</v>
      </c>
      <c r="I2264" s="12">
        <v>0</v>
      </c>
      <c r="J2264" s="11"/>
      <c r="K2264" s="12">
        <v>0</v>
      </c>
      <c r="L226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64" s="10" t="str">
        <f>HYPERLINK("mailto:pmartinez@crm.otsuka-europe.com", "pmartinez@crm.otsuka-europe.com")</f>
        <v>pmartinez@crm.otsuka-europe.com</v>
      </c>
      <c r="N2264" s="13">
        <v>46212.371249999997</v>
      </c>
      <c r="O2264" s="14" t="str">
        <f>HYPERLINK("https://otsuka-europe-crm.veevavault.com/ui/#object/email_activity__v/V8C000000045113", "EN-002103577")</f>
        <v>EN-002103577</v>
      </c>
    </row>
    <row r="2265" spans="1:15" ht="16" x14ac:dyDescent="0.2">
      <c r="A2265" s="18" t="str">
        <f>HYPERLINK("https://otsuka-europe-crm.veevavault.com/ui/#object/account__v/V4TZ06G6O71T98Z", "GUILLERMINA BARRIL CUADRADO")</f>
        <v>GUILLERMINA BARRIL CUADRADO</v>
      </c>
      <c r="B2265" s="18" t="str">
        <f>HYPERLINK("https://otsuka-europe-crm.veevavault.com/ui/#object/vcountry__v/VENZ000004SONF5", "ES")</f>
        <v>ES</v>
      </c>
      <c r="C2265" s="20" t="s">
        <v>39</v>
      </c>
      <c r="D226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65" s="22" t="str">
        <f>HYPERLINK("https://otsuka-europe-crm.veevavault.com/ui/#object/sent_email__v/VBL000000034357", "SE-001442736")</f>
        <v>SE-001442736</v>
      </c>
      <c r="F2265" s="23"/>
      <c r="G2265" s="24">
        <v>0</v>
      </c>
      <c r="H2265" s="24">
        <v>0</v>
      </c>
      <c r="I2265" s="24">
        <v>0</v>
      </c>
      <c r="J2265" s="23"/>
      <c r="K2265" s="24">
        <v>0</v>
      </c>
      <c r="L226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65" s="22" t="str">
        <f>HYPERLINK("mailto:pmartinez@crm.otsuka-europe.com", "pmartinez@crm.otsuka-europe.com")</f>
        <v>pmartinez@crm.otsuka-europe.com</v>
      </c>
      <c r="N2265" s="25">
        <v>46212.371249999997</v>
      </c>
      <c r="O2265" s="14" t="str">
        <f>HYPERLINK("https://otsuka-europe-crm.veevavault.com/ui/#object/email_activity__v/V8C000000045084", "EN-002103548")</f>
        <v>EN-002103548</v>
      </c>
    </row>
    <row r="2266" spans="1:15" ht="16" x14ac:dyDescent="0.2">
      <c r="A2266" s="19"/>
      <c r="B2266" s="19"/>
      <c r="C2266" s="19"/>
      <c r="D2266" s="19"/>
      <c r="E2266" s="19"/>
      <c r="F2266" s="19"/>
      <c r="G2266" s="19"/>
      <c r="H2266" s="19"/>
      <c r="I2266" s="19"/>
      <c r="J2266" s="19"/>
      <c r="K2266" s="19"/>
      <c r="L2266" s="19"/>
      <c r="M2266" s="19"/>
      <c r="N2266" s="19"/>
      <c r="O2266" s="14" t="str">
        <f>HYPERLINK("https://otsuka-europe-crm.veevavault.com/ui/#object/email_activity__v/V8C000000047049", "EN-002104240")</f>
        <v>EN-002104240</v>
      </c>
    </row>
    <row r="2267" spans="1:15" ht="16" x14ac:dyDescent="0.2">
      <c r="A2267" s="18" t="str">
        <f>HYPERLINK("https://otsuka-europe-crm.veevavault.com/ui/#object/account__v/V4TZ06G6O71TABJ", "FERNANDO GIL CATALINAS")</f>
        <v>FERNANDO GIL CATALINAS</v>
      </c>
      <c r="B2267" s="18" t="str">
        <f>HYPERLINK("https://otsuka-europe-crm.veevavault.com/ui/#object/vcountry__v/VENZ000004SONF5", "ES")</f>
        <v>ES</v>
      </c>
      <c r="C2267" s="20" t="s">
        <v>39</v>
      </c>
      <c r="D226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67" s="22" t="str">
        <f>HYPERLINK("https://otsuka-europe-crm.veevavault.com/ui/#object/sent_email__v/VBL000000034358", "SE-001442737")</f>
        <v>SE-001442737</v>
      </c>
      <c r="F2267" s="23"/>
      <c r="G2267" s="24">
        <v>0</v>
      </c>
      <c r="H2267" s="24">
        <v>0</v>
      </c>
      <c r="I2267" s="24">
        <v>0</v>
      </c>
      <c r="J2267" s="23"/>
      <c r="K2267" s="24">
        <v>0</v>
      </c>
      <c r="L226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67" s="22" t="str">
        <f>HYPERLINK("mailto:pmartinez@crm.otsuka-europe.com", "pmartinez@crm.otsuka-europe.com")</f>
        <v>pmartinez@crm.otsuka-europe.com</v>
      </c>
      <c r="N2267" s="25">
        <v>46212.371319444443</v>
      </c>
      <c r="O2267" s="14" t="str">
        <f>HYPERLINK("https://otsuka-europe-crm.veevavault.com/ui/#object/email_activity__v/V8C000000043982", "EN-002103777")</f>
        <v>EN-002103777</v>
      </c>
    </row>
    <row r="2268" spans="1:15" ht="16" x14ac:dyDescent="0.2">
      <c r="A2268" s="19"/>
      <c r="B2268" s="19"/>
      <c r="C2268" s="19"/>
      <c r="D2268" s="19"/>
      <c r="E2268" s="19"/>
      <c r="F2268" s="19"/>
      <c r="G2268" s="19"/>
      <c r="H2268" s="19"/>
      <c r="I2268" s="19"/>
      <c r="J2268" s="19"/>
      <c r="K2268" s="19"/>
      <c r="L2268" s="19"/>
      <c r="M2268" s="19"/>
      <c r="N2268" s="19"/>
      <c r="O2268" s="14" t="str">
        <f>HYPERLINK("https://otsuka-europe-crm.veevavault.com/ui/#object/email_activity__v/V8C000000045142", "EN-002103606")</f>
        <v>EN-002103606</v>
      </c>
    </row>
    <row r="2269" spans="1:15" ht="16" x14ac:dyDescent="0.2">
      <c r="A2269" s="18" t="str">
        <f>HYPERLINK("https://otsuka-europe-crm.veevavault.com/ui/#object/account__v/V4TZ06G6O71T9SU", "MARIA DOLORES DEL PINO Y PINO")</f>
        <v>MARIA DOLORES DEL PINO Y PINO</v>
      </c>
      <c r="B2269" s="18" t="str">
        <f>HYPERLINK("https://otsuka-europe-crm.veevavault.com/ui/#object/vcountry__v/VENZ000004SONF5", "ES")</f>
        <v>ES</v>
      </c>
      <c r="C2269" s="20" t="s">
        <v>39</v>
      </c>
      <c r="D226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69" s="22" t="str">
        <f>HYPERLINK("https://otsuka-europe-crm.veevavault.com/ui/#object/sent_email__v/VBL000000034359", "SE-001442738")</f>
        <v>SE-001442738</v>
      </c>
      <c r="F2269" s="25">
        <v>46212.380891203706</v>
      </c>
      <c r="G2269" s="24">
        <v>1</v>
      </c>
      <c r="H2269" s="24">
        <v>1</v>
      </c>
      <c r="I2269" s="24">
        <v>0</v>
      </c>
      <c r="J2269" s="23"/>
      <c r="K2269" s="24">
        <v>0</v>
      </c>
      <c r="L226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69" s="22" t="str">
        <f>HYPERLINK("mailto:pmartinez@crm.otsuka-europe.com", "pmartinez@crm.otsuka-europe.com")</f>
        <v>pmartinez@crm.otsuka-europe.com</v>
      </c>
      <c r="N2269" s="25">
        <v>46212.371249999997</v>
      </c>
      <c r="O2269" s="14" t="str">
        <f>HYPERLINK("https://otsuka-europe-crm.veevavault.com/ui/#object/email_activity__v/V8C000000043913", "EN-002103676")</f>
        <v>EN-002103676</v>
      </c>
    </row>
    <row r="2270" spans="1:15" ht="16" x14ac:dyDescent="0.2">
      <c r="A2270" s="19"/>
      <c r="B2270" s="19"/>
      <c r="C2270" s="19"/>
      <c r="D2270" s="19"/>
      <c r="E2270" s="19"/>
      <c r="F2270" s="19"/>
      <c r="G2270" s="19"/>
      <c r="H2270" s="19"/>
      <c r="I2270" s="19"/>
      <c r="J2270" s="19"/>
      <c r="K2270" s="19"/>
      <c r="L2270" s="19"/>
      <c r="M2270" s="19"/>
      <c r="N2270" s="19"/>
      <c r="O2270" s="14" t="str">
        <f>HYPERLINK("https://otsuka-europe-crm.veevavault.com/ui/#object/email_activity__v/V8C000000045016", "EN-002103480")</f>
        <v>EN-002103480</v>
      </c>
    </row>
    <row r="2271" spans="1:15" ht="16" x14ac:dyDescent="0.2">
      <c r="A2271" s="18" t="str">
        <f>HYPERLINK("https://otsuka-europe-crm.veevavault.com/ui/#object/account__v/V4TZ06G6O71T8FL", "ALICIA MOLINA ANDUJAR")</f>
        <v>ALICIA MOLINA ANDUJAR</v>
      </c>
      <c r="B2271" s="18" t="str">
        <f>HYPERLINK("https://otsuka-europe-crm.veevavault.com/ui/#object/vcountry__v/VENZ000004SONF5", "ES")</f>
        <v>ES</v>
      </c>
      <c r="C2271" s="20" t="s">
        <v>39</v>
      </c>
      <c r="D227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71" s="22" t="str">
        <f>HYPERLINK("https://otsuka-europe-crm.veevavault.com/ui/#object/sent_email__v/VBL000000034360", "SE-001442739")</f>
        <v>SE-001442739</v>
      </c>
      <c r="F2271" s="25">
        <v>46212.724861111114</v>
      </c>
      <c r="G2271" s="24">
        <v>1</v>
      </c>
      <c r="H2271" s="24">
        <v>1</v>
      </c>
      <c r="I2271" s="24">
        <v>0</v>
      </c>
      <c r="J2271" s="23"/>
      <c r="K2271" s="24">
        <v>0</v>
      </c>
      <c r="L227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71" s="22" t="str">
        <f>HYPERLINK("mailto:pmartinez@crm.otsuka-europe.com", "pmartinez@crm.otsuka-europe.com")</f>
        <v>pmartinez@crm.otsuka-europe.com</v>
      </c>
      <c r="N2271" s="25">
        <v>46212.37128472222</v>
      </c>
      <c r="O2271" s="14" t="str">
        <f>HYPERLINK("https://otsuka-europe-crm.veevavault.com/ui/#object/email_activity__v/V8C000000045122", "EN-002103586")</f>
        <v>EN-002103586</v>
      </c>
    </row>
    <row r="2272" spans="1:15" ht="16" x14ac:dyDescent="0.2">
      <c r="A2272" s="19"/>
      <c r="B2272" s="19"/>
      <c r="C2272" s="19"/>
      <c r="D2272" s="19"/>
      <c r="E2272" s="19"/>
      <c r="F2272" s="19"/>
      <c r="G2272" s="19"/>
      <c r="H2272" s="19"/>
      <c r="I2272" s="19"/>
      <c r="J2272" s="19"/>
      <c r="K2272" s="19"/>
      <c r="L2272" s="19"/>
      <c r="M2272" s="19"/>
      <c r="N2272" s="19"/>
      <c r="O2272" s="14" t="str">
        <f>HYPERLINK("https://otsuka-europe-crm.veevavault.com/ui/#object/email_activity__v/V8C000000045400", "EN-002104140")</f>
        <v>EN-002104140</v>
      </c>
    </row>
    <row r="2273" spans="1:15" ht="16" x14ac:dyDescent="0.2">
      <c r="A2273" s="18" t="str">
        <f>HYPERLINK("https://otsuka-europe-crm.veevavault.com/ui/#object/account__v/V4TZ06G6O71T7C8", "CRISTHIAN DAVID ORELLANA CHAVEZ")</f>
        <v>CRISTHIAN DAVID ORELLANA CHAVEZ</v>
      </c>
      <c r="B2273" s="18" t="str">
        <f>HYPERLINK("https://otsuka-europe-crm.veevavault.com/ui/#object/vcountry__v/VENZ000004SONF5", "ES")</f>
        <v>ES</v>
      </c>
      <c r="C2273" s="20" t="s">
        <v>39</v>
      </c>
      <c r="D227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73" s="22" t="str">
        <f>HYPERLINK("https://otsuka-europe-crm.veevavault.com/ui/#object/sent_email__v/VBL000000034361", "SE-001442740")</f>
        <v>SE-001442740</v>
      </c>
      <c r="F2273" s="23"/>
      <c r="G2273" s="24">
        <v>0</v>
      </c>
      <c r="H2273" s="24">
        <v>0</v>
      </c>
      <c r="I2273" s="24">
        <v>0</v>
      </c>
      <c r="J2273" s="23"/>
      <c r="K2273" s="24">
        <v>0</v>
      </c>
      <c r="L227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73" s="22" t="str">
        <f>HYPERLINK("mailto:pmartinez@crm.otsuka-europe.com", "pmartinez@crm.otsuka-europe.com")</f>
        <v>pmartinez@crm.otsuka-europe.com</v>
      </c>
      <c r="N2273" s="25">
        <v>46212.371249999997</v>
      </c>
      <c r="O2273" s="14" t="str">
        <f>HYPERLINK("https://otsuka-europe-crm.veevavault.com/ui/#object/email_activity__v/V8C000000045067", "EN-002103531")</f>
        <v>EN-002103531</v>
      </c>
    </row>
    <row r="2274" spans="1:15" ht="16" x14ac:dyDescent="0.2">
      <c r="A2274" s="19"/>
      <c r="B2274" s="19"/>
      <c r="C2274" s="19"/>
      <c r="D2274" s="19"/>
      <c r="E2274" s="19"/>
      <c r="F2274" s="19"/>
      <c r="G2274" s="19"/>
      <c r="H2274" s="19"/>
      <c r="I2274" s="19"/>
      <c r="J2274" s="19"/>
      <c r="K2274" s="19"/>
      <c r="L2274" s="19"/>
      <c r="M2274" s="19"/>
      <c r="N2274" s="19"/>
      <c r="O2274" s="14" t="str">
        <f>HYPERLINK("https://otsuka-europe-crm.veevavault.com/ui/#object/email_activity__v/V8C000000048291", "EN-002104832")</f>
        <v>EN-002104832</v>
      </c>
    </row>
    <row r="2275" spans="1:15" ht="16" x14ac:dyDescent="0.2">
      <c r="A2275" s="18" t="str">
        <f>HYPERLINK("https://otsuka-europe-crm.veevavault.com/ui/#object/account__v/V4TZ06G6O71TCF3", "MARIA MILAGROS SIERRA CARPIO")</f>
        <v>MARIA MILAGROS SIERRA CARPIO</v>
      </c>
      <c r="B2275" s="18" t="str">
        <f>HYPERLINK("https://otsuka-europe-crm.veevavault.com/ui/#object/vcountry__v/VENZ000004SONF5", "ES")</f>
        <v>ES</v>
      </c>
      <c r="C2275" s="20" t="s">
        <v>39</v>
      </c>
      <c r="D22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75" s="22" t="str">
        <f>HYPERLINK("https://otsuka-europe-crm.veevavault.com/ui/#object/sent_email__v/VBL000000034362", "SE-001442741")</f>
        <v>SE-001442741</v>
      </c>
      <c r="F2275" s="25">
        <v>46212.401493055557</v>
      </c>
      <c r="G2275" s="24">
        <v>1</v>
      </c>
      <c r="H2275" s="24">
        <v>1</v>
      </c>
      <c r="I2275" s="24">
        <v>0</v>
      </c>
      <c r="J2275" s="23"/>
      <c r="K2275" s="24">
        <v>0</v>
      </c>
      <c r="L22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75" s="22" t="str">
        <f>HYPERLINK("mailto:pmartinez@crm.otsuka-europe.com", "pmartinez@crm.otsuka-europe.com")</f>
        <v>pmartinez@crm.otsuka-europe.com</v>
      </c>
      <c r="N2275" s="25">
        <v>46212.371249999997</v>
      </c>
      <c r="O2275" s="14" t="str">
        <f>HYPERLINK("https://otsuka-europe-crm.veevavault.com/ui/#object/email_activity__v/V8C000000043977", "EN-002103767")</f>
        <v>EN-002103767</v>
      </c>
    </row>
    <row r="2276" spans="1:15" ht="16" x14ac:dyDescent="0.2">
      <c r="A2276" s="26"/>
      <c r="B2276" s="26"/>
      <c r="C2276" s="26"/>
      <c r="D2276" s="26"/>
      <c r="E2276" s="26"/>
      <c r="F2276" s="26"/>
      <c r="G2276" s="26"/>
      <c r="H2276" s="26"/>
      <c r="I2276" s="26"/>
      <c r="J2276" s="26"/>
      <c r="K2276" s="26"/>
      <c r="L2276" s="26"/>
      <c r="M2276" s="26"/>
      <c r="N2276" s="26"/>
      <c r="O2276" s="14" t="str">
        <f>HYPERLINK("https://otsuka-europe-crm.veevavault.com/ui/#object/email_activity__v/V8C000000045094", "EN-002103558")</f>
        <v>EN-002103558</v>
      </c>
    </row>
    <row r="2277" spans="1:15" ht="16" x14ac:dyDescent="0.2">
      <c r="A2277" s="19"/>
      <c r="B2277" s="19"/>
      <c r="C2277" s="19"/>
      <c r="D2277" s="19"/>
      <c r="E2277" s="19"/>
      <c r="F2277" s="19"/>
      <c r="G2277" s="19"/>
      <c r="H2277" s="19"/>
      <c r="I2277" s="19"/>
      <c r="J2277" s="19"/>
      <c r="K2277" s="19"/>
      <c r="L2277" s="19"/>
      <c r="M2277" s="19"/>
      <c r="N2277" s="19"/>
      <c r="O2277" s="14" t="str">
        <f>HYPERLINK("https://otsuka-europe-crm.veevavault.com/ui/#object/email_activity__v/V8C000000047336", "EN-002104741")</f>
        <v>EN-002104741</v>
      </c>
    </row>
    <row r="2278" spans="1:15" ht="16" x14ac:dyDescent="0.2">
      <c r="A2278" s="18" t="str">
        <f>HYPERLINK("https://otsuka-europe-crm.veevavault.com/ui/#object/account__v/V4TZ06G6O71TB1O", "MARIA ADORACION MARTIN GOMEZ")</f>
        <v>MARIA ADORACION MARTIN GOMEZ</v>
      </c>
      <c r="B2278" s="18" t="str">
        <f>HYPERLINK("https://otsuka-europe-crm.veevavault.com/ui/#object/vcountry__v/VENZ000004SONF5", "ES")</f>
        <v>ES</v>
      </c>
      <c r="C2278" s="20" t="s">
        <v>39</v>
      </c>
      <c r="D227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78" s="22" t="str">
        <f>HYPERLINK("https://otsuka-europe-crm.veevavault.com/ui/#object/sent_email__v/VBL000000034363", "SE-001442742")</f>
        <v>SE-001442742</v>
      </c>
      <c r="F2278" s="25">
        <v>46212.371400462966</v>
      </c>
      <c r="G2278" s="24">
        <v>1</v>
      </c>
      <c r="H2278" s="24">
        <v>1</v>
      </c>
      <c r="I2278" s="24">
        <v>0</v>
      </c>
      <c r="J2278" s="23"/>
      <c r="K2278" s="24">
        <v>0</v>
      </c>
      <c r="L227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78" s="22" t="str">
        <f>HYPERLINK("mailto:pmartinez@crm.otsuka-europe.com", "pmartinez@crm.otsuka-europe.com")</f>
        <v>pmartinez@crm.otsuka-europe.com</v>
      </c>
      <c r="N2278" s="25">
        <v>46212.371249999997</v>
      </c>
      <c r="O2278" s="14" t="str">
        <f>HYPERLINK("https://otsuka-europe-crm.veevavault.com/ui/#object/email_activity__v/V8C000000045017", "EN-002103481")</f>
        <v>EN-002103481</v>
      </c>
    </row>
    <row r="2279" spans="1:15" ht="16" x14ac:dyDescent="0.2">
      <c r="A2279" s="19"/>
      <c r="B2279" s="19"/>
      <c r="C2279" s="19"/>
      <c r="D2279" s="19"/>
      <c r="E2279" s="19"/>
      <c r="F2279" s="19"/>
      <c r="G2279" s="19"/>
      <c r="H2279" s="19"/>
      <c r="I2279" s="19"/>
      <c r="J2279" s="19"/>
      <c r="K2279" s="19"/>
      <c r="L2279" s="19"/>
      <c r="M2279" s="19"/>
      <c r="N2279" s="19"/>
      <c r="O2279" s="14" t="str">
        <f>HYPERLINK("https://otsuka-europe-crm.veevavault.com/ui/#object/email_activity__v/V8C000000045104", "EN-002103568")</f>
        <v>EN-002103568</v>
      </c>
    </row>
    <row r="2280" spans="1:15" ht="16" x14ac:dyDescent="0.2">
      <c r="A2280" s="18" t="str">
        <f>HYPERLINK("https://otsuka-europe-crm.veevavault.com/ui/#object/account__v/V4TZ06G6O71T8BJ", "IDOIA ACOSTA HERNANDEZ")</f>
        <v>IDOIA ACOSTA HERNANDEZ</v>
      </c>
      <c r="B2280" s="18" t="str">
        <f>HYPERLINK("https://otsuka-europe-crm.veevavault.com/ui/#object/vcountry__v/VENZ000004SONF5", "ES")</f>
        <v>ES</v>
      </c>
      <c r="C2280" s="20" t="s">
        <v>39</v>
      </c>
      <c r="D228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80" s="22" t="str">
        <f>HYPERLINK("https://otsuka-europe-crm.veevavault.com/ui/#object/sent_email__v/VBL000000034364", "SE-001442743")</f>
        <v>SE-001442743</v>
      </c>
      <c r="F2280" s="25">
        <v>46212.905162037037</v>
      </c>
      <c r="G2280" s="24">
        <v>1</v>
      </c>
      <c r="H2280" s="24">
        <v>2</v>
      </c>
      <c r="I2280" s="24">
        <v>0</v>
      </c>
      <c r="J2280" s="23"/>
      <c r="K2280" s="24">
        <v>0</v>
      </c>
      <c r="L228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80" s="22" t="str">
        <f>HYPERLINK("mailto:pmartinez@crm.otsuka-europe.com", "pmartinez@crm.otsuka-europe.com")</f>
        <v>pmartinez@crm.otsuka-europe.com</v>
      </c>
      <c r="N2280" s="25">
        <v>46212.371249999997</v>
      </c>
      <c r="O2280" s="14" t="str">
        <f>HYPERLINK("https://otsuka-europe-crm.veevavault.com/ui/#object/email_activity__v/V8C000000043916", "EN-002103680")</f>
        <v>EN-002103680</v>
      </c>
    </row>
    <row r="2281" spans="1:15" ht="16" x14ac:dyDescent="0.2">
      <c r="A2281" s="26"/>
      <c r="B2281" s="26"/>
      <c r="C2281" s="26"/>
      <c r="D2281" s="26"/>
      <c r="E2281" s="26"/>
      <c r="F2281" s="26"/>
      <c r="G2281" s="26"/>
      <c r="H2281" s="26"/>
      <c r="I2281" s="26"/>
      <c r="J2281" s="26"/>
      <c r="K2281" s="26"/>
      <c r="L2281" s="26"/>
      <c r="M2281" s="26"/>
      <c r="N2281" s="26"/>
      <c r="O2281" s="14" t="str">
        <f>HYPERLINK("https://otsuka-europe-crm.veevavault.com/ui/#object/email_activity__v/V8C000000045074", "EN-002103538")</f>
        <v>EN-002103538</v>
      </c>
    </row>
    <row r="2282" spans="1:15" ht="16" x14ac:dyDescent="0.2">
      <c r="A2282" s="19"/>
      <c r="B2282" s="19"/>
      <c r="C2282" s="19"/>
      <c r="D2282" s="19"/>
      <c r="E2282" s="19"/>
      <c r="F2282" s="19"/>
      <c r="G2282" s="19"/>
      <c r="H2282" s="19"/>
      <c r="I2282" s="19"/>
      <c r="J2282" s="19"/>
      <c r="K2282" s="19"/>
      <c r="L2282" s="19"/>
      <c r="M2282" s="19"/>
      <c r="N2282" s="19"/>
      <c r="O2282" s="14" t="str">
        <f>HYPERLINK("https://otsuka-europe-crm.veevavault.com/ui/#object/email_activity__v/V8C000000047011", "EN-002104176")</f>
        <v>EN-002104176</v>
      </c>
    </row>
    <row r="2283" spans="1:15" ht="64" x14ac:dyDescent="0.2">
      <c r="A2283" s="7" t="str">
        <f>HYPERLINK("https://otsuka-europe-crm.veevavault.com/ui/#object/account__v/V4TZ025E82F095K", "JOSE IGNACIO MINGUELA PESQUERA")</f>
        <v>JOSE IGNACIO MINGUELA PESQUERA</v>
      </c>
      <c r="B2283" s="7" t="str">
        <f>HYPERLINK("https://otsuka-europe-crm.veevavault.com/ui/#object/vcountry__v/VENZ000004SONF5", "ES")</f>
        <v>ES</v>
      </c>
      <c r="C2283" s="8" t="s">
        <v>39</v>
      </c>
      <c r="D228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83" s="10" t="str">
        <f>HYPERLINK("https://otsuka-europe-crm.veevavault.com/ui/#object/sent_email__v/VBL000000034365", "SE-001442744")</f>
        <v>SE-001442744</v>
      </c>
      <c r="F2283" s="11"/>
      <c r="G2283" s="12">
        <v>0</v>
      </c>
      <c r="H2283" s="12">
        <v>0</v>
      </c>
      <c r="I2283" s="12">
        <v>0</v>
      </c>
      <c r="J2283" s="11"/>
      <c r="K2283" s="12">
        <v>0</v>
      </c>
      <c r="L228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83" s="10" t="str">
        <f>HYPERLINK("mailto:pmartinez@crm.otsuka-europe.com", "pmartinez@crm.otsuka-europe.com")</f>
        <v>pmartinez@crm.otsuka-europe.com</v>
      </c>
      <c r="N2283" s="13">
        <v>46212.371249999997</v>
      </c>
      <c r="O2283" s="14" t="str">
        <f>HYPERLINK("https://otsuka-europe-crm.veevavault.com/ui/#object/email_activity__v/V8C000000045063", "EN-002103527")</f>
        <v>EN-002103527</v>
      </c>
    </row>
    <row r="2284" spans="1:15" ht="16" x14ac:dyDescent="0.2">
      <c r="A2284" s="18" t="str">
        <f>HYPERLINK("https://otsuka-europe-crm.veevavault.com/ui/#object/account__v/V4TZ025E85EOAQ9", "JOSE ENRIQUE PASACHE CHONG")</f>
        <v>JOSE ENRIQUE PASACHE CHONG</v>
      </c>
      <c r="B2284" s="18" t="str">
        <f>HYPERLINK("https://otsuka-europe-crm.veevavault.com/ui/#object/vcountry__v/VENZ000004SONF5", "ES")</f>
        <v>ES</v>
      </c>
      <c r="C2284" s="20" t="s">
        <v>39</v>
      </c>
      <c r="D228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84" s="22" t="str">
        <f>HYPERLINK("https://otsuka-europe-crm.veevavault.com/ui/#object/sent_email__v/VBL000000034366", "SE-001442745")</f>
        <v>SE-001442745</v>
      </c>
      <c r="F2284" s="25">
        <v>46212.454699074071</v>
      </c>
      <c r="G2284" s="24">
        <v>1</v>
      </c>
      <c r="H2284" s="24">
        <v>3</v>
      </c>
      <c r="I2284" s="24">
        <v>1</v>
      </c>
      <c r="J2284" s="25">
        <v>46212.454756944448</v>
      </c>
      <c r="K2284" s="24">
        <v>1</v>
      </c>
      <c r="L228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84" s="22" t="str">
        <f>HYPERLINK("mailto:pmartinez@crm.otsuka-europe.com", "pmartinez@crm.otsuka-europe.com")</f>
        <v>pmartinez@crm.otsuka-europe.com</v>
      </c>
      <c r="N2284" s="25">
        <v>46212.371249999997</v>
      </c>
      <c r="O2284" s="14" t="str">
        <f>HYPERLINK("https://otsuka-europe-crm.veevavault.com/ui/#object/email_activity__v/V8C000000043995", "EN-002103798")</f>
        <v>EN-002103798</v>
      </c>
    </row>
    <row r="2285" spans="1:15" ht="16" x14ac:dyDescent="0.2">
      <c r="A2285" s="26"/>
      <c r="B2285" s="26"/>
      <c r="C2285" s="26"/>
      <c r="D2285" s="26"/>
      <c r="E2285" s="26"/>
      <c r="F2285" s="26"/>
      <c r="G2285" s="26"/>
      <c r="H2285" s="26"/>
      <c r="I2285" s="26"/>
      <c r="J2285" s="26"/>
      <c r="K2285" s="26"/>
      <c r="L2285" s="26"/>
      <c r="M2285" s="26"/>
      <c r="N2285" s="26"/>
      <c r="O2285" s="14" t="str">
        <f>HYPERLINK("https://otsuka-europe-crm.veevavault.com/ui/#object/email_activity__v/V8C000000045033", "EN-002103497")</f>
        <v>EN-002103497</v>
      </c>
    </row>
    <row r="2286" spans="1:15" ht="16" x14ac:dyDescent="0.2">
      <c r="A2286" s="26"/>
      <c r="B2286" s="26"/>
      <c r="C2286" s="26"/>
      <c r="D2286" s="26"/>
      <c r="E2286" s="26"/>
      <c r="F2286" s="26"/>
      <c r="G2286" s="26"/>
      <c r="H2286" s="26"/>
      <c r="I2286" s="26"/>
      <c r="J2286" s="26"/>
      <c r="K2286" s="26"/>
      <c r="L2286" s="26"/>
      <c r="M2286" s="26"/>
      <c r="N2286" s="26"/>
      <c r="O2286" s="14" t="str">
        <f>HYPERLINK("https://otsuka-europe-crm.veevavault.com/ui/#object/email_activity__v/V8C000000045203", "EN-002103667")</f>
        <v>EN-002103667</v>
      </c>
    </row>
    <row r="2287" spans="1:15" ht="16" x14ac:dyDescent="0.2">
      <c r="A2287" s="26"/>
      <c r="B2287" s="26"/>
      <c r="C2287" s="26"/>
      <c r="D2287" s="26"/>
      <c r="E2287" s="26"/>
      <c r="F2287" s="26"/>
      <c r="G2287" s="26"/>
      <c r="H2287" s="26"/>
      <c r="I2287" s="26"/>
      <c r="J2287" s="26"/>
      <c r="K2287" s="26"/>
      <c r="L2287" s="26"/>
      <c r="M2287" s="26"/>
      <c r="N2287" s="26"/>
      <c r="O2287" s="14" t="str">
        <f>HYPERLINK("https://otsuka-europe-crm.veevavault.com/ui/#object/email_activity__v/V8C000000045257", "EN-002103810")</f>
        <v>EN-002103810</v>
      </c>
    </row>
    <row r="2288" spans="1:15" ht="16" x14ac:dyDescent="0.2">
      <c r="A2288" s="19"/>
      <c r="B2288" s="19"/>
      <c r="C2288" s="19"/>
      <c r="D2288" s="19"/>
      <c r="E2288" s="19"/>
      <c r="F2288" s="19"/>
      <c r="G2288" s="19"/>
      <c r="H2288" s="19"/>
      <c r="I2288" s="19"/>
      <c r="J2288" s="19"/>
      <c r="K2288" s="19"/>
      <c r="L2288" s="19"/>
      <c r="M2288" s="19"/>
      <c r="N2288" s="19"/>
      <c r="O2288" s="14" t="str">
        <f>HYPERLINK("https://otsuka-europe-crm.veevavault.com/ui/#object/email_activity__v/V8C000000045258", "EN-002103811")</f>
        <v>EN-002103811</v>
      </c>
    </row>
    <row r="2289" spans="1:15" ht="16" x14ac:dyDescent="0.2">
      <c r="A2289" s="18" t="str">
        <f>HYPERLINK("https://otsuka-europe-crm.veevavault.com/ui/#object/account__v/V4TZ06G6O71TAAV", "MARIA JESUS IZQUIERDO ORTIZ")</f>
        <v>MARIA JESUS IZQUIERDO ORTIZ</v>
      </c>
      <c r="B2289" s="18" t="str">
        <f>HYPERLINK("https://otsuka-europe-crm.veevavault.com/ui/#object/vcountry__v/VENZ000004SONF5", "ES")</f>
        <v>ES</v>
      </c>
      <c r="C2289" s="20" t="s">
        <v>39</v>
      </c>
      <c r="D228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89" s="22" t="str">
        <f>HYPERLINK("https://otsuka-europe-crm.veevavault.com/ui/#object/sent_email__v/VBL000000034367", "SE-001442746")</f>
        <v>SE-001442746</v>
      </c>
      <c r="F2289" s="25">
        <v>46213.247523148151</v>
      </c>
      <c r="G2289" s="24">
        <v>1</v>
      </c>
      <c r="H2289" s="24">
        <v>2</v>
      </c>
      <c r="I2289" s="24">
        <v>0</v>
      </c>
      <c r="J2289" s="23"/>
      <c r="K2289" s="24">
        <v>0</v>
      </c>
      <c r="L228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89" s="22" t="str">
        <f>HYPERLINK("mailto:pmartinez@crm.otsuka-europe.com", "pmartinez@crm.otsuka-europe.com")</f>
        <v>pmartinez@crm.otsuka-europe.com</v>
      </c>
      <c r="N2289" s="25">
        <v>46212.371249999997</v>
      </c>
      <c r="O2289" s="14" t="str">
        <f>HYPERLINK("https://otsuka-europe-crm.veevavault.com/ui/#object/email_activity__v/V8C000000045030", "EN-002103494")</f>
        <v>EN-002103494</v>
      </c>
    </row>
    <row r="2290" spans="1:15" ht="16" x14ac:dyDescent="0.2">
      <c r="A2290" s="26"/>
      <c r="B2290" s="26"/>
      <c r="C2290" s="26"/>
      <c r="D2290" s="26"/>
      <c r="E2290" s="26"/>
      <c r="F2290" s="26"/>
      <c r="G2290" s="26"/>
      <c r="H2290" s="26"/>
      <c r="I2290" s="26"/>
      <c r="J2290" s="26"/>
      <c r="K2290" s="26"/>
      <c r="L2290" s="26"/>
      <c r="M2290" s="26"/>
      <c r="N2290" s="26"/>
      <c r="O2290" s="14" t="str">
        <f>HYPERLINK("https://otsuka-europe-crm.veevavault.com/ui/#object/email_activity__v/V8C000000047034", "EN-002104211")</f>
        <v>EN-002104211</v>
      </c>
    </row>
    <row r="2291" spans="1:15" ht="16" x14ac:dyDescent="0.2">
      <c r="A2291" s="19"/>
      <c r="B2291" s="19"/>
      <c r="C2291" s="19"/>
      <c r="D2291" s="19"/>
      <c r="E2291" s="19"/>
      <c r="F2291" s="19"/>
      <c r="G2291" s="19"/>
      <c r="H2291" s="19"/>
      <c r="I2291" s="19"/>
      <c r="J2291" s="19"/>
      <c r="K2291" s="19"/>
      <c r="L2291" s="19"/>
      <c r="M2291" s="19"/>
      <c r="N2291" s="19"/>
      <c r="O2291" s="14" t="str">
        <f>HYPERLINK("https://otsuka-europe-crm.veevavault.com/ui/#object/email_activity__v/V8C000000048016", "EN-002104212")</f>
        <v>EN-002104212</v>
      </c>
    </row>
    <row r="2292" spans="1:15" ht="16" x14ac:dyDescent="0.2">
      <c r="A2292" s="18" t="str">
        <f>HYPERLINK("https://otsuka-europe-crm.veevavault.com/ui/#object/account__v/V4TZ06G6O71TBGM", "EDUARDO PARRA MONCASI")</f>
        <v>EDUARDO PARRA MONCASI</v>
      </c>
      <c r="B2292" s="18" t="str">
        <f>HYPERLINK("https://otsuka-europe-crm.veevavault.com/ui/#object/vcountry__v/VENZ000004SONF5", "ES")</f>
        <v>ES</v>
      </c>
      <c r="C2292" s="20" t="s">
        <v>39</v>
      </c>
      <c r="D229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92" s="22" t="str">
        <f>HYPERLINK("https://otsuka-europe-crm.veevavault.com/ui/#object/sent_email__v/VBL000000034368", "SE-001442747")</f>
        <v>SE-001442747</v>
      </c>
      <c r="F2292" s="25">
        <v>46212.68172453704</v>
      </c>
      <c r="G2292" s="24">
        <v>1</v>
      </c>
      <c r="H2292" s="24">
        <v>2</v>
      </c>
      <c r="I2292" s="24">
        <v>0</v>
      </c>
      <c r="J2292" s="23"/>
      <c r="K2292" s="24">
        <v>0</v>
      </c>
      <c r="L229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92" s="22" t="str">
        <f>HYPERLINK("mailto:pmartinez@crm.otsuka-europe.com", "pmartinez@crm.otsuka-europe.com")</f>
        <v>pmartinez@crm.otsuka-europe.com</v>
      </c>
      <c r="N2292" s="25">
        <v>46212.371249999997</v>
      </c>
      <c r="O2292" s="14" t="str">
        <f>HYPERLINK("https://otsuka-europe-crm.veevavault.com/ui/#object/email_activity__v/V8C000000044994", "EN-002103459")</f>
        <v>EN-002103459</v>
      </c>
    </row>
    <row r="2293" spans="1:15" ht="16" x14ac:dyDescent="0.2">
      <c r="A2293" s="26"/>
      <c r="B2293" s="26"/>
      <c r="C2293" s="26"/>
      <c r="D2293" s="26"/>
      <c r="E2293" s="26"/>
      <c r="F2293" s="26"/>
      <c r="G2293" s="26"/>
      <c r="H2293" s="26"/>
      <c r="I2293" s="26"/>
      <c r="J2293" s="26"/>
      <c r="K2293" s="26"/>
      <c r="L2293" s="26"/>
      <c r="M2293" s="26"/>
      <c r="N2293" s="26"/>
      <c r="O2293" s="14" t="str">
        <f>HYPERLINK("https://otsuka-europe-crm.veevavault.com/ui/#object/email_activity__v/V8C000000045148", "EN-002103612")</f>
        <v>EN-002103612</v>
      </c>
    </row>
    <row r="2294" spans="1:15" ht="16" x14ac:dyDescent="0.2">
      <c r="A2294" s="26"/>
      <c r="B2294" s="26"/>
      <c r="C2294" s="26"/>
      <c r="D2294" s="26"/>
      <c r="E2294" s="26"/>
      <c r="F2294" s="26"/>
      <c r="G2294" s="26"/>
      <c r="H2294" s="26"/>
      <c r="I2294" s="26"/>
      <c r="J2294" s="26"/>
      <c r="K2294" s="26"/>
      <c r="L2294" s="26"/>
      <c r="M2294" s="26"/>
      <c r="N2294" s="26"/>
      <c r="O2294" s="14" t="str">
        <f>HYPERLINK("https://otsuka-europe-crm.veevavault.com/ui/#object/email_activity__v/V8C000000046092", "EN-002104000")</f>
        <v>EN-002104000</v>
      </c>
    </row>
    <row r="2295" spans="1:15" ht="16" x14ac:dyDescent="0.2">
      <c r="A2295" s="19"/>
      <c r="B2295" s="19"/>
      <c r="C2295" s="19"/>
      <c r="D2295" s="19"/>
      <c r="E2295" s="19"/>
      <c r="F2295" s="19"/>
      <c r="G2295" s="19"/>
      <c r="H2295" s="19"/>
      <c r="I2295" s="19"/>
      <c r="J2295" s="19"/>
      <c r="K2295" s="19"/>
      <c r="L2295" s="19"/>
      <c r="M2295" s="19"/>
      <c r="N2295" s="19"/>
      <c r="O2295" s="14" t="str">
        <f>HYPERLINK("https://otsuka-europe-crm.veevavault.com/ui/#object/email_activity__v/V8C000000047387", "EN-002104841")</f>
        <v>EN-002104841</v>
      </c>
    </row>
    <row r="2296" spans="1:15" ht="64" x14ac:dyDescent="0.2">
      <c r="A2296" s="7" t="str">
        <f>HYPERLINK("https://otsuka-europe-crm.veevavault.com/ui/#object/account__v/V4TZ06G6O71T761", "ADRIANA PUENTE GARCIA")</f>
        <v>ADRIANA PUENTE GARCIA</v>
      </c>
      <c r="B2296" s="7" t="str">
        <f>HYPERLINK("https://otsuka-europe-crm.veevavault.com/ui/#object/vcountry__v/VENZ000004SONF5", "ES")</f>
        <v>ES</v>
      </c>
      <c r="C2296" s="8" t="s">
        <v>39</v>
      </c>
      <c r="D229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96" s="10" t="str">
        <f>HYPERLINK("https://otsuka-europe-crm.veevavault.com/ui/#object/sent_email__v/VBL000000034369", "SE-001442748")</f>
        <v>SE-001442748</v>
      </c>
      <c r="F2296" s="11"/>
      <c r="G2296" s="12">
        <v>0</v>
      </c>
      <c r="H2296" s="12">
        <v>0</v>
      </c>
      <c r="I2296" s="12">
        <v>0</v>
      </c>
      <c r="J2296" s="11"/>
      <c r="K2296" s="12">
        <v>0</v>
      </c>
      <c r="L229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96" s="10" t="str">
        <f>HYPERLINK("mailto:pmartinez@crm.otsuka-europe.com", "pmartinez@crm.otsuka-europe.com")</f>
        <v>pmartinez@crm.otsuka-europe.com</v>
      </c>
      <c r="N2296" s="13">
        <v>46212.37128472222</v>
      </c>
      <c r="O2296" s="14" t="str">
        <f>HYPERLINK("https://otsuka-europe-crm.veevavault.com/ui/#object/email_activity__v/V8C000000045126", "EN-002103590")</f>
        <v>EN-002103590</v>
      </c>
    </row>
    <row r="2297" spans="1:15" ht="16" x14ac:dyDescent="0.2">
      <c r="A2297" s="18" t="str">
        <f>HYPERLINK("https://otsuka-europe-crm.veevavault.com/ui/#object/account__v/V4TZ06G6O71TCND", "MIGUEL HUESO VAL")</f>
        <v>MIGUEL HUESO VAL</v>
      </c>
      <c r="B2297" s="18" t="str">
        <f>HYPERLINK("https://otsuka-europe-crm.veevavault.com/ui/#object/vcountry__v/VENZ000004SONF5", "ES")</f>
        <v>ES</v>
      </c>
      <c r="C2297" s="20" t="s">
        <v>39</v>
      </c>
      <c r="D229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97" s="22" t="str">
        <f>HYPERLINK("https://otsuka-europe-crm.veevavault.com/ui/#object/sent_email__v/VBL000000034370", "SE-001442749")</f>
        <v>SE-001442749</v>
      </c>
      <c r="F2297" s="25">
        <v>46217.452488425923</v>
      </c>
      <c r="G2297" s="24">
        <v>1</v>
      </c>
      <c r="H2297" s="24">
        <v>1</v>
      </c>
      <c r="I2297" s="24">
        <v>0</v>
      </c>
      <c r="J2297" s="23"/>
      <c r="K2297" s="24">
        <v>0</v>
      </c>
      <c r="L229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97" s="22" t="str">
        <f>HYPERLINK("mailto:pmartinez@crm.otsuka-europe.com", "pmartinez@crm.otsuka-europe.com")</f>
        <v>pmartinez@crm.otsuka-europe.com</v>
      </c>
      <c r="N2297" s="25">
        <v>46212.371249999997</v>
      </c>
      <c r="O2297" s="14" t="str">
        <f>HYPERLINK("https://otsuka-europe-crm.veevavault.com/ui/#object/email_activity__v/V8C000000045060", "EN-002103524")</f>
        <v>EN-002103524</v>
      </c>
    </row>
    <row r="2298" spans="1:15" ht="16" x14ac:dyDescent="0.2">
      <c r="A2298" s="19"/>
      <c r="B2298" s="19"/>
      <c r="C2298" s="19"/>
      <c r="D2298" s="19"/>
      <c r="E2298" s="19"/>
      <c r="F2298" s="19"/>
      <c r="G2298" s="19"/>
      <c r="H2298" s="19"/>
      <c r="I2298" s="19"/>
      <c r="J2298" s="19"/>
      <c r="K2298" s="19"/>
      <c r="L2298" s="19"/>
      <c r="M2298" s="19"/>
      <c r="N2298" s="19"/>
      <c r="O2298" s="14" t="str">
        <f>HYPERLINK("https://otsuka-europe-crm.veevavault.com/ui/#object/email_activity__v/V8C00000004A473", "EN-002105879")</f>
        <v>EN-002105879</v>
      </c>
    </row>
    <row r="2299" spans="1:15" ht="64" x14ac:dyDescent="0.2">
      <c r="A2299" s="7" t="str">
        <f>HYPERLINK("https://otsuka-europe-crm.veevavault.com/ui/#object/account__v/V4TZ06G6O71TBPV", "MANUEL RAMIREZ DE ARELLANO SERNA")</f>
        <v>MANUEL RAMIREZ DE ARELLANO SERNA</v>
      </c>
      <c r="B2299" s="7" t="str">
        <f>HYPERLINK("https://otsuka-europe-crm.veevavault.com/ui/#object/vcountry__v/VENZ000004SONF5", "ES")</f>
        <v>ES</v>
      </c>
      <c r="C2299" s="8" t="s">
        <v>39</v>
      </c>
      <c r="D229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299" s="10" t="str">
        <f>HYPERLINK("https://otsuka-europe-crm.veevavault.com/ui/#object/sent_email__v/VBL000000034371", "SE-001442750")</f>
        <v>SE-001442750</v>
      </c>
      <c r="F2299" s="11"/>
      <c r="G2299" s="12">
        <v>0</v>
      </c>
      <c r="H2299" s="12">
        <v>0</v>
      </c>
      <c r="I2299" s="12">
        <v>0</v>
      </c>
      <c r="J2299" s="11"/>
      <c r="K2299" s="12">
        <v>0</v>
      </c>
      <c r="L229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299" s="10" t="str">
        <f>HYPERLINK("mailto:pmartinez@crm.otsuka-europe.com", "pmartinez@crm.otsuka-europe.com")</f>
        <v>pmartinez@crm.otsuka-europe.com</v>
      </c>
      <c r="N2299" s="13">
        <v>46212.371249999997</v>
      </c>
      <c r="O2299" s="14" t="str">
        <f>HYPERLINK("https://otsuka-europe-crm.veevavault.com/ui/#object/email_activity__v/V8C000000045014", "EN-002103478")</f>
        <v>EN-002103478</v>
      </c>
    </row>
    <row r="2300" spans="1:15" ht="16" x14ac:dyDescent="0.2">
      <c r="A2300" s="18" t="str">
        <f>HYPERLINK("https://otsuka-europe-crm.veevavault.com/ui/#object/account__v/V4TZ06G6O71TAVD", "ENRIQUE LUNA HUERTA")</f>
        <v>ENRIQUE LUNA HUERTA</v>
      </c>
      <c r="B2300" s="18" t="str">
        <f>HYPERLINK("https://otsuka-europe-crm.veevavault.com/ui/#object/vcountry__v/VENZ000004SONF5", "ES")</f>
        <v>ES</v>
      </c>
      <c r="C2300" s="20" t="s">
        <v>39</v>
      </c>
      <c r="D230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00" s="22" t="str">
        <f>HYPERLINK("https://otsuka-europe-crm.veevavault.com/ui/#object/sent_email__v/VBL000000034372", "SE-001442751")</f>
        <v>SE-001442751</v>
      </c>
      <c r="F2300" s="25">
        <v>46223.800046296295</v>
      </c>
      <c r="G2300" s="24">
        <v>1</v>
      </c>
      <c r="H2300" s="24">
        <v>1</v>
      </c>
      <c r="I2300" s="24">
        <v>0</v>
      </c>
      <c r="J2300" s="23"/>
      <c r="K2300" s="24">
        <v>0</v>
      </c>
      <c r="L230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00" s="22" t="str">
        <f>HYPERLINK("mailto:pmartinez@crm.otsuka-europe.com", "pmartinez@crm.otsuka-europe.com")</f>
        <v>pmartinez@crm.otsuka-europe.com</v>
      </c>
      <c r="N2300" s="25">
        <v>46212.371249999997</v>
      </c>
      <c r="O2300" s="14" t="str">
        <f>HYPERLINK("https://otsuka-europe-crm.veevavault.com/ui/#object/email_activity__v/V8C000000045036", "EN-002103500")</f>
        <v>EN-002103500</v>
      </c>
    </row>
    <row r="2301" spans="1:15" ht="16" x14ac:dyDescent="0.2">
      <c r="A2301" s="26"/>
      <c r="B2301" s="26"/>
      <c r="C2301" s="26"/>
      <c r="D2301" s="26"/>
      <c r="E2301" s="26"/>
      <c r="F2301" s="26"/>
      <c r="G2301" s="26"/>
      <c r="H2301" s="26"/>
      <c r="I2301" s="26"/>
      <c r="J2301" s="26"/>
      <c r="K2301" s="26"/>
      <c r="L2301" s="26"/>
      <c r="M2301" s="26"/>
      <c r="N2301" s="26"/>
      <c r="O2301" s="14" t="str">
        <f>HYPERLINK("https://otsuka-europe-crm.veevavault.com/ui/#object/email_activity__v/V8C000000045216", "EN-002103690")</f>
        <v>EN-002103690</v>
      </c>
    </row>
    <row r="2302" spans="1:15" ht="16" x14ac:dyDescent="0.2">
      <c r="A2302" s="26"/>
      <c r="B2302" s="26"/>
      <c r="C2302" s="26"/>
      <c r="D2302" s="26"/>
      <c r="E2302" s="26"/>
      <c r="F2302" s="26"/>
      <c r="G2302" s="26"/>
      <c r="H2302" s="26"/>
      <c r="I2302" s="26"/>
      <c r="J2302" s="26"/>
      <c r="K2302" s="26"/>
      <c r="L2302" s="26"/>
      <c r="M2302" s="26"/>
      <c r="N2302" s="26"/>
      <c r="O2302" s="14" t="str">
        <f>HYPERLINK("https://otsuka-europe-crm.veevavault.com/ui/#object/email_activity__v/V8C000000049808", "EN-002106456")</f>
        <v>EN-002106456</v>
      </c>
    </row>
    <row r="2303" spans="1:15" ht="16" x14ac:dyDescent="0.2">
      <c r="A2303" s="19"/>
      <c r="B2303" s="19"/>
      <c r="C2303" s="19"/>
      <c r="D2303" s="19"/>
      <c r="E2303" s="19"/>
      <c r="F2303" s="19"/>
      <c r="G2303" s="19"/>
      <c r="H2303" s="19"/>
      <c r="I2303" s="19"/>
      <c r="J2303" s="19"/>
      <c r="K2303" s="19"/>
      <c r="L2303" s="19"/>
      <c r="M2303" s="19"/>
      <c r="N2303" s="19"/>
      <c r="O2303" s="14" t="str">
        <f>HYPERLINK("https://otsuka-europe-crm.veevavault.com/ui/#object/email_activity__v/V8C00000004C157", "EN-002107123")</f>
        <v>EN-002107123</v>
      </c>
    </row>
    <row r="2304" spans="1:15" ht="16" x14ac:dyDescent="0.2">
      <c r="A2304" s="18" t="str">
        <f>HYPERLINK("https://otsuka-europe-crm.veevavault.com/ui/#object/account__v/V4TZ06G6O71TB0J", "ANA MARIA MARTINEZ CANET")</f>
        <v>ANA MARIA MARTINEZ CANET</v>
      </c>
      <c r="B2304" s="18" t="str">
        <f>HYPERLINK("https://otsuka-europe-crm.veevavault.com/ui/#object/vcountry__v/VENZ000004SONF5", "ES")</f>
        <v>ES</v>
      </c>
      <c r="C2304" s="20" t="s">
        <v>39</v>
      </c>
      <c r="D230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04" s="22" t="str">
        <f>HYPERLINK("https://otsuka-europe-crm.veevavault.com/ui/#object/sent_email__v/VBL000000034373", "SE-001442752")</f>
        <v>SE-001442752</v>
      </c>
      <c r="F2304" s="23"/>
      <c r="G2304" s="24">
        <v>0</v>
      </c>
      <c r="H2304" s="24">
        <v>0</v>
      </c>
      <c r="I2304" s="24">
        <v>0</v>
      </c>
      <c r="J2304" s="23"/>
      <c r="K2304" s="24">
        <v>0</v>
      </c>
      <c r="L230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04" s="22" t="str">
        <f>HYPERLINK("mailto:pmartinez@crm.otsuka-europe.com", "pmartinez@crm.otsuka-europe.com")</f>
        <v>pmartinez@crm.otsuka-europe.com</v>
      </c>
      <c r="N2304" s="25">
        <v>46212.37128472222</v>
      </c>
      <c r="O2304" s="14" t="str">
        <f>HYPERLINK("https://otsuka-europe-crm.veevavault.com/ui/#object/email_activity__v/V8C000000045124", "EN-002103588")</f>
        <v>EN-002103588</v>
      </c>
    </row>
    <row r="2305" spans="1:15" ht="16" x14ac:dyDescent="0.2">
      <c r="A2305" s="26"/>
      <c r="B2305" s="26"/>
      <c r="C2305" s="26"/>
      <c r="D2305" s="26"/>
      <c r="E2305" s="26"/>
      <c r="F2305" s="26"/>
      <c r="G2305" s="26"/>
      <c r="H2305" s="26"/>
      <c r="I2305" s="26"/>
      <c r="J2305" s="26"/>
      <c r="K2305" s="26"/>
      <c r="L2305" s="26"/>
      <c r="M2305" s="26"/>
      <c r="N2305" s="26"/>
      <c r="O2305" s="14" t="str">
        <f>HYPERLINK("https://otsuka-europe-crm.veevavault.com/ui/#object/email_activity__v/V8C000000046078", "EN-002103972")</f>
        <v>EN-002103972</v>
      </c>
    </row>
    <row r="2306" spans="1:15" ht="16" x14ac:dyDescent="0.2">
      <c r="A2306" s="19"/>
      <c r="B2306" s="19"/>
      <c r="C2306" s="19"/>
      <c r="D2306" s="19"/>
      <c r="E2306" s="19"/>
      <c r="F2306" s="19"/>
      <c r="G2306" s="19"/>
      <c r="H2306" s="19"/>
      <c r="I2306" s="19"/>
      <c r="J2306" s="19"/>
      <c r="K2306" s="19"/>
      <c r="L2306" s="19"/>
      <c r="M2306" s="19"/>
      <c r="N2306" s="19"/>
      <c r="O2306" s="14" t="str">
        <f>HYPERLINK("https://otsuka-europe-crm.veevavault.com/ui/#object/email_activity__v/V8C000000048279", "EN-002104808")</f>
        <v>EN-002104808</v>
      </c>
    </row>
    <row r="2307" spans="1:15" ht="64" x14ac:dyDescent="0.2">
      <c r="A2307" s="7" t="str">
        <f>HYPERLINK("https://otsuka-europe-crm.veevavault.com/ui/#object/account__v/V4TZ06G6O71TJZA", "ANA GARCIA SANTIAGO")</f>
        <v>ANA GARCIA SANTIAGO</v>
      </c>
      <c r="B2307" s="7" t="str">
        <f>HYPERLINK("https://otsuka-europe-crm.veevavault.com/ui/#object/vcountry__v/VENZ000004SONF5", "ES")</f>
        <v>ES</v>
      </c>
      <c r="C2307" s="8" t="s">
        <v>39</v>
      </c>
      <c r="D23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07" s="10" t="str">
        <f>HYPERLINK("https://otsuka-europe-crm.veevavault.com/ui/#object/sent_email__v/VBL000000034374", "SE-001442753")</f>
        <v>SE-001442753</v>
      </c>
      <c r="F2307" s="11"/>
      <c r="G2307" s="12">
        <v>0</v>
      </c>
      <c r="H2307" s="12">
        <v>0</v>
      </c>
      <c r="I2307" s="12">
        <v>0</v>
      </c>
      <c r="J2307" s="11"/>
      <c r="K2307" s="12">
        <v>0</v>
      </c>
      <c r="L23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07" s="10" t="str">
        <f>HYPERLINK("mailto:pmartinez@crm.otsuka-europe.com", "pmartinez@crm.otsuka-europe.com")</f>
        <v>pmartinez@crm.otsuka-europe.com</v>
      </c>
      <c r="N2307" s="13">
        <v>46212.371249999997</v>
      </c>
      <c r="O2307" s="14" t="str">
        <f>HYPERLINK("https://otsuka-europe-crm.veevavault.com/ui/#object/email_activity__v/V8C000000045112", "EN-002103576")</f>
        <v>EN-002103576</v>
      </c>
    </row>
    <row r="2308" spans="1:15" ht="16" x14ac:dyDescent="0.2">
      <c r="A2308" s="18" t="str">
        <f>HYPERLINK("https://otsuka-europe-crm.veevavault.com/ui/#object/account__v/V4TZ06G6O71TB2J", "JUDITH FATIMA MARTINS MUÑOZ")</f>
        <v>JUDITH FATIMA MARTINS MUÑOZ</v>
      </c>
      <c r="B2308" s="18" t="str">
        <f>HYPERLINK("https://otsuka-europe-crm.veevavault.com/ui/#object/vcountry__v/VENZ000004SONF5", "ES")</f>
        <v>ES</v>
      </c>
      <c r="C2308" s="20" t="s">
        <v>39</v>
      </c>
      <c r="D230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08" s="22" t="str">
        <f>HYPERLINK("https://otsuka-europe-crm.veevavault.com/ui/#object/sent_email__v/VBL000000034375", "SE-001442754")</f>
        <v>SE-001442754</v>
      </c>
      <c r="F2308" s="25">
        <v>46212.40347222222</v>
      </c>
      <c r="G2308" s="24">
        <v>1</v>
      </c>
      <c r="H2308" s="24">
        <v>1</v>
      </c>
      <c r="I2308" s="24">
        <v>0</v>
      </c>
      <c r="J2308" s="23"/>
      <c r="K2308" s="24">
        <v>0</v>
      </c>
      <c r="L230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08" s="22" t="str">
        <f>HYPERLINK("mailto:pmartinez@crm.otsuka-europe.com", "pmartinez@crm.otsuka-europe.com")</f>
        <v>pmartinez@crm.otsuka-europe.com</v>
      </c>
      <c r="N2308" s="25">
        <v>46212.371249999997</v>
      </c>
      <c r="O2308" s="14" t="str">
        <f>HYPERLINK("https://otsuka-europe-crm.veevavault.com/ui/#object/email_activity__v/V8C000000045078", "EN-002103542")</f>
        <v>EN-002103542</v>
      </c>
    </row>
    <row r="2309" spans="1:15" ht="16" x14ac:dyDescent="0.2">
      <c r="A2309" s="26"/>
      <c r="B2309" s="26"/>
      <c r="C2309" s="26"/>
      <c r="D2309" s="26"/>
      <c r="E2309" s="26"/>
      <c r="F2309" s="26"/>
      <c r="G2309" s="26"/>
      <c r="H2309" s="26"/>
      <c r="I2309" s="26"/>
      <c r="J2309" s="26"/>
      <c r="K2309" s="26"/>
      <c r="L2309" s="26"/>
      <c r="M2309" s="26"/>
      <c r="N2309" s="26"/>
      <c r="O2309" s="14" t="str">
        <f>HYPERLINK("https://otsuka-europe-crm.veevavault.com/ui/#object/email_activity__v/V8C000000045239", "EN-002103771")</f>
        <v>EN-002103771</v>
      </c>
    </row>
    <row r="2310" spans="1:15" ht="16" x14ac:dyDescent="0.2">
      <c r="A2310" s="19"/>
      <c r="B2310" s="19"/>
      <c r="C2310" s="19"/>
      <c r="D2310" s="19"/>
      <c r="E2310" s="19"/>
      <c r="F2310" s="19"/>
      <c r="G2310" s="19"/>
      <c r="H2310" s="19"/>
      <c r="I2310" s="19"/>
      <c r="J2310" s="19"/>
      <c r="K2310" s="19"/>
      <c r="L2310" s="19"/>
      <c r="M2310" s="19"/>
      <c r="N2310" s="19"/>
      <c r="O2310" s="14" t="str">
        <f>HYPERLINK("https://otsuka-europe-crm.veevavault.com/ui/#object/email_activity__v/V8C000000049017", "EN-002104901")</f>
        <v>EN-002104901</v>
      </c>
    </row>
    <row r="2311" spans="1:15" ht="64" x14ac:dyDescent="0.2">
      <c r="A2311" s="7" t="str">
        <f>HYPERLINK("https://otsuka-europe-crm.veevavault.com/ui/#object/account__v/V4TZ06G6O71T7H1", "JONAY PANTOJA PEREZ")</f>
        <v>JONAY PANTOJA PEREZ</v>
      </c>
      <c r="B2311" s="7" t="str">
        <f>HYPERLINK("https://otsuka-europe-crm.veevavault.com/ui/#object/vcountry__v/VENZ000004SONF5", "ES")</f>
        <v>ES</v>
      </c>
      <c r="C2311" s="8" t="s">
        <v>39</v>
      </c>
      <c r="D231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11" s="10" t="str">
        <f>HYPERLINK("https://otsuka-europe-crm.veevavault.com/ui/#object/sent_email__v/VBL000000034376", "SE-001442755")</f>
        <v>SE-001442755</v>
      </c>
      <c r="F2311" s="11"/>
      <c r="G2311" s="12">
        <v>0</v>
      </c>
      <c r="H2311" s="12">
        <v>0</v>
      </c>
      <c r="I2311" s="12">
        <v>0</v>
      </c>
      <c r="J2311" s="11"/>
      <c r="K2311" s="12">
        <v>0</v>
      </c>
      <c r="L231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11" s="10" t="str">
        <f>HYPERLINK("mailto:pmartinez@crm.otsuka-europe.com", "pmartinez@crm.otsuka-europe.com")</f>
        <v>pmartinez@crm.otsuka-europe.com</v>
      </c>
      <c r="N2311" s="13">
        <v>46212.371249999997</v>
      </c>
      <c r="O2311" s="14" t="str">
        <f>HYPERLINK("https://otsuka-europe-crm.veevavault.com/ui/#object/email_activity__v/V8C000000045081", "EN-002103545")</f>
        <v>EN-002103545</v>
      </c>
    </row>
    <row r="2312" spans="1:15" ht="64" x14ac:dyDescent="0.2">
      <c r="A2312" s="7" t="str">
        <f>HYPERLINK("https://otsuka-europe-crm.veevavault.com/ui/#object/account__v/V4TZ025E85M9FAH", "PAULA JUAREZ MAYOR")</f>
        <v>PAULA JUAREZ MAYOR</v>
      </c>
      <c r="B2312" s="7" t="str">
        <f>HYPERLINK("https://otsuka-europe-crm.veevavault.com/ui/#object/vcountry__v/VENZ000004SONF5", "ES")</f>
        <v>ES</v>
      </c>
      <c r="C2312" s="8" t="s">
        <v>39</v>
      </c>
      <c r="D231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12" s="10" t="str">
        <f>HYPERLINK("https://otsuka-europe-crm.veevavault.com/ui/#object/sent_email__v/VBL000000034377", "SE-001442756")</f>
        <v>SE-001442756</v>
      </c>
      <c r="F2312" s="11"/>
      <c r="G2312" s="12">
        <v>0</v>
      </c>
      <c r="H2312" s="12">
        <v>0</v>
      </c>
      <c r="I2312" s="12">
        <v>0</v>
      </c>
      <c r="J2312" s="11"/>
      <c r="K2312" s="12">
        <v>0</v>
      </c>
      <c r="L231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12" s="10" t="str">
        <f>HYPERLINK("mailto:pmartinez@crm.otsuka-europe.com", "pmartinez@crm.otsuka-europe.com")</f>
        <v>pmartinez@crm.otsuka-europe.com</v>
      </c>
      <c r="N2312" s="13">
        <v>46212.37127314815</v>
      </c>
      <c r="O2312" s="14" t="str">
        <f>HYPERLINK("https://otsuka-europe-crm.veevavault.com/ui/#object/email_activity__v/V8C000000045117", "EN-002103581")</f>
        <v>EN-002103581</v>
      </c>
    </row>
    <row r="2313" spans="1:15" ht="16" x14ac:dyDescent="0.2">
      <c r="A2313" s="18" t="str">
        <f>HYPERLINK("https://otsuka-europe-crm.veevavault.com/ui/#object/account__v/V4TZ06G6OB402CC", "ALEJANDRO FRIEDMANN ISAAC")</f>
        <v>ALEJANDRO FRIEDMANN ISAAC</v>
      </c>
      <c r="B2313" s="18" t="str">
        <f>HYPERLINK("https://otsuka-europe-crm.veevavault.com/ui/#object/vcountry__v/VENZ000004SONF5", "ES")</f>
        <v>ES</v>
      </c>
      <c r="C2313" s="20" t="s">
        <v>39</v>
      </c>
      <c r="D231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13" s="22" t="str">
        <f>HYPERLINK("https://otsuka-europe-crm.veevavault.com/ui/#object/sent_email__v/VBL000000034378", "SE-001442757")</f>
        <v>SE-001442757</v>
      </c>
      <c r="F2313" s="25">
        <v>46237.415370370371</v>
      </c>
      <c r="G2313" s="24">
        <v>1</v>
      </c>
      <c r="H2313" s="24">
        <v>13</v>
      </c>
      <c r="I2313" s="24">
        <v>1</v>
      </c>
      <c r="J2313" s="25">
        <v>46216.412002314813</v>
      </c>
      <c r="K2313" s="24">
        <v>2</v>
      </c>
      <c r="L231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13" s="22" t="str">
        <f>HYPERLINK("mailto:pmartinez@crm.otsuka-europe.com", "pmartinez@crm.otsuka-europe.com")</f>
        <v>pmartinez@crm.otsuka-europe.com</v>
      </c>
      <c r="N2313" s="25">
        <v>46212.371249999997</v>
      </c>
      <c r="O2313" s="14" t="str">
        <f>HYPERLINK("https://otsuka-europe-crm.veevavault.com/ui/#object/email_activity__v/V8C000000045072", "EN-002103536")</f>
        <v>EN-002103536</v>
      </c>
    </row>
    <row r="2314" spans="1:15" ht="16" x14ac:dyDescent="0.2">
      <c r="A2314" s="26"/>
      <c r="B2314" s="26"/>
      <c r="C2314" s="26"/>
      <c r="D2314" s="26"/>
      <c r="E2314" s="26"/>
      <c r="F2314" s="26"/>
      <c r="G2314" s="26"/>
      <c r="H2314" s="26"/>
      <c r="I2314" s="26"/>
      <c r="J2314" s="26"/>
      <c r="K2314" s="26"/>
      <c r="L2314" s="26"/>
      <c r="M2314" s="26"/>
      <c r="N2314" s="26"/>
      <c r="O2314" s="14" t="str">
        <f>HYPERLINK("https://otsuka-europe-crm.veevavault.com/ui/#object/email_activity__v/V8C000000049112", "EN-002105121")</f>
        <v>EN-002105121</v>
      </c>
    </row>
    <row r="2315" spans="1:15" ht="16" x14ac:dyDescent="0.2">
      <c r="A2315" s="26"/>
      <c r="B2315" s="26"/>
      <c r="C2315" s="26"/>
      <c r="D2315" s="26"/>
      <c r="E2315" s="26"/>
      <c r="F2315" s="26"/>
      <c r="G2315" s="26"/>
      <c r="H2315" s="26"/>
      <c r="I2315" s="26"/>
      <c r="J2315" s="26"/>
      <c r="K2315" s="26"/>
      <c r="L2315" s="26"/>
      <c r="M2315" s="26"/>
      <c r="N2315" s="26"/>
      <c r="O2315" s="14" t="str">
        <f>HYPERLINK("https://otsuka-europe-crm.veevavault.com/ui/#object/email_activity__v/V8C000000049113", "EN-002105122")</f>
        <v>EN-002105122</v>
      </c>
    </row>
    <row r="2316" spans="1:15" ht="16" x14ac:dyDescent="0.2">
      <c r="A2316" s="26"/>
      <c r="B2316" s="26"/>
      <c r="C2316" s="26"/>
      <c r="D2316" s="26"/>
      <c r="E2316" s="26"/>
      <c r="F2316" s="26"/>
      <c r="G2316" s="26"/>
      <c r="H2316" s="26"/>
      <c r="I2316" s="26"/>
      <c r="J2316" s="26"/>
      <c r="K2316" s="26"/>
      <c r="L2316" s="26"/>
      <c r="M2316" s="26"/>
      <c r="N2316" s="26"/>
      <c r="O2316" s="14" t="str">
        <f>HYPERLINK("https://otsuka-europe-crm.veevavault.com/ui/#object/email_activity__v/V8C00000004A140", "EN-002105117")</f>
        <v>EN-002105117</v>
      </c>
    </row>
    <row r="2317" spans="1:15" ht="16" x14ac:dyDescent="0.2">
      <c r="A2317" s="26"/>
      <c r="B2317" s="26"/>
      <c r="C2317" s="26"/>
      <c r="D2317" s="26"/>
      <c r="E2317" s="26"/>
      <c r="F2317" s="26"/>
      <c r="G2317" s="26"/>
      <c r="H2317" s="26"/>
      <c r="I2317" s="26"/>
      <c r="J2317" s="26"/>
      <c r="K2317" s="26"/>
      <c r="L2317" s="26"/>
      <c r="M2317" s="26"/>
      <c r="N2317" s="26"/>
      <c r="O2317" s="14" t="str">
        <f>HYPERLINK("https://otsuka-europe-crm.veevavault.com/ui/#object/email_activity__v/V8C00000004A141", "EN-002105118")</f>
        <v>EN-002105118</v>
      </c>
    </row>
    <row r="2318" spans="1:15" ht="16" x14ac:dyDescent="0.2">
      <c r="A2318" s="26"/>
      <c r="B2318" s="26"/>
      <c r="C2318" s="26"/>
      <c r="D2318" s="26"/>
      <c r="E2318" s="26"/>
      <c r="F2318" s="26"/>
      <c r="G2318" s="26"/>
      <c r="H2318" s="26"/>
      <c r="I2318" s="26"/>
      <c r="J2318" s="26"/>
      <c r="K2318" s="26"/>
      <c r="L2318" s="26"/>
      <c r="M2318" s="26"/>
      <c r="N2318" s="26"/>
      <c r="O2318" s="14" t="str">
        <f>HYPERLINK("https://otsuka-europe-crm.veevavault.com/ui/#object/email_activity__v/V8C00000004A142", "EN-002105119")</f>
        <v>EN-002105119</v>
      </c>
    </row>
    <row r="2319" spans="1:15" ht="16" x14ac:dyDescent="0.2">
      <c r="A2319" s="26"/>
      <c r="B2319" s="26"/>
      <c r="C2319" s="26"/>
      <c r="D2319" s="26"/>
      <c r="E2319" s="26"/>
      <c r="F2319" s="26"/>
      <c r="G2319" s="26"/>
      <c r="H2319" s="26"/>
      <c r="I2319" s="26"/>
      <c r="J2319" s="26"/>
      <c r="K2319" s="26"/>
      <c r="L2319" s="26"/>
      <c r="M2319" s="26"/>
      <c r="N2319" s="26"/>
      <c r="O2319" s="14" t="str">
        <f>HYPERLINK("https://otsuka-europe-crm.veevavault.com/ui/#object/email_activity__v/V8C00000004A143", "EN-002105120")</f>
        <v>EN-002105120</v>
      </c>
    </row>
    <row r="2320" spans="1:15" ht="16" x14ac:dyDescent="0.2">
      <c r="A2320" s="26"/>
      <c r="B2320" s="26"/>
      <c r="C2320" s="26"/>
      <c r="D2320" s="26"/>
      <c r="E2320" s="26"/>
      <c r="F2320" s="26"/>
      <c r="G2320" s="26"/>
      <c r="H2320" s="26"/>
      <c r="I2320" s="26"/>
      <c r="J2320" s="26"/>
      <c r="K2320" s="26"/>
      <c r="L2320" s="26"/>
      <c r="M2320" s="26"/>
      <c r="N2320" s="26"/>
      <c r="O2320" s="14" t="str">
        <f>HYPERLINK("https://otsuka-europe-crm.veevavault.com/ui/#object/email_activity__v/V8C00000004B666", "EN-002107779")</f>
        <v>EN-002107779</v>
      </c>
    </row>
    <row r="2321" spans="1:15" ht="16" x14ac:dyDescent="0.2">
      <c r="A2321" s="26"/>
      <c r="B2321" s="26"/>
      <c r="C2321" s="26"/>
      <c r="D2321" s="26"/>
      <c r="E2321" s="26"/>
      <c r="F2321" s="26"/>
      <c r="G2321" s="26"/>
      <c r="H2321" s="26"/>
      <c r="I2321" s="26"/>
      <c r="J2321" s="26"/>
      <c r="K2321" s="26"/>
      <c r="L2321" s="26"/>
      <c r="M2321" s="26"/>
      <c r="N2321" s="26"/>
      <c r="O2321" s="14" t="str">
        <f>HYPERLINK("https://otsuka-europe-crm.veevavault.com/ui/#object/email_activity__v/V8C00000004B668", "EN-002107789")</f>
        <v>EN-002107789</v>
      </c>
    </row>
    <row r="2322" spans="1:15" ht="16" x14ac:dyDescent="0.2">
      <c r="A2322" s="26"/>
      <c r="B2322" s="26"/>
      <c r="C2322" s="26"/>
      <c r="D2322" s="26"/>
      <c r="E2322" s="26"/>
      <c r="F2322" s="26"/>
      <c r="G2322" s="26"/>
      <c r="H2322" s="26"/>
      <c r="I2322" s="26"/>
      <c r="J2322" s="26"/>
      <c r="K2322" s="26"/>
      <c r="L2322" s="26"/>
      <c r="M2322" s="26"/>
      <c r="N2322" s="26"/>
      <c r="O2322" s="14" t="str">
        <f>HYPERLINK("https://otsuka-europe-crm.veevavault.com/ui/#object/email_activity__v/V8C00000004C395", "EN-002107791")</f>
        <v>EN-002107791</v>
      </c>
    </row>
    <row r="2323" spans="1:15" ht="16" x14ac:dyDescent="0.2">
      <c r="A2323" s="26"/>
      <c r="B2323" s="26"/>
      <c r="C2323" s="26"/>
      <c r="D2323" s="26"/>
      <c r="E2323" s="26"/>
      <c r="F2323" s="26"/>
      <c r="G2323" s="26"/>
      <c r="H2323" s="26"/>
      <c r="I2323" s="26"/>
      <c r="J2323" s="26"/>
      <c r="K2323" s="26"/>
      <c r="L2323" s="26"/>
      <c r="M2323" s="26"/>
      <c r="N2323" s="26"/>
      <c r="O2323" s="14" t="str">
        <f>HYPERLINK("https://otsuka-europe-crm.veevavault.com/ui/#object/email_activity__v/V8C00000004C475", "EN-002107942")</f>
        <v>EN-002107942</v>
      </c>
    </row>
    <row r="2324" spans="1:15" ht="16" x14ac:dyDescent="0.2">
      <c r="A2324" s="26"/>
      <c r="B2324" s="26"/>
      <c r="C2324" s="26"/>
      <c r="D2324" s="26"/>
      <c r="E2324" s="26"/>
      <c r="F2324" s="26"/>
      <c r="G2324" s="26"/>
      <c r="H2324" s="26"/>
      <c r="I2324" s="26"/>
      <c r="J2324" s="26"/>
      <c r="K2324" s="26"/>
      <c r="L2324" s="26"/>
      <c r="M2324" s="26"/>
      <c r="N2324" s="26"/>
      <c r="O2324" s="14" t="str">
        <f>HYPERLINK("https://otsuka-europe-crm.veevavault.com/ui/#object/email_activity__v/V8C00000004D504", "EN-002109093")</f>
        <v>EN-002109093</v>
      </c>
    </row>
    <row r="2325" spans="1:15" ht="16" x14ac:dyDescent="0.2">
      <c r="A2325" s="26"/>
      <c r="B2325" s="26"/>
      <c r="C2325" s="26"/>
      <c r="D2325" s="26"/>
      <c r="E2325" s="26"/>
      <c r="F2325" s="26"/>
      <c r="G2325" s="26"/>
      <c r="H2325" s="26"/>
      <c r="I2325" s="26"/>
      <c r="J2325" s="26"/>
      <c r="K2325" s="26"/>
      <c r="L2325" s="26"/>
      <c r="M2325" s="26"/>
      <c r="N2325" s="26"/>
      <c r="O2325" s="14" t="str">
        <f>HYPERLINK("https://otsuka-europe-crm.veevavault.com/ui/#object/email_activity__v/V8C00000004E373", "EN-002109095")</f>
        <v>EN-002109095</v>
      </c>
    </row>
    <row r="2326" spans="1:15" ht="16" x14ac:dyDescent="0.2">
      <c r="A2326" s="26"/>
      <c r="B2326" s="26"/>
      <c r="C2326" s="26"/>
      <c r="D2326" s="26"/>
      <c r="E2326" s="26"/>
      <c r="F2326" s="26"/>
      <c r="G2326" s="26"/>
      <c r="H2326" s="26"/>
      <c r="I2326" s="26"/>
      <c r="J2326" s="26"/>
      <c r="K2326" s="26"/>
      <c r="L2326" s="26"/>
      <c r="M2326" s="26"/>
      <c r="N2326" s="26"/>
      <c r="O2326" s="14" t="str">
        <f>HYPERLINK("https://otsuka-europe-crm.veevavault.com/ui/#object/email_activity__v/V8C00000004E374", "EN-002109096")</f>
        <v>EN-002109096</v>
      </c>
    </row>
    <row r="2327" spans="1:15" ht="16" x14ac:dyDescent="0.2">
      <c r="A2327" s="26"/>
      <c r="B2327" s="26"/>
      <c r="C2327" s="26"/>
      <c r="D2327" s="26"/>
      <c r="E2327" s="26"/>
      <c r="F2327" s="26"/>
      <c r="G2327" s="26"/>
      <c r="H2327" s="26"/>
      <c r="I2327" s="26"/>
      <c r="J2327" s="26"/>
      <c r="K2327" s="26"/>
      <c r="L2327" s="26"/>
      <c r="M2327" s="26"/>
      <c r="N2327" s="26"/>
      <c r="O2327" s="14" t="str">
        <f>HYPERLINK("https://otsuka-europe-crm.veevavault.com/ui/#object/email_activity__v/V8C00000004I105", "EN-002111191")</f>
        <v>EN-002111191</v>
      </c>
    </row>
    <row r="2328" spans="1:15" ht="16" x14ac:dyDescent="0.2">
      <c r="A2328" s="19"/>
      <c r="B2328" s="19"/>
      <c r="C2328" s="19"/>
      <c r="D2328" s="19"/>
      <c r="E2328" s="19"/>
      <c r="F2328" s="19"/>
      <c r="G2328" s="19"/>
      <c r="H2328" s="19"/>
      <c r="I2328" s="19"/>
      <c r="J2328" s="19"/>
      <c r="K2328" s="19"/>
      <c r="L2328" s="19"/>
      <c r="M2328" s="19"/>
      <c r="N2328" s="19"/>
      <c r="O2328" s="14" t="str">
        <f>HYPERLINK("https://otsuka-europe-crm.veevavault.com/ui/#object/email_activity__v/V8C00000004I106", "EN-002111192")</f>
        <v>EN-002111192</v>
      </c>
    </row>
    <row r="2329" spans="1:15" ht="16" x14ac:dyDescent="0.2">
      <c r="A2329" s="18" t="str">
        <f>HYPERLINK("https://otsuka-europe-crm.veevavault.com/ui/#object/account__v/V4TZ06G6O71T8U6", "FLORENTINO VILLANEGO FERNANDEZ")</f>
        <v>FLORENTINO VILLANEGO FERNANDEZ</v>
      </c>
      <c r="B2329" s="18" t="str">
        <f>HYPERLINK("https://otsuka-europe-crm.veevavault.com/ui/#object/vcountry__v/VENZ000004SONF5", "ES")</f>
        <v>ES</v>
      </c>
      <c r="C2329" s="20" t="s">
        <v>39</v>
      </c>
      <c r="D232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29" s="22" t="str">
        <f>HYPERLINK("https://otsuka-europe-crm.veevavault.com/ui/#object/sent_email__v/VBL000000034379", "SE-001442758")</f>
        <v>SE-001442758</v>
      </c>
      <c r="F2329" s="25">
        <v>46212.373553240737</v>
      </c>
      <c r="G2329" s="24">
        <v>1</v>
      </c>
      <c r="H2329" s="24">
        <v>1</v>
      </c>
      <c r="I2329" s="24">
        <v>0</v>
      </c>
      <c r="J2329" s="23"/>
      <c r="K2329" s="24">
        <v>0</v>
      </c>
      <c r="L232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29" s="22" t="str">
        <f>HYPERLINK("mailto:pmartinez@crm.otsuka-europe.com", "pmartinez@crm.otsuka-europe.com")</f>
        <v>pmartinez@crm.otsuka-europe.com</v>
      </c>
      <c r="N2329" s="25">
        <v>46212.371249999997</v>
      </c>
      <c r="O2329" s="14" t="str">
        <f>HYPERLINK("https://otsuka-europe-crm.veevavault.com/ui/#object/email_activity__v/V8C000000045106", "EN-002103570")</f>
        <v>EN-002103570</v>
      </c>
    </row>
    <row r="2330" spans="1:15" ht="16" x14ac:dyDescent="0.2">
      <c r="A2330" s="19"/>
      <c r="B2330" s="19"/>
      <c r="C2330" s="19"/>
      <c r="D2330" s="19"/>
      <c r="E2330" s="19"/>
      <c r="F2330" s="19"/>
      <c r="G2330" s="19"/>
      <c r="H2330" s="19"/>
      <c r="I2330" s="19"/>
      <c r="J2330" s="19"/>
      <c r="K2330" s="19"/>
      <c r="L2330" s="19"/>
      <c r="M2330" s="19"/>
      <c r="N2330" s="19"/>
      <c r="O2330" s="14" t="str">
        <f>HYPERLINK("https://otsuka-europe-crm.veevavault.com/ui/#object/email_activity__v/V8C000000045202", "EN-002103666")</f>
        <v>EN-002103666</v>
      </c>
    </row>
    <row r="2331" spans="1:15" ht="64" x14ac:dyDescent="0.2">
      <c r="A2331" s="7" t="str">
        <f>HYPERLINK("https://otsuka-europe-crm.veevavault.com/ui/#object/account__v/V4TZ06G6O71T8N0", "MARIA PEREZ FERNANDEZ")</f>
        <v>MARIA PEREZ FERNANDEZ</v>
      </c>
      <c r="B2331" s="7" t="str">
        <f>HYPERLINK("https://otsuka-europe-crm.veevavault.com/ui/#object/vcountry__v/VENZ000004SONF5", "ES")</f>
        <v>ES</v>
      </c>
      <c r="C2331" s="8" t="s">
        <v>39</v>
      </c>
      <c r="D233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31" s="10" t="str">
        <f>HYPERLINK("https://otsuka-europe-crm.veevavault.com/ui/#object/sent_email__v/VBL000000034380", "SE-001442759")</f>
        <v>SE-001442759</v>
      </c>
      <c r="F2331" s="11"/>
      <c r="G2331" s="12">
        <v>0</v>
      </c>
      <c r="H2331" s="12">
        <v>0</v>
      </c>
      <c r="I2331" s="12">
        <v>0</v>
      </c>
      <c r="J2331" s="11"/>
      <c r="K2331" s="12">
        <v>0</v>
      </c>
      <c r="L233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31" s="10" t="str">
        <f>HYPERLINK("mailto:pmartinez@crm.otsuka-europe.com", "pmartinez@crm.otsuka-europe.com")</f>
        <v>pmartinez@crm.otsuka-europe.com</v>
      </c>
      <c r="N2331" s="13">
        <v>46212.371249999997</v>
      </c>
      <c r="O2331" s="14" t="str">
        <f>HYPERLINK("https://otsuka-europe-crm.veevavault.com/ui/#object/email_activity__v/V8C000000045099", "EN-002103563")</f>
        <v>EN-002103563</v>
      </c>
    </row>
    <row r="2332" spans="1:15" ht="16" x14ac:dyDescent="0.2">
      <c r="A2332" s="18" t="str">
        <f>HYPERLINK("https://otsuka-europe-crm.veevavault.com/ui/#object/account__v/V4TZ06G6O71TBA1", "ANA ISABEL MORALES GARCIA")</f>
        <v>ANA ISABEL MORALES GARCIA</v>
      </c>
      <c r="B2332" s="18" t="str">
        <f>HYPERLINK("https://otsuka-europe-crm.veevavault.com/ui/#object/vcountry__v/VENZ000004SONF5", "ES")</f>
        <v>ES</v>
      </c>
      <c r="C2332" s="20" t="s">
        <v>39</v>
      </c>
      <c r="D23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32" s="22" t="str">
        <f>HYPERLINK("https://otsuka-europe-crm.veevavault.com/ui/#object/sent_email__v/VBL000000034381", "SE-001442760")</f>
        <v>SE-001442760</v>
      </c>
      <c r="F2332" s="25">
        <v>46213.812013888892</v>
      </c>
      <c r="G2332" s="24">
        <v>1</v>
      </c>
      <c r="H2332" s="24">
        <v>1</v>
      </c>
      <c r="I2332" s="24">
        <v>1</v>
      </c>
      <c r="J2332" s="25">
        <v>46213.812013888892</v>
      </c>
      <c r="K2332" s="24">
        <v>1</v>
      </c>
      <c r="L23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32" s="22" t="str">
        <f>HYPERLINK("mailto:pmartinez@crm.otsuka-europe.com", "pmartinez@crm.otsuka-europe.com")</f>
        <v>pmartinez@crm.otsuka-europe.com</v>
      </c>
      <c r="N2332" s="25">
        <v>46212.371249999997</v>
      </c>
      <c r="O2332" s="14" t="str">
        <f>HYPERLINK("https://otsuka-europe-crm.veevavault.com/ui/#object/email_activity__v/V8C000000045077", "EN-002103541")</f>
        <v>EN-002103541</v>
      </c>
    </row>
    <row r="2333" spans="1:15" ht="16" x14ac:dyDescent="0.2">
      <c r="A2333" s="26"/>
      <c r="B2333" s="26"/>
      <c r="C2333" s="26"/>
      <c r="D2333" s="26"/>
      <c r="E2333" s="26"/>
      <c r="F2333" s="26"/>
      <c r="G2333" s="26"/>
      <c r="H2333" s="26"/>
      <c r="I2333" s="26"/>
      <c r="J2333" s="26"/>
      <c r="K2333" s="26"/>
      <c r="L2333" s="26"/>
      <c r="M2333" s="26"/>
      <c r="N2333" s="26"/>
      <c r="O2333" s="14" t="str">
        <f>HYPERLINK("https://otsuka-europe-crm.veevavault.com/ui/#object/email_activity__v/V8C000000047381", "EN-002104835")</f>
        <v>EN-002104835</v>
      </c>
    </row>
    <row r="2334" spans="1:15" ht="16" x14ac:dyDescent="0.2">
      <c r="A2334" s="19"/>
      <c r="B2334" s="19"/>
      <c r="C2334" s="19"/>
      <c r="D2334" s="19"/>
      <c r="E2334" s="19"/>
      <c r="F2334" s="19"/>
      <c r="G2334" s="19"/>
      <c r="H2334" s="19"/>
      <c r="I2334" s="19"/>
      <c r="J2334" s="19"/>
      <c r="K2334" s="19"/>
      <c r="L2334" s="19"/>
      <c r="M2334" s="19"/>
      <c r="N2334" s="19"/>
      <c r="O2334" s="14" t="str">
        <f>HYPERLINK("https://otsuka-europe-crm.veevavault.com/ui/#object/email_activity__v/V8C000000047382", "EN-002104834")</f>
        <v>EN-002104834</v>
      </c>
    </row>
    <row r="2335" spans="1:15" ht="16" x14ac:dyDescent="0.2">
      <c r="A2335" s="18" t="str">
        <f>HYPERLINK("https://otsuka-europe-crm.veevavault.com/ui/#object/account__v/V4TZ06G6O71TAQ8", "PEDRO JESUS LABRADOR GOMEZ")</f>
        <v>PEDRO JESUS LABRADOR GOMEZ</v>
      </c>
      <c r="B2335" s="18" t="str">
        <f>HYPERLINK("https://otsuka-europe-crm.veevavault.com/ui/#object/vcountry__v/VENZ000004SONF5", "ES")</f>
        <v>ES</v>
      </c>
      <c r="C2335" s="20" t="s">
        <v>39</v>
      </c>
      <c r="D23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35" s="22" t="str">
        <f>HYPERLINK("https://otsuka-europe-crm.veevavault.com/ui/#object/sent_email__v/VBL000000034382", "SE-001442761")</f>
        <v>SE-001442761</v>
      </c>
      <c r="F2335" s="25">
        <v>46212.717442129629</v>
      </c>
      <c r="G2335" s="24">
        <v>1</v>
      </c>
      <c r="H2335" s="24">
        <v>3</v>
      </c>
      <c r="I2335" s="24">
        <v>1</v>
      </c>
      <c r="J2335" s="25">
        <v>46212.717789351853</v>
      </c>
      <c r="K2335" s="24">
        <v>1</v>
      </c>
      <c r="L23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35" s="22" t="str">
        <f>HYPERLINK("mailto:pmartinez@crm.otsuka-europe.com", "pmartinez@crm.otsuka-europe.com")</f>
        <v>pmartinez@crm.otsuka-europe.com</v>
      </c>
      <c r="N2335" s="25">
        <v>46212.371249999997</v>
      </c>
      <c r="O2335" s="14" t="str">
        <f>HYPERLINK("https://otsuka-europe-crm.veevavault.com/ui/#object/email_activity__v/V8C000000043971", "EN-002103761")</f>
        <v>EN-002103761</v>
      </c>
    </row>
    <row r="2336" spans="1:15" ht="16" x14ac:dyDescent="0.2">
      <c r="A2336" s="26"/>
      <c r="B2336" s="26"/>
      <c r="C2336" s="26"/>
      <c r="D2336" s="26"/>
      <c r="E2336" s="26"/>
      <c r="F2336" s="26"/>
      <c r="G2336" s="26"/>
      <c r="H2336" s="26"/>
      <c r="I2336" s="26"/>
      <c r="J2336" s="26"/>
      <c r="K2336" s="26"/>
      <c r="L2336" s="26"/>
      <c r="M2336" s="26"/>
      <c r="N2336" s="26"/>
      <c r="O2336" s="14" t="str">
        <f>HYPERLINK("https://otsuka-europe-crm.veevavault.com/ui/#object/email_activity__v/V8C000000043972", "EN-002103762")</f>
        <v>EN-002103762</v>
      </c>
    </row>
    <row r="2337" spans="1:15" ht="16" x14ac:dyDescent="0.2">
      <c r="A2337" s="26"/>
      <c r="B2337" s="26"/>
      <c r="C2337" s="26"/>
      <c r="D2337" s="26"/>
      <c r="E2337" s="26"/>
      <c r="F2337" s="26"/>
      <c r="G2337" s="26"/>
      <c r="H2337" s="26"/>
      <c r="I2337" s="26"/>
      <c r="J2337" s="26"/>
      <c r="K2337" s="26"/>
      <c r="L2337" s="26"/>
      <c r="M2337" s="26"/>
      <c r="N2337" s="26"/>
      <c r="O2337" s="14" t="str">
        <f>HYPERLINK("https://otsuka-europe-crm.veevavault.com/ui/#object/email_activity__v/V8C000000045018", "EN-002103482")</f>
        <v>EN-002103482</v>
      </c>
    </row>
    <row r="2338" spans="1:15" ht="16" x14ac:dyDescent="0.2">
      <c r="A2338" s="26"/>
      <c r="B2338" s="26"/>
      <c r="C2338" s="26"/>
      <c r="D2338" s="26"/>
      <c r="E2338" s="26"/>
      <c r="F2338" s="26"/>
      <c r="G2338" s="26"/>
      <c r="H2338" s="26"/>
      <c r="I2338" s="26"/>
      <c r="J2338" s="26"/>
      <c r="K2338" s="26"/>
      <c r="L2338" s="26"/>
      <c r="M2338" s="26"/>
      <c r="N2338" s="26"/>
      <c r="O2338" s="14" t="str">
        <f>HYPERLINK("https://otsuka-europe-crm.veevavault.com/ui/#object/email_activity__v/V8C000000046187", "EN-002104134")</f>
        <v>EN-002104134</v>
      </c>
    </row>
    <row r="2339" spans="1:15" ht="16" x14ac:dyDescent="0.2">
      <c r="A2339" s="19"/>
      <c r="B2339" s="19"/>
      <c r="C2339" s="19"/>
      <c r="D2339" s="19"/>
      <c r="E2339" s="19"/>
      <c r="F2339" s="19"/>
      <c r="G2339" s="19"/>
      <c r="H2339" s="19"/>
      <c r="I2339" s="19"/>
      <c r="J2339" s="19"/>
      <c r="K2339" s="19"/>
      <c r="L2339" s="19"/>
      <c r="M2339" s="19"/>
      <c r="N2339" s="19"/>
      <c r="O2339" s="14" t="str">
        <f>HYPERLINK("https://otsuka-europe-crm.veevavault.com/ui/#object/email_activity__v/V8C000000046188", "EN-002104135")</f>
        <v>EN-002104135</v>
      </c>
    </row>
    <row r="2340" spans="1:15" ht="16" x14ac:dyDescent="0.2">
      <c r="A2340" s="18" t="str">
        <f>HYPERLINK("https://otsuka-europe-crm.veevavault.com/ui/#object/account__v/V4TZ06G6O71T8OY", "IRENE AGRAZ PAMPLONA")</f>
        <v>IRENE AGRAZ PAMPLONA</v>
      </c>
      <c r="B2340" s="18" t="str">
        <f>HYPERLINK("https://otsuka-europe-crm.veevavault.com/ui/#object/vcountry__v/VENZ000004SONF5", "ES")</f>
        <v>ES</v>
      </c>
      <c r="C2340" s="20" t="s">
        <v>39</v>
      </c>
      <c r="D234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40" s="22" t="str">
        <f>HYPERLINK("https://otsuka-europe-crm.veevavault.com/ui/#object/sent_email__v/VBL000000034383", "SE-001442762")</f>
        <v>SE-001442762</v>
      </c>
      <c r="F2340" s="25">
        <v>46212.568425925929</v>
      </c>
      <c r="G2340" s="24">
        <v>1</v>
      </c>
      <c r="H2340" s="24">
        <v>1</v>
      </c>
      <c r="I2340" s="24">
        <v>0</v>
      </c>
      <c r="J2340" s="23"/>
      <c r="K2340" s="24">
        <v>0</v>
      </c>
      <c r="L234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40" s="22" t="str">
        <f>HYPERLINK("mailto:pmartinez@crm.otsuka-europe.com", "pmartinez@crm.otsuka-europe.com")</f>
        <v>pmartinez@crm.otsuka-europe.com</v>
      </c>
      <c r="N2340" s="25">
        <v>46212.371249999997</v>
      </c>
      <c r="O2340" s="14" t="str">
        <f>HYPERLINK("https://otsuka-europe-crm.veevavault.com/ui/#object/email_activity__v/V8C000000045109", "EN-002103573")</f>
        <v>EN-002103573</v>
      </c>
    </row>
    <row r="2341" spans="1:15" ht="16" x14ac:dyDescent="0.2">
      <c r="A2341" s="19"/>
      <c r="B2341" s="19"/>
      <c r="C2341" s="19"/>
      <c r="D2341" s="19"/>
      <c r="E2341" s="19"/>
      <c r="F2341" s="19"/>
      <c r="G2341" s="19"/>
      <c r="H2341" s="19"/>
      <c r="I2341" s="19"/>
      <c r="J2341" s="19"/>
      <c r="K2341" s="19"/>
      <c r="L2341" s="19"/>
      <c r="M2341" s="19"/>
      <c r="N2341" s="19"/>
      <c r="O2341" s="14" t="str">
        <f>HYPERLINK("https://otsuka-europe-crm.veevavault.com/ui/#object/email_activity__v/V8C000000045336", "EN-002103945")</f>
        <v>EN-002103945</v>
      </c>
    </row>
    <row r="2342" spans="1:15" ht="64" x14ac:dyDescent="0.2">
      <c r="A2342" s="7" t="str">
        <f>HYPERLINK("https://otsuka-europe-crm.veevavault.com/ui/#object/account__v/V4TZ06G6OB402C2", "SILVIA MORENO LOSHUERTOS")</f>
        <v>SILVIA MORENO LOSHUERTOS</v>
      </c>
      <c r="B2342" s="7" t="str">
        <f>HYPERLINK("https://otsuka-europe-crm.veevavault.com/ui/#object/vcountry__v/VENZ000004SONF5", "ES")</f>
        <v>ES</v>
      </c>
      <c r="C2342" s="8" t="s">
        <v>39</v>
      </c>
      <c r="D234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42" s="10" t="str">
        <f>HYPERLINK("https://otsuka-europe-crm.veevavault.com/ui/#object/sent_email__v/VBL000000034384", "SE-001442763")</f>
        <v>SE-001442763</v>
      </c>
      <c r="F2342" s="11"/>
      <c r="G2342" s="12">
        <v>0</v>
      </c>
      <c r="H2342" s="12">
        <v>0</v>
      </c>
      <c r="I2342" s="12">
        <v>0</v>
      </c>
      <c r="J2342" s="11"/>
      <c r="K2342" s="12">
        <v>0</v>
      </c>
      <c r="L234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42" s="10" t="str">
        <f>HYPERLINK("mailto:pmartinez@crm.otsuka-europe.com", "pmartinez@crm.otsuka-europe.com")</f>
        <v>pmartinez@crm.otsuka-europe.com</v>
      </c>
      <c r="N2342" s="13">
        <v>46212.371249999997</v>
      </c>
      <c r="O2342" s="14" t="str">
        <f>HYPERLINK("https://otsuka-europe-crm.veevavault.com/ui/#object/email_activity__v/V8C000000045064", "EN-002103528")</f>
        <v>EN-002103528</v>
      </c>
    </row>
    <row r="2343" spans="1:15" ht="16" x14ac:dyDescent="0.2">
      <c r="A2343" s="18" t="str">
        <f>HYPERLINK("https://otsuka-europe-crm.veevavault.com/ui/#object/account__v/V4TZ06G6O71T74Q", "CAROLINA EUGENIA PURROY IRURZUN")</f>
        <v>CAROLINA EUGENIA PURROY IRURZUN</v>
      </c>
      <c r="B2343" s="18" t="str">
        <f>HYPERLINK("https://otsuka-europe-crm.veevavault.com/ui/#object/vcountry__v/VENZ000004SONF5", "ES")</f>
        <v>ES</v>
      </c>
      <c r="C2343" s="20" t="s">
        <v>39</v>
      </c>
      <c r="D234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43" s="22" t="str">
        <f>HYPERLINK("https://otsuka-europe-crm.veevavault.com/ui/#object/sent_email__v/VBL000000034385", "SE-001442764")</f>
        <v>SE-001442764</v>
      </c>
      <c r="F2343" s="25">
        <v>46212.392418981479</v>
      </c>
      <c r="G2343" s="24">
        <v>1</v>
      </c>
      <c r="H2343" s="24">
        <v>1</v>
      </c>
      <c r="I2343" s="24">
        <v>0</v>
      </c>
      <c r="J2343" s="23"/>
      <c r="K2343" s="24">
        <v>0</v>
      </c>
      <c r="L234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43" s="22" t="str">
        <f>HYPERLINK("mailto:pmartinez@crm.otsuka-europe.com", "pmartinez@crm.otsuka-europe.com")</f>
        <v>pmartinez@crm.otsuka-europe.com</v>
      </c>
      <c r="N2343" s="25">
        <v>46212.371249999997</v>
      </c>
      <c r="O2343" s="14" t="str">
        <f>HYPERLINK("https://otsuka-europe-crm.veevavault.com/ui/#object/email_activity__v/V8C000000043943", "EN-002103719")</f>
        <v>EN-002103719</v>
      </c>
    </row>
    <row r="2344" spans="1:15" ht="16" x14ac:dyDescent="0.2">
      <c r="A2344" s="19"/>
      <c r="B2344" s="19"/>
      <c r="C2344" s="19"/>
      <c r="D2344" s="19"/>
      <c r="E2344" s="19"/>
      <c r="F2344" s="19"/>
      <c r="G2344" s="19"/>
      <c r="H2344" s="19"/>
      <c r="I2344" s="19"/>
      <c r="J2344" s="19"/>
      <c r="K2344" s="19"/>
      <c r="L2344" s="19"/>
      <c r="M2344" s="19"/>
      <c r="N2344" s="19"/>
      <c r="O2344" s="14" t="str">
        <f>HYPERLINK("https://otsuka-europe-crm.veevavault.com/ui/#object/email_activity__v/V8C000000045055", "EN-002103519")</f>
        <v>EN-002103519</v>
      </c>
    </row>
    <row r="2345" spans="1:15" ht="16" x14ac:dyDescent="0.2">
      <c r="A2345" s="18" t="str">
        <f>HYPERLINK("https://otsuka-europe-crm.veevavault.com/ui/#object/account__v/V4TZ025E85WVSNB", "SHEYLA CHRISTAL ALVAREZ PARRA")</f>
        <v>SHEYLA CHRISTAL ALVAREZ PARRA</v>
      </c>
      <c r="B2345" s="18" t="str">
        <f>HYPERLINK("https://otsuka-europe-crm.veevavault.com/ui/#object/vcountry__v/VENZ000004SONF5", "ES")</f>
        <v>ES</v>
      </c>
      <c r="C2345" s="20" t="s">
        <v>39</v>
      </c>
      <c r="D234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45" s="22" t="str">
        <f>HYPERLINK("https://otsuka-europe-crm.veevavault.com/ui/#object/sent_email__v/VBL000000034386", "SE-001442765")</f>
        <v>SE-001442765</v>
      </c>
      <c r="F2345" s="25">
        <v>46212.426817129628</v>
      </c>
      <c r="G2345" s="24">
        <v>1</v>
      </c>
      <c r="H2345" s="24">
        <v>1</v>
      </c>
      <c r="I2345" s="24">
        <v>1</v>
      </c>
      <c r="J2345" s="25">
        <v>46212.427083333336</v>
      </c>
      <c r="K2345" s="24">
        <v>1</v>
      </c>
      <c r="L234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45" s="22" t="str">
        <f>HYPERLINK("mailto:pmartinez@crm.otsuka-europe.com", "pmartinez@crm.otsuka-europe.com")</f>
        <v>pmartinez@crm.otsuka-europe.com</v>
      </c>
      <c r="N2345" s="25">
        <v>46212.37128472222</v>
      </c>
      <c r="O2345" s="14" t="str">
        <f>HYPERLINK("https://otsuka-europe-crm.veevavault.com/ui/#object/email_activity__v/V8C000000043989", "EN-002103791")</f>
        <v>EN-002103791</v>
      </c>
    </row>
    <row r="2346" spans="1:15" ht="16" x14ac:dyDescent="0.2">
      <c r="A2346" s="26"/>
      <c r="B2346" s="26"/>
      <c r="C2346" s="26"/>
      <c r="D2346" s="26"/>
      <c r="E2346" s="26"/>
      <c r="F2346" s="26"/>
      <c r="G2346" s="26"/>
      <c r="H2346" s="26"/>
      <c r="I2346" s="26"/>
      <c r="J2346" s="26"/>
      <c r="K2346" s="26"/>
      <c r="L2346" s="26"/>
      <c r="M2346" s="26"/>
      <c r="N2346" s="26"/>
      <c r="O2346" s="14" t="str">
        <f>HYPERLINK("https://otsuka-europe-crm.veevavault.com/ui/#object/email_activity__v/V8C000000045128", "EN-002103592")</f>
        <v>EN-002103592</v>
      </c>
    </row>
    <row r="2347" spans="1:15" ht="16" x14ac:dyDescent="0.2">
      <c r="A2347" s="19"/>
      <c r="B2347" s="19"/>
      <c r="C2347" s="19"/>
      <c r="D2347" s="19"/>
      <c r="E2347" s="19"/>
      <c r="F2347" s="19"/>
      <c r="G2347" s="19"/>
      <c r="H2347" s="19"/>
      <c r="I2347" s="19"/>
      <c r="J2347" s="19"/>
      <c r="K2347" s="19"/>
      <c r="L2347" s="19"/>
      <c r="M2347" s="19"/>
      <c r="N2347" s="19"/>
      <c r="O2347" s="14" t="str">
        <f>HYPERLINK("https://otsuka-europe-crm.veevavault.com/ui/#object/email_activity__v/V8C000000045250", "EN-002103792")</f>
        <v>EN-002103792</v>
      </c>
    </row>
    <row r="2348" spans="1:15" ht="64" x14ac:dyDescent="0.2">
      <c r="A2348" s="7" t="str">
        <f>HYPERLINK("https://otsuka-europe-crm.veevavault.com/ui/#object/account__v/V4TZ06G6O71TCF9", "MARIA CARMEN VAZQUEZ GOMEZ")</f>
        <v>MARIA CARMEN VAZQUEZ GOMEZ</v>
      </c>
      <c r="B2348" s="7" t="str">
        <f>HYPERLINK("https://otsuka-europe-crm.veevavault.com/ui/#object/vcountry__v/VENZ000004SONF5", "ES")</f>
        <v>ES</v>
      </c>
      <c r="C2348" s="8" t="s">
        <v>39</v>
      </c>
      <c r="D234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48" s="10" t="str">
        <f>HYPERLINK("https://otsuka-europe-crm.veevavault.com/ui/#object/sent_email__v/VBL000000034387", "SE-001442766")</f>
        <v>SE-001442766</v>
      </c>
      <c r="F2348" s="11"/>
      <c r="G2348" s="12">
        <v>0</v>
      </c>
      <c r="H2348" s="12">
        <v>0</v>
      </c>
      <c r="I2348" s="12">
        <v>0</v>
      </c>
      <c r="J2348" s="11"/>
      <c r="K2348" s="12">
        <v>0</v>
      </c>
      <c r="L234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48" s="10" t="str">
        <f>HYPERLINK("mailto:pmartinez@crm.otsuka-europe.com", "pmartinez@crm.otsuka-europe.com")</f>
        <v>pmartinez@crm.otsuka-europe.com</v>
      </c>
      <c r="N2348" s="13">
        <v>46212.371249999997</v>
      </c>
      <c r="O2348" s="14" t="str">
        <f>HYPERLINK("https://otsuka-europe-crm.veevavault.com/ui/#object/email_activity__v/V8C000000045091", "EN-002103555")</f>
        <v>EN-002103555</v>
      </c>
    </row>
    <row r="2349" spans="1:15" ht="64" x14ac:dyDescent="0.2">
      <c r="A2349" s="7" t="str">
        <f>HYPERLINK("https://otsuka-europe-crm.veevavault.com/ui/#object/account__v/V4TZ06G6O71T7DK", "JOSE ANTONIO QUINTANAR LARTUNDO")</f>
        <v>JOSE ANTONIO QUINTANAR LARTUNDO</v>
      </c>
      <c r="B2349" s="7" t="str">
        <f>HYPERLINK("https://otsuka-europe-crm.veevavault.com/ui/#object/vcountry__v/VENZ000004SONF5", "ES")</f>
        <v>ES</v>
      </c>
      <c r="C2349" s="8" t="s">
        <v>39</v>
      </c>
      <c r="D234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49" s="10" t="str">
        <f>HYPERLINK("https://otsuka-europe-crm.veevavault.com/ui/#object/sent_email__v/VBL000000034388", "SE-001442767")</f>
        <v>SE-001442767</v>
      </c>
      <c r="F2349" s="11"/>
      <c r="G2349" s="12">
        <v>0</v>
      </c>
      <c r="H2349" s="12">
        <v>0</v>
      </c>
      <c r="I2349" s="12">
        <v>0</v>
      </c>
      <c r="J2349" s="11"/>
      <c r="K2349" s="12">
        <v>0</v>
      </c>
      <c r="L234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49" s="10" t="str">
        <f>HYPERLINK("mailto:pmartinez@crm.otsuka-europe.com", "pmartinez@crm.otsuka-europe.com")</f>
        <v>pmartinez@crm.otsuka-europe.com</v>
      </c>
      <c r="N2349" s="13">
        <v>46212.371249999997</v>
      </c>
      <c r="O2349" s="14" t="str">
        <f>HYPERLINK("https://otsuka-europe-crm.veevavault.com/ui/#object/email_activity__v/V8C000000045029", "EN-002103493")</f>
        <v>EN-002103493</v>
      </c>
    </row>
    <row r="2350" spans="1:15" ht="16" x14ac:dyDescent="0.2">
      <c r="A2350" s="18" t="str">
        <f>HYPERLINK("https://otsuka-europe-crm.veevavault.com/ui/#object/account__v/V4TZ06G6O71TAAJ", "MARIA ANGELES GOICOECHEA DIEZHANDINO")</f>
        <v>MARIA ANGELES GOICOECHEA DIEZHANDINO</v>
      </c>
      <c r="B2350" s="18" t="str">
        <f>HYPERLINK("https://otsuka-europe-crm.veevavault.com/ui/#object/vcountry__v/VENZ000004SONF5", "ES")</f>
        <v>ES</v>
      </c>
      <c r="C2350" s="20" t="s">
        <v>39</v>
      </c>
      <c r="D23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0" s="22" t="str">
        <f>HYPERLINK("https://otsuka-europe-crm.veevavault.com/ui/#object/sent_email__v/VBL000000034389", "SE-001442768")</f>
        <v>SE-001442768</v>
      </c>
      <c r="F2350" s="25">
        <v>46212.885277777779</v>
      </c>
      <c r="G2350" s="24">
        <v>1</v>
      </c>
      <c r="H2350" s="24">
        <v>1</v>
      </c>
      <c r="I2350" s="24">
        <v>0</v>
      </c>
      <c r="J2350" s="23"/>
      <c r="K2350" s="24">
        <v>0</v>
      </c>
      <c r="L23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0" s="22" t="str">
        <f>HYPERLINK("mailto:pmartinez@crm.otsuka-europe.com", "pmartinez@crm.otsuka-europe.com")</f>
        <v>pmartinez@crm.otsuka-europe.com</v>
      </c>
      <c r="N2350" s="25">
        <v>46212.371249999997</v>
      </c>
      <c r="O2350" s="14" t="str">
        <f>HYPERLINK("https://otsuka-europe-crm.veevavault.com/ui/#object/email_activity__v/V8C000000044995", "EN-002103460")</f>
        <v>EN-002103460</v>
      </c>
    </row>
    <row r="2351" spans="1:15" ht="16" x14ac:dyDescent="0.2">
      <c r="A2351" s="19"/>
      <c r="B2351" s="19"/>
      <c r="C2351" s="19"/>
      <c r="D2351" s="19"/>
      <c r="E2351" s="19"/>
      <c r="F2351" s="19"/>
      <c r="G2351" s="19"/>
      <c r="H2351" s="19"/>
      <c r="I2351" s="19"/>
      <c r="J2351" s="19"/>
      <c r="K2351" s="19"/>
      <c r="L2351" s="19"/>
      <c r="M2351" s="19"/>
      <c r="N2351" s="19"/>
      <c r="O2351" s="14" t="str">
        <f>HYPERLINK("https://otsuka-europe-crm.veevavault.com/ui/#object/email_activity__v/V8C000000047008", "EN-002104171")</f>
        <v>EN-002104171</v>
      </c>
    </row>
    <row r="2352" spans="1:15" ht="64" x14ac:dyDescent="0.2">
      <c r="A2352" s="7" t="str">
        <f>HYPERLINK("https://otsuka-europe-crm.veevavault.com/ui/#object/account__v/V4TZ06G6O71T9S3", "BEATRIZ FERNANDEZ FERNANDEZ")</f>
        <v>BEATRIZ FERNANDEZ FERNANDEZ</v>
      </c>
      <c r="B2352" s="7" t="str">
        <f>HYPERLINK("https://otsuka-europe-crm.veevavault.com/ui/#object/vcountry__v/VENZ000004SONF5", "ES")</f>
        <v>ES</v>
      </c>
      <c r="C2352" s="8" t="s">
        <v>39</v>
      </c>
      <c r="D235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2" s="10" t="str">
        <f>HYPERLINK("https://otsuka-europe-crm.veevavault.com/ui/#object/sent_email__v/VBL000000034390", "SE-001442769")</f>
        <v>SE-001442769</v>
      </c>
      <c r="F2352" s="11"/>
      <c r="G2352" s="12">
        <v>0</v>
      </c>
      <c r="H2352" s="12">
        <v>0</v>
      </c>
      <c r="I2352" s="12">
        <v>0</v>
      </c>
      <c r="J2352" s="11"/>
      <c r="K2352" s="12">
        <v>0</v>
      </c>
      <c r="L235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2" s="10" t="str">
        <f>HYPERLINK("mailto:pmartinez@crm.otsuka-europe.com", "pmartinez@crm.otsuka-europe.com")</f>
        <v>pmartinez@crm.otsuka-europe.com</v>
      </c>
      <c r="N2352" s="13">
        <v>46212.371249999997</v>
      </c>
      <c r="O2352" s="14" t="str">
        <f>HYPERLINK("https://otsuka-europe-crm.veevavault.com/ui/#object/email_activity__v/V8C000000045037", "EN-002103501")</f>
        <v>EN-002103501</v>
      </c>
    </row>
    <row r="2353" spans="1:15" ht="64" x14ac:dyDescent="0.2">
      <c r="A2353" s="7" t="str">
        <f>HYPERLINK("https://otsuka-europe-crm.veevavault.com/ui/#object/account__v/V4TZ06G6O71TA49", "JORDINA GORRO CAELLES")</f>
        <v>JORDINA GORRO CAELLES</v>
      </c>
      <c r="B2353" s="7" t="str">
        <f>HYPERLINK("https://otsuka-europe-crm.veevavault.com/ui/#object/vcountry__v/VENZ000004SONF5", "ES")</f>
        <v>ES</v>
      </c>
      <c r="C2353" s="8" t="s">
        <v>39</v>
      </c>
      <c r="D235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3" s="10" t="str">
        <f>HYPERLINK("https://otsuka-europe-crm.veevavault.com/ui/#object/sent_email__v/VBL000000034391", "SE-001442770")</f>
        <v>SE-001442770</v>
      </c>
      <c r="F2353" s="11"/>
      <c r="G2353" s="12">
        <v>0</v>
      </c>
      <c r="H2353" s="12">
        <v>0</v>
      </c>
      <c r="I2353" s="12">
        <v>0</v>
      </c>
      <c r="J2353" s="11"/>
      <c r="K2353" s="12">
        <v>0</v>
      </c>
      <c r="L235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3" s="10" t="str">
        <f>HYPERLINK("mailto:pmartinez@crm.otsuka-europe.com", "pmartinez@crm.otsuka-europe.com")</f>
        <v>pmartinez@crm.otsuka-europe.com</v>
      </c>
      <c r="N2353" s="13">
        <v>46212.371249999997</v>
      </c>
      <c r="O2353" s="14" t="str">
        <f>HYPERLINK("https://otsuka-europe-crm.veevavault.com/ui/#object/email_activity__v/V8C000000044992", "EN-002103457")</f>
        <v>EN-002103457</v>
      </c>
    </row>
    <row r="2354" spans="1:15" ht="16" x14ac:dyDescent="0.2">
      <c r="A2354" s="18" t="str">
        <f>HYPERLINK("https://otsuka-europe-crm.veevavault.com/ui/#object/account__v/V4TZ06G6O71T7H5", "ELISA CABELLO MOYA")</f>
        <v>ELISA CABELLO MOYA</v>
      </c>
      <c r="B2354" s="18" t="str">
        <f>HYPERLINK("https://otsuka-europe-crm.veevavault.com/ui/#object/vcountry__v/VENZ000004SONF5", "ES")</f>
        <v>ES</v>
      </c>
      <c r="C2354" s="20" t="s">
        <v>39</v>
      </c>
      <c r="D235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4" s="22" t="str">
        <f>HYPERLINK("https://otsuka-europe-crm.veevavault.com/ui/#object/sent_email__v/VBL000000034392", "SE-001442771")</f>
        <v>SE-001442771</v>
      </c>
      <c r="F2354" s="25">
        <v>46212.444699074076</v>
      </c>
      <c r="G2354" s="24">
        <v>1</v>
      </c>
      <c r="H2354" s="24">
        <v>1</v>
      </c>
      <c r="I2354" s="24">
        <v>0</v>
      </c>
      <c r="J2354" s="23"/>
      <c r="K2354" s="24">
        <v>0</v>
      </c>
      <c r="L235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4" s="22" t="str">
        <f>HYPERLINK("mailto:pmartinez@crm.otsuka-europe.com", "pmartinez@crm.otsuka-europe.com")</f>
        <v>pmartinez@crm.otsuka-europe.com</v>
      </c>
      <c r="N2354" s="25">
        <v>46212.37128472222</v>
      </c>
      <c r="O2354" s="14" t="str">
        <f>HYPERLINK("https://otsuka-europe-crm.veevavault.com/ui/#object/email_activity__v/V8C000000043996", "EN-002103804")</f>
        <v>EN-002103804</v>
      </c>
    </row>
    <row r="2355" spans="1:15" ht="16" x14ac:dyDescent="0.2">
      <c r="A2355" s="19"/>
      <c r="B2355" s="19"/>
      <c r="C2355" s="19"/>
      <c r="D2355" s="19"/>
      <c r="E2355" s="19"/>
      <c r="F2355" s="19"/>
      <c r="G2355" s="19"/>
      <c r="H2355" s="19"/>
      <c r="I2355" s="19"/>
      <c r="J2355" s="19"/>
      <c r="K2355" s="19"/>
      <c r="L2355" s="19"/>
      <c r="M2355" s="19"/>
      <c r="N2355" s="19"/>
      <c r="O2355" s="14" t="str">
        <f>HYPERLINK("https://otsuka-europe-crm.veevavault.com/ui/#object/email_activity__v/V8C000000045129", "EN-002103593")</f>
        <v>EN-002103593</v>
      </c>
    </row>
    <row r="2356" spans="1:15" ht="64" x14ac:dyDescent="0.2">
      <c r="A2356" s="7" t="str">
        <f>HYPERLINK("https://otsuka-europe-crm.veevavault.com/ui/#object/account__v/V4TZ06G6O71UQSA", "PATRICIA JIMENEZ ANTUÑANO")</f>
        <v>PATRICIA JIMENEZ ANTUÑANO</v>
      </c>
      <c r="B2356" s="7" t="str">
        <f>HYPERLINK("https://otsuka-europe-crm.veevavault.com/ui/#object/vcountry__v/VENZ000004SONF5", "ES")</f>
        <v>ES</v>
      </c>
      <c r="C2356" s="8" t="s">
        <v>39</v>
      </c>
      <c r="D235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6" s="10" t="str">
        <f>HYPERLINK("https://otsuka-europe-crm.veevavault.com/ui/#object/sent_email__v/VBL000000034393", "SE-001442772")</f>
        <v>SE-001442772</v>
      </c>
      <c r="F2356" s="11"/>
      <c r="G2356" s="12">
        <v>0</v>
      </c>
      <c r="H2356" s="12">
        <v>0</v>
      </c>
      <c r="I2356" s="12">
        <v>0</v>
      </c>
      <c r="J2356" s="11"/>
      <c r="K2356" s="12">
        <v>0</v>
      </c>
      <c r="L235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6" s="10" t="str">
        <f>HYPERLINK("mailto:pmartinez@crm.otsuka-europe.com", "pmartinez@crm.otsuka-europe.com")</f>
        <v>pmartinez@crm.otsuka-europe.com</v>
      </c>
      <c r="N2356" s="13">
        <v>46212.371249999997</v>
      </c>
      <c r="O2356" s="14" t="str">
        <f>HYPERLINK("https://otsuka-europe-crm.veevavault.com/ui/#object/email_activity__v/V8C000000045089", "EN-002103553")</f>
        <v>EN-002103553</v>
      </c>
    </row>
    <row r="2357" spans="1:15" ht="64" x14ac:dyDescent="0.2">
      <c r="A2357" s="7" t="str">
        <f>HYPERLINK("https://otsuka-europe-crm.veevavault.com/ui/#object/account__v/V4TZ025E85M8OO8", "LAURA PANIAGUA GARCIA")</f>
        <v>LAURA PANIAGUA GARCIA</v>
      </c>
      <c r="B2357" s="7" t="str">
        <f>HYPERLINK("https://otsuka-europe-crm.veevavault.com/ui/#object/vcountry__v/VENZ000004SONF5", "ES")</f>
        <v>ES</v>
      </c>
      <c r="C2357" s="8" t="s">
        <v>39</v>
      </c>
      <c r="D235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7" s="10" t="str">
        <f>HYPERLINK("https://otsuka-europe-crm.veevavault.com/ui/#object/sent_email__v/VBL000000034394", "SE-001442773")</f>
        <v>SE-001442773</v>
      </c>
      <c r="F2357" s="11"/>
      <c r="G2357" s="12">
        <v>0</v>
      </c>
      <c r="H2357" s="12">
        <v>0</v>
      </c>
      <c r="I2357" s="12">
        <v>0</v>
      </c>
      <c r="J2357" s="11"/>
      <c r="K2357" s="12">
        <v>0</v>
      </c>
      <c r="L235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7" s="10" t="str">
        <f>HYPERLINK("mailto:pmartinez@crm.otsuka-europe.com", "pmartinez@crm.otsuka-europe.com")</f>
        <v>pmartinez@crm.otsuka-europe.com</v>
      </c>
      <c r="N2357" s="13">
        <v>46212.371249999997</v>
      </c>
      <c r="O2357" s="14" t="str">
        <f>HYPERLINK("https://otsuka-europe-crm.veevavault.com/ui/#object/email_activity__v/V8C000000045042", "EN-002103506")</f>
        <v>EN-002103506</v>
      </c>
    </row>
    <row r="2358" spans="1:15" ht="16" x14ac:dyDescent="0.2">
      <c r="A2358" s="18" t="str">
        <f>HYPERLINK("https://otsuka-europe-crm.veevavault.com/ui/#object/account__v/V4TZ06G6O71T9FF", "JORDI CALLS GINESTA")</f>
        <v>JORDI CALLS GINESTA</v>
      </c>
      <c r="B2358" s="18" t="str">
        <f>HYPERLINK("https://otsuka-europe-crm.veevavault.com/ui/#object/vcountry__v/VENZ000004SONF5", "ES")</f>
        <v>ES</v>
      </c>
      <c r="C2358" s="20" t="s">
        <v>39</v>
      </c>
      <c r="D235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58" s="22" t="str">
        <f>HYPERLINK("https://otsuka-europe-crm.veevavault.com/ui/#object/sent_email__v/VBL000000034395", "SE-001442774")</f>
        <v>SE-001442774</v>
      </c>
      <c r="F2358" s="23"/>
      <c r="G2358" s="24">
        <v>0</v>
      </c>
      <c r="H2358" s="24">
        <v>0</v>
      </c>
      <c r="I2358" s="24">
        <v>0</v>
      </c>
      <c r="J2358" s="23"/>
      <c r="K2358" s="24">
        <v>0</v>
      </c>
      <c r="L235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58" s="22" t="str">
        <f>HYPERLINK("mailto:pmartinez@crm.otsuka-europe.com", "pmartinez@crm.otsuka-europe.com")</f>
        <v>pmartinez@crm.otsuka-europe.com</v>
      </c>
      <c r="N2358" s="25">
        <v>46212.371331018519</v>
      </c>
      <c r="O2358" s="14" t="str">
        <f>HYPERLINK("https://otsuka-europe-crm.veevavault.com/ui/#object/email_activity__v/V8C000000043992", "EN-002103795")</f>
        <v>EN-002103795</v>
      </c>
    </row>
    <row r="2359" spans="1:15" ht="16" x14ac:dyDescent="0.2">
      <c r="A2359" s="19"/>
      <c r="B2359" s="19"/>
      <c r="C2359" s="19"/>
      <c r="D2359" s="19"/>
      <c r="E2359" s="19"/>
      <c r="F2359" s="19"/>
      <c r="G2359" s="19"/>
      <c r="H2359" s="19"/>
      <c r="I2359" s="19"/>
      <c r="J2359" s="19"/>
      <c r="K2359" s="19"/>
      <c r="L2359" s="19"/>
      <c r="M2359" s="19"/>
      <c r="N2359" s="19"/>
      <c r="O2359" s="14" t="str">
        <f>HYPERLINK("https://otsuka-europe-crm.veevavault.com/ui/#object/email_activity__v/V8C000000045144", "EN-002103608")</f>
        <v>EN-002103608</v>
      </c>
    </row>
    <row r="2360" spans="1:15" ht="64" x14ac:dyDescent="0.2">
      <c r="A2360" s="7" t="str">
        <f>HYPERLINK("https://otsuka-europe-crm.veevavault.com/ui/#object/account__v/V4TZ06G6O71TBU5", "PATROCINIO RODRIGUEZ BENITEZ")</f>
        <v>PATROCINIO RODRIGUEZ BENITEZ</v>
      </c>
      <c r="B2360" s="7" t="str">
        <f>HYPERLINK("https://otsuka-europe-crm.veevavault.com/ui/#object/vcountry__v/VENZ000004SONF5", "ES")</f>
        <v>ES</v>
      </c>
      <c r="C2360" s="8" t="s">
        <v>39</v>
      </c>
      <c r="D236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60" s="10" t="str">
        <f>HYPERLINK("https://otsuka-europe-crm.veevavault.com/ui/#object/sent_email__v/VBL000000034396", "SE-001442775")</f>
        <v>SE-001442775</v>
      </c>
      <c r="F2360" s="11"/>
      <c r="G2360" s="12">
        <v>0</v>
      </c>
      <c r="H2360" s="12">
        <v>0</v>
      </c>
      <c r="I2360" s="12">
        <v>0</v>
      </c>
      <c r="J2360" s="11"/>
      <c r="K2360" s="12">
        <v>0</v>
      </c>
      <c r="L236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60" s="10" t="str">
        <f>HYPERLINK("mailto:pmartinez@crm.otsuka-europe.com", "pmartinez@crm.otsuka-europe.com")</f>
        <v>pmartinez@crm.otsuka-europe.com</v>
      </c>
      <c r="N2360" s="13">
        <v>46212.371249999997</v>
      </c>
      <c r="O2360" s="14" t="str">
        <f>HYPERLINK("https://otsuka-europe-crm.veevavault.com/ui/#object/email_activity__v/V8C000000045073", "EN-002103537")</f>
        <v>EN-002103537</v>
      </c>
    </row>
    <row r="2361" spans="1:15" ht="16" x14ac:dyDescent="0.2">
      <c r="A2361" s="18" t="str">
        <f>HYPERLINK("https://otsuka-europe-crm.veevavault.com/ui/#object/account__v/V4TZ06G6O71T9YI", "OSCAR GARCIA URIARTE")</f>
        <v>OSCAR GARCIA URIARTE</v>
      </c>
      <c r="B2361" s="18" t="str">
        <f>HYPERLINK("https://otsuka-europe-crm.veevavault.com/ui/#object/vcountry__v/VENZ000004SONF5", "ES")</f>
        <v>ES</v>
      </c>
      <c r="C2361" s="20" t="s">
        <v>39</v>
      </c>
      <c r="D236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61" s="22" t="str">
        <f>HYPERLINK("https://otsuka-europe-crm.veevavault.com/ui/#object/sent_email__v/VBL000000034397", "SE-001442776")</f>
        <v>SE-001442776</v>
      </c>
      <c r="F2361" s="25">
        <v>46230.616226851853</v>
      </c>
      <c r="G2361" s="24">
        <v>1</v>
      </c>
      <c r="H2361" s="24">
        <v>1</v>
      </c>
      <c r="I2361" s="24">
        <v>0</v>
      </c>
      <c r="J2361" s="23"/>
      <c r="K2361" s="24">
        <v>0</v>
      </c>
      <c r="L236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61" s="22" t="str">
        <f>HYPERLINK("mailto:pmartinez@crm.otsuka-europe.com", "pmartinez@crm.otsuka-europe.com")</f>
        <v>pmartinez@crm.otsuka-europe.com</v>
      </c>
      <c r="N2361" s="25">
        <v>46212.371249999997</v>
      </c>
      <c r="O2361" s="14" t="str">
        <f>HYPERLINK("https://otsuka-europe-crm.veevavault.com/ui/#object/email_activity__v/V8C000000045076", "EN-002103540")</f>
        <v>EN-002103540</v>
      </c>
    </row>
    <row r="2362" spans="1:15" ht="16" x14ac:dyDescent="0.2">
      <c r="A2362" s="19"/>
      <c r="B2362" s="19"/>
      <c r="C2362" s="19"/>
      <c r="D2362" s="19"/>
      <c r="E2362" s="19"/>
      <c r="F2362" s="19"/>
      <c r="G2362" s="19"/>
      <c r="H2362" s="19"/>
      <c r="I2362" s="19"/>
      <c r="J2362" s="19"/>
      <c r="K2362" s="19"/>
      <c r="L2362" s="19"/>
      <c r="M2362" s="19"/>
      <c r="N2362" s="19"/>
      <c r="O2362" s="14" t="str">
        <f>HYPERLINK("https://otsuka-europe-crm.veevavault.com/ui/#object/email_activity__v/V8C00000004E384", "EN-002109112")</f>
        <v>EN-002109112</v>
      </c>
    </row>
    <row r="2363" spans="1:15" ht="64" x14ac:dyDescent="0.2">
      <c r="A2363" s="7" t="str">
        <f>HYPERLINK("https://otsuka-europe-crm.veevavault.com/ui/#object/account__v/V4TZ06G6O71T8V0", "LUIS MARTIN PENAGOS")</f>
        <v>LUIS MARTIN PENAGOS</v>
      </c>
      <c r="B2363" s="7" t="str">
        <f>HYPERLINK("https://otsuka-europe-crm.veevavault.com/ui/#object/vcountry__v/VENZ000004SONF5", "ES")</f>
        <v>ES</v>
      </c>
      <c r="C2363" s="8" t="s">
        <v>39</v>
      </c>
      <c r="D236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63" s="10" t="str">
        <f>HYPERLINK("https://otsuka-europe-crm.veevavault.com/ui/#object/sent_email__v/VBL000000034398", "SE-001442777")</f>
        <v>SE-001442777</v>
      </c>
      <c r="F2363" s="11"/>
      <c r="G2363" s="12">
        <v>0</v>
      </c>
      <c r="H2363" s="12">
        <v>0</v>
      </c>
      <c r="I2363" s="12">
        <v>0</v>
      </c>
      <c r="J2363" s="11"/>
      <c r="K2363" s="12">
        <v>0</v>
      </c>
      <c r="L236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63" s="10" t="str">
        <f>HYPERLINK("mailto:pmartinez@crm.otsuka-europe.com", "pmartinez@crm.otsuka-europe.com")</f>
        <v>pmartinez@crm.otsuka-europe.com</v>
      </c>
      <c r="N2363" s="13">
        <v>46212.371319444443</v>
      </c>
      <c r="O2363" s="14" t="str">
        <f>HYPERLINK("https://otsuka-europe-crm.veevavault.com/ui/#object/email_activity__v/V8C000000045145", "EN-002103609")</f>
        <v>EN-002103609</v>
      </c>
    </row>
    <row r="2364" spans="1:15" ht="16" x14ac:dyDescent="0.2">
      <c r="A2364" s="18" t="str">
        <f>HYPERLINK("https://otsuka-europe-crm.veevavault.com/ui/#object/account__v/V4TZ025E82BHH6P", "ARANZAZU PARDO RUIZ")</f>
        <v>ARANZAZU PARDO RUIZ</v>
      </c>
      <c r="B2364" s="18" t="str">
        <f>HYPERLINK("https://otsuka-europe-crm.veevavault.com/ui/#object/vcountry__v/VENZ000004SONF5", "ES")</f>
        <v>ES</v>
      </c>
      <c r="C2364" s="20" t="s">
        <v>39</v>
      </c>
      <c r="D236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64" s="22" t="str">
        <f>HYPERLINK("https://otsuka-europe-crm.veevavault.com/ui/#object/sent_email__v/VBL000000034399", "SE-001442778")</f>
        <v>SE-001442778</v>
      </c>
      <c r="F2364" s="23"/>
      <c r="G2364" s="24">
        <v>0</v>
      </c>
      <c r="H2364" s="24">
        <v>0</v>
      </c>
      <c r="I2364" s="24">
        <v>0</v>
      </c>
      <c r="J2364" s="23"/>
      <c r="K2364" s="24">
        <v>0</v>
      </c>
      <c r="L236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64" s="22" t="str">
        <f>HYPERLINK("mailto:pmartinez@crm.otsuka-europe.com", "pmartinez@crm.otsuka-europe.com")</f>
        <v>pmartinez@crm.otsuka-europe.com</v>
      </c>
      <c r="N2364" s="25">
        <v>46212.371249999997</v>
      </c>
      <c r="O2364" s="14" t="str">
        <f>HYPERLINK("https://otsuka-europe-crm.veevavault.com/ui/#object/email_activity__v/V8C000000043912", "EN-002103673")</f>
        <v>EN-002103673</v>
      </c>
    </row>
    <row r="2365" spans="1:15" ht="16" x14ac:dyDescent="0.2">
      <c r="A2365" s="19"/>
      <c r="B2365" s="19"/>
      <c r="C2365" s="19"/>
      <c r="D2365" s="19"/>
      <c r="E2365" s="19"/>
      <c r="F2365" s="19"/>
      <c r="G2365" s="19"/>
      <c r="H2365" s="19"/>
      <c r="I2365" s="19"/>
      <c r="J2365" s="19"/>
      <c r="K2365" s="19"/>
      <c r="L2365" s="19"/>
      <c r="M2365" s="19"/>
      <c r="N2365" s="19"/>
      <c r="O2365" s="14" t="str">
        <f>HYPERLINK("https://otsuka-europe-crm.veevavault.com/ui/#object/email_activity__v/V8C000000045049", "EN-002103513")</f>
        <v>EN-002103513</v>
      </c>
    </row>
    <row r="2366" spans="1:15" ht="64" x14ac:dyDescent="0.2">
      <c r="A2366" s="7" t="str">
        <f>HYPERLINK("https://otsuka-europe-crm.veevavault.com/ui/#object/account__v/V4TZ04ASGGCGCVC", "ANA LUCIA VALENCIA PELAEZ")</f>
        <v>ANA LUCIA VALENCIA PELAEZ</v>
      </c>
      <c r="B2366" s="7" t="str">
        <f>HYPERLINK("https://otsuka-europe-crm.veevavault.com/ui/#object/vcountry__v/VENZ000004SONF5", "ES")</f>
        <v>ES</v>
      </c>
      <c r="C2366" s="8" t="s">
        <v>39</v>
      </c>
      <c r="D236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66" s="10" t="str">
        <f>HYPERLINK("https://otsuka-europe-crm.veevavault.com/ui/#object/sent_email__v/VBL000000034400", "SE-001442779")</f>
        <v>SE-001442779</v>
      </c>
      <c r="F2366" s="11"/>
      <c r="G2366" s="12">
        <v>0</v>
      </c>
      <c r="H2366" s="12">
        <v>0</v>
      </c>
      <c r="I2366" s="12">
        <v>0</v>
      </c>
      <c r="J2366" s="11"/>
      <c r="K2366" s="12">
        <v>0</v>
      </c>
      <c r="L236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66" s="10" t="str">
        <f>HYPERLINK("mailto:pmartinez@crm.otsuka-europe.com", "pmartinez@crm.otsuka-europe.com")</f>
        <v>pmartinez@crm.otsuka-europe.com</v>
      </c>
      <c r="N2366" s="13">
        <v>46212.371249999997</v>
      </c>
      <c r="O2366" s="14" t="str">
        <f>HYPERLINK("https://otsuka-europe-crm.veevavault.com/ui/#object/email_activity__v/V8C000000045028", "EN-002103492")</f>
        <v>EN-002103492</v>
      </c>
    </row>
    <row r="2367" spans="1:15" ht="16" x14ac:dyDescent="0.2">
      <c r="A2367" s="18" t="str">
        <f>HYPERLINK("https://otsuka-europe-crm.veevavault.com/ui/#object/account__v/V4TZ06G6O71TAXL", "JOSE LUIS MERINO RIVAS")</f>
        <v>JOSE LUIS MERINO RIVAS</v>
      </c>
      <c r="B2367" s="18" t="str">
        <f>HYPERLINK("https://otsuka-europe-crm.veevavault.com/ui/#object/vcountry__v/VENZ000004SONF5", "ES")</f>
        <v>ES</v>
      </c>
      <c r="C2367" s="20" t="s">
        <v>39</v>
      </c>
      <c r="D236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67" s="22" t="str">
        <f>HYPERLINK("https://otsuka-europe-crm.veevavault.com/ui/#object/sent_email__v/VBL000000034401", "SE-001442780")</f>
        <v>SE-001442780</v>
      </c>
      <c r="F2367" s="25">
        <v>46212.39912037037</v>
      </c>
      <c r="G2367" s="24">
        <v>1</v>
      </c>
      <c r="H2367" s="24">
        <v>2</v>
      </c>
      <c r="I2367" s="24">
        <v>0</v>
      </c>
      <c r="J2367" s="23"/>
      <c r="K2367" s="24">
        <v>0</v>
      </c>
      <c r="L236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67" s="22" t="str">
        <f>HYPERLINK("mailto:pmartinez@crm.otsuka-europe.com", "pmartinez@crm.otsuka-europe.com")</f>
        <v>pmartinez@crm.otsuka-europe.com</v>
      </c>
      <c r="N2367" s="25">
        <v>46212.371249999997</v>
      </c>
      <c r="O2367" s="14" t="str">
        <f>HYPERLINK("https://otsuka-europe-crm.veevavault.com/ui/#object/email_activity__v/V8C000000043970", "EN-002103760")</f>
        <v>EN-002103760</v>
      </c>
    </row>
    <row r="2368" spans="1:15" ht="16" x14ac:dyDescent="0.2">
      <c r="A2368" s="26"/>
      <c r="B2368" s="26"/>
      <c r="C2368" s="26"/>
      <c r="D2368" s="26"/>
      <c r="E2368" s="26"/>
      <c r="F2368" s="26"/>
      <c r="G2368" s="26"/>
      <c r="H2368" s="26"/>
      <c r="I2368" s="26"/>
      <c r="J2368" s="26"/>
      <c r="K2368" s="26"/>
      <c r="L2368" s="26"/>
      <c r="M2368" s="26"/>
      <c r="N2368" s="26"/>
      <c r="O2368" s="14" t="str">
        <f>HYPERLINK("https://otsuka-europe-crm.veevavault.com/ui/#object/email_activity__v/V8C000000043973", "EN-002103763")</f>
        <v>EN-002103763</v>
      </c>
    </row>
    <row r="2369" spans="1:15" ht="16" x14ac:dyDescent="0.2">
      <c r="A2369" s="19"/>
      <c r="B2369" s="19"/>
      <c r="C2369" s="19"/>
      <c r="D2369" s="19"/>
      <c r="E2369" s="19"/>
      <c r="F2369" s="19"/>
      <c r="G2369" s="19"/>
      <c r="H2369" s="19"/>
      <c r="I2369" s="19"/>
      <c r="J2369" s="19"/>
      <c r="K2369" s="19"/>
      <c r="L2369" s="19"/>
      <c r="M2369" s="19"/>
      <c r="N2369" s="19"/>
      <c r="O2369" s="14" t="str">
        <f>HYPERLINK("https://otsuka-europe-crm.veevavault.com/ui/#object/email_activity__v/V8C000000045061", "EN-002103525")</f>
        <v>EN-002103525</v>
      </c>
    </row>
    <row r="2370" spans="1:15" ht="64" x14ac:dyDescent="0.2">
      <c r="A2370" s="7" t="str">
        <f>HYPERLINK("https://otsuka-europe-crm.veevavault.com/ui/#object/account__v/V4TZ06G6O71T81U", "LARA BELMAR VEGA")</f>
        <v>LARA BELMAR VEGA</v>
      </c>
      <c r="B2370" s="7" t="str">
        <f>HYPERLINK("https://otsuka-europe-crm.veevavault.com/ui/#object/vcountry__v/VENZ000004SONF5", "ES")</f>
        <v>ES</v>
      </c>
      <c r="C2370" s="8" t="s">
        <v>39</v>
      </c>
      <c r="D237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0" s="10" t="str">
        <f>HYPERLINK("https://otsuka-europe-crm.veevavault.com/ui/#object/sent_email__v/VBL000000034402", "SE-001442781")</f>
        <v>SE-001442781</v>
      </c>
      <c r="F2370" s="11"/>
      <c r="G2370" s="12">
        <v>0</v>
      </c>
      <c r="H2370" s="12">
        <v>0</v>
      </c>
      <c r="I2370" s="12">
        <v>0</v>
      </c>
      <c r="J2370" s="11"/>
      <c r="K2370" s="12">
        <v>0</v>
      </c>
      <c r="L237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0" s="10" t="str">
        <f>HYPERLINK("mailto:pmartinez@crm.otsuka-europe.com", "pmartinez@crm.otsuka-europe.com")</f>
        <v>pmartinez@crm.otsuka-europe.com</v>
      </c>
      <c r="N2370" s="13">
        <v>46212.371249999997</v>
      </c>
      <c r="O2370" s="14" t="str">
        <f>HYPERLINK("https://otsuka-europe-crm.veevavault.com/ui/#object/email_activity__v/V8C000000045111", "EN-002103575")</f>
        <v>EN-002103575</v>
      </c>
    </row>
    <row r="2371" spans="1:15" ht="64" x14ac:dyDescent="0.2">
      <c r="A2371" s="7" t="str">
        <f>HYPERLINK("https://otsuka-europe-crm.veevavault.com/ui/#object/account__v/V4TZ06G6O71TB1M", "PATRICIA MARTINEZ MIGUEL")</f>
        <v>PATRICIA MARTINEZ MIGUEL</v>
      </c>
      <c r="B2371" s="7" t="str">
        <f>HYPERLINK("https://otsuka-europe-crm.veevavault.com/ui/#object/vcountry__v/VENZ000004SONF5", "ES")</f>
        <v>ES</v>
      </c>
      <c r="C2371" s="8" t="s">
        <v>39</v>
      </c>
      <c r="D237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1" s="10" t="str">
        <f>HYPERLINK("https://otsuka-europe-crm.veevavault.com/ui/#object/sent_email__v/VBL000000034403", "SE-001442782")</f>
        <v>SE-001442782</v>
      </c>
      <c r="F2371" s="11"/>
      <c r="G2371" s="12">
        <v>0</v>
      </c>
      <c r="H2371" s="12">
        <v>0</v>
      </c>
      <c r="I2371" s="12">
        <v>0</v>
      </c>
      <c r="J2371" s="11"/>
      <c r="K2371" s="12">
        <v>0</v>
      </c>
      <c r="L237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1" s="10" t="str">
        <f>HYPERLINK("mailto:pmartinez@crm.otsuka-europe.com", "pmartinez@crm.otsuka-europe.com")</f>
        <v>pmartinez@crm.otsuka-europe.com</v>
      </c>
      <c r="N2371" s="13">
        <v>46212.371249999997</v>
      </c>
      <c r="O2371" s="14" t="str">
        <f>HYPERLINK("https://otsuka-europe-crm.veevavault.com/ui/#object/email_activity__v/V8C000000045013", "EN-002103477")</f>
        <v>EN-002103477</v>
      </c>
    </row>
    <row r="2372" spans="1:15" ht="64" x14ac:dyDescent="0.2">
      <c r="A2372" s="7" t="str">
        <f>HYPERLINK("https://otsuka-europe-crm.veevavault.com/ui/#object/account__v/V4TZ06G6O71TBXC", "MARIA CARMEN ROBLEDO ZULET")</f>
        <v>MARIA CARMEN ROBLEDO ZULET</v>
      </c>
      <c r="B2372" s="7" t="str">
        <f>HYPERLINK("https://otsuka-europe-crm.veevavault.com/ui/#object/vcountry__v/VENZ000004SONF5", "ES")</f>
        <v>ES</v>
      </c>
      <c r="C2372" s="8" t="s">
        <v>39</v>
      </c>
      <c r="D237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2" s="10" t="str">
        <f>HYPERLINK("https://otsuka-europe-crm.veevavault.com/ui/#object/sent_email__v/VBL000000034404", "SE-001442783")</f>
        <v>SE-001442783</v>
      </c>
      <c r="F2372" s="11"/>
      <c r="G2372" s="12">
        <v>0</v>
      </c>
      <c r="H2372" s="12">
        <v>0</v>
      </c>
      <c r="I2372" s="12">
        <v>0</v>
      </c>
      <c r="J2372" s="11"/>
      <c r="K2372" s="12">
        <v>0</v>
      </c>
      <c r="L237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2" s="10" t="str">
        <f>HYPERLINK("mailto:pmartinez@crm.otsuka-europe.com", "pmartinez@crm.otsuka-europe.com")</f>
        <v>pmartinez@crm.otsuka-europe.com</v>
      </c>
      <c r="N2372" s="13">
        <v>46212.371249999997</v>
      </c>
      <c r="O2372" s="14" t="str">
        <f>HYPERLINK("https://otsuka-europe-crm.veevavault.com/ui/#object/email_activity__v/V8C000000045095", "EN-002103559")</f>
        <v>EN-002103559</v>
      </c>
    </row>
    <row r="2373" spans="1:15" ht="16" x14ac:dyDescent="0.2">
      <c r="A2373" s="18" t="str">
        <f>HYPERLINK("https://otsuka-europe-crm.veevavault.com/ui/#object/account__v/V4TZ06G6O71T756", "PATRICIA GARCIA FRIAS")</f>
        <v>PATRICIA GARCIA FRIAS</v>
      </c>
      <c r="B2373" s="18" t="str">
        <f>HYPERLINK("https://otsuka-europe-crm.veevavault.com/ui/#object/vcountry__v/VENZ000004SONF5", "ES")</f>
        <v>ES</v>
      </c>
      <c r="C2373" s="20" t="s">
        <v>39</v>
      </c>
      <c r="D237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3" s="22" t="str">
        <f>HYPERLINK("https://otsuka-europe-crm.veevavault.com/ui/#object/sent_email__v/VBL000000034405", "SE-001442784")</f>
        <v>SE-001442784</v>
      </c>
      <c r="F2373" s="25">
        <v>46212.712025462963</v>
      </c>
      <c r="G2373" s="24">
        <v>1</v>
      </c>
      <c r="H2373" s="24">
        <v>1</v>
      </c>
      <c r="I2373" s="24">
        <v>0</v>
      </c>
      <c r="J2373" s="23"/>
      <c r="K2373" s="24">
        <v>0</v>
      </c>
      <c r="L237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3" s="22" t="str">
        <f>HYPERLINK("mailto:pmartinez@crm.otsuka-europe.com", "pmartinez@crm.otsuka-europe.com")</f>
        <v>pmartinez@crm.otsuka-europe.com</v>
      </c>
      <c r="N2373" s="25">
        <v>46212.371331018519</v>
      </c>
      <c r="O2373" s="14" t="str">
        <f>HYPERLINK("https://otsuka-europe-crm.veevavault.com/ui/#object/email_activity__v/V8C000000045140", "EN-002103604")</f>
        <v>EN-002103604</v>
      </c>
    </row>
    <row r="2374" spans="1:15" ht="16" x14ac:dyDescent="0.2">
      <c r="A2374" s="19"/>
      <c r="B2374" s="19"/>
      <c r="C2374" s="19"/>
      <c r="D2374" s="19"/>
      <c r="E2374" s="19"/>
      <c r="F2374" s="19"/>
      <c r="G2374" s="19"/>
      <c r="H2374" s="19"/>
      <c r="I2374" s="19"/>
      <c r="J2374" s="19"/>
      <c r="K2374" s="19"/>
      <c r="L2374" s="19"/>
      <c r="M2374" s="19"/>
      <c r="N2374" s="19"/>
      <c r="O2374" s="14" t="str">
        <f>HYPERLINK("https://otsuka-europe-crm.veevavault.com/ui/#object/email_activity__v/V8C000000046182", "EN-002104129")</f>
        <v>EN-002104129</v>
      </c>
    </row>
    <row r="2375" spans="1:15" ht="16" x14ac:dyDescent="0.2">
      <c r="A2375" s="18" t="str">
        <f>HYPERLINK("https://otsuka-europe-crm.veevavault.com/ui/#object/account__v/V4TZ06G6O71T8J9", "SARA AFONSO RAMOS")</f>
        <v>SARA AFONSO RAMOS</v>
      </c>
      <c r="B2375" s="18" t="str">
        <f>HYPERLINK("https://otsuka-europe-crm.veevavault.com/ui/#object/vcountry__v/VENZ000004SONF5", "ES")</f>
        <v>ES</v>
      </c>
      <c r="C2375" s="20" t="s">
        <v>39</v>
      </c>
      <c r="D23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5" s="22" t="str">
        <f>HYPERLINK("https://otsuka-europe-crm.veevavault.com/ui/#object/sent_email__v/VBL000000034406", "SE-001442785")</f>
        <v>SE-001442785</v>
      </c>
      <c r="F2375" s="25">
        <v>46212.842476851853</v>
      </c>
      <c r="G2375" s="24">
        <v>1</v>
      </c>
      <c r="H2375" s="24">
        <v>1</v>
      </c>
      <c r="I2375" s="24">
        <v>0</v>
      </c>
      <c r="J2375" s="23"/>
      <c r="K2375" s="24">
        <v>0</v>
      </c>
      <c r="L23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5" s="22" t="str">
        <f>HYPERLINK("mailto:pmartinez@crm.otsuka-europe.com", "pmartinez@crm.otsuka-europe.com")</f>
        <v>pmartinez@crm.otsuka-europe.com</v>
      </c>
      <c r="N2375" s="25">
        <v>46212.371249999997</v>
      </c>
      <c r="O2375" s="14" t="str">
        <f>HYPERLINK("https://otsuka-europe-crm.veevavault.com/ui/#object/email_activity__v/V8C000000045019", "EN-002103483")</f>
        <v>EN-002103483</v>
      </c>
    </row>
    <row r="2376" spans="1:15" ht="16" x14ac:dyDescent="0.2">
      <c r="A2376" s="19"/>
      <c r="B2376" s="19"/>
      <c r="C2376" s="19"/>
      <c r="D2376" s="19"/>
      <c r="E2376" s="19"/>
      <c r="F2376" s="19"/>
      <c r="G2376" s="19"/>
      <c r="H2376" s="19"/>
      <c r="I2376" s="19"/>
      <c r="J2376" s="19"/>
      <c r="K2376" s="19"/>
      <c r="L2376" s="19"/>
      <c r="M2376" s="19"/>
      <c r="N2376" s="19"/>
      <c r="O2376" s="14" t="str">
        <f>HYPERLINK("https://otsuka-europe-crm.veevavault.com/ui/#object/email_activity__v/V8C000000047002", "EN-002104165")</f>
        <v>EN-002104165</v>
      </c>
    </row>
    <row r="2377" spans="1:15" ht="64" x14ac:dyDescent="0.2">
      <c r="A2377" s="7" t="str">
        <f>HYPERLINK("https://otsuka-europe-crm.veevavault.com/ui/#object/account__v/V4TZ06G6O71T7CY", "KAMIL LEWCZUK")</f>
        <v>KAMIL LEWCZUK</v>
      </c>
      <c r="B2377" s="7" t="str">
        <f>HYPERLINK("https://otsuka-europe-crm.veevavault.com/ui/#object/vcountry__v/VENZ000004SONF5", "ES")</f>
        <v>ES</v>
      </c>
      <c r="C2377" s="8" t="s">
        <v>39</v>
      </c>
      <c r="D237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7" s="10" t="str">
        <f>HYPERLINK("https://otsuka-europe-crm.veevavault.com/ui/#object/sent_email__v/VBL000000034407", "SE-001442786")</f>
        <v>SE-001442786</v>
      </c>
      <c r="F2377" s="11"/>
      <c r="G2377" s="12">
        <v>0</v>
      </c>
      <c r="H2377" s="12">
        <v>0</v>
      </c>
      <c r="I2377" s="12">
        <v>0</v>
      </c>
      <c r="J2377" s="11"/>
      <c r="K2377" s="12">
        <v>0</v>
      </c>
      <c r="L237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7" s="10" t="str">
        <f>HYPERLINK("mailto:pmartinez@crm.otsuka-europe.com", "pmartinez@crm.otsuka-europe.com")</f>
        <v>pmartinez@crm.otsuka-europe.com</v>
      </c>
      <c r="N2377" s="13">
        <v>46212.371249999997</v>
      </c>
      <c r="O2377" s="14" t="str">
        <f>HYPERLINK("https://otsuka-europe-crm.veevavault.com/ui/#object/email_activity__v/V8C000000045045", "EN-002103509")</f>
        <v>EN-002103509</v>
      </c>
    </row>
    <row r="2378" spans="1:15" ht="16" x14ac:dyDescent="0.2">
      <c r="A2378" s="18" t="str">
        <f>HYPERLINK("https://otsuka-europe-crm.veevavault.com/ui/#object/account__v/V4TZ06G6O71TBY2", "EVA RODRIGUEZ GARCIA")</f>
        <v>EVA RODRIGUEZ GARCIA</v>
      </c>
      <c r="B2378" s="18" t="str">
        <f>HYPERLINK("https://otsuka-europe-crm.veevavault.com/ui/#object/vcountry__v/VENZ000004SONF5", "ES")</f>
        <v>ES</v>
      </c>
      <c r="C2378" s="20" t="s">
        <v>39</v>
      </c>
      <c r="D237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78" s="22" t="str">
        <f>HYPERLINK("https://otsuka-europe-crm.veevavault.com/ui/#object/sent_email__v/VBL000000034408", "SE-001442787")</f>
        <v>SE-001442787</v>
      </c>
      <c r="F2378" s="23"/>
      <c r="G2378" s="24">
        <v>0</v>
      </c>
      <c r="H2378" s="24">
        <v>0</v>
      </c>
      <c r="I2378" s="24">
        <v>0</v>
      </c>
      <c r="J2378" s="23"/>
      <c r="K2378" s="24">
        <v>0</v>
      </c>
      <c r="L237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78" s="22" t="str">
        <f>HYPERLINK("mailto:pmartinez@crm.otsuka-europe.com", "pmartinez@crm.otsuka-europe.com")</f>
        <v>pmartinez@crm.otsuka-europe.com</v>
      </c>
      <c r="N2378" s="25">
        <v>46212.371249999997</v>
      </c>
      <c r="O2378" s="14" t="str">
        <f>HYPERLINK("https://otsuka-europe-crm.veevavault.com/ui/#object/email_activity__v/V8C000000045041", "EN-002103505")</f>
        <v>EN-002103505</v>
      </c>
    </row>
    <row r="2379" spans="1:15" ht="16" x14ac:dyDescent="0.2">
      <c r="A2379" s="19"/>
      <c r="B2379" s="19"/>
      <c r="C2379" s="19"/>
      <c r="D2379" s="19"/>
      <c r="E2379" s="19"/>
      <c r="F2379" s="19"/>
      <c r="G2379" s="19"/>
      <c r="H2379" s="19"/>
      <c r="I2379" s="19"/>
      <c r="J2379" s="19"/>
      <c r="K2379" s="19"/>
      <c r="L2379" s="19"/>
      <c r="M2379" s="19"/>
      <c r="N2379" s="19"/>
      <c r="O2379" s="14" t="str">
        <f>HYPERLINK("https://otsuka-europe-crm.veevavault.com/ui/#object/email_activity__v/V8C000000047014", "EN-002104180")</f>
        <v>EN-002104180</v>
      </c>
    </row>
    <row r="2380" spans="1:15" ht="64" x14ac:dyDescent="0.2">
      <c r="A2380" s="7" t="str">
        <f>HYPERLINK("https://otsuka-europe-crm.veevavault.com/ui/#object/account__v/V4TZ06G6O71TCEE", "MARIA SAGRARIO SORIANO CABRERA")</f>
        <v>MARIA SAGRARIO SORIANO CABRERA</v>
      </c>
      <c r="B2380" s="7" t="str">
        <f>HYPERLINK("https://otsuka-europe-crm.veevavault.com/ui/#object/vcountry__v/VENZ000004SONF5", "ES")</f>
        <v>ES</v>
      </c>
      <c r="C2380" s="8" t="s">
        <v>39</v>
      </c>
      <c r="D238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0" s="10" t="str">
        <f>HYPERLINK("https://otsuka-europe-crm.veevavault.com/ui/#object/sent_email__v/VBL000000034409", "SE-001442788")</f>
        <v>SE-001442788</v>
      </c>
      <c r="F2380" s="11"/>
      <c r="G2380" s="12">
        <v>0</v>
      </c>
      <c r="H2380" s="12">
        <v>0</v>
      </c>
      <c r="I2380" s="12">
        <v>0</v>
      </c>
      <c r="J2380" s="11"/>
      <c r="K2380" s="12">
        <v>0</v>
      </c>
      <c r="L238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0" s="10" t="str">
        <f>HYPERLINK("mailto:pmartinez@crm.otsuka-europe.com", "pmartinez@crm.otsuka-europe.com")</f>
        <v>pmartinez@crm.otsuka-europe.com</v>
      </c>
      <c r="N2380" s="13">
        <v>46212.371249999997</v>
      </c>
      <c r="O2380" s="14" t="str">
        <f>HYPERLINK("https://otsuka-europe-crm.veevavault.com/ui/#object/email_activity__v/V8C000000045065", "EN-002103529")</f>
        <v>EN-002103529</v>
      </c>
    </row>
    <row r="2381" spans="1:15" ht="64" x14ac:dyDescent="0.2">
      <c r="A2381" s="7" t="str">
        <f>HYPERLINK("https://otsuka-europe-crm.veevavault.com/ui/#object/account__v/V4TZ06G6O71TBQD", "MONTSERRAT PICAZO SANCHEZ")</f>
        <v>MONTSERRAT PICAZO SANCHEZ</v>
      </c>
      <c r="B2381" s="7" t="str">
        <f>HYPERLINK("https://otsuka-europe-crm.veevavault.com/ui/#object/vcountry__v/VENZ000004SONF5", "ES")</f>
        <v>ES</v>
      </c>
      <c r="C2381" s="8" t="s">
        <v>39</v>
      </c>
      <c r="D238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1" s="10" t="str">
        <f>HYPERLINK("https://otsuka-europe-crm.veevavault.com/ui/#object/sent_email__v/VBL000000034410", "SE-001442789")</f>
        <v>SE-001442789</v>
      </c>
      <c r="F2381" s="11"/>
      <c r="G2381" s="12">
        <v>0</v>
      </c>
      <c r="H2381" s="12">
        <v>0</v>
      </c>
      <c r="I2381" s="12">
        <v>0</v>
      </c>
      <c r="J2381" s="11"/>
      <c r="K2381" s="12">
        <v>0</v>
      </c>
      <c r="L238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1" s="10" t="str">
        <f>HYPERLINK("mailto:pmartinez@crm.otsuka-europe.com", "pmartinez@crm.otsuka-europe.com")</f>
        <v>pmartinez@crm.otsuka-europe.com</v>
      </c>
      <c r="N2381" s="13">
        <v>46212.371435185189</v>
      </c>
      <c r="O2381" s="14" t="str">
        <f>HYPERLINK("https://otsuka-europe-crm.veevavault.com/ui/#object/email_activity__v/V8C000000045139", "EN-002103603")</f>
        <v>EN-002103603</v>
      </c>
    </row>
    <row r="2382" spans="1:15" ht="64" x14ac:dyDescent="0.2">
      <c r="A2382" s="7" t="str">
        <f>HYPERLINK("https://otsuka-europe-crm.veevavault.com/ui/#object/account__v/V4TZ025E839FOSX", "MARIA JESUS CAMBA CARIDE")</f>
        <v>MARIA JESUS CAMBA CARIDE</v>
      </c>
      <c r="B2382" s="7" t="str">
        <f>HYPERLINK("https://otsuka-europe-crm.veevavault.com/ui/#object/vcountry__v/VENZ000004SONF5", "ES")</f>
        <v>ES</v>
      </c>
      <c r="C2382" s="8" t="s">
        <v>39</v>
      </c>
      <c r="D238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2" s="10" t="str">
        <f>HYPERLINK("https://otsuka-europe-crm.veevavault.com/ui/#object/sent_email__v/VBL000000034411", "SE-001442790")</f>
        <v>SE-001442790</v>
      </c>
      <c r="F2382" s="11"/>
      <c r="G2382" s="12">
        <v>0</v>
      </c>
      <c r="H2382" s="12">
        <v>0</v>
      </c>
      <c r="I2382" s="12">
        <v>0</v>
      </c>
      <c r="J2382" s="11"/>
      <c r="K2382" s="12">
        <v>0</v>
      </c>
      <c r="L238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2" s="10" t="str">
        <f>HYPERLINK("mailto:pmartinez@crm.otsuka-europe.com", "pmartinez@crm.otsuka-europe.com")</f>
        <v>pmartinez@crm.otsuka-europe.com</v>
      </c>
      <c r="N2382" s="13">
        <v>46212.371296296296</v>
      </c>
      <c r="O2382" s="14" t="str">
        <f>HYPERLINK("https://otsuka-europe-crm.veevavault.com/ui/#object/email_activity__v/V8C000000045137", "EN-002103601")</f>
        <v>EN-002103601</v>
      </c>
    </row>
    <row r="2383" spans="1:15" ht="64" x14ac:dyDescent="0.2">
      <c r="A2383" s="7" t="str">
        <f>HYPERLINK("https://otsuka-europe-crm.veevavault.com/ui/#object/account__v/V4TZ06G6O71TAJ3", "MARIA EMMA HUARTE LOZA")</f>
        <v>MARIA EMMA HUARTE LOZA</v>
      </c>
      <c r="B2383" s="7" t="str">
        <f>HYPERLINK("https://otsuka-europe-crm.veevavault.com/ui/#object/vcountry__v/VENZ000004SONF5", "ES")</f>
        <v>ES</v>
      </c>
      <c r="C2383" s="8" t="s">
        <v>39</v>
      </c>
      <c r="D238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3" s="10" t="str">
        <f>HYPERLINK("https://otsuka-europe-crm.veevavault.com/ui/#object/sent_email__v/VBL000000034412", "SE-001442791")</f>
        <v>SE-001442791</v>
      </c>
      <c r="F2383" s="11"/>
      <c r="G2383" s="12">
        <v>0</v>
      </c>
      <c r="H2383" s="12">
        <v>0</v>
      </c>
      <c r="I2383" s="12">
        <v>0</v>
      </c>
      <c r="J2383" s="11"/>
      <c r="K2383" s="12">
        <v>0</v>
      </c>
      <c r="L238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3" s="10" t="str">
        <f>HYPERLINK("mailto:pmartinez@crm.otsuka-europe.com", "pmartinez@crm.otsuka-europe.com")</f>
        <v>pmartinez@crm.otsuka-europe.com</v>
      </c>
      <c r="N2383" s="13">
        <v>46212.371249999997</v>
      </c>
      <c r="O2383" s="14" t="str">
        <f>HYPERLINK("https://otsuka-europe-crm.veevavault.com/ui/#object/email_activity__v/V8C000000045093", "EN-002103557")</f>
        <v>EN-002103557</v>
      </c>
    </row>
    <row r="2384" spans="1:15" ht="16" x14ac:dyDescent="0.2">
      <c r="A2384" s="18" t="str">
        <f>HYPERLINK("https://otsuka-europe-crm.veevavault.com/ui/#object/account__v/V4TZ06G6O71TB7T", "ROSA MARIA MIQUEL RODRIGUEZ")</f>
        <v>ROSA MARIA MIQUEL RODRIGUEZ</v>
      </c>
      <c r="B2384" s="18" t="str">
        <f>HYPERLINK("https://otsuka-europe-crm.veevavault.com/ui/#object/vcountry__v/VENZ000004SONF5", "ES")</f>
        <v>ES</v>
      </c>
      <c r="C2384" s="20" t="s">
        <v>39</v>
      </c>
      <c r="D238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4" s="22" t="str">
        <f>HYPERLINK("https://otsuka-europe-crm.veevavault.com/ui/#object/sent_email__v/VBL000000034413", "SE-001442792")</f>
        <v>SE-001442792</v>
      </c>
      <c r="F2384" s="23"/>
      <c r="G2384" s="24">
        <v>0</v>
      </c>
      <c r="H2384" s="24">
        <v>0</v>
      </c>
      <c r="I2384" s="24">
        <v>0</v>
      </c>
      <c r="J2384" s="23"/>
      <c r="K2384" s="24">
        <v>0</v>
      </c>
      <c r="L238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4" s="22" t="str">
        <f>HYPERLINK("mailto:pmartinez@crm.otsuka-europe.com", "pmartinez@crm.otsuka-europe.com")</f>
        <v>pmartinez@crm.otsuka-europe.com</v>
      </c>
      <c r="N2384" s="25">
        <v>46212.371249999997</v>
      </c>
      <c r="O2384" s="14" t="str">
        <f>HYPERLINK("https://otsuka-europe-crm.veevavault.com/ui/#object/email_activity__v/V8C000000045035", "EN-002103499")</f>
        <v>EN-002103499</v>
      </c>
    </row>
    <row r="2385" spans="1:15" ht="16" x14ac:dyDescent="0.2">
      <c r="A2385" s="26"/>
      <c r="B2385" s="26"/>
      <c r="C2385" s="26"/>
      <c r="D2385" s="26"/>
      <c r="E2385" s="26"/>
      <c r="F2385" s="26"/>
      <c r="G2385" s="26"/>
      <c r="H2385" s="26"/>
      <c r="I2385" s="26"/>
      <c r="J2385" s="26"/>
      <c r="K2385" s="26"/>
      <c r="L2385" s="26"/>
      <c r="M2385" s="26"/>
      <c r="N2385" s="26"/>
      <c r="O2385" s="14" t="str">
        <f>HYPERLINK("https://otsuka-europe-crm.veevavault.com/ui/#object/email_activity__v/V8C000000048298", "EN-002104853")</f>
        <v>EN-002104853</v>
      </c>
    </row>
    <row r="2386" spans="1:15" ht="16" x14ac:dyDescent="0.2">
      <c r="A2386" s="19"/>
      <c r="B2386" s="19"/>
      <c r="C2386" s="19"/>
      <c r="D2386" s="19"/>
      <c r="E2386" s="19"/>
      <c r="F2386" s="19"/>
      <c r="G2386" s="19"/>
      <c r="H2386" s="19"/>
      <c r="I2386" s="19"/>
      <c r="J2386" s="19"/>
      <c r="K2386" s="19"/>
      <c r="L2386" s="19"/>
      <c r="M2386" s="19"/>
      <c r="N2386" s="19"/>
      <c r="O2386" s="14" t="str">
        <f>HYPERLINK("https://otsuka-europe-crm.veevavault.com/ui/#object/email_activity__v/V8C00000004A924", "EN-002106709")</f>
        <v>EN-002106709</v>
      </c>
    </row>
    <row r="2387" spans="1:15" ht="16" x14ac:dyDescent="0.2">
      <c r="A2387" s="18" t="str">
        <f>HYPERLINK("https://otsuka-europe-crm.veevavault.com/ui/#object/account__v/V4TZ06G6O71T8XX", "GUILLERMO ALCALDE BEZHOLD")</f>
        <v>GUILLERMO ALCALDE BEZHOLD</v>
      </c>
      <c r="B2387" s="18" t="str">
        <f>HYPERLINK("https://otsuka-europe-crm.veevavault.com/ui/#object/vcountry__v/VENZ000004SONF5", "ES")</f>
        <v>ES</v>
      </c>
      <c r="C2387" s="20" t="s">
        <v>39</v>
      </c>
      <c r="D238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7" s="22" t="str">
        <f>HYPERLINK("https://otsuka-europe-crm.veevavault.com/ui/#object/sent_email__v/VBL000000034414", "SE-001442793")</f>
        <v>SE-001442793</v>
      </c>
      <c r="F2387" s="25">
        <v>46212.470208333332</v>
      </c>
      <c r="G2387" s="24">
        <v>1</v>
      </c>
      <c r="H2387" s="24">
        <v>1</v>
      </c>
      <c r="I2387" s="24">
        <v>0</v>
      </c>
      <c r="J2387" s="23"/>
      <c r="K2387" s="24">
        <v>0</v>
      </c>
      <c r="L238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7" s="22" t="str">
        <f>HYPERLINK("mailto:pmartinez@crm.otsuka-europe.com", "pmartinez@crm.otsuka-europe.com")</f>
        <v>pmartinez@crm.otsuka-europe.com</v>
      </c>
      <c r="N2387" s="25">
        <v>46212.371249999997</v>
      </c>
      <c r="O2387" s="14" t="str">
        <f>HYPERLINK("https://otsuka-europe-crm.veevavault.com/ui/#object/email_activity__v/V8C000000045082", "EN-002103546")</f>
        <v>EN-002103546</v>
      </c>
    </row>
    <row r="2388" spans="1:15" ht="16" x14ac:dyDescent="0.2">
      <c r="A2388" s="19"/>
      <c r="B2388" s="19"/>
      <c r="C2388" s="19"/>
      <c r="D2388" s="19"/>
      <c r="E2388" s="19"/>
      <c r="F2388" s="19"/>
      <c r="G2388" s="19"/>
      <c r="H2388" s="19"/>
      <c r="I2388" s="19"/>
      <c r="J2388" s="19"/>
      <c r="K2388" s="19"/>
      <c r="L2388" s="19"/>
      <c r="M2388" s="19"/>
      <c r="N2388" s="19"/>
      <c r="O2388" s="14" t="str">
        <f>HYPERLINK("https://otsuka-europe-crm.veevavault.com/ui/#object/email_activity__v/V8C000000045260", "EN-002103817")</f>
        <v>EN-002103817</v>
      </c>
    </row>
    <row r="2389" spans="1:15" ht="16" x14ac:dyDescent="0.2">
      <c r="A2389" s="18" t="str">
        <f>HYPERLINK("https://otsuka-europe-crm.veevavault.com/ui/#object/account__v/V4TZ06G6O71TAYS", "JOAQUIN FRANCISCO MANRIQUE ESCOLA")</f>
        <v>JOAQUIN FRANCISCO MANRIQUE ESCOLA</v>
      </c>
      <c r="B2389" s="18" t="str">
        <f>HYPERLINK("https://otsuka-europe-crm.veevavault.com/ui/#object/vcountry__v/VENZ000004SONF5", "ES")</f>
        <v>ES</v>
      </c>
      <c r="C2389" s="20" t="s">
        <v>39</v>
      </c>
      <c r="D238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89" s="22" t="str">
        <f>HYPERLINK("https://otsuka-europe-crm.veevavault.com/ui/#object/sent_email__v/VBL000000034415", "SE-001442794")</f>
        <v>SE-001442794</v>
      </c>
      <c r="F2389" s="23"/>
      <c r="G2389" s="24">
        <v>0</v>
      </c>
      <c r="H2389" s="24">
        <v>0</v>
      </c>
      <c r="I2389" s="24">
        <v>0</v>
      </c>
      <c r="J2389" s="23"/>
      <c r="K2389" s="24">
        <v>0</v>
      </c>
      <c r="L238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89" s="22" t="str">
        <f>HYPERLINK("mailto:pmartinez@crm.otsuka-europe.com", "pmartinez@crm.otsuka-europe.com")</f>
        <v>pmartinez@crm.otsuka-europe.com</v>
      </c>
      <c r="N2389" s="25">
        <v>46212.371249999997</v>
      </c>
      <c r="O2389" s="14" t="str">
        <f>HYPERLINK("https://otsuka-europe-crm.veevavault.com/ui/#object/email_activity__v/V8C000000043979", "EN-002103769")</f>
        <v>EN-002103769</v>
      </c>
    </row>
    <row r="2390" spans="1:15" ht="16" x14ac:dyDescent="0.2">
      <c r="A2390" s="19"/>
      <c r="B2390" s="19"/>
      <c r="C2390" s="19"/>
      <c r="D2390" s="19"/>
      <c r="E2390" s="19"/>
      <c r="F2390" s="19"/>
      <c r="G2390" s="19"/>
      <c r="H2390" s="19"/>
      <c r="I2390" s="19"/>
      <c r="J2390" s="19"/>
      <c r="K2390" s="19"/>
      <c r="L2390" s="19"/>
      <c r="M2390" s="19"/>
      <c r="N2390" s="19"/>
      <c r="O2390" s="14" t="str">
        <f>HYPERLINK("https://otsuka-europe-crm.veevavault.com/ui/#object/email_activity__v/V8C000000045051", "EN-002103515")</f>
        <v>EN-002103515</v>
      </c>
    </row>
    <row r="2391" spans="1:15" ht="64" x14ac:dyDescent="0.2">
      <c r="A2391" s="7" t="str">
        <f>HYPERLINK("https://otsuka-europe-crm.veevavault.com/ui/#object/account__v/V4TZ04ASG79T3MJ", "IARA KARLLA DA SILVA SANTOS")</f>
        <v>IARA KARLLA DA SILVA SANTOS</v>
      </c>
      <c r="B2391" s="7" t="str">
        <f>HYPERLINK("https://otsuka-europe-crm.veevavault.com/ui/#object/vcountry__v/VENZ000004SONF5", "ES")</f>
        <v>ES</v>
      </c>
      <c r="C2391" s="8" t="s">
        <v>39</v>
      </c>
      <c r="D239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91" s="10" t="str">
        <f>HYPERLINK("https://otsuka-europe-crm.veevavault.com/ui/#object/sent_email__v/VBL000000034416", "SE-001442795")</f>
        <v>SE-001442795</v>
      </c>
      <c r="F2391" s="11"/>
      <c r="G2391" s="12">
        <v>0</v>
      </c>
      <c r="H2391" s="12">
        <v>0</v>
      </c>
      <c r="I2391" s="12">
        <v>0</v>
      </c>
      <c r="J2391" s="11"/>
      <c r="K2391" s="12">
        <v>0</v>
      </c>
      <c r="L239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91" s="10" t="str">
        <f>HYPERLINK("mailto:pmartinez@crm.otsuka-europe.com", "pmartinez@crm.otsuka-europe.com")</f>
        <v>pmartinez@crm.otsuka-europe.com</v>
      </c>
      <c r="N2391" s="13">
        <v>46212.37127314815</v>
      </c>
      <c r="O2391" s="14" t="str">
        <f>HYPERLINK("https://otsuka-europe-crm.veevavault.com/ui/#object/email_activity__v/V8C000000045121", "EN-002103585")</f>
        <v>EN-002103585</v>
      </c>
    </row>
    <row r="2392" spans="1:15" ht="16" x14ac:dyDescent="0.2">
      <c r="A2392" s="18" t="str">
        <f>HYPERLINK("https://otsuka-europe-crm.veevavault.com/ui/#object/account__v/V4TZ06G6O71TB7F", "ADELAIDA MARGARITA MORALES UMPIERREZ")</f>
        <v>ADELAIDA MARGARITA MORALES UMPIERREZ</v>
      </c>
      <c r="B2392" s="18" t="str">
        <f>HYPERLINK("https://otsuka-europe-crm.veevavault.com/ui/#object/vcountry__v/VENZ000004SONF5", "ES")</f>
        <v>ES</v>
      </c>
      <c r="C2392" s="20" t="s">
        <v>39</v>
      </c>
      <c r="D239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92" s="22" t="str">
        <f>HYPERLINK("https://otsuka-europe-crm.veevavault.com/ui/#object/sent_email__v/VBL000000034417", "SE-001442796")</f>
        <v>SE-001442796</v>
      </c>
      <c r="F2392" s="23"/>
      <c r="G2392" s="24">
        <v>0</v>
      </c>
      <c r="H2392" s="24">
        <v>0</v>
      </c>
      <c r="I2392" s="24">
        <v>0</v>
      </c>
      <c r="J2392" s="23"/>
      <c r="K2392" s="24">
        <v>0</v>
      </c>
      <c r="L239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92" s="22" t="str">
        <f>HYPERLINK("mailto:pmartinez@crm.otsuka-europe.com", "pmartinez@crm.otsuka-europe.com")</f>
        <v>pmartinez@crm.otsuka-europe.com</v>
      </c>
      <c r="N2392" s="25">
        <v>46212.371249999997</v>
      </c>
      <c r="O2392" s="14" t="str">
        <f>HYPERLINK("https://otsuka-europe-crm.veevavault.com/ui/#object/email_activity__v/V8C000000045098", "EN-002103562")</f>
        <v>EN-002103562</v>
      </c>
    </row>
    <row r="2393" spans="1:15" ht="16" x14ac:dyDescent="0.2">
      <c r="A2393" s="26"/>
      <c r="B2393" s="26"/>
      <c r="C2393" s="26"/>
      <c r="D2393" s="26"/>
      <c r="E2393" s="26"/>
      <c r="F2393" s="26"/>
      <c r="G2393" s="26"/>
      <c r="H2393" s="26"/>
      <c r="I2393" s="26"/>
      <c r="J2393" s="26"/>
      <c r="K2393" s="26"/>
      <c r="L2393" s="26"/>
      <c r="M2393" s="26"/>
      <c r="N2393" s="26"/>
      <c r="O2393" s="14" t="str">
        <f>HYPERLINK("https://otsuka-europe-crm.veevavault.com/ui/#object/email_activity__v/V8C000000045358", "EN-002104001")</f>
        <v>EN-002104001</v>
      </c>
    </row>
    <row r="2394" spans="1:15" ht="16" x14ac:dyDescent="0.2">
      <c r="A2394" s="19"/>
      <c r="B2394" s="19"/>
      <c r="C2394" s="19"/>
      <c r="D2394" s="19"/>
      <c r="E2394" s="19"/>
      <c r="F2394" s="19"/>
      <c r="G2394" s="19"/>
      <c r="H2394" s="19"/>
      <c r="I2394" s="19"/>
      <c r="J2394" s="19"/>
      <c r="K2394" s="19"/>
      <c r="L2394" s="19"/>
      <c r="M2394" s="19"/>
      <c r="N2394" s="19"/>
      <c r="O2394" s="14" t="str">
        <f>HYPERLINK("https://otsuka-europe-crm.veevavault.com/ui/#object/email_activity__v/V8C00000004B074", "EN-002106862")</f>
        <v>EN-002106862</v>
      </c>
    </row>
    <row r="2395" spans="1:15" ht="64" x14ac:dyDescent="0.2">
      <c r="A2395" s="7" t="str">
        <f>HYPERLINK("https://otsuka-europe-crm.veevavault.com/ui/#object/account__v/V4TZ06G6OAAU9JM", "SANTIAGO ANDRES CEDEÑO MORA")</f>
        <v>SANTIAGO ANDRES CEDEÑO MORA</v>
      </c>
      <c r="B2395" s="7" t="str">
        <f t="shared" ref="B2395:B2401" si="84">HYPERLINK("https://otsuka-europe-crm.veevavault.com/ui/#object/vcountry__v/VENZ000004SONF5", "ES")</f>
        <v>ES</v>
      </c>
      <c r="C2395" s="8" t="s">
        <v>39</v>
      </c>
      <c r="D2395" s="9" t="str">
        <f t="shared" ref="D2395:D2401" si="85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395" s="10" t="str">
        <f>HYPERLINK("https://otsuka-europe-crm.veevavault.com/ui/#object/sent_email__v/VBL000000034418", "SE-001442797")</f>
        <v>SE-001442797</v>
      </c>
      <c r="F2395" s="11"/>
      <c r="G2395" s="12">
        <v>0</v>
      </c>
      <c r="H2395" s="12">
        <v>0</v>
      </c>
      <c r="I2395" s="12">
        <v>0</v>
      </c>
      <c r="J2395" s="11"/>
      <c r="K2395" s="12">
        <v>0</v>
      </c>
      <c r="L2395" s="10" t="str">
        <f t="shared" ref="L2395:L2401" si="86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395" s="10" t="str">
        <f t="shared" ref="M2395:M2401" si="87">HYPERLINK("mailto:pmartinez@crm.otsuka-europe.com", "pmartinez@crm.otsuka-europe.com")</f>
        <v>pmartinez@crm.otsuka-europe.com</v>
      </c>
      <c r="N2395" s="13">
        <v>46212.371249999997</v>
      </c>
      <c r="O2395" s="14" t="str">
        <f>HYPERLINK("https://otsuka-europe-crm.veevavault.com/ui/#object/email_activity__v/V8C000000045071", "EN-002103535")</f>
        <v>EN-002103535</v>
      </c>
    </row>
    <row r="2396" spans="1:15" ht="64" x14ac:dyDescent="0.2">
      <c r="A2396" s="7" t="str">
        <f>HYPERLINK("https://otsuka-europe-crm.veevavault.com/ui/#object/account__v/V4TZ06G6OBU76C6", "MONTSERRAT MERCEDES DIAZ ENCARNACION")</f>
        <v>MONTSERRAT MERCEDES DIAZ ENCARNACION</v>
      </c>
      <c r="B2396" s="7" t="str">
        <f t="shared" si="84"/>
        <v>ES</v>
      </c>
      <c r="C2396" s="8" t="s">
        <v>39</v>
      </c>
      <c r="D2396" s="9" t="str">
        <f t="shared" si="85"/>
        <v>LUP - VAE Webinar “Lupkynis▼ en la práctica clínica real: más allá de la respuesta renal” - Nefro</v>
      </c>
      <c r="E2396" s="10" t="str">
        <f>HYPERLINK("https://otsuka-europe-crm.veevavault.com/ui/#object/sent_email__v/VBL000000034419", "SE-001442798")</f>
        <v>SE-001442798</v>
      </c>
      <c r="F2396" s="11"/>
      <c r="G2396" s="12">
        <v>0</v>
      </c>
      <c r="H2396" s="12">
        <v>0</v>
      </c>
      <c r="I2396" s="12">
        <v>0</v>
      </c>
      <c r="J2396" s="11"/>
      <c r="K2396" s="12">
        <v>0</v>
      </c>
      <c r="L2396" s="10" t="str">
        <f t="shared" si="86"/>
        <v>LUP - VAE Webinar “Lupkynis▼ en la práctica clínica real: más allá de la respuesta renal” - Nefro</v>
      </c>
      <c r="M2396" s="10" t="str">
        <f t="shared" si="87"/>
        <v>pmartinez@crm.otsuka-europe.com</v>
      </c>
      <c r="N2396" s="13">
        <v>46212.371249999997</v>
      </c>
      <c r="O2396" s="14" t="str">
        <f>HYPERLINK("https://otsuka-europe-crm.veevavault.com/ui/#object/email_activity__v/V8C000000045038", "EN-002103502")</f>
        <v>EN-002103502</v>
      </c>
    </row>
    <row r="2397" spans="1:15" ht="64" x14ac:dyDescent="0.2">
      <c r="A2397" s="7" t="str">
        <f>HYPERLINK("https://otsuka-europe-crm.veevavault.com/ui/#object/account__v/V4TZ06G6O71TBYD", "EMILIO RODRIGO CALABIA")</f>
        <v>EMILIO RODRIGO CALABIA</v>
      </c>
      <c r="B2397" s="7" t="str">
        <f t="shared" si="84"/>
        <v>ES</v>
      </c>
      <c r="C2397" s="8" t="s">
        <v>39</v>
      </c>
      <c r="D2397" s="9" t="str">
        <f t="shared" si="85"/>
        <v>LUP - VAE Webinar “Lupkynis▼ en la práctica clínica real: más allá de la respuesta renal” - Nefro</v>
      </c>
      <c r="E2397" s="10" t="str">
        <f>HYPERLINK("https://otsuka-europe-crm.veevavault.com/ui/#object/sent_email__v/VBL000000034420", "SE-001442799")</f>
        <v>SE-001442799</v>
      </c>
      <c r="F2397" s="11"/>
      <c r="G2397" s="12">
        <v>0</v>
      </c>
      <c r="H2397" s="12">
        <v>0</v>
      </c>
      <c r="I2397" s="12">
        <v>0</v>
      </c>
      <c r="J2397" s="11"/>
      <c r="K2397" s="12">
        <v>0</v>
      </c>
      <c r="L2397" s="10" t="str">
        <f t="shared" si="86"/>
        <v>LUP - VAE Webinar “Lupkynis▼ en la práctica clínica real: más allá de la respuesta renal” - Nefro</v>
      </c>
      <c r="M2397" s="10" t="str">
        <f t="shared" si="87"/>
        <v>pmartinez@crm.otsuka-europe.com</v>
      </c>
      <c r="N2397" s="13">
        <v>46212.371307870373</v>
      </c>
      <c r="O2397" s="14" t="str">
        <f>HYPERLINK("https://otsuka-europe-crm.veevavault.com/ui/#object/email_activity__v/V8C000000045141", "EN-002103605")</f>
        <v>EN-002103605</v>
      </c>
    </row>
    <row r="2398" spans="1:15" ht="64" x14ac:dyDescent="0.2">
      <c r="A2398" s="7" t="str">
        <f>HYPERLINK("https://otsuka-europe-crm.veevavault.com/ui/#object/account__v/V4TZ04ASG8DM3M3", "JOSE MARIA MORA GUTIERREZ")</f>
        <v>JOSE MARIA MORA GUTIERREZ</v>
      </c>
      <c r="B2398" s="7" t="str">
        <f t="shared" si="84"/>
        <v>ES</v>
      </c>
      <c r="C2398" s="8" t="s">
        <v>39</v>
      </c>
      <c r="D2398" s="9" t="str">
        <f t="shared" si="85"/>
        <v>LUP - VAE Webinar “Lupkynis▼ en la práctica clínica real: más allá de la respuesta renal” - Nefro</v>
      </c>
      <c r="E2398" s="10" t="str">
        <f>HYPERLINK("https://otsuka-europe-crm.veevavault.com/ui/#object/sent_email__v/VBL000000034421", "SE-001442800")</f>
        <v>SE-001442800</v>
      </c>
      <c r="F2398" s="11"/>
      <c r="G2398" s="12">
        <v>0</v>
      </c>
      <c r="H2398" s="12">
        <v>0</v>
      </c>
      <c r="I2398" s="12">
        <v>0</v>
      </c>
      <c r="J2398" s="11"/>
      <c r="K2398" s="12">
        <v>0</v>
      </c>
      <c r="L2398" s="10" t="str">
        <f t="shared" si="86"/>
        <v>LUP - VAE Webinar “Lupkynis▼ en la práctica clínica real: más allá de la respuesta renal” - Nefro</v>
      </c>
      <c r="M2398" s="10" t="str">
        <f t="shared" si="87"/>
        <v>pmartinez@crm.otsuka-europe.com</v>
      </c>
      <c r="N2398" s="13">
        <v>46212.371249999997</v>
      </c>
      <c r="O2398" s="14" t="str">
        <f>HYPERLINK("https://otsuka-europe-crm.veevavault.com/ui/#object/email_activity__v/V8C000000045057", "EN-002103521")</f>
        <v>EN-002103521</v>
      </c>
    </row>
    <row r="2399" spans="1:15" ht="64" x14ac:dyDescent="0.2">
      <c r="A2399" s="7" t="str">
        <f>HYPERLINK("https://otsuka-europe-crm.veevavault.com/ui/#object/account__v/V4TZ06G6O71TANI", "ALFONSO LARA RUIZ")</f>
        <v>ALFONSO LARA RUIZ</v>
      </c>
      <c r="B2399" s="7" t="str">
        <f t="shared" si="84"/>
        <v>ES</v>
      </c>
      <c r="C2399" s="8" t="s">
        <v>39</v>
      </c>
      <c r="D2399" s="9" t="str">
        <f t="shared" si="85"/>
        <v>LUP - VAE Webinar “Lupkynis▼ en la práctica clínica real: más allá de la respuesta renal” - Nefro</v>
      </c>
      <c r="E2399" s="10" t="str">
        <f>HYPERLINK("https://otsuka-europe-crm.veevavault.com/ui/#object/sent_email__v/VBL000000034422", "SE-001442801")</f>
        <v>SE-001442801</v>
      </c>
      <c r="F2399" s="11"/>
      <c r="G2399" s="12">
        <v>0</v>
      </c>
      <c r="H2399" s="12">
        <v>0</v>
      </c>
      <c r="I2399" s="12">
        <v>0</v>
      </c>
      <c r="J2399" s="11"/>
      <c r="K2399" s="12">
        <v>0</v>
      </c>
      <c r="L2399" s="10" t="str">
        <f t="shared" si="86"/>
        <v>LUP - VAE Webinar “Lupkynis▼ en la práctica clínica real: más allá de la respuesta renal” - Nefro</v>
      </c>
      <c r="M2399" s="10" t="str">
        <f t="shared" si="87"/>
        <v>pmartinez@crm.otsuka-europe.com</v>
      </c>
      <c r="N2399" s="13">
        <v>46212.371249999997</v>
      </c>
      <c r="O2399" s="14" t="str">
        <f>HYPERLINK("https://otsuka-europe-crm.veevavault.com/ui/#object/email_activity__v/V8C000000045110", "EN-002103574")</f>
        <v>EN-002103574</v>
      </c>
    </row>
    <row r="2400" spans="1:15" ht="64" x14ac:dyDescent="0.2">
      <c r="A2400" s="7" t="str">
        <f>HYPERLINK("https://otsuka-europe-crm.veevavault.com/ui/#object/account__v/V4TZ04ASGAZQMEG", "CLAUDIA GRISEL TAPIA CANELAS")</f>
        <v>CLAUDIA GRISEL TAPIA CANELAS</v>
      </c>
      <c r="B2400" s="7" t="str">
        <f t="shared" si="84"/>
        <v>ES</v>
      </c>
      <c r="C2400" s="8" t="s">
        <v>39</v>
      </c>
      <c r="D2400" s="9" t="str">
        <f t="shared" si="85"/>
        <v>LUP - VAE Webinar “Lupkynis▼ en la práctica clínica real: más allá de la respuesta renal” - Nefro</v>
      </c>
      <c r="E2400" s="10" t="str">
        <f>HYPERLINK("https://otsuka-europe-crm.veevavault.com/ui/#object/sent_email__v/VBL000000034423", "SE-001442802")</f>
        <v>SE-001442802</v>
      </c>
      <c r="F2400" s="11"/>
      <c r="G2400" s="12">
        <v>0</v>
      </c>
      <c r="H2400" s="12">
        <v>0</v>
      </c>
      <c r="I2400" s="12">
        <v>0</v>
      </c>
      <c r="J2400" s="11"/>
      <c r="K2400" s="12">
        <v>0</v>
      </c>
      <c r="L2400" s="10" t="str">
        <f t="shared" si="86"/>
        <v>LUP - VAE Webinar “Lupkynis▼ en la práctica clínica real: más allá de la respuesta renal” - Nefro</v>
      </c>
      <c r="M2400" s="10" t="str">
        <f t="shared" si="87"/>
        <v>pmartinez@crm.otsuka-europe.com</v>
      </c>
      <c r="N2400" s="13">
        <v>46212.371296296296</v>
      </c>
      <c r="O2400" s="14" t="str">
        <f>HYPERLINK("https://otsuka-europe-crm.veevavault.com/ui/#object/email_activity__v/V8C000000045136", "EN-002103600")</f>
        <v>EN-002103600</v>
      </c>
    </row>
    <row r="2401" spans="1:15" ht="16" x14ac:dyDescent="0.2">
      <c r="A2401" s="18" t="str">
        <f>HYPERLINK("https://otsuka-europe-crm.veevavault.com/ui/#object/account__v/V4TZ06G6O71T7QG", "MARIA VANESSA PEREZ GOMEZ")</f>
        <v>MARIA VANESSA PEREZ GOMEZ</v>
      </c>
      <c r="B2401" s="18" t="str">
        <f t="shared" si="84"/>
        <v>ES</v>
      </c>
      <c r="C2401" s="20" t="s">
        <v>39</v>
      </c>
      <c r="D2401" s="21" t="str">
        <f t="shared" si="85"/>
        <v>LUP - VAE Webinar “Lupkynis▼ en la práctica clínica real: más allá de la respuesta renal” - Nefro</v>
      </c>
      <c r="E2401" s="22" t="str">
        <f>HYPERLINK("https://otsuka-europe-crm.veevavault.com/ui/#object/sent_email__v/VBL000000034424", "SE-001442803")</f>
        <v>SE-001442803</v>
      </c>
      <c r="F2401" s="23"/>
      <c r="G2401" s="24">
        <v>0</v>
      </c>
      <c r="H2401" s="24">
        <v>0</v>
      </c>
      <c r="I2401" s="24">
        <v>0</v>
      </c>
      <c r="J2401" s="23"/>
      <c r="K2401" s="24">
        <v>0</v>
      </c>
      <c r="L2401" s="22" t="str">
        <f t="shared" si="86"/>
        <v>LUP - VAE Webinar “Lupkynis▼ en la práctica clínica real: más allá de la respuesta renal” - Nefro</v>
      </c>
      <c r="M2401" s="22" t="str">
        <f t="shared" si="87"/>
        <v>pmartinez@crm.otsuka-europe.com</v>
      </c>
      <c r="N2401" s="25">
        <v>46212.371249999997</v>
      </c>
      <c r="O2401" s="14" t="str">
        <f>HYPERLINK("https://otsuka-europe-crm.veevavault.com/ui/#object/email_activity__v/V8C000000045011", "EN-002103475")</f>
        <v>EN-002103475</v>
      </c>
    </row>
    <row r="2402" spans="1:15" ht="16" x14ac:dyDescent="0.2">
      <c r="A2402" s="19"/>
      <c r="B2402" s="19"/>
      <c r="C2402" s="19"/>
      <c r="D2402" s="19"/>
      <c r="E2402" s="19"/>
      <c r="F2402" s="19"/>
      <c r="G2402" s="19"/>
      <c r="H2402" s="19"/>
      <c r="I2402" s="19"/>
      <c r="J2402" s="19"/>
      <c r="K2402" s="19"/>
      <c r="L2402" s="19"/>
      <c r="M2402" s="19"/>
      <c r="N2402" s="19"/>
      <c r="O2402" s="14" t="str">
        <f>HYPERLINK("https://otsuka-europe-crm.veevavault.com/ui/#object/email_activity__v/V8C000000047019", "EN-002104189")</f>
        <v>EN-002104189</v>
      </c>
    </row>
    <row r="2403" spans="1:15" ht="64" x14ac:dyDescent="0.2">
      <c r="A2403" s="7" t="str">
        <f>HYPERLINK("https://otsuka-europe-crm.veevavault.com/ui/#object/account__v/V4TZ06G6O71TC39", "ASUNCION RIUS PERIS")</f>
        <v>ASUNCION RIUS PERIS</v>
      </c>
      <c r="B2403" s="7" t="str">
        <f>HYPERLINK("https://otsuka-europe-crm.veevavault.com/ui/#object/vcountry__v/VENZ000004SONF5", "ES")</f>
        <v>ES</v>
      </c>
      <c r="C2403" s="8" t="s">
        <v>39</v>
      </c>
      <c r="D240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03" s="10" t="str">
        <f>HYPERLINK("https://otsuka-europe-crm.veevavault.com/ui/#object/sent_email__v/VBL000000034425", "SE-001442804")</f>
        <v>SE-001442804</v>
      </c>
      <c r="F2403" s="11"/>
      <c r="G2403" s="12">
        <v>0</v>
      </c>
      <c r="H2403" s="12">
        <v>0</v>
      </c>
      <c r="I2403" s="12">
        <v>0</v>
      </c>
      <c r="J2403" s="11"/>
      <c r="K2403" s="12">
        <v>0</v>
      </c>
      <c r="L240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03" s="10" t="str">
        <f>HYPERLINK("mailto:pmartinez@crm.otsuka-europe.com", "pmartinez@crm.otsuka-europe.com")</f>
        <v>pmartinez@crm.otsuka-europe.com</v>
      </c>
      <c r="N2403" s="13">
        <v>46212.371249999997</v>
      </c>
      <c r="O2403" s="14" t="str">
        <f>HYPERLINK("https://otsuka-europe-crm.veevavault.com/ui/#object/email_activity__v/V8C000000045114", "EN-002103578")</f>
        <v>EN-002103578</v>
      </c>
    </row>
    <row r="2404" spans="1:15" ht="64" x14ac:dyDescent="0.2">
      <c r="A2404" s="7" t="str">
        <f>HYPERLINK("https://otsuka-europe-crm.veevavault.com/ui/#object/account__v/V4TZ06G6O71TA98", "MERITXELL IBERNON VILARO")</f>
        <v>MERITXELL IBERNON VILARO</v>
      </c>
      <c r="B2404" s="7" t="str">
        <f>HYPERLINK("https://otsuka-europe-crm.veevavault.com/ui/#object/vcountry__v/VENZ000004SONF5", "ES")</f>
        <v>ES</v>
      </c>
      <c r="C2404" s="8" t="s">
        <v>39</v>
      </c>
      <c r="D240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04" s="10" t="str">
        <f>HYPERLINK("https://otsuka-europe-crm.veevavault.com/ui/#object/sent_email__v/VBL000000034426", "SE-001442805")</f>
        <v>SE-001442805</v>
      </c>
      <c r="F2404" s="11"/>
      <c r="G2404" s="12">
        <v>0</v>
      </c>
      <c r="H2404" s="12">
        <v>0</v>
      </c>
      <c r="I2404" s="12">
        <v>0</v>
      </c>
      <c r="J2404" s="11"/>
      <c r="K2404" s="12">
        <v>0</v>
      </c>
      <c r="L240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04" s="10" t="str">
        <f>HYPERLINK("mailto:pmartinez@crm.otsuka-europe.com", "pmartinez@crm.otsuka-europe.com")</f>
        <v>pmartinez@crm.otsuka-europe.com</v>
      </c>
      <c r="N2404" s="13">
        <v>46212.371249999997</v>
      </c>
      <c r="O2404" s="14" t="str">
        <f>HYPERLINK("https://otsuka-europe-crm.veevavault.com/ui/#object/email_activity__v/V8C000000045058", "EN-002103522")</f>
        <v>EN-002103522</v>
      </c>
    </row>
    <row r="2405" spans="1:15" ht="16" x14ac:dyDescent="0.2">
      <c r="A2405" s="18" t="str">
        <f>HYPERLINK("https://otsuka-europe-crm.veevavault.com/ui/#object/account__v/V4TZ06G6O71T76V", "CRISTINA CASTRO ALONSO")</f>
        <v>CRISTINA CASTRO ALONSO</v>
      </c>
      <c r="B2405" s="18" t="str">
        <f>HYPERLINK("https://otsuka-europe-crm.veevavault.com/ui/#object/vcountry__v/VENZ000004SONF5", "ES")</f>
        <v>ES</v>
      </c>
      <c r="C2405" s="20" t="s">
        <v>39</v>
      </c>
      <c r="D240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05" s="22" t="str">
        <f>HYPERLINK("https://otsuka-europe-crm.veevavault.com/ui/#object/sent_email__v/VBL000000034427", "SE-001442806")</f>
        <v>SE-001442806</v>
      </c>
      <c r="F2405" s="25">
        <v>46212.371365740742</v>
      </c>
      <c r="G2405" s="24">
        <v>1</v>
      </c>
      <c r="H2405" s="24">
        <v>1</v>
      </c>
      <c r="I2405" s="24">
        <v>0</v>
      </c>
      <c r="J2405" s="23"/>
      <c r="K2405" s="24">
        <v>0</v>
      </c>
      <c r="L240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05" s="22" t="str">
        <f>HYPERLINK("mailto:pmartinez@crm.otsuka-europe.com", "pmartinez@crm.otsuka-europe.com")</f>
        <v>pmartinez@crm.otsuka-europe.com</v>
      </c>
      <c r="N2405" s="25">
        <v>46212.371249999997</v>
      </c>
      <c r="O2405" s="14" t="str">
        <f>HYPERLINK("https://otsuka-europe-crm.veevavault.com/ui/#object/email_activity__v/V8C000000045085", "EN-002103549")</f>
        <v>EN-002103549</v>
      </c>
    </row>
    <row r="2406" spans="1:15" ht="16" x14ac:dyDescent="0.2">
      <c r="A2406" s="19"/>
      <c r="B2406" s="19"/>
      <c r="C2406" s="19"/>
      <c r="D2406" s="19"/>
      <c r="E2406" s="19"/>
      <c r="F2406" s="19"/>
      <c r="G2406" s="19"/>
      <c r="H2406" s="19"/>
      <c r="I2406" s="19"/>
      <c r="J2406" s="19"/>
      <c r="K2406" s="19"/>
      <c r="L2406" s="19"/>
      <c r="M2406" s="19"/>
      <c r="N2406" s="19"/>
      <c r="O2406" s="14" t="str">
        <f>HYPERLINK("https://otsuka-europe-crm.veevavault.com/ui/#object/email_activity__v/V8C000000045138", "EN-002103602")</f>
        <v>EN-002103602</v>
      </c>
    </row>
    <row r="2407" spans="1:15" ht="64" x14ac:dyDescent="0.2">
      <c r="A2407" s="7" t="str">
        <f>HYPERLINK("https://otsuka-europe-crm.veevavault.com/ui/#object/account__v/V4TZ06G6O71TADO", "CRISTINA CABRERA LOPEZ")</f>
        <v>CRISTINA CABRERA LOPEZ</v>
      </c>
      <c r="B2407" s="7" t="str">
        <f>HYPERLINK("https://otsuka-europe-crm.veevavault.com/ui/#object/vcountry__v/VENZ000004SONF5", "ES")</f>
        <v>ES</v>
      </c>
      <c r="C2407" s="8" t="s">
        <v>39</v>
      </c>
      <c r="D24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07" s="10" t="str">
        <f>HYPERLINK("https://otsuka-europe-crm.veevavault.com/ui/#object/sent_email__v/VBL000000034428", "SE-001442807")</f>
        <v>SE-001442807</v>
      </c>
      <c r="F2407" s="11"/>
      <c r="G2407" s="12">
        <v>0</v>
      </c>
      <c r="H2407" s="12">
        <v>0</v>
      </c>
      <c r="I2407" s="12">
        <v>0</v>
      </c>
      <c r="J2407" s="11"/>
      <c r="K2407" s="12">
        <v>0</v>
      </c>
      <c r="L24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07" s="10" t="str">
        <f>HYPERLINK("mailto:pmartinez@crm.otsuka-europe.com", "pmartinez@crm.otsuka-europe.com")</f>
        <v>pmartinez@crm.otsuka-europe.com</v>
      </c>
      <c r="N2407" s="13">
        <v>46212.371249999997</v>
      </c>
      <c r="O2407" s="14" t="str">
        <f>HYPERLINK("https://otsuka-europe-crm.veevavault.com/ui/#object/email_activity__v/V8C000000045090", "EN-002103554")</f>
        <v>EN-002103554</v>
      </c>
    </row>
    <row r="2408" spans="1:15" ht="64" x14ac:dyDescent="0.2">
      <c r="A2408" s="7" t="str">
        <f>HYPERLINK("https://otsuka-europe-crm.veevavault.com/ui/#object/account__v/V4TZ06G6O71TAO7", "JOSE MARIA CRUZADO GARRIT")</f>
        <v>JOSE MARIA CRUZADO GARRIT</v>
      </c>
      <c r="B2408" s="7" t="str">
        <f>HYPERLINK("https://otsuka-europe-crm.veevavault.com/ui/#object/vcountry__v/VENZ000004SONF5", "ES")</f>
        <v>ES</v>
      </c>
      <c r="C2408" s="8" t="s">
        <v>39</v>
      </c>
      <c r="D240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08" s="10" t="str">
        <f>HYPERLINK("https://otsuka-europe-crm.veevavault.com/ui/#object/sent_email__v/VBL000000034429", "SE-001442808")</f>
        <v>SE-001442808</v>
      </c>
      <c r="F2408" s="11"/>
      <c r="G2408" s="12">
        <v>0</v>
      </c>
      <c r="H2408" s="12">
        <v>0</v>
      </c>
      <c r="I2408" s="12">
        <v>0</v>
      </c>
      <c r="J2408" s="11"/>
      <c r="K2408" s="12">
        <v>0</v>
      </c>
      <c r="L240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08" s="10" t="str">
        <f>HYPERLINK("mailto:pmartinez@crm.otsuka-europe.com", "pmartinez@crm.otsuka-europe.com")</f>
        <v>pmartinez@crm.otsuka-europe.com</v>
      </c>
      <c r="N2408" s="13">
        <v>46212.371249999997</v>
      </c>
      <c r="O2408" s="14" t="str">
        <f>HYPERLINK("https://otsuka-europe-crm.veevavault.com/ui/#object/email_activity__v/V8C000000045070", "EN-002103534")</f>
        <v>EN-002103534</v>
      </c>
    </row>
    <row r="2409" spans="1:15" ht="16" x14ac:dyDescent="0.2">
      <c r="A2409" s="18" t="str">
        <f>HYPERLINK("https://otsuka-europe-crm.veevavault.com/ui/#object/account__v/V4TZ04ASGAOY7FM", "MIGUEL MARTINEZ BELOTTO")</f>
        <v>MIGUEL MARTINEZ BELOTTO</v>
      </c>
      <c r="B2409" s="18" t="str">
        <f>HYPERLINK("https://otsuka-europe-crm.veevavault.com/ui/#object/vcountry__v/VENZ000004SONF5", "ES")</f>
        <v>ES</v>
      </c>
      <c r="C2409" s="20" t="s">
        <v>39</v>
      </c>
      <c r="D240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09" s="22" t="str">
        <f>HYPERLINK("https://otsuka-europe-crm.veevavault.com/ui/#object/sent_email__v/VBL000000034430", "SE-001442809")</f>
        <v>SE-001442809</v>
      </c>
      <c r="F2409" s="25">
        <v>46212.742766203701</v>
      </c>
      <c r="G2409" s="24">
        <v>1</v>
      </c>
      <c r="H2409" s="24">
        <v>1</v>
      </c>
      <c r="I2409" s="24">
        <v>0</v>
      </c>
      <c r="J2409" s="23"/>
      <c r="K2409" s="24">
        <v>0</v>
      </c>
      <c r="L240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09" s="22" t="str">
        <f>HYPERLINK("mailto:pmartinez@crm.otsuka-europe.com", "pmartinez@crm.otsuka-europe.com")</f>
        <v>pmartinez@crm.otsuka-europe.com</v>
      </c>
      <c r="N2409" s="25">
        <v>46212.371249999997</v>
      </c>
      <c r="O2409" s="14" t="str">
        <f>HYPERLINK("https://otsuka-europe-crm.veevavault.com/ui/#object/email_activity__v/V8C000000045069", "EN-002103533")</f>
        <v>EN-002103533</v>
      </c>
    </row>
    <row r="2410" spans="1:15" ht="16" x14ac:dyDescent="0.2">
      <c r="A2410" s="19"/>
      <c r="B2410" s="19"/>
      <c r="C2410" s="19"/>
      <c r="D2410" s="19"/>
      <c r="E2410" s="19"/>
      <c r="F2410" s="19"/>
      <c r="G2410" s="19"/>
      <c r="H2410" s="19"/>
      <c r="I2410" s="19"/>
      <c r="J2410" s="19"/>
      <c r="K2410" s="19"/>
      <c r="L2410" s="19"/>
      <c r="M2410" s="19"/>
      <c r="N2410" s="19"/>
      <c r="O2410" s="14" t="str">
        <f>HYPERLINK("https://otsuka-europe-crm.veevavault.com/ui/#object/email_activity__v/V8C000000046196", "EN-002104152")</f>
        <v>EN-002104152</v>
      </c>
    </row>
    <row r="2411" spans="1:15" ht="16" x14ac:dyDescent="0.2">
      <c r="A2411" s="18" t="str">
        <f>HYPERLINK("https://otsuka-europe-crm.veevavault.com/ui/#object/account__v/V4TZ06G6O71TC0E", "SUSANA ROCA MEROÑO")</f>
        <v>SUSANA ROCA MEROÑO</v>
      </c>
      <c r="B2411" s="18" t="str">
        <f>HYPERLINK("https://otsuka-europe-crm.veevavault.com/ui/#object/vcountry__v/VENZ000004SONF5", "ES")</f>
        <v>ES</v>
      </c>
      <c r="C2411" s="20" t="s">
        <v>39</v>
      </c>
      <c r="D241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11" s="22" t="str">
        <f>HYPERLINK("https://otsuka-europe-crm.veevavault.com/ui/#object/sent_email__v/VBL000000034431", "SE-001442810")</f>
        <v>SE-001442810</v>
      </c>
      <c r="F2411" s="23"/>
      <c r="G2411" s="24">
        <v>0</v>
      </c>
      <c r="H2411" s="24">
        <v>0</v>
      </c>
      <c r="I2411" s="24">
        <v>0</v>
      </c>
      <c r="J2411" s="23"/>
      <c r="K2411" s="24">
        <v>0</v>
      </c>
      <c r="L241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11" s="22" t="str">
        <f>HYPERLINK("mailto:pmartinez@crm.otsuka-europe.com", "pmartinez@crm.otsuka-europe.com")</f>
        <v>pmartinez@crm.otsuka-europe.com</v>
      </c>
      <c r="N2411" s="25">
        <v>46212.371249999997</v>
      </c>
      <c r="O2411" s="14" t="str">
        <f>HYPERLINK("https://otsuka-europe-crm.veevavault.com/ui/#object/email_activity__v/V8C000000045108", "EN-002103572")</f>
        <v>EN-002103572</v>
      </c>
    </row>
    <row r="2412" spans="1:15" ht="16" x14ac:dyDescent="0.2">
      <c r="A2412" s="19"/>
      <c r="B2412" s="19"/>
      <c r="C2412" s="19"/>
      <c r="D2412" s="19"/>
      <c r="E2412" s="19"/>
      <c r="F2412" s="19"/>
      <c r="G2412" s="19"/>
      <c r="H2412" s="19"/>
      <c r="I2412" s="19"/>
      <c r="J2412" s="19"/>
      <c r="K2412" s="19"/>
      <c r="L2412" s="19"/>
      <c r="M2412" s="19"/>
      <c r="N2412" s="19"/>
      <c r="O2412" s="14" t="str">
        <f>HYPERLINK("https://otsuka-europe-crm.veevavault.com/ui/#object/email_activity__v/V8C000000048010", "EN-002104199")</f>
        <v>EN-002104199</v>
      </c>
    </row>
    <row r="2413" spans="1:15" ht="64" x14ac:dyDescent="0.2">
      <c r="A2413" s="7" t="str">
        <f>HYPERLINK("https://otsuka-europe-crm.veevavault.com/ui/#object/account__v/V4TZ06G6O71TA05", "PAULA GARCIA LEDESMA")</f>
        <v>PAULA GARCIA LEDESMA</v>
      </c>
      <c r="B2413" s="7" t="str">
        <f>HYPERLINK("https://otsuka-europe-crm.veevavault.com/ui/#object/vcountry__v/VENZ000004SONF5", "ES")</f>
        <v>ES</v>
      </c>
      <c r="C2413" s="8" t="s">
        <v>39</v>
      </c>
      <c r="D241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13" s="10" t="str">
        <f>HYPERLINK("https://otsuka-europe-crm.veevavault.com/ui/#object/sent_email__v/VBL000000034432", "SE-001442811")</f>
        <v>SE-001442811</v>
      </c>
      <c r="F2413" s="11"/>
      <c r="G2413" s="12">
        <v>0</v>
      </c>
      <c r="H2413" s="12">
        <v>0</v>
      </c>
      <c r="I2413" s="12">
        <v>0</v>
      </c>
      <c r="J2413" s="11"/>
      <c r="K2413" s="12">
        <v>0</v>
      </c>
      <c r="L241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13" s="10" t="str">
        <f>HYPERLINK("mailto:pmartinez@crm.otsuka-europe.com", "pmartinez@crm.otsuka-europe.com")</f>
        <v>pmartinez@crm.otsuka-europe.com</v>
      </c>
      <c r="N2413" s="13">
        <v>46212.371319444443</v>
      </c>
      <c r="O2413" s="14" t="str">
        <f>HYPERLINK("https://otsuka-europe-crm.veevavault.com/ui/#object/email_activity__v/V8C000000045146", "EN-002103610")</f>
        <v>EN-002103610</v>
      </c>
    </row>
    <row r="2414" spans="1:15" ht="16" x14ac:dyDescent="0.2">
      <c r="A2414" s="18" t="str">
        <f>HYPERLINK("https://otsuka-europe-crm.veevavault.com/ui/#object/account__v/V4TZ06G6O71TB31", "VICTOR MARTINEZ JIMENEZ")</f>
        <v>VICTOR MARTINEZ JIMENEZ</v>
      </c>
      <c r="B2414" s="18" t="str">
        <f>HYPERLINK("https://otsuka-europe-crm.veevavault.com/ui/#object/vcountry__v/VENZ000004SONF5", "ES")</f>
        <v>ES</v>
      </c>
      <c r="C2414" s="20" t="s">
        <v>39</v>
      </c>
      <c r="D241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14" s="22" t="str">
        <f>HYPERLINK("https://otsuka-europe-crm.veevavault.com/ui/#object/sent_email__v/VBL000000034433", "SE-001442812")</f>
        <v>SE-001442812</v>
      </c>
      <c r="F2414" s="25">
        <v>46212.558437500003</v>
      </c>
      <c r="G2414" s="24">
        <v>1</v>
      </c>
      <c r="H2414" s="24">
        <v>1</v>
      </c>
      <c r="I2414" s="24">
        <v>0</v>
      </c>
      <c r="J2414" s="23"/>
      <c r="K2414" s="24">
        <v>0</v>
      </c>
      <c r="L241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14" s="22" t="str">
        <f>HYPERLINK("mailto:pmartinez@crm.otsuka-europe.com", "pmartinez@crm.otsuka-europe.com")</f>
        <v>pmartinez@crm.otsuka-europe.com</v>
      </c>
      <c r="N2414" s="25">
        <v>46212.371249999997</v>
      </c>
      <c r="O2414" s="14" t="str">
        <f>HYPERLINK("https://otsuka-europe-crm.veevavault.com/ui/#object/email_activity__v/V8C000000045010", "EN-002103474")</f>
        <v>EN-002103474</v>
      </c>
    </row>
    <row r="2415" spans="1:15" ht="16" x14ac:dyDescent="0.2">
      <c r="A2415" s="19"/>
      <c r="B2415" s="19"/>
      <c r="C2415" s="19"/>
      <c r="D2415" s="19"/>
      <c r="E2415" s="19"/>
      <c r="F2415" s="19"/>
      <c r="G2415" s="19"/>
      <c r="H2415" s="19"/>
      <c r="I2415" s="19"/>
      <c r="J2415" s="19"/>
      <c r="K2415" s="19"/>
      <c r="L2415" s="19"/>
      <c r="M2415" s="19"/>
      <c r="N2415" s="19"/>
      <c r="O2415" s="14" t="str">
        <f>HYPERLINK("https://otsuka-europe-crm.veevavault.com/ui/#object/email_activity__v/V8C000000045330", "EN-002103936")</f>
        <v>EN-002103936</v>
      </c>
    </row>
    <row r="2416" spans="1:15" ht="64" x14ac:dyDescent="0.2">
      <c r="A2416" s="7" t="str">
        <f>HYPERLINK("https://otsuka-europe-crm.veevavault.com/ui/#object/account__v/V4TZ06G6O71T7DC", "KATIA ISABEL TOLEDO PERDOMO")</f>
        <v>KATIA ISABEL TOLEDO PERDOMO</v>
      </c>
      <c r="B2416" s="7" t="str">
        <f t="shared" ref="B2416:B2422" si="88">HYPERLINK("https://otsuka-europe-crm.veevavault.com/ui/#object/vcountry__v/VENZ000004SONF5", "ES")</f>
        <v>ES</v>
      </c>
      <c r="C2416" s="8" t="s">
        <v>39</v>
      </c>
      <c r="D2416" s="9" t="str">
        <f t="shared" ref="D2416:D2422" si="89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16" s="10" t="str">
        <f>HYPERLINK("https://otsuka-europe-crm.veevavault.com/ui/#object/sent_email__v/VBL000000034434", "SE-001442813")</f>
        <v>SE-001442813</v>
      </c>
      <c r="F2416" s="11"/>
      <c r="G2416" s="12">
        <v>0</v>
      </c>
      <c r="H2416" s="12">
        <v>0</v>
      </c>
      <c r="I2416" s="12">
        <v>0</v>
      </c>
      <c r="J2416" s="11"/>
      <c r="K2416" s="12">
        <v>0</v>
      </c>
      <c r="L2416" s="10" t="str">
        <f t="shared" ref="L2416:L2422" si="90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16" s="10" t="str">
        <f t="shared" ref="M2416:M2422" si="91">HYPERLINK("mailto:pmartinez@crm.otsuka-europe.com", "pmartinez@crm.otsuka-europe.com")</f>
        <v>pmartinez@crm.otsuka-europe.com</v>
      </c>
      <c r="N2416" s="13">
        <v>46212.371249999997</v>
      </c>
      <c r="O2416" s="14" t="str">
        <f>HYPERLINK("https://otsuka-europe-crm.veevavault.com/ui/#object/email_activity__v/V8C000000045103", "EN-002103567")</f>
        <v>EN-002103567</v>
      </c>
    </row>
    <row r="2417" spans="1:15" ht="64" x14ac:dyDescent="0.2">
      <c r="A2417" s="7" t="str">
        <f>HYPERLINK("https://otsuka-europe-crm.veevavault.com/ui/#object/account__v/V4TZ06G6O71TC2A", "JOSE EMILIO SANCHEZ ALVAREZ")</f>
        <v>JOSE EMILIO SANCHEZ ALVAREZ</v>
      </c>
      <c r="B2417" s="7" t="str">
        <f t="shared" si="88"/>
        <v>ES</v>
      </c>
      <c r="C2417" s="8" t="s">
        <v>39</v>
      </c>
      <c r="D2417" s="9" t="str">
        <f t="shared" si="89"/>
        <v>LUP - VAE Webinar “Lupkynis▼ en la práctica clínica real: más allá de la respuesta renal” - Nefro</v>
      </c>
      <c r="E2417" s="10" t="str">
        <f>HYPERLINK("https://otsuka-europe-crm.veevavault.com/ui/#object/sent_email__v/VBL000000034435", "SE-001442814")</f>
        <v>SE-001442814</v>
      </c>
      <c r="F2417" s="11"/>
      <c r="G2417" s="12">
        <v>0</v>
      </c>
      <c r="H2417" s="12">
        <v>0</v>
      </c>
      <c r="I2417" s="12">
        <v>0</v>
      </c>
      <c r="J2417" s="11"/>
      <c r="K2417" s="12">
        <v>0</v>
      </c>
      <c r="L2417" s="10" t="str">
        <f t="shared" si="90"/>
        <v>LUP - VAE Webinar “Lupkynis▼ en la práctica clínica real: más allá de la respuesta renal” - Nefro</v>
      </c>
      <c r="M2417" s="10" t="str">
        <f t="shared" si="91"/>
        <v>pmartinez@crm.otsuka-europe.com</v>
      </c>
      <c r="N2417" s="13">
        <v>46212.371249999997</v>
      </c>
      <c r="O2417" s="14" t="str">
        <f>HYPERLINK("https://otsuka-europe-crm.veevavault.com/ui/#object/email_activity__v/V8C000000045052", "EN-002103516")</f>
        <v>EN-002103516</v>
      </c>
    </row>
    <row r="2418" spans="1:15" ht="64" x14ac:dyDescent="0.2">
      <c r="A2418" s="7" t="str">
        <f>HYPERLINK("https://otsuka-europe-crm.veevavault.com/ui/#object/account__v/V4TZ06G6O71TCJ3", "DAVID TURA ROSALES")</f>
        <v>DAVID TURA ROSALES</v>
      </c>
      <c r="B2418" s="7" t="str">
        <f t="shared" si="88"/>
        <v>ES</v>
      </c>
      <c r="C2418" s="8" t="s">
        <v>39</v>
      </c>
      <c r="D2418" s="9" t="str">
        <f t="shared" si="89"/>
        <v>LUP - VAE Webinar “Lupkynis▼ en la práctica clínica real: más allá de la respuesta renal” - Nefro</v>
      </c>
      <c r="E2418" s="10" t="str">
        <f>HYPERLINK("https://otsuka-europe-crm.veevavault.com/ui/#object/sent_email__v/VBL000000034436", "SE-001442815")</f>
        <v>SE-001442815</v>
      </c>
      <c r="F2418" s="11"/>
      <c r="G2418" s="12">
        <v>0</v>
      </c>
      <c r="H2418" s="12">
        <v>0</v>
      </c>
      <c r="I2418" s="12">
        <v>0</v>
      </c>
      <c r="J2418" s="11"/>
      <c r="K2418" s="12">
        <v>0</v>
      </c>
      <c r="L2418" s="10" t="str">
        <f t="shared" si="90"/>
        <v>LUP - VAE Webinar “Lupkynis▼ en la práctica clínica real: más allá de la respuesta renal” - Nefro</v>
      </c>
      <c r="M2418" s="10" t="str">
        <f t="shared" si="91"/>
        <v>pmartinez@crm.otsuka-europe.com</v>
      </c>
      <c r="N2418" s="13">
        <v>46212.371192129627</v>
      </c>
      <c r="O2418" s="14" t="str">
        <f>HYPERLINK("https://otsuka-europe-crm.veevavault.com/ui/#object/email_activity__v/V8C000000045023", "EN-002103487")</f>
        <v>EN-002103487</v>
      </c>
    </row>
    <row r="2419" spans="1:15" ht="64" x14ac:dyDescent="0.2">
      <c r="A2419" s="7" t="str">
        <f>HYPERLINK("https://otsuka-europe-crm.veevavault.com/ui/#object/account__v/V4TZ06G6O71TBZQ", "JUAN CARLOS RUIZ SAN MILLAN")</f>
        <v>JUAN CARLOS RUIZ SAN MILLAN</v>
      </c>
      <c r="B2419" s="7" t="str">
        <f t="shared" si="88"/>
        <v>ES</v>
      </c>
      <c r="C2419" s="8" t="s">
        <v>39</v>
      </c>
      <c r="D2419" s="9" t="str">
        <f t="shared" si="89"/>
        <v>LUP - VAE Webinar “Lupkynis▼ en la práctica clínica real: más allá de la respuesta renal” - Nefro</v>
      </c>
      <c r="E2419" s="10" t="str">
        <f>HYPERLINK("https://otsuka-europe-crm.veevavault.com/ui/#object/sent_email__v/VBL000000034437", "SE-001442816")</f>
        <v>SE-001442816</v>
      </c>
      <c r="F2419" s="11"/>
      <c r="G2419" s="12">
        <v>0</v>
      </c>
      <c r="H2419" s="12">
        <v>0</v>
      </c>
      <c r="I2419" s="12">
        <v>0</v>
      </c>
      <c r="J2419" s="11"/>
      <c r="K2419" s="12">
        <v>0</v>
      </c>
      <c r="L2419" s="10" t="str">
        <f t="shared" si="90"/>
        <v>LUP - VAE Webinar “Lupkynis▼ en la práctica clínica real: más allá de la respuesta renal” - Nefro</v>
      </c>
      <c r="M2419" s="10" t="str">
        <f t="shared" si="91"/>
        <v>pmartinez@crm.otsuka-europe.com</v>
      </c>
      <c r="N2419" s="13">
        <v>46212.371192129627</v>
      </c>
      <c r="O2419" s="14" t="str">
        <f>HYPERLINK("https://otsuka-europe-crm.veevavault.com/ui/#object/email_activity__v/V8C000000044985", "EN-002103454")</f>
        <v>EN-002103454</v>
      </c>
    </row>
    <row r="2420" spans="1:15" ht="64" x14ac:dyDescent="0.2">
      <c r="A2420" s="7" t="str">
        <f>HYPERLINK("https://otsuka-europe-crm.veevavault.com/ui/#object/account__v/V4TZ06G6O71T94B", "MARIA FERNANDA ARROJO ALONSO")</f>
        <v>MARIA FERNANDA ARROJO ALONSO</v>
      </c>
      <c r="B2420" s="7" t="str">
        <f t="shared" si="88"/>
        <v>ES</v>
      </c>
      <c r="C2420" s="8" t="s">
        <v>39</v>
      </c>
      <c r="D2420" s="9" t="str">
        <f t="shared" si="89"/>
        <v>LUP - VAE Webinar “Lupkynis▼ en la práctica clínica real: más allá de la respuesta renal” - Nefro</v>
      </c>
      <c r="E2420" s="10" t="str">
        <f>HYPERLINK("https://otsuka-europe-crm.veevavault.com/ui/#object/sent_email__v/VBL000000034438", "SE-001442817")</f>
        <v>SE-001442817</v>
      </c>
      <c r="F2420" s="11"/>
      <c r="G2420" s="12">
        <v>0</v>
      </c>
      <c r="H2420" s="12">
        <v>0</v>
      </c>
      <c r="I2420" s="12">
        <v>0</v>
      </c>
      <c r="J2420" s="11"/>
      <c r="K2420" s="12">
        <v>0</v>
      </c>
      <c r="L2420" s="10" t="str">
        <f t="shared" si="90"/>
        <v>LUP - VAE Webinar “Lupkynis▼ en la práctica clínica real: más allá de la respuesta renal” - Nefro</v>
      </c>
      <c r="M2420" s="10" t="str">
        <f t="shared" si="91"/>
        <v>pmartinez@crm.otsuka-europe.com</v>
      </c>
      <c r="N2420" s="13">
        <v>46212.371249999997</v>
      </c>
      <c r="O2420" s="14" t="str">
        <f>HYPERLINK("https://otsuka-europe-crm.veevavault.com/ui/#object/email_activity__v/V8C000000045087", "EN-002103551")</f>
        <v>EN-002103551</v>
      </c>
    </row>
    <row r="2421" spans="1:15" ht="64" x14ac:dyDescent="0.2">
      <c r="A2421" s="7" t="str">
        <f>HYPERLINK("https://otsuka-europe-crm.veevavault.com/ui/#object/account__v/V4TZ06G6OB40N7Q", "MARIA ISABEL JIMENO MARTIN")</f>
        <v>MARIA ISABEL JIMENO MARTIN</v>
      </c>
      <c r="B2421" s="7" t="str">
        <f t="shared" si="88"/>
        <v>ES</v>
      </c>
      <c r="C2421" s="8" t="s">
        <v>39</v>
      </c>
      <c r="D2421" s="9" t="str">
        <f t="shared" si="89"/>
        <v>LUP - VAE Webinar “Lupkynis▼ en la práctica clínica real: más allá de la respuesta renal” - Nefro</v>
      </c>
      <c r="E2421" s="10" t="str">
        <f>HYPERLINK("https://otsuka-europe-crm.veevavault.com/ui/#object/sent_email__v/VBL000000034439", "SE-001442818")</f>
        <v>SE-001442818</v>
      </c>
      <c r="F2421" s="11"/>
      <c r="G2421" s="12">
        <v>0</v>
      </c>
      <c r="H2421" s="12">
        <v>0</v>
      </c>
      <c r="I2421" s="12">
        <v>0</v>
      </c>
      <c r="J2421" s="11"/>
      <c r="K2421" s="12">
        <v>0</v>
      </c>
      <c r="L2421" s="10" t="str">
        <f t="shared" si="90"/>
        <v>LUP - VAE Webinar “Lupkynis▼ en la práctica clínica real: más allá de la respuesta renal” - Nefro</v>
      </c>
      <c r="M2421" s="10" t="str">
        <f t="shared" si="91"/>
        <v>pmartinez@crm.otsuka-europe.com</v>
      </c>
      <c r="N2421" s="13">
        <v>46212.371249999997</v>
      </c>
      <c r="O2421" s="14" t="str">
        <f>HYPERLINK("https://otsuka-europe-crm.veevavault.com/ui/#object/email_activity__v/V8C000000045075", "EN-002103539")</f>
        <v>EN-002103539</v>
      </c>
    </row>
    <row r="2422" spans="1:15" ht="16" x14ac:dyDescent="0.2">
      <c r="A2422" s="18" t="str">
        <f>HYPERLINK("https://otsuka-europe-crm.veevavault.com/ui/#object/account__v/V4TZ06G6O71TC30", "ROSA BENITA SANCHEZ HERNANDEZ")</f>
        <v>ROSA BENITA SANCHEZ HERNANDEZ</v>
      </c>
      <c r="B2422" s="18" t="str">
        <f t="shared" si="88"/>
        <v>ES</v>
      </c>
      <c r="C2422" s="20" t="s">
        <v>39</v>
      </c>
      <c r="D2422" s="21" t="str">
        <f t="shared" si="89"/>
        <v>LUP - VAE Webinar “Lupkynis▼ en la práctica clínica real: más allá de la respuesta renal” - Nefro</v>
      </c>
      <c r="E2422" s="22" t="str">
        <f>HYPERLINK("https://otsuka-europe-crm.veevavault.com/ui/#object/sent_email__v/VBL000000034440", "SE-001442819")</f>
        <v>SE-001442819</v>
      </c>
      <c r="F2422" s="25">
        <v>46212.946168981478</v>
      </c>
      <c r="G2422" s="24">
        <v>1</v>
      </c>
      <c r="H2422" s="24">
        <v>1</v>
      </c>
      <c r="I2422" s="24">
        <v>0</v>
      </c>
      <c r="J2422" s="23"/>
      <c r="K2422" s="24">
        <v>0</v>
      </c>
      <c r="L2422" s="22" t="str">
        <f t="shared" si="90"/>
        <v>LUP - VAE Webinar “Lupkynis▼ en la práctica clínica real: más allá de la respuesta renal” - Nefro</v>
      </c>
      <c r="M2422" s="22" t="str">
        <f t="shared" si="91"/>
        <v>pmartinez@crm.otsuka-europe.com</v>
      </c>
      <c r="N2422" s="25">
        <v>46212.371249999997</v>
      </c>
      <c r="O2422" s="14" t="str">
        <f>HYPERLINK("https://otsuka-europe-crm.veevavault.com/ui/#object/email_activity__v/V8C000000045100", "EN-002103564")</f>
        <v>EN-002103564</v>
      </c>
    </row>
    <row r="2423" spans="1:15" ht="16" x14ac:dyDescent="0.2">
      <c r="A2423" s="19"/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  <c r="L2423" s="19"/>
      <c r="M2423" s="19"/>
      <c r="N2423" s="19"/>
      <c r="O2423" s="14" t="str">
        <f>HYPERLINK("https://otsuka-europe-crm.veevavault.com/ui/#object/email_activity__v/V8C000000047016", "EN-002104184")</f>
        <v>EN-002104184</v>
      </c>
    </row>
    <row r="2424" spans="1:15" ht="16" x14ac:dyDescent="0.2">
      <c r="A2424" s="18" t="str">
        <f>HYPERLINK("https://otsuka-europe-crm.veevavault.com/ui/#object/account__v/V4TZ06G6O71TBGN", "RAQUEL OJEDA LOPEZ")</f>
        <v>RAQUEL OJEDA LOPEZ</v>
      </c>
      <c r="B2424" s="18" t="str">
        <f>HYPERLINK("https://otsuka-europe-crm.veevavault.com/ui/#object/vcountry__v/VENZ000004SONF5", "ES")</f>
        <v>ES</v>
      </c>
      <c r="C2424" s="20" t="s">
        <v>39</v>
      </c>
      <c r="D242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24" s="22" t="str">
        <f>HYPERLINK("https://otsuka-europe-crm.veevavault.com/ui/#object/sent_email__v/VBL000000034441", "SE-001442820")</f>
        <v>SE-001442820</v>
      </c>
      <c r="F2424" s="25">
        <v>46213.314467592594</v>
      </c>
      <c r="G2424" s="24">
        <v>1</v>
      </c>
      <c r="H2424" s="24">
        <v>1</v>
      </c>
      <c r="I2424" s="24">
        <v>0</v>
      </c>
      <c r="J2424" s="23"/>
      <c r="K2424" s="24">
        <v>0</v>
      </c>
      <c r="L242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24" s="22" t="str">
        <f>HYPERLINK("mailto:pmartinez@crm.otsuka-europe.com", "pmartinez@crm.otsuka-europe.com")</f>
        <v>pmartinez@crm.otsuka-europe.com</v>
      </c>
      <c r="N2424" s="25">
        <v>46212.37127314815</v>
      </c>
      <c r="O2424" s="14" t="str">
        <f>HYPERLINK("https://otsuka-europe-crm.veevavault.com/ui/#object/email_activity__v/V8C000000045120", "EN-002103584")</f>
        <v>EN-002103584</v>
      </c>
    </row>
    <row r="2425" spans="1:15" ht="16" x14ac:dyDescent="0.2">
      <c r="A2425" s="19"/>
      <c r="B2425" s="19"/>
      <c r="C2425" s="19"/>
      <c r="D2425" s="19"/>
      <c r="E2425" s="19"/>
      <c r="F2425" s="19"/>
      <c r="G2425" s="19"/>
      <c r="H2425" s="19"/>
      <c r="I2425" s="19"/>
      <c r="J2425" s="19"/>
      <c r="K2425" s="19"/>
      <c r="L2425" s="19"/>
      <c r="M2425" s="19"/>
      <c r="N2425" s="19"/>
      <c r="O2425" s="14" t="str">
        <f>HYPERLINK("https://otsuka-europe-crm.veevavault.com/ui/#object/email_activity__v/V8C000000047039", "EN-002104227")</f>
        <v>EN-002104227</v>
      </c>
    </row>
    <row r="2426" spans="1:15" ht="64" x14ac:dyDescent="0.2">
      <c r="A2426" s="7" t="str">
        <f>HYPERLINK("https://otsuka-europe-crm.veevavault.com/ui/#object/account__v/V4TZ025E82F1CW3", "AMAIA BEGOÑA OSORIO MONTES")</f>
        <v>AMAIA BEGOÑA OSORIO MONTES</v>
      </c>
      <c r="B2426" s="7" t="str">
        <f>HYPERLINK("https://otsuka-europe-crm.veevavault.com/ui/#object/vcountry__v/VENZ000004SONF5", "ES")</f>
        <v>ES</v>
      </c>
      <c r="C2426" s="8" t="s">
        <v>39</v>
      </c>
      <c r="D242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26" s="10" t="str">
        <f>HYPERLINK("https://otsuka-europe-crm.veevavault.com/ui/#object/sent_email__v/VBL000000034442", "SE-001442821")</f>
        <v>SE-001442821</v>
      </c>
      <c r="F2426" s="11"/>
      <c r="G2426" s="12">
        <v>0</v>
      </c>
      <c r="H2426" s="12">
        <v>0</v>
      </c>
      <c r="I2426" s="12">
        <v>0</v>
      </c>
      <c r="J2426" s="11"/>
      <c r="K2426" s="12">
        <v>0</v>
      </c>
      <c r="L242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26" s="10" t="str">
        <f>HYPERLINK("mailto:pmartinez@crm.otsuka-europe.com", "pmartinez@crm.otsuka-europe.com")</f>
        <v>pmartinez@crm.otsuka-europe.com</v>
      </c>
      <c r="N2426" s="13">
        <v>46212.371249999997</v>
      </c>
      <c r="O2426" s="14" t="str">
        <f>HYPERLINK("https://otsuka-europe-crm.veevavault.com/ui/#object/email_activity__v/V8C000000045054", "EN-002103518")</f>
        <v>EN-002103518</v>
      </c>
    </row>
    <row r="2427" spans="1:15" ht="64" x14ac:dyDescent="0.2">
      <c r="A2427" s="7" t="str">
        <f>HYPERLINK("https://otsuka-europe-crm.veevavault.com/ui/#object/account__v/V4TZ06G6O71T9MP", "SECUNDINO JOSE CIGARRAN GULDRIS")</f>
        <v>SECUNDINO JOSE CIGARRAN GULDRIS</v>
      </c>
      <c r="B2427" s="7" t="str">
        <f>HYPERLINK("https://otsuka-europe-crm.veevavault.com/ui/#object/vcountry__v/VENZ000004SONF5", "ES")</f>
        <v>ES</v>
      </c>
      <c r="C2427" s="8" t="s">
        <v>39</v>
      </c>
      <c r="D242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27" s="10" t="str">
        <f>HYPERLINK("https://otsuka-europe-crm.veevavault.com/ui/#object/sent_email__v/VBL000000034443", "SE-001442822")</f>
        <v>SE-001442822</v>
      </c>
      <c r="F2427" s="11"/>
      <c r="G2427" s="12">
        <v>0</v>
      </c>
      <c r="H2427" s="12">
        <v>0</v>
      </c>
      <c r="I2427" s="12">
        <v>0</v>
      </c>
      <c r="J2427" s="11"/>
      <c r="K2427" s="12">
        <v>0</v>
      </c>
      <c r="L242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27" s="10" t="str">
        <f>HYPERLINK("mailto:pmartinez@crm.otsuka-europe.com", "pmartinez@crm.otsuka-europe.com")</f>
        <v>pmartinez@crm.otsuka-europe.com</v>
      </c>
      <c r="N2427" s="13">
        <v>46212.371249999997</v>
      </c>
      <c r="O2427" s="14" t="str">
        <f>HYPERLINK("https://otsuka-europe-crm.veevavault.com/ui/#object/email_activity__v/V8C000000045046", "EN-002103510")</f>
        <v>EN-002103510</v>
      </c>
    </row>
    <row r="2428" spans="1:15" ht="64" x14ac:dyDescent="0.2">
      <c r="A2428" s="7" t="str">
        <f>HYPERLINK("https://otsuka-europe-crm.veevavault.com/ui/#object/account__v/V4TZ06G6O71TC73", "LAIA SANS ATXER")</f>
        <v>LAIA SANS ATXER</v>
      </c>
      <c r="B2428" s="7" t="str">
        <f>HYPERLINK("https://otsuka-europe-crm.veevavault.com/ui/#object/vcountry__v/VENZ000004SONF5", "ES")</f>
        <v>ES</v>
      </c>
      <c r="C2428" s="8" t="s">
        <v>39</v>
      </c>
      <c r="D242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28" s="10" t="str">
        <f>HYPERLINK("https://otsuka-europe-crm.veevavault.com/ui/#object/sent_email__v/VBL000000034444", "SE-001442823")</f>
        <v>SE-001442823</v>
      </c>
      <c r="F2428" s="11"/>
      <c r="G2428" s="12">
        <v>0</v>
      </c>
      <c r="H2428" s="12">
        <v>0</v>
      </c>
      <c r="I2428" s="12">
        <v>0</v>
      </c>
      <c r="J2428" s="11"/>
      <c r="K2428" s="12">
        <v>0</v>
      </c>
      <c r="L242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28" s="10" t="str">
        <f>HYPERLINK("mailto:pmartinez@crm.otsuka-europe.com", "pmartinez@crm.otsuka-europe.com")</f>
        <v>pmartinez@crm.otsuka-europe.com</v>
      </c>
      <c r="N2428" s="13">
        <v>46212.371296296296</v>
      </c>
      <c r="O2428" s="14" t="str">
        <f>HYPERLINK("https://otsuka-europe-crm.veevavault.com/ui/#object/email_activity__v/V8C000000045133", "EN-002103597")</f>
        <v>EN-002103597</v>
      </c>
    </row>
    <row r="2429" spans="1:15" ht="16" x14ac:dyDescent="0.2">
      <c r="A2429" s="18" t="str">
        <f>HYPERLINK("https://otsuka-europe-crm.veevavault.com/ui/#object/account__v/V4TZ06G6O71T7K5", "BORJA QUIROGA GILI")</f>
        <v>BORJA QUIROGA GILI</v>
      </c>
      <c r="B2429" s="18" t="str">
        <f>HYPERLINK("https://otsuka-europe-crm.veevavault.com/ui/#object/vcountry__v/VENZ000004SONF5", "ES")</f>
        <v>ES</v>
      </c>
      <c r="C2429" s="20" t="s">
        <v>39</v>
      </c>
      <c r="D242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29" s="22" t="str">
        <f>HYPERLINK("https://otsuka-europe-crm.veevavault.com/ui/#object/sent_email__v/VBL000000034445", "SE-001442824")</f>
        <v>SE-001442824</v>
      </c>
      <c r="F2429" s="25">
        <v>46212.371342592596</v>
      </c>
      <c r="G2429" s="24">
        <v>1</v>
      </c>
      <c r="H2429" s="24">
        <v>1</v>
      </c>
      <c r="I2429" s="24">
        <v>0</v>
      </c>
      <c r="J2429" s="23"/>
      <c r="K2429" s="24">
        <v>0</v>
      </c>
      <c r="L242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29" s="22" t="str">
        <f>HYPERLINK("mailto:pmartinez@crm.otsuka-europe.com", "pmartinez@crm.otsuka-europe.com")</f>
        <v>pmartinez@crm.otsuka-europe.com</v>
      </c>
      <c r="N2429" s="25">
        <v>46212.371249999997</v>
      </c>
      <c r="O2429" s="14" t="str">
        <f>HYPERLINK("https://otsuka-europe-crm.veevavault.com/ui/#object/email_activity__v/V8C000000045102", "EN-002103566")</f>
        <v>EN-002103566</v>
      </c>
    </row>
    <row r="2430" spans="1:15" ht="16" x14ac:dyDescent="0.2">
      <c r="A2430" s="19"/>
      <c r="B2430" s="19"/>
      <c r="C2430" s="19"/>
      <c r="D2430" s="19"/>
      <c r="E2430" s="19"/>
      <c r="F2430" s="19"/>
      <c r="G2430" s="19"/>
      <c r="H2430" s="19"/>
      <c r="I2430" s="19"/>
      <c r="J2430" s="19"/>
      <c r="K2430" s="19"/>
      <c r="L2430" s="19"/>
      <c r="M2430" s="19"/>
      <c r="N2430" s="19"/>
      <c r="O2430" s="14" t="str">
        <f>HYPERLINK("https://otsuka-europe-crm.veevavault.com/ui/#object/email_activity__v/V8C000000045149", "EN-002103613")</f>
        <v>EN-002103613</v>
      </c>
    </row>
    <row r="2431" spans="1:15" ht="16" x14ac:dyDescent="0.2">
      <c r="A2431" s="18" t="str">
        <f>HYPERLINK("https://otsuka-europe-crm.veevavault.com/ui/#object/account__v/V4TZ025E832TZKP", "MARIO PEREZ ARNEDO")</f>
        <v>MARIO PEREZ ARNEDO</v>
      </c>
      <c r="B2431" s="18" t="str">
        <f>HYPERLINK("https://otsuka-europe-crm.veevavault.com/ui/#object/vcountry__v/VENZ000004SONF5", "ES")</f>
        <v>ES</v>
      </c>
      <c r="C2431" s="20" t="s">
        <v>39</v>
      </c>
      <c r="D243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31" s="22" t="str">
        <f>HYPERLINK("https://otsuka-europe-crm.veevavault.com/ui/#object/sent_email__v/VBL000000034446", "SE-001442825")</f>
        <v>SE-001442825</v>
      </c>
      <c r="F2431" s="25">
        <v>46216.367384259262</v>
      </c>
      <c r="G2431" s="24">
        <v>1</v>
      </c>
      <c r="H2431" s="24">
        <v>1</v>
      </c>
      <c r="I2431" s="24">
        <v>0</v>
      </c>
      <c r="J2431" s="23"/>
      <c r="K2431" s="24">
        <v>0</v>
      </c>
      <c r="L243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31" s="22" t="str">
        <f>HYPERLINK("mailto:pmartinez@crm.otsuka-europe.com", "pmartinez@crm.otsuka-europe.com")</f>
        <v>pmartinez@crm.otsuka-europe.com</v>
      </c>
      <c r="N2431" s="25">
        <v>46212.371249999997</v>
      </c>
      <c r="O2431" s="14" t="str">
        <f>HYPERLINK("https://otsuka-europe-crm.veevavault.com/ui/#object/email_activity__v/V8C000000045027", "EN-002103491")</f>
        <v>EN-002103491</v>
      </c>
    </row>
    <row r="2432" spans="1:15" ht="16" x14ac:dyDescent="0.2">
      <c r="A2432" s="19"/>
      <c r="B2432" s="19"/>
      <c r="C2432" s="19"/>
      <c r="D2432" s="19"/>
      <c r="E2432" s="19"/>
      <c r="F2432" s="19"/>
      <c r="G2432" s="19"/>
      <c r="H2432" s="19"/>
      <c r="I2432" s="19"/>
      <c r="J2432" s="19"/>
      <c r="K2432" s="19"/>
      <c r="L2432" s="19"/>
      <c r="M2432" s="19"/>
      <c r="N2432" s="19"/>
      <c r="O2432" s="14" t="str">
        <f>HYPERLINK("https://otsuka-europe-crm.veevavault.com/ui/#object/email_activity__v/V8C000000049096", "EN-002105039")</f>
        <v>EN-002105039</v>
      </c>
    </row>
    <row r="2433" spans="1:15" ht="64" x14ac:dyDescent="0.2">
      <c r="A2433" s="7" t="str">
        <f>HYPERLINK("https://otsuka-europe-crm.veevavault.com/ui/#object/account__v/V4TZ06G6O71TABN", "BEATRIZ GIL-CASARES CASANOVA")</f>
        <v>BEATRIZ GIL-CASARES CASANOVA</v>
      </c>
      <c r="B2433" s="7" t="str">
        <f>HYPERLINK("https://otsuka-europe-crm.veevavault.com/ui/#object/vcountry__v/VENZ000004SONF5", "ES")</f>
        <v>ES</v>
      </c>
      <c r="C2433" s="8" t="s">
        <v>39</v>
      </c>
      <c r="D243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33" s="10" t="str">
        <f>HYPERLINK("https://otsuka-europe-crm.veevavault.com/ui/#object/sent_email__v/VBL000000034447", "SE-001442826")</f>
        <v>SE-001442826</v>
      </c>
      <c r="F2433" s="11"/>
      <c r="G2433" s="12">
        <v>0</v>
      </c>
      <c r="H2433" s="12">
        <v>0</v>
      </c>
      <c r="I2433" s="12">
        <v>0</v>
      </c>
      <c r="J2433" s="11"/>
      <c r="K2433" s="12">
        <v>0</v>
      </c>
      <c r="L243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33" s="10" t="str">
        <f>HYPERLINK("mailto:pmartinez@crm.otsuka-europe.com", "pmartinez@crm.otsuka-europe.com")</f>
        <v>pmartinez@crm.otsuka-europe.com</v>
      </c>
      <c r="N2433" s="13">
        <v>46212.371296296296</v>
      </c>
      <c r="O2433" s="14" t="str">
        <f>HYPERLINK("https://otsuka-europe-crm.veevavault.com/ui/#object/email_activity__v/V8C000000045134", "EN-002103598")</f>
        <v>EN-002103598</v>
      </c>
    </row>
    <row r="2434" spans="1:15" ht="64" x14ac:dyDescent="0.2">
      <c r="A2434" s="7" t="str">
        <f>HYPERLINK("https://otsuka-europe-crm.veevavault.com/ui/#object/account__v/V4TZ06G6O71TAEN", "JOSE LUIS GORRIZ TERUEL")</f>
        <v>JOSE LUIS GORRIZ TERUEL</v>
      </c>
      <c r="B2434" s="7" t="str">
        <f>HYPERLINK("https://otsuka-europe-crm.veevavault.com/ui/#object/vcountry__v/VENZ000004SONF5", "ES")</f>
        <v>ES</v>
      </c>
      <c r="C2434" s="8" t="s">
        <v>39</v>
      </c>
      <c r="D243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34" s="10" t="str">
        <f>HYPERLINK("https://otsuka-europe-crm.veevavault.com/ui/#object/sent_email__v/VBL000000034448", "SE-001442827")</f>
        <v>SE-001442827</v>
      </c>
      <c r="F2434" s="11"/>
      <c r="G2434" s="12">
        <v>0</v>
      </c>
      <c r="H2434" s="12">
        <v>0</v>
      </c>
      <c r="I2434" s="12">
        <v>0</v>
      </c>
      <c r="J2434" s="11"/>
      <c r="K2434" s="12">
        <v>0</v>
      </c>
      <c r="L243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34" s="10" t="str">
        <f>HYPERLINK("mailto:pmartinez@crm.otsuka-europe.com", "pmartinez@crm.otsuka-europe.com")</f>
        <v>pmartinez@crm.otsuka-europe.com</v>
      </c>
      <c r="N2434" s="13">
        <v>46212.371249999997</v>
      </c>
      <c r="O2434" s="14" t="str">
        <f>HYPERLINK("https://otsuka-europe-crm.veevavault.com/ui/#object/email_activity__v/V8C000000044988", "EN-002103450")</f>
        <v>EN-002103450</v>
      </c>
    </row>
    <row r="2435" spans="1:15" ht="16" x14ac:dyDescent="0.2">
      <c r="A2435" s="18" t="str">
        <f>HYPERLINK("https://otsuka-europe-crm.veevavault.com/ui/#object/account__v/V4TZ06G6O71T9QA", "ISABEL FELEZ JUSTES")</f>
        <v>ISABEL FELEZ JUSTES</v>
      </c>
      <c r="B2435" s="18" t="str">
        <f>HYPERLINK("https://otsuka-europe-crm.veevavault.com/ui/#object/vcountry__v/VENZ000004SONF5", "ES")</f>
        <v>ES</v>
      </c>
      <c r="C2435" s="20" t="s">
        <v>39</v>
      </c>
      <c r="D24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35" s="22" t="str">
        <f>HYPERLINK("https://otsuka-europe-crm.veevavault.com/ui/#object/sent_email__v/VBL000000034449", "SE-001442828")</f>
        <v>SE-001442828</v>
      </c>
      <c r="F2435" s="23"/>
      <c r="G2435" s="24">
        <v>0</v>
      </c>
      <c r="H2435" s="24">
        <v>0</v>
      </c>
      <c r="I2435" s="24">
        <v>0</v>
      </c>
      <c r="J2435" s="23"/>
      <c r="K2435" s="24">
        <v>0</v>
      </c>
      <c r="L24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35" s="22" t="str">
        <f>HYPERLINK("mailto:pmartinez@crm.otsuka-europe.com", "pmartinez@crm.otsuka-europe.com")</f>
        <v>pmartinez@crm.otsuka-europe.com</v>
      </c>
      <c r="N2435" s="25">
        <v>46212.371249999997</v>
      </c>
      <c r="O2435" s="14" t="str">
        <f>HYPERLINK("https://otsuka-europe-crm.veevavault.com/ui/#object/email_activity__v/V8C000000045101", "EN-002103565")</f>
        <v>EN-002103565</v>
      </c>
    </row>
    <row r="2436" spans="1:15" ht="16" x14ac:dyDescent="0.2">
      <c r="A2436" s="19"/>
      <c r="B2436" s="19"/>
      <c r="C2436" s="19"/>
      <c r="D2436" s="19"/>
      <c r="E2436" s="19"/>
      <c r="F2436" s="19"/>
      <c r="G2436" s="19"/>
      <c r="H2436" s="19"/>
      <c r="I2436" s="19"/>
      <c r="J2436" s="19"/>
      <c r="K2436" s="19"/>
      <c r="L2436" s="19"/>
      <c r="M2436" s="19"/>
      <c r="N2436" s="19"/>
      <c r="O2436" s="14" t="str">
        <f>HYPERLINK("https://otsuka-europe-crm.veevavault.com/ui/#object/email_activity__v/V8C000000046008", "EN-002103820")</f>
        <v>EN-002103820</v>
      </c>
    </row>
    <row r="2437" spans="1:15" ht="64" x14ac:dyDescent="0.2">
      <c r="A2437" s="7" t="str">
        <f>HYPERLINK("https://otsuka-europe-crm.veevavault.com/ui/#object/account__v/V4TZ06G6O71TC1B", "MERCEDES SALGUEIRA LAZO")</f>
        <v>MERCEDES SALGUEIRA LAZO</v>
      </c>
      <c r="B2437" s="7" t="str">
        <f>HYPERLINK("https://otsuka-europe-crm.veevavault.com/ui/#object/vcountry__v/VENZ000004SONF5", "ES")</f>
        <v>ES</v>
      </c>
      <c r="C2437" s="8" t="s">
        <v>39</v>
      </c>
      <c r="D243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37" s="10" t="str">
        <f>HYPERLINK("https://otsuka-europe-crm.veevavault.com/ui/#object/sent_email__v/VBL000000034450", "SE-001442829")</f>
        <v>SE-001442829</v>
      </c>
      <c r="F2437" s="11"/>
      <c r="G2437" s="12">
        <v>0</v>
      </c>
      <c r="H2437" s="12">
        <v>0</v>
      </c>
      <c r="I2437" s="12">
        <v>0</v>
      </c>
      <c r="J2437" s="11"/>
      <c r="K2437" s="12">
        <v>0</v>
      </c>
      <c r="L243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37" s="10" t="str">
        <f>HYPERLINK("mailto:pmartinez@crm.otsuka-europe.com", "pmartinez@crm.otsuka-europe.com")</f>
        <v>pmartinez@crm.otsuka-europe.com</v>
      </c>
      <c r="N2437" s="13">
        <v>46212.371249999997</v>
      </c>
      <c r="O2437" s="14" t="str">
        <f>HYPERLINK("https://otsuka-europe-crm.veevavault.com/ui/#object/email_activity__v/V8C000000045092", "EN-002103556")</f>
        <v>EN-002103556</v>
      </c>
    </row>
    <row r="2438" spans="1:15" ht="16" x14ac:dyDescent="0.2">
      <c r="A2438" s="18" t="str">
        <f>HYPERLINK("https://otsuka-europe-crm.veevavault.com/ui/#object/account__v/V4TZ06G6O71T73X", "ELENA ASUNCION CORCHETE PRATS")</f>
        <v>ELENA ASUNCION CORCHETE PRATS</v>
      </c>
      <c r="B2438" s="18" t="str">
        <f>HYPERLINK("https://otsuka-europe-crm.veevavault.com/ui/#object/vcountry__v/VENZ000004SONF5", "ES")</f>
        <v>ES</v>
      </c>
      <c r="C2438" s="20" t="s">
        <v>39</v>
      </c>
      <c r="D243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438" s="22" t="str">
        <f>HYPERLINK("https://otsuka-europe-crm.veevavault.com/ui/#object/sent_email__v/VBL000000034451", "SE-001442830")</f>
        <v>SE-001442830</v>
      </c>
      <c r="F2438" s="23"/>
      <c r="G2438" s="24">
        <v>0</v>
      </c>
      <c r="H2438" s="24">
        <v>0</v>
      </c>
      <c r="I2438" s="24">
        <v>0</v>
      </c>
      <c r="J2438" s="23"/>
      <c r="K2438" s="24">
        <v>0</v>
      </c>
      <c r="L243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438" s="22" t="str">
        <f>HYPERLINK("mailto:pmartinez@crm.otsuka-europe.com", "pmartinez@crm.otsuka-europe.com")</f>
        <v>pmartinez@crm.otsuka-europe.com</v>
      </c>
      <c r="N2438" s="25">
        <v>46212.37128472222</v>
      </c>
      <c r="O2438" s="14" t="str">
        <f>HYPERLINK("https://otsuka-europe-crm.veevavault.com/ui/#object/email_activity__v/V8C000000045132", "EN-002103596")</f>
        <v>EN-002103596</v>
      </c>
    </row>
    <row r="2439" spans="1:15" ht="16" x14ac:dyDescent="0.2">
      <c r="A2439" s="19"/>
      <c r="B2439" s="19"/>
      <c r="C2439" s="19"/>
      <c r="D2439" s="19"/>
      <c r="E2439" s="19"/>
      <c r="F2439" s="19"/>
      <c r="G2439" s="19"/>
      <c r="H2439" s="19"/>
      <c r="I2439" s="19"/>
      <c r="J2439" s="19"/>
      <c r="K2439" s="19"/>
      <c r="L2439" s="19"/>
      <c r="M2439" s="19"/>
      <c r="N2439" s="19"/>
      <c r="O2439" s="14" t="str">
        <f>HYPERLINK("https://otsuka-europe-crm.veevavault.com/ui/#object/email_activity__v/V8C000000047021", "EN-002104192")</f>
        <v>EN-002104192</v>
      </c>
    </row>
    <row r="2440" spans="1:15" ht="64" x14ac:dyDescent="0.2">
      <c r="A2440" s="7" t="str">
        <f>HYPERLINK("https://otsuka-europe-crm.veevavault.com/ui/#object/account__v/V4TZ06G6OBUMOMR", "VANESA CALVO DEL RIO")</f>
        <v>VANESA CALVO DEL RIO</v>
      </c>
      <c r="B2440" s="7" t="str">
        <f>HYPERLINK("https://otsuka-europe-crm.veevavault.com/ui/#object/vcountry__v/VENZ000004SONF5", "ES")</f>
        <v>ES</v>
      </c>
      <c r="C2440" s="8" t="s">
        <v>39</v>
      </c>
      <c r="D244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40" s="10" t="str">
        <f>HYPERLINK("https://otsuka-europe-crm.veevavault.com/ui/#object/sent_email__v/VBL000000034452", "SE-001442831")</f>
        <v>SE-001442831</v>
      </c>
      <c r="F2440" s="11"/>
      <c r="G2440" s="12">
        <v>0</v>
      </c>
      <c r="H2440" s="12">
        <v>0</v>
      </c>
      <c r="I2440" s="12">
        <v>0</v>
      </c>
      <c r="J2440" s="11"/>
      <c r="K2440" s="12">
        <v>0</v>
      </c>
      <c r="L244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40" s="10" t="str">
        <f>HYPERLINK("mailto:pmartinez@crm.otsuka-europe.com", "pmartinez@crm.otsuka-europe.com")</f>
        <v>pmartinez@crm.otsuka-europe.com</v>
      </c>
      <c r="N2440" s="13">
        <v>46212.371550925927</v>
      </c>
      <c r="O2440" s="14" t="str">
        <f>HYPERLINK("https://otsuka-europe-crm.veevavault.com/ui/#object/email_activity__v/V8C000000045156", "EN-002103620")</f>
        <v>EN-002103620</v>
      </c>
    </row>
    <row r="2441" spans="1:15" ht="16" x14ac:dyDescent="0.2">
      <c r="A2441" s="18" t="str">
        <f>HYPERLINK("https://otsuka-europe-crm.veevavault.com/ui/#object/account__v/V4TZ06G6OBUNB0Y", "JAIME CALVO ALEN")</f>
        <v>JAIME CALVO ALEN</v>
      </c>
      <c r="B2441" s="18" t="str">
        <f>HYPERLINK("https://otsuka-europe-crm.veevavault.com/ui/#object/vcountry__v/VENZ000004SONF5", "ES")</f>
        <v>ES</v>
      </c>
      <c r="C2441" s="20" t="s">
        <v>39</v>
      </c>
      <c r="D244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41" s="22" t="str">
        <f>HYPERLINK("https://otsuka-europe-crm.veevavault.com/ui/#object/sent_email__v/VBL000000034453", "SE-001442832")</f>
        <v>SE-001442832</v>
      </c>
      <c r="F2441" s="23"/>
      <c r="G2441" s="24">
        <v>0</v>
      </c>
      <c r="H2441" s="24">
        <v>0</v>
      </c>
      <c r="I2441" s="24">
        <v>0</v>
      </c>
      <c r="J2441" s="23"/>
      <c r="K2441" s="24">
        <v>0</v>
      </c>
      <c r="L244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41" s="22" t="str">
        <f>HYPERLINK("mailto:pmartinez@crm.otsuka-europe.com", "pmartinez@crm.otsuka-europe.com")</f>
        <v>pmartinez@crm.otsuka-europe.com</v>
      </c>
      <c r="N2441" s="25">
        <v>46212.371550925927</v>
      </c>
      <c r="O2441" s="14" t="str">
        <f>HYPERLINK("https://otsuka-europe-crm.veevavault.com/ui/#object/email_activity__v/V8C000000045153", "EN-002103617")</f>
        <v>EN-002103617</v>
      </c>
    </row>
    <row r="2442" spans="1:15" ht="16" x14ac:dyDescent="0.2">
      <c r="A2442" s="19"/>
      <c r="B2442" s="19"/>
      <c r="C2442" s="19"/>
      <c r="D2442" s="19"/>
      <c r="E2442" s="19"/>
      <c r="F2442" s="19"/>
      <c r="G2442" s="19"/>
      <c r="H2442" s="19"/>
      <c r="I2442" s="19"/>
      <c r="J2442" s="19"/>
      <c r="K2442" s="19"/>
      <c r="L2442" s="19"/>
      <c r="M2442" s="19"/>
      <c r="N2442" s="19"/>
      <c r="O2442" s="14" t="str">
        <f>HYPERLINK("https://otsuka-europe-crm.veevavault.com/ui/#object/email_activity__v/V8C000000046075", "EN-002103969")</f>
        <v>EN-002103969</v>
      </c>
    </row>
    <row r="2443" spans="1:15" ht="16" x14ac:dyDescent="0.2">
      <c r="A2443" s="18" t="str">
        <f>HYPERLINK("https://otsuka-europe-crm.veevavault.com/ui/#object/account__v/V4TZ025E83CIIUI", "NAHIA PLAZA AULESTIA")</f>
        <v>NAHIA PLAZA AULESTIA</v>
      </c>
      <c r="B2443" s="18" t="str">
        <f>HYPERLINK("https://otsuka-europe-crm.veevavault.com/ui/#object/vcountry__v/VENZ000004SONF5", "ES")</f>
        <v>ES</v>
      </c>
      <c r="C2443" s="20" t="s">
        <v>39</v>
      </c>
      <c r="D244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43" s="22" t="str">
        <f>HYPERLINK("https://otsuka-europe-crm.veevavault.com/ui/#object/sent_email__v/VBL000000034454", "SE-001442833")</f>
        <v>SE-001442833</v>
      </c>
      <c r="F2443" s="25">
        <v>46212.615312499998</v>
      </c>
      <c r="G2443" s="24">
        <v>1</v>
      </c>
      <c r="H2443" s="24">
        <v>3</v>
      </c>
      <c r="I2443" s="24">
        <v>0</v>
      </c>
      <c r="J2443" s="23"/>
      <c r="K2443" s="24">
        <v>0</v>
      </c>
      <c r="L244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43" s="22" t="str">
        <f>HYPERLINK("mailto:pmartinez@crm.otsuka-europe.com", "pmartinez@crm.otsuka-europe.com")</f>
        <v>pmartinez@crm.otsuka-europe.com</v>
      </c>
      <c r="N2443" s="25">
        <v>46212.371550925927</v>
      </c>
      <c r="O2443" s="14" t="str">
        <f>HYPERLINK("https://otsuka-europe-crm.veevavault.com/ui/#object/email_activity__v/V8C000000045167", "EN-002103631")</f>
        <v>EN-002103631</v>
      </c>
    </row>
    <row r="2444" spans="1:15" ht="16" x14ac:dyDescent="0.2">
      <c r="A2444" s="26"/>
      <c r="B2444" s="26"/>
      <c r="C2444" s="26"/>
      <c r="D2444" s="26"/>
      <c r="E2444" s="26"/>
      <c r="F2444" s="26"/>
      <c r="G2444" s="26"/>
      <c r="H2444" s="26"/>
      <c r="I2444" s="26"/>
      <c r="J2444" s="26"/>
      <c r="K2444" s="26"/>
      <c r="L2444" s="26"/>
      <c r="M2444" s="26"/>
      <c r="N2444" s="26"/>
      <c r="O2444" s="14" t="str">
        <f>HYPERLINK("https://otsuka-europe-crm.veevavault.com/ui/#object/email_activity__v/V8C000000045200", "EN-002103664")</f>
        <v>EN-002103664</v>
      </c>
    </row>
    <row r="2445" spans="1:15" ht="16" x14ac:dyDescent="0.2">
      <c r="A2445" s="26"/>
      <c r="B2445" s="26"/>
      <c r="C2445" s="26"/>
      <c r="D2445" s="26"/>
      <c r="E2445" s="26"/>
      <c r="F2445" s="26"/>
      <c r="G2445" s="26"/>
      <c r="H2445" s="26"/>
      <c r="I2445" s="26"/>
      <c r="J2445" s="26"/>
      <c r="K2445" s="26"/>
      <c r="L2445" s="26"/>
      <c r="M2445" s="26"/>
      <c r="N2445" s="26"/>
      <c r="O2445" s="14" t="str">
        <f>HYPERLINK("https://otsuka-europe-crm.veevavault.com/ui/#object/email_activity__v/V8C000000046037", "EN-002103893")</f>
        <v>EN-002103893</v>
      </c>
    </row>
    <row r="2446" spans="1:15" ht="16" x14ac:dyDescent="0.2">
      <c r="A2446" s="19"/>
      <c r="B2446" s="19"/>
      <c r="C2446" s="19"/>
      <c r="D2446" s="19"/>
      <c r="E2446" s="19"/>
      <c r="F2446" s="19"/>
      <c r="G2446" s="19"/>
      <c r="H2446" s="19"/>
      <c r="I2446" s="19"/>
      <c r="J2446" s="19"/>
      <c r="K2446" s="19"/>
      <c r="L2446" s="19"/>
      <c r="M2446" s="19"/>
      <c r="N2446" s="19"/>
      <c r="O2446" s="14" t="str">
        <f>HYPERLINK("https://otsuka-europe-crm.veevavault.com/ui/#object/email_activity__v/V8C000000046069", "EN-002103960")</f>
        <v>EN-002103960</v>
      </c>
    </row>
    <row r="2447" spans="1:15" ht="16" x14ac:dyDescent="0.2">
      <c r="A2447" s="18" t="str">
        <f>HYPERLINK("https://otsuka-europe-crm.veevavault.com/ui/#object/account__v/V4TZ04ASGGI1WPJ", "MARIA CRUZ LAIÑO PIÑEIRO")</f>
        <v>MARIA CRUZ LAIÑO PIÑEIRO</v>
      </c>
      <c r="B2447" s="18" t="str">
        <f>HYPERLINK("https://otsuka-europe-crm.veevavault.com/ui/#object/vcountry__v/VENZ000004SONF5", "ES")</f>
        <v>ES</v>
      </c>
      <c r="C2447" s="20" t="s">
        <v>39</v>
      </c>
      <c r="D244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47" s="22" t="str">
        <f>HYPERLINK("https://otsuka-europe-crm.veevavault.com/ui/#object/sent_email__v/VBL000000034455", "SE-001442834")</f>
        <v>SE-001442834</v>
      </c>
      <c r="F2447" s="25">
        <v>46212.512199074074</v>
      </c>
      <c r="G2447" s="24">
        <v>1</v>
      </c>
      <c r="H2447" s="24">
        <v>1</v>
      </c>
      <c r="I2447" s="24">
        <v>0</v>
      </c>
      <c r="J2447" s="23"/>
      <c r="K2447" s="24">
        <v>0</v>
      </c>
      <c r="L244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47" s="22" t="str">
        <f>HYPERLINK("mailto:pmartinez@crm.otsuka-europe.com", "pmartinez@crm.otsuka-europe.com")</f>
        <v>pmartinez@crm.otsuka-europe.com</v>
      </c>
      <c r="N2447" s="25">
        <v>46212.371550925927</v>
      </c>
      <c r="O2447" s="14" t="str">
        <f>HYPERLINK("https://otsuka-europe-crm.veevavault.com/ui/#object/email_activity__v/V8C000000045164", "EN-002103628")</f>
        <v>EN-002103628</v>
      </c>
    </row>
    <row r="2448" spans="1:15" ht="16" x14ac:dyDescent="0.2">
      <c r="A2448" s="19"/>
      <c r="B2448" s="19"/>
      <c r="C2448" s="19"/>
      <c r="D2448" s="19"/>
      <c r="E2448" s="19"/>
      <c r="F2448" s="19"/>
      <c r="G2448" s="19"/>
      <c r="H2448" s="19"/>
      <c r="I2448" s="19"/>
      <c r="J2448" s="19"/>
      <c r="K2448" s="19"/>
      <c r="L2448" s="19"/>
      <c r="M2448" s="19"/>
      <c r="N2448" s="19"/>
      <c r="O2448" s="14" t="str">
        <f>HYPERLINK("https://otsuka-europe-crm.veevavault.com/ui/#object/email_activity__v/V8C000000046043", "EN-002103911")</f>
        <v>EN-002103911</v>
      </c>
    </row>
    <row r="2449" spans="1:15" ht="64" x14ac:dyDescent="0.2">
      <c r="A2449" s="7" t="str">
        <f>HYPERLINK("https://otsuka-europe-crm.veevavault.com/ui/#object/account__v/V4TZ06G6OCEKLDE", "ELENA AURRECOECHEA AGUINAGA")</f>
        <v>ELENA AURRECOECHEA AGUINAGA</v>
      </c>
      <c r="B2449" s="7" t="str">
        <f>HYPERLINK("https://otsuka-europe-crm.veevavault.com/ui/#object/vcountry__v/VENZ000004SONF5", "ES")</f>
        <v>ES</v>
      </c>
      <c r="C2449" s="8" t="s">
        <v>39</v>
      </c>
      <c r="D244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49" s="10" t="str">
        <f>HYPERLINK("https://otsuka-europe-crm.veevavault.com/ui/#object/sent_email__v/VBL000000034456", "SE-001442835")</f>
        <v>SE-001442835</v>
      </c>
      <c r="F2449" s="11"/>
      <c r="G2449" s="12">
        <v>0</v>
      </c>
      <c r="H2449" s="12">
        <v>0</v>
      </c>
      <c r="I2449" s="12">
        <v>0</v>
      </c>
      <c r="J2449" s="11"/>
      <c r="K2449" s="12">
        <v>0</v>
      </c>
      <c r="L244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49" s="10" t="str">
        <f>HYPERLINK("mailto:pmartinez@crm.otsuka-europe.com", "pmartinez@crm.otsuka-europe.com")</f>
        <v>pmartinez@crm.otsuka-europe.com</v>
      </c>
      <c r="N2449" s="13">
        <v>46212.37158564815</v>
      </c>
      <c r="O2449" s="14" t="str">
        <f>HYPERLINK("https://otsuka-europe-crm.veevavault.com/ui/#object/email_activity__v/V8C000000045159", "EN-002103623")</f>
        <v>EN-002103623</v>
      </c>
    </row>
    <row r="2450" spans="1:15" ht="16" x14ac:dyDescent="0.2">
      <c r="A2450" s="18" t="str">
        <f>HYPERLINK("https://otsuka-europe-crm.veevavault.com/ui/#object/account__v/V4TZ04ASG8VBZEH", "DIANA PRIETO PEÑA")</f>
        <v>DIANA PRIETO PEÑA</v>
      </c>
      <c r="B2450" s="18" t="str">
        <f>HYPERLINK("https://otsuka-europe-crm.veevavault.com/ui/#object/vcountry__v/VENZ000004SONF5", "ES")</f>
        <v>ES</v>
      </c>
      <c r="C2450" s="20" t="s">
        <v>39</v>
      </c>
      <c r="D245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50" s="22" t="str">
        <f>HYPERLINK("https://otsuka-europe-crm.veevavault.com/ui/#object/sent_email__v/VBL000000034457", "SE-001442836")</f>
        <v>SE-001442836</v>
      </c>
      <c r="F2450" s="25">
        <v>46212.371736111112</v>
      </c>
      <c r="G2450" s="24">
        <v>1</v>
      </c>
      <c r="H2450" s="24">
        <v>1</v>
      </c>
      <c r="I2450" s="24">
        <v>0</v>
      </c>
      <c r="J2450" s="23"/>
      <c r="K2450" s="24">
        <v>0</v>
      </c>
      <c r="L245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50" s="22" t="str">
        <f>HYPERLINK("mailto:pmartinez@crm.otsuka-europe.com", "pmartinez@crm.otsuka-europe.com")</f>
        <v>pmartinez@crm.otsuka-europe.com</v>
      </c>
      <c r="N2450" s="25">
        <v>46212.371562499997</v>
      </c>
      <c r="O2450" s="14" t="str">
        <f>HYPERLINK("https://otsuka-europe-crm.veevavault.com/ui/#object/email_activity__v/V8C000000045160", "EN-002103624")</f>
        <v>EN-002103624</v>
      </c>
    </row>
    <row r="2451" spans="1:15" ht="16" x14ac:dyDescent="0.2">
      <c r="A2451" s="19"/>
      <c r="B2451" s="19"/>
      <c r="C2451" s="19"/>
      <c r="D2451" s="19"/>
      <c r="E2451" s="19"/>
      <c r="F2451" s="19"/>
      <c r="G2451" s="19"/>
      <c r="H2451" s="19"/>
      <c r="I2451" s="19"/>
      <c r="J2451" s="19"/>
      <c r="K2451" s="19"/>
      <c r="L2451" s="19"/>
      <c r="M2451" s="19"/>
      <c r="N2451" s="19"/>
      <c r="O2451" s="14" t="str">
        <f>HYPERLINK("https://otsuka-europe-crm.veevavault.com/ui/#object/email_activity__v/V8C000000045169", "EN-002103633")</f>
        <v>EN-002103633</v>
      </c>
    </row>
    <row r="2452" spans="1:15" ht="16" x14ac:dyDescent="0.2">
      <c r="A2452" s="18" t="str">
        <f>HYPERLINK("https://otsuka-europe-crm.veevavault.com/ui/#object/account__v/V4TZ025E83MS697", "NURIA VEGAS REVENGA")</f>
        <v>NURIA VEGAS REVENGA</v>
      </c>
      <c r="B2452" s="18" t="str">
        <f>HYPERLINK("https://otsuka-europe-crm.veevavault.com/ui/#object/vcountry__v/VENZ000004SONF5", "ES")</f>
        <v>ES</v>
      </c>
      <c r="C2452" s="20" t="s">
        <v>39</v>
      </c>
      <c r="D245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52" s="22" t="str">
        <f>HYPERLINK("https://otsuka-europe-crm.veevavault.com/ui/#object/sent_email__v/VBL000000034458", "SE-001442837")</f>
        <v>SE-001442837</v>
      </c>
      <c r="F2452" s="25">
        <v>46216.851921296293</v>
      </c>
      <c r="G2452" s="24">
        <v>1</v>
      </c>
      <c r="H2452" s="24">
        <v>4</v>
      </c>
      <c r="I2452" s="24">
        <v>0</v>
      </c>
      <c r="J2452" s="23"/>
      <c r="K2452" s="24">
        <v>0</v>
      </c>
      <c r="L245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52" s="22" t="str">
        <f>HYPERLINK("mailto:pmartinez@crm.otsuka-europe.com", "pmartinez@crm.otsuka-europe.com")</f>
        <v>pmartinez@crm.otsuka-europe.com</v>
      </c>
      <c r="N2452" s="25">
        <v>46212.371550925927</v>
      </c>
      <c r="O2452" s="14" t="str">
        <f>HYPERLINK("https://otsuka-europe-crm.veevavault.com/ui/#object/email_activity__v/V8C000000045162", "EN-002103626")</f>
        <v>EN-002103626</v>
      </c>
    </row>
    <row r="2453" spans="1:15" ht="16" x14ac:dyDescent="0.2">
      <c r="A2453" s="26"/>
      <c r="B2453" s="26"/>
      <c r="C2453" s="26"/>
      <c r="D2453" s="26"/>
      <c r="E2453" s="26"/>
      <c r="F2453" s="26"/>
      <c r="G2453" s="26"/>
      <c r="H2453" s="26"/>
      <c r="I2453" s="26"/>
      <c r="J2453" s="26"/>
      <c r="K2453" s="26"/>
      <c r="L2453" s="26"/>
      <c r="M2453" s="26"/>
      <c r="N2453" s="26"/>
      <c r="O2453" s="14" t="str">
        <f>HYPERLINK("https://otsuka-europe-crm.veevavault.com/ui/#object/email_activity__v/V8C000000045337", "EN-002103946")</f>
        <v>EN-002103946</v>
      </c>
    </row>
    <row r="2454" spans="1:15" ht="16" x14ac:dyDescent="0.2">
      <c r="A2454" s="26"/>
      <c r="B2454" s="26"/>
      <c r="C2454" s="26"/>
      <c r="D2454" s="26"/>
      <c r="E2454" s="26"/>
      <c r="F2454" s="26"/>
      <c r="G2454" s="26"/>
      <c r="H2454" s="26"/>
      <c r="I2454" s="26"/>
      <c r="J2454" s="26"/>
      <c r="K2454" s="26"/>
      <c r="L2454" s="26"/>
      <c r="M2454" s="26"/>
      <c r="N2454" s="26"/>
      <c r="O2454" s="14" t="str">
        <f>HYPERLINK("https://otsuka-europe-crm.veevavault.com/ui/#object/email_activity__v/V8C000000045338", "EN-002103947")</f>
        <v>EN-002103947</v>
      </c>
    </row>
    <row r="2455" spans="1:15" ht="16" x14ac:dyDescent="0.2">
      <c r="A2455" s="26"/>
      <c r="B2455" s="26"/>
      <c r="C2455" s="26"/>
      <c r="D2455" s="26"/>
      <c r="E2455" s="26"/>
      <c r="F2455" s="26"/>
      <c r="G2455" s="26"/>
      <c r="H2455" s="26"/>
      <c r="I2455" s="26"/>
      <c r="J2455" s="26"/>
      <c r="K2455" s="26"/>
      <c r="L2455" s="26"/>
      <c r="M2455" s="26"/>
      <c r="N2455" s="26"/>
      <c r="O2455" s="14" t="str">
        <f>HYPERLINK("https://otsuka-europe-crm.veevavault.com/ui/#object/email_activity__v/V8C000000049005", "EN-002104876")</f>
        <v>EN-002104876</v>
      </c>
    </row>
    <row r="2456" spans="1:15" ht="16" x14ac:dyDescent="0.2">
      <c r="A2456" s="19"/>
      <c r="B2456" s="19"/>
      <c r="C2456" s="19"/>
      <c r="D2456" s="19"/>
      <c r="E2456" s="19"/>
      <c r="F2456" s="19"/>
      <c r="G2456" s="19"/>
      <c r="H2456" s="19"/>
      <c r="I2456" s="19"/>
      <c r="J2456" s="19"/>
      <c r="K2456" s="19"/>
      <c r="L2456" s="19"/>
      <c r="M2456" s="19"/>
      <c r="N2456" s="19"/>
      <c r="O2456" s="14" t="str">
        <f>HYPERLINK("https://otsuka-europe-crm.veevavault.com/ui/#object/email_activity__v/V8C000000049455", "EN-002105704")</f>
        <v>EN-002105704</v>
      </c>
    </row>
    <row r="2457" spans="1:15" ht="16" x14ac:dyDescent="0.2">
      <c r="A2457" s="18" t="str">
        <f>HYPERLINK("https://otsuka-europe-crm.veevavault.com/ui/#object/account__v/V4TZ06G6OB46CNB", "RICARDO BLANCO ALONSO")</f>
        <v>RICARDO BLANCO ALONSO</v>
      </c>
      <c r="B2457" s="18" t="str">
        <f>HYPERLINK("https://otsuka-europe-crm.veevavault.com/ui/#object/vcountry__v/VENZ000004SONF5", "ES")</f>
        <v>ES</v>
      </c>
      <c r="C2457" s="20" t="s">
        <v>39</v>
      </c>
      <c r="D245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57" s="22" t="str">
        <f>HYPERLINK("https://otsuka-europe-crm.veevavault.com/ui/#object/sent_email__v/VBL000000034459", "SE-001442838")</f>
        <v>SE-001442838</v>
      </c>
      <c r="F2457" s="25">
        <v>46213.705717592595</v>
      </c>
      <c r="G2457" s="24">
        <v>1</v>
      </c>
      <c r="H2457" s="24">
        <v>2</v>
      </c>
      <c r="I2457" s="24">
        <v>0</v>
      </c>
      <c r="J2457" s="23"/>
      <c r="K2457" s="24">
        <v>0</v>
      </c>
      <c r="L245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57" s="22" t="str">
        <f>HYPERLINK("mailto:pmartinez@crm.otsuka-europe.com", "pmartinez@crm.otsuka-europe.com")</f>
        <v>pmartinez@crm.otsuka-europe.com</v>
      </c>
      <c r="N2457" s="25">
        <v>46212.371550925927</v>
      </c>
      <c r="O2457" s="14" t="str">
        <f>HYPERLINK("https://otsuka-europe-crm.veevavault.com/ui/#object/email_activity__v/V8C000000043993", "EN-002103796")</f>
        <v>EN-002103796</v>
      </c>
    </row>
    <row r="2458" spans="1:15" ht="16" x14ac:dyDescent="0.2">
      <c r="A2458" s="26"/>
      <c r="B2458" s="26"/>
      <c r="C2458" s="26"/>
      <c r="D2458" s="26"/>
      <c r="E2458" s="26"/>
      <c r="F2458" s="26"/>
      <c r="G2458" s="26"/>
      <c r="H2458" s="26"/>
      <c r="I2458" s="26"/>
      <c r="J2458" s="26"/>
      <c r="K2458" s="26"/>
      <c r="L2458" s="26"/>
      <c r="M2458" s="26"/>
      <c r="N2458" s="26"/>
      <c r="O2458" s="14" t="str">
        <f>HYPERLINK("https://otsuka-europe-crm.veevavault.com/ui/#object/email_activity__v/V8C000000045163", "EN-002103627")</f>
        <v>EN-002103627</v>
      </c>
    </row>
    <row r="2459" spans="1:15" ht="16" x14ac:dyDescent="0.2">
      <c r="A2459" s="19"/>
      <c r="B2459" s="19"/>
      <c r="C2459" s="19"/>
      <c r="D2459" s="19"/>
      <c r="E2459" s="19"/>
      <c r="F2459" s="19"/>
      <c r="G2459" s="19"/>
      <c r="H2459" s="19"/>
      <c r="I2459" s="19"/>
      <c r="J2459" s="19"/>
      <c r="K2459" s="19"/>
      <c r="L2459" s="19"/>
      <c r="M2459" s="19"/>
      <c r="N2459" s="19"/>
      <c r="O2459" s="14" t="str">
        <f>HYPERLINK("https://otsuka-europe-crm.veevavault.com/ui/#object/email_activity__v/V8C000000047369", "EN-002104812")</f>
        <v>EN-002104812</v>
      </c>
    </row>
    <row r="2460" spans="1:15" ht="64" x14ac:dyDescent="0.2">
      <c r="A2460" s="7" t="str">
        <f>HYPERLINK("https://otsuka-europe-crm.veevavault.com/ui/#object/account__v/V4TZ04ASG9BD32G", "IRATI URIONAGUENA ONAINDIA")</f>
        <v>IRATI URIONAGUENA ONAINDIA</v>
      </c>
      <c r="B2460" s="7" t="str">
        <f>HYPERLINK("https://otsuka-europe-crm.veevavault.com/ui/#object/vcountry__v/VENZ000004SONF5", "ES")</f>
        <v>ES</v>
      </c>
      <c r="C2460" s="8" t="s">
        <v>39</v>
      </c>
      <c r="D246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60" s="10" t="str">
        <f>HYPERLINK("https://otsuka-europe-crm.veevavault.com/ui/#object/sent_email__v/VBL000000034460", "SE-001442839")</f>
        <v>SE-001442839</v>
      </c>
      <c r="F2460" s="11"/>
      <c r="G2460" s="12">
        <v>0</v>
      </c>
      <c r="H2460" s="12">
        <v>0</v>
      </c>
      <c r="I2460" s="12">
        <v>0</v>
      </c>
      <c r="J2460" s="11"/>
      <c r="K2460" s="12">
        <v>0</v>
      </c>
      <c r="L246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60" s="10" t="str">
        <f>HYPERLINK("mailto:pmartinez@crm.otsuka-europe.com", "pmartinez@crm.otsuka-europe.com")</f>
        <v>pmartinez@crm.otsuka-europe.com</v>
      </c>
      <c r="N2460" s="13">
        <v>46212.371550925927</v>
      </c>
      <c r="O2460" s="14" t="str">
        <f>HYPERLINK("https://otsuka-europe-crm.veevavault.com/ui/#object/email_activity__v/V8C000000045166", "EN-002103630")</f>
        <v>EN-002103630</v>
      </c>
    </row>
    <row r="2461" spans="1:15" ht="64" x14ac:dyDescent="0.2">
      <c r="A2461" s="7" t="str">
        <f>HYPERLINK("https://otsuka-europe-crm.veevavault.com/ui/#object/account__v/V4TZ04ASGCYNHM1", "ALICIA SILVA RIVEIRO")</f>
        <v>ALICIA SILVA RIVEIRO</v>
      </c>
      <c r="B2461" s="7" t="str">
        <f>HYPERLINK("https://otsuka-europe-crm.veevavault.com/ui/#object/vcountry__v/VENZ000004SONF5", "ES")</f>
        <v>ES</v>
      </c>
      <c r="C2461" s="8" t="s">
        <v>39</v>
      </c>
      <c r="D246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61" s="10" t="str">
        <f>HYPERLINK("https://otsuka-europe-crm.veevavault.com/ui/#object/sent_email__v/VBL000000034461", "SE-001442840")</f>
        <v>SE-001442840</v>
      </c>
      <c r="F2461" s="11"/>
      <c r="G2461" s="12">
        <v>0</v>
      </c>
      <c r="H2461" s="12">
        <v>0</v>
      </c>
      <c r="I2461" s="12">
        <v>0</v>
      </c>
      <c r="J2461" s="11"/>
      <c r="K2461" s="12">
        <v>0</v>
      </c>
      <c r="L246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61" s="10" t="str">
        <f>HYPERLINK("mailto:pmartinez@crm.otsuka-europe.com", "pmartinez@crm.otsuka-europe.com")</f>
        <v>pmartinez@crm.otsuka-europe.com</v>
      </c>
      <c r="N2461" s="13">
        <v>46212.371574074074</v>
      </c>
      <c r="O2461" s="14" t="str">
        <f>HYPERLINK("https://otsuka-europe-crm.veevavault.com/ui/#object/email_activity__v/V8C000000045158", "EN-002103622")</f>
        <v>EN-002103622</v>
      </c>
    </row>
    <row r="2462" spans="1:15" ht="16" x14ac:dyDescent="0.2">
      <c r="A2462" s="18" t="str">
        <f>HYPERLINK("https://otsuka-europe-crm.veevavault.com/ui/#object/account__v/V4TZ06G6OCEKLFM", "JOSE FRANCISCO GARCIA LLORENTE")</f>
        <v>JOSE FRANCISCO GARCIA LLORENTE</v>
      </c>
      <c r="B2462" s="18" t="str">
        <f>HYPERLINK("https://otsuka-europe-crm.veevavault.com/ui/#object/vcountry__v/VENZ000004SONF5", "ES")</f>
        <v>ES</v>
      </c>
      <c r="C2462" s="20" t="s">
        <v>39</v>
      </c>
      <c r="D246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62" s="22" t="str">
        <f>HYPERLINK("https://otsuka-europe-crm.veevavault.com/ui/#object/sent_email__v/VBL000000034462", "SE-001442841")</f>
        <v>SE-001442841</v>
      </c>
      <c r="F2462" s="25">
        <v>46212.410057870373</v>
      </c>
      <c r="G2462" s="24">
        <v>1</v>
      </c>
      <c r="H2462" s="24">
        <v>1</v>
      </c>
      <c r="I2462" s="24">
        <v>0</v>
      </c>
      <c r="J2462" s="23"/>
      <c r="K2462" s="24">
        <v>0</v>
      </c>
      <c r="L246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62" s="22" t="str">
        <f>HYPERLINK("mailto:pmartinez@crm.otsuka-europe.com", "pmartinez@crm.otsuka-europe.com")</f>
        <v>pmartinez@crm.otsuka-europe.com</v>
      </c>
      <c r="N2462" s="25">
        <v>46212.371550925927</v>
      </c>
      <c r="O2462" s="14" t="str">
        <f>HYPERLINK("https://otsuka-europe-crm.veevavault.com/ui/#object/email_activity__v/V8C000000045152", "EN-002103616")</f>
        <v>EN-002103616</v>
      </c>
    </row>
    <row r="2463" spans="1:15" ht="16" x14ac:dyDescent="0.2">
      <c r="A2463" s="19"/>
      <c r="B2463" s="19"/>
      <c r="C2463" s="19"/>
      <c r="D2463" s="19"/>
      <c r="E2463" s="19"/>
      <c r="F2463" s="19"/>
      <c r="G2463" s="19"/>
      <c r="H2463" s="19"/>
      <c r="I2463" s="19"/>
      <c r="J2463" s="19"/>
      <c r="K2463" s="19"/>
      <c r="L2463" s="19"/>
      <c r="M2463" s="19"/>
      <c r="N2463" s="19"/>
      <c r="O2463" s="14" t="str">
        <f>HYPERLINK("https://otsuka-europe-crm.veevavault.com/ui/#object/email_activity__v/V8C000000045243", "EN-002103778")</f>
        <v>EN-002103778</v>
      </c>
    </row>
    <row r="2464" spans="1:15" ht="16" x14ac:dyDescent="0.2">
      <c r="A2464" s="18" t="str">
        <f>HYPERLINK("https://otsuka-europe-crm.veevavault.com/ui/#object/account__v/V4TZ04ASG6FSYLU", "JOAQUIN BELZUNEGUI OTANO")</f>
        <v>JOAQUIN BELZUNEGUI OTANO</v>
      </c>
      <c r="B2464" s="18" t="str">
        <f>HYPERLINK("https://otsuka-europe-crm.veevavault.com/ui/#object/vcountry__v/VENZ000004SONF5", "ES")</f>
        <v>ES</v>
      </c>
      <c r="C2464" s="20" t="s">
        <v>39</v>
      </c>
      <c r="D246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64" s="22" t="str">
        <f>HYPERLINK("https://otsuka-europe-crm.veevavault.com/ui/#object/sent_email__v/VBL000000034463", "SE-001442842")</f>
        <v>SE-001442842</v>
      </c>
      <c r="F2464" s="25">
        <v>46213.591770833336</v>
      </c>
      <c r="G2464" s="24">
        <v>1</v>
      </c>
      <c r="H2464" s="24">
        <v>8</v>
      </c>
      <c r="I2464" s="24">
        <v>0</v>
      </c>
      <c r="J2464" s="23"/>
      <c r="K2464" s="24">
        <v>0</v>
      </c>
      <c r="L246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64" s="22" t="str">
        <f>HYPERLINK("mailto:pmartinez@crm.otsuka-europe.com", "pmartinez@crm.otsuka-europe.com")</f>
        <v>pmartinez@crm.otsuka-europe.com</v>
      </c>
      <c r="N2464" s="25">
        <v>46212.371550925927</v>
      </c>
      <c r="O2464" s="14" t="str">
        <f>HYPERLINK("https://otsuka-europe-crm.veevavault.com/ui/#object/email_activity__v/V8C000000045165", "EN-002103629")</f>
        <v>EN-002103629</v>
      </c>
    </row>
    <row r="2465" spans="1:15" ht="16" x14ac:dyDescent="0.2">
      <c r="A2465" s="26"/>
      <c r="B2465" s="26"/>
      <c r="C2465" s="26"/>
      <c r="D2465" s="26"/>
      <c r="E2465" s="26"/>
      <c r="F2465" s="26"/>
      <c r="G2465" s="26"/>
      <c r="H2465" s="26"/>
      <c r="I2465" s="26"/>
      <c r="J2465" s="26"/>
      <c r="K2465" s="26"/>
      <c r="L2465" s="26"/>
      <c r="M2465" s="26"/>
      <c r="N2465" s="26"/>
      <c r="O2465" s="14" t="str">
        <f>HYPERLINK("https://otsuka-europe-crm.veevavault.com/ui/#object/email_activity__v/V8C000000045341", "EN-002103962")</f>
        <v>EN-002103962</v>
      </c>
    </row>
    <row r="2466" spans="1:15" ht="16" x14ac:dyDescent="0.2">
      <c r="A2466" s="26"/>
      <c r="B2466" s="26"/>
      <c r="C2466" s="26"/>
      <c r="D2466" s="26"/>
      <c r="E2466" s="26"/>
      <c r="F2466" s="26"/>
      <c r="G2466" s="26"/>
      <c r="H2466" s="26"/>
      <c r="I2466" s="26"/>
      <c r="J2466" s="26"/>
      <c r="K2466" s="26"/>
      <c r="L2466" s="26"/>
      <c r="M2466" s="26"/>
      <c r="N2466" s="26"/>
      <c r="O2466" s="14" t="str">
        <f>HYPERLINK("https://otsuka-europe-crm.veevavault.com/ui/#object/email_activity__v/V8C000000046050", "EN-002103924")</f>
        <v>EN-002103924</v>
      </c>
    </row>
    <row r="2467" spans="1:15" ht="16" x14ac:dyDescent="0.2">
      <c r="A2467" s="26"/>
      <c r="B2467" s="26"/>
      <c r="C2467" s="26"/>
      <c r="D2467" s="26"/>
      <c r="E2467" s="26"/>
      <c r="F2467" s="26"/>
      <c r="G2467" s="26"/>
      <c r="H2467" s="26"/>
      <c r="I2467" s="26"/>
      <c r="J2467" s="26"/>
      <c r="K2467" s="26"/>
      <c r="L2467" s="26"/>
      <c r="M2467" s="26"/>
      <c r="N2467" s="26"/>
      <c r="O2467" s="14" t="str">
        <f>HYPERLINK("https://otsuka-europe-crm.veevavault.com/ui/#object/email_activity__v/V8C000000046051", "EN-002103925")</f>
        <v>EN-002103925</v>
      </c>
    </row>
    <row r="2468" spans="1:15" ht="16" x14ac:dyDescent="0.2">
      <c r="A2468" s="26"/>
      <c r="B2468" s="26"/>
      <c r="C2468" s="26"/>
      <c r="D2468" s="26"/>
      <c r="E2468" s="26"/>
      <c r="F2468" s="26"/>
      <c r="G2468" s="26"/>
      <c r="H2468" s="26"/>
      <c r="I2468" s="26"/>
      <c r="J2468" s="26"/>
      <c r="K2468" s="26"/>
      <c r="L2468" s="26"/>
      <c r="M2468" s="26"/>
      <c r="N2468" s="26"/>
      <c r="O2468" s="14" t="str">
        <f>HYPERLINK("https://otsuka-europe-crm.veevavault.com/ui/#object/email_activity__v/V8C000000046080", "EN-002103981")</f>
        <v>EN-002103981</v>
      </c>
    </row>
    <row r="2469" spans="1:15" ht="16" x14ac:dyDescent="0.2">
      <c r="A2469" s="26"/>
      <c r="B2469" s="26"/>
      <c r="C2469" s="26"/>
      <c r="D2469" s="26"/>
      <c r="E2469" s="26"/>
      <c r="F2469" s="26"/>
      <c r="G2469" s="26"/>
      <c r="H2469" s="26"/>
      <c r="I2469" s="26"/>
      <c r="J2469" s="26"/>
      <c r="K2469" s="26"/>
      <c r="L2469" s="26"/>
      <c r="M2469" s="26"/>
      <c r="N2469" s="26"/>
      <c r="O2469" s="14" t="str">
        <f>HYPERLINK("https://otsuka-europe-crm.veevavault.com/ui/#object/email_activity__v/V8C000000047001", "EN-002104163")</f>
        <v>EN-002104163</v>
      </c>
    </row>
    <row r="2470" spans="1:15" ht="16" x14ac:dyDescent="0.2">
      <c r="A2470" s="26"/>
      <c r="B2470" s="26"/>
      <c r="C2470" s="26"/>
      <c r="D2470" s="26"/>
      <c r="E2470" s="26"/>
      <c r="F2470" s="26"/>
      <c r="G2470" s="26"/>
      <c r="H2470" s="26"/>
      <c r="I2470" s="26"/>
      <c r="J2470" s="26"/>
      <c r="K2470" s="26"/>
      <c r="L2470" s="26"/>
      <c r="M2470" s="26"/>
      <c r="N2470" s="26"/>
      <c r="O2470" s="14" t="str">
        <f>HYPERLINK("https://otsuka-europe-crm.veevavault.com/ui/#object/email_activity__v/V8C000000047035", "EN-002104215")</f>
        <v>EN-002104215</v>
      </c>
    </row>
    <row r="2471" spans="1:15" ht="16" x14ac:dyDescent="0.2">
      <c r="A2471" s="26"/>
      <c r="B2471" s="26"/>
      <c r="C2471" s="26"/>
      <c r="D2471" s="26"/>
      <c r="E2471" s="26"/>
      <c r="F2471" s="26"/>
      <c r="G2471" s="26"/>
      <c r="H2471" s="26"/>
      <c r="I2471" s="26"/>
      <c r="J2471" s="26"/>
      <c r="K2471" s="26"/>
      <c r="L2471" s="26"/>
      <c r="M2471" s="26"/>
      <c r="N2471" s="26"/>
      <c r="O2471" s="14" t="str">
        <f>HYPERLINK("https://otsuka-europe-crm.veevavault.com/ui/#object/email_activity__v/V8C000000047348", "EN-002104764")</f>
        <v>EN-002104764</v>
      </c>
    </row>
    <row r="2472" spans="1:15" ht="16" x14ac:dyDescent="0.2">
      <c r="A2472" s="19"/>
      <c r="B2472" s="19"/>
      <c r="C2472" s="19"/>
      <c r="D2472" s="19"/>
      <c r="E2472" s="19"/>
      <c r="F2472" s="19"/>
      <c r="G2472" s="19"/>
      <c r="H2472" s="19"/>
      <c r="I2472" s="19"/>
      <c r="J2472" s="19"/>
      <c r="K2472" s="19"/>
      <c r="L2472" s="19"/>
      <c r="M2472" s="19"/>
      <c r="N2472" s="19"/>
      <c r="O2472" s="14" t="str">
        <f>HYPERLINK("https://otsuka-europe-crm.veevavault.com/ui/#object/email_activity__v/V8C000000048253", "EN-002104755")</f>
        <v>EN-002104755</v>
      </c>
    </row>
    <row r="2473" spans="1:15" ht="16" x14ac:dyDescent="0.2">
      <c r="A2473" s="18" t="str">
        <f>HYPERLINK("https://otsuka-europe-crm.veevavault.com/ui/#object/account__v/V4TZ04ASGBCEZRF", "JULIANA RESTREPO VELEZ")</f>
        <v>JULIANA RESTREPO VELEZ</v>
      </c>
      <c r="B2473" s="18" t="str">
        <f>HYPERLINK("https://otsuka-europe-crm.veevavault.com/ui/#object/vcountry__v/VENZ000004SONF5", "ES")</f>
        <v>ES</v>
      </c>
      <c r="C2473" s="20" t="s">
        <v>39</v>
      </c>
      <c r="D247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73" s="22" t="str">
        <f>HYPERLINK("https://otsuka-europe-crm.veevavault.com/ui/#object/sent_email__v/VBL000000034464", "SE-001442843")</f>
        <v>SE-001442843</v>
      </c>
      <c r="F2473" s="25">
        <v>46212.38385416667</v>
      </c>
      <c r="G2473" s="24">
        <v>1</v>
      </c>
      <c r="H2473" s="24">
        <v>1</v>
      </c>
      <c r="I2473" s="24">
        <v>0</v>
      </c>
      <c r="J2473" s="23"/>
      <c r="K2473" s="24">
        <v>0</v>
      </c>
      <c r="L247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73" s="22" t="str">
        <f>HYPERLINK("mailto:pmartinez@crm.otsuka-europe.com", "pmartinez@crm.otsuka-europe.com")</f>
        <v>pmartinez@crm.otsuka-europe.com</v>
      </c>
      <c r="N2473" s="25">
        <v>46212.371550925927</v>
      </c>
      <c r="O2473" s="14" t="str">
        <f>HYPERLINK("https://otsuka-europe-crm.veevavault.com/ui/#object/email_activity__v/V8C000000045154", "EN-002103618")</f>
        <v>EN-002103618</v>
      </c>
    </row>
    <row r="2474" spans="1:15" ht="16" x14ac:dyDescent="0.2">
      <c r="A2474" s="19"/>
      <c r="B2474" s="19"/>
      <c r="C2474" s="19"/>
      <c r="D2474" s="19"/>
      <c r="E2474" s="19"/>
      <c r="F2474" s="19"/>
      <c r="G2474" s="19"/>
      <c r="H2474" s="19"/>
      <c r="I2474" s="19"/>
      <c r="J2474" s="19"/>
      <c r="K2474" s="19"/>
      <c r="L2474" s="19"/>
      <c r="M2474" s="19"/>
      <c r="N2474" s="19"/>
      <c r="O2474" s="14" t="str">
        <f>HYPERLINK("https://otsuka-europe-crm.veevavault.com/ui/#object/email_activity__v/V8C000000045211", "EN-002103682")</f>
        <v>EN-002103682</v>
      </c>
    </row>
    <row r="2475" spans="1:15" ht="64" x14ac:dyDescent="0.2">
      <c r="A2475" s="7" t="str">
        <f>HYPERLINK("https://otsuka-europe-crm.veevavault.com/ui/#object/account__v/V4TZ025E82F0S4T", "MARIA ESTHER RUIZ LUCEA")</f>
        <v>MARIA ESTHER RUIZ LUCEA</v>
      </c>
      <c r="B2475" s="7" t="str">
        <f>HYPERLINK("https://otsuka-europe-crm.veevavault.com/ui/#object/vcountry__v/VENZ000004SONF5", "ES")</f>
        <v>ES</v>
      </c>
      <c r="C2475" s="8" t="s">
        <v>39</v>
      </c>
      <c r="D247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75" s="10" t="str">
        <f>HYPERLINK("https://otsuka-europe-crm.veevavault.com/ui/#object/sent_email__v/VBL000000034465", "SE-001442844")</f>
        <v>SE-001442844</v>
      </c>
      <c r="F2475" s="11"/>
      <c r="G2475" s="12">
        <v>0</v>
      </c>
      <c r="H2475" s="12">
        <v>0</v>
      </c>
      <c r="I2475" s="12">
        <v>0</v>
      </c>
      <c r="J2475" s="11"/>
      <c r="K2475" s="12">
        <v>0</v>
      </c>
      <c r="L247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75" s="10" t="str">
        <f>HYPERLINK("mailto:pmartinez@crm.otsuka-europe.com", "pmartinez@crm.otsuka-europe.com")</f>
        <v>pmartinez@crm.otsuka-europe.com</v>
      </c>
      <c r="N2475" s="13">
        <v>46212.371550925927</v>
      </c>
      <c r="O2475" s="14" t="str">
        <f>HYPERLINK("https://otsuka-europe-crm.veevavault.com/ui/#object/email_activity__v/V8C000000045155", "EN-002103619")</f>
        <v>EN-002103619</v>
      </c>
    </row>
    <row r="2476" spans="1:15" ht="16" x14ac:dyDescent="0.2">
      <c r="A2476" s="18" t="str">
        <f>HYPERLINK("https://otsuka-europe-crm.veevavault.com/ui/#object/account__v/V4TZ04ASGBXJ6FA", "CRISTINA CORRALES SELAYA")</f>
        <v>CRISTINA CORRALES SELAYA</v>
      </c>
      <c r="B2476" s="18" t="str">
        <f>HYPERLINK("https://otsuka-europe-crm.veevavault.com/ui/#object/vcountry__v/VENZ000004SONF5", "ES")</f>
        <v>ES</v>
      </c>
      <c r="C2476" s="20" t="s">
        <v>39</v>
      </c>
      <c r="D247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476" s="22" t="str">
        <f>HYPERLINK("https://otsuka-europe-crm.veevavault.com/ui/#object/sent_email__v/VBL000000034466", "SE-001442845")</f>
        <v>SE-001442845</v>
      </c>
      <c r="F2476" s="25">
        <v>46212.376342592594</v>
      </c>
      <c r="G2476" s="24">
        <v>1</v>
      </c>
      <c r="H2476" s="24">
        <v>1</v>
      </c>
      <c r="I2476" s="24">
        <v>0</v>
      </c>
      <c r="J2476" s="23"/>
      <c r="K2476" s="24">
        <v>0</v>
      </c>
      <c r="L247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476" s="22" t="str">
        <f>HYPERLINK("mailto:pmartinez@crm.otsuka-europe.com", "pmartinez@crm.otsuka-europe.com")</f>
        <v>pmartinez@crm.otsuka-europe.com</v>
      </c>
      <c r="N2476" s="25">
        <v>46212.371550925927</v>
      </c>
      <c r="O2476" s="14" t="str">
        <f>HYPERLINK("https://otsuka-europe-crm.veevavault.com/ui/#object/email_activity__v/V8C000000045151", "EN-002103615")</f>
        <v>EN-002103615</v>
      </c>
    </row>
    <row r="2477" spans="1:15" ht="16" x14ac:dyDescent="0.2">
      <c r="A2477" s="19"/>
      <c r="B2477" s="19"/>
      <c r="C2477" s="19"/>
      <c r="D2477" s="19"/>
      <c r="E2477" s="19"/>
      <c r="F2477" s="19"/>
      <c r="G2477" s="19"/>
      <c r="H2477" s="19"/>
      <c r="I2477" s="19"/>
      <c r="J2477" s="19"/>
      <c r="K2477" s="19"/>
      <c r="L2477" s="19"/>
      <c r="M2477" s="19"/>
      <c r="N2477" s="19"/>
      <c r="O2477" s="14" t="str">
        <f>HYPERLINK("https://otsuka-europe-crm.veevavault.com/ui/#object/email_activity__v/V8C000000045205", "EN-002103670")</f>
        <v>EN-002103670</v>
      </c>
    </row>
    <row r="2478" spans="1:15" ht="16" x14ac:dyDescent="0.2">
      <c r="A2478" s="18" t="str">
        <f>HYPERLINK("https://otsuka-europe-crm.veevavault.com/ui/#object/account__v/V4T00000001B044", "BEATRIZ CUEVAS RUIZ")</f>
        <v>BEATRIZ CUEVAS RUIZ</v>
      </c>
      <c r="B2478" s="18" t="str">
        <f>HYPERLINK("https://otsuka-europe-crm.veevavault.com/ui/#object/vcountry__v/VENZ000004SONF5", "ES")</f>
        <v>ES</v>
      </c>
      <c r="C2478" s="20" t="s">
        <v>39</v>
      </c>
      <c r="D2478" s="21" t="str">
        <f>HYPERLINK("https://otsuka-europe-crm.veevavault.com/ui/#object/approved_document__v/V5O00000001R001", "INA - VAE Cierre ""Nos quedamos en Casa""")</f>
        <v>INA - VAE Cierre "Nos quedamos en Casa"</v>
      </c>
      <c r="E2478" s="22" t="str">
        <f>HYPERLINK("https://otsuka-europe-crm.veevavault.com/ui/#object/sent_email__v/VBL000000034467", "SE-001442846")</f>
        <v>SE-001442846</v>
      </c>
      <c r="F2478" s="25">
        <v>46212.445775462962</v>
      </c>
      <c r="G2478" s="24">
        <v>1</v>
      </c>
      <c r="H2478" s="24">
        <v>1</v>
      </c>
      <c r="I2478" s="24">
        <v>1</v>
      </c>
      <c r="J2478" s="25">
        <v>46212.458275462966</v>
      </c>
      <c r="K2478" s="24">
        <v>3</v>
      </c>
      <c r="L2478" s="22" t="str">
        <f>HYPERLINK("https://otsuka-europe-crm.veevavault.com/ui/#object/approved_document__v/V5O00000001R001", "INA - VAE Cierre ""Nos quedamos en Casa""")</f>
        <v>INA - VAE Cierre "Nos quedamos en Casa"</v>
      </c>
      <c r="M2478" s="22" t="str">
        <f>HYPERLINK("mailto:pmartinez@crm.otsuka-europe.com", "pmartinez@crm.otsuka-europe.com")</f>
        <v>pmartinez@crm.otsuka-europe.com</v>
      </c>
      <c r="N2478" s="25">
        <v>46212.372060185182</v>
      </c>
      <c r="O2478" s="14" t="str">
        <f>HYPERLINK("https://otsuka-europe-crm.veevavault.com/ui/#object/email_activity__v/V8C000000043997", "EN-002103806")</f>
        <v>EN-002103806</v>
      </c>
    </row>
    <row r="2479" spans="1:15" ht="16" x14ac:dyDescent="0.2">
      <c r="A2479" s="26"/>
      <c r="B2479" s="26"/>
      <c r="C2479" s="26"/>
      <c r="D2479" s="26"/>
      <c r="E2479" s="26"/>
      <c r="F2479" s="26"/>
      <c r="G2479" s="26"/>
      <c r="H2479" s="26"/>
      <c r="I2479" s="26"/>
      <c r="J2479" s="26"/>
      <c r="K2479" s="26"/>
      <c r="L2479" s="26"/>
      <c r="M2479" s="26"/>
      <c r="N2479" s="26"/>
      <c r="O2479" s="14" t="str">
        <f>HYPERLINK("https://otsuka-europe-crm.veevavault.com/ui/#object/email_activity__v/V8C000000043998", "EN-002103805")</f>
        <v>EN-002103805</v>
      </c>
    </row>
    <row r="2480" spans="1:15" ht="16" x14ac:dyDescent="0.2">
      <c r="A2480" s="26"/>
      <c r="B2480" s="26"/>
      <c r="C2480" s="26"/>
      <c r="D2480" s="26"/>
      <c r="E2480" s="26"/>
      <c r="F2480" s="26"/>
      <c r="G2480" s="26"/>
      <c r="H2480" s="26"/>
      <c r="I2480" s="26"/>
      <c r="J2480" s="26"/>
      <c r="K2480" s="26"/>
      <c r="L2480" s="26"/>
      <c r="M2480" s="26"/>
      <c r="N2480" s="26"/>
      <c r="O2480" s="14" t="str">
        <f>HYPERLINK("https://otsuka-europe-crm.veevavault.com/ui/#object/email_activity__v/V8C000000043999", "EN-002103807")</f>
        <v>EN-002103807</v>
      </c>
    </row>
    <row r="2481" spans="1:15" ht="16" x14ac:dyDescent="0.2">
      <c r="A2481" s="26"/>
      <c r="B2481" s="26"/>
      <c r="C2481" s="26"/>
      <c r="D2481" s="26"/>
      <c r="E2481" s="26"/>
      <c r="F2481" s="26"/>
      <c r="G2481" s="26"/>
      <c r="H2481" s="26"/>
      <c r="I2481" s="26"/>
      <c r="J2481" s="26"/>
      <c r="K2481" s="26"/>
      <c r="L2481" s="26"/>
      <c r="M2481" s="26"/>
      <c r="N2481" s="26"/>
      <c r="O2481" s="14" t="str">
        <f>HYPERLINK("https://otsuka-europe-crm.veevavault.com/ui/#object/email_activity__v/V8C000000045176", "EN-002103640")</f>
        <v>EN-002103640</v>
      </c>
    </row>
    <row r="2482" spans="1:15" ht="16" x14ac:dyDescent="0.2">
      <c r="A2482" s="19"/>
      <c r="B2482" s="19"/>
      <c r="C2482" s="19"/>
      <c r="D2482" s="19"/>
      <c r="E2482" s="19"/>
      <c r="F2482" s="19"/>
      <c r="G2482" s="19"/>
      <c r="H2482" s="19"/>
      <c r="I2482" s="19"/>
      <c r="J2482" s="19"/>
      <c r="K2482" s="19"/>
      <c r="L2482" s="19"/>
      <c r="M2482" s="19"/>
      <c r="N2482" s="19"/>
      <c r="O2482" s="14" t="str">
        <f>HYPERLINK("https://otsuka-europe-crm.veevavault.com/ui/#object/email_activity__v/V8C000000045259", "EN-002103814")</f>
        <v>EN-002103814</v>
      </c>
    </row>
    <row r="2483" spans="1:15" ht="32" x14ac:dyDescent="0.2">
      <c r="A2483" s="7" t="str">
        <f>HYPERLINK("https://otsuka-europe-crm.veevavault.com/ui/#object/account__v/V4TZ025E877HGBT", "ESTHER PEREZ SANTAOLALLA")</f>
        <v>ESTHER PEREZ SANTAOLALLA</v>
      </c>
      <c r="B2483" s="7" t="str">
        <f t="shared" ref="B2483:B2488" si="92">HYPERLINK("https://otsuka-europe-crm.veevavault.com/ui/#object/vcountry__v/VENZ000004SONF5", "ES")</f>
        <v>ES</v>
      </c>
      <c r="C2483" s="8" t="s">
        <v>39</v>
      </c>
      <c r="D2483" s="9" t="str">
        <f t="shared" ref="D2483:D2488" si="93">HYPERLINK("https://otsuka-europe-crm.veevavault.com/ui/#object/approved_document__v/V5O00000001R001", "INA - VAE Cierre ""Nos quedamos en Casa""")</f>
        <v>INA - VAE Cierre "Nos quedamos en Casa"</v>
      </c>
      <c r="E2483" s="10" t="str">
        <f>HYPERLINK("https://otsuka-europe-crm.veevavault.com/ui/#object/sent_email__v/VBL000000034468", "SE-001442847")</f>
        <v>SE-001442847</v>
      </c>
      <c r="F2483" s="11"/>
      <c r="G2483" s="12">
        <v>0</v>
      </c>
      <c r="H2483" s="12">
        <v>0</v>
      </c>
      <c r="I2483" s="12">
        <v>0</v>
      </c>
      <c r="J2483" s="11"/>
      <c r="K2483" s="12">
        <v>0</v>
      </c>
      <c r="L2483" s="10" t="str">
        <f t="shared" ref="L2483:L2488" si="94">HYPERLINK("https://otsuka-europe-crm.veevavault.com/ui/#object/approved_document__v/V5O00000001R001", "INA - VAE Cierre ""Nos quedamos en Casa""")</f>
        <v>INA - VAE Cierre "Nos quedamos en Casa"</v>
      </c>
      <c r="M2483" s="10" t="str">
        <f t="shared" ref="M2483:M2488" si="95">HYPERLINK("mailto:pmartinez@crm.otsuka-europe.com", "pmartinez@crm.otsuka-europe.com")</f>
        <v>pmartinez@crm.otsuka-europe.com</v>
      </c>
      <c r="N2483" s="13">
        <v>46212.372060185182</v>
      </c>
      <c r="O2483" s="14" t="str">
        <f>HYPERLINK("https://otsuka-europe-crm.veevavault.com/ui/#object/email_activity__v/V8C000000045191", "EN-002103655")</f>
        <v>EN-002103655</v>
      </c>
    </row>
    <row r="2484" spans="1:15" ht="32" x14ac:dyDescent="0.2">
      <c r="A2484" s="7" t="str">
        <f>HYPERLINK("https://otsuka-europe-crm.veevavault.com/ui/#object/account__v/V4TZ025E85ANYNY", "JOSE JUAN RIFON ROCA")</f>
        <v>JOSE JUAN RIFON ROCA</v>
      </c>
      <c r="B2484" s="7" t="str">
        <f t="shared" si="92"/>
        <v>ES</v>
      </c>
      <c r="C2484" s="8" t="s">
        <v>39</v>
      </c>
      <c r="D2484" s="9" t="str">
        <f t="shared" si="93"/>
        <v>INA - VAE Cierre "Nos quedamos en Casa"</v>
      </c>
      <c r="E2484" s="10" t="str">
        <f>HYPERLINK("https://otsuka-europe-crm.veevavault.com/ui/#object/sent_email__v/VBL000000034469", "SE-001442848")</f>
        <v>SE-001442848</v>
      </c>
      <c r="F2484" s="11"/>
      <c r="G2484" s="12">
        <v>0</v>
      </c>
      <c r="H2484" s="12">
        <v>0</v>
      </c>
      <c r="I2484" s="12">
        <v>0</v>
      </c>
      <c r="J2484" s="11"/>
      <c r="K2484" s="12">
        <v>0</v>
      </c>
      <c r="L2484" s="10" t="str">
        <f t="shared" si="94"/>
        <v>INA - VAE Cierre "Nos quedamos en Casa"</v>
      </c>
      <c r="M2484" s="10" t="str">
        <f t="shared" si="95"/>
        <v>pmartinez@crm.otsuka-europe.com</v>
      </c>
      <c r="N2484" s="13">
        <v>46212.372048611112</v>
      </c>
      <c r="O2484" s="14" t="str">
        <f>HYPERLINK("https://otsuka-europe-crm.veevavault.com/ui/#object/email_activity__v/V8C000000045189", "EN-002103653")</f>
        <v>EN-002103653</v>
      </c>
    </row>
    <row r="2485" spans="1:15" ht="32" x14ac:dyDescent="0.2">
      <c r="A2485" s="7" t="str">
        <f>HYPERLINK("https://otsuka-europe-crm.veevavault.com/ui/#object/account__v/V4TZ025E8484XHH", "JOSE MARIA GUINEA DE CASTRO")</f>
        <v>JOSE MARIA GUINEA DE CASTRO</v>
      </c>
      <c r="B2485" s="7" t="str">
        <f t="shared" si="92"/>
        <v>ES</v>
      </c>
      <c r="C2485" s="8" t="s">
        <v>39</v>
      </c>
      <c r="D2485" s="9" t="str">
        <f t="shared" si="93"/>
        <v>INA - VAE Cierre "Nos quedamos en Casa"</v>
      </c>
      <c r="E2485" s="10" t="str">
        <f>HYPERLINK("https://otsuka-europe-crm.veevavault.com/ui/#object/sent_email__v/VBL000000034470", "SE-001442849")</f>
        <v>SE-001442849</v>
      </c>
      <c r="F2485" s="11"/>
      <c r="G2485" s="12">
        <v>0</v>
      </c>
      <c r="H2485" s="12">
        <v>0</v>
      </c>
      <c r="I2485" s="12">
        <v>0</v>
      </c>
      <c r="J2485" s="11"/>
      <c r="K2485" s="12">
        <v>0</v>
      </c>
      <c r="L2485" s="10" t="str">
        <f t="shared" si="94"/>
        <v>INA - VAE Cierre "Nos quedamos en Casa"</v>
      </c>
      <c r="M2485" s="10" t="str">
        <f t="shared" si="95"/>
        <v>pmartinez@crm.otsuka-europe.com</v>
      </c>
      <c r="N2485" s="13">
        <v>46212.372060185182</v>
      </c>
      <c r="O2485" s="14" t="str">
        <f>HYPERLINK("https://otsuka-europe-crm.veevavault.com/ui/#object/email_activity__v/V8C000000045194", "EN-002103658")</f>
        <v>EN-002103658</v>
      </c>
    </row>
    <row r="2486" spans="1:15" ht="32" x14ac:dyDescent="0.2">
      <c r="A2486" s="7" t="str">
        <f>HYPERLINK("https://otsuka-europe-crm.veevavault.com/ui/#object/account__v/V4TZ025E877HOFE", "NEREA CAMINOS ALTUNA")</f>
        <v>NEREA CAMINOS ALTUNA</v>
      </c>
      <c r="B2486" s="7" t="str">
        <f t="shared" si="92"/>
        <v>ES</v>
      </c>
      <c r="C2486" s="8" t="s">
        <v>39</v>
      </c>
      <c r="D2486" s="9" t="str">
        <f t="shared" si="93"/>
        <v>INA - VAE Cierre "Nos quedamos en Casa"</v>
      </c>
      <c r="E2486" s="10" t="str">
        <f>HYPERLINK("https://otsuka-europe-crm.veevavault.com/ui/#object/sent_email__v/VBL000000034471", "SE-001442850")</f>
        <v>SE-001442850</v>
      </c>
      <c r="F2486" s="11"/>
      <c r="G2486" s="12">
        <v>0</v>
      </c>
      <c r="H2486" s="12">
        <v>0</v>
      </c>
      <c r="I2486" s="12">
        <v>0</v>
      </c>
      <c r="J2486" s="11"/>
      <c r="K2486" s="12">
        <v>0</v>
      </c>
      <c r="L2486" s="10" t="str">
        <f t="shared" si="94"/>
        <v>INA - VAE Cierre "Nos quedamos en Casa"</v>
      </c>
      <c r="M2486" s="10" t="str">
        <f t="shared" si="95"/>
        <v>pmartinez@crm.otsuka-europe.com</v>
      </c>
      <c r="N2486" s="13">
        <v>46212.372071759259</v>
      </c>
      <c r="O2486" s="14" t="str">
        <f>HYPERLINK("https://otsuka-europe-crm.veevavault.com/ui/#object/email_activity__v/V8C000000045185", "EN-002103649")</f>
        <v>EN-002103649</v>
      </c>
    </row>
    <row r="2487" spans="1:15" ht="32" x14ac:dyDescent="0.2">
      <c r="A2487" s="7" t="str">
        <f>HYPERLINK("https://otsuka-europe-crm.veevavault.com/ui/#object/account__v/V4TZ025E866IPUD", "OLGA ARCE FERNANDEZ")</f>
        <v>OLGA ARCE FERNANDEZ</v>
      </c>
      <c r="B2487" s="7" t="str">
        <f t="shared" si="92"/>
        <v>ES</v>
      </c>
      <c r="C2487" s="8" t="s">
        <v>39</v>
      </c>
      <c r="D2487" s="9" t="str">
        <f t="shared" si="93"/>
        <v>INA - VAE Cierre "Nos quedamos en Casa"</v>
      </c>
      <c r="E2487" s="10" t="str">
        <f>HYPERLINK("https://otsuka-europe-crm.veevavault.com/ui/#object/sent_email__v/VBL000000034472", "SE-001442851")</f>
        <v>SE-001442851</v>
      </c>
      <c r="F2487" s="11"/>
      <c r="G2487" s="12">
        <v>0</v>
      </c>
      <c r="H2487" s="12">
        <v>0</v>
      </c>
      <c r="I2487" s="12">
        <v>0</v>
      </c>
      <c r="J2487" s="11"/>
      <c r="K2487" s="12">
        <v>0</v>
      </c>
      <c r="L2487" s="10" t="str">
        <f t="shared" si="94"/>
        <v>INA - VAE Cierre "Nos quedamos en Casa"</v>
      </c>
      <c r="M2487" s="10" t="str">
        <f t="shared" si="95"/>
        <v>pmartinez@crm.otsuka-europe.com</v>
      </c>
      <c r="N2487" s="13">
        <v>46212.372060185182</v>
      </c>
      <c r="O2487" s="14" t="str">
        <f>HYPERLINK("https://otsuka-europe-crm.veevavault.com/ui/#object/email_activity__v/V8C000000045196", "EN-002103660")</f>
        <v>EN-002103660</v>
      </c>
    </row>
    <row r="2488" spans="1:15" ht="16" x14ac:dyDescent="0.2">
      <c r="A2488" s="18" t="str">
        <f>HYPERLINK("https://otsuka-europe-crm.veevavault.com/ui/#object/account__v/V4TZ04ASGE7FDFX", "ANA ALFONSO PIEROLA")</f>
        <v>ANA ALFONSO PIEROLA</v>
      </c>
      <c r="B2488" s="18" t="str">
        <f t="shared" si="92"/>
        <v>ES</v>
      </c>
      <c r="C2488" s="20" t="s">
        <v>39</v>
      </c>
      <c r="D2488" s="21" t="str">
        <f t="shared" si="93"/>
        <v>INA - VAE Cierre "Nos quedamos en Casa"</v>
      </c>
      <c r="E2488" s="22" t="str">
        <f>HYPERLINK("https://otsuka-europe-crm.veevavault.com/ui/#object/sent_email__v/VBL000000034473", "SE-001442852")</f>
        <v>SE-001442852</v>
      </c>
      <c r="F2488" s="25">
        <v>46212.694155092591</v>
      </c>
      <c r="G2488" s="24">
        <v>1</v>
      </c>
      <c r="H2488" s="24">
        <v>1</v>
      </c>
      <c r="I2488" s="24">
        <v>0</v>
      </c>
      <c r="J2488" s="23"/>
      <c r="K2488" s="24">
        <v>0</v>
      </c>
      <c r="L2488" s="22" t="str">
        <f t="shared" si="94"/>
        <v>INA - VAE Cierre "Nos quedamos en Casa"</v>
      </c>
      <c r="M2488" s="22" t="str">
        <f t="shared" si="95"/>
        <v>pmartinez@crm.otsuka-europe.com</v>
      </c>
      <c r="N2488" s="25">
        <v>46212.372060185182</v>
      </c>
      <c r="O2488" s="14" t="str">
        <f>HYPERLINK("https://otsuka-europe-crm.veevavault.com/ui/#object/email_activity__v/V8C000000045192", "EN-002103656")</f>
        <v>EN-002103656</v>
      </c>
    </row>
    <row r="2489" spans="1:15" ht="16" x14ac:dyDescent="0.2">
      <c r="A2489" s="19"/>
      <c r="B2489" s="19"/>
      <c r="C2489" s="19"/>
      <c r="D2489" s="19"/>
      <c r="E2489" s="19"/>
      <c r="F2489" s="19"/>
      <c r="G2489" s="19"/>
      <c r="H2489" s="19"/>
      <c r="I2489" s="19"/>
      <c r="J2489" s="19"/>
      <c r="K2489" s="19"/>
      <c r="L2489" s="19"/>
      <c r="M2489" s="19"/>
      <c r="N2489" s="19"/>
      <c r="O2489" s="14" t="str">
        <f>HYPERLINK("https://otsuka-europe-crm.veevavault.com/ui/#object/email_activity__v/V8C000000046172", "EN-002104111")</f>
        <v>EN-002104111</v>
      </c>
    </row>
    <row r="2490" spans="1:15" ht="32" x14ac:dyDescent="0.2">
      <c r="A2490" s="7" t="str">
        <f>HYPERLINK("https://otsuka-europe-crm.veevavault.com/ui/#object/account__v/V4TZ025E83OY8QY", "MARIA JOSEFA NAJERA IRAZU")</f>
        <v>MARIA JOSEFA NAJERA IRAZU</v>
      </c>
      <c r="B2490" s="7" t="str">
        <f>HYPERLINK("https://otsuka-europe-crm.veevavault.com/ui/#object/vcountry__v/VENZ000004SONF5", "ES")</f>
        <v>ES</v>
      </c>
      <c r="C2490" s="8" t="s">
        <v>39</v>
      </c>
      <c r="D2490" s="9" t="str">
        <f>HYPERLINK("https://otsuka-europe-crm.veevavault.com/ui/#object/approved_document__v/V5O00000001R001", "INA - VAE Cierre ""Nos quedamos en Casa""")</f>
        <v>INA - VAE Cierre "Nos quedamos en Casa"</v>
      </c>
      <c r="E2490" s="10" t="str">
        <f>HYPERLINK("https://otsuka-europe-crm.veevavault.com/ui/#object/sent_email__v/VBL000000034474", "SE-001442853")</f>
        <v>SE-001442853</v>
      </c>
      <c r="F2490" s="11"/>
      <c r="G2490" s="12">
        <v>0</v>
      </c>
      <c r="H2490" s="12">
        <v>0</v>
      </c>
      <c r="I2490" s="12">
        <v>0</v>
      </c>
      <c r="J2490" s="11"/>
      <c r="K2490" s="12">
        <v>0</v>
      </c>
      <c r="L2490" s="10" t="str">
        <f>HYPERLINK("https://otsuka-europe-crm.veevavault.com/ui/#object/approved_document__v/V5O00000001R001", "INA - VAE Cierre ""Nos quedamos en Casa""")</f>
        <v>INA - VAE Cierre "Nos quedamos en Casa"</v>
      </c>
      <c r="M2490" s="10" t="str">
        <f>HYPERLINK("mailto:pmartinez@crm.otsuka-europe.com", "pmartinez@crm.otsuka-europe.com")</f>
        <v>pmartinez@crm.otsuka-europe.com</v>
      </c>
      <c r="N2490" s="13">
        <v>46212.372094907405</v>
      </c>
      <c r="O2490" s="14" t="str">
        <f>HYPERLINK("https://otsuka-europe-crm.veevavault.com/ui/#object/email_activity__v/V8C000000045182", "EN-002103646")</f>
        <v>EN-002103646</v>
      </c>
    </row>
    <row r="2491" spans="1:15" ht="16" x14ac:dyDescent="0.2">
      <c r="A2491" s="18" t="str">
        <f>HYPERLINK("https://otsuka-europe-crm.veevavault.com/ui/#object/account__v/V4TZ025E83OXP5G", "JESUS FELIU SANCHEZ")</f>
        <v>JESUS FELIU SANCHEZ</v>
      </c>
      <c r="B2491" s="18" t="str">
        <f>HYPERLINK("https://otsuka-europe-crm.veevavault.com/ui/#object/vcountry__v/VENZ000004SONF5", "ES")</f>
        <v>ES</v>
      </c>
      <c r="C2491" s="20" t="s">
        <v>39</v>
      </c>
      <c r="D2491" s="21" t="str">
        <f>HYPERLINK("https://otsuka-europe-crm.veevavault.com/ui/#object/approved_document__v/V5O00000001R001", "INA - VAE Cierre ""Nos quedamos en Casa""")</f>
        <v>INA - VAE Cierre "Nos quedamos en Casa"</v>
      </c>
      <c r="E2491" s="22" t="str">
        <f>HYPERLINK("https://otsuka-europe-crm.veevavault.com/ui/#object/sent_email__v/VBL000000034475", "SE-001442854")</f>
        <v>SE-001442854</v>
      </c>
      <c r="F2491" s="23"/>
      <c r="G2491" s="24">
        <v>0</v>
      </c>
      <c r="H2491" s="24">
        <v>0</v>
      </c>
      <c r="I2491" s="24">
        <v>0</v>
      </c>
      <c r="J2491" s="23"/>
      <c r="K2491" s="24">
        <v>0</v>
      </c>
      <c r="L2491" s="22" t="str">
        <f>HYPERLINK("https://otsuka-europe-crm.veevavault.com/ui/#object/approved_document__v/V5O00000001R001", "INA - VAE Cierre ""Nos quedamos en Casa""")</f>
        <v>INA - VAE Cierre "Nos quedamos en Casa"</v>
      </c>
      <c r="M2491" s="22" t="str">
        <f>HYPERLINK("mailto:pmartinez@crm.otsuka-europe.com", "pmartinez@crm.otsuka-europe.com")</f>
        <v>pmartinez@crm.otsuka-europe.com</v>
      </c>
      <c r="N2491" s="25">
        <v>46212.372048611112</v>
      </c>
      <c r="O2491" s="14" t="str">
        <f>HYPERLINK("https://otsuka-europe-crm.veevavault.com/ui/#object/email_activity__v/V8C000000043911", "EN-002103668")</f>
        <v>EN-002103668</v>
      </c>
    </row>
    <row r="2492" spans="1:15" ht="16" x14ac:dyDescent="0.2">
      <c r="A2492" s="19"/>
      <c r="B2492" s="19"/>
      <c r="C2492" s="19"/>
      <c r="D2492" s="19"/>
      <c r="E2492" s="19"/>
      <c r="F2492" s="19"/>
      <c r="G2492" s="19"/>
      <c r="H2492" s="19"/>
      <c r="I2492" s="19"/>
      <c r="J2492" s="19"/>
      <c r="K2492" s="19"/>
      <c r="L2492" s="19"/>
      <c r="M2492" s="19"/>
      <c r="N2492" s="19"/>
      <c r="O2492" s="14" t="str">
        <f>HYPERLINK("https://otsuka-europe-crm.veevavault.com/ui/#object/email_activity__v/V8C000000045195", "EN-002103659")</f>
        <v>EN-002103659</v>
      </c>
    </row>
    <row r="2493" spans="1:15" ht="16" x14ac:dyDescent="0.2">
      <c r="A2493" s="18" t="str">
        <f>HYPERLINK("https://otsuka-europe-crm.veevavault.com/ui/#object/account__v/V4TZ025E83OPUL5", "AMAIA BALERDI MALCORRA")</f>
        <v>AMAIA BALERDI MALCORRA</v>
      </c>
      <c r="B2493" s="18" t="str">
        <f>HYPERLINK("https://otsuka-europe-crm.veevavault.com/ui/#object/vcountry__v/VENZ000004SONF5", "ES")</f>
        <v>ES</v>
      </c>
      <c r="C2493" s="20" t="s">
        <v>39</v>
      </c>
      <c r="D2493" s="21" t="str">
        <f>HYPERLINK("https://otsuka-europe-crm.veevavault.com/ui/#object/approved_document__v/V5O00000001R001", "INA - VAE Cierre ""Nos quedamos en Casa""")</f>
        <v>INA - VAE Cierre "Nos quedamos en Casa"</v>
      </c>
      <c r="E2493" s="22" t="str">
        <f>HYPERLINK("https://otsuka-europe-crm.veevavault.com/ui/#object/sent_email__v/VBL000000034476", "SE-001442855")</f>
        <v>SE-001442855</v>
      </c>
      <c r="F2493" s="25">
        <v>46216.259328703702</v>
      </c>
      <c r="G2493" s="24">
        <v>1</v>
      </c>
      <c r="H2493" s="24">
        <v>1</v>
      </c>
      <c r="I2493" s="24">
        <v>1</v>
      </c>
      <c r="J2493" s="25">
        <v>46216.260150462964</v>
      </c>
      <c r="K2493" s="24">
        <v>3</v>
      </c>
      <c r="L2493" s="22" t="str">
        <f>HYPERLINK("https://otsuka-europe-crm.veevavault.com/ui/#object/approved_document__v/V5O00000001R001", "INA - VAE Cierre ""Nos quedamos en Casa""")</f>
        <v>INA - VAE Cierre "Nos quedamos en Casa"</v>
      </c>
      <c r="M2493" s="22" t="str">
        <f>HYPERLINK("mailto:pmartinez@crm.otsuka-europe.com", "pmartinez@crm.otsuka-europe.com")</f>
        <v>pmartinez@crm.otsuka-europe.com</v>
      </c>
      <c r="N2493" s="25">
        <v>46212.372048611112</v>
      </c>
      <c r="O2493" s="14" t="str">
        <f>HYPERLINK("https://otsuka-europe-crm.veevavault.com/ui/#object/email_activity__v/V8C000000045172", "EN-002103636")</f>
        <v>EN-002103636</v>
      </c>
    </row>
    <row r="2494" spans="1:15" ht="16" x14ac:dyDescent="0.2">
      <c r="A2494" s="26"/>
      <c r="B2494" s="26"/>
      <c r="C2494" s="26"/>
      <c r="D2494" s="26"/>
      <c r="E2494" s="26"/>
      <c r="F2494" s="26"/>
      <c r="G2494" s="26"/>
      <c r="H2494" s="26"/>
      <c r="I2494" s="26"/>
      <c r="J2494" s="26"/>
      <c r="K2494" s="26"/>
      <c r="L2494" s="26"/>
      <c r="M2494" s="26"/>
      <c r="N2494" s="26"/>
      <c r="O2494" s="14" t="str">
        <f>HYPERLINK("https://otsuka-europe-crm.veevavault.com/ui/#object/email_activity__v/V8C000000049089", "EN-002105028")</f>
        <v>EN-002105028</v>
      </c>
    </row>
    <row r="2495" spans="1:15" ht="16" x14ac:dyDescent="0.2">
      <c r="A2495" s="26"/>
      <c r="B2495" s="26"/>
      <c r="C2495" s="26"/>
      <c r="D2495" s="26"/>
      <c r="E2495" s="26"/>
      <c r="F2495" s="26"/>
      <c r="G2495" s="26"/>
      <c r="H2495" s="26"/>
      <c r="I2495" s="26"/>
      <c r="J2495" s="26"/>
      <c r="K2495" s="26"/>
      <c r="L2495" s="26"/>
      <c r="M2495" s="26"/>
      <c r="N2495" s="26"/>
      <c r="O2495" s="14" t="str">
        <f>HYPERLINK("https://otsuka-europe-crm.veevavault.com/ui/#object/email_activity__v/V8C000000049090", "EN-002105029")</f>
        <v>EN-002105029</v>
      </c>
    </row>
    <row r="2496" spans="1:15" ht="16" x14ac:dyDescent="0.2">
      <c r="A2496" s="26"/>
      <c r="B2496" s="26"/>
      <c r="C2496" s="26"/>
      <c r="D2496" s="26"/>
      <c r="E2496" s="26"/>
      <c r="F2496" s="26"/>
      <c r="G2496" s="26"/>
      <c r="H2496" s="26"/>
      <c r="I2496" s="26"/>
      <c r="J2496" s="26"/>
      <c r="K2496" s="26"/>
      <c r="L2496" s="26"/>
      <c r="M2496" s="26"/>
      <c r="N2496" s="26"/>
      <c r="O2496" s="14" t="str">
        <f>HYPERLINK("https://otsuka-europe-crm.veevavault.com/ui/#object/email_activity__v/V8C00000004A070", "EN-002105027")</f>
        <v>EN-002105027</v>
      </c>
    </row>
    <row r="2497" spans="1:15" ht="16" x14ac:dyDescent="0.2">
      <c r="A2497" s="19"/>
      <c r="B2497" s="19"/>
      <c r="C2497" s="19"/>
      <c r="D2497" s="19"/>
      <c r="E2497" s="19"/>
      <c r="F2497" s="19"/>
      <c r="G2497" s="19"/>
      <c r="H2497" s="19"/>
      <c r="I2497" s="19"/>
      <c r="J2497" s="19"/>
      <c r="K2497" s="19"/>
      <c r="L2497" s="19"/>
      <c r="M2497" s="19"/>
      <c r="N2497" s="19"/>
      <c r="O2497" s="14" t="str">
        <f>HYPERLINK("https://otsuka-europe-crm.veevavault.com/ui/#object/email_activity__v/V8C00000004A071", "EN-002105026")</f>
        <v>EN-002105026</v>
      </c>
    </row>
    <row r="2498" spans="1:15" ht="32" x14ac:dyDescent="0.2">
      <c r="A2498" s="7" t="str">
        <f>HYPERLINK("https://otsuka-europe-crm.veevavault.com/ui/#object/account__v/V4TZ025E86YLND3", "ISABEL GARCIA BOSQUE")</f>
        <v>ISABEL GARCIA BOSQUE</v>
      </c>
      <c r="B2498" s="7" t="str">
        <f>HYPERLINK("https://otsuka-europe-crm.veevavault.com/ui/#object/vcountry__v/VENZ000004SONF5", "ES")</f>
        <v>ES</v>
      </c>
      <c r="C2498" s="8" t="s">
        <v>39</v>
      </c>
      <c r="D2498" s="9" t="str">
        <f>HYPERLINK("https://otsuka-europe-crm.veevavault.com/ui/#object/approved_document__v/V5O00000001R001", "INA - VAE Cierre ""Nos quedamos en Casa""")</f>
        <v>INA - VAE Cierre "Nos quedamos en Casa"</v>
      </c>
      <c r="E2498" s="10" t="str">
        <f>HYPERLINK("https://otsuka-europe-crm.veevavault.com/ui/#object/sent_email__v/VBL000000034477", "SE-001442856")</f>
        <v>SE-001442856</v>
      </c>
      <c r="F2498" s="11"/>
      <c r="G2498" s="12">
        <v>0</v>
      </c>
      <c r="H2498" s="12">
        <v>0</v>
      </c>
      <c r="I2498" s="12">
        <v>0</v>
      </c>
      <c r="J2498" s="11"/>
      <c r="K2498" s="12">
        <v>0</v>
      </c>
      <c r="L2498" s="10" t="str">
        <f>HYPERLINK("https://otsuka-europe-crm.veevavault.com/ui/#object/approved_document__v/V5O00000001R001", "INA - VAE Cierre ""Nos quedamos en Casa""")</f>
        <v>INA - VAE Cierre "Nos quedamos en Casa"</v>
      </c>
      <c r="M2498" s="10" t="str">
        <f>HYPERLINK("mailto:pmartinez@crm.otsuka-europe.com", "pmartinez@crm.otsuka-europe.com")</f>
        <v>pmartinez@crm.otsuka-europe.com</v>
      </c>
      <c r="N2498" s="13">
        <v>46212.372048611112</v>
      </c>
      <c r="O2498" s="14" t="str">
        <f>HYPERLINK("https://otsuka-europe-crm.veevavault.com/ui/#object/email_activity__v/V8C000000045175", "EN-002103639")</f>
        <v>EN-002103639</v>
      </c>
    </row>
    <row r="2499" spans="1:15" ht="32" x14ac:dyDescent="0.2">
      <c r="A2499" s="7" t="str">
        <f>HYPERLINK("https://otsuka-europe-crm.veevavault.com/ui/#object/account__v/V4TZ025E83BBZIP", "MARIA ELENA AMUTIO DIEZ")</f>
        <v>MARIA ELENA AMUTIO DIEZ</v>
      </c>
      <c r="B2499" s="7" t="str">
        <f>HYPERLINK("https://otsuka-europe-crm.veevavault.com/ui/#object/vcountry__v/VENZ000004SONF5", "ES")</f>
        <v>ES</v>
      </c>
      <c r="C2499" s="8" t="s">
        <v>39</v>
      </c>
      <c r="D2499" s="9" t="str">
        <f>HYPERLINK("https://otsuka-europe-crm.veevavault.com/ui/#object/approved_document__v/V5O00000001R001", "INA - VAE Cierre ""Nos quedamos en Casa""")</f>
        <v>INA - VAE Cierre "Nos quedamos en Casa"</v>
      </c>
      <c r="E2499" s="10" t="str">
        <f>HYPERLINK("https://otsuka-europe-crm.veevavault.com/ui/#object/sent_email__v/VBL000000034478", "SE-001442857")</f>
        <v>SE-001442857</v>
      </c>
      <c r="F2499" s="11"/>
      <c r="G2499" s="12">
        <v>0</v>
      </c>
      <c r="H2499" s="12">
        <v>0</v>
      </c>
      <c r="I2499" s="12">
        <v>0</v>
      </c>
      <c r="J2499" s="11"/>
      <c r="K2499" s="12">
        <v>0</v>
      </c>
      <c r="L2499" s="10" t="str">
        <f>HYPERLINK("https://otsuka-europe-crm.veevavault.com/ui/#object/approved_document__v/V5O00000001R001", "INA - VAE Cierre ""Nos quedamos en Casa""")</f>
        <v>INA - VAE Cierre "Nos quedamos en Casa"</v>
      </c>
      <c r="M2499" s="10" t="str">
        <f>HYPERLINK("mailto:pmartinez@crm.otsuka-europe.com", "pmartinez@crm.otsuka-europe.com")</f>
        <v>pmartinez@crm.otsuka-europe.com</v>
      </c>
      <c r="N2499" s="13">
        <v>46212.372083333335</v>
      </c>
      <c r="O2499" s="14" t="str">
        <f>HYPERLINK("https://otsuka-europe-crm.veevavault.com/ui/#object/email_activity__v/V8C000000045177", "EN-002103641")</f>
        <v>EN-002103641</v>
      </c>
    </row>
    <row r="2500" spans="1:15" ht="32" x14ac:dyDescent="0.2">
      <c r="A2500" s="7" t="str">
        <f>HYPERLINK("https://otsuka-europe-crm.veevavault.com/ui/#object/account__v/V4TZ025E88WXQDO", "PATRICIA ARENAS RODRIGUEZ")</f>
        <v>PATRICIA ARENAS RODRIGUEZ</v>
      </c>
      <c r="B2500" s="7" t="str">
        <f>HYPERLINK("https://otsuka-europe-crm.veevavault.com/ui/#object/vcountry__v/VENZ000004SONF5", "ES")</f>
        <v>ES</v>
      </c>
      <c r="C2500" s="8" t="s">
        <v>39</v>
      </c>
      <c r="D2500" s="9" t="str">
        <f>HYPERLINK("https://otsuka-europe-crm.veevavault.com/ui/#object/approved_document__v/V5O00000001R001", "INA - VAE Cierre ""Nos quedamos en Casa""")</f>
        <v>INA - VAE Cierre "Nos quedamos en Casa"</v>
      </c>
      <c r="E2500" s="10" t="str">
        <f>HYPERLINK("https://otsuka-europe-crm.veevavault.com/ui/#object/sent_email__v/VBL000000034479", "SE-001442858")</f>
        <v>SE-001442858</v>
      </c>
      <c r="F2500" s="11"/>
      <c r="G2500" s="12">
        <v>0</v>
      </c>
      <c r="H2500" s="12">
        <v>0</v>
      </c>
      <c r="I2500" s="12">
        <v>0</v>
      </c>
      <c r="J2500" s="11"/>
      <c r="K2500" s="12">
        <v>0</v>
      </c>
      <c r="L2500" s="10" t="str">
        <f>HYPERLINK("https://otsuka-europe-crm.veevavault.com/ui/#object/approved_document__v/V5O00000001R001", "INA - VAE Cierre ""Nos quedamos en Casa""")</f>
        <v>INA - VAE Cierre "Nos quedamos en Casa"</v>
      </c>
      <c r="M2500" s="10" t="str">
        <f>HYPERLINK("mailto:pmartinez@crm.otsuka-europe.com", "pmartinez@crm.otsuka-europe.com")</f>
        <v>pmartinez@crm.otsuka-europe.com</v>
      </c>
      <c r="N2500" s="13">
        <v>46212.372048611112</v>
      </c>
      <c r="O2500" s="14" t="str">
        <f>HYPERLINK("https://otsuka-europe-crm.veevavault.com/ui/#object/email_activity__v/V8C000000045193", "EN-002103657")</f>
        <v>EN-002103657</v>
      </c>
    </row>
    <row r="2501" spans="1:15" ht="16" x14ac:dyDescent="0.2">
      <c r="A2501" s="18" t="str">
        <f>HYPERLINK("https://otsuka-europe-crm.veevavault.com/ui/#object/account__v/V4TZ025E859BWYH", "MONICA FERNANDEZ PEREZ")</f>
        <v>MONICA FERNANDEZ PEREZ</v>
      </c>
      <c r="B2501" s="18" t="str">
        <f>HYPERLINK("https://otsuka-europe-crm.veevavault.com/ui/#object/vcountry__v/VENZ000004SONF5", "ES")</f>
        <v>ES</v>
      </c>
      <c r="C2501" s="20" t="s">
        <v>39</v>
      </c>
      <c r="D2501" s="21" t="str">
        <f>HYPERLINK("https://otsuka-europe-crm.veevavault.com/ui/#object/approved_document__v/V5O00000001R001", "INA - VAE Cierre ""Nos quedamos en Casa""")</f>
        <v>INA - VAE Cierre "Nos quedamos en Casa"</v>
      </c>
      <c r="E2501" s="22" t="str">
        <f>HYPERLINK("https://otsuka-europe-crm.veevavault.com/ui/#object/sent_email__v/VBL000000034480", "SE-001442859")</f>
        <v>SE-001442859</v>
      </c>
      <c r="F2501" s="25">
        <v>46212.386099537034</v>
      </c>
      <c r="G2501" s="24">
        <v>1</v>
      </c>
      <c r="H2501" s="24">
        <v>2</v>
      </c>
      <c r="I2501" s="24">
        <v>0</v>
      </c>
      <c r="J2501" s="23"/>
      <c r="K2501" s="24">
        <v>0</v>
      </c>
      <c r="L2501" s="22" t="str">
        <f>HYPERLINK("https://otsuka-europe-crm.veevavault.com/ui/#object/approved_document__v/V5O00000001R001", "INA - VAE Cierre ""Nos quedamos en Casa""")</f>
        <v>INA - VAE Cierre "Nos quedamos en Casa"</v>
      </c>
      <c r="M2501" s="22" t="str">
        <f>HYPERLINK("mailto:pmartinez@crm.otsuka-europe.com", "pmartinez@crm.otsuka-europe.com")</f>
        <v>pmartinez@crm.otsuka-europe.com</v>
      </c>
      <c r="N2501" s="25">
        <v>46212.372083333335</v>
      </c>
      <c r="O2501" s="14" t="str">
        <f>HYPERLINK("https://otsuka-europe-crm.veevavault.com/ui/#object/email_activity__v/V8C000000043919", "EN-002103684")</f>
        <v>EN-002103684</v>
      </c>
    </row>
    <row r="2502" spans="1:15" ht="16" x14ac:dyDescent="0.2">
      <c r="A2502" s="26"/>
      <c r="B2502" s="26"/>
      <c r="C2502" s="26"/>
      <c r="D2502" s="26"/>
      <c r="E2502" s="26"/>
      <c r="F2502" s="26"/>
      <c r="G2502" s="26"/>
      <c r="H2502" s="26"/>
      <c r="I2502" s="26"/>
      <c r="J2502" s="26"/>
      <c r="K2502" s="26"/>
      <c r="L2502" s="26"/>
      <c r="M2502" s="26"/>
      <c r="N2502" s="26"/>
      <c r="O2502" s="14" t="str">
        <f>HYPERLINK("https://otsuka-europe-crm.veevavault.com/ui/#object/email_activity__v/V8C000000045178", "EN-002103642")</f>
        <v>EN-002103642</v>
      </c>
    </row>
    <row r="2503" spans="1:15" ht="16" x14ac:dyDescent="0.2">
      <c r="A2503" s="19"/>
      <c r="B2503" s="19"/>
      <c r="C2503" s="19"/>
      <c r="D2503" s="19"/>
      <c r="E2503" s="19"/>
      <c r="F2503" s="19"/>
      <c r="G2503" s="19"/>
      <c r="H2503" s="19"/>
      <c r="I2503" s="19"/>
      <c r="J2503" s="19"/>
      <c r="K2503" s="19"/>
      <c r="L2503" s="19"/>
      <c r="M2503" s="19"/>
      <c r="N2503" s="19"/>
      <c r="O2503" s="14" t="str">
        <f>HYPERLINK("https://otsuka-europe-crm.veevavault.com/ui/#object/email_activity__v/V8C000000045212", "EN-002103685")</f>
        <v>EN-002103685</v>
      </c>
    </row>
    <row r="2504" spans="1:15" ht="32" x14ac:dyDescent="0.2">
      <c r="A2504" s="7" t="str">
        <f>HYPERLINK("https://otsuka-europe-crm.veevavault.com/ui/#object/account__v/V4TZ025E85QIRZC", "JOSE MARIA ARGUIÑANO PEREZ")</f>
        <v>JOSE MARIA ARGUIÑANO PEREZ</v>
      </c>
      <c r="B2504" s="7" t="str">
        <f t="shared" ref="B2504:B2509" si="96">HYPERLINK("https://otsuka-europe-crm.veevavault.com/ui/#object/vcountry__v/VENZ000004SONF5", "ES")</f>
        <v>ES</v>
      </c>
      <c r="C2504" s="8" t="s">
        <v>39</v>
      </c>
      <c r="D2504" s="9" t="str">
        <f t="shared" ref="D2504:D2509" si="97">HYPERLINK("https://otsuka-europe-crm.veevavault.com/ui/#object/approved_document__v/V5O00000001R001", "INA - VAE Cierre ""Nos quedamos en Casa""")</f>
        <v>INA - VAE Cierre "Nos quedamos en Casa"</v>
      </c>
      <c r="E2504" s="10" t="str">
        <f>HYPERLINK("https://otsuka-europe-crm.veevavault.com/ui/#object/sent_email__v/VBL000000034481", "SE-001442860")</f>
        <v>SE-001442860</v>
      </c>
      <c r="F2504" s="11"/>
      <c r="G2504" s="12">
        <v>0</v>
      </c>
      <c r="H2504" s="12">
        <v>0</v>
      </c>
      <c r="I2504" s="12">
        <v>0</v>
      </c>
      <c r="J2504" s="11"/>
      <c r="K2504" s="12">
        <v>0</v>
      </c>
      <c r="L2504" s="10" t="str">
        <f t="shared" ref="L2504:L2509" si="98">HYPERLINK("https://otsuka-europe-crm.veevavault.com/ui/#object/approved_document__v/V5O00000001R001", "INA - VAE Cierre ""Nos quedamos en Casa""")</f>
        <v>INA - VAE Cierre "Nos quedamos en Casa"</v>
      </c>
      <c r="M2504" s="10" t="str">
        <f t="shared" ref="M2504:M2509" si="99">HYPERLINK("mailto:pmartinez@crm.otsuka-europe.com", "pmartinez@crm.otsuka-europe.com")</f>
        <v>pmartinez@crm.otsuka-europe.com</v>
      </c>
      <c r="N2504" s="13">
        <v>46212.372094907405</v>
      </c>
      <c r="O2504" s="14" t="str">
        <f>HYPERLINK("https://otsuka-europe-crm.veevavault.com/ui/#object/email_activity__v/V8C000000045180", "EN-002103644")</f>
        <v>EN-002103644</v>
      </c>
    </row>
    <row r="2505" spans="1:15" ht="32" x14ac:dyDescent="0.2">
      <c r="A2505" s="7" t="str">
        <f>HYPERLINK("https://otsuka-europe-crm.veevavault.com/ui/#object/account__v/V4TZ025E83OPSI5", "AMAIA CASADO DIEZ")</f>
        <v>AMAIA CASADO DIEZ</v>
      </c>
      <c r="B2505" s="7" t="str">
        <f t="shared" si="96"/>
        <v>ES</v>
      </c>
      <c r="C2505" s="8" t="s">
        <v>39</v>
      </c>
      <c r="D2505" s="9" t="str">
        <f t="shared" si="97"/>
        <v>INA - VAE Cierre "Nos quedamos en Casa"</v>
      </c>
      <c r="E2505" s="10" t="str">
        <f>HYPERLINK("https://otsuka-europe-crm.veevavault.com/ui/#object/sent_email__v/VBL000000034482", "SE-001442861")</f>
        <v>SE-001442861</v>
      </c>
      <c r="F2505" s="11"/>
      <c r="G2505" s="12">
        <v>0</v>
      </c>
      <c r="H2505" s="12">
        <v>0</v>
      </c>
      <c r="I2505" s="12">
        <v>0</v>
      </c>
      <c r="J2505" s="11"/>
      <c r="K2505" s="12">
        <v>0</v>
      </c>
      <c r="L2505" s="10" t="str">
        <f t="shared" si="98"/>
        <v>INA - VAE Cierre "Nos quedamos en Casa"</v>
      </c>
      <c r="M2505" s="10" t="str">
        <f t="shared" si="99"/>
        <v>pmartinez@crm.otsuka-europe.com</v>
      </c>
      <c r="N2505" s="13">
        <v>46212.372048611112</v>
      </c>
      <c r="O2505" s="14" t="str">
        <f>HYPERLINK("https://otsuka-europe-crm.veevavault.com/ui/#object/email_activity__v/V8C000000045171", "EN-002103635")</f>
        <v>EN-002103635</v>
      </c>
    </row>
    <row r="2506" spans="1:15" ht="32" x14ac:dyDescent="0.2">
      <c r="A2506" s="7" t="str">
        <f>HYPERLINK("https://otsuka-europe-crm.veevavault.com/ui/#object/account__v/V4TZ025E83OXU0F", "MARIA PILAR HERRERA PEREZ")</f>
        <v>MARIA PILAR HERRERA PEREZ</v>
      </c>
      <c r="B2506" s="7" t="str">
        <f t="shared" si="96"/>
        <v>ES</v>
      </c>
      <c r="C2506" s="8" t="s">
        <v>39</v>
      </c>
      <c r="D2506" s="9" t="str">
        <f t="shared" si="97"/>
        <v>INA - VAE Cierre "Nos quedamos en Casa"</v>
      </c>
      <c r="E2506" s="10" t="str">
        <f>HYPERLINK("https://otsuka-europe-crm.veevavault.com/ui/#object/sent_email__v/VBL000000034483", "SE-001442862")</f>
        <v>SE-001442862</v>
      </c>
      <c r="F2506" s="11"/>
      <c r="G2506" s="12">
        <v>0</v>
      </c>
      <c r="H2506" s="12">
        <v>0</v>
      </c>
      <c r="I2506" s="12">
        <v>0</v>
      </c>
      <c r="J2506" s="11"/>
      <c r="K2506" s="12">
        <v>0</v>
      </c>
      <c r="L2506" s="10" t="str">
        <f t="shared" si="98"/>
        <v>INA - VAE Cierre "Nos quedamos en Casa"</v>
      </c>
      <c r="M2506" s="10" t="str">
        <f t="shared" si="99"/>
        <v>pmartinez@crm.otsuka-europe.com</v>
      </c>
      <c r="N2506" s="13">
        <v>46212.372048611112</v>
      </c>
      <c r="O2506" s="14" t="str">
        <f>HYPERLINK("https://otsuka-europe-crm.veevavault.com/ui/#object/email_activity__v/V8C000000045187", "EN-002103651")</f>
        <v>EN-002103651</v>
      </c>
    </row>
    <row r="2507" spans="1:15" ht="32" x14ac:dyDescent="0.2">
      <c r="A2507" s="7" t="str">
        <f>HYPERLINK("https://otsuka-europe-crm.veevavault.com/ui/#object/account__v/V4TZ04ASGGI6DSP", "MARIA MERCEDES COLORADO ARAUJO")</f>
        <v>MARIA MERCEDES COLORADO ARAUJO</v>
      </c>
      <c r="B2507" s="7" t="str">
        <f t="shared" si="96"/>
        <v>ES</v>
      </c>
      <c r="C2507" s="8" t="s">
        <v>39</v>
      </c>
      <c r="D2507" s="9" t="str">
        <f t="shared" si="97"/>
        <v>INA - VAE Cierre "Nos quedamos en Casa"</v>
      </c>
      <c r="E2507" s="10" t="str">
        <f>HYPERLINK("https://otsuka-europe-crm.veevavault.com/ui/#object/sent_email__v/VBL000000034484", "SE-001442863")</f>
        <v>SE-001442863</v>
      </c>
      <c r="F2507" s="11"/>
      <c r="G2507" s="12">
        <v>0</v>
      </c>
      <c r="H2507" s="12">
        <v>0</v>
      </c>
      <c r="I2507" s="12">
        <v>0</v>
      </c>
      <c r="J2507" s="11"/>
      <c r="K2507" s="12">
        <v>0</v>
      </c>
      <c r="L2507" s="10" t="str">
        <f t="shared" si="98"/>
        <v>INA - VAE Cierre "Nos quedamos en Casa"</v>
      </c>
      <c r="M2507" s="10" t="str">
        <f t="shared" si="99"/>
        <v>pmartinez@crm.otsuka-europe.com</v>
      </c>
      <c r="N2507" s="13">
        <v>46212.372094907405</v>
      </c>
      <c r="O2507" s="14" t="str">
        <f>HYPERLINK("https://otsuka-europe-crm.veevavault.com/ui/#object/email_activity__v/V8C000000045183", "EN-002103647")</f>
        <v>EN-002103647</v>
      </c>
    </row>
    <row r="2508" spans="1:15" ht="32" x14ac:dyDescent="0.2">
      <c r="A2508" s="7" t="str">
        <f>HYPERLINK("https://otsuka-europe-crm.veevavault.com/ui/#object/account__v/V4TZ025E83OY19I", "MARIA MAR HERMOSILLA FERNANDEZ")</f>
        <v>MARIA MAR HERMOSILLA FERNANDEZ</v>
      </c>
      <c r="B2508" s="7" t="str">
        <f t="shared" si="96"/>
        <v>ES</v>
      </c>
      <c r="C2508" s="8" t="s">
        <v>39</v>
      </c>
      <c r="D2508" s="9" t="str">
        <f t="shared" si="97"/>
        <v>INA - VAE Cierre "Nos quedamos en Casa"</v>
      </c>
      <c r="E2508" s="10" t="str">
        <f>HYPERLINK("https://otsuka-europe-crm.veevavault.com/ui/#object/sent_email__v/VBL000000034485", "SE-001442864")</f>
        <v>SE-001442864</v>
      </c>
      <c r="F2508" s="11"/>
      <c r="G2508" s="12">
        <v>0</v>
      </c>
      <c r="H2508" s="12">
        <v>0</v>
      </c>
      <c r="I2508" s="12">
        <v>0</v>
      </c>
      <c r="J2508" s="11"/>
      <c r="K2508" s="12">
        <v>0</v>
      </c>
      <c r="L2508" s="10" t="str">
        <f t="shared" si="98"/>
        <v>INA - VAE Cierre "Nos quedamos en Casa"</v>
      </c>
      <c r="M2508" s="10" t="str">
        <f t="shared" si="99"/>
        <v>pmartinez@crm.otsuka-europe.com</v>
      </c>
      <c r="N2508" s="13">
        <v>46212.372106481482</v>
      </c>
      <c r="O2508" s="14" t="str">
        <f>HYPERLINK("https://otsuka-europe-crm.veevavault.com/ui/#object/email_activity__v/V8C000000045184", "EN-002103648")</f>
        <v>EN-002103648</v>
      </c>
    </row>
    <row r="2509" spans="1:15" ht="16" x14ac:dyDescent="0.2">
      <c r="A2509" s="18" t="str">
        <f>HYPERLINK("https://otsuka-europe-crm.veevavault.com/ui/#object/account__v/V4T000000011149", "MARIA VICTORIA CUEVAS RUIZ")</f>
        <v>MARIA VICTORIA CUEVAS RUIZ</v>
      </c>
      <c r="B2509" s="18" t="str">
        <f t="shared" si="96"/>
        <v>ES</v>
      </c>
      <c r="C2509" s="20" t="s">
        <v>39</v>
      </c>
      <c r="D2509" s="21" t="str">
        <f t="shared" si="97"/>
        <v>INA - VAE Cierre "Nos quedamos en Casa"</v>
      </c>
      <c r="E2509" s="22" t="str">
        <f>HYPERLINK("https://otsuka-europe-crm.veevavault.com/ui/#object/sent_email__v/VBL000000034486", "SE-001442865")</f>
        <v>SE-001442865</v>
      </c>
      <c r="F2509" s="25">
        <v>46212.651712962965</v>
      </c>
      <c r="G2509" s="24">
        <v>1</v>
      </c>
      <c r="H2509" s="24">
        <v>1</v>
      </c>
      <c r="I2509" s="24">
        <v>0</v>
      </c>
      <c r="J2509" s="23"/>
      <c r="K2509" s="24">
        <v>0</v>
      </c>
      <c r="L2509" s="22" t="str">
        <f t="shared" si="98"/>
        <v>INA - VAE Cierre "Nos quedamos en Casa"</v>
      </c>
      <c r="M2509" s="22" t="str">
        <f t="shared" si="99"/>
        <v>pmartinez@crm.otsuka-europe.com</v>
      </c>
      <c r="N2509" s="25">
        <v>46212.372060185182</v>
      </c>
      <c r="O2509" s="14" t="str">
        <f>HYPERLINK("https://otsuka-europe-crm.veevavault.com/ui/#object/email_activity__v/V8C000000045188", "EN-002103652")</f>
        <v>EN-002103652</v>
      </c>
    </row>
    <row r="2510" spans="1:15" ht="16" x14ac:dyDescent="0.2">
      <c r="A2510" s="19"/>
      <c r="B2510" s="19"/>
      <c r="C2510" s="19"/>
      <c r="D2510" s="19"/>
      <c r="E2510" s="19"/>
      <c r="F2510" s="19"/>
      <c r="G2510" s="19"/>
      <c r="H2510" s="19"/>
      <c r="I2510" s="19"/>
      <c r="J2510" s="19"/>
      <c r="K2510" s="19"/>
      <c r="L2510" s="19"/>
      <c r="M2510" s="19"/>
      <c r="N2510" s="19"/>
      <c r="O2510" s="14" t="str">
        <f>HYPERLINK("https://otsuka-europe-crm.veevavault.com/ui/#object/email_activity__v/V8C000000046079", "EN-002103977")</f>
        <v>EN-002103977</v>
      </c>
    </row>
    <row r="2511" spans="1:15" ht="32" x14ac:dyDescent="0.2">
      <c r="A2511" s="7" t="str">
        <f>HYPERLINK("https://otsuka-europe-crm.veevavault.com/ui/#object/account__v/V4TZ025E8484MZT", "ANA VEGA GONZALEZ DE VIÑASPRE")</f>
        <v>ANA VEGA GONZALEZ DE VIÑASPRE</v>
      </c>
      <c r="B2511" s="7" t="str">
        <f>HYPERLINK("https://otsuka-europe-crm.veevavault.com/ui/#object/vcountry__v/VENZ000004SONF5", "ES")</f>
        <v>ES</v>
      </c>
      <c r="C2511" s="8" t="s">
        <v>39</v>
      </c>
      <c r="D2511" s="9" t="str">
        <f>HYPERLINK("https://otsuka-europe-crm.veevavault.com/ui/#object/approved_document__v/V5O00000001R001", "INA - VAE Cierre ""Nos quedamos en Casa""")</f>
        <v>INA - VAE Cierre "Nos quedamos en Casa"</v>
      </c>
      <c r="E2511" s="10" t="str">
        <f>HYPERLINK("https://otsuka-europe-crm.veevavault.com/ui/#object/sent_email__v/VBL000000034487", "SE-001442866")</f>
        <v>SE-001442866</v>
      </c>
      <c r="F2511" s="11"/>
      <c r="G2511" s="12">
        <v>0</v>
      </c>
      <c r="H2511" s="12">
        <v>0</v>
      </c>
      <c r="I2511" s="12">
        <v>0</v>
      </c>
      <c r="J2511" s="11"/>
      <c r="K2511" s="12">
        <v>0</v>
      </c>
      <c r="L2511" s="10" t="str">
        <f>HYPERLINK("https://otsuka-europe-crm.veevavault.com/ui/#object/approved_document__v/V5O00000001R001", "INA - VAE Cierre ""Nos quedamos en Casa""")</f>
        <v>INA - VAE Cierre "Nos quedamos en Casa"</v>
      </c>
      <c r="M2511" s="10" t="str">
        <f>HYPERLINK("mailto:pmartinez@crm.otsuka-europe.com", "pmartinez@crm.otsuka-europe.com")</f>
        <v>pmartinez@crm.otsuka-europe.com</v>
      </c>
      <c r="N2511" s="13">
        <v>46212.372060185182</v>
      </c>
      <c r="O2511" s="14" t="str">
        <f>HYPERLINK("https://otsuka-europe-crm.veevavault.com/ui/#object/email_activity__v/V8C000000045190", "EN-002103654")</f>
        <v>EN-002103654</v>
      </c>
    </row>
    <row r="2512" spans="1:15" ht="32" x14ac:dyDescent="0.2">
      <c r="A2512" s="7" t="str">
        <f>HYPERLINK("https://otsuka-europe-crm.veevavault.com/ui/#object/account__v/V4TZ025E836I81H", "JUAN CARLOS GARCIA RUIZ")</f>
        <v>JUAN CARLOS GARCIA RUIZ</v>
      </c>
      <c r="B2512" s="7" t="str">
        <f>HYPERLINK("https://otsuka-europe-crm.veevavault.com/ui/#object/vcountry__v/VENZ000004SONF5", "ES")</f>
        <v>ES</v>
      </c>
      <c r="C2512" s="8" t="s">
        <v>39</v>
      </c>
      <c r="D2512" s="9" t="str">
        <f>HYPERLINK("https://otsuka-europe-crm.veevavault.com/ui/#object/approved_document__v/V5O00000001R001", "INA - VAE Cierre ""Nos quedamos en Casa""")</f>
        <v>INA - VAE Cierre "Nos quedamos en Casa"</v>
      </c>
      <c r="E2512" s="10" t="str">
        <f>HYPERLINK("https://otsuka-europe-crm.veevavault.com/ui/#object/sent_email__v/VBL000000034488", "SE-001442867")</f>
        <v>SE-001442867</v>
      </c>
      <c r="F2512" s="11"/>
      <c r="G2512" s="12">
        <v>0</v>
      </c>
      <c r="H2512" s="12">
        <v>0</v>
      </c>
      <c r="I2512" s="12">
        <v>0</v>
      </c>
      <c r="J2512" s="11"/>
      <c r="K2512" s="12">
        <v>0</v>
      </c>
      <c r="L2512" s="10" t="str">
        <f>HYPERLINK("https://otsuka-europe-crm.veevavault.com/ui/#object/approved_document__v/V5O00000001R001", "INA - VAE Cierre ""Nos quedamos en Casa""")</f>
        <v>INA - VAE Cierre "Nos quedamos en Casa"</v>
      </c>
      <c r="M2512" s="10" t="str">
        <f>HYPERLINK("mailto:pmartinez@crm.otsuka-europe.com", "pmartinez@crm.otsuka-europe.com")</f>
        <v>pmartinez@crm.otsuka-europe.com</v>
      </c>
      <c r="N2512" s="13">
        <v>46212.372060185182</v>
      </c>
      <c r="O2512" s="14" t="str">
        <f>HYPERLINK("https://otsuka-europe-crm.veevavault.com/ui/#object/email_activity__v/V8C000000045173", "EN-002103637")</f>
        <v>EN-002103637</v>
      </c>
    </row>
    <row r="2513" spans="1:15" ht="32" x14ac:dyDescent="0.2">
      <c r="A2513" s="7" t="str">
        <f>HYPERLINK("https://otsuka-europe-crm.veevavault.com/ui/#object/account__v/V4TZ025E83PKM5I", "MARIA CRISTINA DE BARRENETXEA LEKUE")</f>
        <v>MARIA CRISTINA DE BARRENETXEA LEKUE</v>
      </c>
      <c r="B2513" s="7" t="str">
        <f>HYPERLINK("https://otsuka-europe-crm.veevavault.com/ui/#object/vcountry__v/VENZ000004SONF5", "ES")</f>
        <v>ES</v>
      </c>
      <c r="C2513" s="8" t="s">
        <v>39</v>
      </c>
      <c r="D2513" s="9" t="str">
        <f>HYPERLINK("https://otsuka-europe-crm.veevavault.com/ui/#object/approved_document__v/V5O00000001R001", "INA - VAE Cierre ""Nos quedamos en Casa""")</f>
        <v>INA - VAE Cierre "Nos quedamos en Casa"</v>
      </c>
      <c r="E2513" s="10" t="str">
        <f>HYPERLINK("https://otsuka-europe-crm.veevavault.com/ui/#object/sent_email__v/VBL000000034489", "SE-001442868")</f>
        <v>SE-001442868</v>
      </c>
      <c r="F2513" s="11"/>
      <c r="G2513" s="12">
        <v>0</v>
      </c>
      <c r="H2513" s="12">
        <v>0</v>
      </c>
      <c r="I2513" s="12">
        <v>0</v>
      </c>
      <c r="J2513" s="11"/>
      <c r="K2513" s="12">
        <v>0</v>
      </c>
      <c r="L2513" s="10" t="str">
        <f>HYPERLINK("https://otsuka-europe-crm.veevavault.com/ui/#object/approved_document__v/V5O00000001R001", "INA - VAE Cierre ""Nos quedamos en Casa""")</f>
        <v>INA - VAE Cierre "Nos quedamos en Casa"</v>
      </c>
      <c r="M2513" s="10" t="str">
        <f>HYPERLINK("mailto:pmartinez@crm.otsuka-europe.com", "pmartinez@crm.otsuka-europe.com")</f>
        <v>pmartinez@crm.otsuka-europe.com</v>
      </c>
      <c r="N2513" s="13">
        <v>46212.372060185182</v>
      </c>
      <c r="O2513" s="14" t="str">
        <f>HYPERLINK("https://otsuka-europe-crm.veevavault.com/ui/#object/email_activity__v/V8C000000045186", "EN-002103650")</f>
        <v>EN-002103650</v>
      </c>
    </row>
    <row r="2514" spans="1:15" ht="16" x14ac:dyDescent="0.2">
      <c r="A2514" s="18" t="str">
        <f>HYPERLINK("https://otsuka-europe-crm.veevavault.com/ui/#object/account__v/V4TZ025E83FFVTQ", "JORGE LABRADOR GOMEZ")</f>
        <v>JORGE LABRADOR GOMEZ</v>
      </c>
      <c r="B2514" s="18" t="str">
        <f>HYPERLINK("https://otsuka-europe-crm.veevavault.com/ui/#object/vcountry__v/VENZ000004SONF5", "ES")</f>
        <v>ES</v>
      </c>
      <c r="C2514" s="20" t="s">
        <v>39</v>
      </c>
      <c r="D2514" s="21" t="str">
        <f>HYPERLINK("https://otsuka-europe-crm.veevavault.com/ui/#object/approved_document__v/V5O00000001R001", "INA - VAE Cierre ""Nos quedamos en Casa""")</f>
        <v>INA - VAE Cierre "Nos quedamos en Casa"</v>
      </c>
      <c r="E2514" s="22" t="str">
        <f>HYPERLINK("https://otsuka-europe-crm.veevavault.com/ui/#object/sent_email__v/VBL000000034490", "SE-001442869")</f>
        <v>SE-001442869</v>
      </c>
      <c r="F2514" s="25">
        <v>46212.495821759258</v>
      </c>
      <c r="G2514" s="24">
        <v>1</v>
      </c>
      <c r="H2514" s="24">
        <v>2</v>
      </c>
      <c r="I2514" s="24">
        <v>0</v>
      </c>
      <c r="J2514" s="23"/>
      <c r="K2514" s="24">
        <v>0</v>
      </c>
      <c r="L2514" s="22" t="str">
        <f>HYPERLINK("https://otsuka-europe-crm.veevavault.com/ui/#object/approved_document__v/V5O00000001R001", "INA - VAE Cierre ""Nos quedamos en Casa""")</f>
        <v>INA - VAE Cierre "Nos quedamos en Casa"</v>
      </c>
      <c r="M2514" s="22" t="str">
        <f>HYPERLINK("mailto:pmartinez@crm.otsuka-europe.com", "pmartinez@crm.otsuka-europe.com")</f>
        <v>pmartinez@crm.otsuka-europe.com</v>
      </c>
      <c r="N2514" s="25">
        <v>46212.372083333335</v>
      </c>
      <c r="O2514" s="14" t="str">
        <f>HYPERLINK("https://otsuka-europe-crm.veevavault.com/ui/#object/email_activity__v/V8C000000045179", "EN-002103643")</f>
        <v>EN-002103643</v>
      </c>
    </row>
    <row r="2515" spans="1:15" ht="16" x14ac:dyDescent="0.2">
      <c r="A2515" s="26"/>
      <c r="B2515" s="26"/>
      <c r="C2515" s="26"/>
      <c r="D2515" s="26"/>
      <c r="E2515" s="26"/>
      <c r="F2515" s="26"/>
      <c r="G2515" s="26"/>
      <c r="H2515" s="26"/>
      <c r="I2515" s="26"/>
      <c r="J2515" s="26"/>
      <c r="K2515" s="26"/>
      <c r="L2515" s="26"/>
      <c r="M2515" s="26"/>
      <c r="N2515" s="26"/>
      <c r="O2515" s="14" t="str">
        <f>HYPERLINK("https://otsuka-europe-crm.veevavault.com/ui/#object/email_activity__v/V8C000000045300", "EN-002103888")</f>
        <v>EN-002103888</v>
      </c>
    </row>
    <row r="2516" spans="1:15" ht="16" x14ac:dyDescent="0.2">
      <c r="A2516" s="19"/>
      <c r="B2516" s="19"/>
      <c r="C2516" s="19"/>
      <c r="D2516" s="19"/>
      <c r="E2516" s="19"/>
      <c r="F2516" s="19"/>
      <c r="G2516" s="19"/>
      <c r="H2516" s="19"/>
      <c r="I2516" s="19"/>
      <c r="J2516" s="19"/>
      <c r="K2516" s="19"/>
      <c r="L2516" s="19"/>
      <c r="M2516" s="19"/>
      <c r="N2516" s="19"/>
      <c r="O2516" s="14" t="str">
        <f>HYPERLINK("https://otsuka-europe-crm.veevavault.com/ui/#object/email_activity__v/V8C000000045302", "EN-002103890")</f>
        <v>EN-002103890</v>
      </c>
    </row>
    <row r="2517" spans="1:15" ht="32" x14ac:dyDescent="0.2">
      <c r="A2517" s="7" t="str">
        <f>HYPERLINK("https://otsuka-europe-crm.veevavault.com/ui/#object/account__v/V4TZ06G6O71TB1J", "FERNANDO MARCO DE LUCAS")</f>
        <v>FERNANDO MARCO DE LUCAS</v>
      </c>
      <c r="B2517" s="7" t="str">
        <f>HYPERLINK("https://otsuka-europe-crm.veevavault.com/ui/#object/vcountry__v/VENZ000004SONF5", "ES")</f>
        <v>ES</v>
      </c>
      <c r="C2517" s="8" t="s">
        <v>39</v>
      </c>
      <c r="D2517" s="9" t="str">
        <f>HYPERLINK("https://otsuka-europe-crm.veevavault.com/ui/#object/approved_document__v/V5O00000001R001", "INA - VAE Cierre ""Nos quedamos en Casa""")</f>
        <v>INA - VAE Cierre "Nos quedamos en Casa"</v>
      </c>
      <c r="E2517" s="10" t="str">
        <f>HYPERLINK("https://otsuka-europe-crm.veevavault.com/ui/#object/sent_email__v/VBL000000034491", "SE-001442870")</f>
        <v>SE-001442870</v>
      </c>
      <c r="F2517" s="11"/>
      <c r="G2517" s="12">
        <v>0</v>
      </c>
      <c r="H2517" s="12">
        <v>0</v>
      </c>
      <c r="I2517" s="12">
        <v>0</v>
      </c>
      <c r="J2517" s="11"/>
      <c r="K2517" s="12">
        <v>0</v>
      </c>
      <c r="L2517" s="10" t="str">
        <f>HYPERLINK("https://otsuka-europe-crm.veevavault.com/ui/#object/approved_document__v/V5O00000001R001", "INA - VAE Cierre ""Nos quedamos en Casa""")</f>
        <v>INA - VAE Cierre "Nos quedamos en Casa"</v>
      </c>
      <c r="M2517" s="10" t="str">
        <f>HYPERLINK("mailto:pmartinez@crm.otsuka-europe.com", "pmartinez@crm.otsuka-europe.com")</f>
        <v>pmartinez@crm.otsuka-europe.com</v>
      </c>
      <c r="N2517" s="13">
        <v>46212.372094907405</v>
      </c>
      <c r="O2517" s="14" t="str">
        <f>HYPERLINK("https://otsuka-europe-crm.veevavault.com/ui/#object/email_activity__v/V8C000000045181", "EN-002103645")</f>
        <v>EN-002103645</v>
      </c>
    </row>
    <row r="2518" spans="1:15" ht="32" x14ac:dyDescent="0.2">
      <c r="A2518" s="7" t="str">
        <f>HYPERLINK("https://otsuka-europe-crm.veevavault.com/ui/#object/account__v/V4TZ025E866ZVFP", "EUKENE GAINZA GONZALEZ")</f>
        <v>EUKENE GAINZA GONZALEZ</v>
      </c>
      <c r="B2518" s="7" t="str">
        <f>HYPERLINK("https://otsuka-europe-crm.veevavault.com/ui/#object/vcountry__v/VENZ000004SONF5", "ES")</f>
        <v>ES</v>
      </c>
      <c r="C2518" s="8" t="s">
        <v>39</v>
      </c>
      <c r="D2518" s="9" t="str">
        <f>HYPERLINK("https://otsuka-europe-crm.veevavault.com/ui/#object/approved_document__v/V5O00000001R001", "INA - VAE Cierre ""Nos quedamos en Casa""")</f>
        <v>INA - VAE Cierre "Nos quedamos en Casa"</v>
      </c>
      <c r="E2518" s="10" t="str">
        <f>HYPERLINK("https://otsuka-europe-crm.veevavault.com/ui/#object/sent_email__v/VBL000000034492", "SE-001442871")</f>
        <v>SE-001442871</v>
      </c>
      <c r="F2518" s="11"/>
      <c r="G2518" s="12">
        <v>0</v>
      </c>
      <c r="H2518" s="12">
        <v>0</v>
      </c>
      <c r="I2518" s="12">
        <v>0</v>
      </c>
      <c r="J2518" s="11"/>
      <c r="K2518" s="12">
        <v>0</v>
      </c>
      <c r="L2518" s="10" t="str">
        <f>HYPERLINK("https://otsuka-europe-crm.veevavault.com/ui/#object/approved_document__v/V5O00000001R001", "INA - VAE Cierre ""Nos quedamos en Casa""")</f>
        <v>INA - VAE Cierre "Nos quedamos en Casa"</v>
      </c>
      <c r="M2518" s="10" t="str">
        <f>HYPERLINK("mailto:pmartinez@crm.otsuka-europe.com", "pmartinez@crm.otsuka-europe.com")</f>
        <v>pmartinez@crm.otsuka-europe.com</v>
      </c>
      <c r="N2518" s="13">
        <v>46212.372060185182</v>
      </c>
      <c r="O2518" s="14" t="str">
        <f>HYPERLINK("https://otsuka-europe-crm.veevavault.com/ui/#object/email_activity__v/V8C000000045174", "EN-002103638")</f>
        <v>EN-002103638</v>
      </c>
    </row>
    <row r="2519" spans="1:15" ht="64" x14ac:dyDescent="0.2">
      <c r="A2519" s="7" t="str">
        <f>HYPERLINK("https://otsuka-europe-crm.veevavault.com/ui/#object/account__v/V4TZ06G6O71TBRM", "ALFONSO POBES MARTINEZ DE SALINAS")</f>
        <v>ALFONSO POBES MARTINEZ DE SALINAS</v>
      </c>
      <c r="B2519" s="7" t="str">
        <f>HYPERLINK("https://otsuka-europe-crm.veevavault.com/ui/#object/vcountry__v/VENZ000004SONF5", "ES")</f>
        <v>ES</v>
      </c>
      <c r="C2519" s="8" t="s">
        <v>39</v>
      </c>
      <c r="D251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19" s="10" t="str">
        <f>HYPERLINK("https://otsuka-europe-crm.veevavault.com/ui/#object/sent_email__v/VBL000000032258", "SE-001442872")</f>
        <v>SE-001442872</v>
      </c>
      <c r="F2519" s="11"/>
      <c r="G2519" s="12">
        <v>0</v>
      </c>
      <c r="H2519" s="12">
        <v>0</v>
      </c>
      <c r="I2519" s="12">
        <v>0</v>
      </c>
      <c r="J2519" s="11"/>
      <c r="K2519" s="12">
        <v>0</v>
      </c>
      <c r="L251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19" s="10" t="str">
        <f>HYPERLINK("mailto:sruizlemos@crm.otsuka-europe.com", "sruizlemos@crm.otsuka-europe.com")</f>
        <v>sruizlemos@crm.otsuka-europe.com</v>
      </c>
      <c r="N2519" s="13">
        <v>46212.391898148147</v>
      </c>
      <c r="O2519" s="14" t="str">
        <f>HYPERLINK("https://otsuka-europe-crm.veevavault.com/ui/#object/email_activity__v/V8C000000043934", "EN-002103705")</f>
        <v>EN-002103705</v>
      </c>
    </row>
    <row r="2520" spans="1:15" ht="16" x14ac:dyDescent="0.2">
      <c r="A2520" s="18" t="str">
        <f>HYPERLINK("https://otsuka-europe-crm.veevavault.com/ui/#object/account__v/V4TZ06G6O71T829", "LAURA DEL RIO GARCIA")</f>
        <v>LAURA DEL RIO GARCIA</v>
      </c>
      <c r="B2520" s="18" t="str">
        <f>HYPERLINK("https://otsuka-europe-crm.veevavault.com/ui/#object/vcountry__v/VENZ000004SONF5", "ES")</f>
        <v>ES</v>
      </c>
      <c r="C2520" s="20" t="s">
        <v>39</v>
      </c>
      <c r="D25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20" s="22" t="str">
        <f>HYPERLINK("https://otsuka-europe-crm.veevavault.com/ui/#object/sent_email__v/VBL000000032259", "SE-001442873")</f>
        <v>SE-001442873</v>
      </c>
      <c r="F2520" s="25">
        <v>46214.393321759257</v>
      </c>
      <c r="G2520" s="24">
        <v>1</v>
      </c>
      <c r="H2520" s="24">
        <v>2</v>
      </c>
      <c r="I2520" s="24">
        <v>0</v>
      </c>
      <c r="J2520" s="23"/>
      <c r="K2520" s="24">
        <v>0</v>
      </c>
      <c r="L25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20" s="22" t="str">
        <f>HYPERLINK("mailto:sruizlemos@crm.otsuka-europe.com", "sruizlemos@crm.otsuka-europe.com")</f>
        <v>sruizlemos@crm.otsuka-europe.com</v>
      </c>
      <c r="N2520" s="25">
        <v>46212.391898148147</v>
      </c>
      <c r="O2520" s="14" t="str">
        <f>HYPERLINK("https://otsuka-europe-crm.veevavault.com/ui/#object/email_activity__v/V8C000000043923", "EN-002103694")</f>
        <v>EN-002103694</v>
      </c>
    </row>
    <row r="2521" spans="1:15" ht="16" x14ac:dyDescent="0.2">
      <c r="A2521" s="26"/>
      <c r="B2521" s="26"/>
      <c r="C2521" s="26"/>
      <c r="D2521" s="26"/>
      <c r="E2521" s="26"/>
      <c r="F2521" s="26"/>
      <c r="G2521" s="26"/>
      <c r="H2521" s="26"/>
      <c r="I2521" s="26"/>
      <c r="J2521" s="26"/>
      <c r="K2521" s="26"/>
      <c r="L2521" s="26"/>
      <c r="M2521" s="26"/>
      <c r="N2521" s="26"/>
      <c r="O2521" s="14" t="str">
        <f>HYPERLINK("https://otsuka-europe-crm.veevavault.com/ui/#object/email_activity__v/V8C000000049013", "EN-002104893")</f>
        <v>EN-002104893</v>
      </c>
    </row>
    <row r="2522" spans="1:15" ht="16" x14ac:dyDescent="0.2">
      <c r="A2522" s="19"/>
      <c r="B2522" s="19"/>
      <c r="C2522" s="19"/>
      <c r="D2522" s="19"/>
      <c r="E2522" s="19"/>
      <c r="F2522" s="19"/>
      <c r="G2522" s="19"/>
      <c r="H2522" s="19"/>
      <c r="I2522" s="19"/>
      <c r="J2522" s="19"/>
      <c r="K2522" s="19"/>
      <c r="L2522" s="19"/>
      <c r="M2522" s="19"/>
      <c r="N2522" s="19"/>
      <c r="O2522" s="14" t="str">
        <f>HYPERLINK("https://otsuka-europe-crm.veevavault.com/ui/#object/email_activity__v/V8C00000004A012", "EN-002104892")</f>
        <v>EN-002104892</v>
      </c>
    </row>
    <row r="2523" spans="1:15" ht="64" x14ac:dyDescent="0.2">
      <c r="A2523" s="7" t="str">
        <f>HYPERLINK("https://otsuka-europe-crm.veevavault.com/ui/#object/account__v/V4TZ06G6OBIHFHF", "MANUEL FIDALGO DIAZ")</f>
        <v>MANUEL FIDALGO DIAZ</v>
      </c>
      <c r="B2523" s="7" t="str">
        <f>HYPERLINK("https://otsuka-europe-crm.veevavault.com/ui/#object/vcountry__v/VENZ000004SONF5", "ES")</f>
        <v>ES</v>
      </c>
      <c r="C2523" s="8" t="s">
        <v>39</v>
      </c>
      <c r="D252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23" s="10" t="str">
        <f>HYPERLINK("https://otsuka-europe-crm.veevavault.com/ui/#object/sent_email__v/VBL000000032260", "SE-001442874")</f>
        <v>SE-001442874</v>
      </c>
      <c r="F2523" s="11"/>
      <c r="G2523" s="12">
        <v>0</v>
      </c>
      <c r="H2523" s="12">
        <v>0</v>
      </c>
      <c r="I2523" s="12">
        <v>0</v>
      </c>
      <c r="J2523" s="11"/>
      <c r="K2523" s="12">
        <v>0</v>
      </c>
      <c r="L252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23" s="10" t="str">
        <f>HYPERLINK("mailto:sruizlemos@crm.otsuka-europe.com", "sruizlemos@crm.otsuka-europe.com")</f>
        <v>sruizlemos@crm.otsuka-europe.com</v>
      </c>
      <c r="N2523" s="13">
        <v>46212.391909722224</v>
      </c>
      <c r="O2523" s="14" t="str">
        <f>HYPERLINK("https://otsuka-europe-crm.veevavault.com/ui/#object/email_activity__v/V8C000000045222", "EN-002103711")</f>
        <v>EN-002103711</v>
      </c>
    </row>
    <row r="2524" spans="1:15" ht="64" x14ac:dyDescent="0.2">
      <c r="A2524" s="7" t="str">
        <f>HYPERLINK("https://otsuka-europe-crm.veevavault.com/ui/#object/account__v/V4TZ025E87FZH32", "MARIA MARGARITA LOPEZ VAZQUEZ")</f>
        <v>MARIA MARGARITA LOPEZ VAZQUEZ</v>
      </c>
      <c r="B2524" s="7" t="str">
        <f>HYPERLINK("https://otsuka-europe-crm.veevavault.com/ui/#object/vcountry__v/VENZ000004SONF5", "ES")</f>
        <v>ES</v>
      </c>
      <c r="C2524" s="8" t="s">
        <v>39</v>
      </c>
      <c r="D252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24" s="10" t="str">
        <f>HYPERLINK("https://otsuka-europe-crm.veevavault.com/ui/#object/sent_email__v/VBL000000032261", "SE-001442875")</f>
        <v>SE-001442875</v>
      </c>
      <c r="F2524" s="11"/>
      <c r="G2524" s="12">
        <v>0</v>
      </c>
      <c r="H2524" s="12">
        <v>0</v>
      </c>
      <c r="I2524" s="12">
        <v>0</v>
      </c>
      <c r="J2524" s="11"/>
      <c r="K2524" s="12">
        <v>0</v>
      </c>
      <c r="L252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24" s="10" t="str">
        <f>HYPERLINK("mailto:sruizlemos@crm.otsuka-europe.com", "sruizlemos@crm.otsuka-europe.com")</f>
        <v>sruizlemos@crm.otsuka-europe.com</v>
      </c>
      <c r="N2524" s="13">
        <v>46212.391909722224</v>
      </c>
      <c r="O2524" s="14" t="str">
        <f>HYPERLINK("https://otsuka-europe-crm.veevavault.com/ui/#object/email_activity__v/V8C000000043942", "EN-002103718")</f>
        <v>EN-002103718</v>
      </c>
    </row>
    <row r="2525" spans="1:15" ht="64" x14ac:dyDescent="0.2">
      <c r="A2525" s="7" t="str">
        <f>HYPERLINK("https://otsuka-europe-crm.veevavault.com/ui/#object/account__v/V4TZ06G6O71T9IH", "MARIA PAZ BORRAJO PROL")</f>
        <v>MARIA PAZ BORRAJO PROL</v>
      </c>
      <c r="B2525" s="7" t="str">
        <f>HYPERLINK("https://otsuka-europe-crm.veevavault.com/ui/#object/vcountry__v/VENZ000004SONF5", "ES")</f>
        <v>ES</v>
      </c>
      <c r="C2525" s="8" t="s">
        <v>39</v>
      </c>
      <c r="D252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25" s="10" t="str">
        <f>HYPERLINK("https://otsuka-europe-crm.veevavault.com/ui/#object/sent_email__v/VBL000000032262", "SE-001442876")</f>
        <v>SE-001442876</v>
      </c>
      <c r="F2525" s="11"/>
      <c r="G2525" s="12">
        <v>0</v>
      </c>
      <c r="H2525" s="12">
        <v>0</v>
      </c>
      <c r="I2525" s="12">
        <v>0</v>
      </c>
      <c r="J2525" s="11"/>
      <c r="K2525" s="12">
        <v>0</v>
      </c>
      <c r="L252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25" s="10" t="str">
        <f>HYPERLINK("mailto:sruizlemos@crm.otsuka-europe.com", "sruizlemos@crm.otsuka-europe.com")</f>
        <v>sruizlemos@crm.otsuka-europe.com</v>
      </c>
      <c r="N2525" s="13">
        <v>46212.391944444447</v>
      </c>
      <c r="O2525" s="14" t="str">
        <f>HYPERLINK("https://otsuka-europe-crm.veevavault.com/ui/#object/email_activity__v/V8C000000043930", "EN-002103701")</f>
        <v>EN-002103701</v>
      </c>
    </row>
    <row r="2526" spans="1:15" ht="16" x14ac:dyDescent="0.2">
      <c r="A2526" s="18" t="str">
        <f>HYPERLINK("https://otsuka-europe-crm.veevavault.com/ui/#object/account__v/V4TZ06G6O71T96C", "JOSE MARIA BALTAR MARTIN")</f>
        <v>JOSE MARIA BALTAR MARTIN</v>
      </c>
      <c r="B2526" s="18" t="str">
        <f>HYPERLINK("https://otsuka-europe-crm.veevavault.com/ui/#object/vcountry__v/VENZ000004SONF5", "ES")</f>
        <v>ES</v>
      </c>
      <c r="C2526" s="20" t="s">
        <v>39</v>
      </c>
      <c r="D252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26" s="22" t="str">
        <f>HYPERLINK("https://otsuka-europe-crm.veevavault.com/ui/#object/sent_email__v/VBL000000032263", "SE-001442877")</f>
        <v>SE-001442877</v>
      </c>
      <c r="F2526" s="25">
        <v>46212.717812499999</v>
      </c>
      <c r="G2526" s="24">
        <v>1</v>
      </c>
      <c r="H2526" s="24">
        <v>1</v>
      </c>
      <c r="I2526" s="24">
        <v>0</v>
      </c>
      <c r="J2526" s="23"/>
      <c r="K2526" s="24">
        <v>0</v>
      </c>
      <c r="L252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26" s="22" t="str">
        <f>HYPERLINK("mailto:sruizlemos@crm.otsuka-europe.com", "sruizlemos@crm.otsuka-europe.com")</f>
        <v>sruizlemos@crm.otsuka-europe.com</v>
      </c>
      <c r="N2526" s="25">
        <v>46212.391909722224</v>
      </c>
      <c r="O2526" s="14" t="str">
        <f>HYPERLINK("https://otsuka-europe-crm.veevavault.com/ui/#object/email_activity__v/V8C000000043938", "EN-002103714")</f>
        <v>EN-002103714</v>
      </c>
    </row>
    <row r="2527" spans="1:15" ht="16" x14ac:dyDescent="0.2">
      <c r="A2527" s="26"/>
      <c r="B2527" s="26"/>
      <c r="C2527" s="26"/>
      <c r="D2527" s="26"/>
      <c r="E2527" s="26"/>
      <c r="F2527" s="26"/>
      <c r="G2527" s="26"/>
      <c r="H2527" s="26"/>
      <c r="I2527" s="26"/>
      <c r="J2527" s="26"/>
      <c r="K2527" s="26"/>
      <c r="L2527" s="26"/>
      <c r="M2527" s="26"/>
      <c r="N2527" s="26"/>
      <c r="O2527" s="14" t="str">
        <f>HYPERLINK("https://otsuka-europe-crm.veevavault.com/ui/#object/email_activity__v/V8C000000045397", "EN-002104136")</f>
        <v>EN-002104136</v>
      </c>
    </row>
    <row r="2528" spans="1:15" ht="16" x14ac:dyDescent="0.2">
      <c r="A2528" s="19"/>
      <c r="B2528" s="19"/>
      <c r="C2528" s="19"/>
      <c r="D2528" s="19"/>
      <c r="E2528" s="19"/>
      <c r="F2528" s="19"/>
      <c r="G2528" s="19"/>
      <c r="H2528" s="19"/>
      <c r="I2528" s="19"/>
      <c r="J2528" s="19"/>
      <c r="K2528" s="19"/>
      <c r="L2528" s="19"/>
      <c r="M2528" s="19"/>
      <c r="N2528" s="19"/>
      <c r="O2528" s="14" t="str">
        <f>HYPERLINK("https://otsuka-europe-crm.veevavault.com/ui/#object/email_activity__v/V8C000000049548", "EN-002105908")</f>
        <v>EN-002105908</v>
      </c>
    </row>
    <row r="2529" spans="1:15" ht="16" x14ac:dyDescent="0.2">
      <c r="A2529" s="18" t="str">
        <f>HYPERLINK("https://otsuka-europe-crm.veevavault.com/ui/#object/account__v/V4TZ06G6O71T81T", "CRISTINA SANGO MERINO")</f>
        <v>CRISTINA SANGO MERINO</v>
      </c>
      <c r="B2529" s="18" t="str">
        <f>HYPERLINK("https://otsuka-europe-crm.veevavault.com/ui/#object/vcountry__v/VENZ000004SONF5", "ES")</f>
        <v>ES</v>
      </c>
      <c r="C2529" s="20" t="s">
        <v>39</v>
      </c>
      <c r="D252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29" s="22" t="str">
        <f>HYPERLINK("https://otsuka-europe-crm.veevavault.com/ui/#object/sent_email__v/VBL000000032264", "SE-001442878")</f>
        <v>SE-001442878</v>
      </c>
      <c r="F2529" s="25">
        <v>46212.579907407409</v>
      </c>
      <c r="G2529" s="24">
        <v>1</v>
      </c>
      <c r="H2529" s="24">
        <v>1</v>
      </c>
      <c r="I2529" s="24">
        <v>0</v>
      </c>
      <c r="J2529" s="23"/>
      <c r="K2529" s="24">
        <v>0</v>
      </c>
      <c r="L252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29" s="22" t="str">
        <f>HYPERLINK("mailto:sruizlemos@crm.otsuka-europe.com", "sruizlemos@crm.otsuka-europe.com")</f>
        <v>sruizlemos@crm.otsuka-europe.com</v>
      </c>
      <c r="N2529" s="25">
        <v>46212.391909722224</v>
      </c>
      <c r="O2529" s="14" t="str">
        <f>HYPERLINK("https://otsuka-europe-crm.veevavault.com/ui/#object/email_activity__v/V8C000000043939", "EN-002103715")</f>
        <v>EN-002103715</v>
      </c>
    </row>
    <row r="2530" spans="1:15" ht="16" x14ac:dyDescent="0.2">
      <c r="A2530" s="26"/>
      <c r="B2530" s="26"/>
      <c r="C2530" s="26"/>
      <c r="D2530" s="26"/>
      <c r="E2530" s="26"/>
      <c r="F2530" s="26"/>
      <c r="G2530" s="26"/>
      <c r="H2530" s="26"/>
      <c r="I2530" s="26"/>
      <c r="J2530" s="26"/>
      <c r="K2530" s="26"/>
      <c r="L2530" s="26"/>
      <c r="M2530" s="26"/>
      <c r="N2530" s="26"/>
      <c r="O2530" s="14" t="str">
        <f>HYPERLINK("https://otsuka-europe-crm.veevavault.com/ui/#object/email_activity__v/V8C000000046058", "EN-002103948")</f>
        <v>EN-002103948</v>
      </c>
    </row>
    <row r="2531" spans="1:15" ht="16" x14ac:dyDescent="0.2">
      <c r="A2531" s="19"/>
      <c r="B2531" s="19"/>
      <c r="C2531" s="19"/>
      <c r="D2531" s="19"/>
      <c r="E2531" s="19"/>
      <c r="F2531" s="19"/>
      <c r="G2531" s="19"/>
      <c r="H2531" s="19"/>
      <c r="I2531" s="19"/>
      <c r="J2531" s="19"/>
      <c r="K2531" s="19"/>
      <c r="L2531" s="19"/>
      <c r="M2531" s="19"/>
      <c r="N2531" s="19"/>
      <c r="O2531" s="14" t="str">
        <f>HYPERLINK("https://otsuka-europe-crm.veevavault.com/ui/#object/email_activity__v/V8C000000049043", "EN-002104952")</f>
        <v>EN-002104952</v>
      </c>
    </row>
    <row r="2532" spans="1:15" ht="16" x14ac:dyDescent="0.2">
      <c r="A2532" s="18" t="str">
        <f>HYPERLINK("https://otsuka-europe-crm.veevavault.com/ui/#object/account__v/V4TZ025E82HC1TM", "CLAUDIA IVETTE AZAÑA GARCIA")</f>
        <v>CLAUDIA IVETTE AZAÑA GARCIA</v>
      </c>
      <c r="B2532" s="18" t="str">
        <f>HYPERLINK("https://otsuka-europe-crm.veevavault.com/ui/#object/vcountry__v/VENZ000004SONF5", "ES")</f>
        <v>ES</v>
      </c>
      <c r="C2532" s="20" t="s">
        <v>39</v>
      </c>
      <c r="D25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32" s="22" t="str">
        <f>HYPERLINK("https://otsuka-europe-crm.veevavault.com/ui/#object/sent_email__v/VBL000000032265", "SE-001442879")</f>
        <v>SE-001442879</v>
      </c>
      <c r="F2532" s="23"/>
      <c r="G2532" s="24">
        <v>0</v>
      </c>
      <c r="H2532" s="24">
        <v>0</v>
      </c>
      <c r="I2532" s="24">
        <v>0</v>
      </c>
      <c r="J2532" s="23"/>
      <c r="K2532" s="24">
        <v>0</v>
      </c>
      <c r="L25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32" s="22" t="str">
        <f>HYPERLINK("mailto:sruizlemos@crm.otsuka-europe.com", "sruizlemos@crm.otsuka-europe.com")</f>
        <v>sruizlemos@crm.otsuka-europe.com</v>
      </c>
      <c r="N2532" s="25">
        <v>46212.391909722224</v>
      </c>
      <c r="O2532" s="14" t="str">
        <f>HYPERLINK("https://otsuka-europe-crm.veevavault.com/ui/#object/email_activity__v/V8C000000043935", "EN-002103706")</f>
        <v>EN-002103706</v>
      </c>
    </row>
    <row r="2533" spans="1:15" ht="16" x14ac:dyDescent="0.2">
      <c r="A2533" s="19"/>
      <c r="B2533" s="19"/>
      <c r="C2533" s="19"/>
      <c r="D2533" s="19"/>
      <c r="E2533" s="19"/>
      <c r="F2533" s="19"/>
      <c r="G2533" s="19"/>
      <c r="H2533" s="19"/>
      <c r="I2533" s="19"/>
      <c r="J2533" s="19"/>
      <c r="K2533" s="19"/>
      <c r="L2533" s="19"/>
      <c r="M2533" s="19"/>
      <c r="N2533" s="19"/>
      <c r="O2533" s="14" t="str">
        <f>HYPERLINK("https://otsuka-europe-crm.veevavault.com/ui/#object/email_activity__v/V8C000000048041", "EN-002104258")</f>
        <v>EN-002104258</v>
      </c>
    </row>
    <row r="2534" spans="1:15" ht="16" x14ac:dyDescent="0.2">
      <c r="A2534" s="18" t="str">
        <f>HYPERLINK("https://otsuka-europe-crm.veevavault.com/ui/#object/account__v/V4TZ06G6O71TC3Z", "CARLOS RUIZ-ZORRILLA LOPEZ")</f>
        <v>CARLOS RUIZ-ZORRILLA LOPEZ</v>
      </c>
      <c r="B2534" s="18" t="str">
        <f>HYPERLINK("https://otsuka-europe-crm.veevavault.com/ui/#object/vcountry__v/VENZ000004SONF5", "ES")</f>
        <v>ES</v>
      </c>
      <c r="C2534" s="20" t="s">
        <v>39</v>
      </c>
      <c r="D253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34" s="22" t="str">
        <f>HYPERLINK("https://otsuka-europe-crm.veevavault.com/ui/#object/sent_email__v/VBL000000032266", "SE-001442880")</f>
        <v>SE-001442880</v>
      </c>
      <c r="F2534" s="23"/>
      <c r="G2534" s="24">
        <v>0</v>
      </c>
      <c r="H2534" s="24">
        <v>0</v>
      </c>
      <c r="I2534" s="24">
        <v>0</v>
      </c>
      <c r="J2534" s="23"/>
      <c r="K2534" s="24">
        <v>0</v>
      </c>
      <c r="L253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34" s="22" t="str">
        <f>HYPERLINK("mailto:sruizlemos@crm.otsuka-europe.com", "sruizlemos@crm.otsuka-europe.com")</f>
        <v>sruizlemos@crm.otsuka-europe.com</v>
      </c>
      <c r="N2534" s="25">
        <v>46212.391909722224</v>
      </c>
      <c r="O2534" s="14" t="str">
        <f>HYPERLINK("https://otsuka-europe-crm.veevavault.com/ui/#object/email_activity__v/V8C000000043926", "EN-002103697")</f>
        <v>EN-002103697</v>
      </c>
    </row>
    <row r="2535" spans="1:15" ht="16" x14ac:dyDescent="0.2">
      <c r="A2535" s="19"/>
      <c r="B2535" s="19"/>
      <c r="C2535" s="19"/>
      <c r="D2535" s="19"/>
      <c r="E2535" s="19"/>
      <c r="F2535" s="19"/>
      <c r="G2535" s="19"/>
      <c r="H2535" s="19"/>
      <c r="I2535" s="19"/>
      <c r="J2535" s="19"/>
      <c r="K2535" s="19"/>
      <c r="L2535" s="19"/>
      <c r="M2535" s="19"/>
      <c r="N2535" s="19"/>
      <c r="O2535" s="14" t="str">
        <f>HYPERLINK("https://otsuka-europe-crm.veevavault.com/ui/#object/email_activity__v/V8C000000046063", "EN-002103953")</f>
        <v>EN-002103953</v>
      </c>
    </row>
    <row r="2536" spans="1:15" ht="16" x14ac:dyDescent="0.2">
      <c r="A2536" s="18" t="str">
        <f>HYPERLINK("https://otsuka-europe-crm.veevavault.com/ui/#object/account__v/V4TZ025E82IVTUM", "JANSEN OLAVID QUISPE GONZALES")</f>
        <v>JANSEN OLAVID QUISPE GONZALES</v>
      </c>
      <c r="B2536" s="18" t="str">
        <f>HYPERLINK("https://otsuka-europe-crm.veevavault.com/ui/#object/vcountry__v/VENZ000004SONF5", "ES")</f>
        <v>ES</v>
      </c>
      <c r="C2536" s="20" t="s">
        <v>39</v>
      </c>
      <c r="D253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36" s="22" t="str">
        <f>HYPERLINK("https://otsuka-europe-crm.veevavault.com/ui/#object/sent_email__v/VBL000000032267", "SE-001442881")</f>
        <v>SE-001442881</v>
      </c>
      <c r="F2536" s="25">
        <v>46213.940254629626</v>
      </c>
      <c r="G2536" s="24">
        <v>1</v>
      </c>
      <c r="H2536" s="24">
        <v>1</v>
      </c>
      <c r="I2536" s="24">
        <v>0</v>
      </c>
      <c r="J2536" s="23"/>
      <c r="K2536" s="24">
        <v>0</v>
      </c>
      <c r="L253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36" s="22" t="str">
        <f>HYPERLINK("mailto:sruizlemos@crm.otsuka-europe.com", "sruizlemos@crm.otsuka-europe.com")</f>
        <v>sruizlemos@crm.otsuka-europe.com</v>
      </c>
      <c r="N2536" s="25">
        <v>46212.391909722224</v>
      </c>
      <c r="O2536" s="14" t="str">
        <f>HYPERLINK("https://otsuka-europe-crm.veevavault.com/ui/#object/email_activity__v/V8C000000045219", "EN-002103708")</f>
        <v>EN-002103708</v>
      </c>
    </row>
    <row r="2537" spans="1:15" ht="16" x14ac:dyDescent="0.2">
      <c r="A2537" s="19"/>
      <c r="B2537" s="19"/>
      <c r="C2537" s="19"/>
      <c r="D2537" s="19"/>
      <c r="E2537" s="19"/>
      <c r="F2537" s="19"/>
      <c r="G2537" s="19"/>
      <c r="H2537" s="19"/>
      <c r="I2537" s="19"/>
      <c r="J2537" s="19"/>
      <c r="K2537" s="19"/>
      <c r="L2537" s="19"/>
      <c r="M2537" s="19"/>
      <c r="N2537" s="19"/>
      <c r="O2537" s="14" t="str">
        <f>HYPERLINK("https://otsuka-europe-crm.veevavault.com/ui/#object/email_activity__v/V8C000000048301", "EN-002104859")</f>
        <v>EN-002104859</v>
      </c>
    </row>
    <row r="2538" spans="1:15" ht="64" x14ac:dyDescent="0.2">
      <c r="A2538" s="7" t="str">
        <f>HYPERLINK("https://otsuka-europe-crm.veevavault.com/ui/#object/account__v/V4TZ04ASG9RGXKX", "ANDRES LOPEZ MUÑIZ")</f>
        <v>ANDRES LOPEZ MUÑIZ</v>
      </c>
      <c r="B2538" s="7" t="str">
        <f t="shared" ref="B2538:B2544" si="100">HYPERLINK("https://otsuka-europe-crm.veevavault.com/ui/#object/vcountry__v/VENZ000004SONF5", "ES")</f>
        <v>ES</v>
      </c>
      <c r="C2538" s="8" t="s">
        <v>39</v>
      </c>
      <c r="D2538" s="9" t="str">
        <f t="shared" ref="D2538:D2544" si="101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38" s="10" t="str">
        <f>HYPERLINK("https://otsuka-europe-crm.veevavault.com/ui/#object/sent_email__v/VBL000000032268", "SE-001442882")</f>
        <v>SE-001442882</v>
      </c>
      <c r="F2538" s="11"/>
      <c r="G2538" s="12">
        <v>0</v>
      </c>
      <c r="H2538" s="12">
        <v>0</v>
      </c>
      <c r="I2538" s="12">
        <v>0</v>
      </c>
      <c r="J2538" s="11"/>
      <c r="K2538" s="12">
        <v>0</v>
      </c>
      <c r="L2538" s="10" t="str">
        <f t="shared" ref="L2538:L2544" si="102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38" s="10" t="str">
        <f t="shared" ref="M2538:M2544" si="103">HYPERLINK("mailto:sruizlemos@crm.otsuka-europe.com", "sruizlemos@crm.otsuka-europe.com")</f>
        <v>sruizlemos@crm.otsuka-europe.com</v>
      </c>
      <c r="N2538" s="13">
        <v>46212.391909722224</v>
      </c>
      <c r="O2538" s="14" t="str">
        <f>HYPERLINK("https://otsuka-europe-crm.veevavault.com/ui/#object/email_activity__v/V8C000000043941", "EN-002103717")</f>
        <v>EN-002103717</v>
      </c>
    </row>
    <row r="2539" spans="1:15" ht="64" x14ac:dyDescent="0.2">
      <c r="A2539" s="7" t="str">
        <f>HYPERLINK("https://otsuka-europe-crm.veevavault.com/ui/#object/account__v/V4T00000001X197", "ALBA CRISTINA HERRERA BELLO")</f>
        <v>ALBA CRISTINA HERRERA BELLO</v>
      </c>
      <c r="B2539" s="7" t="str">
        <f t="shared" si="100"/>
        <v>ES</v>
      </c>
      <c r="C2539" s="8" t="s">
        <v>39</v>
      </c>
      <c r="D2539" s="9" t="str">
        <f t="shared" si="101"/>
        <v>LUP - VAE Webinar “Lupkynis▼ en la práctica clínica real: más allá de la respuesta renal” - Nefro</v>
      </c>
      <c r="E2539" s="10" t="str">
        <f>HYPERLINK("https://otsuka-europe-crm.veevavault.com/ui/#object/sent_email__v/VBL000000032269", "SE-001442883")</f>
        <v>SE-001442883</v>
      </c>
      <c r="F2539" s="11"/>
      <c r="G2539" s="12">
        <v>0</v>
      </c>
      <c r="H2539" s="12">
        <v>0</v>
      </c>
      <c r="I2539" s="12">
        <v>0</v>
      </c>
      <c r="J2539" s="11"/>
      <c r="K2539" s="12">
        <v>0</v>
      </c>
      <c r="L2539" s="10" t="str">
        <f t="shared" si="102"/>
        <v>LUP - VAE Webinar “Lupkynis▼ en la práctica clínica real: más allá de la respuesta renal” - Nefro</v>
      </c>
      <c r="M2539" s="10" t="str">
        <f t="shared" si="103"/>
        <v>sruizlemos@crm.otsuka-europe.com</v>
      </c>
      <c r="N2539" s="13">
        <v>46212.391909722224</v>
      </c>
      <c r="O2539" s="14" t="str">
        <f>HYPERLINK("https://otsuka-europe-crm.veevavault.com/ui/#object/email_activity__v/V8C000000043933", "EN-002103704")</f>
        <v>EN-002103704</v>
      </c>
    </row>
    <row r="2540" spans="1:15" ht="64" x14ac:dyDescent="0.2">
      <c r="A2540" s="7" t="str">
        <f>HYPERLINK("https://otsuka-europe-crm.veevavault.com/ui/#object/account__v/V4TZ06G6O71T9J2", "JUAN JOSE BRAVO LOPEZ")</f>
        <v>JUAN JOSE BRAVO LOPEZ</v>
      </c>
      <c r="B2540" s="7" t="str">
        <f t="shared" si="100"/>
        <v>ES</v>
      </c>
      <c r="C2540" s="8" t="s">
        <v>39</v>
      </c>
      <c r="D2540" s="9" t="str">
        <f t="shared" si="101"/>
        <v>LUP - VAE Webinar “Lupkynis▼ en la práctica clínica real: más allá de la respuesta renal” - Nefro</v>
      </c>
      <c r="E2540" s="10" t="str">
        <f>HYPERLINK("https://otsuka-europe-crm.veevavault.com/ui/#object/sent_email__v/VBL000000032270", "SE-001442884")</f>
        <v>SE-001442884</v>
      </c>
      <c r="F2540" s="11"/>
      <c r="G2540" s="12">
        <v>0</v>
      </c>
      <c r="H2540" s="12">
        <v>0</v>
      </c>
      <c r="I2540" s="12">
        <v>0</v>
      </c>
      <c r="J2540" s="11"/>
      <c r="K2540" s="12">
        <v>0</v>
      </c>
      <c r="L2540" s="10" t="str">
        <f t="shared" si="102"/>
        <v>LUP - VAE Webinar “Lupkynis▼ en la práctica clínica real: más allá de la respuesta renal” - Nefro</v>
      </c>
      <c r="M2540" s="10" t="str">
        <f t="shared" si="103"/>
        <v>sruizlemos@crm.otsuka-europe.com</v>
      </c>
      <c r="N2540" s="13">
        <v>46212.391944444447</v>
      </c>
      <c r="O2540" s="14" t="str">
        <f>HYPERLINK("https://otsuka-europe-crm.veevavault.com/ui/#object/email_activity__v/V8C000000043928", "EN-002103699")</f>
        <v>EN-002103699</v>
      </c>
    </row>
    <row r="2541" spans="1:15" ht="64" x14ac:dyDescent="0.2">
      <c r="A2541" s="7" t="str">
        <f>HYPERLINK("https://otsuka-europe-crm.veevavault.com/ui/#object/account__v/V4TZ06G6O71T8ZD", "MARIO ALONSO SUAREZ")</f>
        <v>MARIO ALONSO SUAREZ</v>
      </c>
      <c r="B2541" s="7" t="str">
        <f t="shared" si="100"/>
        <v>ES</v>
      </c>
      <c r="C2541" s="8" t="s">
        <v>39</v>
      </c>
      <c r="D2541" s="9" t="str">
        <f t="shared" si="101"/>
        <v>LUP - VAE Webinar “Lupkynis▼ en la práctica clínica real: más allá de la respuesta renal” - Nefro</v>
      </c>
      <c r="E2541" s="10" t="str">
        <f>HYPERLINK("https://otsuka-europe-crm.veevavault.com/ui/#object/sent_email__v/VBL000000032271", "SE-001442885")</f>
        <v>SE-001442885</v>
      </c>
      <c r="F2541" s="11"/>
      <c r="G2541" s="12">
        <v>0</v>
      </c>
      <c r="H2541" s="12">
        <v>0</v>
      </c>
      <c r="I2541" s="12">
        <v>0</v>
      </c>
      <c r="J2541" s="11"/>
      <c r="K2541" s="12">
        <v>0</v>
      </c>
      <c r="L2541" s="10" t="str">
        <f t="shared" si="102"/>
        <v>LUP - VAE Webinar “Lupkynis▼ en la práctica clínica real: más allá de la respuesta renal” - Nefro</v>
      </c>
      <c r="M2541" s="10" t="str">
        <f t="shared" si="103"/>
        <v>sruizlemos@crm.otsuka-europe.com</v>
      </c>
      <c r="N2541" s="13">
        <v>46212.391944444447</v>
      </c>
      <c r="O2541" s="14" t="str">
        <f>HYPERLINK("https://otsuka-europe-crm.veevavault.com/ui/#object/email_activity__v/V8C000000043929", "EN-002103700")</f>
        <v>EN-002103700</v>
      </c>
    </row>
    <row r="2542" spans="1:15" ht="64" x14ac:dyDescent="0.2">
      <c r="A2542" s="7" t="str">
        <f>HYPERLINK("https://otsuka-europe-crm.veevavault.com/ui/#object/account__v/V4TZ06G6O71TAJP", "MARIA JESUS CASTRO VILANOVA")</f>
        <v>MARIA JESUS CASTRO VILANOVA</v>
      </c>
      <c r="B2542" s="7" t="str">
        <f t="shared" si="100"/>
        <v>ES</v>
      </c>
      <c r="C2542" s="8" t="s">
        <v>39</v>
      </c>
      <c r="D2542" s="9" t="str">
        <f t="shared" si="101"/>
        <v>LUP - VAE Webinar “Lupkynis▼ en la práctica clínica real: más allá de la respuesta renal” - Nefro</v>
      </c>
      <c r="E2542" s="10" t="str">
        <f>HYPERLINK("https://otsuka-europe-crm.veevavault.com/ui/#object/sent_email__v/VBL000000032272", "SE-001442886")</f>
        <v>SE-001442886</v>
      </c>
      <c r="F2542" s="11"/>
      <c r="G2542" s="12">
        <v>0</v>
      </c>
      <c r="H2542" s="12">
        <v>0</v>
      </c>
      <c r="I2542" s="12">
        <v>0</v>
      </c>
      <c r="J2542" s="11"/>
      <c r="K2542" s="12">
        <v>0</v>
      </c>
      <c r="L2542" s="10" t="str">
        <f t="shared" si="102"/>
        <v>LUP - VAE Webinar “Lupkynis▼ en la práctica clínica real: más allá de la respuesta renal” - Nefro</v>
      </c>
      <c r="M2542" s="10" t="str">
        <f t="shared" si="103"/>
        <v>sruizlemos@crm.otsuka-europe.com</v>
      </c>
      <c r="N2542" s="13">
        <v>46212.391944444447</v>
      </c>
      <c r="O2542" s="14" t="str">
        <f>HYPERLINK("https://otsuka-europe-crm.veevavault.com/ui/#object/email_activity__v/V8C000000043931", "EN-002103702")</f>
        <v>EN-002103702</v>
      </c>
    </row>
    <row r="2543" spans="1:15" ht="64" x14ac:dyDescent="0.2">
      <c r="A2543" s="7" t="str">
        <f>HYPERLINK("https://otsuka-europe-crm.veevavault.com/ui/#object/account__v/V4TZ06G6O71UQQP", "CATUXA RODRIGUEZ MAGARIÑOS")</f>
        <v>CATUXA RODRIGUEZ MAGARIÑOS</v>
      </c>
      <c r="B2543" s="7" t="str">
        <f t="shared" si="100"/>
        <v>ES</v>
      </c>
      <c r="C2543" s="8" t="s">
        <v>39</v>
      </c>
      <c r="D2543" s="9" t="str">
        <f t="shared" si="101"/>
        <v>LUP - VAE Webinar “Lupkynis▼ en la práctica clínica real: más allá de la respuesta renal” - Nefro</v>
      </c>
      <c r="E2543" s="10" t="str">
        <f>HYPERLINK("https://otsuka-europe-crm.veevavault.com/ui/#object/sent_email__v/VBL000000032273", "SE-001442887")</f>
        <v>SE-001442887</v>
      </c>
      <c r="F2543" s="11"/>
      <c r="G2543" s="12">
        <v>0</v>
      </c>
      <c r="H2543" s="12">
        <v>0</v>
      </c>
      <c r="I2543" s="12">
        <v>0</v>
      </c>
      <c r="J2543" s="11"/>
      <c r="K2543" s="12">
        <v>0</v>
      </c>
      <c r="L2543" s="10" t="str">
        <f t="shared" si="102"/>
        <v>LUP - VAE Webinar “Lupkynis▼ en la práctica clínica real: más allá de la respuesta renal” - Nefro</v>
      </c>
      <c r="M2543" s="10" t="str">
        <f t="shared" si="103"/>
        <v>sruizlemos@crm.otsuka-europe.com</v>
      </c>
      <c r="N2543" s="13">
        <v>46212.391909722224</v>
      </c>
      <c r="O2543" s="14" t="str">
        <f>HYPERLINK("https://otsuka-europe-crm.veevavault.com/ui/#object/email_activity__v/V8C000000043927", "EN-002103698")</f>
        <v>EN-002103698</v>
      </c>
    </row>
    <row r="2544" spans="1:15" ht="16" x14ac:dyDescent="0.2">
      <c r="A2544" s="18" t="str">
        <f>HYPERLINK("https://otsuka-europe-crm.veevavault.com/ui/#object/account__v/V4TZ025E839FOSX", "MARIA JESUS CAMBA CARIDE")</f>
        <v>MARIA JESUS CAMBA CARIDE</v>
      </c>
      <c r="B2544" s="18" t="str">
        <f t="shared" si="100"/>
        <v>ES</v>
      </c>
      <c r="C2544" s="20" t="s">
        <v>39</v>
      </c>
      <c r="D2544" s="21" t="str">
        <f t="shared" si="101"/>
        <v>LUP - VAE Webinar “Lupkynis▼ en la práctica clínica real: más allá de la respuesta renal” - Nefro</v>
      </c>
      <c r="E2544" s="22" t="str">
        <f>HYPERLINK("https://otsuka-europe-crm.veevavault.com/ui/#object/sent_email__v/VBL000000032274", "SE-001442888")</f>
        <v>SE-001442888</v>
      </c>
      <c r="F2544" s="25">
        <v>46212.56621527778</v>
      </c>
      <c r="G2544" s="24">
        <v>1</v>
      </c>
      <c r="H2544" s="24">
        <v>1</v>
      </c>
      <c r="I2544" s="24">
        <v>1</v>
      </c>
      <c r="J2544" s="25">
        <v>46212.56621527778</v>
      </c>
      <c r="K2544" s="24">
        <v>1</v>
      </c>
      <c r="L2544" s="22" t="str">
        <f t="shared" si="102"/>
        <v>LUP - VAE Webinar “Lupkynis▼ en la práctica clínica real: más allá de la respuesta renal” - Nefro</v>
      </c>
      <c r="M2544" s="22" t="str">
        <f t="shared" si="103"/>
        <v>sruizlemos@crm.otsuka-europe.com</v>
      </c>
      <c r="N2544" s="25">
        <v>46212.391909722224</v>
      </c>
      <c r="O2544" s="14" t="str">
        <f>HYPERLINK("https://otsuka-europe-crm.veevavault.com/ui/#object/email_activity__v/V8C000000043940", "EN-002103716")</f>
        <v>EN-002103716</v>
      </c>
    </row>
    <row r="2545" spans="1:15" ht="16" x14ac:dyDescent="0.2">
      <c r="A2545" s="26"/>
      <c r="B2545" s="26"/>
      <c r="C2545" s="26"/>
      <c r="D2545" s="26"/>
      <c r="E2545" s="26"/>
      <c r="F2545" s="26"/>
      <c r="G2545" s="26"/>
      <c r="H2545" s="26"/>
      <c r="I2545" s="26"/>
      <c r="J2545" s="26"/>
      <c r="K2545" s="26"/>
      <c r="L2545" s="26"/>
      <c r="M2545" s="26"/>
      <c r="N2545" s="26"/>
      <c r="O2545" s="14" t="str">
        <f>HYPERLINK("https://otsuka-europe-crm.veevavault.com/ui/#object/email_activity__v/V8C000000046056", "EN-002103944")</f>
        <v>EN-002103944</v>
      </c>
    </row>
    <row r="2546" spans="1:15" ht="16" x14ac:dyDescent="0.2">
      <c r="A2546" s="19"/>
      <c r="B2546" s="19"/>
      <c r="C2546" s="19"/>
      <c r="D2546" s="19"/>
      <c r="E2546" s="19"/>
      <c r="F2546" s="19"/>
      <c r="G2546" s="19"/>
      <c r="H2546" s="19"/>
      <c r="I2546" s="19"/>
      <c r="J2546" s="19"/>
      <c r="K2546" s="19"/>
      <c r="L2546" s="19"/>
      <c r="M2546" s="19"/>
      <c r="N2546" s="19"/>
      <c r="O2546" s="14" t="str">
        <f>HYPERLINK("https://otsuka-europe-crm.veevavault.com/ui/#object/email_activity__v/V8C000000046057", "EN-002103943")</f>
        <v>EN-002103943</v>
      </c>
    </row>
    <row r="2547" spans="1:15" ht="16" x14ac:dyDescent="0.2">
      <c r="A2547" s="18" t="str">
        <f>HYPERLINK("https://otsuka-europe-crm.veevavault.com/ui/#object/account__v/V4TZ06G6O71T9W9", "MARIA INOCENCIA GAGO FRAILE")</f>
        <v>MARIA INOCENCIA GAGO FRAILE</v>
      </c>
      <c r="B2547" s="18" t="str">
        <f>HYPERLINK("https://otsuka-europe-crm.veevavault.com/ui/#object/vcountry__v/VENZ000004SONF5", "ES")</f>
        <v>ES</v>
      </c>
      <c r="C2547" s="20" t="s">
        <v>39</v>
      </c>
      <c r="D254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47" s="22" t="str">
        <f>HYPERLINK("https://otsuka-europe-crm.veevavault.com/ui/#object/sent_email__v/VBL000000032275", "SE-001442889")</f>
        <v>SE-001442889</v>
      </c>
      <c r="F2547" s="23"/>
      <c r="G2547" s="24">
        <v>0</v>
      </c>
      <c r="H2547" s="24">
        <v>0</v>
      </c>
      <c r="I2547" s="24">
        <v>0</v>
      </c>
      <c r="J2547" s="23"/>
      <c r="K2547" s="24">
        <v>0</v>
      </c>
      <c r="L254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47" s="22" t="str">
        <f>HYPERLINK("mailto:sruizlemos@crm.otsuka-europe.com", "sruizlemos@crm.otsuka-europe.com")</f>
        <v>sruizlemos@crm.otsuka-europe.com</v>
      </c>
      <c r="N2547" s="25">
        <v>46212.391909722224</v>
      </c>
      <c r="O2547" s="14" t="str">
        <f>HYPERLINK("https://otsuka-europe-crm.veevavault.com/ui/#object/email_activity__v/V8C000000045218", "EN-002103707")</f>
        <v>EN-002103707</v>
      </c>
    </row>
    <row r="2548" spans="1:15" ht="16" x14ac:dyDescent="0.2">
      <c r="A2548" s="19"/>
      <c r="B2548" s="19"/>
      <c r="C2548" s="19"/>
      <c r="D2548" s="19"/>
      <c r="E2548" s="19"/>
      <c r="F2548" s="19"/>
      <c r="G2548" s="19"/>
      <c r="H2548" s="19"/>
      <c r="I2548" s="19"/>
      <c r="J2548" s="19"/>
      <c r="K2548" s="19"/>
      <c r="L2548" s="19"/>
      <c r="M2548" s="19"/>
      <c r="N2548" s="19"/>
      <c r="O2548" s="14" t="str">
        <f>HYPERLINK("https://otsuka-europe-crm.veevavault.com/ui/#object/email_activity__v/V8C000000047023", "EN-002104194")</f>
        <v>EN-002104194</v>
      </c>
    </row>
    <row r="2549" spans="1:15" ht="64" x14ac:dyDescent="0.2">
      <c r="A2549" s="7" t="str">
        <f>HYPERLINK("https://otsuka-europe-crm.veevavault.com/ui/#object/account__v/V4TZ04ASGB9KHUG", "TERESA CORDAL MARTINEZ")</f>
        <v>TERESA CORDAL MARTINEZ</v>
      </c>
      <c r="B2549" s="7" t="str">
        <f>HYPERLINK("https://otsuka-europe-crm.veevavault.com/ui/#object/vcountry__v/VENZ000004SONF5", "ES")</f>
        <v>ES</v>
      </c>
      <c r="C2549" s="8" t="s">
        <v>39</v>
      </c>
      <c r="D254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49" s="10" t="str">
        <f>HYPERLINK("https://otsuka-europe-crm.veevavault.com/ui/#object/sent_email__v/VBL000000032276", "SE-001442890")</f>
        <v>SE-001442890</v>
      </c>
      <c r="F2549" s="11"/>
      <c r="G2549" s="12">
        <v>0</v>
      </c>
      <c r="H2549" s="12">
        <v>0</v>
      </c>
      <c r="I2549" s="12">
        <v>0</v>
      </c>
      <c r="J2549" s="11"/>
      <c r="K2549" s="12">
        <v>0</v>
      </c>
      <c r="L254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49" s="10" t="str">
        <f>HYPERLINK("mailto:sruizlemos@crm.otsuka-europe.com", "sruizlemos@crm.otsuka-europe.com")</f>
        <v>sruizlemos@crm.otsuka-europe.com</v>
      </c>
      <c r="N2549" s="13">
        <v>46212.391909722224</v>
      </c>
      <c r="O2549" s="14" t="str">
        <f>HYPERLINK("https://otsuka-europe-crm.veevavault.com/ui/#object/email_activity__v/V8C000000045220", "EN-002103709")</f>
        <v>EN-002103709</v>
      </c>
    </row>
    <row r="2550" spans="1:15" ht="16" x14ac:dyDescent="0.2">
      <c r="A2550" s="18" t="str">
        <f>HYPERLINK("https://otsuka-europe-crm.veevavault.com/ui/#object/account__v/V4TZ06G6O71T9HH", "MERCEDES CAO VILARIÑO")</f>
        <v>MERCEDES CAO VILARIÑO</v>
      </c>
      <c r="B2550" s="18" t="str">
        <f>HYPERLINK("https://otsuka-europe-crm.veevavault.com/ui/#object/vcountry__v/VENZ000004SONF5", "ES")</f>
        <v>ES</v>
      </c>
      <c r="C2550" s="20" t="s">
        <v>39</v>
      </c>
      <c r="D25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50" s="22" t="str">
        <f>HYPERLINK("https://otsuka-europe-crm.veevavault.com/ui/#object/sent_email__v/VBL000000032277", "SE-001442891")</f>
        <v>SE-001442891</v>
      </c>
      <c r="F2550" s="25">
        <v>46215.385671296295</v>
      </c>
      <c r="G2550" s="24">
        <v>1</v>
      </c>
      <c r="H2550" s="24">
        <v>1</v>
      </c>
      <c r="I2550" s="24">
        <v>1</v>
      </c>
      <c r="J2550" s="25">
        <v>46215.385671296295</v>
      </c>
      <c r="K2550" s="24">
        <v>1</v>
      </c>
      <c r="L25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50" s="22" t="str">
        <f>HYPERLINK("mailto:sruizlemos@crm.otsuka-europe.com", "sruizlemos@crm.otsuka-europe.com")</f>
        <v>sruizlemos@crm.otsuka-europe.com</v>
      </c>
      <c r="N2550" s="25">
        <v>46212.391909722224</v>
      </c>
      <c r="O2550" s="14" t="str">
        <f>HYPERLINK("https://otsuka-europe-crm.veevavault.com/ui/#object/email_activity__v/V8C000000045221", "EN-002103710")</f>
        <v>EN-002103710</v>
      </c>
    </row>
    <row r="2551" spans="1:15" ht="16" x14ac:dyDescent="0.2">
      <c r="A2551" s="26"/>
      <c r="B2551" s="26"/>
      <c r="C2551" s="26"/>
      <c r="D2551" s="26"/>
      <c r="E2551" s="26"/>
      <c r="F2551" s="26"/>
      <c r="G2551" s="26"/>
      <c r="H2551" s="26"/>
      <c r="I2551" s="26"/>
      <c r="J2551" s="26"/>
      <c r="K2551" s="26"/>
      <c r="L2551" s="26"/>
      <c r="M2551" s="26"/>
      <c r="N2551" s="26"/>
      <c r="O2551" s="14" t="str">
        <f>HYPERLINK("https://otsuka-europe-crm.veevavault.com/ui/#object/email_activity__v/V8C000000049038", "EN-002104945")</f>
        <v>EN-002104945</v>
      </c>
    </row>
    <row r="2552" spans="1:15" ht="16" x14ac:dyDescent="0.2">
      <c r="A2552" s="19"/>
      <c r="B2552" s="19"/>
      <c r="C2552" s="19"/>
      <c r="D2552" s="19"/>
      <c r="E2552" s="19"/>
      <c r="F2552" s="19"/>
      <c r="G2552" s="19"/>
      <c r="H2552" s="19"/>
      <c r="I2552" s="19"/>
      <c r="J2552" s="19"/>
      <c r="K2552" s="19"/>
      <c r="L2552" s="19"/>
      <c r="M2552" s="19"/>
      <c r="N2552" s="19"/>
      <c r="O2552" s="14" t="str">
        <f>HYPERLINK("https://otsuka-europe-crm.veevavault.com/ui/#object/email_activity__v/V8C000000049039", "EN-002104944")</f>
        <v>EN-002104944</v>
      </c>
    </row>
    <row r="2553" spans="1:15" ht="16" x14ac:dyDescent="0.2">
      <c r="A2553" s="18" t="str">
        <f>HYPERLINK("https://otsuka-europe-crm.veevavault.com/ui/#object/account__v/V4TZ06G6O71T8CJ", "ANNA GALLARDO PEREZ")</f>
        <v>ANNA GALLARDO PEREZ</v>
      </c>
      <c r="B2553" s="18" t="str">
        <f>HYPERLINK("https://otsuka-europe-crm.veevavault.com/ui/#object/vcountry__v/VENZ000004SONF5", "ES")</f>
        <v>ES</v>
      </c>
      <c r="C2553" s="20" t="s">
        <v>39</v>
      </c>
      <c r="D255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53" s="22" t="str">
        <f>HYPERLINK("https://otsuka-europe-crm.veevavault.com/ui/#object/sent_email__v/VBL000000032278", "SE-001442892")</f>
        <v>SE-001442892</v>
      </c>
      <c r="F2553" s="25">
        <v>46212.477002314816</v>
      </c>
      <c r="G2553" s="24">
        <v>1</v>
      </c>
      <c r="H2553" s="24">
        <v>2</v>
      </c>
      <c r="I2553" s="24">
        <v>0</v>
      </c>
      <c r="J2553" s="23"/>
      <c r="K2553" s="24">
        <v>0</v>
      </c>
      <c r="L255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53" s="22" t="str">
        <f>HYPERLINK("mailto:sruizlemos@crm.otsuka-europe.com", "sruizlemos@crm.otsuka-europe.com")</f>
        <v>sruizlemos@crm.otsuka-europe.com</v>
      </c>
      <c r="N2553" s="25">
        <v>46212.391898148147</v>
      </c>
      <c r="O2553" s="14" t="str">
        <f>HYPERLINK("https://otsuka-europe-crm.veevavault.com/ui/#object/email_activity__v/V8C000000043922", "EN-002103693")</f>
        <v>EN-002103693</v>
      </c>
    </row>
    <row r="2554" spans="1:15" ht="16" x14ac:dyDescent="0.2">
      <c r="A2554" s="26"/>
      <c r="B2554" s="26"/>
      <c r="C2554" s="26"/>
      <c r="D2554" s="26"/>
      <c r="E2554" s="26"/>
      <c r="F2554" s="26"/>
      <c r="G2554" s="26"/>
      <c r="H2554" s="26"/>
      <c r="I2554" s="26"/>
      <c r="J2554" s="26"/>
      <c r="K2554" s="26"/>
      <c r="L2554" s="26"/>
      <c r="M2554" s="26"/>
      <c r="N2554" s="26"/>
      <c r="O2554" s="14" t="str">
        <f>HYPERLINK("https://otsuka-europe-crm.veevavault.com/ui/#object/email_activity__v/V8C000000045241", "EN-002103773")</f>
        <v>EN-002103773</v>
      </c>
    </row>
    <row r="2555" spans="1:15" ht="16" x14ac:dyDescent="0.2">
      <c r="A2555" s="26"/>
      <c r="B2555" s="26"/>
      <c r="C2555" s="26"/>
      <c r="D2555" s="26"/>
      <c r="E2555" s="26"/>
      <c r="F2555" s="26"/>
      <c r="G2555" s="26"/>
      <c r="H2555" s="26"/>
      <c r="I2555" s="26"/>
      <c r="J2555" s="26"/>
      <c r="K2555" s="26"/>
      <c r="L2555" s="26"/>
      <c r="M2555" s="26"/>
      <c r="N2555" s="26"/>
      <c r="O2555" s="14" t="str">
        <f>HYPERLINK("https://otsuka-europe-crm.veevavault.com/ui/#object/email_activity__v/V8C000000046006", "EN-002103818")</f>
        <v>EN-002103818</v>
      </c>
    </row>
    <row r="2556" spans="1:15" ht="16" x14ac:dyDescent="0.2">
      <c r="A2556" s="19"/>
      <c r="B2556" s="19"/>
      <c r="C2556" s="19"/>
      <c r="D2556" s="19"/>
      <c r="E2556" s="19"/>
      <c r="F2556" s="19"/>
      <c r="G2556" s="19"/>
      <c r="H2556" s="19"/>
      <c r="I2556" s="19"/>
      <c r="J2556" s="19"/>
      <c r="K2556" s="19"/>
      <c r="L2556" s="19"/>
      <c r="M2556" s="19"/>
      <c r="N2556" s="19"/>
      <c r="O2556" s="14" t="str">
        <f>HYPERLINK("https://otsuka-europe-crm.veevavault.com/ui/#object/email_activity__v/V8C000000046086", "EN-002103994")</f>
        <v>EN-002103994</v>
      </c>
    </row>
    <row r="2557" spans="1:15" ht="16" x14ac:dyDescent="0.2">
      <c r="A2557" s="18" t="str">
        <f>HYPERLINK("https://otsuka-europe-crm.veevavault.com/ui/#object/account__v/V4TZ06G6O71T82A", "MARIA CARMEN MERINO BUENO")</f>
        <v>MARIA CARMEN MERINO BUENO</v>
      </c>
      <c r="B2557" s="18" t="str">
        <f>HYPERLINK("https://otsuka-europe-crm.veevavault.com/ui/#object/vcountry__v/VENZ000004SONF5", "ES")</f>
        <v>ES</v>
      </c>
      <c r="C2557" s="20" t="s">
        <v>39</v>
      </c>
      <c r="D255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57" s="22" t="str">
        <f>HYPERLINK("https://otsuka-europe-crm.veevavault.com/ui/#object/sent_email__v/VBL000000032279", "SE-001442893")</f>
        <v>SE-001442893</v>
      </c>
      <c r="F2557" s="25">
        <v>46212.403703703705</v>
      </c>
      <c r="G2557" s="24">
        <v>1</v>
      </c>
      <c r="H2557" s="24">
        <v>2</v>
      </c>
      <c r="I2557" s="24">
        <v>0</v>
      </c>
      <c r="J2557" s="23"/>
      <c r="K2557" s="24">
        <v>0</v>
      </c>
      <c r="L255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57" s="22" t="str">
        <f>HYPERLINK("mailto:sruizlemos@crm.otsuka-europe.com", "sruizlemos@crm.otsuka-europe.com")</f>
        <v>sruizlemos@crm.otsuka-europe.com</v>
      </c>
      <c r="N2557" s="25">
        <v>46212.391898148147</v>
      </c>
      <c r="O2557" s="14" t="str">
        <f>HYPERLINK("https://otsuka-europe-crm.veevavault.com/ui/#object/email_activity__v/V8C000000043921", "EN-002103692")</f>
        <v>EN-002103692</v>
      </c>
    </row>
    <row r="2558" spans="1:15" ht="16" x14ac:dyDescent="0.2">
      <c r="A2558" s="26"/>
      <c r="B2558" s="26"/>
      <c r="C2558" s="26"/>
      <c r="D2558" s="26"/>
      <c r="E2558" s="26"/>
      <c r="F2558" s="26"/>
      <c r="G2558" s="26"/>
      <c r="H2558" s="26"/>
      <c r="I2558" s="26"/>
      <c r="J2558" s="26"/>
      <c r="K2558" s="26"/>
      <c r="L2558" s="26"/>
      <c r="M2558" s="26"/>
      <c r="N2558" s="26"/>
      <c r="O2558" s="14" t="str">
        <f>HYPERLINK("https://otsuka-europe-crm.veevavault.com/ui/#object/email_activity__v/V8C000000043944", "EN-002103720")</f>
        <v>EN-002103720</v>
      </c>
    </row>
    <row r="2559" spans="1:15" ht="16" x14ac:dyDescent="0.2">
      <c r="A2559" s="26"/>
      <c r="B2559" s="26"/>
      <c r="C2559" s="26"/>
      <c r="D2559" s="26"/>
      <c r="E2559" s="26"/>
      <c r="F2559" s="26"/>
      <c r="G2559" s="26"/>
      <c r="H2559" s="26"/>
      <c r="I2559" s="26"/>
      <c r="J2559" s="26"/>
      <c r="K2559" s="26"/>
      <c r="L2559" s="26"/>
      <c r="M2559" s="26"/>
      <c r="N2559" s="26"/>
      <c r="O2559" s="14" t="str">
        <f>HYPERLINK("https://otsuka-europe-crm.veevavault.com/ui/#object/email_activity__v/V8C000000045240", "EN-002103772")</f>
        <v>EN-002103772</v>
      </c>
    </row>
    <row r="2560" spans="1:15" ht="16" x14ac:dyDescent="0.2">
      <c r="A2560" s="26"/>
      <c r="B2560" s="26"/>
      <c r="C2560" s="26"/>
      <c r="D2560" s="26"/>
      <c r="E2560" s="26"/>
      <c r="F2560" s="26"/>
      <c r="G2560" s="26"/>
      <c r="H2560" s="26"/>
      <c r="I2560" s="26"/>
      <c r="J2560" s="26"/>
      <c r="K2560" s="26"/>
      <c r="L2560" s="26"/>
      <c r="M2560" s="26"/>
      <c r="N2560" s="26"/>
      <c r="O2560" s="14" t="str">
        <f>HYPERLINK("https://otsuka-europe-crm.veevavault.com/ui/#object/email_activity__v/V8C000000046177", "EN-002104122")</f>
        <v>EN-002104122</v>
      </c>
    </row>
    <row r="2561" spans="1:15" ht="16" x14ac:dyDescent="0.2">
      <c r="A2561" s="26"/>
      <c r="B2561" s="26"/>
      <c r="C2561" s="26"/>
      <c r="D2561" s="26"/>
      <c r="E2561" s="26"/>
      <c r="F2561" s="26"/>
      <c r="G2561" s="26"/>
      <c r="H2561" s="26"/>
      <c r="I2561" s="26"/>
      <c r="J2561" s="26"/>
      <c r="K2561" s="26"/>
      <c r="L2561" s="26"/>
      <c r="M2561" s="26"/>
      <c r="N2561" s="26"/>
      <c r="O2561" s="14" t="str">
        <f>HYPERLINK("https://otsuka-europe-crm.veevavault.com/ui/#object/email_activity__v/V8C000000047013", "EN-002104179")</f>
        <v>EN-002104179</v>
      </c>
    </row>
    <row r="2562" spans="1:15" ht="16" x14ac:dyDescent="0.2">
      <c r="A2562" s="19"/>
      <c r="B2562" s="19"/>
      <c r="C2562" s="19"/>
      <c r="D2562" s="19"/>
      <c r="E2562" s="19"/>
      <c r="F2562" s="19"/>
      <c r="G2562" s="19"/>
      <c r="H2562" s="19"/>
      <c r="I2562" s="19"/>
      <c r="J2562" s="19"/>
      <c r="K2562" s="19"/>
      <c r="L2562" s="19"/>
      <c r="M2562" s="19"/>
      <c r="N2562" s="19"/>
      <c r="O2562" s="14" t="str">
        <f>HYPERLINK("https://otsuka-europe-crm.veevavault.com/ui/#object/email_activity__v/V8C00000004B288", "EN-002107229")</f>
        <v>EN-002107229</v>
      </c>
    </row>
    <row r="2563" spans="1:15" ht="16" x14ac:dyDescent="0.2">
      <c r="A2563" s="18" t="str">
        <f>HYPERLINK("https://otsuka-europe-crm.veevavault.com/ui/#object/account__v/V4TZ04ASG9GUTYB", "MIRIAM SAMPRON RODRIGUEZ")</f>
        <v>MIRIAM SAMPRON RODRIGUEZ</v>
      </c>
      <c r="B2563" s="18" t="str">
        <f>HYPERLINK("https://otsuka-europe-crm.veevavault.com/ui/#object/vcountry__v/VENZ000004SONF5", "ES")</f>
        <v>ES</v>
      </c>
      <c r="C2563" s="20" t="s">
        <v>39</v>
      </c>
      <c r="D256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63" s="22" t="str">
        <f>HYPERLINK("https://otsuka-europe-crm.veevavault.com/ui/#object/sent_email__v/VBL000000032280", "SE-001442894")</f>
        <v>SE-001442894</v>
      </c>
      <c r="F2563" s="25">
        <v>46212.727002314816</v>
      </c>
      <c r="G2563" s="24">
        <v>1</v>
      </c>
      <c r="H2563" s="24">
        <v>2</v>
      </c>
      <c r="I2563" s="24">
        <v>1</v>
      </c>
      <c r="J2563" s="25">
        <v>46212.727187500001</v>
      </c>
      <c r="K2563" s="24">
        <v>1</v>
      </c>
      <c r="L256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63" s="22" t="str">
        <f>HYPERLINK("mailto:sruizlemos@crm.otsuka-europe.com", "sruizlemos@crm.otsuka-europe.com")</f>
        <v>sruizlemos@crm.otsuka-europe.com</v>
      </c>
      <c r="N2563" s="25">
        <v>46212.391909722224</v>
      </c>
      <c r="O2563" s="14" t="str">
        <f>HYPERLINK("https://otsuka-europe-crm.veevavault.com/ui/#object/email_activity__v/V8C000000043937", "EN-002103713")</f>
        <v>EN-002103713</v>
      </c>
    </row>
    <row r="2564" spans="1:15" ht="16" x14ac:dyDescent="0.2">
      <c r="A2564" s="26"/>
      <c r="B2564" s="26"/>
      <c r="C2564" s="26"/>
      <c r="D2564" s="26"/>
      <c r="E2564" s="26"/>
      <c r="F2564" s="26"/>
      <c r="G2564" s="26"/>
      <c r="H2564" s="26"/>
      <c r="I2564" s="26"/>
      <c r="J2564" s="26"/>
      <c r="K2564" s="26"/>
      <c r="L2564" s="26"/>
      <c r="M2564" s="26"/>
      <c r="N2564" s="26"/>
      <c r="O2564" s="14" t="str">
        <f>HYPERLINK("https://otsuka-europe-crm.veevavault.com/ui/#object/email_activity__v/V8C000000046190", "EN-002104141")</f>
        <v>EN-002104141</v>
      </c>
    </row>
    <row r="2565" spans="1:15" ht="16" x14ac:dyDescent="0.2">
      <c r="A2565" s="26"/>
      <c r="B2565" s="26"/>
      <c r="C2565" s="26"/>
      <c r="D2565" s="26"/>
      <c r="E2565" s="26"/>
      <c r="F2565" s="26"/>
      <c r="G2565" s="26"/>
      <c r="H2565" s="26"/>
      <c r="I2565" s="26"/>
      <c r="J2565" s="26"/>
      <c r="K2565" s="26"/>
      <c r="L2565" s="26"/>
      <c r="M2565" s="26"/>
      <c r="N2565" s="26"/>
      <c r="O2565" s="14" t="str">
        <f>HYPERLINK("https://otsuka-europe-crm.veevavault.com/ui/#object/email_activity__v/V8C000000046191", "EN-002104142")</f>
        <v>EN-002104142</v>
      </c>
    </row>
    <row r="2566" spans="1:15" ht="16" x14ac:dyDescent="0.2">
      <c r="A2566" s="19"/>
      <c r="B2566" s="19"/>
      <c r="C2566" s="19"/>
      <c r="D2566" s="19"/>
      <c r="E2566" s="19"/>
      <c r="F2566" s="19"/>
      <c r="G2566" s="19"/>
      <c r="H2566" s="19"/>
      <c r="I2566" s="19"/>
      <c r="J2566" s="19"/>
      <c r="K2566" s="19"/>
      <c r="L2566" s="19"/>
      <c r="M2566" s="19"/>
      <c r="N2566" s="19"/>
      <c r="O2566" s="14" t="str">
        <f>HYPERLINK("https://otsuka-europe-crm.veevavault.com/ui/#object/email_activity__v/V8C000000046192", "EN-002104143")</f>
        <v>EN-002104143</v>
      </c>
    </row>
    <row r="2567" spans="1:15" ht="64" x14ac:dyDescent="0.2">
      <c r="A2567" s="7" t="str">
        <f>HYPERLINK("https://otsuka-europe-crm.veevavault.com/ui/#object/account__v/V4TZ06G6O9VMEFE", "CARMEN RAQUEL COBELO CASAS")</f>
        <v>CARMEN RAQUEL COBELO CASAS</v>
      </c>
      <c r="B2567" s="7" t="str">
        <f>HYPERLINK("https://otsuka-europe-crm.veevavault.com/ui/#object/vcountry__v/VENZ000004SONF5", "ES")</f>
        <v>ES</v>
      </c>
      <c r="C2567" s="8" t="s">
        <v>39</v>
      </c>
      <c r="D256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67" s="10" t="str">
        <f>HYPERLINK("https://otsuka-europe-crm.veevavault.com/ui/#object/sent_email__v/VBL000000032281", "SE-001442895")</f>
        <v>SE-001442895</v>
      </c>
      <c r="F2567" s="11"/>
      <c r="G2567" s="12">
        <v>0</v>
      </c>
      <c r="H2567" s="12">
        <v>0</v>
      </c>
      <c r="I2567" s="12">
        <v>0</v>
      </c>
      <c r="J2567" s="11"/>
      <c r="K2567" s="12">
        <v>0</v>
      </c>
      <c r="L256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67" s="10" t="str">
        <f>HYPERLINK("mailto:sruizlemos@crm.otsuka-europe.com", "sruizlemos@crm.otsuka-europe.com")</f>
        <v>sruizlemos@crm.otsuka-europe.com</v>
      </c>
      <c r="N2567" s="13">
        <v>46212.391956018517</v>
      </c>
      <c r="O2567" s="14" t="str">
        <f>HYPERLINK("https://otsuka-europe-crm.veevavault.com/ui/#object/email_activity__v/V8C000000043932", "EN-002103703")</f>
        <v>EN-002103703</v>
      </c>
    </row>
    <row r="2568" spans="1:15" ht="64" x14ac:dyDescent="0.2">
      <c r="A2568" s="7" t="str">
        <f>HYPERLINK("https://otsuka-europe-crm.veevavault.com/ui/#object/account__v/V4TZ06G6O71T94B", "MARIA FERNANDA ARROJO ALONSO")</f>
        <v>MARIA FERNANDA ARROJO ALONSO</v>
      </c>
      <c r="B2568" s="7" t="str">
        <f>HYPERLINK("https://otsuka-europe-crm.veevavault.com/ui/#object/vcountry__v/VENZ000004SONF5", "ES")</f>
        <v>ES</v>
      </c>
      <c r="C2568" s="8" t="s">
        <v>39</v>
      </c>
      <c r="D256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68" s="10" t="str">
        <f>HYPERLINK("https://otsuka-europe-crm.veevavault.com/ui/#object/sent_email__v/VBL000000032282", "SE-001442896")</f>
        <v>SE-001442896</v>
      </c>
      <c r="F2568" s="11"/>
      <c r="G2568" s="12">
        <v>0</v>
      </c>
      <c r="H2568" s="12">
        <v>0</v>
      </c>
      <c r="I2568" s="12">
        <v>0</v>
      </c>
      <c r="J2568" s="11"/>
      <c r="K2568" s="12">
        <v>0</v>
      </c>
      <c r="L256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68" s="10" t="str">
        <f>HYPERLINK("mailto:sruizlemos@crm.otsuka-europe.com", "sruizlemos@crm.otsuka-europe.com")</f>
        <v>sruizlemos@crm.otsuka-europe.com</v>
      </c>
      <c r="N2568" s="13">
        <v>46212.391909722224</v>
      </c>
      <c r="O2568" s="14" t="str">
        <f>HYPERLINK("https://otsuka-europe-crm.veevavault.com/ui/#object/email_activity__v/V8C000000043936", "EN-002103712")</f>
        <v>EN-002103712</v>
      </c>
    </row>
    <row r="2569" spans="1:15" ht="16" x14ac:dyDescent="0.2">
      <c r="A2569" s="18" t="str">
        <f>HYPERLINK("https://otsuka-europe-crm.veevavault.com/ui/#object/account__v/V4TZ04ASGFPWDHF", "ANA CRISTINA ANDRADE LOPEZ")</f>
        <v>ANA CRISTINA ANDRADE LOPEZ</v>
      </c>
      <c r="B2569" s="18" t="str">
        <f>HYPERLINK("https://otsuka-europe-crm.veevavault.com/ui/#object/vcountry__v/VENZ000004SONF5", "ES")</f>
        <v>ES</v>
      </c>
      <c r="C2569" s="20" t="s">
        <v>39</v>
      </c>
      <c r="D256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69" s="22" t="str">
        <f>HYPERLINK("https://otsuka-europe-crm.veevavault.com/ui/#object/sent_email__v/VBL000000032283", "SE-001442897")</f>
        <v>SE-001442897</v>
      </c>
      <c r="F2569" s="23"/>
      <c r="G2569" s="24">
        <v>0</v>
      </c>
      <c r="H2569" s="24">
        <v>0</v>
      </c>
      <c r="I2569" s="24">
        <v>0</v>
      </c>
      <c r="J2569" s="23"/>
      <c r="K2569" s="24">
        <v>0</v>
      </c>
      <c r="L256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69" s="22" t="str">
        <f>HYPERLINK("mailto:sruizlemos@crm.otsuka-europe.com", "sruizlemos@crm.otsuka-europe.com")</f>
        <v>sruizlemos@crm.otsuka-europe.com</v>
      </c>
      <c r="N2569" s="25">
        <v>46212.391909722224</v>
      </c>
      <c r="O2569" s="14" t="str">
        <f>HYPERLINK("https://otsuka-europe-crm.veevavault.com/ui/#object/email_activity__v/V8C000000043925", "EN-002103696")</f>
        <v>EN-002103696</v>
      </c>
    </row>
    <row r="2570" spans="1:15" ht="16" x14ac:dyDescent="0.2">
      <c r="A2570" s="19"/>
      <c r="B2570" s="19"/>
      <c r="C2570" s="19"/>
      <c r="D2570" s="19"/>
      <c r="E2570" s="19"/>
      <c r="F2570" s="19"/>
      <c r="G2570" s="19"/>
      <c r="H2570" s="19"/>
      <c r="I2570" s="19"/>
      <c r="J2570" s="19"/>
      <c r="K2570" s="19"/>
      <c r="L2570" s="19"/>
      <c r="M2570" s="19"/>
      <c r="N2570" s="19"/>
      <c r="O2570" s="14" t="str">
        <f>HYPERLINK("https://otsuka-europe-crm.veevavault.com/ui/#object/email_activity__v/V8C00000004H107", "EN-002111132")</f>
        <v>EN-002111132</v>
      </c>
    </row>
    <row r="2571" spans="1:15" ht="16" x14ac:dyDescent="0.2">
      <c r="A2571" s="18" t="str">
        <f>HYPERLINK("https://otsuka-europe-crm.veevavault.com/ui/#object/account__v/V4TZ06G6O71TJWD", "LEONARDO ALCURIA LEDO")</f>
        <v>LEONARDO ALCURIA LEDO</v>
      </c>
      <c r="B2571" s="18" t="str">
        <f>HYPERLINK("https://otsuka-europe-crm.veevavault.com/ui/#object/vcountry__v/VENZ000004SONF5", "ES")</f>
        <v>ES</v>
      </c>
      <c r="C2571" s="20" t="s">
        <v>39</v>
      </c>
      <c r="D257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571" s="22" t="str">
        <f>HYPERLINK("https://otsuka-europe-crm.veevavault.com/ui/#object/sent_email__v/VBL000000032284", "SE-001442898")</f>
        <v>SE-001442898</v>
      </c>
      <c r="F2571" s="25">
        <v>46214.515879629631</v>
      </c>
      <c r="G2571" s="24">
        <v>1</v>
      </c>
      <c r="H2571" s="24">
        <v>2</v>
      </c>
      <c r="I2571" s="24">
        <v>0</v>
      </c>
      <c r="J2571" s="23"/>
      <c r="K2571" s="24">
        <v>0</v>
      </c>
      <c r="L257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571" s="22" t="str">
        <f>HYPERLINK("mailto:sruizlemos@crm.otsuka-europe.com", "sruizlemos@crm.otsuka-europe.com")</f>
        <v>sruizlemos@crm.otsuka-europe.com</v>
      </c>
      <c r="N2571" s="25">
        <v>46212.391909722224</v>
      </c>
      <c r="O2571" s="14" t="str">
        <f>HYPERLINK("https://otsuka-europe-crm.veevavault.com/ui/#object/email_activity__v/V8C000000043924", "EN-002103695")</f>
        <v>EN-002103695</v>
      </c>
    </row>
    <row r="2572" spans="1:15" ht="16" x14ac:dyDescent="0.2">
      <c r="A2572" s="26"/>
      <c r="B2572" s="26"/>
      <c r="C2572" s="26"/>
      <c r="D2572" s="26"/>
      <c r="E2572" s="26"/>
      <c r="F2572" s="26"/>
      <c r="G2572" s="26"/>
      <c r="H2572" s="26"/>
      <c r="I2572" s="26"/>
      <c r="J2572" s="26"/>
      <c r="K2572" s="26"/>
      <c r="L2572" s="26"/>
      <c r="M2572" s="26"/>
      <c r="N2572" s="26"/>
      <c r="O2572" s="14" t="str">
        <f>HYPERLINK("https://otsuka-europe-crm.veevavault.com/ui/#object/email_activity__v/V8C000000045310", "EN-002103904")</f>
        <v>EN-002103904</v>
      </c>
    </row>
    <row r="2573" spans="1:15" ht="16" x14ac:dyDescent="0.2">
      <c r="A2573" s="19"/>
      <c r="B2573" s="19"/>
      <c r="C2573" s="19"/>
      <c r="D2573" s="19"/>
      <c r="E2573" s="19"/>
      <c r="F2573" s="19"/>
      <c r="G2573" s="19"/>
      <c r="H2573" s="19"/>
      <c r="I2573" s="19"/>
      <c r="J2573" s="19"/>
      <c r="K2573" s="19"/>
      <c r="L2573" s="19"/>
      <c r="M2573" s="19"/>
      <c r="N2573" s="19"/>
      <c r="O2573" s="14" t="str">
        <f>HYPERLINK("https://otsuka-europe-crm.veevavault.com/ui/#object/email_activity__v/V8C00000004A016", "EN-002104900")</f>
        <v>EN-002104900</v>
      </c>
    </row>
    <row r="2574" spans="1:15" ht="16" x14ac:dyDescent="0.2">
      <c r="A2574" s="18" t="str">
        <f>HYPERLINK("https://otsuka-europe-crm.veevavault.com/ui/#object/account__v/V4TZ04ASGBJAG5W", "JOSE ANTONIO FERNANDEZ SANCHEZ")</f>
        <v>JOSE ANTONIO FERNANDEZ SANCHEZ</v>
      </c>
      <c r="B2574" s="18" t="str">
        <f>HYPERLINK("https://otsuka-europe-crm.veevavault.com/ui/#object/vcountry__v/VENZ000004SONF5", "ES")</f>
        <v>ES</v>
      </c>
      <c r="C2574" s="20" t="s">
        <v>39</v>
      </c>
      <c r="D257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74" s="22" t="str">
        <f>HYPERLINK("https://otsuka-europe-crm.veevavault.com/ui/#object/sent_email__v/VBL000000034493", "SE-001442899")</f>
        <v>SE-001442899</v>
      </c>
      <c r="F2574" s="25">
        <v>46212.608078703706</v>
      </c>
      <c r="G2574" s="24">
        <v>1</v>
      </c>
      <c r="H2574" s="24">
        <v>1</v>
      </c>
      <c r="I2574" s="24">
        <v>0</v>
      </c>
      <c r="J2574" s="23"/>
      <c r="K2574" s="24">
        <v>0</v>
      </c>
      <c r="L257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74" s="22" t="str">
        <f>HYPERLINK("mailto:sruizlemos@crm.otsuka-europe.com", "sruizlemos@crm.otsuka-europe.com")</f>
        <v>sruizlemos@crm.otsuka-europe.com</v>
      </c>
      <c r="N2574" s="25">
        <v>46212.39434027778</v>
      </c>
      <c r="O2574" s="14" t="str">
        <f>HYPERLINK("https://otsuka-europe-crm.veevavault.com/ui/#object/email_activity__v/V8C000000043950", "EN-002103737")</f>
        <v>EN-002103737</v>
      </c>
    </row>
    <row r="2575" spans="1:15" ht="16" x14ac:dyDescent="0.2">
      <c r="A2575" s="19"/>
      <c r="B2575" s="19"/>
      <c r="C2575" s="19"/>
      <c r="D2575" s="19"/>
      <c r="E2575" s="19"/>
      <c r="F2575" s="19"/>
      <c r="G2575" s="19"/>
      <c r="H2575" s="19"/>
      <c r="I2575" s="19"/>
      <c r="J2575" s="19"/>
      <c r="K2575" s="19"/>
      <c r="L2575" s="19"/>
      <c r="M2575" s="19"/>
      <c r="N2575" s="19"/>
      <c r="O2575" s="14" t="str">
        <f>HYPERLINK("https://otsuka-europe-crm.veevavault.com/ui/#object/email_activity__v/V8C000000046067", "EN-002103957")</f>
        <v>EN-002103957</v>
      </c>
    </row>
    <row r="2576" spans="1:15" ht="64" x14ac:dyDescent="0.2">
      <c r="A2576" s="7" t="str">
        <f>HYPERLINK("https://otsuka-europe-crm.veevavault.com/ui/#object/account__v/V4TZ04ASGEIBSGY", "DIANA SUEIRO DELGADO")</f>
        <v>DIANA SUEIRO DELGADO</v>
      </c>
      <c r="B2576" s="7" t="str">
        <f>HYPERLINK("https://otsuka-europe-crm.veevavault.com/ui/#object/vcountry__v/VENZ000004SONF5", "ES")</f>
        <v>ES</v>
      </c>
      <c r="C2576" s="8" t="s">
        <v>39</v>
      </c>
      <c r="D257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76" s="10" t="str">
        <f>HYPERLINK("https://otsuka-europe-crm.veevavault.com/ui/#object/sent_email__v/VBL000000034494", "SE-001442900")</f>
        <v>SE-001442900</v>
      </c>
      <c r="F2576" s="11"/>
      <c r="G2576" s="12">
        <v>0</v>
      </c>
      <c r="H2576" s="12">
        <v>0</v>
      </c>
      <c r="I2576" s="12">
        <v>0</v>
      </c>
      <c r="J2576" s="11"/>
      <c r="K2576" s="12">
        <v>0</v>
      </c>
      <c r="L257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76" s="10" t="str">
        <f>HYPERLINK("mailto:sruizlemos@crm.otsuka-europe.com", "sruizlemos@crm.otsuka-europe.com")</f>
        <v>sruizlemos@crm.otsuka-europe.com</v>
      </c>
      <c r="N2576" s="13">
        <v>46212.39434027778</v>
      </c>
      <c r="O2576" s="14" t="str">
        <f>HYPERLINK("https://otsuka-europe-crm.veevavault.com/ui/#object/email_activity__v/V8C000000045226", "EN-002103724")</f>
        <v>EN-002103724</v>
      </c>
    </row>
    <row r="2577" spans="1:15" ht="16" x14ac:dyDescent="0.2">
      <c r="A2577" s="18" t="str">
        <f>HYPERLINK("https://otsuka-europe-crm.veevavault.com/ui/#object/account__v/V4TZ04ASGB4OD4A", "EVELIN CECILIA CERVANTES PEREZ")</f>
        <v>EVELIN CECILIA CERVANTES PEREZ</v>
      </c>
      <c r="B2577" s="18" t="str">
        <f>HYPERLINK("https://otsuka-europe-crm.veevavault.com/ui/#object/vcountry__v/VENZ000004SONF5", "ES")</f>
        <v>ES</v>
      </c>
      <c r="C2577" s="20" t="s">
        <v>39</v>
      </c>
      <c r="D257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77" s="22" t="str">
        <f>HYPERLINK("https://otsuka-europe-crm.veevavault.com/ui/#object/sent_email__v/VBL000000034495", "SE-001442901")</f>
        <v>SE-001442901</v>
      </c>
      <c r="F2577" s="25">
        <v>46212.412083333336</v>
      </c>
      <c r="G2577" s="24">
        <v>1</v>
      </c>
      <c r="H2577" s="24">
        <v>1</v>
      </c>
      <c r="I2577" s="24">
        <v>0</v>
      </c>
      <c r="J2577" s="23"/>
      <c r="K2577" s="24">
        <v>0</v>
      </c>
      <c r="L257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77" s="22" t="str">
        <f>HYPERLINK("mailto:sruizlemos@crm.otsuka-europe.com", "sruizlemos@crm.otsuka-europe.com")</f>
        <v>sruizlemos@crm.otsuka-europe.com</v>
      </c>
      <c r="N2577" s="25">
        <v>46212.39434027778</v>
      </c>
      <c r="O2577" s="14" t="str">
        <f>HYPERLINK("https://otsuka-europe-crm.veevavault.com/ui/#object/email_activity__v/V8C000000043956", "EN-002103743")</f>
        <v>EN-002103743</v>
      </c>
    </row>
    <row r="2578" spans="1:15" ht="16" x14ac:dyDescent="0.2">
      <c r="A2578" s="26"/>
      <c r="B2578" s="26"/>
      <c r="C2578" s="26"/>
      <c r="D2578" s="26"/>
      <c r="E2578" s="26"/>
      <c r="F2578" s="26"/>
      <c r="G2578" s="26"/>
      <c r="H2578" s="26"/>
      <c r="I2578" s="26"/>
      <c r="J2578" s="26"/>
      <c r="K2578" s="26"/>
      <c r="L2578" s="26"/>
      <c r="M2578" s="26"/>
      <c r="N2578" s="26"/>
      <c r="O2578" s="14" t="str">
        <f>HYPERLINK("https://otsuka-europe-crm.veevavault.com/ui/#object/email_activity__v/V8C000000043984", "EN-002103780")</f>
        <v>EN-002103780</v>
      </c>
    </row>
    <row r="2579" spans="1:15" ht="16" x14ac:dyDescent="0.2">
      <c r="A2579" s="19"/>
      <c r="B2579" s="19"/>
      <c r="C2579" s="19"/>
      <c r="D2579" s="19"/>
      <c r="E2579" s="19"/>
      <c r="F2579" s="19"/>
      <c r="G2579" s="19"/>
      <c r="H2579" s="19"/>
      <c r="I2579" s="19"/>
      <c r="J2579" s="19"/>
      <c r="K2579" s="19"/>
      <c r="L2579" s="19"/>
      <c r="M2579" s="19"/>
      <c r="N2579" s="19"/>
      <c r="O2579" s="14" t="str">
        <f>HYPERLINK("https://otsuka-europe-crm.veevavault.com/ui/#object/email_activity__v/V8C000000043987", "EN-002103784")</f>
        <v>EN-002103784</v>
      </c>
    </row>
    <row r="2580" spans="1:15" ht="64" x14ac:dyDescent="0.2">
      <c r="A2580" s="7" t="str">
        <f>HYPERLINK("https://otsuka-europe-crm.veevavault.com/ui/#object/account__v/V4TZ04ASGBJGXZW", "MARIA NOELIA ALVAREZ RIVAS")</f>
        <v>MARIA NOELIA ALVAREZ RIVAS</v>
      </c>
      <c r="B2580" s="7" t="str">
        <f t="shared" ref="B2580:B2586" si="104">HYPERLINK("https://otsuka-europe-crm.veevavault.com/ui/#object/vcountry__v/VENZ000004SONF5", "ES")</f>
        <v>ES</v>
      </c>
      <c r="C2580" s="8" t="s">
        <v>39</v>
      </c>
      <c r="D2580" s="9" t="str">
        <f t="shared" ref="D2580:D2586" si="105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80" s="10" t="str">
        <f>HYPERLINK("https://otsuka-europe-crm.veevavault.com/ui/#object/sent_email__v/VBL000000034496", "SE-001442902")</f>
        <v>SE-001442902</v>
      </c>
      <c r="F2580" s="11"/>
      <c r="G2580" s="12">
        <v>0</v>
      </c>
      <c r="H2580" s="12">
        <v>0</v>
      </c>
      <c r="I2580" s="12">
        <v>0</v>
      </c>
      <c r="J2580" s="11"/>
      <c r="K2580" s="12">
        <v>0</v>
      </c>
      <c r="L2580" s="10" t="str">
        <f t="shared" ref="L2580:L2586" si="106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80" s="10" t="str">
        <f t="shared" ref="M2580:M2586" si="107">HYPERLINK("mailto:sruizlemos@crm.otsuka-europe.com", "sruizlemos@crm.otsuka-europe.com")</f>
        <v>sruizlemos@crm.otsuka-europe.com</v>
      </c>
      <c r="N2580" s="13">
        <v>46212.394328703704</v>
      </c>
      <c r="O2580" s="14" t="str">
        <f>HYPERLINK("https://otsuka-europe-crm.veevavault.com/ui/#object/email_activity__v/V8C000000043949", "EN-002103736")</f>
        <v>EN-002103736</v>
      </c>
    </row>
    <row r="2581" spans="1:15" ht="64" x14ac:dyDescent="0.2">
      <c r="A2581" s="7" t="str">
        <f>HYPERLINK("https://otsuka-europe-crm.veevavault.com/ui/#object/account__v/V4TZ025E892ZD0T", "JOSE LUIS PUGA GUZMAN")</f>
        <v>JOSE LUIS PUGA GUZMAN</v>
      </c>
      <c r="B2581" s="7" t="str">
        <f t="shared" si="104"/>
        <v>ES</v>
      </c>
      <c r="C2581" s="8" t="s">
        <v>39</v>
      </c>
      <c r="D2581" s="9" t="str">
        <f t="shared" si="105"/>
        <v>LUP - VAE Webinar “Lupkynis▼ en la práctica clínica real: más allá de la respuesta renal” - Reuma</v>
      </c>
      <c r="E2581" s="10" t="str">
        <f>HYPERLINK("https://otsuka-europe-crm.veevavault.com/ui/#object/sent_email__v/VBL000000034497", "SE-001442903")</f>
        <v>SE-001442903</v>
      </c>
      <c r="F2581" s="11"/>
      <c r="G2581" s="12">
        <v>0</v>
      </c>
      <c r="H2581" s="12">
        <v>0</v>
      </c>
      <c r="I2581" s="12">
        <v>0</v>
      </c>
      <c r="J2581" s="11"/>
      <c r="K2581" s="12">
        <v>0</v>
      </c>
      <c r="L2581" s="10" t="str">
        <f t="shared" si="106"/>
        <v>LUP - VAE Webinar “Lupkynis▼ en la práctica clínica real: más allá de la respuesta renal” - Reuma</v>
      </c>
      <c r="M2581" s="10" t="str">
        <f t="shared" si="107"/>
        <v>sruizlemos@crm.otsuka-europe.com</v>
      </c>
      <c r="N2581" s="13">
        <v>46212.394328703704</v>
      </c>
      <c r="O2581" s="14" t="str">
        <f>HYPERLINK("https://otsuka-europe-crm.veevavault.com/ui/#object/email_activity__v/V8C000000043947", "EN-002103729")</f>
        <v>EN-002103729</v>
      </c>
    </row>
    <row r="2582" spans="1:15" ht="64" x14ac:dyDescent="0.2">
      <c r="A2582" s="7" t="str">
        <f>HYPERLINK("https://otsuka-europe-crm.veevavault.com/ui/#object/account__v/V4TZ04ASGBNRXQU", "LAURA LOSADA ARES")</f>
        <v>LAURA LOSADA ARES</v>
      </c>
      <c r="B2582" s="7" t="str">
        <f t="shared" si="104"/>
        <v>ES</v>
      </c>
      <c r="C2582" s="8" t="s">
        <v>39</v>
      </c>
      <c r="D2582" s="9" t="str">
        <f t="shared" si="105"/>
        <v>LUP - VAE Webinar “Lupkynis▼ en la práctica clínica real: más allá de la respuesta renal” - Reuma</v>
      </c>
      <c r="E2582" s="10" t="str">
        <f>HYPERLINK("https://otsuka-europe-crm.veevavault.com/ui/#object/sent_email__v/VBL000000034498", "SE-001442904")</f>
        <v>SE-001442904</v>
      </c>
      <c r="F2582" s="11"/>
      <c r="G2582" s="12">
        <v>0</v>
      </c>
      <c r="H2582" s="12">
        <v>0</v>
      </c>
      <c r="I2582" s="12">
        <v>0</v>
      </c>
      <c r="J2582" s="11"/>
      <c r="K2582" s="12">
        <v>0</v>
      </c>
      <c r="L2582" s="10" t="str">
        <f t="shared" si="106"/>
        <v>LUP - VAE Webinar “Lupkynis▼ en la práctica clínica real: más allá de la respuesta renal” - Reuma</v>
      </c>
      <c r="M2582" s="10" t="str">
        <f t="shared" si="107"/>
        <v>sruizlemos@crm.otsuka-europe.com</v>
      </c>
      <c r="N2582" s="13">
        <v>46212.394328703704</v>
      </c>
      <c r="O2582" s="14" t="str">
        <f>HYPERLINK("https://otsuka-europe-crm.veevavault.com/ui/#object/email_activity__v/V8C000000045225", "EN-002103723")</f>
        <v>EN-002103723</v>
      </c>
    </row>
    <row r="2583" spans="1:15" ht="64" x14ac:dyDescent="0.2">
      <c r="A2583" s="7" t="str">
        <f>HYPERLINK("https://otsuka-europe-crm.veevavault.com/ui/#object/account__v/V4TZ04ASGB02ECU", "CARLOS GARCIA PORRUA")</f>
        <v>CARLOS GARCIA PORRUA</v>
      </c>
      <c r="B2583" s="7" t="str">
        <f t="shared" si="104"/>
        <v>ES</v>
      </c>
      <c r="C2583" s="8" t="s">
        <v>39</v>
      </c>
      <c r="D2583" s="9" t="str">
        <f t="shared" si="105"/>
        <v>LUP - VAE Webinar “Lupkynis▼ en la práctica clínica real: más allá de la respuesta renal” - Reuma</v>
      </c>
      <c r="E2583" s="10" t="str">
        <f>HYPERLINK("https://otsuka-europe-crm.veevavault.com/ui/#object/sent_email__v/VBL000000034499", "SE-001442905")</f>
        <v>SE-001442905</v>
      </c>
      <c r="F2583" s="11"/>
      <c r="G2583" s="12">
        <v>0</v>
      </c>
      <c r="H2583" s="12">
        <v>0</v>
      </c>
      <c r="I2583" s="12">
        <v>0</v>
      </c>
      <c r="J2583" s="11"/>
      <c r="K2583" s="12">
        <v>0</v>
      </c>
      <c r="L2583" s="10" t="str">
        <f t="shared" si="106"/>
        <v>LUP - VAE Webinar “Lupkynis▼ en la práctica clínica real: más allá de la respuesta renal” - Reuma</v>
      </c>
      <c r="M2583" s="10" t="str">
        <f t="shared" si="107"/>
        <v>sruizlemos@crm.otsuka-europe.com</v>
      </c>
      <c r="N2583" s="13">
        <v>46212.394328703704</v>
      </c>
      <c r="O2583" s="14" t="str">
        <f>HYPERLINK("https://otsuka-europe-crm.veevavault.com/ui/#object/email_activity__v/V8C000000043962", "EN-002103751")</f>
        <v>EN-002103751</v>
      </c>
    </row>
    <row r="2584" spans="1:15" ht="64" x14ac:dyDescent="0.2">
      <c r="A2584" s="7" t="str">
        <f>HYPERLINK("https://otsuka-europe-crm.veevavault.com/ui/#object/account__v/V4TZ06G6O9VLUMW", "JOSE MARIA PEGO REIGOSA")</f>
        <v>JOSE MARIA PEGO REIGOSA</v>
      </c>
      <c r="B2584" s="7" t="str">
        <f t="shared" si="104"/>
        <v>ES</v>
      </c>
      <c r="C2584" s="8" t="s">
        <v>39</v>
      </c>
      <c r="D2584" s="9" t="str">
        <f t="shared" si="105"/>
        <v>LUP - VAE Webinar “Lupkynis▼ en la práctica clínica real: más allá de la respuesta renal” - Reuma</v>
      </c>
      <c r="E2584" s="10" t="str">
        <f>HYPERLINK("https://otsuka-europe-crm.veevavault.com/ui/#object/sent_email__v/VBL000000034500", "SE-001442906")</f>
        <v>SE-001442906</v>
      </c>
      <c r="F2584" s="11"/>
      <c r="G2584" s="12">
        <v>0</v>
      </c>
      <c r="H2584" s="12">
        <v>0</v>
      </c>
      <c r="I2584" s="12">
        <v>0</v>
      </c>
      <c r="J2584" s="11"/>
      <c r="K2584" s="12">
        <v>0</v>
      </c>
      <c r="L2584" s="10" t="str">
        <f t="shared" si="106"/>
        <v>LUP - VAE Webinar “Lupkynis▼ en la práctica clínica real: más allá de la respuesta renal” - Reuma</v>
      </c>
      <c r="M2584" s="10" t="str">
        <f t="shared" si="107"/>
        <v>sruizlemos@crm.otsuka-europe.com</v>
      </c>
      <c r="N2584" s="13">
        <v>46212.39434027778</v>
      </c>
      <c r="O2584" s="14" t="str">
        <f>HYPERLINK("https://otsuka-europe-crm.veevavault.com/ui/#object/email_activity__v/V8C000000043961", "EN-002103750")</f>
        <v>EN-002103750</v>
      </c>
    </row>
    <row r="2585" spans="1:15" ht="64" x14ac:dyDescent="0.2">
      <c r="A2585" s="7" t="str">
        <f>HYPERLINK("https://otsuka-europe-crm.veevavault.com/ui/#object/account__v/V4TZ04ASGAAEB1O", "MARIA MERCEDES FREIRE GONZALEZ")</f>
        <v>MARIA MERCEDES FREIRE GONZALEZ</v>
      </c>
      <c r="B2585" s="7" t="str">
        <f t="shared" si="104"/>
        <v>ES</v>
      </c>
      <c r="C2585" s="8" t="s">
        <v>39</v>
      </c>
      <c r="D2585" s="9" t="str">
        <f t="shared" si="105"/>
        <v>LUP - VAE Webinar “Lupkynis▼ en la práctica clínica real: más allá de la respuesta renal” - Reuma</v>
      </c>
      <c r="E2585" s="10" t="str">
        <f>HYPERLINK("https://otsuka-europe-crm.veevavault.com/ui/#object/sent_email__v/VBL000000034501", "SE-001442907")</f>
        <v>SE-001442907</v>
      </c>
      <c r="F2585" s="11"/>
      <c r="G2585" s="12">
        <v>0</v>
      </c>
      <c r="H2585" s="12">
        <v>0</v>
      </c>
      <c r="I2585" s="12">
        <v>0</v>
      </c>
      <c r="J2585" s="11"/>
      <c r="K2585" s="12">
        <v>0</v>
      </c>
      <c r="L2585" s="10" t="str">
        <f t="shared" si="106"/>
        <v>LUP - VAE Webinar “Lupkynis▼ en la práctica clínica real: más allá de la respuesta renal” - Reuma</v>
      </c>
      <c r="M2585" s="10" t="str">
        <f t="shared" si="107"/>
        <v>sruizlemos@crm.otsuka-europe.com</v>
      </c>
      <c r="N2585" s="13">
        <v>46212.39434027778</v>
      </c>
      <c r="O2585" s="14" t="str">
        <f>HYPERLINK("https://otsuka-europe-crm.veevavault.com/ui/#object/email_activity__v/V8C000000043965", "EN-002103754")</f>
        <v>EN-002103754</v>
      </c>
    </row>
    <row r="2586" spans="1:15" ht="16" x14ac:dyDescent="0.2">
      <c r="A2586" s="18" t="str">
        <f>HYPERLINK("https://otsuka-europe-crm.veevavault.com/ui/#object/account__v/V4TZ04ASGBUDA4X", "GUILLERMO GONZALEZ ARRIBAS")</f>
        <v>GUILLERMO GONZALEZ ARRIBAS</v>
      </c>
      <c r="B2586" s="18" t="str">
        <f t="shared" si="104"/>
        <v>ES</v>
      </c>
      <c r="C2586" s="20" t="s">
        <v>39</v>
      </c>
      <c r="D2586" s="21" t="str">
        <f t="shared" si="105"/>
        <v>LUP - VAE Webinar “Lupkynis▼ en la práctica clínica real: más allá de la respuesta renal” - Reuma</v>
      </c>
      <c r="E2586" s="22" t="str">
        <f>HYPERLINK("https://otsuka-europe-crm.veevavault.com/ui/#object/sent_email__v/VBL000000034502", "SE-001442908")</f>
        <v>SE-001442908</v>
      </c>
      <c r="F2586" s="23"/>
      <c r="G2586" s="24">
        <v>0</v>
      </c>
      <c r="H2586" s="24">
        <v>0</v>
      </c>
      <c r="I2586" s="24">
        <v>0</v>
      </c>
      <c r="J2586" s="23"/>
      <c r="K2586" s="24">
        <v>0</v>
      </c>
      <c r="L2586" s="22" t="str">
        <f t="shared" si="106"/>
        <v>LUP - VAE Webinar “Lupkynis▼ en la práctica clínica real: más allá de la respuesta renal” - Reuma</v>
      </c>
      <c r="M2586" s="22" t="str">
        <f t="shared" si="107"/>
        <v>sruizlemos@crm.otsuka-europe.com</v>
      </c>
      <c r="N2586" s="25">
        <v>46212.39434027778</v>
      </c>
      <c r="O2586" s="14" t="str">
        <f>HYPERLINK("https://otsuka-europe-crm.veevavault.com/ui/#object/email_activity__v/V8C000000043960", "EN-002103749")</f>
        <v>EN-002103749</v>
      </c>
    </row>
    <row r="2587" spans="1:15" ht="16" x14ac:dyDescent="0.2">
      <c r="A2587" s="26"/>
      <c r="B2587" s="26"/>
      <c r="C2587" s="26"/>
      <c r="D2587" s="26"/>
      <c r="E2587" s="26"/>
      <c r="F2587" s="26"/>
      <c r="G2587" s="26"/>
      <c r="H2587" s="26"/>
      <c r="I2587" s="26"/>
      <c r="J2587" s="26"/>
      <c r="K2587" s="26"/>
      <c r="L2587" s="26"/>
      <c r="M2587" s="26"/>
      <c r="N2587" s="26"/>
      <c r="O2587" s="14" t="str">
        <f>HYPERLINK("https://otsuka-europe-crm.veevavault.com/ui/#object/email_activity__v/V8C000000045350", "EN-002103980")</f>
        <v>EN-002103980</v>
      </c>
    </row>
    <row r="2588" spans="1:15" ht="16" x14ac:dyDescent="0.2">
      <c r="A2588" s="19"/>
      <c r="B2588" s="19"/>
      <c r="C2588" s="19"/>
      <c r="D2588" s="19"/>
      <c r="E2588" s="19"/>
      <c r="F2588" s="19"/>
      <c r="G2588" s="19"/>
      <c r="H2588" s="19"/>
      <c r="I2588" s="19"/>
      <c r="J2588" s="19"/>
      <c r="K2588" s="19"/>
      <c r="L2588" s="19"/>
      <c r="M2588" s="19"/>
      <c r="N2588" s="19"/>
      <c r="O2588" s="14" t="str">
        <f>HYPERLINK("https://otsuka-europe-crm.veevavault.com/ui/#object/email_activity__v/V8C000000046005", "EN-002103816")</f>
        <v>EN-002103816</v>
      </c>
    </row>
    <row r="2589" spans="1:15" ht="64" x14ac:dyDescent="0.2">
      <c r="A2589" s="7" t="str">
        <f>HYPERLINK("https://otsuka-europe-crm.veevavault.com/ui/#object/account__v/V4TZ04ASGBNRXOL", "TOMAS RAMON VAZQUEZ RODRIGUEZ")</f>
        <v>TOMAS RAMON VAZQUEZ RODRIGUEZ</v>
      </c>
      <c r="B2589" s="7" t="str">
        <f>HYPERLINK("https://otsuka-europe-crm.veevavault.com/ui/#object/vcountry__v/VENZ000004SONF5", "ES")</f>
        <v>ES</v>
      </c>
      <c r="C2589" s="8" t="s">
        <v>39</v>
      </c>
      <c r="D258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89" s="10" t="str">
        <f>HYPERLINK("https://otsuka-europe-crm.veevavault.com/ui/#object/sent_email__v/VBL000000034503", "SE-001442909")</f>
        <v>SE-001442909</v>
      </c>
      <c r="F2589" s="11"/>
      <c r="G2589" s="12">
        <v>0</v>
      </c>
      <c r="H2589" s="12">
        <v>0</v>
      </c>
      <c r="I2589" s="12">
        <v>0</v>
      </c>
      <c r="J2589" s="11"/>
      <c r="K2589" s="12">
        <v>0</v>
      </c>
      <c r="L258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89" s="10" t="str">
        <f>HYPERLINK("mailto:sruizlemos@crm.otsuka-europe.com", "sruizlemos@crm.otsuka-europe.com")</f>
        <v>sruizlemos@crm.otsuka-europe.com</v>
      </c>
      <c r="N2589" s="13">
        <v>46212.39434027778</v>
      </c>
      <c r="O2589" s="14" t="str">
        <f>HYPERLINK("https://otsuka-europe-crm.veevavault.com/ui/#object/email_activity__v/V8C000000045235", "EN-002103746")</f>
        <v>EN-002103746</v>
      </c>
    </row>
    <row r="2590" spans="1:15" ht="16" x14ac:dyDescent="0.2">
      <c r="A2590" s="18" t="str">
        <f>HYPERLINK("https://otsuka-europe-crm.veevavault.com/ui/#object/account__v/V4TZ025E88U1FO6", "ALBA MATA OJEROS")</f>
        <v>ALBA MATA OJEROS</v>
      </c>
      <c r="B2590" s="18" t="str">
        <f>HYPERLINK("https://otsuka-europe-crm.veevavault.com/ui/#object/vcountry__v/VENZ000004SONF5", "ES")</f>
        <v>ES</v>
      </c>
      <c r="C2590" s="20" t="s">
        <v>39</v>
      </c>
      <c r="D259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90" s="22" t="str">
        <f>HYPERLINK("https://otsuka-europe-crm.veevavault.com/ui/#object/sent_email__v/VBL000000034504", "SE-001442910")</f>
        <v>SE-001442910</v>
      </c>
      <c r="F2590" s="25">
        <v>46219.752268518518</v>
      </c>
      <c r="G2590" s="24">
        <v>1</v>
      </c>
      <c r="H2590" s="24">
        <v>4</v>
      </c>
      <c r="I2590" s="24">
        <v>1</v>
      </c>
      <c r="J2590" s="25">
        <v>46212.666516203702</v>
      </c>
      <c r="K2590" s="24">
        <v>1</v>
      </c>
      <c r="L259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90" s="22" t="str">
        <f>HYPERLINK("mailto:sruizlemos@crm.otsuka-europe.com", "sruizlemos@crm.otsuka-europe.com")</f>
        <v>sruizlemos@crm.otsuka-europe.com</v>
      </c>
      <c r="N2590" s="25">
        <v>46212.39434027778</v>
      </c>
      <c r="O2590" s="14" t="str">
        <f>HYPERLINK("https://otsuka-europe-crm.veevavault.com/ui/#object/email_activity__v/V8C000000045224", "EN-002103722")</f>
        <v>EN-002103722</v>
      </c>
    </row>
    <row r="2591" spans="1:15" ht="16" x14ac:dyDescent="0.2">
      <c r="A2591" s="26"/>
      <c r="B2591" s="26"/>
      <c r="C2591" s="26"/>
      <c r="D2591" s="26"/>
      <c r="E2591" s="26"/>
      <c r="F2591" s="26"/>
      <c r="G2591" s="26"/>
      <c r="H2591" s="26"/>
      <c r="I2591" s="26"/>
      <c r="J2591" s="26"/>
      <c r="K2591" s="26"/>
      <c r="L2591" s="26"/>
      <c r="M2591" s="26"/>
      <c r="N2591" s="26"/>
      <c r="O2591" s="14" t="str">
        <f>HYPERLINK("https://otsuka-europe-crm.veevavault.com/ui/#object/email_activity__v/V8C000000045351", "EN-002103984")</f>
        <v>EN-002103984</v>
      </c>
    </row>
    <row r="2592" spans="1:15" ht="16" x14ac:dyDescent="0.2">
      <c r="A2592" s="26"/>
      <c r="B2592" s="26"/>
      <c r="C2592" s="26"/>
      <c r="D2592" s="26"/>
      <c r="E2592" s="26"/>
      <c r="F2592" s="26"/>
      <c r="G2592" s="26"/>
      <c r="H2592" s="26"/>
      <c r="I2592" s="26"/>
      <c r="J2592" s="26"/>
      <c r="K2592" s="26"/>
      <c r="L2592" s="26"/>
      <c r="M2592" s="26"/>
      <c r="N2592" s="26"/>
      <c r="O2592" s="14" t="str">
        <f>HYPERLINK("https://otsuka-europe-crm.veevavault.com/ui/#object/email_activity__v/V8C000000045352", "EN-002103985")</f>
        <v>EN-002103985</v>
      </c>
    </row>
    <row r="2593" spans="1:15" ht="16" x14ac:dyDescent="0.2">
      <c r="A2593" s="26"/>
      <c r="B2593" s="26"/>
      <c r="C2593" s="26"/>
      <c r="D2593" s="26"/>
      <c r="E2593" s="26"/>
      <c r="F2593" s="26"/>
      <c r="G2593" s="26"/>
      <c r="H2593" s="26"/>
      <c r="I2593" s="26"/>
      <c r="J2593" s="26"/>
      <c r="K2593" s="26"/>
      <c r="L2593" s="26"/>
      <c r="M2593" s="26"/>
      <c r="N2593" s="26"/>
      <c r="O2593" s="14" t="str">
        <f>HYPERLINK("https://otsuka-europe-crm.veevavault.com/ui/#object/email_activity__v/V8C000000045353", "EN-002103986")</f>
        <v>EN-002103986</v>
      </c>
    </row>
    <row r="2594" spans="1:15" ht="16" x14ac:dyDescent="0.2">
      <c r="A2594" s="26"/>
      <c r="B2594" s="26"/>
      <c r="C2594" s="26"/>
      <c r="D2594" s="26"/>
      <c r="E2594" s="26"/>
      <c r="F2594" s="26"/>
      <c r="G2594" s="26"/>
      <c r="H2594" s="26"/>
      <c r="I2594" s="26"/>
      <c r="J2594" s="26"/>
      <c r="K2594" s="26"/>
      <c r="L2594" s="26"/>
      <c r="M2594" s="26"/>
      <c r="N2594" s="26"/>
      <c r="O2594" s="14" t="str">
        <f>HYPERLINK("https://otsuka-europe-crm.veevavault.com/ui/#object/email_activity__v/V8C000000046082", "EN-002103983")</f>
        <v>EN-002103983</v>
      </c>
    </row>
    <row r="2595" spans="1:15" ht="16" x14ac:dyDescent="0.2">
      <c r="A2595" s="26"/>
      <c r="B2595" s="26"/>
      <c r="C2595" s="26"/>
      <c r="D2595" s="26"/>
      <c r="E2595" s="26"/>
      <c r="F2595" s="26"/>
      <c r="G2595" s="26"/>
      <c r="H2595" s="26"/>
      <c r="I2595" s="26"/>
      <c r="J2595" s="26"/>
      <c r="K2595" s="26"/>
      <c r="L2595" s="26"/>
      <c r="M2595" s="26"/>
      <c r="N2595" s="26"/>
      <c r="O2595" s="14" t="str">
        <f>HYPERLINK("https://otsuka-europe-crm.veevavault.com/ui/#object/email_activity__v/V8C000000047393", "EN-002104852")</f>
        <v>EN-002104852</v>
      </c>
    </row>
    <row r="2596" spans="1:15" ht="16" x14ac:dyDescent="0.2">
      <c r="A2596" s="26"/>
      <c r="B2596" s="26"/>
      <c r="C2596" s="26"/>
      <c r="D2596" s="26"/>
      <c r="E2596" s="26"/>
      <c r="F2596" s="26"/>
      <c r="G2596" s="26"/>
      <c r="H2596" s="26"/>
      <c r="I2596" s="26"/>
      <c r="J2596" s="26"/>
      <c r="K2596" s="26"/>
      <c r="L2596" s="26"/>
      <c r="M2596" s="26"/>
      <c r="N2596" s="26"/>
      <c r="O2596" s="14" t="str">
        <f>HYPERLINK("https://otsuka-europe-crm.veevavault.com/ui/#object/email_activity__v/V8C00000004A936", "EN-002106728")</f>
        <v>EN-002106728</v>
      </c>
    </row>
    <row r="2597" spans="1:15" ht="16" x14ac:dyDescent="0.2">
      <c r="A2597" s="19"/>
      <c r="B2597" s="19"/>
      <c r="C2597" s="19"/>
      <c r="D2597" s="19"/>
      <c r="E2597" s="19"/>
      <c r="F2597" s="19"/>
      <c r="G2597" s="19"/>
      <c r="H2597" s="19"/>
      <c r="I2597" s="19"/>
      <c r="J2597" s="19"/>
      <c r="K2597" s="19"/>
      <c r="L2597" s="19"/>
      <c r="M2597" s="19"/>
      <c r="N2597" s="19"/>
      <c r="O2597" s="14" t="str">
        <f>HYPERLINK("https://otsuka-europe-crm.veevavault.com/ui/#object/email_activity__v/V8C00000004A937", "EN-002106729")</f>
        <v>EN-002106729</v>
      </c>
    </row>
    <row r="2598" spans="1:15" ht="64" x14ac:dyDescent="0.2">
      <c r="A2598" s="7" t="str">
        <f>HYPERLINK("https://otsuka-europe-crm.veevavault.com/ui/#object/account__v/V4TZ025E84CYES4", "MARIA CAEIRO AGUADO")</f>
        <v>MARIA CAEIRO AGUADO</v>
      </c>
      <c r="B2598" s="7" t="str">
        <f>HYPERLINK("https://otsuka-europe-crm.veevavault.com/ui/#object/vcountry__v/VENZ000004SONF5", "ES")</f>
        <v>ES</v>
      </c>
      <c r="C2598" s="8" t="s">
        <v>39</v>
      </c>
      <c r="D259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98" s="10" t="str">
        <f>HYPERLINK("https://otsuka-europe-crm.veevavault.com/ui/#object/sent_email__v/VBL000000034505", "SE-001442911")</f>
        <v>SE-001442911</v>
      </c>
      <c r="F2598" s="11"/>
      <c r="G2598" s="12">
        <v>0</v>
      </c>
      <c r="H2598" s="12">
        <v>0</v>
      </c>
      <c r="I2598" s="12">
        <v>0</v>
      </c>
      <c r="J2598" s="11"/>
      <c r="K2598" s="12">
        <v>0</v>
      </c>
      <c r="L259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98" s="10" t="str">
        <f>HYPERLINK("mailto:sruizlemos@crm.otsuka-europe.com", "sruizlemos@crm.otsuka-europe.com")</f>
        <v>sruizlemos@crm.otsuka-europe.com</v>
      </c>
      <c r="N2598" s="13">
        <v>46212.39434027778</v>
      </c>
      <c r="O2598" s="14" t="str">
        <f>HYPERLINK("https://otsuka-europe-crm.veevavault.com/ui/#object/email_activity__v/V8C000000045234", "EN-002103745")</f>
        <v>EN-002103745</v>
      </c>
    </row>
    <row r="2599" spans="1:15" ht="16" x14ac:dyDescent="0.2">
      <c r="A2599" s="18" t="str">
        <f>HYPERLINK("https://otsuka-europe-crm.veevavault.com/ui/#object/account__v/V4TZ04ASG9B6Q3C", "SARA GARCIA PEREZ")</f>
        <v>SARA GARCIA PEREZ</v>
      </c>
      <c r="B2599" s="18" t="str">
        <f>HYPERLINK("https://otsuka-europe-crm.veevavault.com/ui/#object/vcountry__v/VENZ000004SONF5", "ES")</f>
        <v>ES</v>
      </c>
      <c r="C2599" s="20" t="s">
        <v>39</v>
      </c>
      <c r="D259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599" s="22" t="str">
        <f>HYPERLINK("https://otsuka-europe-crm.veevavault.com/ui/#object/sent_email__v/VBL000000034506", "SE-001442912")</f>
        <v>SE-001442912</v>
      </c>
      <c r="F2599" s="25">
        <v>46218.845509259256</v>
      </c>
      <c r="G2599" s="24">
        <v>1</v>
      </c>
      <c r="H2599" s="24">
        <v>2</v>
      </c>
      <c r="I2599" s="24">
        <v>0</v>
      </c>
      <c r="J2599" s="23"/>
      <c r="K2599" s="24">
        <v>0</v>
      </c>
      <c r="L259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599" s="22" t="str">
        <f>HYPERLINK("mailto:sruizlemos@crm.otsuka-europe.com", "sruizlemos@crm.otsuka-europe.com")</f>
        <v>sruizlemos@crm.otsuka-europe.com</v>
      </c>
      <c r="N2599" s="25">
        <v>46212.39434027778</v>
      </c>
      <c r="O2599" s="14" t="str">
        <f>HYPERLINK("https://otsuka-europe-crm.veevavault.com/ui/#object/email_activity__v/V8C000000043952", "EN-002103739")</f>
        <v>EN-002103739</v>
      </c>
    </row>
    <row r="2600" spans="1:15" ht="16" x14ac:dyDescent="0.2">
      <c r="A2600" s="26"/>
      <c r="B2600" s="26"/>
      <c r="C2600" s="26"/>
      <c r="D2600" s="26"/>
      <c r="E2600" s="26"/>
      <c r="F2600" s="26"/>
      <c r="G2600" s="26"/>
      <c r="H2600" s="26"/>
      <c r="I2600" s="26"/>
      <c r="J2600" s="26"/>
      <c r="K2600" s="26"/>
      <c r="L2600" s="26"/>
      <c r="M2600" s="26"/>
      <c r="N2600" s="26"/>
      <c r="O2600" s="14" t="str">
        <f>HYPERLINK("https://otsuka-europe-crm.veevavault.com/ui/#object/email_activity__v/V8C000000043966", "EN-002103756")</f>
        <v>EN-002103756</v>
      </c>
    </row>
    <row r="2601" spans="1:15" ht="16" x14ac:dyDescent="0.2">
      <c r="A2601" s="19"/>
      <c r="B2601" s="19"/>
      <c r="C2601" s="19"/>
      <c r="D2601" s="19"/>
      <c r="E2601" s="19"/>
      <c r="F2601" s="19"/>
      <c r="G2601" s="19"/>
      <c r="H2601" s="19"/>
      <c r="I2601" s="19"/>
      <c r="J2601" s="19"/>
      <c r="K2601" s="19"/>
      <c r="L2601" s="19"/>
      <c r="M2601" s="19"/>
      <c r="N2601" s="19"/>
      <c r="O2601" s="14" t="str">
        <f>HYPERLINK("https://otsuka-europe-crm.veevavault.com/ui/#object/email_activity__v/V8C00000004A812", "EN-002106507")</f>
        <v>EN-002106507</v>
      </c>
    </row>
    <row r="2602" spans="1:15" ht="64" x14ac:dyDescent="0.2">
      <c r="A2602" s="7" t="str">
        <f>HYPERLINK("https://otsuka-europe-crm.veevavault.com/ui/#object/account__v/V4TZ025E8703YAV", "CARMEN ALVAREZ REGUERA")</f>
        <v>CARMEN ALVAREZ REGUERA</v>
      </c>
      <c r="B2602" s="7" t="str">
        <f>HYPERLINK("https://otsuka-europe-crm.veevavault.com/ui/#object/vcountry__v/VENZ000004SONF5", "ES")</f>
        <v>ES</v>
      </c>
      <c r="C2602" s="8" t="s">
        <v>39</v>
      </c>
      <c r="D260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02" s="10" t="str">
        <f>HYPERLINK("https://otsuka-europe-crm.veevavault.com/ui/#object/sent_email__v/VBL000000034507", "SE-001442913")</f>
        <v>SE-001442913</v>
      </c>
      <c r="F2602" s="11"/>
      <c r="G2602" s="12">
        <v>0</v>
      </c>
      <c r="H2602" s="12">
        <v>0</v>
      </c>
      <c r="I2602" s="12">
        <v>0</v>
      </c>
      <c r="J2602" s="11"/>
      <c r="K2602" s="12">
        <v>0</v>
      </c>
      <c r="L260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02" s="10" t="str">
        <f>HYPERLINK("mailto:sruizlemos@crm.otsuka-europe.com", "sruizlemos@crm.otsuka-europe.com")</f>
        <v>sruizlemos@crm.otsuka-europe.com</v>
      </c>
      <c r="N2602" s="13">
        <v>46212.39434027778</v>
      </c>
      <c r="O2602" s="14" t="str">
        <f>HYPERLINK("https://otsuka-europe-crm.veevavault.com/ui/#object/email_activity__v/V8C000000045227", "EN-002103725")</f>
        <v>EN-002103725</v>
      </c>
    </row>
    <row r="2603" spans="1:15" ht="64" x14ac:dyDescent="0.2">
      <c r="A2603" s="7" t="str">
        <f>HYPERLINK("https://otsuka-europe-crm.veevavault.com/ui/#object/account__v/V4TZ04ASGBU4XCQ", "MARISOL GONZALEZ PEREZ")</f>
        <v>MARISOL GONZALEZ PEREZ</v>
      </c>
      <c r="B2603" s="7" t="str">
        <f>HYPERLINK("https://otsuka-europe-crm.veevavault.com/ui/#object/vcountry__v/VENZ000004SONF5", "ES")</f>
        <v>ES</v>
      </c>
      <c r="C2603" s="8" t="s">
        <v>39</v>
      </c>
      <c r="D260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03" s="10" t="str">
        <f>HYPERLINK("https://otsuka-europe-crm.veevavault.com/ui/#object/sent_email__v/VBL000000034508", "SE-001442914")</f>
        <v>SE-001442914</v>
      </c>
      <c r="F2603" s="11"/>
      <c r="G2603" s="12">
        <v>0</v>
      </c>
      <c r="H2603" s="12">
        <v>0</v>
      </c>
      <c r="I2603" s="12">
        <v>0</v>
      </c>
      <c r="J2603" s="11"/>
      <c r="K2603" s="12">
        <v>0</v>
      </c>
      <c r="L260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03" s="10" t="str">
        <f>HYPERLINK("mailto:sruizlemos@crm.otsuka-europe.com", "sruizlemos@crm.otsuka-europe.com")</f>
        <v>sruizlemos@crm.otsuka-europe.com</v>
      </c>
      <c r="N2603" s="13">
        <v>46212.39434027778</v>
      </c>
      <c r="O2603" s="14" t="str">
        <f>HYPERLINK("https://otsuka-europe-crm.veevavault.com/ui/#object/email_activity__v/V8C000000043948", "EN-002103730")</f>
        <v>EN-002103730</v>
      </c>
    </row>
    <row r="2604" spans="1:15" ht="16" x14ac:dyDescent="0.2">
      <c r="A2604" s="18" t="str">
        <f>HYPERLINK("https://otsuka-europe-crm.veevavault.com/ui/#object/account__v/V4TZ04ASGE05PUE", "RAFAEL BENITO MELERO GONZALEZ")</f>
        <v>RAFAEL BENITO MELERO GONZALEZ</v>
      </c>
      <c r="B2604" s="18" t="str">
        <f>HYPERLINK("https://otsuka-europe-crm.veevavault.com/ui/#object/vcountry__v/VENZ000004SONF5", "ES")</f>
        <v>ES</v>
      </c>
      <c r="C2604" s="20" t="s">
        <v>39</v>
      </c>
      <c r="D260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04" s="22" t="str">
        <f>HYPERLINK("https://otsuka-europe-crm.veevavault.com/ui/#object/sent_email__v/VBL000000034509", "SE-001442915")</f>
        <v>SE-001442915</v>
      </c>
      <c r="F2604" s="25">
        <v>46216.587569444448</v>
      </c>
      <c r="G2604" s="24">
        <v>1</v>
      </c>
      <c r="H2604" s="24">
        <v>1</v>
      </c>
      <c r="I2604" s="24">
        <v>0</v>
      </c>
      <c r="J2604" s="23"/>
      <c r="K2604" s="24">
        <v>0</v>
      </c>
      <c r="L260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04" s="22" t="str">
        <f>HYPERLINK("mailto:sruizlemos@crm.otsuka-europe.com", "sruizlemos@crm.otsuka-europe.com")</f>
        <v>sruizlemos@crm.otsuka-europe.com</v>
      </c>
      <c r="N2604" s="25">
        <v>46212.39434027778</v>
      </c>
      <c r="O2604" s="14" t="str">
        <f>HYPERLINK("https://otsuka-europe-crm.veevavault.com/ui/#object/email_activity__v/V8C000000043964", "EN-002103753")</f>
        <v>EN-002103753</v>
      </c>
    </row>
    <row r="2605" spans="1:15" ht="16" x14ac:dyDescent="0.2">
      <c r="A2605" s="19"/>
      <c r="B2605" s="19"/>
      <c r="C2605" s="19"/>
      <c r="D2605" s="19"/>
      <c r="E2605" s="19"/>
      <c r="F2605" s="19"/>
      <c r="G2605" s="19"/>
      <c r="H2605" s="19"/>
      <c r="I2605" s="19"/>
      <c r="J2605" s="19"/>
      <c r="K2605" s="19"/>
      <c r="L2605" s="19"/>
      <c r="M2605" s="19"/>
      <c r="N2605" s="19"/>
      <c r="O2605" s="14" t="str">
        <f>HYPERLINK("https://otsuka-europe-crm.veevavault.com/ui/#object/email_activity__v/V8C000000049358", "EN-002105520")</f>
        <v>EN-002105520</v>
      </c>
    </row>
    <row r="2606" spans="1:15" ht="64" x14ac:dyDescent="0.2">
      <c r="A2606" s="7" t="str">
        <f>HYPERLINK("https://otsuka-europe-crm.veevavault.com/ui/#object/account__v/V4TZ025E88SV6GA", "NOELIA CABALEIRO RAÑA")</f>
        <v>NOELIA CABALEIRO RAÑA</v>
      </c>
      <c r="B2606" s="7" t="str">
        <f>HYPERLINK("https://otsuka-europe-crm.veevavault.com/ui/#object/vcountry__v/VENZ000004SONF5", "ES")</f>
        <v>ES</v>
      </c>
      <c r="C2606" s="8" t="s">
        <v>39</v>
      </c>
      <c r="D260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06" s="10" t="str">
        <f>HYPERLINK("https://otsuka-europe-crm.veevavault.com/ui/#object/sent_email__v/VBL000000034510", "SE-001442916")</f>
        <v>SE-001442916</v>
      </c>
      <c r="F2606" s="11"/>
      <c r="G2606" s="12">
        <v>0</v>
      </c>
      <c r="H2606" s="12">
        <v>0</v>
      </c>
      <c r="I2606" s="12">
        <v>0</v>
      </c>
      <c r="J2606" s="11"/>
      <c r="K2606" s="12">
        <v>0</v>
      </c>
      <c r="L260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06" s="10" t="str">
        <f>HYPERLINK("mailto:sruizlemos@crm.otsuka-europe.com", "sruizlemos@crm.otsuka-europe.com")</f>
        <v>sruizlemos@crm.otsuka-europe.com</v>
      </c>
      <c r="N2606" s="13">
        <v>46212.394328703704</v>
      </c>
      <c r="O2606" s="14" t="str">
        <f>HYPERLINK("https://otsuka-europe-crm.veevavault.com/ui/#object/email_activity__v/V8C000000043946", "EN-002103728")</f>
        <v>EN-002103728</v>
      </c>
    </row>
    <row r="2607" spans="1:15" ht="64" x14ac:dyDescent="0.2">
      <c r="A2607" s="7" t="str">
        <f>HYPERLINK("https://otsuka-europe-crm.veevavault.com/ui/#object/account__v/V4TZ04ASGB4ODCH", "MARINA RODRIGUEZ LOPEZ")</f>
        <v>MARINA RODRIGUEZ LOPEZ</v>
      </c>
      <c r="B2607" s="7" t="str">
        <f>HYPERLINK("https://otsuka-europe-crm.veevavault.com/ui/#object/vcountry__v/VENZ000004SONF5", "ES")</f>
        <v>ES</v>
      </c>
      <c r="C2607" s="8" t="s">
        <v>39</v>
      </c>
      <c r="D260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07" s="10" t="str">
        <f>HYPERLINK("https://otsuka-europe-crm.veevavault.com/ui/#object/sent_email__v/VBL000000034511", "SE-001442917")</f>
        <v>SE-001442917</v>
      </c>
      <c r="F2607" s="11"/>
      <c r="G2607" s="12">
        <v>0</v>
      </c>
      <c r="H2607" s="12">
        <v>0</v>
      </c>
      <c r="I2607" s="12">
        <v>0</v>
      </c>
      <c r="J2607" s="11"/>
      <c r="K2607" s="12">
        <v>0</v>
      </c>
      <c r="L260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07" s="10" t="str">
        <f>HYPERLINK("mailto:sruizlemos@crm.otsuka-europe.com", "sruizlemos@crm.otsuka-europe.com")</f>
        <v>sruizlemos@crm.otsuka-europe.com</v>
      </c>
      <c r="N2607" s="13">
        <v>46212.394328703704</v>
      </c>
      <c r="O2607" s="14" t="str">
        <f>HYPERLINK("https://otsuka-europe-crm.veevavault.com/ui/#object/email_activity__v/V8C000000045233", "EN-002103735")</f>
        <v>EN-002103735</v>
      </c>
    </row>
    <row r="2608" spans="1:15" ht="16" x14ac:dyDescent="0.2">
      <c r="A2608" s="18" t="str">
        <f>HYPERLINK("https://otsuka-europe-crm.veevavault.com/ui/#object/account__v/V4TZ04ASGGI4H7U", "NAIR PEREZ GOMEZ")</f>
        <v>NAIR PEREZ GOMEZ</v>
      </c>
      <c r="B2608" s="18" t="str">
        <f>HYPERLINK("https://otsuka-europe-crm.veevavault.com/ui/#object/vcountry__v/VENZ000004SONF5", "ES")</f>
        <v>ES</v>
      </c>
      <c r="C2608" s="20" t="s">
        <v>39</v>
      </c>
      <c r="D260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08" s="22" t="str">
        <f>HYPERLINK("https://otsuka-europe-crm.veevavault.com/ui/#object/sent_email__v/VBL000000034512", "SE-001442918")</f>
        <v>SE-001442918</v>
      </c>
      <c r="F2608" s="25">
        <v>46214.44358796296</v>
      </c>
      <c r="G2608" s="24">
        <v>1</v>
      </c>
      <c r="H2608" s="24">
        <v>1</v>
      </c>
      <c r="I2608" s="24">
        <v>0</v>
      </c>
      <c r="J2608" s="23"/>
      <c r="K2608" s="24">
        <v>0</v>
      </c>
      <c r="L260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08" s="22" t="str">
        <f>HYPERLINK("mailto:sruizlemos@crm.otsuka-europe.com", "sruizlemos@crm.otsuka-europe.com")</f>
        <v>sruizlemos@crm.otsuka-europe.com</v>
      </c>
      <c r="N2608" s="25">
        <v>46212.394328703704</v>
      </c>
      <c r="O2608" s="14" t="str">
        <f>HYPERLINK("https://otsuka-europe-crm.veevavault.com/ui/#object/email_activity__v/V8C000000043945", "EN-002103727")</f>
        <v>EN-002103727</v>
      </c>
    </row>
    <row r="2609" spans="1:15" ht="16" x14ac:dyDescent="0.2">
      <c r="A2609" s="19"/>
      <c r="B2609" s="19"/>
      <c r="C2609" s="19"/>
      <c r="D2609" s="19"/>
      <c r="E2609" s="19"/>
      <c r="F2609" s="19"/>
      <c r="G2609" s="19"/>
      <c r="H2609" s="19"/>
      <c r="I2609" s="19"/>
      <c r="J2609" s="19"/>
      <c r="K2609" s="19"/>
      <c r="L2609" s="19"/>
      <c r="M2609" s="19"/>
      <c r="N2609" s="19"/>
      <c r="O2609" s="14" t="str">
        <f>HYPERLINK("https://otsuka-europe-crm.veevavault.com/ui/#object/email_activity__v/V8C00000004A015", "EN-002104898")</f>
        <v>EN-002104898</v>
      </c>
    </row>
    <row r="2610" spans="1:15" ht="64" x14ac:dyDescent="0.2">
      <c r="A2610" s="7" t="str">
        <f>HYPERLINK("https://otsuka-europe-crm.veevavault.com/ui/#object/account__v/V4TZ04ASGBNRXNT", "MARIA ANGELES HERNANDEZ DEL RIO")</f>
        <v>MARIA ANGELES HERNANDEZ DEL RIO</v>
      </c>
      <c r="B2610" s="7" t="str">
        <f>HYPERLINK("https://otsuka-europe-crm.veevavault.com/ui/#object/vcountry__v/VENZ000004SONF5", "ES")</f>
        <v>ES</v>
      </c>
      <c r="C2610" s="8" t="s">
        <v>39</v>
      </c>
      <c r="D261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10" s="10" t="str">
        <f>HYPERLINK("https://otsuka-europe-crm.veevavault.com/ui/#object/sent_email__v/VBL000000034513", "SE-001442919")</f>
        <v>SE-001442919</v>
      </c>
      <c r="F2610" s="11"/>
      <c r="G2610" s="12">
        <v>0</v>
      </c>
      <c r="H2610" s="12">
        <v>0</v>
      </c>
      <c r="I2610" s="12">
        <v>0</v>
      </c>
      <c r="J2610" s="11"/>
      <c r="K2610" s="12">
        <v>0</v>
      </c>
      <c r="L261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10" s="10" t="str">
        <f>HYPERLINK("mailto:sruizlemos@crm.otsuka-europe.com", "sruizlemos@crm.otsuka-europe.com")</f>
        <v>sruizlemos@crm.otsuka-europe.com</v>
      </c>
      <c r="N2610" s="13">
        <v>46212.394328703704</v>
      </c>
      <c r="O2610" s="14" t="str">
        <f>HYPERLINK("https://otsuka-europe-crm.veevavault.com/ui/#object/email_activity__v/V8C000000045230", "EN-002103732")</f>
        <v>EN-002103732</v>
      </c>
    </row>
    <row r="2611" spans="1:15" ht="16" x14ac:dyDescent="0.2">
      <c r="A2611" s="18" t="str">
        <f>HYPERLINK("https://otsuka-europe-crm.veevavault.com/ui/#object/account__v/V4TZ04ASGBJAJHN", "BEATRIZ ARCA BARCA")</f>
        <v>BEATRIZ ARCA BARCA</v>
      </c>
      <c r="B2611" s="18" t="str">
        <f>HYPERLINK("https://otsuka-europe-crm.veevavault.com/ui/#object/vcountry__v/VENZ000004SONF5", "ES")</f>
        <v>ES</v>
      </c>
      <c r="C2611" s="20" t="s">
        <v>39</v>
      </c>
      <c r="D261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11" s="22" t="str">
        <f>HYPERLINK("https://otsuka-europe-crm.veevavault.com/ui/#object/sent_email__v/VBL000000034514", "SE-001442920")</f>
        <v>SE-001442920</v>
      </c>
      <c r="F2611" s="25">
        <v>46212.446064814816</v>
      </c>
      <c r="G2611" s="24">
        <v>1</v>
      </c>
      <c r="H2611" s="24">
        <v>1</v>
      </c>
      <c r="I2611" s="24">
        <v>0</v>
      </c>
      <c r="J2611" s="23"/>
      <c r="K2611" s="24">
        <v>0</v>
      </c>
      <c r="L261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11" s="22" t="str">
        <f>HYPERLINK("mailto:sruizlemos@crm.otsuka-europe.com", "sruizlemos@crm.otsuka-europe.com")</f>
        <v>sruizlemos@crm.otsuka-europe.com</v>
      </c>
      <c r="N2611" s="25">
        <v>46212.394328703704</v>
      </c>
      <c r="O2611" s="14" t="str">
        <f>HYPERLINK("https://otsuka-europe-crm.veevavault.com/ui/#object/email_activity__v/V8C000000045229", "EN-002103731")</f>
        <v>EN-002103731</v>
      </c>
    </row>
    <row r="2612" spans="1:15" ht="16" x14ac:dyDescent="0.2">
      <c r="A2612" s="19"/>
      <c r="B2612" s="19"/>
      <c r="C2612" s="19"/>
      <c r="D2612" s="19"/>
      <c r="E2612" s="19"/>
      <c r="F2612" s="19"/>
      <c r="G2612" s="19"/>
      <c r="H2612" s="19"/>
      <c r="I2612" s="19"/>
      <c r="J2612" s="19"/>
      <c r="K2612" s="19"/>
      <c r="L2612" s="19"/>
      <c r="M2612" s="19"/>
      <c r="N2612" s="19"/>
      <c r="O2612" s="14" t="str">
        <f>HYPERLINK("https://otsuka-europe-crm.veevavault.com/ui/#object/email_activity__v/V8C000000046001", "EN-002103808")</f>
        <v>EN-002103808</v>
      </c>
    </row>
    <row r="2613" spans="1:15" ht="16" x14ac:dyDescent="0.2">
      <c r="A2613" s="18" t="str">
        <f>HYPERLINK("https://otsuka-europe-crm.veevavault.com/ui/#object/account__v/V4TZ04ASGB4XEPY", "ANAHY MARIA BRANDY GARCIA")</f>
        <v>ANAHY MARIA BRANDY GARCIA</v>
      </c>
      <c r="B2613" s="18" t="str">
        <f>HYPERLINK("https://otsuka-europe-crm.veevavault.com/ui/#object/vcountry__v/VENZ000004SONF5", "ES")</f>
        <v>ES</v>
      </c>
      <c r="C2613" s="20" t="s">
        <v>39</v>
      </c>
      <c r="D261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13" s="22" t="str">
        <f>HYPERLINK("https://otsuka-europe-crm.veevavault.com/ui/#object/sent_email__v/VBL000000034515", "SE-001442921")</f>
        <v>SE-001442921</v>
      </c>
      <c r="F2613" s="23"/>
      <c r="G2613" s="24">
        <v>0</v>
      </c>
      <c r="H2613" s="24">
        <v>0</v>
      </c>
      <c r="I2613" s="24">
        <v>0</v>
      </c>
      <c r="J2613" s="23"/>
      <c r="K2613" s="24">
        <v>0</v>
      </c>
      <c r="L261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13" s="22" t="str">
        <f>HYPERLINK("mailto:sruizlemos@crm.otsuka-europe.com", "sruizlemos@crm.otsuka-europe.com")</f>
        <v>sruizlemos@crm.otsuka-europe.com</v>
      </c>
      <c r="N2613" s="25">
        <v>46212.39434027778</v>
      </c>
      <c r="O2613" s="14" t="str">
        <f>HYPERLINK("https://otsuka-europe-crm.veevavault.com/ui/#object/email_activity__v/V8C000000045231", "EN-002103733")</f>
        <v>EN-002103733</v>
      </c>
    </row>
    <row r="2614" spans="1:15" ht="16" x14ac:dyDescent="0.2">
      <c r="A2614" s="26"/>
      <c r="B2614" s="26"/>
      <c r="C2614" s="26"/>
      <c r="D2614" s="26"/>
      <c r="E2614" s="26"/>
      <c r="F2614" s="26"/>
      <c r="G2614" s="26"/>
      <c r="H2614" s="26"/>
      <c r="I2614" s="26"/>
      <c r="J2614" s="26"/>
      <c r="K2614" s="26"/>
      <c r="L2614" s="26"/>
      <c r="M2614" s="26"/>
      <c r="N2614" s="26"/>
      <c r="O2614" s="14" t="str">
        <f>HYPERLINK("https://otsuka-europe-crm.veevavault.com/ui/#object/email_activity__v/V8C000000045344", "EN-002103973")</f>
        <v>EN-002103973</v>
      </c>
    </row>
    <row r="2615" spans="1:15" ht="16" x14ac:dyDescent="0.2">
      <c r="A2615" s="19"/>
      <c r="B2615" s="19"/>
      <c r="C2615" s="19"/>
      <c r="D2615" s="19"/>
      <c r="E2615" s="19"/>
      <c r="F2615" s="19"/>
      <c r="G2615" s="19"/>
      <c r="H2615" s="19"/>
      <c r="I2615" s="19"/>
      <c r="J2615" s="19"/>
      <c r="K2615" s="19"/>
      <c r="L2615" s="19"/>
      <c r="M2615" s="19"/>
      <c r="N2615" s="19"/>
      <c r="O2615" s="14" t="str">
        <f>HYPERLINK("https://otsuka-europe-crm.veevavault.com/ui/#object/email_activity__v/V8C000000048001", "EN-002104164")</f>
        <v>EN-002104164</v>
      </c>
    </row>
    <row r="2616" spans="1:15" ht="16" x14ac:dyDescent="0.2">
      <c r="A2616" s="18" t="str">
        <f>HYPERLINK("https://otsuka-europe-crm.veevavault.com/ui/#object/account__v/V4TZ04ASGB4OD36", "SABELA FERNANDEZ AGUADO")</f>
        <v>SABELA FERNANDEZ AGUADO</v>
      </c>
      <c r="B2616" s="18" t="str">
        <f>HYPERLINK("https://otsuka-europe-crm.veevavault.com/ui/#object/vcountry__v/VENZ000004SONF5", "ES")</f>
        <v>ES</v>
      </c>
      <c r="C2616" s="20" t="s">
        <v>39</v>
      </c>
      <c r="D261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16" s="22" t="str">
        <f>HYPERLINK("https://otsuka-europe-crm.veevavault.com/ui/#object/sent_email__v/VBL000000034516", "SE-001442922")</f>
        <v>SE-001442922</v>
      </c>
      <c r="F2616" s="23"/>
      <c r="G2616" s="24">
        <v>0</v>
      </c>
      <c r="H2616" s="24">
        <v>0</v>
      </c>
      <c r="I2616" s="24">
        <v>0</v>
      </c>
      <c r="J2616" s="23"/>
      <c r="K2616" s="24">
        <v>0</v>
      </c>
      <c r="L261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16" s="22" t="str">
        <f>HYPERLINK("mailto:sruizlemos@crm.otsuka-europe.com", "sruizlemos@crm.otsuka-europe.com")</f>
        <v>sruizlemos@crm.otsuka-europe.com</v>
      </c>
      <c r="N2616" s="25">
        <v>46212.39434027778</v>
      </c>
      <c r="O2616" s="14" t="str">
        <f>HYPERLINK("https://otsuka-europe-crm.veevavault.com/ui/#object/email_activity__v/V8C000000043955", "EN-002103742")</f>
        <v>EN-002103742</v>
      </c>
    </row>
    <row r="2617" spans="1:15" ht="16" x14ac:dyDescent="0.2">
      <c r="A2617" s="26"/>
      <c r="B2617" s="26"/>
      <c r="C2617" s="26"/>
      <c r="D2617" s="26"/>
      <c r="E2617" s="26"/>
      <c r="F2617" s="26"/>
      <c r="G2617" s="26"/>
      <c r="H2617" s="26"/>
      <c r="I2617" s="26"/>
      <c r="J2617" s="26"/>
      <c r="K2617" s="26"/>
      <c r="L2617" s="26"/>
      <c r="M2617" s="26"/>
      <c r="N2617" s="26"/>
      <c r="O2617" s="14" t="str">
        <f>HYPERLINK("https://otsuka-europe-crm.veevavault.com/ui/#object/email_activity__v/V8C00000004A048", "EN-002104963")</f>
        <v>EN-002104963</v>
      </c>
    </row>
    <row r="2618" spans="1:15" ht="16" x14ac:dyDescent="0.2">
      <c r="A2618" s="26"/>
      <c r="B2618" s="26"/>
      <c r="C2618" s="26"/>
      <c r="D2618" s="26"/>
      <c r="E2618" s="26"/>
      <c r="F2618" s="26"/>
      <c r="G2618" s="26"/>
      <c r="H2618" s="26"/>
      <c r="I2618" s="26"/>
      <c r="J2618" s="26"/>
      <c r="K2618" s="26"/>
      <c r="L2618" s="26"/>
      <c r="M2618" s="26"/>
      <c r="N2618" s="26"/>
      <c r="O2618" s="14" t="str">
        <f>HYPERLINK("https://otsuka-europe-crm.veevavault.com/ui/#object/email_activity__v/V8C00000004B243", "EN-002107139")</f>
        <v>EN-002107139</v>
      </c>
    </row>
    <row r="2619" spans="1:15" ht="16" x14ac:dyDescent="0.2">
      <c r="A2619" s="19"/>
      <c r="B2619" s="19"/>
      <c r="C2619" s="19"/>
      <c r="D2619" s="19"/>
      <c r="E2619" s="19"/>
      <c r="F2619" s="19"/>
      <c r="G2619" s="19"/>
      <c r="H2619" s="19"/>
      <c r="I2619" s="19"/>
      <c r="J2619" s="19"/>
      <c r="K2619" s="19"/>
      <c r="L2619" s="19"/>
      <c r="M2619" s="19"/>
      <c r="N2619" s="19"/>
      <c r="O2619" s="14" t="str">
        <f>HYPERLINK("https://otsuka-europe-crm.veevavault.com/ui/#object/email_activity__v/V8C00000004E533", "EN-002109404")</f>
        <v>EN-002109404</v>
      </c>
    </row>
    <row r="2620" spans="1:15" ht="16" x14ac:dyDescent="0.2">
      <c r="A2620" s="18" t="str">
        <f>HYPERLINK("https://otsuka-europe-crm.veevavault.com/ui/#object/account__v/V4TZ04ASGGI4H5R", "CLARA VENTIN RODRIGUEZ")</f>
        <v>CLARA VENTIN RODRIGUEZ</v>
      </c>
      <c r="B2620" s="18" t="str">
        <f>HYPERLINK("https://otsuka-europe-crm.veevavault.com/ui/#object/vcountry__v/VENZ000004SONF5", "ES")</f>
        <v>ES</v>
      </c>
      <c r="C2620" s="20" t="s">
        <v>39</v>
      </c>
      <c r="D262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20" s="22" t="str">
        <f>HYPERLINK("https://otsuka-europe-crm.veevavault.com/ui/#object/sent_email__v/VBL000000034517", "SE-001442923")</f>
        <v>SE-001442923</v>
      </c>
      <c r="F2620" s="25">
        <v>46212.64707175926</v>
      </c>
      <c r="G2620" s="24">
        <v>1</v>
      </c>
      <c r="H2620" s="24">
        <v>2</v>
      </c>
      <c r="I2620" s="24">
        <v>0</v>
      </c>
      <c r="J2620" s="23"/>
      <c r="K2620" s="24">
        <v>0</v>
      </c>
      <c r="L262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20" s="22" t="str">
        <f>HYPERLINK("mailto:sruizlemos@crm.otsuka-europe.com", "sruizlemos@crm.otsuka-europe.com")</f>
        <v>sruizlemos@crm.otsuka-europe.com</v>
      </c>
      <c r="N2620" s="25">
        <v>46212.39434027778</v>
      </c>
      <c r="O2620" s="14" t="str">
        <f>HYPERLINK("https://otsuka-europe-crm.veevavault.com/ui/#object/email_activity__v/V8C000000045223", "EN-002103721")</f>
        <v>EN-002103721</v>
      </c>
    </row>
    <row r="2621" spans="1:15" ht="16" x14ac:dyDescent="0.2">
      <c r="A2621" s="26"/>
      <c r="B2621" s="26"/>
      <c r="C2621" s="26"/>
      <c r="D2621" s="26"/>
      <c r="E2621" s="26"/>
      <c r="F2621" s="26"/>
      <c r="G2621" s="26"/>
      <c r="H2621" s="26"/>
      <c r="I2621" s="26"/>
      <c r="J2621" s="26"/>
      <c r="K2621" s="26"/>
      <c r="L2621" s="26"/>
      <c r="M2621" s="26"/>
      <c r="N2621" s="26"/>
      <c r="O2621" s="14" t="str">
        <f>HYPERLINK("https://otsuka-europe-crm.veevavault.com/ui/#object/email_activity__v/V8C000000045345", "EN-002103974")</f>
        <v>EN-002103974</v>
      </c>
    </row>
    <row r="2622" spans="1:15" ht="16" x14ac:dyDescent="0.2">
      <c r="A2622" s="19"/>
      <c r="B2622" s="19"/>
      <c r="C2622" s="19"/>
      <c r="D2622" s="19"/>
      <c r="E2622" s="19"/>
      <c r="F2622" s="19"/>
      <c r="G2622" s="19"/>
      <c r="H2622" s="19"/>
      <c r="I2622" s="19"/>
      <c r="J2622" s="19"/>
      <c r="K2622" s="19"/>
      <c r="L2622" s="19"/>
      <c r="M2622" s="19"/>
      <c r="N2622" s="19"/>
      <c r="O2622" s="14" t="str">
        <f>HYPERLINK("https://otsuka-europe-crm.veevavault.com/ui/#object/email_activity__v/V8C000000045346", "EN-002103975")</f>
        <v>EN-002103975</v>
      </c>
    </row>
    <row r="2623" spans="1:15" ht="16" x14ac:dyDescent="0.2">
      <c r="A2623" s="18" t="str">
        <f>HYPERLINK("https://otsuka-europe-crm.veevavault.com/ui/#object/account__v/V4TZ04ASGB4V4PJ", "IGNACIO BRAÑA ABASCAL")</f>
        <v>IGNACIO BRAÑA ABASCAL</v>
      </c>
      <c r="B2623" s="18" t="str">
        <f>HYPERLINK("https://otsuka-europe-crm.veevavault.com/ui/#object/vcountry__v/VENZ000004SONF5", "ES")</f>
        <v>ES</v>
      </c>
      <c r="C2623" s="20" t="s">
        <v>39</v>
      </c>
      <c r="D262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23" s="22" t="str">
        <f>HYPERLINK("https://otsuka-europe-crm.veevavault.com/ui/#object/sent_email__v/VBL000000034518", "SE-001442924")</f>
        <v>SE-001442924</v>
      </c>
      <c r="F2623" s="25">
        <v>46212.394826388889</v>
      </c>
      <c r="G2623" s="24">
        <v>1</v>
      </c>
      <c r="H2623" s="24">
        <v>1</v>
      </c>
      <c r="I2623" s="24">
        <v>0</v>
      </c>
      <c r="J2623" s="23"/>
      <c r="K2623" s="24">
        <v>0</v>
      </c>
      <c r="L262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23" s="22" t="str">
        <f>HYPERLINK("mailto:sruizlemos@crm.otsuka-europe.com", "sruizlemos@crm.otsuka-europe.com")</f>
        <v>sruizlemos@crm.otsuka-europe.com</v>
      </c>
      <c r="N2623" s="25">
        <v>46212.39434027778</v>
      </c>
      <c r="O2623" s="14" t="str">
        <f>HYPERLINK("https://otsuka-europe-crm.veevavault.com/ui/#object/email_activity__v/V8C000000043954", "EN-002103741")</f>
        <v>EN-002103741</v>
      </c>
    </row>
    <row r="2624" spans="1:15" ht="16" x14ac:dyDescent="0.2">
      <c r="A2624" s="26"/>
      <c r="B2624" s="26"/>
      <c r="C2624" s="26"/>
      <c r="D2624" s="26"/>
      <c r="E2624" s="26"/>
      <c r="F2624" s="26"/>
      <c r="G2624" s="26"/>
      <c r="H2624" s="26"/>
      <c r="I2624" s="26"/>
      <c r="J2624" s="26"/>
      <c r="K2624" s="26"/>
      <c r="L2624" s="26"/>
      <c r="M2624" s="26"/>
      <c r="N2624" s="26"/>
      <c r="O2624" s="14" t="str">
        <f>HYPERLINK("https://otsuka-europe-crm.veevavault.com/ui/#object/email_activity__v/V8C000000045236", "EN-002103755")</f>
        <v>EN-002103755</v>
      </c>
    </row>
    <row r="2625" spans="1:15" ht="16" x14ac:dyDescent="0.2">
      <c r="A2625" s="19"/>
      <c r="B2625" s="19"/>
      <c r="C2625" s="19"/>
      <c r="D2625" s="19"/>
      <c r="E2625" s="19"/>
      <c r="F2625" s="19"/>
      <c r="G2625" s="19"/>
      <c r="H2625" s="19"/>
      <c r="I2625" s="19"/>
      <c r="J2625" s="19"/>
      <c r="K2625" s="19"/>
      <c r="L2625" s="19"/>
      <c r="M2625" s="19"/>
      <c r="N2625" s="19"/>
      <c r="O2625" s="14" t="str">
        <f>HYPERLINK("https://otsuka-europe-crm.veevavault.com/ui/#object/email_activity__v/V8C000000048006", "EN-002104183")</f>
        <v>EN-002104183</v>
      </c>
    </row>
    <row r="2626" spans="1:15" ht="64" x14ac:dyDescent="0.2">
      <c r="A2626" s="7" t="str">
        <f>HYPERLINK("https://otsuka-europe-crm.veevavault.com/ui/#object/account__v/V4TZ06G6OCEKLJY", "FRANCISCO JAVIER DE TORO SANTOS")</f>
        <v>FRANCISCO JAVIER DE TORO SANTOS</v>
      </c>
      <c r="B2626" s="7" t="str">
        <f>HYPERLINK("https://otsuka-europe-crm.veevavault.com/ui/#object/vcountry__v/VENZ000004SONF5", "ES")</f>
        <v>ES</v>
      </c>
      <c r="C2626" s="8" t="s">
        <v>39</v>
      </c>
      <c r="D262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26" s="10" t="str">
        <f>HYPERLINK("https://otsuka-europe-crm.veevavault.com/ui/#object/sent_email__v/VBL000000034519", "SE-001442925")</f>
        <v>SE-001442925</v>
      </c>
      <c r="F2626" s="11"/>
      <c r="G2626" s="12">
        <v>0</v>
      </c>
      <c r="H2626" s="12">
        <v>0</v>
      </c>
      <c r="I2626" s="12">
        <v>0</v>
      </c>
      <c r="J2626" s="11"/>
      <c r="K2626" s="12">
        <v>0</v>
      </c>
      <c r="L262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26" s="10" t="str">
        <f>HYPERLINK("mailto:sruizlemos@crm.otsuka-europe.com", "sruizlemos@crm.otsuka-europe.com")</f>
        <v>sruizlemos@crm.otsuka-europe.com</v>
      </c>
      <c r="N2626" s="13">
        <v>46212.394328703704</v>
      </c>
      <c r="O2626" s="14" t="str">
        <f>HYPERLINK("https://otsuka-europe-crm.veevavault.com/ui/#object/email_activity__v/V8C000000043963", "EN-002103752")</f>
        <v>EN-002103752</v>
      </c>
    </row>
    <row r="2627" spans="1:15" ht="16" x14ac:dyDescent="0.2">
      <c r="A2627" s="18" t="str">
        <f>HYPERLINK("https://otsuka-europe-crm.veevavault.com/ui/#object/account__v/V4TZ025E82BJFSD", "MANUEL ENRIQUE POMBO SUAREZ")</f>
        <v>MANUEL ENRIQUE POMBO SUAREZ</v>
      </c>
      <c r="B2627" s="18" t="str">
        <f>HYPERLINK("https://otsuka-europe-crm.veevavault.com/ui/#object/vcountry__v/VENZ000004SONF5", "ES")</f>
        <v>ES</v>
      </c>
      <c r="C2627" s="20" t="s">
        <v>39</v>
      </c>
      <c r="D262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27" s="22" t="str">
        <f>HYPERLINK("https://otsuka-europe-crm.veevavault.com/ui/#object/sent_email__v/VBL000000034520", "SE-001442926")</f>
        <v>SE-001442926</v>
      </c>
      <c r="F2627" s="23"/>
      <c r="G2627" s="24">
        <v>0</v>
      </c>
      <c r="H2627" s="24">
        <v>0</v>
      </c>
      <c r="I2627" s="24">
        <v>0</v>
      </c>
      <c r="J2627" s="23"/>
      <c r="K2627" s="24">
        <v>0</v>
      </c>
      <c r="L262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27" s="22" t="str">
        <f>HYPERLINK("mailto:sruizlemos@crm.otsuka-europe.com", "sruizlemos@crm.otsuka-europe.com")</f>
        <v>sruizlemos@crm.otsuka-europe.com</v>
      </c>
      <c r="N2627" s="25">
        <v>46212.39434027778</v>
      </c>
      <c r="O2627" s="14" t="str">
        <f>HYPERLINK("https://otsuka-europe-crm.veevavault.com/ui/#object/email_activity__v/V8C000000043958", "EN-002103747")</f>
        <v>EN-002103747</v>
      </c>
    </row>
    <row r="2628" spans="1:15" ht="16" x14ac:dyDescent="0.2">
      <c r="A2628" s="19"/>
      <c r="B2628" s="19"/>
      <c r="C2628" s="19"/>
      <c r="D2628" s="19"/>
      <c r="E2628" s="19"/>
      <c r="F2628" s="19"/>
      <c r="G2628" s="19"/>
      <c r="H2628" s="19"/>
      <c r="I2628" s="19"/>
      <c r="J2628" s="19"/>
      <c r="K2628" s="19"/>
      <c r="L2628" s="19"/>
      <c r="M2628" s="19"/>
      <c r="N2628" s="19"/>
      <c r="O2628" s="14" t="str">
        <f>HYPERLINK("https://otsuka-europe-crm.veevavault.com/ui/#object/email_activity__v/V8C000000045391", "EN-002104115")</f>
        <v>EN-002104115</v>
      </c>
    </row>
    <row r="2629" spans="1:15" ht="16" x14ac:dyDescent="0.2">
      <c r="A2629" s="18" t="str">
        <f>HYPERLINK("https://otsuka-europe-crm.veevavault.com/ui/#object/account__v/V4TZ04ASGB02EJ1", "ALVARO SEIJAS LOPEZ")</f>
        <v>ALVARO SEIJAS LOPEZ</v>
      </c>
      <c r="B2629" s="18" t="str">
        <f>HYPERLINK("https://otsuka-europe-crm.veevavault.com/ui/#object/vcountry__v/VENZ000004SONF5", "ES")</f>
        <v>ES</v>
      </c>
      <c r="C2629" s="20" t="s">
        <v>39</v>
      </c>
      <c r="D262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29" s="22" t="str">
        <f>HYPERLINK("https://otsuka-europe-crm.veevavault.com/ui/#object/sent_email__v/VBL000000034521", "SE-001442927")</f>
        <v>SE-001442927</v>
      </c>
      <c r="F2629" s="25">
        <v>46212.508402777778</v>
      </c>
      <c r="G2629" s="24">
        <v>1</v>
      </c>
      <c r="H2629" s="24">
        <v>1</v>
      </c>
      <c r="I2629" s="24">
        <v>0</v>
      </c>
      <c r="J2629" s="23"/>
      <c r="K2629" s="24">
        <v>0</v>
      </c>
      <c r="L262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29" s="22" t="str">
        <f>HYPERLINK("mailto:sruizlemos@crm.otsuka-europe.com", "sruizlemos@crm.otsuka-europe.com")</f>
        <v>sruizlemos@crm.otsuka-europe.com</v>
      </c>
      <c r="N2629" s="25">
        <v>46212.39434027778</v>
      </c>
      <c r="O2629" s="14" t="str">
        <f>HYPERLINK("https://otsuka-europe-crm.veevavault.com/ui/#object/email_activity__v/V8C000000045232", "EN-002103734")</f>
        <v>EN-002103734</v>
      </c>
    </row>
    <row r="2630" spans="1:15" ht="16" x14ac:dyDescent="0.2">
      <c r="A2630" s="19"/>
      <c r="B2630" s="19"/>
      <c r="C2630" s="19"/>
      <c r="D2630" s="19"/>
      <c r="E2630" s="19"/>
      <c r="F2630" s="19"/>
      <c r="G2630" s="19"/>
      <c r="H2630" s="19"/>
      <c r="I2630" s="19"/>
      <c r="J2630" s="19"/>
      <c r="K2630" s="19"/>
      <c r="L2630" s="19"/>
      <c r="M2630" s="19"/>
      <c r="N2630" s="19"/>
      <c r="O2630" s="14" t="str">
        <f>HYPERLINK("https://otsuka-europe-crm.veevavault.com/ui/#object/email_activity__v/V8C000000045316", "EN-002103910")</f>
        <v>EN-002103910</v>
      </c>
    </row>
    <row r="2631" spans="1:15" ht="64" x14ac:dyDescent="0.2">
      <c r="A2631" s="7" t="str">
        <f>HYPERLINK("https://otsuka-europe-crm.veevavault.com/ui/#object/account__v/V4TZ04ASGB04UFD", "DAVID FERNANDEZ FERNANDEZ")</f>
        <v>DAVID FERNANDEZ FERNANDEZ</v>
      </c>
      <c r="B2631" s="7" t="str">
        <f>HYPERLINK("https://otsuka-europe-crm.veevavault.com/ui/#object/vcountry__v/VENZ000004SONF5", "ES")</f>
        <v>ES</v>
      </c>
      <c r="C2631" s="8" t="s">
        <v>39</v>
      </c>
      <c r="D263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31" s="10" t="str">
        <f>HYPERLINK("https://otsuka-europe-crm.veevavault.com/ui/#object/sent_email__v/VBL000000034522", "SE-001442928")</f>
        <v>SE-001442928</v>
      </c>
      <c r="F2631" s="11"/>
      <c r="G2631" s="12">
        <v>0</v>
      </c>
      <c r="H2631" s="12">
        <v>0</v>
      </c>
      <c r="I2631" s="12">
        <v>0</v>
      </c>
      <c r="J2631" s="11"/>
      <c r="K2631" s="12">
        <v>0</v>
      </c>
      <c r="L263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31" s="10" t="str">
        <f>HYPERLINK("mailto:sruizlemos@crm.otsuka-europe.com", "sruizlemos@crm.otsuka-europe.com")</f>
        <v>sruizlemos@crm.otsuka-europe.com</v>
      </c>
      <c r="N2631" s="13">
        <v>46212.39434027778</v>
      </c>
      <c r="O2631" s="14" t="str">
        <f>HYPERLINK("https://otsuka-europe-crm.veevavault.com/ui/#object/email_activity__v/V8C000000043957", "EN-002103744")</f>
        <v>EN-002103744</v>
      </c>
    </row>
    <row r="2632" spans="1:15" ht="16" x14ac:dyDescent="0.2">
      <c r="A2632" s="18" t="str">
        <f>HYPERLINK("https://otsuka-europe-crm.veevavault.com/ui/#object/account__v/V4TZ04ASGB03EZ4", "LUCIA SILVA FERNANDEZ")</f>
        <v>LUCIA SILVA FERNANDEZ</v>
      </c>
      <c r="B2632" s="18" t="str">
        <f>HYPERLINK("https://otsuka-europe-crm.veevavault.com/ui/#object/vcountry__v/VENZ000004SONF5", "ES")</f>
        <v>ES</v>
      </c>
      <c r="C2632" s="20" t="s">
        <v>39</v>
      </c>
      <c r="D263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32" s="22" t="str">
        <f>HYPERLINK("https://otsuka-europe-crm.veevavault.com/ui/#object/sent_email__v/VBL000000034523", "SE-001442929")</f>
        <v>SE-001442929</v>
      </c>
      <c r="F2632" s="23"/>
      <c r="G2632" s="24">
        <v>0</v>
      </c>
      <c r="H2632" s="24">
        <v>0</v>
      </c>
      <c r="I2632" s="24">
        <v>0</v>
      </c>
      <c r="J2632" s="23"/>
      <c r="K2632" s="24">
        <v>0</v>
      </c>
      <c r="L263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32" s="22" t="str">
        <f>HYPERLINK("mailto:sruizlemos@crm.otsuka-europe.com", "sruizlemos@crm.otsuka-europe.com")</f>
        <v>sruizlemos@crm.otsuka-europe.com</v>
      </c>
      <c r="N2632" s="25">
        <v>46212.39434027778</v>
      </c>
      <c r="O2632" s="14" t="str">
        <f>HYPERLINK("https://otsuka-europe-crm.veevavault.com/ui/#object/email_activity__v/V8C000000045228", "EN-002103726")</f>
        <v>EN-002103726</v>
      </c>
    </row>
    <row r="2633" spans="1:15" ht="16" x14ac:dyDescent="0.2">
      <c r="A2633" s="19"/>
      <c r="B2633" s="19"/>
      <c r="C2633" s="19"/>
      <c r="D2633" s="19"/>
      <c r="E2633" s="19"/>
      <c r="F2633" s="19"/>
      <c r="G2633" s="19"/>
      <c r="H2633" s="19"/>
      <c r="I2633" s="19"/>
      <c r="J2633" s="19"/>
      <c r="K2633" s="19"/>
      <c r="L2633" s="19"/>
      <c r="M2633" s="19"/>
      <c r="N2633" s="19"/>
      <c r="O2633" s="14" t="str">
        <f>HYPERLINK("https://otsuka-europe-crm.veevavault.com/ui/#object/email_activity__v/V8C00000004A367", "EN-002105671")</f>
        <v>EN-002105671</v>
      </c>
    </row>
    <row r="2634" spans="1:15" ht="16" x14ac:dyDescent="0.2">
      <c r="A2634" s="18" t="str">
        <f>HYPERLINK("https://otsuka-europe-crm.veevavault.com/ui/#object/account__v/V4TZ04ASGC2KC6U", "RODRIGO AGUIRRE DEL PINO")</f>
        <v>RODRIGO AGUIRRE DEL PINO</v>
      </c>
      <c r="B2634" s="18" t="str">
        <f>HYPERLINK("https://otsuka-europe-crm.veevavault.com/ui/#object/vcountry__v/VENZ000004SONF5", "ES")</f>
        <v>ES</v>
      </c>
      <c r="C2634" s="20" t="s">
        <v>39</v>
      </c>
      <c r="D263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34" s="22" t="str">
        <f>HYPERLINK("https://otsuka-europe-crm.veevavault.com/ui/#object/sent_email__v/VBL000000034524", "SE-001442930")</f>
        <v>SE-001442930</v>
      </c>
      <c r="F2634" s="23"/>
      <c r="G2634" s="24">
        <v>0</v>
      </c>
      <c r="H2634" s="24">
        <v>0</v>
      </c>
      <c r="I2634" s="24">
        <v>0</v>
      </c>
      <c r="J2634" s="23"/>
      <c r="K2634" s="24">
        <v>0</v>
      </c>
      <c r="L263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34" s="22" t="str">
        <f>HYPERLINK("mailto:sruizlemos@crm.otsuka-europe.com", "sruizlemos@crm.otsuka-europe.com")</f>
        <v>sruizlemos@crm.otsuka-europe.com</v>
      </c>
      <c r="N2634" s="25">
        <v>46212.39434027778</v>
      </c>
      <c r="O2634" s="14" t="str">
        <f>HYPERLINK("https://otsuka-europe-crm.veevavault.com/ui/#object/email_activity__v/V8C000000043953", "EN-002103740")</f>
        <v>EN-002103740</v>
      </c>
    </row>
    <row r="2635" spans="1:15" ht="16" x14ac:dyDescent="0.2">
      <c r="A2635" s="26"/>
      <c r="B2635" s="26"/>
      <c r="C2635" s="26"/>
      <c r="D2635" s="26"/>
      <c r="E2635" s="26"/>
      <c r="F2635" s="26"/>
      <c r="G2635" s="26"/>
      <c r="H2635" s="26"/>
      <c r="I2635" s="26"/>
      <c r="J2635" s="26"/>
      <c r="K2635" s="26"/>
      <c r="L2635" s="26"/>
      <c r="M2635" s="26"/>
      <c r="N2635" s="26"/>
      <c r="O2635" s="14" t="str">
        <f>HYPERLINK("https://otsuka-europe-crm.veevavault.com/ui/#object/email_activity__v/V8C000000046002", "EN-002103812")</f>
        <v>EN-002103812</v>
      </c>
    </row>
    <row r="2636" spans="1:15" ht="16" x14ac:dyDescent="0.2">
      <c r="A2636" s="19"/>
      <c r="B2636" s="19"/>
      <c r="C2636" s="19"/>
      <c r="D2636" s="19"/>
      <c r="E2636" s="19"/>
      <c r="F2636" s="19"/>
      <c r="G2636" s="19"/>
      <c r="H2636" s="19"/>
      <c r="I2636" s="19"/>
      <c r="J2636" s="19"/>
      <c r="K2636" s="19"/>
      <c r="L2636" s="19"/>
      <c r="M2636" s="19"/>
      <c r="N2636" s="19"/>
      <c r="O2636" s="14" t="str">
        <f>HYPERLINK("https://otsuka-europe-crm.veevavault.com/ui/#object/email_activity__v/V8C00000004B097", "EN-002106900")</f>
        <v>EN-002106900</v>
      </c>
    </row>
    <row r="2637" spans="1:15" ht="16" x14ac:dyDescent="0.2">
      <c r="A2637" s="18" t="str">
        <f>HYPERLINK("https://otsuka-europe-crm.veevavault.com/ui/#object/account__v/V4TZ06G6O71TA5J", "EDUARDO GUTIERREZ MARTINEZ")</f>
        <v>EDUARDO GUTIERREZ MARTINEZ</v>
      </c>
      <c r="B2637" s="18" t="str">
        <f>HYPERLINK("https://otsuka-europe-crm.veevavault.com/ui/#object/vcountry__v/VENZ000004SONF5", "ES")</f>
        <v>ES</v>
      </c>
      <c r="C2637" s="20" t="s">
        <v>39</v>
      </c>
      <c r="D263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37" s="22" t="str">
        <f>HYPERLINK("https://otsuka-europe-crm.veevavault.com/ui/#object/sent_email__v/VBL000000034529", "SE-001442935")</f>
        <v>SE-001442935</v>
      </c>
      <c r="F2637" s="23"/>
      <c r="G2637" s="24">
        <v>0</v>
      </c>
      <c r="H2637" s="24">
        <v>0</v>
      </c>
      <c r="I2637" s="24">
        <v>0</v>
      </c>
      <c r="J2637" s="23"/>
      <c r="K2637" s="24">
        <v>0</v>
      </c>
      <c r="L263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37" s="22" t="str">
        <f>HYPERLINK("mailto:cmaroto@crm.otsuka-europe.com", "cmaroto@crm.otsuka-europe.com")</f>
        <v>cmaroto@crm.otsuka-europe.com</v>
      </c>
      <c r="N2637" s="25">
        <v>46212.483391203707</v>
      </c>
      <c r="O2637" s="14" t="str">
        <f>HYPERLINK("https://otsuka-europe-crm.veevavault.com/ui/#object/email_activity__v/V8C000000045273", "EN-002103838")</f>
        <v>EN-002103838</v>
      </c>
    </row>
    <row r="2638" spans="1:15" ht="16" x14ac:dyDescent="0.2">
      <c r="A2638" s="19"/>
      <c r="B2638" s="19"/>
      <c r="C2638" s="19"/>
      <c r="D2638" s="19"/>
      <c r="E2638" s="19"/>
      <c r="F2638" s="19"/>
      <c r="G2638" s="19"/>
      <c r="H2638" s="19"/>
      <c r="I2638" s="19"/>
      <c r="J2638" s="19"/>
      <c r="K2638" s="19"/>
      <c r="L2638" s="19"/>
      <c r="M2638" s="19"/>
      <c r="N2638" s="19"/>
      <c r="O2638" s="14" t="str">
        <f>HYPERLINK("https://otsuka-europe-crm.veevavault.com/ui/#object/email_activity__v/V8C000000046030", "EN-002103879")</f>
        <v>EN-002103879</v>
      </c>
    </row>
    <row r="2639" spans="1:15" ht="16" x14ac:dyDescent="0.2">
      <c r="A2639" s="18" t="str">
        <f>HYPERLINK("https://otsuka-europe-crm.veevavault.com/ui/#object/account__v/V4TZ06G6O71TBSU", "BEGOÑA RINCON RUIZ")</f>
        <v>BEGOÑA RINCON RUIZ</v>
      </c>
      <c r="B2639" s="18" t="str">
        <f>HYPERLINK("https://otsuka-europe-crm.veevavault.com/ui/#object/vcountry__v/VENZ000004SONF5", "ES")</f>
        <v>ES</v>
      </c>
      <c r="C2639" s="20" t="s">
        <v>39</v>
      </c>
      <c r="D263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39" s="22" t="str">
        <f>HYPERLINK("https://otsuka-europe-crm.veevavault.com/ui/#object/sent_email__v/VBL000000034530", "SE-001442936")</f>
        <v>SE-001442936</v>
      </c>
      <c r="F2639" s="23"/>
      <c r="G2639" s="24">
        <v>0</v>
      </c>
      <c r="H2639" s="24">
        <v>0</v>
      </c>
      <c r="I2639" s="24">
        <v>0</v>
      </c>
      <c r="J2639" s="23"/>
      <c r="K2639" s="24">
        <v>0</v>
      </c>
      <c r="L263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39" s="22" t="str">
        <f>HYPERLINK("mailto:cmaroto@crm.otsuka-europe.com", "cmaroto@crm.otsuka-europe.com")</f>
        <v>cmaroto@crm.otsuka-europe.com</v>
      </c>
      <c r="N2639" s="25">
        <v>46212.483472222222</v>
      </c>
      <c r="O2639" s="14" t="str">
        <f>HYPERLINK("https://otsuka-europe-crm.veevavault.com/ui/#object/email_activity__v/V8C000000045262", "EN-002103822")</f>
        <v>EN-002103822</v>
      </c>
    </row>
    <row r="2640" spans="1:15" ht="16" x14ac:dyDescent="0.2">
      <c r="A2640" s="26"/>
      <c r="B2640" s="26"/>
      <c r="C2640" s="26"/>
      <c r="D2640" s="26"/>
      <c r="E2640" s="26"/>
      <c r="F2640" s="26"/>
      <c r="G2640" s="26"/>
      <c r="H2640" s="26"/>
      <c r="I2640" s="26"/>
      <c r="J2640" s="26"/>
      <c r="K2640" s="26"/>
      <c r="L2640" s="26"/>
      <c r="M2640" s="26"/>
      <c r="N2640" s="26"/>
      <c r="O2640" s="14" t="str">
        <f>HYPERLINK("https://otsuka-europe-crm.veevavault.com/ui/#object/email_activity__v/V8C000000047005", "EN-002104168")</f>
        <v>EN-002104168</v>
      </c>
    </row>
    <row r="2641" spans="1:15" ht="16" x14ac:dyDescent="0.2">
      <c r="A2641" s="26"/>
      <c r="B2641" s="26"/>
      <c r="C2641" s="26"/>
      <c r="D2641" s="26"/>
      <c r="E2641" s="26"/>
      <c r="F2641" s="26"/>
      <c r="G2641" s="26"/>
      <c r="H2641" s="26"/>
      <c r="I2641" s="26"/>
      <c r="J2641" s="26"/>
      <c r="K2641" s="26"/>
      <c r="L2641" s="26"/>
      <c r="M2641" s="26"/>
      <c r="N2641" s="26"/>
      <c r="O2641" s="14" t="str">
        <f>HYPERLINK("https://otsuka-europe-crm.veevavault.com/ui/#object/email_activity__v/V8C000000047007", "EN-002104170")</f>
        <v>EN-002104170</v>
      </c>
    </row>
    <row r="2642" spans="1:15" ht="16" x14ac:dyDescent="0.2">
      <c r="A2642" s="19"/>
      <c r="B2642" s="19"/>
      <c r="C2642" s="19"/>
      <c r="D2642" s="19"/>
      <c r="E2642" s="19"/>
      <c r="F2642" s="19"/>
      <c r="G2642" s="19"/>
      <c r="H2642" s="19"/>
      <c r="I2642" s="19"/>
      <c r="J2642" s="19"/>
      <c r="K2642" s="19"/>
      <c r="L2642" s="19"/>
      <c r="M2642" s="19"/>
      <c r="N2642" s="19"/>
      <c r="O2642" s="14" t="str">
        <f>HYPERLINK("https://otsuka-europe-crm.veevavault.com/ui/#object/email_activity__v/V8C00000004A366", "EN-002105669")</f>
        <v>EN-002105669</v>
      </c>
    </row>
    <row r="2643" spans="1:15" ht="16" x14ac:dyDescent="0.2">
      <c r="A2643" s="18" t="str">
        <f>HYPERLINK("https://otsuka-europe-crm.veevavault.com/ui/#object/account__v/V4TZ06G6O71T83E", "TANIA LINARES GRAVALOS")</f>
        <v>TANIA LINARES GRAVALOS</v>
      </c>
      <c r="B2643" s="18" t="str">
        <f>HYPERLINK("https://otsuka-europe-crm.veevavault.com/ui/#object/vcountry__v/VENZ000004SONF5", "ES")</f>
        <v>ES</v>
      </c>
      <c r="C2643" s="20" t="s">
        <v>39</v>
      </c>
      <c r="D264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43" s="22" t="str">
        <f>HYPERLINK("https://otsuka-europe-crm.veevavault.com/ui/#object/sent_email__v/VBL000000034531", "SE-001442937")</f>
        <v>SE-001442937</v>
      </c>
      <c r="F2643" s="23"/>
      <c r="G2643" s="24">
        <v>0</v>
      </c>
      <c r="H2643" s="24">
        <v>0</v>
      </c>
      <c r="I2643" s="24">
        <v>0</v>
      </c>
      <c r="J2643" s="23"/>
      <c r="K2643" s="24">
        <v>0</v>
      </c>
      <c r="L264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43" s="22" t="str">
        <f>HYPERLINK("mailto:cmaroto@crm.otsuka-europe.com", "cmaroto@crm.otsuka-europe.com")</f>
        <v>cmaroto@crm.otsuka-europe.com</v>
      </c>
      <c r="N2643" s="25">
        <v>46212.483391203707</v>
      </c>
      <c r="O2643" s="14" t="str">
        <f>HYPERLINK("https://otsuka-europe-crm.veevavault.com/ui/#object/email_activity__v/V8C000000045301", "EN-002103889")</f>
        <v>EN-002103889</v>
      </c>
    </row>
    <row r="2644" spans="1:15" ht="16" x14ac:dyDescent="0.2">
      <c r="A2644" s="19"/>
      <c r="B2644" s="19"/>
      <c r="C2644" s="19"/>
      <c r="D2644" s="19"/>
      <c r="E2644" s="19"/>
      <c r="F2644" s="19"/>
      <c r="G2644" s="19"/>
      <c r="H2644" s="19"/>
      <c r="I2644" s="19"/>
      <c r="J2644" s="19"/>
      <c r="K2644" s="19"/>
      <c r="L2644" s="19"/>
      <c r="M2644" s="19"/>
      <c r="N2644" s="19"/>
      <c r="O2644" s="14" t="str">
        <f>HYPERLINK("https://otsuka-europe-crm.veevavault.com/ui/#object/email_activity__v/V8C000000046012", "EN-002103833")</f>
        <v>EN-002103833</v>
      </c>
    </row>
    <row r="2645" spans="1:15" ht="64" x14ac:dyDescent="0.2">
      <c r="A2645" s="7" t="str">
        <f>HYPERLINK("https://otsuka-europe-crm.veevavault.com/ui/#object/account__v/V4TZ06G6O71TA00", "REBECA GARCIA AGUDO")</f>
        <v>REBECA GARCIA AGUDO</v>
      </c>
      <c r="B2645" s="7" t="str">
        <f>HYPERLINK("https://otsuka-europe-crm.veevavault.com/ui/#object/vcountry__v/VENZ000004SONF5", "ES")</f>
        <v>ES</v>
      </c>
      <c r="C2645" s="8" t="s">
        <v>39</v>
      </c>
      <c r="D264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45" s="10" t="str">
        <f>HYPERLINK("https://otsuka-europe-crm.veevavault.com/ui/#object/sent_email__v/VBL000000034532", "SE-001442938")</f>
        <v>SE-001442938</v>
      </c>
      <c r="F2645" s="11"/>
      <c r="G2645" s="12">
        <v>0</v>
      </c>
      <c r="H2645" s="12">
        <v>0</v>
      </c>
      <c r="I2645" s="12">
        <v>0</v>
      </c>
      <c r="J2645" s="11"/>
      <c r="K2645" s="12">
        <v>0</v>
      </c>
      <c r="L264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45" s="10" t="str">
        <f>HYPERLINK("mailto:cmaroto@crm.otsuka-europe.com", "cmaroto@crm.otsuka-europe.com")</f>
        <v>cmaroto@crm.otsuka-europe.com</v>
      </c>
      <c r="N2645" s="13">
        <v>46212.483391203707</v>
      </c>
      <c r="O2645" s="14" t="str">
        <f>HYPERLINK("https://otsuka-europe-crm.veevavault.com/ui/#object/email_activity__v/V8C000000045282", "EN-002103853")</f>
        <v>EN-002103853</v>
      </c>
    </row>
    <row r="2646" spans="1:15" ht="64" x14ac:dyDescent="0.2">
      <c r="A2646" s="7" t="str">
        <f>HYPERLINK("https://otsuka-europe-crm.veevavault.com/ui/#object/account__v/V4TZ04ASGABW98D", "ALEJANDRO AVELLO ESCRIBANO")</f>
        <v>ALEJANDRO AVELLO ESCRIBANO</v>
      </c>
      <c r="B2646" s="7" t="str">
        <f>HYPERLINK("https://otsuka-europe-crm.veevavault.com/ui/#object/vcountry__v/VENZ000004SONF5", "ES")</f>
        <v>ES</v>
      </c>
      <c r="C2646" s="8" t="s">
        <v>39</v>
      </c>
      <c r="D26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46" s="10" t="str">
        <f>HYPERLINK("https://otsuka-europe-crm.veevavault.com/ui/#object/sent_email__v/VBL000000034533", "SE-001442939")</f>
        <v>SE-001442939</v>
      </c>
      <c r="F2646" s="11"/>
      <c r="G2646" s="12">
        <v>0</v>
      </c>
      <c r="H2646" s="12">
        <v>0</v>
      </c>
      <c r="I2646" s="12">
        <v>0</v>
      </c>
      <c r="J2646" s="11"/>
      <c r="K2646" s="12">
        <v>0</v>
      </c>
      <c r="L26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46" s="10" t="str">
        <f>HYPERLINK("mailto:cmaroto@crm.otsuka-europe.com", "cmaroto@crm.otsuka-europe.com")</f>
        <v>cmaroto@crm.otsuka-europe.com</v>
      </c>
      <c r="N2646" s="13">
        <v>46212.48337962963</v>
      </c>
      <c r="O2646" s="14" t="str">
        <f>HYPERLINK("https://otsuka-europe-crm.veevavault.com/ui/#object/email_activity__v/V8C000000046016", "EN-002103842")</f>
        <v>EN-002103842</v>
      </c>
    </row>
    <row r="2647" spans="1:15" ht="64" x14ac:dyDescent="0.2">
      <c r="A2647" s="7" t="str">
        <f>HYPERLINK("https://otsuka-europe-crm.veevavault.com/ui/#object/account__v/V4TZ06G6O71TB9P", "ENRIQUE MORALES RUIZ")</f>
        <v>ENRIQUE MORALES RUIZ</v>
      </c>
      <c r="B2647" s="7" t="str">
        <f>HYPERLINK("https://otsuka-europe-crm.veevavault.com/ui/#object/vcountry__v/VENZ000004SONF5", "ES")</f>
        <v>ES</v>
      </c>
      <c r="C2647" s="8" t="s">
        <v>39</v>
      </c>
      <c r="D264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47" s="10" t="str">
        <f>HYPERLINK("https://otsuka-europe-crm.veevavault.com/ui/#object/sent_email__v/VBL000000034534", "SE-001442940")</f>
        <v>SE-001442940</v>
      </c>
      <c r="F2647" s="11"/>
      <c r="G2647" s="12">
        <v>0</v>
      </c>
      <c r="H2647" s="12">
        <v>0</v>
      </c>
      <c r="I2647" s="12">
        <v>0</v>
      </c>
      <c r="J2647" s="11"/>
      <c r="K2647" s="12">
        <v>0</v>
      </c>
      <c r="L264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47" s="10" t="str">
        <f>HYPERLINK("mailto:cmaroto@crm.otsuka-europe.com", "cmaroto@crm.otsuka-europe.com")</f>
        <v>cmaroto@crm.otsuka-europe.com</v>
      </c>
      <c r="N2647" s="13">
        <v>46212.48337962963</v>
      </c>
      <c r="O2647" s="14" t="str">
        <f>HYPERLINK("https://otsuka-europe-crm.veevavault.com/ui/#object/email_activity__v/V8C000000045288", "EN-002103859")</f>
        <v>EN-002103859</v>
      </c>
    </row>
    <row r="2648" spans="1:15" ht="64" x14ac:dyDescent="0.2">
      <c r="A2648" s="7" t="str">
        <f>HYPERLINK("https://otsuka-europe-crm.veevavault.com/ui/#object/account__v/V4TZ06G6O71TASC", "MARIA ESPERANZA LOPEZ RUBIO")</f>
        <v>MARIA ESPERANZA LOPEZ RUBIO</v>
      </c>
      <c r="B2648" s="7" t="str">
        <f>HYPERLINK("https://otsuka-europe-crm.veevavault.com/ui/#object/vcountry__v/VENZ000004SONF5", "ES")</f>
        <v>ES</v>
      </c>
      <c r="C2648" s="8" t="s">
        <v>39</v>
      </c>
      <c r="D264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48" s="10" t="str">
        <f>HYPERLINK("https://otsuka-europe-crm.veevavault.com/ui/#object/sent_email__v/VBL000000034535", "SE-001442941")</f>
        <v>SE-001442941</v>
      </c>
      <c r="F2648" s="11"/>
      <c r="G2648" s="12">
        <v>0</v>
      </c>
      <c r="H2648" s="12">
        <v>0</v>
      </c>
      <c r="I2648" s="12">
        <v>0</v>
      </c>
      <c r="J2648" s="11"/>
      <c r="K2648" s="12">
        <v>0</v>
      </c>
      <c r="L264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48" s="10" t="str">
        <f>HYPERLINK("mailto:cmaroto@crm.otsuka-europe.com", "cmaroto@crm.otsuka-europe.com")</f>
        <v>cmaroto@crm.otsuka-europe.com</v>
      </c>
      <c r="N2648" s="13">
        <v>46212.48337962963</v>
      </c>
      <c r="O2648" s="14" t="str">
        <f>HYPERLINK("https://otsuka-europe-crm.veevavault.com/ui/#object/email_activity__v/V8C000000046019", "EN-002103850")</f>
        <v>EN-002103850</v>
      </c>
    </row>
    <row r="2649" spans="1:15" ht="16" x14ac:dyDescent="0.2">
      <c r="A2649" s="18" t="str">
        <f>HYPERLINK("https://otsuka-europe-crm.veevavault.com/ui/#object/account__v/V4TZ06G6O71URT9", "BEATRIZ SUALDEA PEÑA")</f>
        <v>BEATRIZ SUALDEA PEÑA</v>
      </c>
      <c r="B2649" s="18" t="str">
        <f>HYPERLINK("https://otsuka-europe-crm.veevavault.com/ui/#object/vcountry__v/VENZ000004SONF5", "ES")</f>
        <v>ES</v>
      </c>
      <c r="C2649" s="20" t="s">
        <v>39</v>
      </c>
      <c r="D264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49" s="22" t="str">
        <f>HYPERLINK("https://otsuka-europe-crm.veevavault.com/ui/#object/sent_email__v/VBL000000034536", "SE-001442942")</f>
        <v>SE-001442942</v>
      </c>
      <c r="F2649" s="25">
        <v>46212.49591435185</v>
      </c>
      <c r="G2649" s="24">
        <v>1</v>
      </c>
      <c r="H2649" s="24">
        <v>2</v>
      </c>
      <c r="I2649" s="24">
        <v>0</v>
      </c>
      <c r="J2649" s="23"/>
      <c r="K2649" s="24">
        <v>0</v>
      </c>
      <c r="L264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49" s="22" t="str">
        <f>HYPERLINK("mailto:cmaroto@crm.otsuka-europe.com", "cmaroto@crm.otsuka-europe.com")</f>
        <v>cmaroto@crm.otsuka-europe.com</v>
      </c>
      <c r="N2649" s="25">
        <v>46212.48337962963</v>
      </c>
      <c r="O2649" s="14" t="str">
        <f>HYPERLINK("https://otsuka-europe-crm.veevavault.com/ui/#object/email_activity__v/V8C000000045276", "EN-002103845")</f>
        <v>EN-002103845</v>
      </c>
    </row>
    <row r="2650" spans="1:15" ht="16" x14ac:dyDescent="0.2">
      <c r="A2650" s="26"/>
      <c r="B2650" s="26"/>
      <c r="C2650" s="26"/>
      <c r="D2650" s="26"/>
      <c r="E2650" s="26"/>
      <c r="F2650" s="26"/>
      <c r="G2650" s="26"/>
      <c r="H2650" s="26"/>
      <c r="I2650" s="26"/>
      <c r="J2650" s="26"/>
      <c r="K2650" s="26"/>
      <c r="L2650" s="26"/>
      <c r="M2650" s="26"/>
      <c r="N2650" s="26"/>
      <c r="O2650" s="14" t="str">
        <f>HYPERLINK("https://otsuka-europe-crm.veevavault.com/ui/#object/email_activity__v/V8C000000045303", "EN-002103891")</f>
        <v>EN-002103891</v>
      </c>
    </row>
    <row r="2651" spans="1:15" ht="16" x14ac:dyDescent="0.2">
      <c r="A2651" s="19"/>
      <c r="B2651" s="19"/>
      <c r="C2651" s="19"/>
      <c r="D2651" s="19"/>
      <c r="E2651" s="19"/>
      <c r="F2651" s="19"/>
      <c r="G2651" s="19"/>
      <c r="H2651" s="19"/>
      <c r="I2651" s="19"/>
      <c r="J2651" s="19"/>
      <c r="K2651" s="19"/>
      <c r="L2651" s="19"/>
      <c r="M2651" s="19"/>
      <c r="N2651" s="19"/>
      <c r="O2651" s="14" t="str">
        <f>HYPERLINK("https://otsuka-europe-crm.veevavault.com/ui/#object/email_activity__v/V8C000000046032", "EN-002103881")</f>
        <v>EN-002103881</v>
      </c>
    </row>
    <row r="2652" spans="1:15" ht="16" x14ac:dyDescent="0.2">
      <c r="A2652" s="18" t="str">
        <f>HYPERLINK("https://otsuka-europe-crm.veevavault.com/ui/#object/account__v/V4TZ06G6O71T7D0", "IVAN GILBERTO ARENAS MONCALEANO")</f>
        <v>IVAN GILBERTO ARENAS MONCALEANO</v>
      </c>
      <c r="B2652" s="18" t="str">
        <f>HYPERLINK("https://otsuka-europe-crm.veevavault.com/ui/#object/vcountry__v/VENZ000004SONF5", "ES")</f>
        <v>ES</v>
      </c>
      <c r="C2652" s="20" t="s">
        <v>39</v>
      </c>
      <c r="D26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52" s="22" t="str">
        <f>HYPERLINK("https://otsuka-europe-crm.veevavault.com/ui/#object/sent_email__v/VBL000000034537", "SE-001442943")</f>
        <v>SE-001442943</v>
      </c>
      <c r="F2652" s="25">
        <v>46212.587754629632</v>
      </c>
      <c r="G2652" s="24">
        <v>1</v>
      </c>
      <c r="H2652" s="24">
        <v>2</v>
      </c>
      <c r="I2652" s="24">
        <v>0</v>
      </c>
      <c r="J2652" s="23"/>
      <c r="K2652" s="24">
        <v>0</v>
      </c>
      <c r="L26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52" s="22" t="str">
        <f>HYPERLINK("mailto:cmaroto@crm.otsuka-europe.com", "cmaroto@crm.otsuka-europe.com")</f>
        <v>cmaroto@crm.otsuka-europe.com</v>
      </c>
      <c r="N2652" s="25">
        <v>46212.483391203707</v>
      </c>
      <c r="O2652" s="14" t="str">
        <f>HYPERLINK("https://otsuka-europe-crm.veevavault.com/ui/#object/email_activity__v/V8C000000045339", "EN-002103951")</f>
        <v>EN-002103951</v>
      </c>
    </row>
    <row r="2653" spans="1:15" ht="16" x14ac:dyDescent="0.2">
      <c r="A2653" s="26"/>
      <c r="B2653" s="26"/>
      <c r="C2653" s="26"/>
      <c r="D2653" s="26"/>
      <c r="E2653" s="26"/>
      <c r="F2653" s="26"/>
      <c r="G2653" s="26"/>
      <c r="H2653" s="26"/>
      <c r="I2653" s="26"/>
      <c r="J2653" s="26"/>
      <c r="K2653" s="26"/>
      <c r="L2653" s="26"/>
      <c r="M2653" s="26"/>
      <c r="N2653" s="26"/>
      <c r="O2653" s="14" t="str">
        <f>HYPERLINK("https://otsuka-europe-crm.veevavault.com/ui/#object/email_activity__v/V8C000000046010", "EN-002103831")</f>
        <v>EN-002103831</v>
      </c>
    </row>
    <row r="2654" spans="1:15" ht="16" x14ac:dyDescent="0.2">
      <c r="A2654" s="19"/>
      <c r="B2654" s="19"/>
      <c r="C2654" s="19"/>
      <c r="D2654" s="19"/>
      <c r="E2654" s="19"/>
      <c r="F2654" s="19"/>
      <c r="G2654" s="19"/>
      <c r="H2654" s="19"/>
      <c r="I2654" s="19"/>
      <c r="J2654" s="19"/>
      <c r="K2654" s="19"/>
      <c r="L2654" s="19"/>
      <c r="M2654" s="19"/>
      <c r="N2654" s="19"/>
      <c r="O2654" s="14" t="str">
        <f>HYPERLINK("https://otsuka-europe-crm.veevavault.com/ui/#object/email_activity__v/V8C000000046060", "EN-002103950")</f>
        <v>EN-002103950</v>
      </c>
    </row>
    <row r="2655" spans="1:15" ht="64" x14ac:dyDescent="0.2">
      <c r="A2655" s="7" t="str">
        <f>HYPERLINK("https://otsuka-europe-crm.veevavault.com/ui/#object/account__v/V4TZ04ASG8DPFKI", "ELENA PASCUAL PAJARES")</f>
        <v>ELENA PASCUAL PAJARES</v>
      </c>
      <c r="B2655" s="7" t="str">
        <f>HYPERLINK("https://otsuka-europe-crm.veevavault.com/ui/#object/vcountry__v/VENZ000004SONF5", "ES")</f>
        <v>ES</v>
      </c>
      <c r="C2655" s="8" t="s">
        <v>39</v>
      </c>
      <c r="D265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55" s="10" t="str">
        <f>HYPERLINK("https://otsuka-europe-crm.veevavault.com/ui/#object/sent_email__v/VBL000000034538", "SE-001442944")</f>
        <v>SE-001442944</v>
      </c>
      <c r="F2655" s="11"/>
      <c r="G2655" s="12">
        <v>0</v>
      </c>
      <c r="H2655" s="12">
        <v>0</v>
      </c>
      <c r="I2655" s="12">
        <v>0</v>
      </c>
      <c r="J2655" s="11"/>
      <c r="K2655" s="12">
        <v>0</v>
      </c>
      <c r="L265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55" s="10" t="str">
        <f>HYPERLINK("mailto:cmaroto@crm.otsuka-europe.com", "cmaroto@crm.otsuka-europe.com")</f>
        <v>cmaroto@crm.otsuka-europe.com</v>
      </c>
      <c r="N2655" s="13">
        <v>46212.483472222222</v>
      </c>
      <c r="O2655" s="14" t="str">
        <f>HYPERLINK("https://otsuka-europe-crm.veevavault.com/ui/#object/email_activity__v/V8C000000045261", "EN-002103821")</f>
        <v>EN-002103821</v>
      </c>
    </row>
    <row r="2656" spans="1:15" ht="64" x14ac:dyDescent="0.2">
      <c r="A2656" s="7" t="str">
        <f>HYPERLINK("https://otsuka-europe-crm.veevavault.com/ui/#object/account__v/V4TZ025E8720CEX", "LUCIA CORDERO GARCIA-GALAN")</f>
        <v>LUCIA CORDERO GARCIA-GALAN</v>
      </c>
      <c r="B2656" s="7" t="str">
        <f>HYPERLINK("https://otsuka-europe-crm.veevavault.com/ui/#object/vcountry__v/VENZ000004SONF5", "ES")</f>
        <v>ES</v>
      </c>
      <c r="C2656" s="8" t="s">
        <v>39</v>
      </c>
      <c r="D265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56" s="10" t="str">
        <f>HYPERLINK("https://otsuka-europe-crm.veevavault.com/ui/#object/sent_email__v/VBL000000034539", "SE-001442945")</f>
        <v>SE-001442945</v>
      </c>
      <c r="F2656" s="11"/>
      <c r="G2656" s="12">
        <v>0</v>
      </c>
      <c r="H2656" s="12">
        <v>0</v>
      </c>
      <c r="I2656" s="12">
        <v>0</v>
      </c>
      <c r="J2656" s="11"/>
      <c r="K2656" s="12">
        <v>0</v>
      </c>
      <c r="L265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56" s="10" t="str">
        <f>HYPERLINK("mailto:cmaroto@crm.otsuka-europe.com", "cmaroto@crm.otsuka-europe.com")</f>
        <v>cmaroto@crm.otsuka-europe.com</v>
      </c>
      <c r="N2656" s="13">
        <v>46212.483483796299</v>
      </c>
      <c r="O2656" s="14" t="str">
        <f>HYPERLINK("https://otsuka-europe-crm.veevavault.com/ui/#object/email_activity__v/V8C000000045265", "EN-002103825")</f>
        <v>EN-002103825</v>
      </c>
    </row>
    <row r="2657" spans="1:15" ht="16" x14ac:dyDescent="0.2">
      <c r="A2657" s="18" t="str">
        <f>HYPERLINK("https://otsuka-europe-crm.veevavault.com/ui/#object/account__v/V4T00000001G031", "MARIA LAURA BUCALO MANA")</f>
        <v>MARIA LAURA BUCALO MANA</v>
      </c>
      <c r="B2657" s="18" t="str">
        <f>HYPERLINK("https://otsuka-europe-crm.veevavault.com/ui/#object/vcountry__v/VENZ000004SONF5", "ES")</f>
        <v>ES</v>
      </c>
      <c r="C2657" s="20" t="s">
        <v>39</v>
      </c>
      <c r="D265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57" s="22" t="str">
        <f>HYPERLINK("https://otsuka-europe-crm.veevavault.com/ui/#object/sent_email__v/VBL000000034540", "SE-001442946")</f>
        <v>SE-001442946</v>
      </c>
      <c r="F2657" s="25">
        <v>46212.667569444442</v>
      </c>
      <c r="G2657" s="24">
        <v>1</v>
      </c>
      <c r="H2657" s="24">
        <v>2</v>
      </c>
      <c r="I2657" s="24">
        <v>1</v>
      </c>
      <c r="J2657" s="25">
        <v>46212.667824074073</v>
      </c>
      <c r="K2657" s="24">
        <v>1</v>
      </c>
      <c r="L265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57" s="22" t="str">
        <f>HYPERLINK("mailto:cmaroto@crm.otsuka-europe.com", "cmaroto@crm.otsuka-europe.com")</f>
        <v>cmaroto@crm.otsuka-europe.com</v>
      </c>
      <c r="N2657" s="25">
        <v>46212.483391203707</v>
      </c>
      <c r="O2657" s="14" t="str">
        <f>HYPERLINK("https://otsuka-europe-crm.veevavault.com/ui/#object/email_activity__v/V8C000000045270", "EN-002103835")</f>
        <v>EN-002103835</v>
      </c>
    </row>
    <row r="2658" spans="1:15" ht="16" x14ac:dyDescent="0.2">
      <c r="A2658" s="26"/>
      <c r="B2658" s="26"/>
      <c r="C2658" s="26"/>
      <c r="D2658" s="26"/>
      <c r="E2658" s="26"/>
      <c r="F2658" s="26"/>
      <c r="G2658" s="26"/>
      <c r="H2658" s="26"/>
      <c r="I2658" s="26"/>
      <c r="J2658" s="26"/>
      <c r="K2658" s="26"/>
      <c r="L2658" s="26"/>
      <c r="M2658" s="26"/>
      <c r="N2658" s="26"/>
      <c r="O2658" s="14" t="str">
        <f>HYPERLINK("https://otsuka-europe-crm.veevavault.com/ui/#object/email_activity__v/V8C000000045354", "EN-002103988")</f>
        <v>EN-002103988</v>
      </c>
    </row>
    <row r="2659" spans="1:15" ht="16" x14ac:dyDescent="0.2">
      <c r="A2659" s="26"/>
      <c r="B2659" s="26"/>
      <c r="C2659" s="26"/>
      <c r="D2659" s="26"/>
      <c r="E2659" s="26"/>
      <c r="F2659" s="26"/>
      <c r="G2659" s="26"/>
      <c r="H2659" s="26"/>
      <c r="I2659" s="26"/>
      <c r="J2659" s="26"/>
      <c r="K2659" s="26"/>
      <c r="L2659" s="26"/>
      <c r="M2659" s="26"/>
      <c r="N2659" s="26"/>
      <c r="O2659" s="14" t="str">
        <f>HYPERLINK("https://otsuka-europe-crm.veevavault.com/ui/#object/email_activity__v/V8C000000045355", "EN-002103989")</f>
        <v>EN-002103989</v>
      </c>
    </row>
    <row r="2660" spans="1:15" ht="16" x14ac:dyDescent="0.2">
      <c r="A2660" s="26"/>
      <c r="B2660" s="26"/>
      <c r="C2660" s="26"/>
      <c r="D2660" s="26"/>
      <c r="E2660" s="26"/>
      <c r="F2660" s="26"/>
      <c r="G2660" s="26"/>
      <c r="H2660" s="26"/>
      <c r="I2660" s="26"/>
      <c r="J2660" s="26"/>
      <c r="K2660" s="26"/>
      <c r="L2660" s="26"/>
      <c r="M2660" s="26"/>
      <c r="N2660" s="26"/>
      <c r="O2660" s="14" t="str">
        <f>HYPERLINK("https://otsuka-europe-crm.veevavault.com/ui/#object/email_activity__v/V8C000000046017", "EN-002103843")</f>
        <v>EN-002103843</v>
      </c>
    </row>
    <row r="2661" spans="1:15" ht="16" x14ac:dyDescent="0.2">
      <c r="A2661" s="19"/>
      <c r="B2661" s="19"/>
      <c r="C2661" s="19"/>
      <c r="D2661" s="19"/>
      <c r="E2661" s="19"/>
      <c r="F2661" s="19"/>
      <c r="G2661" s="19"/>
      <c r="H2661" s="19"/>
      <c r="I2661" s="19"/>
      <c r="J2661" s="19"/>
      <c r="K2661" s="19"/>
      <c r="L2661" s="19"/>
      <c r="M2661" s="19"/>
      <c r="N2661" s="19"/>
      <c r="O2661" s="14" t="str">
        <f>HYPERLINK("https://otsuka-europe-crm.veevavault.com/ui/#object/email_activity__v/V8C000000048059", "EN-002104294")</f>
        <v>EN-002104294</v>
      </c>
    </row>
    <row r="2662" spans="1:15" ht="64" x14ac:dyDescent="0.2">
      <c r="A2662" s="7" t="str">
        <f>HYPERLINK("https://otsuka-europe-crm.veevavault.com/ui/#object/account__v/V4T00000001U111", "PATRICIA TORRES MARTINEZ")</f>
        <v>PATRICIA TORRES MARTINEZ</v>
      </c>
      <c r="B2662" s="7" t="str">
        <f>HYPERLINK("https://otsuka-europe-crm.veevavault.com/ui/#object/vcountry__v/VENZ000004SONF5", "ES")</f>
        <v>ES</v>
      </c>
      <c r="C2662" s="8" t="s">
        <v>39</v>
      </c>
      <c r="D266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62" s="10" t="str">
        <f>HYPERLINK("https://otsuka-europe-crm.veevavault.com/ui/#object/sent_email__v/VBL000000034541", "SE-001442947")</f>
        <v>SE-001442947</v>
      </c>
      <c r="F2662" s="11"/>
      <c r="G2662" s="12">
        <v>0</v>
      </c>
      <c r="H2662" s="12">
        <v>0</v>
      </c>
      <c r="I2662" s="12">
        <v>0</v>
      </c>
      <c r="J2662" s="11"/>
      <c r="K2662" s="12">
        <v>0</v>
      </c>
      <c r="L266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62" s="10" t="str">
        <f>HYPERLINK("mailto:cmaroto@crm.otsuka-europe.com", "cmaroto@crm.otsuka-europe.com")</f>
        <v>cmaroto@crm.otsuka-europe.com</v>
      </c>
      <c r="N2662" s="13">
        <v>46212.483391203707</v>
      </c>
      <c r="O2662" s="14" t="str">
        <f>HYPERLINK("https://otsuka-europe-crm.veevavault.com/ui/#object/email_activity__v/V8C000000045271", "EN-002103836")</f>
        <v>EN-002103836</v>
      </c>
    </row>
    <row r="2663" spans="1:15" ht="16" x14ac:dyDescent="0.2">
      <c r="A2663" s="18" t="str">
        <f>HYPERLINK("https://otsuka-europe-crm.veevavault.com/ui/#object/account__v/V4TZ06G6O71TCAB", "SERAFIN TALLON LOBO")</f>
        <v>SERAFIN TALLON LOBO</v>
      </c>
      <c r="B2663" s="18" t="str">
        <f>HYPERLINK("https://otsuka-europe-crm.veevavault.com/ui/#object/vcountry__v/VENZ000004SONF5", "ES")</f>
        <v>ES</v>
      </c>
      <c r="C2663" s="20" t="s">
        <v>39</v>
      </c>
      <c r="D266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63" s="22" t="str">
        <f>HYPERLINK("https://otsuka-europe-crm.veevavault.com/ui/#object/sent_email__v/VBL000000034542", "SE-001442948")</f>
        <v>SE-001442948</v>
      </c>
      <c r="F2663" s="25">
        <v>46214.268414351849</v>
      </c>
      <c r="G2663" s="24">
        <v>1</v>
      </c>
      <c r="H2663" s="24">
        <v>1</v>
      </c>
      <c r="I2663" s="24">
        <v>0</v>
      </c>
      <c r="J2663" s="23"/>
      <c r="K2663" s="24">
        <v>0</v>
      </c>
      <c r="L266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63" s="22" t="str">
        <f>HYPERLINK("mailto:cmaroto@crm.otsuka-europe.com", "cmaroto@crm.otsuka-europe.com")</f>
        <v>cmaroto@crm.otsuka-europe.com</v>
      </c>
      <c r="N2663" s="25">
        <v>46212.483391203707</v>
      </c>
      <c r="O2663" s="14" t="str">
        <f>HYPERLINK("https://otsuka-europe-crm.veevavault.com/ui/#object/email_activity__v/V8C000000046014", "EN-002103839")</f>
        <v>EN-002103839</v>
      </c>
    </row>
    <row r="2664" spans="1:15" ht="16" x14ac:dyDescent="0.2">
      <c r="A2664" s="19"/>
      <c r="B2664" s="19"/>
      <c r="C2664" s="19"/>
      <c r="D2664" s="19"/>
      <c r="E2664" s="19"/>
      <c r="F2664" s="19"/>
      <c r="G2664" s="19"/>
      <c r="H2664" s="19"/>
      <c r="I2664" s="19"/>
      <c r="J2664" s="19"/>
      <c r="K2664" s="19"/>
      <c r="L2664" s="19"/>
      <c r="M2664" s="19"/>
      <c r="N2664" s="19"/>
      <c r="O2664" s="14" t="str">
        <f>HYPERLINK("https://otsuka-europe-crm.veevavault.com/ui/#object/email_activity__v/V8C00000004A004", "EN-002104877")</f>
        <v>EN-002104877</v>
      </c>
    </row>
    <row r="2665" spans="1:15" ht="64" x14ac:dyDescent="0.2">
      <c r="A2665" s="7" t="str">
        <f>HYPERLINK("https://otsuka-europe-crm.veevavault.com/ui/#object/account__v/V4TZ06G6O71T98M", "GABRIEL DE ARRIBA DE LA FUENTE")</f>
        <v>GABRIEL DE ARRIBA DE LA FUENTE</v>
      </c>
      <c r="B2665" s="7" t="str">
        <f>HYPERLINK("https://otsuka-europe-crm.veevavault.com/ui/#object/vcountry__v/VENZ000004SONF5", "ES")</f>
        <v>ES</v>
      </c>
      <c r="C2665" s="8" t="s">
        <v>39</v>
      </c>
      <c r="D266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65" s="10" t="str">
        <f>HYPERLINK("https://otsuka-europe-crm.veevavault.com/ui/#object/sent_email__v/VBL000000034543", "SE-001442949")</f>
        <v>SE-001442949</v>
      </c>
      <c r="F2665" s="11"/>
      <c r="G2665" s="12">
        <v>0</v>
      </c>
      <c r="H2665" s="12">
        <v>0</v>
      </c>
      <c r="I2665" s="12">
        <v>0</v>
      </c>
      <c r="J2665" s="11"/>
      <c r="K2665" s="12">
        <v>0</v>
      </c>
      <c r="L266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65" s="10" t="str">
        <f>HYPERLINK("mailto:cmaroto@crm.otsuka-europe.com", "cmaroto@crm.otsuka-europe.com")</f>
        <v>cmaroto@crm.otsuka-europe.com</v>
      </c>
      <c r="N2665" s="13">
        <v>46212.483483796299</v>
      </c>
      <c r="O2665" s="14" t="str">
        <f>HYPERLINK("https://otsuka-europe-crm.veevavault.com/ui/#object/email_activity__v/V8C000000045267", "EN-002103827")</f>
        <v>EN-002103827</v>
      </c>
    </row>
    <row r="2666" spans="1:15" ht="16" x14ac:dyDescent="0.2">
      <c r="A2666" s="18" t="str">
        <f>HYPERLINK("https://otsuka-europe-crm.veevavault.com/ui/#object/account__v/V4TZ06G6O71T7R1", "CRISTINA HERRAIZ CORREDOR")</f>
        <v>CRISTINA HERRAIZ CORREDOR</v>
      </c>
      <c r="B2666" s="18" t="str">
        <f>HYPERLINK("https://otsuka-europe-crm.veevavault.com/ui/#object/vcountry__v/VENZ000004SONF5", "ES")</f>
        <v>ES</v>
      </c>
      <c r="C2666" s="20" t="s">
        <v>39</v>
      </c>
      <c r="D266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66" s="22" t="str">
        <f>HYPERLINK("https://otsuka-europe-crm.veevavault.com/ui/#object/sent_email__v/VBL000000034544", "SE-001442950")</f>
        <v>SE-001442950</v>
      </c>
      <c r="F2666" s="23"/>
      <c r="G2666" s="24">
        <v>0</v>
      </c>
      <c r="H2666" s="24">
        <v>0</v>
      </c>
      <c r="I2666" s="24">
        <v>0</v>
      </c>
      <c r="J2666" s="23"/>
      <c r="K2666" s="24">
        <v>0</v>
      </c>
      <c r="L266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66" s="22" t="str">
        <f>HYPERLINK("mailto:cmaroto@crm.otsuka-europe.com", "cmaroto@crm.otsuka-europe.com")</f>
        <v>cmaroto@crm.otsuka-europe.com</v>
      </c>
      <c r="N2666" s="25">
        <v>46212.483391203707</v>
      </c>
      <c r="O2666" s="14" t="str">
        <f>HYPERLINK("https://otsuka-europe-crm.veevavault.com/ui/#object/email_activity__v/V8C000000046013", "EN-002103834")</f>
        <v>EN-002103834</v>
      </c>
    </row>
    <row r="2667" spans="1:15" ht="16" x14ac:dyDescent="0.2">
      <c r="A2667" s="26"/>
      <c r="B2667" s="26"/>
      <c r="C2667" s="26"/>
      <c r="D2667" s="26"/>
      <c r="E2667" s="26"/>
      <c r="F2667" s="26"/>
      <c r="G2667" s="26"/>
      <c r="H2667" s="26"/>
      <c r="I2667" s="26"/>
      <c r="J2667" s="26"/>
      <c r="K2667" s="26"/>
      <c r="L2667" s="26"/>
      <c r="M2667" s="26"/>
      <c r="N2667" s="26"/>
      <c r="O2667" s="14" t="str">
        <f>HYPERLINK("https://otsuka-europe-crm.veevavault.com/ui/#object/email_activity__v/V8C000000046070", "EN-002103961")</f>
        <v>EN-002103961</v>
      </c>
    </row>
    <row r="2668" spans="1:15" ht="16" x14ac:dyDescent="0.2">
      <c r="A2668" s="26"/>
      <c r="B2668" s="26"/>
      <c r="C2668" s="26"/>
      <c r="D2668" s="26"/>
      <c r="E2668" s="26"/>
      <c r="F2668" s="26"/>
      <c r="G2668" s="26"/>
      <c r="H2668" s="26"/>
      <c r="I2668" s="26"/>
      <c r="J2668" s="26"/>
      <c r="K2668" s="26"/>
      <c r="L2668" s="26"/>
      <c r="M2668" s="26"/>
      <c r="N2668" s="26"/>
      <c r="O2668" s="14" t="str">
        <f>HYPERLINK("https://otsuka-europe-crm.veevavault.com/ui/#object/email_activity__v/V8C000000046081", "EN-002103982")</f>
        <v>EN-002103982</v>
      </c>
    </row>
    <row r="2669" spans="1:15" ht="16" x14ac:dyDescent="0.2">
      <c r="A2669" s="19"/>
      <c r="B2669" s="19"/>
      <c r="C2669" s="19"/>
      <c r="D2669" s="19"/>
      <c r="E2669" s="19"/>
      <c r="F2669" s="19"/>
      <c r="G2669" s="19"/>
      <c r="H2669" s="19"/>
      <c r="I2669" s="19"/>
      <c r="J2669" s="19"/>
      <c r="K2669" s="19"/>
      <c r="L2669" s="19"/>
      <c r="M2669" s="19"/>
      <c r="N2669" s="19"/>
      <c r="O2669" s="14" t="str">
        <f>HYPERLINK("https://otsuka-europe-crm.veevavault.com/ui/#object/email_activity__v/V8C00000004A802", "EN-002106494")</f>
        <v>EN-002106494</v>
      </c>
    </row>
    <row r="2670" spans="1:15" ht="16" x14ac:dyDescent="0.2">
      <c r="A2670" s="18" t="str">
        <f>HYPERLINK("https://otsuka-europe-crm.veevavault.com/ui/#object/account__v/V4TZ06G6O71UQRP", "IRENE MARTIN CAPON")</f>
        <v>IRENE MARTIN CAPON</v>
      </c>
      <c r="B2670" s="18" t="str">
        <f>HYPERLINK("https://otsuka-europe-crm.veevavault.com/ui/#object/vcountry__v/VENZ000004SONF5", "ES")</f>
        <v>ES</v>
      </c>
      <c r="C2670" s="20" t="s">
        <v>39</v>
      </c>
      <c r="D267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70" s="22" t="str">
        <f>HYPERLINK("https://otsuka-europe-crm.veevavault.com/ui/#object/sent_email__v/VBL000000034545", "SE-001442951")</f>
        <v>SE-001442951</v>
      </c>
      <c r="F2670" s="23"/>
      <c r="G2670" s="24">
        <v>0</v>
      </c>
      <c r="H2670" s="24">
        <v>0</v>
      </c>
      <c r="I2670" s="24">
        <v>0</v>
      </c>
      <c r="J2670" s="23"/>
      <c r="K2670" s="24">
        <v>0</v>
      </c>
      <c r="L267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70" s="22" t="str">
        <f>HYPERLINK("mailto:cmaroto@crm.otsuka-europe.com", "cmaroto@crm.otsuka-europe.com")</f>
        <v>cmaroto@crm.otsuka-europe.com</v>
      </c>
      <c r="N2670" s="25">
        <v>46212.483391203707</v>
      </c>
      <c r="O2670" s="14" t="str">
        <f>HYPERLINK("https://otsuka-europe-crm.veevavault.com/ui/#object/email_activity__v/V8C000000046011", "EN-002103832")</f>
        <v>EN-002103832</v>
      </c>
    </row>
    <row r="2671" spans="1:15" ht="16" x14ac:dyDescent="0.2">
      <c r="A2671" s="19"/>
      <c r="B2671" s="19"/>
      <c r="C2671" s="19"/>
      <c r="D2671" s="19"/>
      <c r="E2671" s="19"/>
      <c r="F2671" s="19"/>
      <c r="G2671" s="19"/>
      <c r="H2671" s="19"/>
      <c r="I2671" s="19"/>
      <c r="J2671" s="19"/>
      <c r="K2671" s="19"/>
      <c r="L2671" s="19"/>
      <c r="M2671" s="19"/>
      <c r="N2671" s="19"/>
      <c r="O2671" s="14" t="str">
        <f>HYPERLINK("https://otsuka-europe-crm.veevavault.com/ui/#object/email_activity__v/V8C000000047018", "EN-002104188")</f>
        <v>EN-002104188</v>
      </c>
    </row>
    <row r="2672" spans="1:15" ht="16" x14ac:dyDescent="0.2">
      <c r="A2672" s="18" t="str">
        <f>HYPERLINK("https://otsuka-europe-crm.veevavault.com/ui/#object/account__v/V4TZ06G6O71T8BN", "BASILIO JESUS CABEZUELO RODRIGUEZ")</f>
        <v>BASILIO JESUS CABEZUELO RODRIGUEZ</v>
      </c>
      <c r="B2672" s="18" t="str">
        <f>HYPERLINK("https://otsuka-europe-crm.veevavault.com/ui/#object/vcountry__v/VENZ000004SONF5", "ES")</f>
        <v>ES</v>
      </c>
      <c r="C2672" s="20" t="s">
        <v>39</v>
      </c>
      <c r="D26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72" s="22" t="str">
        <f>HYPERLINK("https://otsuka-europe-crm.veevavault.com/ui/#object/sent_email__v/VBL000000034546", "SE-001442952")</f>
        <v>SE-001442952</v>
      </c>
      <c r="F2672" s="25">
        <v>46236.497210648151</v>
      </c>
      <c r="G2672" s="24">
        <v>1</v>
      </c>
      <c r="H2672" s="24">
        <v>2</v>
      </c>
      <c r="I2672" s="24">
        <v>0</v>
      </c>
      <c r="J2672" s="23"/>
      <c r="K2672" s="24">
        <v>0</v>
      </c>
      <c r="L26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72" s="22" t="str">
        <f>HYPERLINK("mailto:cmaroto@crm.otsuka-europe.com", "cmaroto@crm.otsuka-europe.com")</f>
        <v>cmaroto@crm.otsuka-europe.com</v>
      </c>
      <c r="N2672" s="25">
        <v>46212.483391203707</v>
      </c>
      <c r="O2672" s="14" t="str">
        <f>HYPERLINK("https://otsuka-europe-crm.veevavault.com/ui/#object/email_activity__v/V8C000000045272", "EN-002103837")</f>
        <v>EN-002103837</v>
      </c>
    </row>
    <row r="2673" spans="1:15" ht="16" x14ac:dyDescent="0.2">
      <c r="A2673" s="26"/>
      <c r="B2673" s="26"/>
      <c r="C2673" s="26"/>
      <c r="D2673" s="26"/>
      <c r="E2673" s="26"/>
      <c r="F2673" s="26"/>
      <c r="G2673" s="26"/>
      <c r="H2673" s="26"/>
      <c r="I2673" s="26"/>
      <c r="J2673" s="26"/>
      <c r="K2673" s="26"/>
      <c r="L2673" s="26"/>
      <c r="M2673" s="26"/>
      <c r="N2673" s="26"/>
      <c r="O2673" s="14" t="str">
        <f>HYPERLINK("https://otsuka-europe-crm.veevavault.com/ui/#object/email_activity__v/V8C00000004H098", "EN-002111112")</f>
        <v>EN-002111112</v>
      </c>
    </row>
    <row r="2674" spans="1:15" ht="16" x14ac:dyDescent="0.2">
      <c r="A2674" s="19"/>
      <c r="B2674" s="19"/>
      <c r="C2674" s="19"/>
      <c r="D2674" s="19"/>
      <c r="E2674" s="19"/>
      <c r="F2674" s="19"/>
      <c r="G2674" s="19"/>
      <c r="H2674" s="19"/>
      <c r="I2674" s="19"/>
      <c r="J2674" s="19"/>
      <c r="K2674" s="19"/>
      <c r="L2674" s="19"/>
      <c r="M2674" s="19"/>
      <c r="N2674" s="19"/>
      <c r="O2674" s="14" t="str">
        <f>HYPERLINK("https://otsuka-europe-crm.veevavault.com/ui/#object/email_activity__v/V8C00000004H099", "EN-002111113")</f>
        <v>EN-002111113</v>
      </c>
    </row>
    <row r="2675" spans="1:15" ht="16" x14ac:dyDescent="0.2">
      <c r="A2675" s="18" t="str">
        <f>HYPERLINK("https://otsuka-europe-crm.veevavault.com/ui/#object/account__v/V4TZ06G6O71URQ7", "XAVIER ENRIQUE GUERRA TORRES")</f>
        <v>XAVIER ENRIQUE GUERRA TORRES</v>
      </c>
      <c r="B2675" s="18" t="str">
        <f>HYPERLINK("https://otsuka-europe-crm.veevavault.com/ui/#object/vcountry__v/VENZ000004SONF5", "ES")</f>
        <v>ES</v>
      </c>
      <c r="C2675" s="20" t="s">
        <v>39</v>
      </c>
      <c r="D26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75" s="22" t="str">
        <f>HYPERLINK("https://otsuka-europe-crm.veevavault.com/ui/#object/sent_email__v/VBL000000034547", "SE-001442953")</f>
        <v>SE-001442953</v>
      </c>
      <c r="F2675" s="23"/>
      <c r="G2675" s="24">
        <v>0</v>
      </c>
      <c r="H2675" s="24">
        <v>0</v>
      </c>
      <c r="I2675" s="24">
        <v>0</v>
      </c>
      <c r="J2675" s="23"/>
      <c r="K2675" s="24">
        <v>0</v>
      </c>
      <c r="L26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75" s="22" t="str">
        <f>HYPERLINK("mailto:cmaroto@crm.otsuka-europe.com", "cmaroto@crm.otsuka-europe.com")</f>
        <v>cmaroto@crm.otsuka-europe.com</v>
      </c>
      <c r="N2675" s="25">
        <v>46212.483483796299</v>
      </c>
      <c r="O2675" s="14" t="str">
        <f>HYPERLINK("https://otsuka-europe-crm.veevavault.com/ui/#object/email_activity__v/V8C000000045264", "EN-002103824")</f>
        <v>EN-002103824</v>
      </c>
    </row>
    <row r="2676" spans="1:15" ht="16" x14ac:dyDescent="0.2">
      <c r="A2676" s="19"/>
      <c r="B2676" s="19"/>
      <c r="C2676" s="19"/>
      <c r="D2676" s="19"/>
      <c r="E2676" s="19"/>
      <c r="F2676" s="19"/>
      <c r="G2676" s="19"/>
      <c r="H2676" s="19"/>
      <c r="I2676" s="19"/>
      <c r="J2676" s="19"/>
      <c r="K2676" s="19"/>
      <c r="L2676" s="19"/>
      <c r="M2676" s="19"/>
      <c r="N2676" s="19"/>
      <c r="O2676" s="14" t="str">
        <f>HYPERLINK("https://otsuka-europe-crm.veevavault.com/ui/#object/email_activity__v/V8C000000046083", "EN-002103987")</f>
        <v>EN-002103987</v>
      </c>
    </row>
    <row r="2677" spans="1:15" ht="64" x14ac:dyDescent="0.2">
      <c r="A2677" s="7" t="str">
        <f>HYPERLINK("https://otsuka-europe-crm.veevavault.com/ui/#object/account__v/V4TZ06G6O71T97L", "SARA ANAYA FERNANDEZ")</f>
        <v>SARA ANAYA FERNANDEZ</v>
      </c>
      <c r="B2677" s="7" t="str">
        <f>HYPERLINK("https://otsuka-europe-crm.veevavault.com/ui/#object/vcountry__v/VENZ000004SONF5", "ES")</f>
        <v>ES</v>
      </c>
      <c r="C2677" s="8" t="s">
        <v>39</v>
      </c>
      <c r="D267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77" s="10" t="str">
        <f>HYPERLINK("https://otsuka-europe-crm.veevavault.com/ui/#object/sent_email__v/VBL000000034548", "SE-001442954")</f>
        <v>SE-001442954</v>
      </c>
      <c r="F2677" s="11"/>
      <c r="G2677" s="12">
        <v>0</v>
      </c>
      <c r="H2677" s="12">
        <v>0</v>
      </c>
      <c r="I2677" s="12">
        <v>0</v>
      </c>
      <c r="J2677" s="11"/>
      <c r="K2677" s="12">
        <v>0</v>
      </c>
      <c r="L267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77" s="10" t="str">
        <f>HYPERLINK("mailto:cmaroto@crm.otsuka-europe.com", "cmaroto@crm.otsuka-europe.com")</f>
        <v>cmaroto@crm.otsuka-europe.com</v>
      </c>
      <c r="N2677" s="13">
        <v>46212.483391203707</v>
      </c>
      <c r="O2677" s="14" t="str">
        <f>HYPERLINK("https://otsuka-europe-crm.veevavault.com/ui/#object/email_activity__v/V8C000000045283", "EN-002103854")</f>
        <v>EN-002103854</v>
      </c>
    </row>
    <row r="2678" spans="1:15" ht="16" x14ac:dyDescent="0.2">
      <c r="A2678" s="18" t="str">
        <f>HYPERLINK("https://otsuka-europe-crm.veevavault.com/ui/#object/account__v/V4TZ06G6O71TBUD", "DABAIBA REGIDOR RODRIGUEZ")</f>
        <v>DABAIBA REGIDOR RODRIGUEZ</v>
      </c>
      <c r="B2678" s="18" t="str">
        <f>HYPERLINK("https://otsuka-europe-crm.veevavault.com/ui/#object/vcountry__v/VENZ000004SONF5", "ES")</f>
        <v>ES</v>
      </c>
      <c r="C2678" s="20" t="s">
        <v>39</v>
      </c>
      <c r="D267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78" s="22" t="str">
        <f>HYPERLINK("https://otsuka-europe-crm.veevavault.com/ui/#object/sent_email__v/VBL000000034549", "SE-001442955")</f>
        <v>SE-001442955</v>
      </c>
      <c r="F2678" s="23"/>
      <c r="G2678" s="24">
        <v>0</v>
      </c>
      <c r="H2678" s="24">
        <v>0</v>
      </c>
      <c r="I2678" s="24">
        <v>0</v>
      </c>
      <c r="J2678" s="23"/>
      <c r="K2678" s="24">
        <v>0</v>
      </c>
      <c r="L267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78" s="22" t="str">
        <f>HYPERLINK("mailto:cmaroto@crm.otsuka-europe.com", "cmaroto@crm.otsuka-europe.com")</f>
        <v>cmaroto@crm.otsuka-europe.com</v>
      </c>
      <c r="N2678" s="25">
        <v>46212.483391203707</v>
      </c>
      <c r="O2678" s="14" t="str">
        <f>HYPERLINK("https://otsuka-europe-crm.veevavault.com/ui/#object/email_activity__v/V8C000000045275", "EN-002103844")</f>
        <v>EN-002103844</v>
      </c>
    </row>
    <row r="2679" spans="1:15" ht="16" x14ac:dyDescent="0.2">
      <c r="A2679" s="19"/>
      <c r="B2679" s="19"/>
      <c r="C2679" s="19"/>
      <c r="D2679" s="19"/>
      <c r="E2679" s="19"/>
      <c r="F2679" s="19"/>
      <c r="G2679" s="19"/>
      <c r="H2679" s="19"/>
      <c r="I2679" s="19"/>
      <c r="J2679" s="19"/>
      <c r="K2679" s="19"/>
      <c r="L2679" s="19"/>
      <c r="M2679" s="19"/>
      <c r="N2679" s="19"/>
      <c r="O2679" s="14" t="str">
        <f>HYPERLINK("https://otsuka-europe-crm.veevavault.com/ui/#object/email_activity__v/V8C00000004A387", "EN-002105708")</f>
        <v>EN-002105708</v>
      </c>
    </row>
    <row r="2680" spans="1:15" ht="16" x14ac:dyDescent="0.2">
      <c r="A2680" s="18" t="str">
        <f>HYPERLINK("https://otsuka-europe-crm.veevavault.com/ui/#object/account__v/V4TZ06G6O71T7H6", "JOSE CARLOS DE LA FLOR MERINO")</f>
        <v>JOSE CARLOS DE LA FLOR MERINO</v>
      </c>
      <c r="B2680" s="18" t="str">
        <f>HYPERLINK("https://otsuka-europe-crm.veevavault.com/ui/#object/vcountry__v/VENZ000004SONF5", "ES")</f>
        <v>ES</v>
      </c>
      <c r="C2680" s="20" t="s">
        <v>39</v>
      </c>
      <c r="D268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80" s="22" t="str">
        <f>HYPERLINK("https://otsuka-europe-crm.veevavault.com/ui/#object/sent_email__v/VBL000000034550", "SE-001442956")</f>
        <v>SE-001442956</v>
      </c>
      <c r="F2680" s="23"/>
      <c r="G2680" s="24">
        <v>0</v>
      </c>
      <c r="H2680" s="24">
        <v>0</v>
      </c>
      <c r="I2680" s="24">
        <v>0</v>
      </c>
      <c r="J2680" s="23"/>
      <c r="K2680" s="24">
        <v>0</v>
      </c>
      <c r="L268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80" s="22" t="str">
        <f>HYPERLINK("mailto:cmaroto@crm.otsuka-europe.com", "cmaroto@crm.otsuka-europe.com")</f>
        <v>cmaroto@crm.otsuka-europe.com</v>
      </c>
      <c r="N2680" s="25">
        <v>46212.483391203707</v>
      </c>
      <c r="O2680" s="14" t="str">
        <f>HYPERLINK("https://otsuka-europe-crm.veevavault.com/ui/#object/email_activity__v/V8C000000046018", "EN-002103847")</f>
        <v>EN-002103847</v>
      </c>
    </row>
    <row r="2681" spans="1:15" ht="16" x14ac:dyDescent="0.2">
      <c r="A2681" s="19"/>
      <c r="B2681" s="19"/>
      <c r="C2681" s="19"/>
      <c r="D2681" s="19"/>
      <c r="E2681" s="19"/>
      <c r="F2681" s="19"/>
      <c r="G2681" s="19"/>
      <c r="H2681" s="19"/>
      <c r="I2681" s="19"/>
      <c r="J2681" s="19"/>
      <c r="K2681" s="19"/>
      <c r="L2681" s="19"/>
      <c r="M2681" s="19"/>
      <c r="N2681" s="19"/>
      <c r="O2681" s="14" t="str">
        <f>HYPERLINK("https://otsuka-europe-crm.veevavault.com/ui/#object/email_activity__v/V8C000000046055", "EN-002103939")</f>
        <v>EN-002103939</v>
      </c>
    </row>
    <row r="2682" spans="1:15" ht="16" x14ac:dyDescent="0.2">
      <c r="A2682" s="18" t="str">
        <f>HYPERLINK("https://otsuka-europe-crm.veevavault.com/ui/#object/account__v/V4TZ06G6OA5WQEC", "JULIO PASCUAL SANTOS")</f>
        <v>JULIO PASCUAL SANTOS</v>
      </c>
      <c r="B2682" s="18" t="str">
        <f>HYPERLINK("https://otsuka-europe-crm.veevavault.com/ui/#object/vcountry__v/VENZ000004SONF5", "ES")</f>
        <v>ES</v>
      </c>
      <c r="C2682" s="20" t="s">
        <v>39</v>
      </c>
      <c r="D268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82" s="22" t="str">
        <f>HYPERLINK("https://otsuka-europe-crm.veevavault.com/ui/#object/sent_email__v/VBL000000034551", "SE-001442957")</f>
        <v>SE-001442957</v>
      </c>
      <c r="F2682" s="23"/>
      <c r="G2682" s="24">
        <v>0</v>
      </c>
      <c r="H2682" s="24">
        <v>0</v>
      </c>
      <c r="I2682" s="24">
        <v>0</v>
      </c>
      <c r="J2682" s="23"/>
      <c r="K2682" s="24">
        <v>0</v>
      </c>
      <c r="L268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82" s="22" t="str">
        <f>HYPERLINK("mailto:cmaroto@crm.otsuka-europe.com", "cmaroto@crm.otsuka-europe.com")</f>
        <v>cmaroto@crm.otsuka-europe.com</v>
      </c>
      <c r="N2682" s="25">
        <v>46212.483391203707</v>
      </c>
      <c r="O2682" s="14" t="str">
        <f>HYPERLINK("https://otsuka-europe-crm.veevavault.com/ui/#object/email_activity__v/V8C000000045274", "EN-002103841")</f>
        <v>EN-002103841</v>
      </c>
    </row>
    <row r="2683" spans="1:15" ht="16" x14ac:dyDescent="0.2">
      <c r="A2683" s="19"/>
      <c r="B2683" s="19"/>
      <c r="C2683" s="19"/>
      <c r="D2683" s="19"/>
      <c r="E2683" s="19"/>
      <c r="F2683" s="19"/>
      <c r="G2683" s="19"/>
      <c r="H2683" s="19"/>
      <c r="I2683" s="19"/>
      <c r="J2683" s="19"/>
      <c r="K2683" s="19"/>
      <c r="L2683" s="19"/>
      <c r="M2683" s="19"/>
      <c r="N2683" s="19"/>
      <c r="O2683" s="14" t="str">
        <f>HYPERLINK("https://otsuka-europe-crm.veevavault.com/ui/#object/email_activity__v/V8C000000046059", "EN-002103949")</f>
        <v>EN-002103949</v>
      </c>
    </row>
    <row r="2684" spans="1:15" ht="16" x14ac:dyDescent="0.2">
      <c r="A2684" s="18" t="str">
        <f>HYPERLINK("https://otsuka-europe-crm.veevavault.com/ui/#object/account__v/V4TZ06G6O71T8XF", "MARIA CARMEN HERNAIZ VALENCIA")</f>
        <v>MARIA CARMEN HERNAIZ VALENCIA</v>
      </c>
      <c r="B2684" s="18" t="str">
        <f>HYPERLINK("https://otsuka-europe-crm.veevavault.com/ui/#object/vcountry__v/VENZ000004SONF5", "ES")</f>
        <v>ES</v>
      </c>
      <c r="C2684" s="20" t="s">
        <v>39</v>
      </c>
      <c r="D268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84" s="22" t="str">
        <f>HYPERLINK("https://otsuka-europe-crm.veevavault.com/ui/#object/sent_email__v/VBL000000034552", "SE-001442958")</f>
        <v>SE-001442958</v>
      </c>
      <c r="F2684" s="25">
        <v>46212.517071759263</v>
      </c>
      <c r="G2684" s="24">
        <v>1</v>
      </c>
      <c r="H2684" s="24">
        <v>2</v>
      </c>
      <c r="I2684" s="24">
        <v>0</v>
      </c>
      <c r="J2684" s="23"/>
      <c r="K2684" s="24">
        <v>0</v>
      </c>
      <c r="L268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84" s="22" t="str">
        <f>HYPERLINK("mailto:cmaroto@crm.otsuka-europe.com", "cmaroto@crm.otsuka-europe.com")</f>
        <v>cmaroto@crm.otsuka-europe.com</v>
      </c>
      <c r="N2684" s="25">
        <v>46212.483472222222</v>
      </c>
      <c r="O2684" s="14" t="str">
        <f>HYPERLINK("https://otsuka-europe-crm.veevavault.com/ui/#object/email_activity__v/V8C000000045263", "EN-002103823")</f>
        <v>EN-002103823</v>
      </c>
    </row>
    <row r="2685" spans="1:15" ht="16" x14ac:dyDescent="0.2">
      <c r="A2685" s="26"/>
      <c r="B2685" s="26"/>
      <c r="C2685" s="26"/>
      <c r="D2685" s="26"/>
      <c r="E2685" s="26"/>
      <c r="F2685" s="26"/>
      <c r="G2685" s="26"/>
      <c r="H2685" s="26"/>
      <c r="I2685" s="26"/>
      <c r="J2685" s="26"/>
      <c r="K2685" s="26"/>
      <c r="L2685" s="26"/>
      <c r="M2685" s="26"/>
      <c r="N2685" s="26"/>
      <c r="O2685" s="14" t="str">
        <f>HYPERLINK("https://otsuka-europe-crm.veevavault.com/ui/#object/email_activity__v/V8C000000046033", "EN-002103882")</f>
        <v>EN-002103882</v>
      </c>
    </row>
    <row r="2686" spans="1:15" ht="16" x14ac:dyDescent="0.2">
      <c r="A2686" s="19"/>
      <c r="B2686" s="19"/>
      <c r="C2686" s="19"/>
      <c r="D2686" s="19"/>
      <c r="E2686" s="19"/>
      <c r="F2686" s="19"/>
      <c r="G2686" s="19"/>
      <c r="H2686" s="19"/>
      <c r="I2686" s="19"/>
      <c r="J2686" s="19"/>
      <c r="K2686" s="19"/>
      <c r="L2686" s="19"/>
      <c r="M2686" s="19"/>
      <c r="N2686" s="19"/>
      <c r="O2686" s="14" t="str">
        <f>HYPERLINK("https://otsuka-europe-crm.veevavault.com/ui/#object/email_activity__v/V8C000000046045", "EN-002103915")</f>
        <v>EN-002103915</v>
      </c>
    </row>
    <row r="2687" spans="1:15" ht="64" x14ac:dyDescent="0.2">
      <c r="A2687" s="7" t="str">
        <f>HYPERLINK("https://otsuka-europe-crm.veevavault.com/ui/#object/account__v/V4TZ06G6O71T8JB", "RAUL FERNANDEZ PRADO")</f>
        <v>RAUL FERNANDEZ PRADO</v>
      </c>
      <c r="B2687" s="7" t="str">
        <f>HYPERLINK("https://otsuka-europe-crm.veevavault.com/ui/#object/vcountry__v/VENZ000004SONF5", "ES")</f>
        <v>ES</v>
      </c>
      <c r="C2687" s="8" t="s">
        <v>39</v>
      </c>
      <c r="D268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87" s="10" t="str">
        <f>HYPERLINK("https://otsuka-europe-crm.veevavault.com/ui/#object/sent_email__v/VBL000000034553", "SE-001442959")</f>
        <v>SE-001442959</v>
      </c>
      <c r="F2687" s="11"/>
      <c r="G2687" s="12">
        <v>0</v>
      </c>
      <c r="H2687" s="12">
        <v>0</v>
      </c>
      <c r="I2687" s="12">
        <v>0</v>
      </c>
      <c r="J2687" s="11"/>
      <c r="K2687" s="12">
        <v>0</v>
      </c>
      <c r="L268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87" s="10" t="str">
        <f>HYPERLINK("mailto:cmaroto@crm.otsuka-europe.com", "cmaroto@crm.otsuka-europe.com")</f>
        <v>cmaroto@crm.otsuka-europe.com</v>
      </c>
      <c r="N2687" s="13">
        <v>46212.483483796299</v>
      </c>
      <c r="O2687" s="14" t="str">
        <f>HYPERLINK("https://otsuka-europe-crm.veevavault.com/ui/#object/email_activity__v/V8C000000045266", "EN-002103826")</f>
        <v>EN-002103826</v>
      </c>
    </row>
    <row r="2688" spans="1:15" ht="64" x14ac:dyDescent="0.2">
      <c r="A2688" s="7" t="str">
        <f>HYPERLINK("https://otsuka-europe-crm.veevavault.com/ui/#object/account__v/V4TZ06G6O71TBEJ", "ALBERTO ORTIZ ARDUAN")</f>
        <v>ALBERTO ORTIZ ARDUAN</v>
      </c>
      <c r="B2688" s="7" t="str">
        <f>HYPERLINK("https://otsuka-europe-crm.veevavault.com/ui/#object/vcountry__v/VENZ000004SONF5", "ES")</f>
        <v>ES</v>
      </c>
      <c r="C2688" s="8" t="s">
        <v>39</v>
      </c>
      <c r="D268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88" s="10" t="str">
        <f>HYPERLINK("https://otsuka-europe-crm.veevavault.com/ui/#object/sent_email__v/VBL000000034554", "SE-001442960")</f>
        <v>SE-001442960</v>
      </c>
      <c r="F2688" s="11"/>
      <c r="G2688" s="12">
        <v>0</v>
      </c>
      <c r="H2688" s="12">
        <v>0</v>
      </c>
      <c r="I2688" s="12">
        <v>0</v>
      </c>
      <c r="J2688" s="11"/>
      <c r="K2688" s="12">
        <v>0</v>
      </c>
      <c r="L268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88" s="10" t="str">
        <f>HYPERLINK("mailto:cmaroto@crm.otsuka-europe.com", "cmaroto@crm.otsuka-europe.com")</f>
        <v>cmaroto@crm.otsuka-europe.com</v>
      </c>
      <c r="N2688" s="13">
        <v>46212.483391203707</v>
      </c>
      <c r="O2688" s="14" t="str">
        <f>HYPERLINK("https://otsuka-europe-crm.veevavault.com/ui/#object/email_activity__v/V8C000000045269", "EN-002103829")</f>
        <v>EN-002103829</v>
      </c>
    </row>
    <row r="2689" spans="1:15" ht="16" x14ac:dyDescent="0.2">
      <c r="A2689" s="18" t="str">
        <f>HYPERLINK("https://otsuka-europe-crm.veevavault.com/ui/#object/account__v/V4TZ06G6O71TC7U", "MARIA DOLORES SANCHEZ DE LA NIETA GARCIA")</f>
        <v>MARIA DOLORES SANCHEZ DE LA NIETA GARCIA</v>
      </c>
      <c r="B2689" s="18" t="str">
        <f>HYPERLINK("https://otsuka-europe-crm.veevavault.com/ui/#object/vcountry__v/VENZ000004SONF5", "ES")</f>
        <v>ES</v>
      </c>
      <c r="C2689" s="20" t="s">
        <v>39</v>
      </c>
      <c r="D268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89" s="22" t="str">
        <f>HYPERLINK("https://otsuka-europe-crm.veevavault.com/ui/#object/sent_email__v/VBL000000034555", "SE-001442961")</f>
        <v>SE-001442961</v>
      </c>
      <c r="F2689" s="23"/>
      <c r="G2689" s="24">
        <v>0</v>
      </c>
      <c r="H2689" s="24">
        <v>0</v>
      </c>
      <c r="I2689" s="24">
        <v>0</v>
      </c>
      <c r="J2689" s="23"/>
      <c r="K2689" s="24">
        <v>0</v>
      </c>
      <c r="L268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89" s="22" t="str">
        <f>HYPERLINK("mailto:cmaroto@crm.otsuka-europe.com", "cmaroto@crm.otsuka-europe.com")</f>
        <v>cmaroto@crm.otsuka-europe.com</v>
      </c>
      <c r="N2689" s="25">
        <v>46212.483391203707</v>
      </c>
      <c r="O2689" s="14" t="str">
        <f>HYPERLINK("https://otsuka-europe-crm.veevavault.com/ui/#object/email_activity__v/V8C000000046009", "EN-002103830")</f>
        <v>EN-002103830</v>
      </c>
    </row>
    <row r="2690" spans="1:15" ht="16" x14ac:dyDescent="0.2">
      <c r="A2690" s="26"/>
      <c r="B2690" s="26"/>
      <c r="C2690" s="26"/>
      <c r="D2690" s="26"/>
      <c r="E2690" s="26"/>
      <c r="F2690" s="26"/>
      <c r="G2690" s="26"/>
      <c r="H2690" s="26"/>
      <c r="I2690" s="26"/>
      <c r="J2690" s="26"/>
      <c r="K2690" s="26"/>
      <c r="L2690" s="26"/>
      <c r="M2690" s="26"/>
      <c r="N2690" s="26"/>
      <c r="O2690" s="14" t="str">
        <f>HYPERLINK("https://otsuka-europe-crm.veevavault.com/ui/#object/email_activity__v/V8C000000047379", "EN-002104831")</f>
        <v>EN-002104831</v>
      </c>
    </row>
    <row r="2691" spans="1:15" ht="16" x14ac:dyDescent="0.2">
      <c r="A2691" s="19"/>
      <c r="B2691" s="19"/>
      <c r="C2691" s="19"/>
      <c r="D2691" s="19"/>
      <c r="E2691" s="19"/>
      <c r="F2691" s="19"/>
      <c r="G2691" s="19"/>
      <c r="H2691" s="19"/>
      <c r="I2691" s="19"/>
      <c r="J2691" s="19"/>
      <c r="K2691" s="19"/>
      <c r="L2691" s="19"/>
      <c r="M2691" s="19"/>
      <c r="N2691" s="19"/>
      <c r="O2691" s="14" t="str">
        <f>HYPERLINK("https://otsuka-europe-crm.veevavault.com/ui/#object/email_activity__v/V8C00000004A787", "EN-002106467")</f>
        <v>EN-002106467</v>
      </c>
    </row>
    <row r="2692" spans="1:15" ht="64" x14ac:dyDescent="0.2">
      <c r="A2692" s="7" t="str">
        <f>HYPERLINK("https://otsuka-europe-crm.veevavault.com/ui/#object/account__v/V4TZ06G6O71TAA6", "MARIA LUISA ILLESCAS FERNANDEZ-BERMEJO")</f>
        <v>MARIA LUISA ILLESCAS FERNANDEZ-BERMEJO</v>
      </c>
      <c r="B2692" s="7" t="str">
        <f>HYPERLINK("https://otsuka-europe-crm.veevavault.com/ui/#object/vcountry__v/VENZ000004SONF5", "ES")</f>
        <v>ES</v>
      </c>
      <c r="C2692" s="8" t="s">
        <v>39</v>
      </c>
      <c r="D269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92" s="10" t="str">
        <f>HYPERLINK("https://otsuka-europe-crm.veevavault.com/ui/#object/sent_email__v/VBL000000034556", "SE-001442962")</f>
        <v>SE-001442962</v>
      </c>
      <c r="F2692" s="11"/>
      <c r="G2692" s="12">
        <v>0</v>
      </c>
      <c r="H2692" s="12">
        <v>0</v>
      </c>
      <c r="I2692" s="12">
        <v>0</v>
      </c>
      <c r="J2692" s="11"/>
      <c r="K2692" s="12">
        <v>0</v>
      </c>
      <c r="L269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92" s="10" t="str">
        <f>HYPERLINK("mailto:cmaroto@crm.otsuka-europe.com", "cmaroto@crm.otsuka-europe.com")</f>
        <v>cmaroto@crm.otsuka-europe.com</v>
      </c>
      <c r="N2692" s="13">
        <v>46212.48337962963</v>
      </c>
      <c r="O2692" s="14" t="str">
        <f>HYPERLINK("https://otsuka-europe-crm.veevavault.com/ui/#object/email_activity__v/V8C000000046015", "EN-002103840")</f>
        <v>EN-002103840</v>
      </c>
    </row>
    <row r="2693" spans="1:15" ht="16" x14ac:dyDescent="0.2">
      <c r="A2693" s="18" t="str">
        <f>HYPERLINK("https://otsuka-europe-crm.veevavault.com/ui/#object/account__v/V4TZ04ASG6ZSX9E", "PABLO ALEJANDRO SARDUY CORONADO")</f>
        <v>PABLO ALEJANDRO SARDUY CORONADO</v>
      </c>
      <c r="B2693" s="18" t="str">
        <f>HYPERLINK("https://otsuka-europe-crm.veevavault.com/ui/#object/vcountry__v/VENZ000004SONF5", "ES")</f>
        <v>ES</v>
      </c>
      <c r="C2693" s="20" t="s">
        <v>39</v>
      </c>
      <c r="D269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93" s="22" t="str">
        <f>HYPERLINK("https://otsuka-europe-crm.veevavault.com/ui/#object/sent_email__v/VBL000000034557", "SE-001442963")</f>
        <v>SE-001442963</v>
      </c>
      <c r="F2693" s="25">
        <v>46212.543391203704</v>
      </c>
      <c r="G2693" s="24">
        <v>1</v>
      </c>
      <c r="H2693" s="24">
        <v>1</v>
      </c>
      <c r="I2693" s="24">
        <v>0</v>
      </c>
      <c r="J2693" s="23"/>
      <c r="K2693" s="24">
        <v>0</v>
      </c>
      <c r="L269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93" s="22" t="str">
        <f>HYPERLINK("mailto:cmaroto@crm.otsuka-europe.com", "cmaroto@crm.otsuka-europe.com")</f>
        <v>cmaroto@crm.otsuka-europe.com</v>
      </c>
      <c r="N2693" s="25">
        <v>46212.48337962963</v>
      </c>
      <c r="O2693" s="14" t="str">
        <f>HYPERLINK("https://otsuka-europe-crm.veevavault.com/ui/#object/email_activity__v/V8C000000045277", "EN-002103846")</f>
        <v>EN-002103846</v>
      </c>
    </row>
    <row r="2694" spans="1:15" ht="16" x14ac:dyDescent="0.2">
      <c r="A2694" s="19"/>
      <c r="B2694" s="19"/>
      <c r="C2694" s="19"/>
      <c r="D2694" s="19"/>
      <c r="E2694" s="19"/>
      <c r="F2694" s="19"/>
      <c r="G2694" s="19"/>
      <c r="H2694" s="19"/>
      <c r="I2694" s="19"/>
      <c r="J2694" s="19"/>
      <c r="K2694" s="19"/>
      <c r="L2694" s="19"/>
      <c r="M2694" s="19"/>
      <c r="N2694" s="19"/>
      <c r="O2694" s="14" t="str">
        <f>HYPERLINK("https://otsuka-europe-crm.veevavault.com/ui/#object/email_activity__v/V8C000000045322", "EN-002103923")</f>
        <v>EN-002103923</v>
      </c>
    </row>
    <row r="2695" spans="1:15" ht="16" x14ac:dyDescent="0.2">
      <c r="A2695" s="18" t="str">
        <f>HYPERLINK("https://otsuka-europe-crm.veevavault.com/ui/#object/account__v/V4TZ06G6O71TC16", "ANA MARIA ROMERA SEGORBE")</f>
        <v>ANA MARIA ROMERA SEGORBE</v>
      </c>
      <c r="B2695" s="18" t="str">
        <f>HYPERLINK("https://otsuka-europe-crm.veevavault.com/ui/#object/vcountry__v/VENZ000004SONF5", "ES")</f>
        <v>ES</v>
      </c>
      <c r="C2695" s="20" t="s">
        <v>39</v>
      </c>
      <c r="D269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2695" s="22" t="str">
        <f>HYPERLINK("https://otsuka-europe-crm.veevavault.com/ui/#object/sent_email__v/VBL000000034558", "SE-001442964")</f>
        <v>SE-001442964</v>
      </c>
      <c r="F2695" s="23"/>
      <c r="G2695" s="24">
        <v>0</v>
      </c>
      <c r="H2695" s="24">
        <v>0</v>
      </c>
      <c r="I2695" s="24">
        <v>0</v>
      </c>
      <c r="J2695" s="23"/>
      <c r="K2695" s="24">
        <v>0</v>
      </c>
      <c r="L269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2695" s="22" t="str">
        <f>HYPERLINK("mailto:cmaroto@crm.otsuka-europe.com", "cmaroto@crm.otsuka-europe.com")</f>
        <v>cmaroto@crm.otsuka-europe.com</v>
      </c>
      <c r="N2695" s="25">
        <v>46212.48337962963</v>
      </c>
      <c r="O2695" s="14" t="str">
        <f>HYPERLINK("https://otsuka-europe-crm.veevavault.com/ui/#object/email_activity__v/V8C000000045268", "EN-002103828")</f>
        <v>EN-002103828</v>
      </c>
    </row>
    <row r="2696" spans="1:15" ht="16" x14ac:dyDescent="0.2">
      <c r="A2696" s="19"/>
      <c r="B2696" s="19"/>
      <c r="C2696" s="19"/>
      <c r="D2696" s="19"/>
      <c r="E2696" s="19"/>
      <c r="F2696" s="19"/>
      <c r="G2696" s="19"/>
      <c r="H2696" s="19"/>
      <c r="I2696" s="19"/>
      <c r="J2696" s="19"/>
      <c r="K2696" s="19"/>
      <c r="L2696" s="19"/>
      <c r="M2696" s="19"/>
      <c r="N2696" s="19"/>
      <c r="O2696" s="14" t="str">
        <f>HYPERLINK("https://otsuka-europe-crm.veevavault.com/ui/#object/email_activity__v/V8C00000004A396", "EN-002105728")</f>
        <v>EN-002105728</v>
      </c>
    </row>
    <row r="2697" spans="1:15" ht="16" x14ac:dyDescent="0.2">
      <c r="A2697" s="18" t="str">
        <f>HYPERLINK("https://otsuka-europe-crm.veevavault.com/ui/#object/account__v/V4TZ04ASGABZ38V", "SIMON ANGEL SANCHEZ FERNANDEZ")</f>
        <v>SIMON ANGEL SANCHEZ FERNANDEZ</v>
      </c>
      <c r="B2697" s="18" t="str">
        <f>HYPERLINK("https://otsuka-europe-crm.veevavault.com/ui/#object/vcountry__v/VENZ000004SONF5", "ES")</f>
        <v>ES</v>
      </c>
      <c r="C2697" s="20" t="s">
        <v>39</v>
      </c>
      <c r="D269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97" s="22" t="str">
        <f>HYPERLINK("https://otsuka-europe-crm.veevavault.com/ui/#object/sent_email__v/VBL000000034559", "SE-001442965")</f>
        <v>SE-001442965</v>
      </c>
      <c r="F2697" s="23"/>
      <c r="G2697" s="24">
        <v>0</v>
      </c>
      <c r="H2697" s="24">
        <v>0</v>
      </c>
      <c r="I2697" s="24">
        <v>0</v>
      </c>
      <c r="J2697" s="23"/>
      <c r="K2697" s="24">
        <v>0</v>
      </c>
      <c r="L269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97" s="22" t="str">
        <f>HYPERLINK("mailto:cmaroto@crm.otsuka-europe.com", "cmaroto@crm.otsuka-europe.com")</f>
        <v>cmaroto@crm.otsuka-europe.com</v>
      </c>
      <c r="N2697" s="25">
        <v>46212.483749999999</v>
      </c>
      <c r="O2697" s="14" t="str">
        <f>HYPERLINK("https://otsuka-europe-crm.veevavault.com/ui/#object/email_activity__v/V8C000000045280", "EN-002103851")</f>
        <v>EN-002103851</v>
      </c>
    </row>
    <row r="2698" spans="1:15" ht="16" x14ac:dyDescent="0.2">
      <c r="A2698" s="19"/>
      <c r="B2698" s="19"/>
      <c r="C2698" s="19"/>
      <c r="D2698" s="19"/>
      <c r="E2698" s="19"/>
      <c r="F2698" s="19"/>
      <c r="G2698" s="19"/>
      <c r="H2698" s="19"/>
      <c r="I2698" s="19"/>
      <c r="J2698" s="19"/>
      <c r="K2698" s="19"/>
      <c r="L2698" s="19"/>
      <c r="M2698" s="19"/>
      <c r="N2698" s="19"/>
      <c r="O2698" s="14" t="str">
        <f>HYPERLINK("https://otsuka-europe-crm.veevavault.com/ui/#object/email_activity__v/V8C000000045328", "EN-002103934")</f>
        <v>EN-002103934</v>
      </c>
    </row>
    <row r="2699" spans="1:15" ht="16" x14ac:dyDescent="0.2">
      <c r="A2699" s="18" t="str">
        <f>HYPERLINK("https://otsuka-europe-crm.veevavault.com/ui/#object/account__v/V4TZ04ASGBNZZE2", "SANDRA GARROTE CORRAL")</f>
        <v>SANDRA GARROTE CORRAL</v>
      </c>
      <c r="B2699" s="18" t="str">
        <f>HYPERLINK("https://otsuka-europe-crm.veevavault.com/ui/#object/vcountry__v/VENZ000004SONF5", "ES")</f>
        <v>ES</v>
      </c>
      <c r="C2699" s="20" t="s">
        <v>39</v>
      </c>
      <c r="D269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699" s="22" t="str">
        <f>HYPERLINK("https://otsuka-europe-crm.veevavault.com/ui/#object/sent_email__v/VBL000000034560", "SE-001442966")</f>
        <v>SE-001442966</v>
      </c>
      <c r="F2699" s="23"/>
      <c r="G2699" s="24">
        <v>0</v>
      </c>
      <c r="H2699" s="24">
        <v>0</v>
      </c>
      <c r="I2699" s="24">
        <v>0</v>
      </c>
      <c r="J2699" s="23"/>
      <c r="K2699" s="24">
        <v>0</v>
      </c>
      <c r="L269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699" s="22" t="str">
        <f>HYPERLINK("mailto:cmaroto@crm.otsuka-europe.com", "cmaroto@crm.otsuka-europe.com")</f>
        <v>cmaroto@crm.otsuka-europe.com</v>
      </c>
      <c r="N2699" s="25">
        <v>46212.483749999999</v>
      </c>
      <c r="O2699" s="14" t="str">
        <f>HYPERLINK("https://otsuka-europe-crm.veevavault.com/ui/#object/email_activity__v/V8C000000045299", "EN-002103886")</f>
        <v>EN-002103886</v>
      </c>
    </row>
    <row r="2700" spans="1:15" ht="16" x14ac:dyDescent="0.2">
      <c r="A2700" s="19"/>
      <c r="B2700" s="19"/>
      <c r="C2700" s="19"/>
      <c r="D2700" s="19"/>
      <c r="E2700" s="19"/>
      <c r="F2700" s="19"/>
      <c r="G2700" s="19"/>
      <c r="H2700" s="19"/>
      <c r="I2700" s="19"/>
      <c r="J2700" s="19"/>
      <c r="K2700" s="19"/>
      <c r="L2700" s="19"/>
      <c r="M2700" s="19"/>
      <c r="N2700" s="19"/>
      <c r="O2700" s="14" t="str">
        <f>HYPERLINK("https://otsuka-europe-crm.veevavault.com/ui/#object/email_activity__v/V8C000000046021", "EN-002103863")</f>
        <v>EN-002103863</v>
      </c>
    </row>
    <row r="2701" spans="1:15" ht="64" x14ac:dyDescent="0.2">
      <c r="A2701" s="7" t="str">
        <f>HYPERLINK("https://otsuka-europe-crm.veevavault.com/ui/#object/account__v/V4TZ04ASGBCM2W1", "FREDESWINDA ISABEL ROMERO BUENO")</f>
        <v>FREDESWINDA ISABEL ROMERO BUENO</v>
      </c>
      <c r="B2701" s="7" t="str">
        <f>HYPERLINK("https://otsuka-europe-crm.veevavault.com/ui/#object/vcountry__v/VENZ000004SONF5", "ES")</f>
        <v>ES</v>
      </c>
      <c r="C2701" s="8" t="s">
        <v>39</v>
      </c>
      <c r="D270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01" s="10" t="str">
        <f>HYPERLINK("https://otsuka-europe-crm.veevavault.com/ui/#object/sent_email__v/VBL000000034561", "SE-001442967")</f>
        <v>SE-001442967</v>
      </c>
      <c r="F2701" s="11"/>
      <c r="G2701" s="12">
        <v>0</v>
      </c>
      <c r="H2701" s="12">
        <v>0</v>
      </c>
      <c r="I2701" s="12">
        <v>0</v>
      </c>
      <c r="J2701" s="11"/>
      <c r="K2701" s="12">
        <v>0</v>
      </c>
      <c r="L270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01" s="10" t="str">
        <f>HYPERLINK("mailto:cmaroto@crm.otsuka-europe.com", "cmaroto@crm.otsuka-europe.com")</f>
        <v>cmaroto@crm.otsuka-europe.com</v>
      </c>
      <c r="N2701" s="13">
        <v>46212.483749999999</v>
      </c>
      <c r="O2701" s="14" t="str">
        <f>HYPERLINK("https://otsuka-europe-crm.veevavault.com/ui/#object/email_activity__v/V8C000000045295", "EN-002103876")</f>
        <v>EN-002103876</v>
      </c>
    </row>
    <row r="2702" spans="1:15" ht="64" x14ac:dyDescent="0.2">
      <c r="A2702" s="7" t="str">
        <f>HYPERLINK("https://otsuka-europe-crm.veevavault.com/ui/#object/account__v/V4TZ04ASGABZ2VC", "ADELA ALIA JIMENEZ")</f>
        <v>ADELA ALIA JIMENEZ</v>
      </c>
      <c r="B2702" s="7" t="str">
        <f>HYPERLINK("https://otsuka-europe-crm.veevavault.com/ui/#object/vcountry__v/VENZ000004SONF5", "ES")</f>
        <v>ES</v>
      </c>
      <c r="C2702" s="8" t="s">
        <v>39</v>
      </c>
      <c r="D270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02" s="10" t="str">
        <f>HYPERLINK("https://otsuka-europe-crm.veevavault.com/ui/#object/sent_email__v/VBL000000034562", "SE-001442968")</f>
        <v>SE-001442968</v>
      </c>
      <c r="F2702" s="11"/>
      <c r="G2702" s="12">
        <v>0</v>
      </c>
      <c r="H2702" s="12">
        <v>0</v>
      </c>
      <c r="I2702" s="12">
        <v>0</v>
      </c>
      <c r="J2702" s="11"/>
      <c r="K2702" s="12">
        <v>0</v>
      </c>
      <c r="L270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02" s="10" t="str">
        <f>HYPERLINK("mailto:cmaroto@crm.otsuka-europe.com", "cmaroto@crm.otsuka-europe.com")</f>
        <v>cmaroto@crm.otsuka-europe.com</v>
      </c>
      <c r="N2702" s="13">
        <v>46212.483749999999</v>
      </c>
      <c r="O2702" s="14" t="str">
        <f>HYPERLINK("https://otsuka-europe-crm.veevavault.com/ui/#object/email_activity__v/V8C000000046028", "EN-002103874")</f>
        <v>EN-002103874</v>
      </c>
    </row>
    <row r="2703" spans="1:15" ht="64" x14ac:dyDescent="0.2">
      <c r="A2703" s="7" t="str">
        <f>HYPERLINK("https://otsuka-europe-crm.veevavault.com/ui/#object/account__v/V4TZ025E85BHGUT", "JESSICA BEATRIZ POLO Y LA BORDA CHUMPITAZ")</f>
        <v>JESSICA BEATRIZ POLO Y LA BORDA CHUMPITAZ</v>
      </c>
      <c r="B2703" s="7" t="str">
        <f>HYPERLINK("https://otsuka-europe-crm.veevavault.com/ui/#object/vcountry__v/VENZ000004SONF5", "ES")</f>
        <v>ES</v>
      </c>
      <c r="C2703" s="8" t="s">
        <v>39</v>
      </c>
      <c r="D270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03" s="10" t="str">
        <f>HYPERLINK("https://otsuka-europe-crm.veevavault.com/ui/#object/sent_email__v/VBL000000034563", "SE-001442969")</f>
        <v>SE-001442969</v>
      </c>
      <c r="F2703" s="11"/>
      <c r="G2703" s="12">
        <v>0</v>
      </c>
      <c r="H2703" s="12">
        <v>0</v>
      </c>
      <c r="I2703" s="12">
        <v>0</v>
      </c>
      <c r="J2703" s="11"/>
      <c r="K2703" s="12">
        <v>0</v>
      </c>
      <c r="L270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03" s="10" t="str">
        <f>HYPERLINK("mailto:cmaroto@crm.otsuka-europe.com", "cmaroto@crm.otsuka-europe.com")</f>
        <v>cmaroto@crm.otsuka-europe.com</v>
      </c>
      <c r="N2703" s="13">
        <v>46212.483749999999</v>
      </c>
      <c r="O2703" s="14" t="str">
        <f>HYPERLINK("https://otsuka-europe-crm.veevavault.com/ui/#object/email_activity__v/V8C000000045292", "EN-002103868")</f>
        <v>EN-002103868</v>
      </c>
    </row>
    <row r="2704" spans="1:15" ht="16" x14ac:dyDescent="0.2">
      <c r="A2704" s="18" t="str">
        <f>HYPERLINK("https://otsuka-europe-crm.veevavault.com/ui/#object/account__v/V4TZ04ASGBJNHN6", "MANUEL FERNANDEZ PRADA")</f>
        <v>MANUEL FERNANDEZ PRADA</v>
      </c>
      <c r="B2704" s="18" t="str">
        <f>HYPERLINK("https://otsuka-europe-crm.veevavault.com/ui/#object/vcountry__v/VENZ000004SONF5", "ES")</f>
        <v>ES</v>
      </c>
      <c r="C2704" s="20" t="s">
        <v>39</v>
      </c>
      <c r="D270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04" s="22" t="str">
        <f>HYPERLINK("https://otsuka-europe-crm.veevavault.com/ui/#object/sent_email__v/VBL000000034564", "SE-001442970")</f>
        <v>SE-001442970</v>
      </c>
      <c r="F2704" s="23"/>
      <c r="G2704" s="24">
        <v>0</v>
      </c>
      <c r="H2704" s="24">
        <v>0</v>
      </c>
      <c r="I2704" s="24">
        <v>0</v>
      </c>
      <c r="J2704" s="23"/>
      <c r="K2704" s="24">
        <v>0</v>
      </c>
      <c r="L270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04" s="22" t="str">
        <f>HYPERLINK("mailto:cmaroto@crm.otsuka-europe.com", "cmaroto@crm.otsuka-europe.com")</f>
        <v>cmaroto@crm.otsuka-europe.com</v>
      </c>
      <c r="N2704" s="25">
        <v>46212.483749999999</v>
      </c>
      <c r="O2704" s="14" t="str">
        <f>HYPERLINK("https://otsuka-europe-crm.veevavault.com/ui/#object/email_activity__v/V8C000000045294", "EN-002103870")</f>
        <v>EN-002103870</v>
      </c>
    </row>
    <row r="2705" spans="1:15" ht="16" x14ac:dyDescent="0.2">
      <c r="A2705" s="19"/>
      <c r="B2705" s="19"/>
      <c r="C2705" s="19"/>
      <c r="D2705" s="19"/>
      <c r="E2705" s="19"/>
      <c r="F2705" s="19"/>
      <c r="G2705" s="19"/>
      <c r="H2705" s="19"/>
      <c r="I2705" s="19"/>
      <c r="J2705" s="19"/>
      <c r="K2705" s="19"/>
      <c r="L2705" s="19"/>
      <c r="M2705" s="19"/>
      <c r="N2705" s="19"/>
      <c r="O2705" s="14" t="str">
        <f>HYPERLINK("https://otsuka-europe-crm.veevavault.com/ui/#object/email_activity__v/V8C000000045319", "EN-002103916")</f>
        <v>EN-002103916</v>
      </c>
    </row>
    <row r="2706" spans="1:15" ht="16" x14ac:dyDescent="0.2">
      <c r="A2706" s="18" t="str">
        <f>HYPERLINK("https://otsuka-europe-crm.veevavault.com/ui/#object/account__v/V4TZ025E85RTM8I", "MARIA ANGELES BLAZQUEZ CAÑAMERO")</f>
        <v>MARIA ANGELES BLAZQUEZ CAÑAMERO</v>
      </c>
      <c r="B2706" s="18" t="str">
        <f>HYPERLINK("https://otsuka-europe-crm.veevavault.com/ui/#object/vcountry__v/VENZ000004SONF5", "ES")</f>
        <v>ES</v>
      </c>
      <c r="C2706" s="20" t="s">
        <v>39</v>
      </c>
      <c r="D270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06" s="22" t="str">
        <f>HYPERLINK("https://otsuka-europe-crm.veevavault.com/ui/#object/sent_email__v/VBL000000034565", "SE-001442971")</f>
        <v>SE-001442971</v>
      </c>
      <c r="F2706" s="23"/>
      <c r="G2706" s="24">
        <v>0</v>
      </c>
      <c r="H2706" s="24">
        <v>0</v>
      </c>
      <c r="I2706" s="24">
        <v>0</v>
      </c>
      <c r="J2706" s="23"/>
      <c r="K2706" s="24">
        <v>0</v>
      </c>
      <c r="L270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06" s="22" t="str">
        <f>HYPERLINK("mailto:cmaroto@crm.otsuka-europe.com", "cmaroto@crm.otsuka-europe.com")</f>
        <v>cmaroto@crm.otsuka-europe.com</v>
      </c>
      <c r="N2706" s="25">
        <v>46212.483749999999</v>
      </c>
      <c r="O2706" s="14" t="str">
        <f>HYPERLINK("https://otsuka-europe-crm.veevavault.com/ui/#object/email_activity__v/V8C000000045314", "EN-002103908")</f>
        <v>EN-002103908</v>
      </c>
    </row>
    <row r="2707" spans="1:15" ht="16" x14ac:dyDescent="0.2">
      <c r="A2707" s="19"/>
      <c r="B2707" s="19"/>
      <c r="C2707" s="19"/>
      <c r="D2707" s="19"/>
      <c r="E2707" s="19"/>
      <c r="F2707" s="19"/>
      <c r="G2707" s="19"/>
      <c r="H2707" s="19"/>
      <c r="I2707" s="19"/>
      <c r="J2707" s="19"/>
      <c r="K2707" s="19"/>
      <c r="L2707" s="19"/>
      <c r="M2707" s="19"/>
      <c r="N2707" s="19"/>
      <c r="O2707" s="14" t="str">
        <f>HYPERLINK("https://otsuka-europe-crm.veevavault.com/ui/#object/email_activity__v/V8C000000046023", "EN-002103865")</f>
        <v>EN-002103865</v>
      </c>
    </row>
    <row r="2708" spans="1:15" ht="16" x14ac:dyDescent="0.2">
      <c r="A2708" s="18" t="str">
        <f>HYPERLINK("https://otsuka-europe-crm.veevavault.com/ui/#object/account__v/V4TZ04ASGAZN3BE", "ENRIQUE JUDEZ NAVARRO")</f>
        <v>ENRIQUE JUDEZ NAVARRO</v>
      </c>
      <c r="B2708" s="18" t="str">
        <f>HYPERLINK("https://otsuka-europe-crm.veevavault.com/ui/#object/vcountry__v/VENZ000004SONF5", "ES")</f>
        <v>ES</v>
      </c>
      <c r="C2708" s="20" t="s">
        <v>39</v>
      </c>
      <c r="D270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08" s="22" t="str">
        <f>HYPERLINK("https://otsuka-europe-crm.veevavault.com/ui/#object/sent_email__v/VBL000000034566", "SE-001442972")</f>
        <v>SE-001442972</v>
      </c>
      <c r="F2708" s="25">
        <v>46212.502222222225</v>
      </c>
      <c r="G2708" s="24">
        <v>1</v>
      </c>
      <c r="H2708" s="24">
        <v>3</v>
      </c>
      <c r="I2708" s="24">
        <v>0</v>
      </c>
      <c r="J2708" s="23"/>
      <c r="K2708" s="24">
        <v>0</v>
      </c>
      <c r="L270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08" s="22" t="str">
        <f>HYPERLINK("mailto:cmaroto@crm.otsuka-europe.com", "cmaroto@crm.otsuka-europe.com")</f>
        <v>cmaroto@crm.otsuka-europe.com</v>
      </c>
      <c r="N2708" s="25">
        <v>46212.483749999999</v>
      </c>
      <c r="O2708" s="14" t="str">
        <f>HYPERLINK("https://otsuka-europe-crm.veevavault.com/ui/#object/email_activity__v/V8C000000045311", "EN-002103905")</f>
        <v>EN-002103905</v>
      </c>
    </row>
    <row r="2709" spans="1:15" ht="16" x14ac:dyDescent="0.2">
      <c r="A2709" s="26"/>
      <c r="B2709" s="26"/>
      <c r="C2709" s="26"/>
      <c r="D2709" s="26"/>
      <c r="E2709" s="26"/>
      <c r="F2709" s="26"/>
      <c r="G2709" s="26"/>
      <c r="H2709" s="26"/>
      <c r="I2709" s="26"/>
      <c r="J2709" s="26"/>
      <c r="K2709" s="26"/>
      <c r="L2709" s="26"/>
      <c r="M2709" s="26"/>
      <c r="N2709" s="26"/>
      <c r="O2709" s="14" t="str">
        <f>HYPERLINK("https://otsuka-europe-crm.veevavault.com/ui/#object/email_activity__v/V8C000000045312", "EN-002103906")</f>
        <v>EN-002103906</v>
      </c>
    </row>
    <row r="2710" spans="1:15" ht="16" x14ac:dyDescent="0.2">
      <c r="A2710" s="26"/>
      <c r="B2710" s="26"/>
      <c r="C2710" s="26"/>
      <c r="D2710" s="26"/>
      <c r="E2710" s="26"/>
      <c r="F2710" s="26"/>
      <c r="G2710" s="26"/>
      <c r="H2710" s="26"/>
      <c r="I2710" s="26"/>
      <c r="J2710" s="26"/>
      <c r="K2710" s="26"/>
      <c r="L2710" s="26"/>
      <c r="M2710" s="26"/>
      <c r="N2710" s="26"/>
      <c r="O2710" s="14" t="str">
        <f>HYPERLINK("https://otsuka-europe-crm.veevavault.com/ui/#object/email_activity__v/V8C000000045313", "EN-002103907")</f>
        <v>EN-002103907</v>
      </c>
    </row>
    <row r="2711" spans="1:15" ht="16" x14ac:dyDescent="0.2">
      <c r="A2711" s="19"/>
      <c r="B2711" s="19"/>
      <c r="C2711" s="19"/>
      <c r="D2711" s="19"/>
      <c r="E2711" s="19"/>
      <c r="F2711" s="19"/>
      <c r="G2711" s="19"/>
      <c r="H2711" s="19"/>
      <c r="I2711" s="19"/>
      <c r="J2711" s="19"/>
      <c r="K2711" s="19"/>
      <c r="L2711" s="19"/>
      <c r="M2711" s="19"/>
      <c r="N2711" s="19"/>
      <c r="O2711" s="14" t="str">
        <f>HYPERLINK("https://otsuka-europe-crm.veevavault.com/ui/#object/email_activity__v/V8C000000046025", "EN-002103871")</f>
        <v>EN-002103871</v>
      </c>
    </row>
    <row r="2712" spans="1:15" ht="16" x14ac:dyDescent="0.2">
      <c r="A2712" s="18" t="str">
        <f>HYPERLINK("https://otsuka-europe-crm.veevavault.com/ui/#object/account__v/V4TZ04ASGABWN5R", "ANTIA ASUNCION GARCIA FERNANDEZ")</f>
        <v>ANTIA ASUNCION GARCIA FERNANDEZ</v>
      </c>
      <c r="B2712" s="18" t="str">
        <f>HYPERLINK("https://otsuka-europe-crm.veevavault.com/ui/#object/vcountry__v/VENZ000004SONF5", "ES")</f>
        <v>ES</v>
      </c>
      <c r="C2712" s="20" t="s">
        <v>39</v>
      </c>
      <c r="D271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12" s="22" t="str">
        <f>HYPERLINK("https://otsuka-europe-crm.veevavault.com/ui/#object/sent_email__v/VBL000000034567", "SE-001442973")</f>
        <v>SE-001442973</v>
      </c>
      <c r="F2712" s="25">
        <v>46212.543217592596</v>
      </c>
      <c r="G2712" s="24">
        <v>1</v>
      </c>
      <c r="H2712" s="24">
        <v>2</v>
      </c>
      <c r="I2712" s="24">
        <v>0</v>
      </c>
      <c r="J2712" s="23"/>
      <c r="K2712" s="24">
        <v>0</v>
      </c>
      <c r="L271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12" s="22" t="str">
        <f>HYPERLINK("mailto:cmaroto@crm.otsuka-europe.com", "cmaroto@crm.otsuka-europe.com")</f>
        <v>cmaroto@crm.otsuka-europe.com</v>
      </c>
      <c r="N2712" s="25">
        <v>46212.483749999999</v>
      </c>
      <c r="O2712" s="14" t="str">
        <f>HYPERLINK("https://otsuka-europe-crm.veevavault.com/ui/#object/email_activity__v/V8C000000045284", "EN-002103855")</f>
        <v>EN-002103855</v>
      </c>
    </row>
    <row r="2713" spans="1:15" ht="16" x14ac:dyDescent="0.2">
      <c r="A2713" s="26"/>
      <c r="B2713" s="26"/>
      <c r="C2713" s="26"/>
      <c r="D2713" s="26"/>
      <c r="E2713" s="26"/>
      <c r="F2713" s="26"/>
      <c r="G2713" s="26"/>
      <c r="H2713" s="26"/>
      <c r="I2713" s="26"/>
      <c r="J2713" s="26"/>
      <c r="K2713" s="26"/>
      <c r="L2713" s="26"/>
      <c r="M2713" s="26"/>
      <c r="N2713" s="26"/>
      <c r="O2713" s="14" t="str">
        <f>HYPERLINK("https://otsuka-europe-crm.veevavault.com/ui/#object/email_activity__v/V8C000000046026", "EN-002103872")</f>
        <v>EN-002103872</v>
      </c>
    </row>
    <row r="2714" spans="1:15" ht="16" x14ac:dyDescent="0.2">
      <c r="A2714" s="19"/>
      <c r="B2714" s="19"/>
      <c r="C2714" s="19"/>
      <c r="D2714" s="19"/>
      <c r="E2714" s="19"/>
      <c r="F2714" s="19"/>
      <c r="G2714" s="19"/>
      <c r="H2714" s="19"/>
      <c r="I2714" s="19"/>
      <c r="J2714" s="19"/>
      <c r="K2714" s="19"/>
      <c r="L2714" s="19"/>
      <c r="M2714" s="19"/>
      <c r="N2714" s="19"/>
      <c r="O2714" s="14" t="str">
        <f>HYPERLINK("https://otsuka-europe-crm.veevavault.com/ui/#object/email_activity__v/V8C000000046049", "EN-002103922")</f>
        <v>EN-002103922</v>
      </c>
    </row>
    <row r="2715" spans="1:15" ht="16" x14ac:dyDescent="0.2">
      <c r="A2715" s="18" t="str">
        <f>HYPERLINK("https://otsuka-europe-crm.veevavault.com/ui/#object/account__v/V4TZ025E870865L", "SANDRA SORO MARIN")</f>
        <v>SANDRA SORO MARIN</v>
      </c>
      <c r="B2715" s="18" t="str">
        <f>HYPERLINK("https://otsuka-europe-crm.veevavault.com/ui/#object/vcountry__v/VENZ000004SONF5", "ES")</f>
        <v>ES</v>
      </c>
      <c r="C2715" s="20" t="s">
        <v>39</v>
      </c>
      <c r="D271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15" s="22" t="str">
        <f>HYPERLINK("https://otsuka-europe-crm.veevavault.com/ui/#object/sent_email__v/VBL000000034568", "SE-001442974")</f>
        <v>SE-001442974</v>
      </c>
      <c r="F2715" s="23"/>
      <c r="G2715" s="24">
        <v>0</v>
      </c>
      <c r="H2715" s="24">
        <v>0</v>
      </c>
      <c r="I2715" s="24">
        <v>0</v>
      </c>
      <c r="J2715" s="23"/>
      <c r="K2715" s="24">
        <v>0</v>
      </c>
      <c r="L271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15" s="22" t="str">
        <f>HYPERLINK("mailto:cmaroto@crm.otsuka-europe.com", "cmaroto@crm.otsuka-europe.com")</f>
        <v>cmaroto@crm.otsuka-europe.com</v>
      </c>
      <c r="N2715" s="25">
        <v>46212.483749999999</v>
      </c>
      <c r="O2715" s="14" t="str">
        <f>HYPERLINK("https://otsuka-europe-crm.veevavault.com/ui/#object/email_activity__v/V8C000000046027", "EN-002103873")</f>
        <v>EN-002103873</v>
      </c>
    </row>
    <row r="2716" spans="1:15" ht="16" x14ac:dyDescent="0.2">
      <c r="A2716" s="19"/>
      <c r="B2716" s="19"/>
      <c r="C2716" s="19"/>
      <c r="D2716" s="19"/>
      <c r="E2716" s="19"/>
      <c r="F2716" s="19"/>
      <c r="G2716" s="19"/>
      <c r="H2716" s="19"/>
      <c r="I2716" s="19"/>
      <c r="J2716" s="19"/>
      <c r="K2716" s="19"/>
      <c r="L2716" s="19"/>
      <c r="M2716" s="19"/>
      <c r="N2716" s="19"/>
      <c r="O2716" s="14" t="str">
        <f>HYPERLINK("https://otsuka-europe-crm.veevavault.com/ui/#object/email_activity__v/V8C000000046089", "EN-002103997")</f>
        <v>EN-002103997</v>
      </c>
    </row>
    <row r="2717" spans="1:15" ht="16" x14ac:dyDescent="0.2">
      <c r="A2717" s="18" t="str">
        <f>HYPERLINK("https://otsuka-europe-crm.veevavault.com/ui/#object/account__v/V4TZ06G6OBIL6W5", "JOSE ANTONIO CARRASCO FERNANDEZ")</f>
        <v>JOSE ANTONIO CARRASCO FERNANDEZ</v>
      </c>
      <c r="B2717" s="18" t="str">
        <f>HYPERLINK("https://otsuka-europe-crm.veevavault.com/ui/#object/vcountry__v/VENZ000004SONF5", "ES")</f>
        <v>ES</v>
      </c>
      <c r="C2717" s="20" t="s">
        <v>39</v>
      </c>
      <c r="D271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17" s="22" t="str">
        <f>HYPERLINK("https://otsuka-europe-crm.veevavault.com/ui/#object/sent_email__v/VBL000000034569", "SE-001442975")</f>
        <v>SE-001442975</v>
      </c>
      <c r="F2717" s="23"/>
      <c r="G2717" s="24">
        <v>0</v>
      </c>
      <c r="H2717" s="24">
        <v>0</v>
      </c>
      <c r="I2717" s="24">
        <v>0</v>
      </c>
      <c r="J2717" s="23"/>
      <c r="K2717" s="24">
        <v>0</v>
      </c>
      <c r="L271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17" s="22" t="str">
        <f>HYPERLINK("mailto:cmaroto@crm.otsuka-europe.com", "cmaroto@crm.otsuka-europe.com")</f>
        <v>cmaroto@crm.otsuka-europe.com</v>
      </c>
      <c r="N2717" s="25">
        <v>46212.483749999999</v>
      </c>
      <c r="O2717" s="14" t="str">
        <f>HYPERLINK("https://otsuka-europe-crm.veevavault.com/ui/#object/email_activity__v/V8C000000045297", "EN-002103878")</f>
        <v>EN-002103878</v>
      </c>
    </row>
    <row r="2718" spans="1:15" ht="16" x14ac:dyDescent="0.2">
      <c r="A2718" s="19"/>
      <c r="B2718" s="19"/>
      <c r="C2718" s="19"/>
      <c r="D2718" s="19"/>
      <c r="E2718" s="19"/>
      <c r="F2718" s="19"/>
      <c r="G2718" s="19"/>
      <c r="H2718" s="19"/>
      <c r="I2718" s="19"/>
      <c r="J2718" s="19"/>
      <c r="K2718" s="19"/>
      <c r="L2718" s="19"/>
      <c r="M2718" s="19"/>
      <c r="N2718" s="19"/>
      <c r="O2718" s="14" t="str">
        <f>HYPERLINK("https://otsuka-europe-crm.veevavault.com/ui/#object/email_activity__v/V8C000000047027", "EN-002104198")</f>
        <v>EN-002104198</v>
      </c>
    </row>
    <row r="2719" spans="1:15" ht="64" x14ac:dyDescent="0.2">
      <c r="A2719" s="7" t="str">
        <f>HYPERLINK("https://otsuka-europe-crm.veevavault.com/ui/#object/account__v/V4TZ025E82XIINC", "EVA REVUELTA EVRARD")</f>
        <v>EVA REVUELTA EVRARD</v>
      </c>
      <c r="B2719" s="7" t="str">
        <f>HYPERLINK("https://otsuka-europe-crm.veevavault.com/ui/#object/vcountry__v/VENZ000004SONF5", "ES")</f>
        <v>ES</v>
      </c>
      <c r="C2719" s="8" t="s">
        <v>39</v>
      </c>
      <c r="D271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19" s="10" t="str">
        <f>HYPERLINK("https://otsuka-europe-crm.veevavault.com/ui/#object/sent_email__v/VBL000000034570", "SE-001442976")</f>
        <v>SE-001442976</v>
      </c>
      <c r="F2719" s="11"/>
      <c r="G2719" s="12">
        <v>0</v>
      </c>
      <c r="H2719" s="12">
        <v>0</v>
      </c>
      <c r="I2719" s="12">
        <v>0</v>
      </c>
      <c r="J2719" s="11"/>
      <c r="K2719" s="12">
        <v>0</v>
      </c>
      <c r="L271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19" s="10" t="str">
        <f>HYPERLINK("mailto:cmaroto@crm.otsuka-europe.com", "cmaroto@crm.otsuka-europe.com")</f>
        <v>cmaroto@crm.otsuka-europe.com</v>
      </c>
      <c r="N2719" s="13">
        <v>46212.483749999999</v>
      </c>
      <c r="O2719" s="14" t="str">
        <f>HYPERLINK("https://otsuka-europe-crm.veevavault.com/ui/#object/email_activity__v/V8C000000046020", "EN-002103862")</f>
        <v>EN-002103862</v>
      </c>
    </row>
    <row r="2720" spans="1:15" ht="16" x14ac:dyDescent="0.2">
      <c r="A2720" s="18" t="str">
        <f>HYPERLINK("https://otsuka-europe-crm.veevavault.com/ui/#object/account__v/V4TZ025E82XR34V", "DAVID CASTRO CORREDOR")</f>
        <v>DAVID CASTRO CORREDOR</v>
      </c>
      <c r="B2720" s="18" t="str">
        <f>HYPERLINK("https://otsuka-europe-crm.veevavault.com/ui/#object/vcountry__v/VENZ000004SONF5", "ES")</f>
        <v>ES</v>
      </c>
      <c r="C2720" s="20" t="s">
        <v>39</v>
      </c>
      <c r="D272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20" s="22" t="str">
        <f>HYPERLINK("https://otsuka-europe-crm.veevavault.com/ui/#object/sent_email__v/VBL000000034571", "SE-001442977")</f>
        <v>SE-001442977</v>
      </c>
      <c r="F2720" s="23"/>
      <c r="G2720" s="24">
        <v>0</v>
      </c>
      <c r="H2720" s="24">
        <v>0</v>
      </c>
      <c r="I2720" s="24">
        <v>0</v>
      </c>
      <c r="J2720" s="23"/>
      <c r="K2720" s="24">
        <v>0</v>
      </c>
      <c r="L272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20" s="22" t="str">
        <f>HYPERLINK("mailto:cmaroto@crm.otsuka-europe.com", "cmaroto@crm.otsuka-europe.com")</f>
        <v>cmaroto@crm.otsuka-europe.com</v>
      </c>
      <c r="N2720" s="25">
        <v>46212.483749999999</v>
      </c>
      <c r="O2720" s="14" t="str">
        <f>HYPERLINK("https://otsuka-europe-crm.veevavault.com/ui/#object/email_activity__v/V8C000000045285", "EN-002103856")</f>
        <v>EN-002103856</v>
      </c>
    </row>
    <row r="2721" spans="1:15" ht="16" x14ac:dyDescent="0.2">
      <c r="A2721" s="26"/>
      <c r="B2721" s="26"/>
      <c r="C2721" s="26"/>
      <c r="D2721" s="26"/>
      <c r="E2721" s="26"/>
      <c r="F2721" s="26"/>
      <c r="G2721" s="26"/>
      <c r="H2721" s="26"/>
      <c r="I2721" s="26"/>
      <c r="J2721" s="26"/>
      <c r="K2721" s="26"/>
      <c r="L2721" s="26"/>
      <c r="M2721" s="26"/>
      <c r="N2721" s="26"/>
      <c r="O2721" s="14" t="str">
        <f>HYPERLINK("https://otsuka-europe-crm.veevavault.com/ui/#object/email_activity__v/V8C000000045309", "EN-002103901")</f>
        <v>EN-002103901</v>
      </c>
    </row>
    <row r="2722" spans="1:15" ht="16" x14ac:dyDescent="0.2">
      <c r="A2722" s="19"/>
      <c r="B2722" s="19"/>
      <c r="C2722" s="19"/>
      <c r="D2722" s="19"/>
      <c r="E2722" s="19"/>
      <c r="F2722" s="19"/>
      <c r="G2722" s="19"/>
      <c r="H2722" s="19"/>
      <c r="I2722" s="19"/>
      <c r="J2722" s="19"/>
      <c r="K2722" s="19"/>
      <c r="L2722" s="19"/>
      <c r="M2722" s="19"/>
      <c r="N2722" s="19"/>
      <c r="O2722" s="14" t="str">
        <f>HYPERLINK("https://otsuka-europe-crm.veevavault.com/ui/#object/email_activity__v/V8C00000004B064", "EN-002106846")</f>
        <v>EN-002106846</v>
      </c>
    </row>
    <row r="2723" spans="1:15" ht="16" x14ac:dyDescent="0.2">
      <c r="A2723" s="18" t="str">
        <f>HYPERLINK("https://otsuka-europe-crm.veevavault.com/ui/#object/account__v/V4TZ04ASG9RG6AY", "RAUL MARIA VEIGA CABELLO")</f>
        <v>RAUL MARIA VEIGA CABELLO</v>
      </c>
      <c r="B2723" s="18" t="str">
        <f>HYPERLINK("https://otsuka-europe-crm.veevavault.com/ui/#object/vcountry__v/VENZ000004SONF5", "ES")</f>
        <v>ES</v>
      </c>
      <c r="C2723" s="20" t="s">
        <v>39</v>
      </c>
      <c r="D272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23" s="22" t="str">
        <f>HYPERLINK("https://otsuka-europe-crm.veevavault.com/ui/#object/sent_email__v/VBL000000034572", "SE-001442978")</f>
        <v>SE-001442978</v>
      </c>
      <c r="F2723" s="25">
        <v>46223.549039351848</v>
      </c>
      <c r="G2723" s="24">
        <v>1</v>
      </c>
      <c r="H2723" s="24">
        <v>6</v>
      </c>
      <c r="I2723" s="24">
        <v>0</v>
      </c>
      <c r="J2723" s="23"/>
      <c r="K2723" s="24">
        <v>0</v>
      </c>
      <c r="L272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23" s="22" t="str">
        <f>HYPERLINK("mailto:cmaroto@crm.otsuka-europe.com", "cmaroto@crm.otsuka-europe.com")</f>
        <v>cmaroto@crm.otsuka-europe.com</v>
      </c>
      <c r="N2723" s="25">
        <v>46212.483749999999</v>
      </c>
      <c r="O2723" s="14" t="str">
        <f>HYPERLINK("https://otsuka-europe-crm.veevavault.com/ui/#object/email_activity__v/V8C000000045296", "EN-002103877")</f>
        <v>EN-002103877</v>
      </c>
    </row>
    <row r="2724" spans="1:15" ht="16" x14ac:dyDescent="0.2">
      <c r="A2724" s="26"/>
      <c r="B2724" s="26"/>
      <c r="C2724" s="26"/>
      <c r="D2724" s="26"/>
      <c r="E2724" s="26"/>
      <c r="F2724" s="26"/>
      <c r="G2724" s="26"/>
      <c r="H2724" s="26"/>
      <c r="I2724" s="26"/>
      <c r="J2724" s="26"/>
      <c r="K2724" s="26"/>
      <c r="L2724" s="26"/>
      <c r="M2724" s="26"/>
      <c r="N2724" s="26"/>
      <c r="O2724" s="14" t="str">
        <f>HYPERLINK("https://otsuka-europe-crm.veevavault.com/ui/#object/email_activity__v/V8C00000004A034", "EN-002104937")</f>
        <v>EN-002104937</v>
      </c>
    </row>
    <row r="2725" spans="1:15" ht="16" x14ac:dyDescent="0.2">
      <c r="A2725" s="26"/>
      <c r="B2725" s="26"/>
      <c r="C2725" s="26"/>
      <c r="D2725" s="26"/>
      <c r="E2725" s="26"/>
      <c r="F2725" s="26"/>
      <c r="G2725" s="26"/>
      <c r="H2725" s="26"/>
      <c r="I2725" s="26"/>
      <c r="J2725" s="26"/>
      <c r="K2725" s="26"/>
      <c r="L2725" s="26"/>
      <c r="M2725" s="26"/>
      <c r="N2725" s="26"/>
      <c r="O2725" s="14" t="str">
        <f>HYPERLINK("https://otsuka-europe-crm.veevavault.com/ui/#object/email_activity__v/V8C00000004B196", "EN-002107047")</f>
        <v>EN-002107047</v>
      </c>
    </row>
    <row r="2726" spans="1:15" ht="16" x14ac:dyDescent="0.2">
      <c r="A2726" s="26"/>
      <c r="B2726" s="26"/>
      <c r="C2726" s="26"/>
      <c r="D2726" s="26"/>
      <c r="E2726" s="26"/>
      <c r="F2726" s="26"/>
      <c r="G2726" s="26"/>
      <c r="H2726" s="26"/>
      <c r="I2726" s="26"/>
      <c r="J2726" s="26"/>
      <c r="K2726" s="26"/>
      <c r="L2726" s="26"/>
      <c r="M2726" s="26"/>
      <c r="N2726" s="26"/>
      <c r="O2726" s="14" t="str">
        <f>HYPERLINK("https://otsuka-europe-crm.veevavault.com/ui/#object/email_activity__v/V8C00000004B226", "EN-002107094")</f>
        <v>EN-002107094</v>
      </c>
    </row>
    <row r="2727" spans="1:15" ht="16" x14ac:dyDescent="0.2">
      <c r="A2727" s="26"/>
      <c r="B2727" s="26"/>
      <c r="C2727" s="26"/>
      <c r="D2727" s="26"/>
      <c r="E2727" s="26"/>
      <c r="F2727" s="26"/>
      <c r="G2727" s="26"/>
      <c r="H2727" s="26"/>
      <c r="I2727" s="26"/>
      <c r="J2727" s="26"/>
      <c r="K2727" s="26"/>
      <c r="L2727" s="26"/>
      <c r="M2727" s="26"/>
      <c r="N2727" s="26"/>
      <c r="O2727" s="14" t="str">
        <f>HYPERLINK("https://otsuka-europe-crm.veevavault.com/ui/#object/email_activity__v/V8C00000004B230", "EN-002107103")</f>
        <v>EN-002107103</v>
      </c>
    </row>
    <row r="2728" spans="1:15" ht="16" x14ac:dyDescent="0.2">
      <c r="A2728" s="26"/>
      <c r="B2728" s="26"/>
      <c r="C2728" s="26"/>
      <c r="D2728" s="26"/>
      <c r="E2728" s="26"/>
      <c r="F2728" s="26"/>
      <c r="G2728" s="26"/>
      <c r="H2728" s="26"/>
      <c r="I2728" s="26"/>
      <c r="J2728" s="26"/>
      <c r="K2728" s="26"/>
      <c r="L2728" s="26"/>
      <c r="M2728" s="26"/>
      <c r="N2728" s="26"/>
      <c r="O2728" s="14" t="str">
        <f>HYPERLINK("https://otsuka-europe-crm.veevavault.com/ui/#object/email_activity__v/V8C00000004C030", "EN-002106800")</f>
        <v>EN-002106800</v>
      </c>
    </row>
    <row r="2729" spans="1:15" ht="16" x14ac:dyDescent="0.2">
      <c r="A2729" s="19"/>
      <c r="B2729" s="19"/>
      <c r="C2729" s="19"/>
      <c r="D2729" s="19"/>
      <c r="E2729" s="19"/>
      <c r="F2729" s="19"/>
      <c r="G2729" s="19"/>
      <c r="H2729" s="19"/>
      <c r="I2729" s="19"/>
      <c r="J2729" s="19"/>
      <c r="K2729" s="19"/>
      <c r="L2729" s="19"/>
      <c r="M2729" s="19"/>
      <c r="N2729" s="19"/>
      <c r="O2729" s="14" t="str">
        <f>HYPERLINK("https://otsuka-europe-crm.veevavault.com/ui/#object/email_activity__v/V8C00000004C140", "EN-002107093")</f>
        <v>EN-002107093</v>
      </c>
    </row>
    <row r="2730" spans="1:15" ht="64" x14ac:dyDescent="0.2">
      <c r="A2730" s="7" t="str">
        <f>HYPERLINK("https://otsuka-europe-crm.veevavault.com/ui/#object/account__v/V4TZ04ASGE05KZ6", "MARCO AURELIO RAMIREZ HUARANGA")</f>
        <v>MARCO AURELIO RAMIREZ HUARANGA</v>
      </c>
      <c r="B2730" s="7" t="str">
        <f>HYPERLINK("https://otsuka-europe-crm.veevavault.com/ui/#object/vcountry__v/VENZ000004SONF5", "ES")</f>
        <v>ES</v>
      </c>
      <c r="C2730" s="8" t="s">
        <v>39</v>
      </c>
      <c r="D273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30" s="10" t="str">
        <f>HYPERLINK("https://otsuka-europe-crm.veevavault.com/ui/#object/sent_email__v/VBL000000034573", "SE-001442979")</f>
        <v>SE-001442979</v>
      </c>
      <c r="F2730" s="11"/>
      <c r="G2730" s="12">
        <v>0</v>
      </c>
      <c r="H2730" s="12">
        <v>0</v>
      </c>
      <c r="I2730" s="12">
        <v>0</v>
      </c>
      <c r="J2730" s="11"/>
      <c r="K2730" s="12">
        <v>0</v>
      </c>
      <c r="L273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30" s="10" t="str">
        <f>HYPERLINK("mailto:cmaroto@crm.otsuka-europe.com", "cmaroto@crm.otsuka-europe.com")</f>
        <v>cmaroto@crm.otsuka-europe.com</v>
      </c>
      <c r="N2730" s="13">
        <v>46212.483749999999</v>
      </c>
      <c r="O2730" s="14" t="str">
        <f>HYPERLINK("https://otsuka-europe-crm.veevavault.com/ui/#object/email_activity__v/V8C000000046022", "EN-002103864")</f>
        <v>EN-002103864</v>
      </c>
    </row>
    <row r="2731" spans="1:15" ht="16" x14ac:dyDescent="0.2">
      <c r="A2731" s="18" t="str">
        <f>HYPERLINK("https://otsuka-europe-crm.veevavault.com/ui/#object/account__v/V4TZ04ASGAOWLBL", "ANGEL MARIA GARCIA APARICIO")</f>
        <v>ANGEL MARIA GARCIA APARICIO</v>
      </c>
      <c r="B2731" s="18" t="str">
        <f>HYPERLINK("https://otsuka-europe-crm.veevavault.com/ui/#object/vcountry__v/VENZ000004SONF5", "ES")</f>
        <v>ES</v>
      </c>
      <c r="C2731" s="20" t="s">
        <v>39</v>
      </c>
      <c r="D273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31" s="22" t="str">
        <f>HYPERLINK("https://otsuka-europe-crm.veevavault.com/ui/#object/sent_email__v/VBL000000034574", "SE-001442980")</f>
        <v>SE-001442980</v>
      </c>
      <c r="F2731" s="25">
        <v>46212.559328703705</v>
      </c>
      <c r="G2731" s="24">
        <v>1</v>
      </c>
      <c r="H2731" s="24">
        <v>2</v>
      </c>
      <c r="I2731" s="24">
        <v>0</v>
      </c>
      <c r="J2731" s="23"/>
      <c r="K2731" s="24">
        <v>0</v>
      </c>
      <c r="L273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31" s="22" t="str">
        <f>HYPERLINK("mailto:cmaroto@crm.otsuka-europe.com", "cmaroto@crm.otsuka-europe.com")</f>
        <v>cmaroto@crm.otsuka-europe.com</v>
      </c>
      <c r="N2731" s="25">
        <v>46212.483749999999</v>
      </c>
      <c r="O2731" s="14" t="str">
        <f>HYPERLINK("https://otsuka-europe-crm.veevavault.com/ui/#object/email_activity__v/V8C000000045331", "EN-002103937")</f>
        <v>EN-002103937</v>
      </c>
    </row>
    <row r="2732" spans="1:15" ht="16" x14ac:dyDescent="0.2">
      <c r="A2732" s="26"/>
      <c r="B2732" s="26"/>
      <c r="C2732" s="26"/>
      <c r="D2732" s="26"/>
      <c r="E2732" s="26"/>
      <c r="F2732" s="26"/>
      <c r="G2732" s="26"/>
      <c r="H2732" s="26"/>
      <c r="I2732" s="26"/>
      <c r="J2732" s="26"/>
      <c r="K2732" s="26"/>
      <c r="L2732" s="26"/>
      <c r="M2732" s="26"/>
      <c r="N2732" s="26"/>
      <c r="O2732" s="14" t="str">
        <f>HYPERLINK("https://otsuka-europe-crm.veevavault.com/ui/#object/email_activity__v/V8C000000045332", "EN-002103938")</f>
        <v>EN-002103938</v>
      </c>
    </row>
    <row r="2733" spans="1:15" ht="16" x14ac:dyDescent="0.2">
      <c r="A2733" s="19"/>
      <c r="B2733" s="19"/>
      <c r="C2733" s="19"/>
      <c r="D2733" s="19"/>
      <c r="E2733" s="19"/>
      <c r="F2733" s="19"/>
      <c r="G2733" s="19"/>
      <c r="H2733" s="19"/>
      <c r="I2733" s="19"/>
      <c r="J2733" s="19"/>
      <c r="K2733" s="19"/>
      <c r="L2733" s="19"/>
      <c r="M2733" s="19"/>
      <c r="N2733" s="19"/>
      <c r="O2733" s="14" t="str">
        <f>HYPERLINK("https://otsuka-europe-crm.veevavault.com/ui/#object/email_activity__v/V8C000000046029", "EN-002103875")</f>
        <v>EN-002103875</v>
      </c>
    </row>
    <row r="2734" spans="1:15" ht="64" x14ac:dyDescent="0.2">
      <c r="A2734" s="7" t="str">
        <f>HYPERLINK("https://otsuka-europe-crm.veevavault.com/ui/#object/account__v/V4TZ06G6OB46CWI", "FERNANDO LOZANO MORILLO")</f>
        <v>FERNANDO LOZANO MORILLO</v>
      </c>
      <c r="B2734" s="7" t="str">
        <f>HYPERLINK("https://otsuka-europe-crm.veevavault.com/ui/#object/vcountry__v/VENZ000004SONF5", "ES")</f>
        <v>ES</v>
      </c>
      <c r="C2734" s="8" t="s">
        <v>39</v>
      </c>
      <c r="D273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34" s="10" t="str">
        <f>HYPERLINK("https://otsuka-europe-crm.veevavault.com/ui/#object/sent_email__v/VBL000000034575", "SE-001442981")</f>
        <v>SE-001442981</v>
      </c>
      <c r="F2734" s="11"/>
      <c r="G2734" s="12">
        <v>0</v>
      </c>
      <c r="H2734" s="12">
        <v>0</v>
      </c>
      <c r="I2734" s="12">
        <v>0</v>
      </c>
      <c r="J2734" s="11"/>
      <c r="K2734" s="12">
        <v>0</v>
      </c>
      <c r="L273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34" s="10" t="str">
        <f>HYPERLINK("mailto:cmaroto@crm.otsuka-europe.com", "cmaroto@crm.otsuka-europe.com")</f>
        <v>cmaroto@crm.otsuka-europe.com</v>
      </c>
      <c r="N2734" s="13">
        <v>46212.483738425923</v>
      </c>
      <c r="O2734" s="14" t="str">
        <f>HYPERLINK("https://otsuka-europe-crm.veevavault.com/ui/#object/email_activity__v/V8C000000046039", "EN-002103895")</f>
        <v>EN-002103895</v>
      </c>
    </row>
    <row r="2735" spans="1:15" ht="64" x14ac:dyDescent="0.2">
      <c r="A2735" s="7" t="str">
        <f>HYPERLINK("https://otsuka-europe-crm.veevavault.com/ui/#object/account__v/V4TZ04ASGBXC95A", "SILVIA MONTES GARCIA")</f>
        <v>SILVIA MONTES GARCIA</v>
      </c>
      <c r="B2735" s="7" t="str">
        <f>HYPERLINK("https://otsuka-europe-crm.veevavault.com/ui/#object/vcountry__v/VENZ000004SONF5", "ES")</f>
        <v>ES</v>
      </c>
      <c r="C2735" s="8" t="s">
        <v>39</v>
      </c>
      <c r="D273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35" s="10" t="str">
        <f>HYPERLINK("https://otsuka-europe-crm.veevavault.com/ui/#object/sent_email__v/VBL000000034576", "SE-001442982")</f>
        <v>SE-001442982</v>
      </c>
      <c r="F2735" s="11"/>
      <c r="G2735" s="12">
        <v>0</v>
      </c>
      <c r="H2735" s="12">
        <v>0</v>
      </c>
      <c r="I2735" s="12">
        <v>0</v>
      </c>
      <c r="J2735" s="11"/>
      <c r="K2735" s="12">
        <v>0</v>
      </c>
      <c r="L273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35" s="10" t="str">
        <f>HYPERLINK("mailto:cmaroto@crm.otsuka-europe.com", "cmaroto@crm.otsuka-europe.com")</f>
        <v>cmaroto@crm.otsuka-europe.com</v>
      </c>
      <c r="N2735" s="13">
        <v>46212.483738425923</v>
      </c>
      <c r="O2735" s="14" t="str">
        <f>HYPERLINK("https://otsuka-europe-crm.veevavault.com/ui/#object/email_activity__v/V8C000000045286", "EN-002103857")</f>
        <v>EN-002103857</v>
      </c>
    </row>
    <row r="2736" spans="1:15" ht="64" x14ac:dyDescent="0.2">
      <c r="A2736" s="7" t="str">
        <f>HYPERLINK("https://otsuka-europe-crm.veevavault.com/ui/#object/account__v/V4TZ04ASGC4AYQQ", "VERONICA SALAS MANZANEDO")</f>
        <v>VERONICA SALAS MANZANEDO</v>
      </c>
      <c r="B2736" s="7" t="str">
        <f>HYPERLINK("https://otsuka-europe-crm.veevavault.com/ui/#object/vcountry__v/VENZ000004SONF5", "ES")</f>
        <v>ES</v>
      </c>
      <c r="C2736" s="8" t="s">
        <v>39</v>
      </c>
      <c r="D273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36" s="10" t="str">
        <f>HYPERLINK("https://otsuka-europe-crm.veevavault.com/ui/#object/sent_email__v/VBL000000034577", "SE-001442983")</f>
        <v>SE-001442983</v>
      </c>
      <c r="F2736" s="11"/>
      <c r="G2736" s="12">
        <v>0</v>
      </c>
      <c r="H2736" s="12">
        <v>0</v>
      </c>
      <c r="I2736" s="12">
        <v>0</v>
      </c>
      <c r="J2736" s="11"/>
      <c r="K2736" s="12">
        <v>0</v>
      </c>
      <c r="L273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36" s="10" t="str">
        <f>HYPERLINK("mailto:cmaroto@crm.otsuka-europe.com", "cmaroto@crm.otsuka-europe.com")</f>
        <v>cmaroto@crm.otsuka-europe.com</v>
      </c>
      <c r="N2736" s="13">
        <v>46212.483738425923</v>
      </c>
      <c r="O2736" s="14" t="str">
        <f>HYPERLINK("https://otsuka-europe-crm.veevavault.com/ui/#object/email_activity__v/V8C000000045279", "EN-002103849")</f>
        <v>EN-002103849</v>
      </c>
    </row>
    <row r="2737" spans="1:15" ht="16" x14ac:dyDescent="0.2">
      <c r="A2737" s="18" t="str">
        <f>HYPERLINK("https://otsuka-europe-crm.veevavault.com/ui/#object/account__v/V4TZ04ASG8QA81M", "MARIA JESUS GARCIA VILLANUEVA")</f>
        <v>MARIA JESUS GARCIA VILLANUEVA</v>
      </c>
      <c r="B2737" s="18" t="str">
        <f>HYPERLINK("https://otsuka-europe-crm.veevavault.com/ui/#object/vcountry__v/VENZ000004SONF5", "ES")</f>
        <v>ES</v>
      </c>
      <c r="C2737" s="20" t="s">
        <v>39</v>
      </c>
      <c r="D273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37" s="22" t="str">
        <f>HYPERLINK("https://otsuka-europe-crm.veevavault.com/ui/#object/sent_email__v/VBL000000034578", "SE-001442984")</f>
        <v>SE-001442984</v>
      </c>
      <c r="F2737" s="25">
        <v>46234.506319444445</v>
      </c>
      <c r="G2737" s="24">
        <v>1</v>
      </c>
      <c r="H2737" s="24">
        <v>2</v>
      </c>
      <c r="I2737" s="24">
        <v>0</v>
      </c>
      <c r="J2737" s="23"/>
      <c r="K2737" s="24">
        <v>0</v>
      </c>
      <c r="L273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37" s="22" t="str">
        <f>HYPERLINK("mailto:cmaroto@crm.otsuka-europe.com", "cmaroto@crm.otsuka-europe.com")</f>
        <v>cmaroto@crm.otsuka-europe.com</v>
      </c>
      <c r="N2737" s="25">
        <v>46212.483738425923</v>
      </c>
      <c r="O2737" s="14" t="str">
        <f>HYPERLINK("https://otsuka-europe-crm.veevavault.com/ui/#object/email_activity__v/V8C000000045278", "EN-002103848")</f>
        <v>EN-002103848</v>
      </c>
    </row>
    <row r="2738" spans="1:15" ht="16" x14ac:dyDescent="0.2">
      <c r="A2738" s="26"/>
      <c r="B2738" s="26"/>
      <c r="C2738" s="26"/>
      <c r="D2738" s="26"/>
      <c r="E2738" s="26"/>
      <c r="F2738" s="26"/>
      <c r="G2738" s="26"/>
      <c r="H2738" s="26"/>
      <c r="I2738" s="26"/>
      <c r="J2738" s="26"/>
      <c r="K2738" s="26"/>
      <c r="L2738" s="26"/>
      <c r="M2738" s="26"/>
      <c r="N2738" s="26"/>
      <c r="O2738" s="14" t="str">
        <f>HYPERLINK("https://otsuka-europe-crm.veevavault.com/ui/#object/email_activity__v/V8C000000045411", "EN-002104161")</f>
        <v>EN-002104161</v>
      </c>
    </row>
    <row r="2739" spans="1:15" ht="16" x14ac:dyDescent="0.2">
      <c r="A2739" s="26"/>
      <c r="B2739" s="26"/>
      <c r="C2739" s="26"/>
      <c r="D2739" s="26"/>
      <c r="E2739" s="26"/>
      <c r="F2739" s="26"/>
      <c r="G2739" s="26"/>
      <c r="H2739" s="26"/>
      <c r="I2739" s="26"/>
      <c r="J2739" s="26"/>
      <c r="K2739" s="26"/>
      <c r="L2739" s="26"/>
      <c r="M2739" s="26"/>
      <c r="N2739" s="26"/>
      <c r="O2739" s="14" t="str">
        <f>HYPERLINK("https://otsuka-europe-crm.veevavault.com/ui/#object/email_activity__v/V8C000000048005", "EN-002104181")</f>
        <v>EN-002104181</v>
      </c>
    </row>
    <row r="2740" spans="1:15" ht="16" x14ac:dyDescent="0.2">
      <c r="A2740" s="26"/>
      <c r="B2740" s="26"/>
      <c r="C2740" s="26"/>
      <c r="D2740" s="26"/>
      <c r="E2740" s="26"/>
      <c r="F2740" s="26"/>
      <c r="G2740" s="26"/>
      <c r="H2740" s="26"/>
      <c r="I2740" s="26"/>
      <c r="J2740" s="26"/>
      <c r="K2740" s="26"/>
      <c r="L2740" s="26"/>
      <c r="M2740" s="26"/>
      <c r="N2740" s="26"/>
      <c r="O2740" s="14" t="str">
        <f>HYPERLINK("https://otsuka-europe-crm.veevavault.com/ui/#object/email_activity__v/V8C000000049368", "EN-002105535")</f>
        <v>EN-002105535</v>
      </c>
    </row>
    <row r="2741" spans="1:15" ht="16" x14ac:dyDescent="0.2">
      <c r="A2741" s="19"/>
      <c r="B2741" s="19"/>
      <c r="C2741" s="19"/>
      <c r="D2741" s="19"/>
      <c r="E2741" s="19"/>
      <c r="F2741" s="19"/>
      <c r="G2741" s="19"/>
      <c r="H2741" s="19"/>
      <c r="I2741" s="19"/>
      <c r="J2741" s="19"/>
      <c r="K2741" s="19"/>
      <c r="L2741" s="19"/>
      <c r="M2741" s="19"/>
      <c r="N2741" s="19"/>
      <c r="O2741" s="14" t="str">
        <f>HYPERLINK("https://otsuka-europe-crm.veevavault.com/ui/#object/email_activity__v/V8C00000004G545", "EN-002110707")</f>
        <v>EN-002110707</v>
      </c>
    </row>
    <row r="2742" spans="1:15" ht="16" x14ac:dyDescent="0.2">
      <c r="A2742" s="18" t="str">
        <f>HYPERLINK("https://otsuka-europe-crm.veevavault.com/ui/#object/account__v/V4TZ04ASGBJNHN5", "MARIA LUISA BRIS OCHAITA")</f>
        <v>MARIA LUISA BRIS OCHAITA</v>
      </c>
      <c r="B2742" s="18" t="str">
        <f>HYPERLINK("https://otsuka-europe-crm.veevavault.com/ui/#object/vcountry__v/VENZ000004SONF5", "ES")</f>
        <v>ES</v>
      </c>
      <c r="C2742" s="20" t="s">
        <v>39</v>
      </c>
      <c r="D274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42" s="22" t="str">
        <f>HYPERLINK("https://otsuka-europe-crm.veevavault.com/ui/#object/sent_email__v/VBL000000034579", "SE-001442985")</f>
        <v>SE-001442985</v>
      </c>
      <c r="F2742" s="23"/>
      <c r="G2742" s="24">
        <v>0</v>
      </c>
      <c r="H2742" s="24">
        <v>0</v>
      </c>
      <c r="I2742" s="24">
        <v>0</v>
      </c>
      <c r="J2742" s="23"/>
      <c r="K2742" s="24">
        <v>0</v>
      </c>
      <c r="L274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42" s="22" t="str">
        <f>HYPERLINK("mailto:cmaroto@crm.otsuka-europe.com", "cmaroto@crm.otsuka-europe.com")</f>
        <v>cmaroto@crm.otsuka-europe.com</v>
      </c>
      <c r="N2742" s="25">
        <v>46212.483738425923</v>
      </c>
      <c r="O2742" s="14" t="str">
        <f>HYPERLINK("https://otsuka-europe-crm.veevavault.com/ui/#object/email_activity__v/V8C000000045287", "EN-002103858")</f>
        <v>EN-002103858</v>
      </c>
    </row>
    <row r="2743" spans="1:15" ht="16" x14ac:dyDescent="0.2">
      <c r="A2743" s="19"/>
      <c r="B2743" s="19"/>
      <c r="C2743" s="19"/>
      <c r="D2743" s="19"/>
      <c r="E2743" s="19"/>
      <c r="F2743" s="19"/>
      <c r="G2743" s="19"/>
      <c r="H2743" s="19"/>
      <c r="I2743" s="19"/>
      <c r="J2743" s="19"/>
      <c r="K2743" s="19"/>
      <c r="L2743" s="19"/>
      <c r="M2743" s="19"/>
      <c r="N2743" s="19"/>
      <c r="O2743" s="14" t="str">
        <f>HYPERLINK("https://otsuka-europe-crm.veevavault.com/ui/#object/email_activity__v/V8C00000004C082", "EN-002106910")</f>
        <v>EN-002106910</v>
      </c>
    </row>
    <row r="2744" spans="1:15" ht="64" x14ac:dyDescent="0.2">
      <c r="A2744" s="7" t="str">
        <f>HYPERLINK("https://otsuka-europe-crm.veevavault.com/ui/#object/account__v/V4TZ04ASGBXC915", "NATIVIDAD CARO FERNANDEZ")</f>
        <v>NATIVIDAD CARO FERNANDEZ</v>
      </c>
      <c r="B2744" s="7" t="str">
        <f t="shared" ref="B2744:B2750" si="108">HYPERLINK("https://otsuka-europe-crm.veevavault.com/ui/#object/vcountry__v/VENZ000004SONF5", "ES")</f>
        <v>ES</v>
      </c>
      <c r="C2744" s="8" t="s">
        <v>39</v>
      </c>
      <c r="D2744" s="9" t="str">
        <f t="shared" ref="D2744:D2749" si="109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744" s="10" t="str">
        <f>HYPERLINK("https://otsuka-europe-crm.veevavault.com/ui/#object/sent_email__v/VBL000000034580", "SE-001442986")</f>
        <v>SE-001442986</v>
      </c>
      <c r="F2744" s="11"/>
      <c r="G2744" s="12">
        <v>0</v>
      </c>
      <c r="H2744" s="12">
        <v>0</v>
      </c>
      <c r="I2744" s="12">
        <v>0</v>
      </c>
      <c r="J2744" s="11"/>
      <c r="K2744" s="12">
        <v>0</v>
      </c>
      <c r="L2744" s="10" t="str">
        <f t="shared" ref="L2744:L2749" si="110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744" s="10" t="str">
        <f t="shared" ref="M2744:M2749" si="111">HYPERLINK("mailto:cmaroto@crm.otsuka-europe.com", "cmaroto@crm.otsuka-europe.com")</f>
        <v>cmaroto@crm.otsuka-europe.com</v>
      </c>
      <c r="N2744" s="13">
        <v>46212.483749999999</v>
      </c>
      <c r="O2744" s="14" t="str">
        <f>HYPERLINK("https://otsuka-europe-crm.veevavault.com/ui/#object/email_activity__v/V8C000000045281", "EN-002103852")</f>
        <v>EN-002103852</v>
      </c>
    </row>
    <row r="2745" spans="1:15" ht="64" x14ac:dyDescent="0.2">
      <c r="A2745" s="7" t="str">
        <f>HYPERLINK("https://otsuka-europe-crm.veevavault.com/ui/#object/account__v/V4TZ04ASGAPA4M6", "JUAN ANTONIO MARTINEZ LOPEZ")</f>
        <v>JUAN ANTONIO MARTINEZ LOPEZ</v>
      </c>
      <c r="B2745" s="7" t="str">
        <f t="shared" si="108"/>
        <v>ES</v>
      </c>
      <c r="C2745" s="8" t="s">
        <v>39</v>
      </c>
      <c r="D2745" s="9" t="str">
        <f t="shared" si="109"/>
        <v>LUP - VAE Webinar “Lupkynis▼ en la práctica clínica real: más allá de la respuesta renal” - Reuma</v>
      </c>
      <c r="E2745" s="10" t="str">
        <f>HYPERLINK("https://otsuka-europe-crm.veevavault.com/ui/#object/sent_email__v/VBL000000034581", "SE-001442987")</f>
        <v>SE-001442987</v>
      </c>
      <c r="F2745" s="11"/>
      <c r="G2745" s="12">
        <v>0</v>
      </c>
      <c r="H2745" s="12">
        <v>0</v>
      </c>
      <c r="I2745" s="12">
        <v>0</v>
      </c>
      <c r="J2745" s="11"/>
      <c r="K2745" s="12">
        <v>0</v>
      </c>
      <c r="L2745" s="10" t="str">
        <f t="shared" si="110"/>
        <v>LUP - VAE Webinar “Lupkynis▼ en la práctica clínica real: más allá de la respuesta renal” - Reuma</v>
      </c>
      <c r="M2745" s="10" t="str">
        <f t="shared" si="111"/>
        <v>cmaroto@crm.otsuka-europe.com</v>
      </c>
      <c r="N2745" s="13">
        <v>46212.483749999999</v>
      </c>
      <c r="O2745" s="14" t="str">
        <f>HYPERLINK("https://otsuka-europe-crm.veevavault.com/ui/#object/email_activity__v/V8C000000045289", "EN-002103860")</f>
        <v>EN-002103860</v>
      </c>
    </row>
    <row r="2746" spans="1:15" ht="64" x14ac:dyDescent="0.2">
      <c r="A2746" s="7" t="str">
        <f>HYPERLINK("https://otsuka-europe-crm.veevavault.com/ui/#object/account__v/V4TZ06G6OB46COF", "MIGUEL ANGEL GONZALEZ-GAY MANTECON")</f>
        <v>MIGUEL ANGEL GONZALEZ-GAY MANTECON</v>
      </c>
      <c r="B2746" s="7" t="str">
        <f t="shared" si="108"/>
        <v>ES</v>
      </c>
      <c r="C2746" s="8" t="s">
        <v>39</v>
      </c>
      <c r="D2746" s="9" t="str">
        <f t="shared" si="109"/>
        <v>LUP - VAE Webinar “Lupkynis▼ en la práctica clínica real: más allá de la respuesta renal” - Reuma</v>
      </c>
      <c r="E2746" s="10" t="str">
        <f>HYPERLINK("https://otsuka-europe-crm.veevavault.com/ui/#object/sent_email__v/VBL000000034582", "SE-001442988")</f>
        <v>SE-001442988</v>
      </c>
      <c r="F2746" s="11"/>
      <c r="G2746" s="12">
        <v>0</v>
      </c>
      <c r="H2746" s="12">
        <v>0</v>
      </c>
      <c r="I2746" s="12">
        <v>0</v>
      </c>
      <c r="J2746" s="11"/>
      <c r="K2746" s="12">
        <v>0</v>
      </c>
      <c r="L2746" s="10" t="str">
        <f t="shared" si="110"/>
        <v>LUP - VAE Webinar “Lupkynis▼ en la práctica clínica real: más allá de la respuesta renal” - Reuma</v>
      </c>
      <c r="M2746" s="10" t="str">
        <f t="shared" si="111"/>
        <v>cmaroto@crm.otsuka-europe.com</v>
      </c>
      <c r="N2746" s="13">
        <v>46212.483749999999</v>
      </c>
      <c r="O2746" s="14" t="str">
        <f>HYPERLINK("https://otsuka-europe-crm.veevavault.com/ui/#object/email_activity__v/V8C000000045291", "EN-002103867")</f>
        <v>EN-002103867</v>
      </c>
    </row>
    <row r="2747" spans="1:15" ht="64" x14ac:dyDescent="0.2">
      <c r="A2747" s="7" t="str">
        <f>HYPERLINK("https://otsuka-europe-crm.veevavault.com/ui/#object/account__v/V4TZ06G6OB46CMI", "MARIA GALINDO IZQUIERDO")</f>
        <v>MARIA GALINDO IZQUIERDO</v>
      </c>
      <c r="B2747" s="7" t="str">
        <f t="shared" si="108"/>
        <v>ES</v>
      </c>
      <c r="C2747" s="8" t="s">
        <v>39</v>
      </c>
      <c r="D2747" s="9" t="str">
        <f t="shared" si="109"/>
        <v>LUP - VAE Webinar “Lupkynis▼ en la práctica clínica real: más allá de la respuesta renal” - Reuma</v>
      </c>
      <c r="E2747" s="10" t="str">
        <f>HYPERLINK("https://otsuka-europe-crm.veevavault.com/ui/#object/sent_email__v/VBL000000034583", "SE-001442989")</f>
        <v>SE-001442989</v>
      </c>
      <c r="F2747" s="11"/>
      <c r="G2747" s="12">
        <v>0</v>
      </c>
      <c r="H2747" s="12">
        <v>0</v>
      </c>
      <c r="I2747" s="12">
        <v>0</v>
      </c>
      <c r="J2747" s="11"/>
      <c r="K2747" s="12">
        <v>0</v>
      </c>
      <c r="L2747" s="10" t="str">
        <f t="shared" si="110"/>
        <v>LUP - VAE Webinar “Lupkynis▼ en la práctica clínica real: más allá de la respuesta renal” - Reuma</v>
      </c>
      <c r="M2747" s="10" t="str">
        <f t="shared" si="111"/>
        <v>cmaroto@crm.otsuka-europe.com</v>
      </c>
      <c r="N2747" s="13">
        <v>46212.483749999999</v>
      </c>
      <c r="O2747" s="14" t="str">
        <f>HYPERLINK("https://otsuka-europe-crm.veevavault.com/ui/#object/email_activity__v/V8C000000045293", "EN-002103869")</f>
        <v>EN-002103869</v>
      </c>
    </row>
    <row r="2748" spans="1:15" ht="64" x14ac:dyDescent="0.2">
      <c r="A2748" s="7" t="str">
        <f>HYPERLINK("https://otsuka-europe-crm.veevavault.com/ui/#object/account__v/V4TZ04ASGC47POP", "MARCOS PAULINO HUERTAS")</f>
        <v>MARCOS PAULINO HUERTAS</v>
      </c>
      <c r="B2748" s="7" t="str">
        <f t="shared" si="108"/>
        <v>ES</v>
      </c>
      <c r="C2748" s="8" t="s">
        <v>39</v>
      </c>
      <c r="D2748" s="9" t="str">
        <f t="shared" si="109"/>
        <v>LUP - VAE Webinar “Lupkynis▼ en la práctica clínica real: más allá de la respuesta renal” - Reuma</v>
      </c>
      <c r="E2748" s="10" t="str">
        <f>HYPERLINK("https://otsuka-europe-crm.veevavault.com/ui/#object/sent_email__v/VBL000000034584", "SE-001442990")</f>
        <v>SE-001442990</v>
      </c>
      <c r="F2748" s="11"/>
      <c r="G2748" s="12">
        <v>0</v>
      </c>
      <c r="H2748" s="12">
        <v>0</v>
      </c>
      <c r="I2748" s="12">
        <v>0</v>
      </c>
      <c r="J2748" s="11"/>
      <c r="K2748" s="12">
        <v>0</v>
      </c>
      <c r="L2748" s="10" t="str">
        <f t="shared" si="110"/>
        <v>LUP - VAE Webinar “Lupkynis▼ en la práctica clínica real: más allá de la respuesta renal” - Reuma</v>
      </c>
      <c r="M2748" s="10" t="str">
        <f t="shared" si="111"/>
        <v>cmaroto@crm.otsuka-europe.com</v>
      </c>
      <c r="N2748" s="13">
        <v>46212.483749999999</v>
      </c>
      <c r="O2748" s="14" t="str">
        <f>HYPERLINK("https://otsuka-europe-crm.veevavault.com/ui/#object/email_activity__v/V8C000000045290", "EN-002103861")</f>
        <v>EN-002103861</v>
      </c>
    </row>
    <row r="2749" spans="1:15" ht="64" x14ac:dyDescent="0.2">
      <c r="A2749" s="7" t="str">
        <f>HYPERLINK("https://otsuka-europe-crm.veevavault.com/ui/#object/account__v/V4TZ025E82Y4CR9", "NOELIA GARCIA CASTAÑEDA")</f>
        <v>NOELIA GARCIA CASTAÑEDA</v>
      </c>
      <c r="B2749" s="7" t="str">
        <f t="shared" si="108"/>
        <v>ES</v>
      </c>
      <c r="C2749" s="8" t="s">
        <v>39</v>
      </c>
      <c r="D2749" s="9" t="str">
        <f t="shared" si="109"/>
        <v>LUP - VAE Webinar “Lupkynis▼ en la práctica clínica real: más allá de la respuesta renal” - Reuma</v>
      </c>
      <c r="E2749" s="10" t="str">
        <f>HYPERLINK("https://otsuka-europe-crm.veevavault.com/ui/#object/sent_email__v/VBL000000034585", "SE-001442991")</f>
        <v>SE-001442991</v>
      </c>
      <c r="F2749" s="11"/>
      <c r="G2749" s="12">
        <v>0</v>
      </c>
      <c r="H2749" s="12">
        <v>0</v>
      </c>
      <c r="I2749" s="12">
        <v>0</v>
      </c>
      <c r="J2749" s="11"/>
      <c r="K2749" s="12">
        <v>0</v>
      </c>
      <c r="L2749" s="10" t="str">
        <f t="shared" si="110"/>
        <v>LUP - VAE Webinar “Lupkynis▼ en la práctica clínica real: más allá de la respuesta renal” - Reuma</v>
      </c>
      <c r="M2749" s="10" t="str">
        <f t="shared" si="111"/>
        <v>cmaroto@crm.otsuka-europe.com</v>
      </c>
      <c r="N2749" s="13">
        <v>46212.483749999999</v>
      </c>
      <c r="O2749" s="14" t="str">
        <f>HYPERLINK("https://otsuka-europe-crm.veevavault.com/ui/#object/email_activity__v/V8C000000046024", "EN-002103866")</f>
        <v>EN-002103866</v>
      </c>
    </row>
    <row r="2750" spans="1:15" ht="32" x14ac:dyDescent="0.2">
      <c r="A2750" s="7" t="str">
        <f>HYPERLINK("https://otsuka-europe-crm.veevavault.com/ui/#object/account__v/V4TZ06G6O71T8SD", "HERENA DIAZ DIAZ")</f>
        <v>HERENA DIAZ DIAZ</v>
      </c>
      <c r="B2750" s="7" t="str">
        <f t="shared" si="108"/>
        <v>ES</v>
      </c>
      <c r="C2750" s="8" t="s">
        <v>39</v>
      </c>
      <c r="D2750" s="9" t="str">
        <f>HYPERLINK("https://otsuka-europe-crm.veevavault.com/ui/#object/approved_document__v/V5O00000000D100", "Spain - Consent Email 1 Aug 25")</f>
        <v>Spain - Consent Email 1 Aug 25</v>
      </c>
      <c r="E2750" s="10" t="str">
        <f>HYPERLINK("https://otsuka-europe-crm.veevavault.com/ui/#object/sent_email__v/VBL000000034586", "SE-001442992")</f>
        <v>SE-001442992</v>
      </c>
      <c r="F2750" s="11"/>
      <c r="G2750" s="12">
        <v>0</v>
      </c>
      <c r="H2750" s="12">
        <v>0</v>
      </c>
      <c r="I2750" s="12">
        <v>0</v>
      </c>
      <c r="J2750" s="11"/>
      <c r="K2750" s="12">
        <v>0</v>
      </c>
      <c r="L2750" s="10" t="str">
        <f>HYPERLINK("https://otsuka-europe-crm.veevavault.com/ui/#object/approved_document__v/V5O00000000D100", "Spain - Consent Email 1 Aug 25")</f>
        <v>Spain - Consent Email 1 Aug 25</v>
      </c>
      <c r="M2750" s="10" t="str">
        <f>HYPERLINK("mailto:mgravan@crm.otsuka-europe.com", "mgravan@crm.otsuka-europe.com")</f>
        <v>mgravan@crm.otsuka-europe.com</v>
      </c>
      <c r="N2750" s="13">
        <v>46212.486944444441</v>
      </c>
      <c r="O2750" s="14" t="str">
        <f>HYPERLINK("https://otsuka-europe-crm.veevavault.com/ui/#object/email_activity__v/V8C000000045298", "EN-002103884")</f>
        <v>EN-002103884</v>
      </c>
    </row>
    <row r="2751" spans="1:15" ht="16" x14ac:dyDescent="0.2">
      <c r="A2751" s="18" t="str">
        <f>HYPERLINK("https://otsuka-europe-crm.veevavault.com/ui/#object/account__v/V4T00000002B142", "Camille Carroll")</f>
        <v>Camille Carroll</v>
      </c>
      <c r="B2751" s="18" t="str">
        <f>HYPERLINK("https://otsuka-europe-crm.veevavault.com/ui/#object/vcountry__v/VENZ000004SONFK", "GB")</f>
        <v>GB</v>
      </c>
      <c r="C2751" s="20" t="s">
        <v>41</v>
      </c>
      <c r="D2751" s="21" t="str">
        <f>HYPERLINK("https://otsuka-europe-crm.veevavault.com/ui/#object/approved_document__v/V5OZ025E82PXJSL", "Otsuka Privacy Notice - UK (v2)")</f>
        <v>Otsuka Privacy Notice - UK (v2)</v>
      </c>
      <c r="E2751" s="22" t="str">
        <f>HYPERLINK("https://otsuka-europe-crm.veevavault.com/ui/#object/sent_email__v/VBL000000034587", "SE-001442993")</f>
        <v>SE-001442993</v>
      </c>
      <c r="F2751" s="25">
        <v>46212.49726851852</v>
      </c>
      <c r="G2751" s="24">
        <v>1</v>
      </c>
      <c r="H2751" s="24">
        <v>1</v>
      </c>
      <c r="I2751" s="24">
        <v>0</v>
      </c>
      <c r="J2751" s="23"/>
      <c r="K2751" s="24">
        <v>0</v>
      </c>
      <c r="L2751" s="22" t="str">
        <f>HYPERLINK("https://otsuka-europe-crm.veevavault.com/ui/#object/approved_document__v/V5OZ025E82PXJSL", "Otsuka Privacy Notice - UK (v2)")</f>
        <v>Otsuka Privacy Notice - UK (v2)</v>
      </c>
      <c r="M2751" s="22" t="str">
        <f>HYPERLINK("mailto:sscuffell@crm.otsuka-europe.com", "sscuffell@crm.otsuka-europe.com")</f>
        <v>sscuffell@crm.otsuka-europe.com</v>
      </c>
      <c r="N2751" s="25">
        <v>46212.497175925928</v>
      </c>
      <c r="O2751" s="14" t="str">
        <f>HYPERLINK("https://otsuka-europe-crm.veevavault.com/ui/#object/email_activity__v/V8C000000045304", "EN-002103892")</f>
        <v>EN-002103892</v>
      </c>
    </row>
    <row r="2752" spans="1:15" ht="16" x14ac:dyDescent="0.2">
      <c r="A2752" s="19"/>
      <c r="B2752" s="19"/>
      <c r="C2752" s="19"/>
      <c r="D2752" s="19"/>
      <c r="E2752" s="19"/>
      <c r="F2752" s="19"/>
      <c r="G2752" s="19"/>
      <c r="H2752" s="19"/>
      <c r="I2752" s="19"/>
      <c r="J2752" s="19"/>
      <c r="K2752" s="19"/>
      <c r="L2752" s="19"/>
      <c r="M2752" s="19"/>
      <c r="N2752" s="19"/>
      <c r="O2752" s="14" t="str">
        <f>HYPERLINK("https://otsuka-europe-crm.veevavault.com/ui/#object/email_activity__v/V8C000000046038", "EN-002103894")</f>
        <v>EN-002103894</v>
      </c>
    </row>
    <row r="2753" spans="1:15" ht="32" x14ac:dyDescent="0.2">
      <c r="A2753" s="7" t="str">
        <f>HYPERLINK("https://otsuka-europe-crm.veevavault.com/ui/#object/account__v/V4T00000002B143", "Martin Kaiser")</f>
        <v>Martin Kaiser</v>
      </c>
      <c r="B2753" s="7" t="str">
        <f>HYPERLINK("https://otsuka-europe-crm.veevavault.com/ui/#object/vcountry__v/VENZ000004SONFK", "GB")</f>
        <v>GB</v>
      </c>
      <c r="C2753" s="8" t="s">
        <v>41</v>
      </c>
      <c r="D2753" s="9" t="str">
        <f>HYPERLINK("https://otsuka-europe-crm.veevavault.com/ui/#object/approved_document__v/V5OZ025E82PXJSL", "Otsuka Privacy Notice - UK (v2)")</f>
        <v>Otsuka Privacy Notice - UK (v2)</v>
      </c>
      <c r="E2753" s="10" t="str">
        <f>HYPERLINK("https://otsuka-europe-crm.veevavault.com/ui/#object/sent_email__v/VBL000000034588", "SE-001442994")</f>
        <v>SE-001442994</v>
      </c>
      <c r="F2753" s="11"/>
      <c r="G2753" s="12">
        <v>0</v>
      </c>
      <c r="H2753" s="12">
        <v>0</v>
      </c>
      <c r="I2753" s="12">
        <v>0</v>
      </c>
      <c r="J2753" s="11"/>
      <c r="K2753" s="12">
        <v>0</v>
      </c>
      <c r="L2753" s="10" t="str">
        <f>HYPERLINK("https://otsuka-europe-crm.veevavault.com/ui/#object/approved_document__v/V5OZ025E82PXJSL", "Otsuka Privacy Notice - UK (v2)")</f>
        <v>Otsuka Privacy Notice - UK (v2)</v>
      </c>
      <c r="M2753" s="10" t="str">
        <f>HYPERLINK("mailto:sscuffell@crm.otsuka-europe.com", "sscuffell@crm.otsuka-europe.com")</f>
        <v>sscuffell@crm.otsuka-europe.com</v>
      </c>
      <c r="N2753" s="13">
        <v>46212.498900462961</v>
      </c>
      <c r="O2753" s="14" t="str">
        <f>HYPERLINK("https://otsuka-europe-crm.veevavault.com/ui/#object/email_activity__v/V8C000000045306", "EN-002103897")</f>
        <v>EN-002103897</v>
      </c>
    </row>
    <row r="2754" spans="1:15" ht="32" x14ac:dyDescent="0.2">
      <c r="A2754" s="7" t="str">
        <f>HYPERLINK("https://otsuka-europe-crm.veevavault.com/ui/#object/account__v/V4TZ0000062R3UD", "Funda Akkus")</f>
        <v>Funda Akkus</v>
      </c>
      <c r="B2754" s="7" t="str">
        <f>HYPERLINK("https://otsuka-europe-crm.veevavault.com/ui/#object/vcountry__v/VENZ000004SONFN", "CH")</f>
        <v>CH</v>
      </c>
      <c r="C2754" s="8" t="s">
        <v>45</v>
      </c>
      <c r="D2754" s="9" t="str">
        <f>HYPERLINK("https://otsuka-europe-crm.veevavault.com/ui/#object/approved_document__v/V5O00000001L016", "ALL_Flexibilität_Ferienplanung_2026_AA_de")</f>
        <v>ALL_Flexibilität_Ferienplanung_2026_AA_de</v>
      </c>
      <c r="E2754" s="10" t="str">
        <f>HYPERLINK("https://otsuka-europe-crm.veevavault.com/ui/#object/sent_email__v/VBL000000034589", "SE-001442995")</f>
        <v>SE-001442995</v>
      </c>
      <c r="F2754" s="11"/>
      <c r="G2754" s="12">
        <v>0</v>
      </c>
      <c r="H2754" s="12">
        <v>0</v>
      </c>
      <c r="I2754" s="12">
        <v>0</v>
      </c>
      <c r="J2754" s="11"/>
      <c r="K2754" s="12">
        <v>0</v>
      </c>
      <c r="L2754" s="10" t="str">
        <f>HYPERLINK("https://otsuka-europe-crm.veevavault.com/ui/#object/approved_document__v/V5O00000001L016", "ALL_Flexibilität_Ferienplanung_2026_AA_de")</f>
        <v>ALL_Flexibilität_Ferienplanung_2026_AA_de</v>
      </c>
      <c r="M2754" s="10" t="str">
        <f>HYPERLINK("mailto:dharder@crm.otsuka-europe.com", "dharder@crm.otsuka-europe.com")</f>
        <v>dharder@crm.otsuka-europe.com</v>
      </c>
      <c r="N2754" s="13">
        <v>46212.516284722224</v>
      </c>
      <c r="O2754" s="14" t="str">
        <f>HYPERLINK("https://otsuka-europe-crm.veevavault.com/ui/#object/email_activity__v/V8C000000045318", "EN-002103914")</f>
        <v>EN-002103914</v>
      </c>
    </row>
    <row r="2755" spans="1:15" ht="32" x14ac:dyDescent="0.2">
      <c r="A2755" s="7" t="str">
        <f>HYPERLINK("https://otsuka-europe-crm.veevavault.com/ui/#object/account__v/V4TZ0000062R6KN", "Thomas Baisch")</f>
        <v>Thomas Baisch</v>
      </c>
      <c r="B2755" s="7" t="str">
        <f>HYPERLINK("https://otsuka-europe-crm.veevavault.com/ui/#object/vcountry__v/VENZ000004SONFN", "CH")</f>
        <v>CH</v>
      </c>
      <c r="C2755" s="8" t="s">
        <v>45</v>
      </c>
      <c r="D2755" s="9" t="str">
        <f>HYPERLINK("https://otsuka-europe-crm.veevavault.com/ui/#object/approved_document__v/V5O00000001L016", "ALL_Flexibilität_Ferienplanung_2026_AA_de")</f>
        <v>ALL_Flexibilität_Ferienplanung_2026_AA_de</v>
      </c>
      <c r="E2755" s="10" t="str">
        <f>HYPERLINK("https://otsuka-europe-crm.veevavault.com/ui/#object/sent_email__v/VBL000000034590", "SE-001442996")</f>
        <v>SE-001442996</v>
      </c>
      <c r="F2755" s="11"/>
      <c r="G2755" s="12">
        <v>0</v>
      </c>
      <c r="H2755" s="12">
        <v>0</v>
      </c>
      <c r="I2755" s="12">
        <v>0</v>
      </c>
      <c r="J2755" s="11"/>
      <c r="K2755" s="12">
        <v>0</v>
      </c>
      <c r="L2755" s="10" t="str">
        <f>HYPERLINK("https://otsuka-europe-crm.veevavault.com/ui/#object/approved_document__v/V5O00000001L016", "ALL_Flexibilität_Ferienplanung_2026_AA_de")</f>
        <v>ALL_Flexibilität_Ferienplanung_2026_AA_de</v>
      </c>
      <c r="M2755" s="10" t="str">
        <f>HYPERLINK("mailto:dharder@crm.otsuka-europe.com", "dharder@crm.otsuka-europe.com")</f>
        <v>dharder@crm.otsuka-europe.com</v>
      </c>
      <c r="N2755" s="13">
        <v>46212.517638888887</v>
      </c>
      <c r="O2755" s="14" t="str">
        <f>HYPERLINK("https://otsuka-europe-crm.veevavault.com/ui/#object/email_activity__v/V8C000000046046", "EN-002103917")</f>
        <v>EN-002103917</v>
      </c>
    </row>
    <row r="2756" spans="1:15" ht="16" x14ac:dyDescent="0.2">
      <c r="A2756" s="18" t="str">
        <f>HYPERLINK("https://otsuka-europe-crm.veevavault.com/ui/#object/account__v/V4TZ04ASG6LSDVF", "LUCIA BASILE")</f>
        <v>LUCIA BASILE</v>
      </c>
      <c r="B2756" s="18" t="str">
        <f>HYPERLINK("https://otsuka-europe-crm.veevavault.com/ui/#object/vcountry__v/VENZ000004SONFQ", "IT")</f>
        <v>IT</v>
      </c>
      <c r="C2756" s="20" t="s">
        <v>42</v>
      </c>
      <c r="D2756" s="21" t="str">
        <f>HYPERLINK("https://otsuka-europe-crm.veevavault.com/ui/#object/approved_document__v/V5OZ025E82JJ7FL", "NL AE HCP Portal")</f>
        <v>NL AE HCP Portal</v>
      </c>
      <c r="E2756" s="22" t="str">
        <f>HYPERLINK("https://otsuka-europe-crm.veevavault.com/ui/#object/sent_email__v/VBL000000032285", "SE-001442997")</f>
        <v>SE-001442997</v>
      </c>
      <c r="F2756" s="25">
        <v>46212.541087962964</v>
      </c>
      <c r="G2756" s="24">
        <v>1</v>
      </c>
      <c r="H2756" s="24">
        <v>1</v>
      </c>
      <c r="I2756" s="24">
        <v>0</v>
      </c>
      <c r="J2756" s="23"/>
      <c r="K2756" s="24">
        <v>0</v>
      </c>
      <c r="L2756" s="22" t="str">
        <f>HYPERLINK("https://otsuka-europe-crm.veevavault.com/ui/#object/approved_document__v/V5OZ025E82JJ7FL", "NL AE HCP Portal")</f>
        <v>NL AE HCP Portal</v>
      </c>
      <c r="M2756" s="22" t="str">
        <f>HYPERLINK("mailto:laura.spadaro@crm.otsuka-europe.com", "laura.spadaro@crm.otsuka-europe.com")</f>
        <v>laura.spadaro@crm.otsuka-europe.com</v>
      </c>
      <c r="N2756" s="25">
        <v>46212.534189814818</v>
      </c>
      <c r="O2756" s="14" t="str">
        <f>HYPERLINK("https://otsuka-europe-crm.veevavault.com/ui/#object/email_activity__v/V8C000000046047", "EN-002103919")</f>
        <v>EN-002103919</v>
      </c>
    </row>
    <row r="2757" spans="1:15" ht="16" x14ac:dyDescent="0.2">
      <c r="A2757" s="26"/>
      <c r="B2757" s="26"/>
      <c r="C2757" s="26"/>
      <c r="D2757" s="26"/>
      <c r="E2757" s="26"/>
      <c r="F2757" s="26"/>
      <c r="G2757" s="26"/>
      <c r="H2757" s="26"/>
      <c r="I2757" s="26"/>
      <c r="J2757" s="26"/>
      <c r="K2757" s="26"/>
      <c r="L2757" s="26"/>
      <c r="M2757" s="26"/>
      <c r="N2757" s="26"/>
      <c r="O2757" s="14" t="str">
        <f>HYPERLINK("https://otsuka-europe-crm.veevavault.com/ui/#object/email_activity__v/V8C000000046048", "EN-002103921")</f>
        <v>EN-002103921</v>
      </c>
    </row>
    <row r="2758" spans="1:15" ht="16" x14ac:dyDescent="0.2">
      <c r="A2758" s="19"/>
      <c r="B2758" s="19"/>
      <c r="C2758" s="19"/>
      <c r="D2758" s="19"/>
      <c r="E2758" s="19"/>
      <c r="F2758" s="19"/>
      <c r="G2758" s="19"/>
      <c r="H2758" s="19"/>
      <c r="I2758" s="19"/>
      <c r="J2758" s="19"/>
      <c r="K2758" s="19"/>
      <c r="L2758" s="19"/>
      <c r="M2758" s="19"/>
      <c r="N2758" s="19"/>
      <c r="O2758" s="14" t="str">
        <f>HYPERLINK("https://otsuka-europe-crm.veevavault.com/ui/#object/email_activity__v/V8C000000048003", "EN-002104175")</f>
        <v>EN-002104175</v>
      </c>
    </row>
    <row r="2759" spans="1:15" ht="32" x14ac:dyDescent="0.2">
      <c r="A2759" s="7" t="str">
        <f>HYPERLINK("https://otsuka-europe-crm.veevavault.com/ui/#object/account__v/V4TZ06G6O71S9MV", "LUDOVICO MINEO")</f>
        <v>LUDOVICO MINEO</v>
      </c>
      <c r="B2759" s="7" t="str">
        <f>HYPERLINK("https://otsuka-europe-crm.veevavault.com/ui/#object/vcountry__v/VENZ000004SONFQ", "IT")</f>
        <v>IT</v>
      </c>
      <c r="C2759" s="8" t="s">
        <v>42</v>
      </c>
      <c r="D2759" s="9" t="str">
        <f>HYPERLINK("https://otsuka-europe-crm.veevavault.com/ui/#object/approved_document__v/V5OZ025E82JJ7FL", "NL AE HCP Portal")</f>
        <v>NL AE HCP Portal</v>
      </c>
      <c r="E2759" s="10" t="str">
        <f>HYPERLINK("https://otsuka-europe-crm.veevavault.com/ui/#object/sent_email__v/VBL000000034591", "SE-001442998")</f>
        <v>SE-001442998</v>
      </c>
      <c r="F2759" s="11"/>
      <c r="G2759" s="12">
        <v>0</v>
      </c>
      <c r="H2759" s="12">
        <v>0</v>
      </c>
      <c r="I2759" s="12">
        <v>0</v>
      </c>
      <c r="J2759" s="11"/>
      <c r="K2759" s="12">
        <v>0</v>
      </c>
      <c r="L2759" s="10" t="str">
        <f>HYPERLINK("https://otsuka-europe-crm.veevavault.com/ui/#object/approved_document__v/V5OZ025E82JJ7FL", "NL AE HCP Portal")</f>
        <v>NL AE HCP Portal</v>
      </c>
      <c r="M2759" s="10" t="str">
        <f>HYPERLINK("mailto:laura.spadaro@crm.otsuka-europe.com", "laura.spadaro@crm.otsuka-europe.com")</f>
        <v>laura.spadaro@crm.otsuka-europe.com</v>
      </c>
      <c r="N2759" s="13">
        <v>46212.551990740743</v>
      </c>
      <c r="O2759" s="14" t="str">
        <f>HYPERLINK("https://otsuka-europe-crm.veevavault.com/ui/#object/email_activity__v/V8C000000045323", "EN-002103926")</f>
        <v>EN-002103926</v>
      </c>
    </row>
    <row r="2760" spans="1:15" ht="16" x14ac:dyDescent="0.2">
      <c r="A2760" s="18" t="str">
        <f>HYPERLINK("https://otsuka-europe-crm.veevavault.com/ui/#object/account__v/V4TZ06G6OCETZ17", "Konstantin Fritzsche")</f>
        <v>Konstantin Fritzsche</v>
      </c>
      <c r="B2760" s="18" t="str">
        <f>HYPERLINK("https://otsuka-europe-crm.veevavault.com/ui/#object/vcountry__v/VENZ000004SONFP", "DE")</f>
        <v>DE</v>
      </c>
      <c r="C2760" s="20" t="s">
        <v>43</v>
      </c>
      <c r="D2760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60" s="22" t="str">
        <f>HYPERLINK("https://otsuka-europe-crm.veevavault.com/ui/#object/sent_email__v/VBL000000034592", "SE-001442999")</f>
        <v>SE-001442999</v>
      </c>
      <c r="F2760" s="25">
        <v>46212.555578703701</v>
      </c>
      <c r="G2760" s="24">
        <v>1</v>
      </c>
      <c r="H2760" s="24">
        <v>2</v>
      </c>
      <c r="I2760" s="24">
        <v>0</v>
      </c>
      <c r="J2760" s="23"/>
      <c r="K2760" s="24">
        <v>0</v>
      </c>
      <c r="L2760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60" s="22" t="str">
        <f>HYPERLINK("mailto:sannowsky@crm.otsuka-europe.com", "sannowsky@crm.otsuka-europe.com")</f>
        <v>sannowsky@crm.otsuka-europe.com</v>
      </c>
      <c r="N2760" s="25">
        <v>46212.552789351852</v>
      </c>
      <c r="O2760" s="14" t="str">
        <f>HYPERLINK("https://otsuka-europe-crm.veevavault.com/ui/#object/email_activity__v/V8C000000045324", "EN-002103927")</f>
        <v>EN-002103927</v>
      </c>
    </row>
    <row r="2761" spans="1:15" ht="16" x14ac:dyDescent="0.2">
      <c r="A2761" s="26"/>
      <c r="B2761" s="26"/>
      <c r="C2761" s="26"/>
      <c r="D2761" s="26"/>
      <c r="E2761" s="26"/>
      <c r="F2761" s="26"/>
      <c r="G2761" s="26"/>
      <c r="H2761" s="26"/>
      <c r="I2761" s="26"/>
      <c r="J2761" s="26"/>
      <c r="K2761" s="26"/>
      <c r="L2761" s="26"/>
      <c r="M2761" s="26"/>
      <c r="N2761" s="26"/>
      <c r="O2761" s="14" t="str">
        <f>HYPERLINK("https://otsuka-europe-crm.veevavault.com/ui/#object/email_activity__v/V8C000000045326", "EN-002103932")</f>
        <v>EN-002103932</v>
      </c>
    </row>
    <row r="2762" spans="1:15" ht="16" x14ac:dyDescent="0.2">
      <c r="A2762" s="19"/>
      <c r="B2762" s="19"/>
      <c r="C2762" s="19"/>
      <c r="D2762" s="19"/>
      <c r="E2762" s="19"/>
      <c r="F2762" s="19"/>
      <c r="G2762" s="19"/>
      <c r="H2762" s="19"/>
      <c r="I2762" s="19"/>
      <c r="J2762" s="19"/>
      <c r="K2762" s="19"/>
      <c r="L2762" s="19"/>
      <c r="M2762" s="19"/>
      <c r="N2762" s="19"/>
      <c r="O2762" s="14" t="str">
        <f>HYPERLINK("https://otsuka-europe-crm.veevavault.com/ui/#object/email_activity__v/V8C000000045327", "EN-002103933")</f>
        <v>EN-002103933</v>
      </c>
    </row>
    <row r="2763" spans="1:15" ht="16" x14ac:dyDescent="0.2">
      <c r="A2763" s="18" t="str">
        <f>HYPERLINK("https://otsuka-europe-crm.veevavault.com/ui/#object/account__v/V4TZ0000062T27B", "Gerd Hanel")</f>
        <v>Gerd Hanel</v>
      </c>
      <c r="B2763" s="18" t="str">
        <f>HYPERLINK("https://otsuka-europe-crm.veevavault.com/ui/#object/vcountry__v/VENZ000004SONFP", "DE")</f>
        <v>DE</v>
      </c>
      <c r="C2763" s="20" t="s">
        <v>43</v>
      </c>
      <c r="D2763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63" s="22" t="str">
        <f>HYPERLINK("https://otsuka-europe-crm.veevavault.com/ui/#object/sent_email__v/VBL000000032286", "SE-001443000")</f>
        <v>SE-001443000</v>
      </c>
      <c r="F2763" s="25">
        <v>46212.735300925924</v>
      </c>
      <c r="G2763" s="24">
        <v>1</v>
      </c>
      <c r="H2763" s="24">
        <v>2</v>
      </c>
      <c r="I2763" s="24">
        <v>0</v>
      </c>
      <c r="J2763" s="23"/>
      <c r="K2763" s="24">
        <v>0</v>
      </c>
      <c r="L2763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63" s="22" t="str">
        <f>HYPERLINK("mailto:sannowsky@crm.otsuka-europe.com", "sannowsky@crm.otsuka-europe.com")</f>
        <v>sannowsky@crm.otsuka-europe.com</v>
      </c>
      <c r="N2763" s="25">
        <v>46212.553344907406</v>
      </c>
      <c r="O2763" s="14" t="str">
        <f>HYPERLINK("https://otsuka-europe-crm.veevavault.com/ui/#object/email_activity__v/V8C000000046052", "EN-002103928")</f>
        <v>EN-002103928</v>
      </c>
    </row>
    <row r="2764" spans="1:15" ht="16" x14ac:dyDescent="0.2">
      <c r="A2764" s="26"/>
      <c r="B2764" s="26"/>
      <c r="C2764" s="26"/>
      <c r="D2764" s="26"/>
      <c r="E2764" s="26"/>
      <c r="F2764" s="26"/>
      <c r="G2764" s="26"/>
      <c r="H2764" s="26"/>
      <c r="I2764" s="26"/>
      <c r="J2764" s="26"/>
      <c r="K2764" s="26"/>
      <c r="L2764" s="26"/>
      <c r="M2764" s="26"/>
      <c r="N2764" s="26"/>
      <c r="O2764" s="14" t="str">
        <f>HYPERLINK("https://otsuka-europe-crm.veevavault.com/ui/#object/email_activity__v/V8C000000046194", "EN-002104150")</f>
        <v>EN-002104150</v>
      </c>
    </row>
    <row r="2765" spans="1:15" ht="16" x14ac:dyDescent="0.2">
      <c r="A2765" s="26"/>
      <c r="B2765" s="26"/>
      <c r="C2765" s="26"/>
      <c r="D2765" s="26"/>
      <c r="E2765" s="26"/>
      <c r="F2765" s="26"/>
      <c r="G2765" s="26"/>
      <c r="H2765" s="26"/>
      <c r="I2765" s="26"/>
      <c r="J2765" s="26"/>
      <c r="K2765" s="26"/>
      <c r="L2765" s="26"/>
      <c r="M2765" s="26"/>
      <c r="N2765" s="26"/>
      <c r="O2765" s="14" t="str">
        <f>HYPERLINK("https://otsuka-europe-crm.veevavault.com/ui/#object/email_activity__v/V8C000000046195", "EN-002104151")</f>
        <v>EN-002104151</v>
      </c>
    </row>
    <row r="2766" spans="1:15" ht="16" x14ac:dyDescent="0.2">
      <c r="A2766" s="26"/>
      <c r="B2766" s="26"/>
      <c r="C2766" s="26"/>
      <c r="D2766" s="26"/>
      <c r="E2766" s="26"/>
      <c r="F2766" s="26"/>
      <c r="G2766" s="26"/>
      <c r="H2766" s="26"/>
      <c r="I2766" s="26"/>
      <c r="J2766" s="26"/>
      <c r="K2766" s="26"/>
      <c r="L2766" s="26"/>
      <c r="M2766" s="26"/>
      <c r="N2766" s="26"/>
      <c r="O2766" s="14" t="str">
        <f>HYPERLINK("https://otsuka-europe-crm.veevavault.com/ui/#object/email_activity__v/V8C000000047020", "EN-002104191")</f>
        <v>EN-002104191</v>
      </c>
    </row>
    <row r="2767" spans="1:15" ht="16" x14ac:dyDescent="0.2">
      <c r="A2767" s="19"/>
      <c r="B2767" s="19"/>
      <c r="C2767" s="19"/>
      <c r="D2767" s="19"/>
      <c r="E2767" s="19"/>
      <c r="F2767" s="19"/>
      <c r="G2767" s="19"/>
      <c r="H2767" s="19"/>
      <c r="I2767" s="19"/>
      <c r="J2767" s="19"/>
      <c r="K2767" s="19"/>
      <c r="L2767" s="19"/>
      <c r="M2767" s="19"/>
      <c r="N2767" s="19"/>
      <c r="O2767" s="14" t="str">
        <f>HYPERLINK("https://otsuka-europe-crm.veevavault.com/ui/#object/email_activity__v/V8C000000047029", "EN-002104201")</f>
        <v>EN-002104201</v>
      </c>
    </row>
    <row r="2768" spans="1:15" ht="48" x14ac:dyDescent="0.2">
      <c r="A2768" s="7" t="str">
        <f>HYPERLINK("https://otsuka-europe-crm.veevavault.com/ui/#object/account__v/V4TZ04ASGCDJVN8", "Oana-Maria Harai-Szabo")</f>
        <v>Oana-Maria Harai-Szabo</v>
      </c>
      <c r="B2768" s="7" t="str">
        <f>HYPERLINK("https://otsuka-europe-crm.veevavault.com/ui/#object/vcountry__v/VENZ000004SONFP", "DE")</f>
        <v>DE</v>
      </c>
      <c r="C2768" s="8" t="s">
        <v>43</v>
      </c>
      <c r="D2768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68" s="10" t="str">
        <f>HYPERLINK("https://otsuka-europe-crm.veevavault.com/ui/#object/sent_email__v/VBL000000032287", "SE-001443001")</f>
        <v>SE-001443001</v>
      </c>
      <c r="F2768" s="11"/>
      <c r="G2768" s="12">
        <v>0</v>
      </c>
      <c r="H2768" s="12">
        <v>0</v>
      </c>
      <c r="I2768" s="12">
        <v>0</v>
      </c>
      <c r="J2768" s="11"/>
      <c r="K2768" s="12">
        <v>0</v>
      </c>
      <c r="L2768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68" s="10" t="str">
        <f>HYPERLINK("mailto:sannowsky@crm.otsuka-europe.com", "sannowsky@crm.otsuka-europe.com")</f>
        <v>sannowsky@crm.otsuka-europe.com</v>
      </c>
      <c r="N2768" s="13">
        <v>46212.553993055553</v>
      </c>
      <c r="O2768" s="14" t="str">
        <f>HYPERLINK("https://otsuka-europe-crm.veevavault.com/ui/#object/email_activity__v/V8C000000046053", "EN-002103929")</f>
        <v>EN-002103929</v>
      </c>
    </row>
    <row r="2769" spans="1:15" ht="48" x14ac:dyDescent="0.2">
      <c r="A2769" s="7" t="str">
        <f>HYPERLINK("https://otsuka-europe-crm.veevavault.com/ui/#object/account__v/V4TZ025E847O086", "Julian Herrmann")</f>
        <v>Julian Herrmann</v>
      </c>
      <c r="B2769" s="7" t="str">
        <f>HYPERLINK("https://otsuka-europe-crm.veevavault.com/ui/#object/vcountry__v/VENZ000004SONFP", "DE")</f>
        <v>DE</v>
      </c>
      <c r="C2769" s="8" t="s">
        <v>43</v>
      </c>
      <c r="D2769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69" s="10" t="str">
        <f>HYPERLINK("https://otsuka-europe-crm.veevavault.com/ui/#object/sent_email__v/VBL000000032288", "SE-001443002")</f>
        <v>SE-001443002</v>
      </c>
      <c r="F2769" s="11"/>
      <c r="G2769" s="12">
        <v>0</v>
      </c>
      <c r="H2769" s="12">
        <v>0</v>
      </c>
      <c r="I2769" s="12">
        <v>0</v>
      </c>
      <c r="J2769" s="11"/>
      <c r="K2769" s="12">
        <v>0</v>
      </c>
      <c r="L2769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69" s="10" t="str">
        <f>HYPERLINK("mailto:sannowsky@crm.otsuka-europe.com", "sannowsky@crm.otsuka-europe.com")</f>
        <v>sannowsky@crm.otsuka-europe.com</v>
      </c>
      <c r="N2769" s="13">
        <v>46212.554560185185</v>
      </c>
      <c r="O2769" s="14" t="str">
        <f>HYPERLINK("https://otsuka-europe-crm.veevavault.com/ui/#object/email_activity__v/V8C000000046054", "EN-002103930")</f>
        <v>EN-002103930</v>
      </c>
    </row>
    <row r="2770" spans="1:15" ht="16" x14ac:dyDescent="0.2">
      <c r="A2770" s="18" t="str">
        <f>HYPERLINK("https://otsuka-europe-crm.veevavault.com/ui/#object/account__v/V4TZ04ASG84ZZI2", "Daniela Ivanyi")</f>
        <v>Daniela Ivanyi</v>
      </c>
      <c r="B2770" s="18" t="str">
        <f>HYPERLINK("https://otsuka-europe-crm.veevavault.com/ui/#object/vcountry__v/VENZ000004SONFP", "DE")</f>
        <v>DE</v>
      </c>
      <c r="C2770" s="20" t="s">
        <v>43</v>
      </c>
      <c r="D2770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70" s="22" t="str">
        <f>HYPERLINK("https://otsuka-europe-crm.veevavault.com/ui/#object/sent_email__v/VBL000000032289", "SE-001443003")</f>
        <v>SE-001443003</v>
      </c>
      <c r="F2770" s="23"/>
      <c r="G2770" s="24">
        <v>0</v>
      </c>
      <c r="H2770" s="24">
        <v>0</v>
      </c>
      <c r="I2770" s="24">
        <v>0</v>
      </c>
      <c r="J2770" s="23"/>
      <c r="K2770" s="24">
        <v>0</v>
      </c>
      <c r="L2770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70" s="22" t="str">
        <f>HYPERLINK("mailto:sannowsky@crm.otsuka-europe.com", "sannowsky@crm.otsuka-europe.com")</f>
        <v>sannowsky@crm.otsuka-europe.com</v>
      </c>
      <c r="N2770" s="25">
        <v>46212.555115740739</v>
      </c>
      <c r="O2770" s="14" t="str">
        <f>HYPERLINK("https://otsuka-europe-crm.veevavault.com/ui/#object/email_activity__v/V8C000000045325", "EN-002103931")</f>
        <v>EN-002103931</v>
      </c>
    </row>
    <row r="2771" spans="1:15" ht="16" x14ac:dyDescent="0.2">
      <c r="A2771" s="19"/>
      <c r="B2771" s="19"/>
      <c r="C2771" s="19"/>
      <c r="D2771" s="19"/>
      <c r="E2771" s="19"/>
      <c r="F2771" s="19"/>
      <c r="G2771" s="19"/>
      <c r="H2771" s="19"/>
      <c r="I2771" s="19"/>
      <c r="J2771" s="19"/>
      <c r="K2771" s="19"/>
      <c r="L2771" s="19"/>
      <c r="M2771" s="19"/>
      <c r="N2771" s="19"/>
      <c r="O2771" s="14" t="str">
        <f>HYPERLINK("https://otsuka-europe-crm.veevavault.com/ui/#object/email_activity__v/V8C000000045329", "EN-002103935")</f>
        <v>EN-002103935</v>
      </c>
    </row>
    <row r="2772" spans="1:15" ht="32" x14ac:dyDescent="0.2">
      <c r="A2772" s="7" t="str">
        <f>HYPERLINK("https://otsuka-europe-crm.veevavault.com/ui/#object/account__v/V4TZ06G6O8L0YNQ", "Rajini Thomas")</f>
        <v>Rajini Thomas</v>
      </c>
      <c r="B2772" s="7" t="str">
        <f>HYPERLINK("https://otsuka-europe-crm.veevavault.com/ui/#object/vcountry__v/VENZ000004SONFK", "GB")</f>
        <v>GB</v>
      </c>
      <c r="C2772" s="8" t="s">
        <v>41</v>
      </c>
      <c r="D2772" s="9" t="str">
        <f>HYPERLINK("https://otsuka-europe-crm.veevavault.com/ui/#object/approved_document__v/V5OZ025E82TSZBI", "Aripiprazole 960mg Fragment VAE")</f>
        <v>Aripiprazole 960mg Fragment VAE</v>
      </c>
      <c r="E2772" s="10" t="str">
        <f>HYPERLINK("https://otsuka-europe-crm.veevavault.com/ui/#object/sent_email__v/VBL000000032290", "SE-001443004")</f>
        <v>SE-001443004</v>
      </c>
      <c r="F2772" s="11"/>
      <c r="G2772" s="12">
        <v>0</v>
      </c>
      <c r="H2772" s="12">
        <v>0</v>
      </c>
      <c r="I2772" s="12">
        <v>0</v>
      </c>
      <c r="J2772" s="11"/>
      <c r="K2772" s="12">
        <v>0</v>
      </c>
      <c r="L2772" s="10" t="str">
        <f>HYPERLINK("https://otsuka-europe-crm.veevavault.com/ui/#object/approved_document__v/V5OZ025E82TSZBI", "Aripiprazole 960mg Fragment VAE")</f>
        <v>Aripiprazole 960mg Fragment VAE</v>
      </c>
      <c r="M2772" s="10" t="str">
        <f>HYPERLINK("mailto:sfinnigan@crm.otsuka-europe.com", "sfinnigan@crm.otsuka-europe.com")</f>
        <v>sfinnigan@crm.otsuka-europe.com</v>
      </c>
      <c r="N2772" s="13">
        <v>46212.596666666665</v>
      </c>
      <c r="O2772" s="14" t="str">
        <f>HYPERLINK("https://otsuka-europe-crm.veevavault.com/ui/#object/email_activity__v/V8C000000046061", "EN-002103952")</f>
        <v>EN-002103952</v>
      </c>
    </row>
    <row r="2773" spans="1:15" ht="16" x14ac:dyDescent="0.2">
      <c r="A2773" s="18" t="str">
        <f>HYPERLINK("https://otsuka-europe-crm.veevavault.com/ui/#object/account__v/V4T00000002B144", "N.M. Vreeke")</f>
        <v>N.M. Vreeke</v>
      </c>
      <c r="B2773" s="18" t="str">
        <f>HYPERLINK("https://otsuka-europe-crm.veevavault.com/ui/#object/vcountry__v/VENZ000004SONF4", "NL")</f>
        <v>NL</v>
      </c>
      <c r="C2773" s="20" t="s">
        <v>44</v>
      </c>
      <c r="D2773" s="21" t="str">
        <f>HYPERLINK("https://otsuka-europe-crm.veevavault.com/ui/#object/approved_document__v/V5O00000000O009", "OPSAB Privacy Notice Email February 2026 - NOR-NPR-2500018")</f>
        <v>OPSAB Privacy Notice Email February 2026 - NOR-NPR-2500018</v>
      </c>
      <c r="E2773" s="22" t="str">
        <f>HYPERLINK("https://otsuka-europe-crm.veevavault.com/ui/#object/sent_email__v/VBL000000034593", "SE-001443005")</f>
        <v>SE-001443005</v>
      </c>
      <c r="F2773" s="25">
        <v>46212.636828703704</v>
      </c>
      <c r="G2773" s="24">
        <v>1</v>
      </c>
      <c r="H2773" s="24">
        <v>5</v>
      </c>
      <c r="I2773" s="24">
        <v>0</v>
      </c>
      <c r="J2773" s="23"/>
      <c r="K2773" s="24">
        <v>0</v>
      </c>
      <c r="L2773" s="22" t="str">
        <f>HYPERLINK("https://otsuka-europe-crm.veevavault.com/ui/#object/approved_document__v/V5O00000000O009", "OPSAB Privacy Notice Email February 2026 - NOR-NPR-2500018")</f>
        <v>OPSAB Privacy Notice Email February 2026 - NOR-NPR-2500018</v>
      </c>
      <c r="M2773" s="22" t="str">
        <f>HYPERLINK("mailto:jana.bommelijn@crm.otsuka-europe.com", "jana.bommelijn@crm.otsuka-europe.com")</f>
        <v>jana.bommelijn@crm.otsuka-europe.com</v>
      </c>
      <c r="N2773" s="25">
        <v>46212.613877314812</v>
      </c>
      <c r="O2773" s="14" t="str">
        <f>HYPERLINK("https://otsuka-europe-crm.veevavault.com/ui/#object/email_activity__v/V8C000000045340", "EN-002103959")</f>
        <v>EN-002103959</v>
      </c>
    </row>
    <row r="2774" spans="1:15" ht="16" x14ac:dyDescent="0.2">
      <c r="A2774" s="26"/>
      <c r="B2774" s="26"/>
      <c r="C2774" s="26"/>
      <c r="D2774" s="26"/>
      <c r="E2774" s="26"/>
      <c r="F2774" s="26"/>
      <c r="G2774" s="26"/>
      <c r="H2774" s="26"/>
      <c r="I2774" s="26"/>
      <c r="J2774" s="26"/>
      <c r="K2774" s="26"/>
      <c r="L2774" s="26"/>
      <c r="M2774" s="26"/>
      <c r="N2774" s="26"/>
      <c r="O2774" s="14" t="str">
        <f>HYPERLINK("https://otsuka-europe-crm.veevavault.com/ui/#object/email_activity__v/V8C000000045342", "EN-002103964")</f>
        <v>EN-002103964</v>
      </c>
    </row>
    <row r="2775" spans="1:15" ht="16" x14ac:dyDescent="0.2">
      <c r="A2775" s="26"/>
      <c r="B2775" s="26"/>
      <c r="C2775" s="26"/>
      <c r="D2775" s="26"/>
      <c r="E2775" s="26"/>
      <c r="F2775" s="26"/>
      <c r="G2775" s="26"/>
      <c r="H2775" s="26"/>
      <c r="I2775" s="26"/>
      <c r="J2775" s="26"/>
      <c r="K2775" s="26"/>
      <c r="L2775" s="26"/>
      <c r="M2775" s="26"/>
      <c r="N2775" s="26"/>
      <c r="O2775" s="14" t="str">
        <f>HYPERLINK("https://otsuka-europe-crm.veevavault.com/ui/#object/email_activity__v/V8C000000046068", "EN-002103958")</f>
        <v>EN-002103958</v>
      </c>
    </row>
    <row r="2776" spans="1:15" ht="16" x14ac:dyDescent="0.2">
      <c r="A2776" s="26"/>
      <c r="B2776" s="26"/>
      <c r="C2776" s="26"/>
      <c r="D2776" s="26"/>
      <c r="E2776" s="26"/>
      <c r="F2776" s="26"/>
      <c r="G2776" s="26"/>
      <c r="H2776" s="26"/>
      <c r="I2776" s="26"/>
      <c r="J2776" s="26"/>
      <c r="K2776" s="26"/>
      <c r="L2776" s="26"/>
      <c r="M2776" s="26"/>
      <c r="N2776" s="26"/>
      <c r="O2776" s="14" t="str">
        <f>HYPERLINK("https://otsuka-europe-crm.veevavault.com/ui/#object/email_activity__v/V8C000000046071", "EN-002103963")</f>
        <v>EN-002103963</v>
      </c>
    </row>
    <row r="2777" spans="1:15" ht="16" x14ac:dyDescent="0.2">
      <c r="A2777" s="26"/>
      <c r="B2777" s="26"/>
      <c r="C2777" s="26"/>
      <c r="D2777" s="26"/>
      <c r="E2777" s="26"/>
      <c r="F2777" s="26"/>
      <c r="G2777" s="26"/>
      <c r="H2777" s="26"/>
      <c r="I2777" s="26"/>
      <c r="J2777" s="26"/>
      <c r="K2777" s="26"/>
      <c r="L2777" s="26"/>
      <c r="M2777" s="26"/>
      <c r="N2777" s="26"/>
      <c r="O2777" s="14" t="str">
        <f>HYPERLINK("https://otsuka-europe-crm.veevavault.com/ui/#object/email_activity__v/V8C000000046072", "EN-002103965")</f>
        <v>EN-002103965</v>
      </c>
    </row>
    <row r="2778" spans="1:15" ht="16" x14ac:dyDescent="0.2">
      <c r="A2778" s="19"/>
      <c r="B2778" s="19"/>
      <c r="C2778" s="19"/>
      <c r="D2778" s="19"/>
      <c r="E2778" s="19"/>
      <c r="F2778" s="19"/>
      <c r="G2778" s="19"/>
      <c r="H2778" s="19"/>
      <c r="I2778" s="19"/>
      <c r="J2778" s="19"/>
      <c r="K2778" s="19"/>
      <c r="L2778" s="19"/>
      <c r="M2778" s="19"/>
      <c r="N2778" s="19"/>
      <c r="O2778" s="14" t="str">
        <f>HYPERLINK("https://otsuka-europe-crm.veevavault.com/ui/#object/email_activity__v/V8C000000046073", "EN-002103966")</f>
        <v>EN-002103966</v>
      </c>
    </row>
    <row r="2779" spans="1:15" ht="48" x14ac:dyDescent="0.2">
      <c r="A2779" s="7" t="str">
        <f>HYPERLINK("https://otsuka-europe-crm.veevavault.com/ui/#object/account__v/V4TZ0000062T5BH", "Ulrike Jaros")</f>
        <v>Ulrike Jaros</v>
      </c>
      <c r="B2779" s="7" t="str">
        <f>HYPERLINK("https://otsuka-europe-crm.veevavault.com/ui/#object/vcountry__v/VENZ000004SONFP", "DE")</f>
        <v>DE</v>
      </c>
      <c r="C2779" s="8" t="s">
        <v>43</v>
      </c>
      <c r="D2779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79" s="10" t="str">
        <f>HYPERLINK("https://otsuka-europe-crm.veevavault.com/ui/#object/sent_email__v/VBL000000032291", "SE-001443006")</f>
        <v>SE-001443006</v>
      </c>
      <c r="F2779" s="11"/>
      <c r="G2779" s="12">
        <v>0</v>
      </c>
      <c r="H2779" s="12">
        <v>0</v>
      </c>
      <c r="I2779" s="12">
        <v>0</v>
      </c>
      <c r="J2779" s="11"/>
      <c r="K2779" s="12">
        <v>0</v>
      </c>
      <c r="L2779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79" s="10" t="str">
        <f>HYPERLINK("mailto:sannowsky@crm.otsuka-europe.com", "sannowsky@crm.otsuka-europe.com")</f>
        <v>sannowsky@crm.otsuka-europe.com</v>
      </c>
      <c r="N2779" s="13">
        <v>46212.667986111112</v>
      </c>
      <c r="O2779" s="14" t="str">
        <f>HYPERLINK("https://otsuka-europe-crm.veevavault.com/ui/#object/email_activity__v/V8C000000045356", "EN-002103990")</f>
        <v>EN-002103990</v>
      </c>
    </row>
    <row r="2780" spans="1:15" ht="48" x14ac:dyDescent="0.2">
      <c r="A2780" s="7" t="str">
        <f>HYPERLINK("https://otsuka-europe-crm.veevavault.com/ui/#object/account__v/V4TZ0000062T06A", "Karina Kischkies")</f>
        <v>Karina Kischkies</v>
      </c>
      <c r="B2780" s="7" t="str">
        <f>HYPERLINK("https://otsuka-europe-crm.veevavault.com/ui/#object/vcountry__v/VENZ000004SONFP", "DE")</f>
        <v>DE</v>
      </c>
      <c r="C2780" s="8" t="s">
        <v>43</v>
      </c>
      <c r="D2780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80" s="10" t="str">
        <f>HYPERLINK("https://otsuka-europe-crm.veevavault.com/ui/#object/sent_email__v/VBL000000034594", "SE-001443007")</f>
        <v>SE-001443007</v>
      </c>
      <c r="F2780" s="11"/>
      <c r="G2780" s="12">
        <v>0</v>
      </c>
      <c r="H2780" s="12">
        <v>0</v>
      </c>
      <c r="I2780" s="12">
        <v>0</v>
      </c>
      <c r="J2780" s="11"/>
      <c r="K2780" s="12">
        <v>0</v>
      </c>
      <c r="L2780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80" s="10" t="str">
        <f>HYPERLINK("mailto:sannowsky@crm.otsuka-europe.com", "sannowsky@crm.otsuka-europe.com")</f>
        <v>sannowsky@crm.otsuka-europe.com</v>
      </c>
      <c r="N2780" s="13">
        <v>46212.668483796297</v>
      </c>
      <c r="O2780" s="14" t="str">
        <f>HYPERLINK("https://otsuka-europe-crm.veevavault.com/ui/#object/email_activity__v/V8C000000046084", "EN-002103991")</f>
        <v>EN-002103991</v>
      </c>
    </row>
    <row r="2781" spans="1:15" ht="48" x14ac:dyDescent="0.2">
      <c r="A2781" s="7" t="str">
        <f>HYPERLINK("https://otsuka-europe-crm.veevavault.com/ui/#object/account__v/V4TZ0000062T6IL", "Frauke Langkopf")</f>
        <v>Frauke Langkopf</v>
      </c>
      <c r="B2781" s="7" t="str">
        <f>HYPERLINK("https://otsuka-europe-crm.veevavault.com/ui/#object/vcountry__v/VENZ000004SONFP", "DE")</f>
        <v>DE</v>
      </c>
      <c r="C2781" s="8" t="s">
        <v>43</v>
      </c>
      <c r="D2781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81" s="10" t="str">
        <f>HYPERLINK("https://otsuka-europe-crm.veevavault.com/ui/#object/sent_email__v/VBL000000032292", "SE-001443008")</f>
        <v>SE-001443008</v>
      </c>
      <c r="F2781" s="11"/>
      <c r="G2781" s="12">
        <v>0</v>
      </c>
      <c r="H2781" s="12">
        <v>0</v>
      </c>
      <c r="I2781" s="12">
        <v>0</v>
      </c>
      <c r="J2781" s="11"/>
      <c r="K2781" s="12">
        <v>0</v>
      </c>
      <c r="L2781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81" s="10" t="str">
        <f>HYPERLINK("mailto:sannowsky@crm.otsuka-europe.com", "sannowsky@crm.otsuka-europe.com")</f>
        <v>sannowsky@crm.otsuka-europe.com</v>
      </c>
      <c r="N2781" s="13">
        <v>46212.669004629628</v>
      </c>
      <c r="O2781" s="14" t="str">
        <f>HYPERLINK("https://otsuka-europe-crm.veevavault.com/ui/#object/email_activity__v/V8C000000046085", "EN-002103993")</f>
        <v>EN-002103993</v>
      </c>
    </row>
    <row r="2782" spans="1:15" ht="48" x14ac:dyDescent="0.2">
      <c r="A2782" s="7" t="str">
        <f>HYPERLINK("https://otsuka-europe-crm.veevavault.com/ui/#object/account__v/V4TZ0000062T7T8", "Jacek Olejniczak")</f>
        <v>Jacek Olejniczak</v>
      </c>
      <c r="B2782" s="7" t="str">
        <f>HYPERLINK("https://otsuka-europe-crm.veevavault.com/ui/#object/vcountry__v/VENZ000004SONFP", "DE")</f>
        <v>DE</v>
      </c>
      <c r="C2782" s="8" t="s">
        <v>43</v>
      </c>
      <c r="D2782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82" s="10" t="str">
        <f>HYPERLINK("https://otsuka-europe-crm.veevavault.com/ui/#object/sent_email__v/VBL000000034595", "SE-001443009")</f>
        <v>SE-001443009</v>
      </c>
      <c r="F2782" s="11"/>
      <c r="G2782" s="12">
        <v>0</v>
      </c>
      <c r="H2782" s="12">
        <v>0</v>
      </c>
      <c r="I2782" s="12">
        <v>0</v>
      </c>
      <c r="J2782" s="11"/>
      <c r="K2782" s="12">
        <v>0</v>
      </c>
      <c r="L2782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82" s="10" t="str">
        <f>HYPERLINK("mailto:sannowsky@crm.otsuka-europe.com", "sannowsky@crm.otsuka-europe.com")</f>
        <v>sannowsky@crm.otsuka-europe.com</v>
      </c>
      <c r="N2782" s="13">
        <v>46212.669733796298</v>
      </c>
      <c r="O2782" s="14" t="str">
        <f>HYPERLINK("https://otsuka-europe-crm.veevavault.com/ui/#object/email_activity__v/V8C000000046087", "EN-002103995")</f>
        <v>EN-002103995</v>
      </c>
    </row>
    <row r="2783" spans="1:15" ht="16" x14ac:dyDescent="0.2">
      <c r="A2783" s="18" t="str">
        <f>HYPERLINK("https://otsuka-europe-crm.veevavault.com/ui/#object/account__v/V4TZ00000634UF1", "Huriye Özalp")</f>
        <v>Huriye Özalp</v>
      </c>
      <c r="B2783" s="18" t="str">
        <f>HYPERLINK("https://otsuka-europe-crm.veevavault.com/ui/#object/vcountry__v/VENZ000004SONFP", "DE")</f>
        <v>DE</v>
      </c>
      <c r="C2783" s="20" t="s">
        <v>43</v>
      </c>
      <c r="D2783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783" s="22" t="str">
        <f>HYPERLINK("https://otsuka-europe-crm.veevavault.com/ui/#object/sent_email__v/VBL000000032293", "SE-001443010")</f>
        <v>SE-001443010</v>
      </c>
      <c r="F2783" s="23"/>
      <c r="G2783" s="24">
        <v>0</v>
      </c>
      <c r="H2783" s="24">
        <v>0</v>
      </c>
      <c r="I2783" s="24">
        <v>0</v>
      </c>
      <c r="J2783" s="23"/>
      <c r="K2783" s="24">
        <v>0</v>
      </c>
      <c r="L2783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783" s="22" t="str">
        <f>HYPERLINK("mailto:sannowsky@crm.otsuka-europe.com", "sannowsky@crm.otsuka-europe.com")</f>
        <v>sannowsky@crm.otsuka-europe.com</v>
      </c>
      <c r="N2783" s="25">
        <v>46212.670219907406</v>
      </c>
      <c r="O2783" s="14" t="str">
        <f>HYPERLINK("https://otsuka-europe-crm.veevavault.com/ui/#object/email_activity__v/V8C000000046088", "EN-002103996")</f>
        <v>EN-002103996</v>
      </c>
    </row>
    <row r="2784" spans="1:15" ht="16" x14ac:dyDescent="0.2">
      <c r="A2784" s="19"/>
      <c r="B2784" s="19"/>
      <c r="C2784" s="19"/>
      <c r="D2784" s="19"/>
      <c r="E2784" s="19"/>
      <c r="F2784" s="19"/>
      <c r="G2784" s="19"/>
      <c r="H2784" s="19"/>
      <c r="I2784" s="19"/>
      <c r="J2784" s="19"/>
      <c r="K2784" s="19"/>
      <c r="L2784" s="19"/>
      <c r="M2784" s="19"/>
      <c r="N2784" s="19"/>
      <c r="O2784" s="14" t="str">
        <f>HYPERLINK("https://otsuka-europe-crm.veevavault.com/ui/#object/email_activity__v/V8C00000004E560", "EN-002109456")</f>
        <v>EN-002109456</v>
      </c>
    </row>
    <row r="2785" spans="1:15" ht="32" x14ac:dyDescent="0.2">
      <c r="A2785" s="7" t="str">
        <f>HYPERLINK("https://otsuka-europe-crm.veevavault.com/ui/#object/account__v/V4T00000002A121", "MARINA BUENO PEREZ")</f>
        <v>MARINA BUENO PEREZ</v>
      </c>
      <c r="B2785" s="7" t="str">
        <f>HYPERLINK("https://otsuka-europe-crm.veevavault.com/ui/#object/vcountry__v/VENZ000004SONF5", "ES")</f>
        <v>ES</v>
      </c>
      <c r="C2785" s="8" t="s">
        <v>39</v>
      </c>
      <c r="D2785" s="9" t="str">
        <f>HYPERLINK("https://otsuka-europe-crm.veevavault.com/ui/#object/approved_document__v/V5OZ04ASG4FWKA7", "Reuniones Online Consent - 2")</f>
        <v>Reuniones Online Consent - 2</v>
      </c>
      <c r="E2785" s="10" t="str">
        <f>HYPERLINK("https://otsuka-europe-crm.veevavault.com/ui/#object/sent_email__v/VBL000000034598", "SE-001443014")</f>
        <v>SE-001443014</v>
      </c>
      <c r="F2785" s="11"/>
      <c r="G2785" s="12">
        <v>0</v>
      </c>
      <c r="H2785" s="12">
        <v>0</v>
      </c>
      <c r="I2785" s="12">
        <v>0</v>
      </c>
      <c r="J2785" s="11"/>
      <c r="K2785" s="12">
        <v>0</v>
      </c>
      <c r="L2785" s="10" t="str">
        <f>HYPERLINK("https://otsuka-europe-crm.veevavault.com/ui/#object/approved_document__v/V5OZ04ASG4FWKA7", "Reuniones Online Consent - 2")</f>
        <v>Reuniones Online Consent - 2</v>
      </c>
      <c r="M2785" s="10" t="str">
        <f>HYPERLINK("mailto:sruiz@crm.otsuka-europe.com", "sruiz@crm.otsuka-europe.com")</f>
        <v>sruiz@crm.otsuka-europe.com</v>
      </c>
      <c r="N2785" s="13">
        <v>46212.679293981484</v>
      </c>
      <c r="O2785" s="14" t="str">
        <f>HYPERLINK("https://otsuka-europe-crm.veevavault.com/ui/#object/email_activity__v/V8C000000046090", "EN-002103998")</f>
        <v>EN-002103998</v>
      </c>
    </row>
    <row r="2786" spans="1:15" ht="32" x14ac:dyDescent="0.2">
      <c r="A2786" s="7" t="str">
        <f>HYPERLINK("https://otsuka-europe-crm.veevavault.com/ui/#object/account__v/V4T00000002A121", "MARINA BUENO PEREZ")</f>
        <v>MARINA BUENO PEREZ</v>
      </c>
      <c r="B2786" s="7" t="str">
        <f>HYPERLINK("https://otsuka-europe-crm.veevavault.com/ui/#object/vcountry__v/VENZ000004SONF5", "ES")</f>
        <v>ES</v>
      </c>
      <c r="C2786" s="8" t="s">
        <v>39</v>
      </c>
      <c r="D2786" s="9" t="str">
        <f>HYPERLINK("https://otsuka-europe-crm.veevavault.com/ui/#object/approved_document__v/V5O00000000D100", "Spain - Consent Email 1 Aug 25")</f>
        <v>Spain - Consent Email 1 Aug 25</v>
      </c>
      <c r="E2786" s="10" t="str">
        <f>HYPERLINK("https://otsuka-europe-crm.veevavault.com/ui/#object/sent_email__v/VBL000000034599", "SE-001443015")</f>
        <v>SE-001443015</v>
      </c>
      <c r="F2786" s="11"/>
      <c r="G2786" s="12">
        <v>0</v>
      </c>
      <c r="H2786" s="12">
        <v>0</v>
      </c>
      <c r="I2786" s="12">
        <v>0</v>
      </c>
      <c r="J2786" s="11"/>
      <c r="K2786" s="12">
        <v>0</v>
      </c>
      <c r="L2786" s="10" t="str">
        <f>HYPERLINK("https://otsuka-europe-crm.veevavault.com/ui/#object/approved_document__v/V5O00000000D100", "Spain - Consent Email 1 Aug 25")</f>
        <v>Spain - Consent Email 1 Aug 25</v>
      </c>
      <c r="M2786" s="10" t="str">
        <f>HYPERLINK("mailto:sruiz@crm.otsuka-europe.com", "sruiz@crm.otsuka-europe.com")</f>
        <v>sruiz@crm.otsuka-europe.com</v>
      </c>
      <c r="N2786" s="13">
        <v>46212.679293981484</v>
      </c>
      <c r="O2786" s="14" t="str">
        <f>HYPERLINK("https://otsuka-europe-crm.veevavault.com/ui/#object/email_activity__v/V8C000000046091", "EN-002103999")</f>
        <v>EN-002103999</v>
      </c>
    </row>
    <row r="2787" spans="1:15" ht="16" x14ac:dyDescent="0.2">
      <c r="A2787" s="18" t="str">
        <f>HYPERLINK("https://otsuka-europe-crm.veevavault.com/ui/#object/account__v/V4T00000002A121", "MARINA BUENO PEREZ")</f>
        <v>MARINA BUENO PEREZ</v>
      </c>
      <c r="B2787" s="18" t="str">
        <f>HYPERLINK("https://otsuka-europe-crm.veevavault.com/ui/#object/vcountry__v/VENZ000004SONF5", "ES")</f>
        <v>ES</v>
      </c>
      <c r="C2787" s="20" t="s">
        <v>39</v>
      </c>
      <c r="D2787" s="21" t="str">
        <f>HYPERLINK("https://otsuka-europe-crm.veevavault.com/ui/#object/approved_document__v/V5OZ06G6O6RFL1P", "ES Veeva Privacy Notice Email")</f>
        <v>ES Veeva Privacy Notice Email</v>
      </c>
      <c r="E2787" s="22" t="str">
        <f>HYPERLINK("https://otsuka-europe-crm.veevavault.com/ui/#object/sent_email__v/VBL000000032295", "SE-001443016")</f>
        <v>SE-001443016</v>
      </c>
      <c r="F2787" s="25">
        <v>46212.732372685183</v>
      </c>
      <c r="G2787" s="24">
        <v>1</v>
      </c>
      <c r="H2787" s="24">
        <v>1</v>
      </c>
      <c r="I2787" s="24">
        <v>0</v>
      </c>
      <c r="J2787" s="23"/>
      <c r="K2787" s="24">
        <v>0</v>
      </c>
      <c r="L2787" s="22" t="str">
        <f>HYPERLINK("https://otsuka-europe-crm.veevavault.com/ui/#object/approved_document__v/V5OZ06G6O6RFL1P", "ES Veeva Privacy Notice Email")</f>
        <v>ES Veeva Privacy Notice Email</v>
      </c>
      <c r="M2787" s="22" t="str">
        <f>HYPERLINK("mailto:sruiz@crm.otsuka-europe.com", "sruiz@crm.otsuka-europe.com")</f>
        <v>sruiz@crm.otsuka-europe.com</v>
      </c>
      <c r="N2787" s="25">
        <v>46212.683263888888</v>
      </c>
      <c r="O2787" s="14" t="str">
        <f>HYPERLINK("https://otsuka-europe-crm.veevavault.com/ui/#object/email_activity__v/V8C000000045402", "EN-002104145")</f>
        <v>EN-002104145</v>
      </c>
    </row>
    <row r="2788" spans="1:15" ht="16" x14ac:dyDescent="0.2">
      <c r="A2788" s="19"/>
      <c r="B2788" s="19"/>
      <c r="C2788" s="19"/>
      <c r="D2788" s="19"/>
      <c r="E2788" s="19"/>
      <c r="F2788" s="19"/>
      <c r="G2788" s="19"/>
      <c r="H2788" s="19"/>
      <c r="I2788" s="19"/>
      <c r="J2788" s="19"/>
      <c r="K2788" s="19"/>
      <c r="L2788" s="19"/>
      <c r="M2788" s="19"/>
      <c r="N2788" s="19"/>
      <c r="O2788" s="14" t="str">
        <f>HYPERLINK("https://otsuka-europe-crm.veevavault.com/ui/#object/email_activity__v/V8C000000046093", "EN-002104002")</f>
        <v>EN-002104002</v>
      </c>
    </row>
    <row r="2789" spans="1:15" ht="16" x14ac:dyDescent="0.2">
      <c r="A2789" s="18" t="str">
        <f>HYPERLINK("https://otsuka-europe-crm.veevavault.com/ui/#object/account__v/V4T00000002A121", "MARINA BUENO PEREZ")</f>
        <v>MARINA BUENO PEREZ</v>
      </c>
      <c r="B2789" s="18" t="str">
        <f>HYPERLINK("https://otsuka-europe-crm.veevavault.com/ui/#object/vcountry__v/VENZ000004SONF5", "ES")</f>
        <v>ES</v>
      </c>
      <c r="C2789" s="20" t="s">
        <v>39</v>
      </c>
      <c r="D2789" s="21" t="str">
        <f>HYPERLINK("https://otsuka-europe-crm.veevavault.com/ui/#object/approved_document__v/V5OZ04ASG4FWKA7", "Reuniones Online Consent - 2")</f>
        <v>Reuniones Online Consent - 2</v>
      </c>
      <c r="E2789" s="22" t="str">
        <f>HYPERLINK("https://otsuka-europe-crm.veevavault.com/ui/#object/sent_email__v/VBL000000032296", "SE-001443017")</f>
        <v>SE-001443017</v>
      </c>
      <c r="F2789" s="25">
        <v>46212.732465277775</v>
      </c>
      <c r="G2789" s="24">
        <v>1</v>
      </c>
      <c r="H2789" s="24">
        <v>1</v>
      </c>
      <c r="I2789" s="24">
        <v>1</v>
      </c>
      <c r="J2789" s="25">
        <v>46212.732685185183</v>
      </c>
      <c r="K2789" s="24">
        <v>1</v>
      </c>
      <c r="L2789" s="22" t="str">
        <f>HYPERLINK("https://otsuka-europe-crm.veevavault.com/ui/#object/approved_document__v/V5OZ04ASG4FWKA7", "Reuniones Online Consent - 2")</f>
        <v>Reuniones Online Consent - 2</v>
      </c>
      <c r="M2789" s="22" t="str">
        <f>HYPERLINK("mailto:sruiz@crm.otsuka-europe.com", "sruiz@crm.otsuka-europe.com")</f>
        <v>sruiz@crm.otsuka-europe.com</v>
      </c>
      <c r="N2789" s="25">
        <v>46212.683634259258</v>
      </c>
      <c r="O2789" s="14" t="str">
        <f>HYPERLINK("https://otsuka-europe-crm.veevavault.com/ui/#object/email_activity__v/V8C000000045403", "EN-002104146")</f>
        <v>EN-002104146</v>
      </c>
    </row>
    <row r="2790" spans="1:15" ht="16" x14ac:dyDescent="0.2">
      <c r="A2790" s="26"/>
      <c r="B2790" s="26"/>
      <c r="C2790" s="26"/>
      <c r="D2790" s="26"/>
      <c r="E2790" s="26"/>
      <c r="F2790" s="26"/>
      <c r="G2790" s="26"/>
      <c r="H2790" s="26"/>
      <c r="I2790" s="26"/>
      <c r="J2790" s="26"/>
      <c r="K2790" s="26"/>
      <c r="L2790" s="26"/>
      <c r="M2790" s="26"/>
      <c r="N2790" s="26"/>
      <c r="O2790" s="14" t="str">
        <f>HYPERLINK("https://otsuka-europe-crm.veevavault.com/ui/#object/email_activity__v/V8C000000046095", "EN-002104004")</f>
        <v>EN-002104004</v>
      </c>
    </row>
    <row r="2791" spans="1:15" ht="16" x14ac:dyDescent="0.2">
      <c r="A2791" s="19"/>
      <c r="B2791" s="19"/>
      <c r="C2791" s="19"/>
      <c r="D2791" s="19"/>
      <c r="E2791" s="19"/>
      <c r="F2791" s="19"/>
      <c r="G2791" s="19"/>
      <c r="H2791" s="19"/>
      <c r="I2791" s="19"/>
      <c r="J2791" s="19"/>
      <c r="K2791" s="19"/>
      <c r="L2791" s="19"/>
      <c r="M2791" s="19"/>
      <c r="N2791" s="19"/>
      <c r="O2791" s="14" t="str">
        <f>HYPERLINK("https://otsuka-europe-crm.veevavault.com/ui/#object/email_activity__v/V8C000000046193", "EN-002104147")</f>
        <v>EN-002104147</v>
      </c>
    </row>
    <row r="2792" spans="1:15" ht="16" x14ac:dyDescent="0.2">
      <c r="A2792" s="18" t="str">
        <f>HYPERLINK("https://otsuka-europe-crm.veevavault.com/ui/#object/account__v/V4T00000002A121", "MARINA BUENO PEREZ")</f>
        <v>MARINA BUENO PEREZ</v>
      </c>
      <c r="B2792" s="18" t="str">
        <f>HYPERLINK("https://otsuka-europe-crm.veevavault.com/ui/#object/vcountry__v/VENZ000004SONF5", "ES")</f>
        <v>ES</v>
      </c>
      <c r="C2792" s="20" t="s">
        <v>39</v>
      </c>
      <c r="D2792" s="21" t="str">
        <f>HYPERLINK("https://otsuka-europe-crm.veevavault.com/ui/#object/approved_document__v/V5O00000000D100", "Spain - Consent Email 1 Aug 25")</f>
        <v>Spain - Consent Email 1 Aug 25</v>
      </c>
      <c r="E2792" s="22" t="str">
        <f>HYPERLINK("https://otsuka-europe-crm.veevavault.com/ui/#object/sent_email__v/VBL000000032297", "SE-001443018")</f>
        <v>SE-001443018</v>
      </c>
      <c r="F2792" s="25">
        <v>46212.732812499999</v>
      </c>
      <c r="G2792" s="24">
        <v>1</v>
      </c>
      <c r="H2792" s="24">
        <v>1</v>
      </c>
      <c r="I2792" s="24">
        <v>1</v>
      </c>
      <c r="J2792" s="25">
        <v>46212.732905092591</v>
      </c>
      <c r="K2792" s="24">
        <v>1</v>
      </c>
      <c r="L2792" s="22" t="str">
        <f>HYPERLINK("https://otsuka-europe-crm.veevavault.com/ui/#object/approved_document__v/V5O00000000D100", "Spain - Consent Email 1 Aug 25")</f>
        <v>Spain - Consent Email 1 Aug 25</v>
      </c>
      <c r="M2792" s="22" t="str">
        <f>HYPERLINK("mailto:sruiz@crm.otsuka-europe.com", "sruiz@crm.otsuka-europe.com")</f>
        <v>sruiz@crm.otsuka-europe.com</v>
      </c>
      <c r="N2792" s="25">
        <v>46212.683634259258</v>
      </c>
      <c r="O2792" s="14" t="str">
        <f>HYPERLINK("https://otsuka-europe-crm.veevavault.com/ui/#object/email_activity__v/V8C000000045404", "EN-002104148")</f>
        <v>EN-002104148</v>
      </c>
    </row>
    <row r="2793" spans="1:15" ht="16" x14ac:dyDescent="0.2">
      <c r="A2793" s="26"/>
      <c r="B2793" s="26"/>
      <c r="C2793" s="26"/>
      <c r="D2793" s="26"/>
      <c r="E2793" s="26"/>
      <c r="F2793" s="26"/>
      <c r="G2793" s="26"/>
      <c r="H2793" s="26"/>
      <c r="I2793" s="26"/>
      <c r="J2793" s="26"/>
      <c r="K2793" s="26"/>
      <c r="L2793" s="26"/>
      <c r="M2793" s="26"/>
      <c r="N2793" s="26"/>
      <c r="O2793" s="14" t="str">
        <f>HYPERLINK("https://otsuka-europe-crm.veevavault.com/ui/#object/email_activity__v/V8C000000045405", "EN-002104149")</f>
        <v>EN-002104149</v>
      </c>
    </row>
    <row r="2794" spans="1:15" ht="16" x14ac:dyDescent="0.2">
      <c r="A2794" s="19"/>
      <c r="B2794" s="19"/>
      <c r="C2794" s="19"/>
      <c r="D2794" s="19"/>
      <c r="E2794" s="19"/>
      <c r="F2794" s="19"/>
      <c r="G2794" s="19"/>
      <c r="H2794" s="19"/>
      <c r="I2794" s="19"/>
      <c r="J2794" s="19"/>
      <c r="K2794" s="19"/>
      <c r="L2794" s="19"/>
      <c r="M2794" s="19"/>
      <c r="N2794" s="19"/>
      <c r="O2794" s="14" t="str">
        <f>HYPERLINK("https://otsuka-europe-crm.veevavault.com/ui/#object/email_activity__v/V8C000000046094", "EN-002104003")</f>
        <v>EN-002104003</v>
      </c>
    </row>
    <row r="2795" spans="1:15" ht="16" x14ac:dyDescent="0.2">
      <c r="A2795" s="18" t="str">
        <f>HYPERLINK("https://otsuka-europe-crm.veevavault.com/ui/#object/account__v/V4TZ025E833RHVH", "JUAN JOSE BARGAY LLEONART")</f>
        <v>JUAN JOSE BARGAY LLEONART</v>
      </c>
      <c r="B2795" s="18" t="str">
        <f>HYPERLINK("https://otsuka-europe-crm.veevavault.com/ui/#object/vcountry__v/VENZ000004SONF5", "ES")</f>
        <v>ES</v>
      </c>
      <c r="C2795" s="20" t="s">
        <v>39</v>
      </c>
      <c r="D2795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795" s="22" t="str">
        <f>HYPERLINK("https://otsuka-europe-crm.veevavault.com/ui/#object/sent_email__v/VBL000000032298", "SE-001443019")</f>
        <v>SE-001443019</v>
      </c>
      <c r="F2795" s="23"/>
      <c r="G2795" s="24">
        <v>0</v>
      </c>
      <c r="H2795" s="24">
        <v>0</v>
      </c>
      <c r="I2795" s="24">
        <v>0</v>
      </c>
      <c r="J2795" s="23"/>
      <c r="K2795" s="24">
        <v>0</v>
      </c>
      <c r="L2795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795" s="22" t="str">
        <f>HYPERLINK("mailto:ccoll@crm.otsuka-europe.com", "ccoll@crm.otsuka-europe.com")</f>
        <v>ccoll@crm.otsuka-europe.com</v>
      </c>
      <c r="N2795" s="25">
        <v>46212.686435185184</v>
      </c>
      <c r="O2795" s="14" t="str">
        <f>HYPERLINK("https://otsuka-europe-crm.veevavault.com/ui/#object/email_activity__v/V8C000000045365", "EN-002104011")</f>
        <v>EN-002104011</v>
      </c>
    </row>
    <row r="2796" spans="1:15" ht="16" x14ac:dyDescent="0.2">
      <c r="A2796" s="19"/>
      <c r="B2796" s="19"/>
      <c r="C2796" s="19"/>
      <c r="D2796" s="19"/>
      <c r="E2796" s="19"/>
      <c r="F2796" s="19"/>
      <c r="G2796" s="19"/>
      <c r="H2796" s="19"/>
      <c r="I2796" s="19"/>
      <c r="J2796" s="19"/>
      <c r="K2796" s="19"/>
      <c r="L2796" s="19"/>
      <c r="M2796" s="19"/>
      <c r="N2796" s="19"/>
      <c r="O2796" s="14" t="str">
        <f>HYPERLINK("https://otsuka-europe-crm.veevavault.com/ui/#object/email_activity__v/V8C000000047367", "EN-002104807")</f>
        <v>EN-002104807</v>
      </c>
    </row>
    <row r="2797" spans="1:15" ht="16" x14ac:dyDescent="0.2">
      <c r="A2797" s="18" t="str">
        <f>HYPERLINK("https://otsuka-europe-crm.veevavault.com/ui/#object/account__v/V4TZ025E83OXP5G", "JESUS FELIU SANCHEZ")</f>
        <v>JESUS FELIU SANCHEZ</v>
      </c>
      <c r="B2797" s="18" t="str">
        <f>HYPERLINK("https://otsuka-europe-crm.veevavault.com/ui/#object/vcountry__v/VENZ000004SONF5", "ES")</f>
        <v>ES</v>
      </c>
      <c r="C2797" s="20" t="s">
        <v>39</v>
      </c>
      <c r="D279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797" s="22" t="str">
        <f>HYPERLINK("https://otsuka-europe-crm.veevavault.com/ui/#object/sent_email__v/VBL000000032299", "SE-001443020")</f>
        <v>SE-001443020</v>
      </c>
      <c r="F2797" s="23"/>
      <c r="G2797" s="24">
        <v>0</v>
      </c>
      <c r="H2797" s="24">
        <v>0</v>
      </c>
      <c r="I2797" s="24">
        <v>0</v>
      </c>
      <c r="J2797" s="23"/>
      <c r="K2797" s="24">
        <v>0</v>
      </c>
      <c r="L279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797" s="22" t="str">
        <f>HYPERLINK("mailto:ccoll@crm.otsuka-europe.com", "ccoll@crm.otsuka-europe.com")</f>
        <v>ccoll@crm.otsuka-europe.com</v>
      </c>
      <c r="N2797" s="25">
        <v>46212.686435185184</v>
      </c>
      <c r="O2797" s="14" t="str">
        <f>HYPERLINK("https://otsuka-europe-crm.veevavault.com/ui/#object/email_activity__v/V8C000000045362", "EN-002104008")</f>
        <v>EN-002104008</v>
      </c>
    </row>
    <row r="2798" spans="1:15" ht="16" x14ac:dyDescent="0.2">
      <c r="A2798" s="19"/>
      <c r="B2798" s="19"/>
      <c r="C2798" s="19"/>
      <c r="D2798" s="19"/>
      <c r="E2798" s="19"/>
      <c r="F2798" s="19"/>
      <c r="G2798" s="19"/>
      <c r="H2798" s="19"/>
      <c r="I2798" s="19"/>
      <c r="J2798" s="19"/>
      <c r="K2798" s="19"/>
      <c r="L2798" s="19"/>
      <c r="M2798" s="19"/>
      <c r="N2798" s="19"/>
      <c r="O2798" s="14" t="str">
        <f>HYPERLINK("https://otsuka-europe-crm.veevavault.com/ui/#object/email_activity__v/V8C000000045395", "EN-002104127")</f>
        <v>EN-002104127</v>
      </c>
    </row>
    <row r="2799" spans="1:15" ht="48" x14ac:dyDescent="0.2">
      <c r="A2799" s="7" t="str">
        <f>HYPERLINK("https://otsuka-europe-crm.veevavault.com/ui/#object/account__v/V4TZ025E881EZ59", "PAULA GOMEZ FERNANDEZ")</f>
        <v>PAULA GOMEZ FERNANDEZ</v>
      </c>
      <c r="B2799" s="7" t="str">
        <f t="shared" ref="B2799:B2808" si="112">HYPERLINK("https://otsuka-europe-crm.veevavault.com/ui/#object/vcountry__v/VENZ000004SONF5", "ES")</f>
        <v>ES</v>
      </c>
      <c r="C2799" s="8" t="s">
        <v>39</v>
      </c>
      <c r="D2799" s="9" t="str">
        <f t="shared" ref="D2799:D2808" si="113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799" s="10" t="str">
        <f>HYPERLINK("https://otsuka-europe-crm.veevavault.com/ui/#object/sent_email__v/VBL000000032300", "SE-001443021")</f>
        <v>SE-001443021</v>
      </c>
      <c r="F2799" s="11"/>
      <c r="G2799" s="12">
        <v>0</v>
      </c>
      <c r="H2799" s="12">
        <v>0</v>
      </c>
      <c r="I2799" s="12">
        <v>0</v>
      </c>
      <c r="J2799" s="11"/>
      <c r="K2799" s="12">
        <v>0</v>
      </c>
      <c r="L2799" s="10" t="str">
        <f t="shared" ref="L2799:L2808" si="114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799" s="10" t="str">
        <f t="shared" ref="M2799:M2808" si="115">HYPERLINK("mailto:ccoll@crm.otsuka-europe.com", "ccoll@crm.otsuka-europe.com")</f>
        <v>ccoll@crm.otsuka-europe.com</v>
      </c>
      <c r="N2799" s="13">
        <v>46212.686481481483</v>
      </c>
      <c r="O2799" s="14" t="str">
        <f>HYPERLINK("https://otsuka-europe-crm.veevavault.com/ui/#object/email_activity__v/V8C000000046113", "EN-002104029")</f>
        <v>EN-002104029</v>
      </c>
    </row>
    <row r="2800" spans="1:15" ht="48" x14ac:dyDescent="0.2">
      <c r="A2800" s="7" t="str">
        <f>HYPERLINK("https://otsuka-europe-crm.veevavault.com/ui/#object/account__v/V4TZ025E83OY19I", "MARIA MAR HERMOSILLA FERNANDEZ")</f>
        <v>MARIA MAR HERMOSILLA FERNANDEZ</v>
      </c>
      <c r="B2800" s="7" t="str">
        <f t="shared" si="112"/>
        <v>ES</v>
      </c>
      <c r="C2800" s="8" t="s">
        <v>39</v>
      </c>
      <c r="D2800" s="9" t="str">
        <f t="shared" si="113"/>
        <v>INA - VAE vídeos “Mejor en casa: el desafío del paciente unfit”</v>
      </c>
      <c r="E2800" s="10" t="str">
        <f>HYPERLINK("https://otsuka-europe-crm.veevavault.com/ui/#object/sent_email__v/VBL000000032301", "SE-001443022")</f>
        <v>SE-001443022</v>
      </c>
      <c r="F2800" s="11"/>
      <c r="G2800" s="12">
        <v>0</v>
      </c>
      <c r="H2800" s="12">
        <v>0</v>
      </c>
      <c r="I2800" s="12">
        <v>0</v>
      </c>
      <c r="J2800" s="11"/>
      <c r="K2800" s="12">
        <v>0</v>
      </c>
      <c r="L2800" s="10" t="str">
        <f t="shared" si="114"/>
        <v>INA - VAE vídeos “Mejor en casa: el desafío del paciente unfit”</v>
      </c>
      <c r="M2800" s="10" t="str">
        <f t="shared" si="115"/>
        <v>ccoll@crm.otsuka-europe.com</v>
      </c>
      <c r="N2800" s="13">
        <v>46212.68644675926</v>
      </c>
      <c r="O2800" s="14" t="str">
        <f>HYPERLINK("https://otsuka-europe-crm.veevavault.com/ui/#object/email_activity__v/V8C000000045366", "EN-002104034")</f>
        <v>EN-002104034</v>
      </c>
    </row>
    <row r="2801" spans="1:15" ht="48" x14ac:dyDescent="0.2">
      <c r="A2801" s="7" t="str">
        <f>HYPERLINK("https://otsuka-europe-crm.veevavault.com/ui/#object/account__v/V4TZ025E83439SM", "ANA GARRIDO DIAZ")</f>
        <v>ANA GARRIDO DIAZ</v>
      </c>
      <c r="B2801" s="7" t="str">
        <f t="shared" si="112"/>
        <v>ES</v>
      </c>
      <c r="C2801" s="8" t="s">
        <v>39</v>
      </c>
      <c r="D2801" s="9" t="str">
        <f t="shared" si="113"/>
        <v>INA - VAE vídeos “Mejor en casa: el desafío del paciente unfit”</v>
      </c>
      <c r="E2801" s="10" t="str">
        <f>HYPERLINK("https://otsuka-europe-crm.veevavault.com/ui/#object/sent_email__v/VBL000000032302", "SE-001443023")</f>
        <v>SE-001443023</v>
      </c>
      <c r="F2801" s="11"/>
      <c r="G2801" s="12">
        <v>0</v>
      </c>
      <c r="H2801" s="12">
        <v>0</v>
      </c>
      <c r="I2801" s="12">
        <v>0</v>
      </c>
      <c r="J2801" s="11"/>
      <c r="K2801" s="12">
        <v>0</v>
      </c>
      <c r="L2801" s="10" t="str">
        <f t="shared" si="114"/>
        <v>INA - VAE vídeos “Mejor en casa: el desafío del paciente unfit”</v>
      </c>
      <c r="M2801" s="10" t="str">
        <f t="shared" si="115"/>
        <v>ccoll@crm.otsuka-europe.com</v>
      </c>
      <c r="N2801" s="13">
        <v>46212.68644675926</v>
      </c>
      <c r="O2801" s="14" t="str">
        <f>HYPERLINK("https://otsuka-europe-crm.veevavault.com/ui/#object/email_activity__v/V8C000000045364", "EN-002104010")</f>
        <v>EN-002104010</v>
      </c>
    </row>
    <row r="2802" spans="1:15" ht="48" x14ac:dyDescent="0.2">
      <c r="A2802" s="7" t="str">
        <f>HYPERLINK("https://otsuka-europe-crm.veevavault.com/ui/#object/account__v/V4TZ025E834H7KJ", "GUADALUPE OÑATE HOSPITAL")</f>
        <v>GUADALUPE OÑATE HOSPITAL</v>
      </c>
      <c r="B2802" s="7" t="str">
        <f t="shared" si="112"/>
        <v>ES</v>
      </c>
      <c r="C2802" s="8" t="s">
        <v>39</v>
      </c>
      <c r="D2802" s="9" t="str">
        <f t="shared" si="113"/>
        <v>INA - VAE vídeos “Mejor en casa: el desafío del paciente unfit”</v>
      </c>
      <c r="E2802" s="10" t="str">
        <f>HYPERLINK("https://otsuka-europe-crm.veevavault.com/ui/#object/sent_email__v/VBL000000032303", "SE-001443024")</f>
        <v>SE-001443024</v>
      </c>
      <c r="F2802" s="11"/>
      <c r="G2802" s="12">
        <v>0</v>
      </c>
      <c r="H2802" s="12">
        <v>0</v>
      </c>
      <c r="I2802" s="12">
        <v>0</v>
      </c>
      <c r="J2802" s="11"/>
      <c r="K2802" s="12">
        <v>0</v>
      </c>
      <c r="L2802" s="10" t="str">
        <f t="shared" si="114"/>
        <v>INA - VAE vídeos “Mejor en casa: el desafío del paciente unfit”</v>
      </c>
      <c r="M2802" s="10" t="str">
        <f t="shared" si="115"/>
        <v>ccoll@crm.otsuka-europe.com</v>
      </c>
      <c r="N2802" s="13">
        <v>46212.68644675926</v>
      </c>
      <c r="O2802" s="14" t="str">
        <f>HYPERLINK("https://otsuka-europe-crm.veevavault.com/ui/#object/email_activity__v/V8C000000045363", "EN-002104009")</f>
        <v>EN-002104009</v>
      </c>
    </row>
    <row r="2803" spans="1:15" ht="48" x14ac:dyDescent="0.2">
      <c r="A2803" s="7" t="str">
        <f>HYPERLINK("https://otsuka-europe-crm.veevavault.com/ui/#object/account__v/V4TZ025E830AE3D", "RAIMUNDO GARCIA BOYERO")</f>
        <v>RAIMUNDO GARCIA BOYERO</v>
      </c>
      <c r="B2803" s="7" t="str">
        <f t="shared" si="112"/>
        <v>ES</v>
      </c>
      <c r="C2803" s="8" t="s">
        <v>39</v>
      </c>
      <c r="D2803" s="9" t="str">
        <f t="shared" si="113"/>
        <v>INA - VAE vídeos “Mejor en casa: el desafío del paciente unfit”</v>
      </c>
      <c r="E2803" s="10" t="str">
        <f>HYPERLINK("https://otsuka-europe-crm.veevavault.com/ui/#object/sent_email__v/VBL000000032304", "SE-001443025")</f>
        <v>SE-001443025</v>
      </c>
      <c r="F2803" s="11"/>
      <c r="G2803" s="12">
        <v>0</v>
      </c>
      <c r="H2803" s="12">
        <v>0</v>
      </c>
      <c r="I2803" s="12">
        <v>0</v>
      </c>
      <c r="J2803" s="11"/>
      <c r="K2803" s="12">
        <v>0</v>
      </c>
      <c r="L2803" s="10" t="str">
        <f t="shared" si="114"/>
        <v>INA - VAE vídeos “Mejor en casa: el desafío del paciente unfit”</v>
      </c>
      <c r="M2803" s="10" t="str">
        <f t="shared" si="115"/>
        <v>ccoll@crm.otsuka-europe.com</v>
      </c>
      <c r="N2803" s="13">
        <v>46212.68644675926</v>
      </c>
      <c r="O2803" s="14" t="str">
        <f>HYPERLINK("https://otsuka-europe-crm.veevavault.com/ui/#object/email_activity__v/V8C000000046100", "EN-002104016")</f>
        <v>EN-002104016</v>
      </c>
    </row>
    <row r="2804" spans="1:15" ht="48" x14ac:dyDescent="0.2">
      <c r="A2804" s="7" t="str">
        <f>HYPERLINK("https://otsuka-europe-crm.veevavault.com/ui/#object/account__v/V4TZ025E83OXU0F", "MARIA PILAR HERRERA PEREZ")</f>
        <v>MARIA PILAR HERRERA PEREZ</v>
      </c>
      <c r="B2804" s="7" t="str">
        <f t="shared" si="112"/>
        <v>ES</v>
      </c>
      <c r="C2804" s="8" t="s">
        <v>39</v>
      </c>
      <c r="D2804" s="9" t="str">
        <f t="shared" si="113"/>
        <v>INA - VAE vídeos “Mejor en casa: el desafío del paciente unfit”</v>
      </c>
      <c r="E2804" s="10" t="str">
        <f>HYPERLINK("https://otsuka-europe-crm.veevavault.com/ui/#object/sent_email__v/VBL000000032305", "SE-001443026")</f>
        <v>SE-001443026</v>
      </c>
      <c r="F2804" s="11"/>
      <c r="G2804" s="12">
        <v>0</v>
      </c>
      <c r="H2804" s="12">
        <v>0</v>
      </c>
      <c r="I2804" s="12">
        <v>0</v>
      </c>
      <c r="J2804" s="11"/>
      <c r="K2804" s="12">
        <v>0</v>
      </c>
      <c r="L2804" s="10" t="str">
        <f t="shared" si="114"/>
        <v>INA - VAE vídeos “Mejor en casa: el desafío del paciente unfit”</v>
      </c>
      <c r="M2804" s="10" t="str">
        <f t="shared" si="115"/>
        <v>ccoll@crm.otsuka-europe.com</v>
      </c>
      <c r="N2804" s="13">
        <v>46212.68644675926</v>
      </c>
      <c r="O2804" s="14" t="str">
        <f>HYPERLINK("https://otsuka-europe-crm.veevavault.com/ui/#object/email_activity__v/V8C000000046102", "EN-002104018")</f>
        <v>EN-002104018</v>
      </c>
    </row>
    <row r="2805" spans="1:15" ht="48" x14ac:dyDescent="0.2">
      <c r="A2805" s="7" t="str">
        <f>HYPERLINK("https://otsuka-europe-crm.veevavault.com/ui/#object/account__v/V4TZ025E85WU2ZU", "ANTONIA CLADERA SERRA")</f>
        <v>ANTONIA CLADERA SERRA</v>
      </c>
      <c r="B2805" s="7" t="str">
        <f t="shared" si="112"/>
        <v>ES</v>
      </c>
      <c r="C2805" s="8" t="s">
        <v>39</v>
      </c>
      <c r="D2805" s="9" t="str">
        <f t="shared" si="113"/>
        <v>INA - VAE vídeos “Mejor en casa: el desafío del paciente unfit”</v>
      </c>
      <c r="E2805" s="10" t="str">
        <f>HYPERLINK("https://otsuka-europe-crm.veevavault.com/ui/#object/sent_email__v/VBL000000032306", "SE-001443027")</f>
        <v>SE-001443027</v>
      </c>
      <c r="F2805" s="11"/>
      <c r="G2805" s="12">
        <v>0</v>
      </c>
      <c r="H2805" s="12">
        <v>0</v>
      </c>
      <c r="I2805" s="12">
        <v>0</v>
      </c>
      <c r="J2805" s="11"/>
      <c r="K2805" s="12">
        <v>0</v>
      </c>
      <c r="L2805" s="10" t="str">
        <f t="shared" si="114"/>
        <v>INA - VAE vídeos “Mejor en casa: el desafío del paciente unfit”</v>
      </c>
      <c r="M2805" s="10" t="str">
        <f t="shared" si="115"/>
        <v>ccoll@crm.otsuka-europe.com</v>
      </c>
      <c r="N2805" s="13">
        <v>46212.68644675926</v>
      </c>
      <c r="O2805" s="14" t="str">
        <f>HYPERLINK("https://otsuka-europe-crm.veevavault.com/ui/#object/email_activity__v/V8C000000046106", "EN-002104022")</f>
        <v>EN-002104022</v>
      </c>
    </row>
    <row r="2806" spans="1:15" ht="48" x14ac:dyDescent="0.2">
      <c r="A2806" s="7" t="str">
        <f>HYPERLINK("https://otsuka-europe-crm.veevavault.com/ui/#object/account__v/V4TZ025E878U8QD", "FERRAN VALL-LLOVERA CALMET")</f>
        <v>FERRAN VALL-LLOVERA CALMET</v>
      </c>
      <c r="B2806" s="7" t="str">
        <f t="shared" si="112"/>
        <v>ES</v>
      </c>
      <c r="C2806" s="8" t="s">
        <v>39</v>
      </c>
      <c r="D2806" s="9" t="str">
        <f t="shared" si="113"/>
        <v>INA - VAE vídeos “Mejor en casa: el desafío del paciente unfit”</v>
      </c>
      <c r="E2806" s="10" t="str">
        <f>HYPERLINK("https://otsuka-europe-crm.veevavault.com/ui/#object/sent_email__v/VBL000000032307", "SE-001443028")</f>
        <v>SE-001443028</v>
      </c>
      <c r="F2806" s="11"/>
      <c r="G2806" s="12">
        <v>0</v>
      </c>
      <c r="H2806" s="12">
        <v>0</v>
      </c>
      <c r="I2806" s="12">
        <v>0</v>
      </c>
      <c r="J2806" s="11"/>
      <c r="K2806" s="12">
        <v>0</v>
      </c>
      <c r="L2806" s="10" t="str">
        <f t="shared" si="114"/>
        <v>INA - VAE vídeos “Mejor en casa: el desafío del paciente unfit”</v>
      </c>
      <c r="M2806" s="10" t="str">
        <f t="shared" si="115"/>
        <v>ccoll@crm.otsuka-europe.com</v>
      </c>
      <c r="N2806" s="13">
        <v>46212.686493055553</v>
      </c>
      <c r="O2806" s="14" t="str">
        <f>HYPERLINK("https://otsuka-europe-crm.veevavault.com/ui/#object/email_activity__v/V8C000000046116", "EN-002104032")</f>
        <v>EN-002104032</v>
      </c>
    </row>
    <row r="2807" spans="1:15" ht="48" x14ac:dyDescent="0.2">
      <c r="A2807" s="7" t="str">
        <f>HYPERLINK("https://otsuka-europe-crm.veevavault.com/ui/#object/account__v/V4TZ06G6O71TALS", "ROSA COLL JORDA")</f>
        <v>ROSA COLL JORDA</v>
      </c>
      <c r="B2807" s="7" t="str">
        <f t="shared" si="112"/>
        <v>ES</v>
      </c>
      <c r="C2807" s="8" t="s">
        <v>39</v>
      </c>
      <c r="D2807" s="9" t="str">
        <f t="shared" si="113"/>
        <v>INA - VAE vídeos “Mejor en casa: el desafío del paciente unfit”</v>
      </c>
      <c r="E2807" s="10" t="str">
        <f>HYPERLINK("https://otsuka-europe-crm.veevavault.com/ui/#object/sent_email__v/VBL000000032308", "SE-001443029")</f>
        <v>SE-001443029</v>
      </c>
      <c r="F2807" s="11"/>
      <c r="G2807" s="12">
        <v>0</v>
      </c>
      <c r="H2807" s="12">
        <v>0</v>
      </c>
      <c r="I2807" s="12">
        <v>0</v>
      </c>
      <c r="J2807" s="11"/>
      <c r="K2807" s="12">
        <v>0</v>
      </c>
      <c r="L2807" s="10" t="str">
        <f t="shared" si="114"/>
        <v>INA - VAE vídeos “Mejor en casa: el desafío del paciente unfit”</v>
      </c>
      <c r="M2807" s="10" t="str">
        <f t="shared" si="115"/>
        <v>ccoll@crm.otsuka-europe.com</v>
      </c>
      <c r="N2807" s="13">
        <v>46212.68644675926</v>
      </c>
      <c r="O2807" s="14" t="str">
        <f>HYPERLINK("https://otsuka-europe-crm.veevavault.com/ui/#object/email_activity__v/V8C000000046104", "EN-002104020")</f>
        <v>EN-002104020</v>
      </c>
    </row>
    <row r="2808" spans="1:15" ht="16" x14ac:dyDescent="0.2">
      <c r="A2808" s="18" t="str">
        <f>HYPERLINK("https://otsuka-europe-crm.veevavault.com/ui/#object/account__v/V4TZ025E83OWHHA", "ANA PEREZ GONZALEZ")</f>
        <v>ANA PEREZ GONZALEZ</v>
      </c>
      <c r="B2808" s="18" t="str">
        <f t="shared" si="112"/>
        <v>ES</v>
      </c>
      <c r="C2808" s="20" t="s">
        <v>39</v>
      </c>
      <c r="D2808" s="21" t="str">
        <f t="shared" si="113"/>
        <v>INA - VAE vídeos “Mejor en casa: el desafío del paciente unfit”</v>
      </c>
      <c r="E2808" s="22" t="str">
        <f>HYPERLINK("https://otsuka-europe-crm.veevavault.com/ui/#object/sent_email__v/VBL000000032309", "SE-001443030")</f>
        <v>SE-001443030</v>
      </c>
      <c r="F2808" s="25">
        <v>46213.223414351851</v>
      </c>
      <c r="G2808" s="24">
        <v>1</v>
      </c>
      <c r="H2808" s="24">
        <v>2</v>
      </c>
      <c r="I2808" s="24">
        <v>0</v>
      </c>
      <c r="J2808" s="23"/>
      <c r="K2808" s="24">
        <v>0</v>
      </c>
      <c r="L2808" s="22" t="str">
        <f t="shared" si="114"/>
        <v>INA - VAE vídeos “Mejor en casa: el desafío del paciente unfit”</v>
      </c>
      <c r="M2808" s="22" t="str">
        <f t="shared" si="115"/>
        <v>ccoll@crm.otsuka-europe.com</v>
      </c>
      <c r="N2808" s="25">
        <v>46212.68644675926</v>
      </c>
      <c r="O2808" s="14" t="str">
        <f>HYPERLINK("https://otsuka-europe-crm.veevavault.com/ui/#object/email_activity__v/V8C000000046107", "EN-002104023")</f>
        <v>EN-002104023</v>
      </c>
    </row>
    <row r="2809" spans="1:15" ht="16" x14ac:dyDescent="0.2">
      <c r="A2809" s="26"/>
      <c r="B2809" s="26"/>
      <c r="C2809" s="26"/>
      <c r="D2809" s="26"/>
      <c r="E2809" s="26"/>
      <c r="F2809" s="26"/>
      <c r="G2809" s="26"/>
      <c r="H2809" s="26"/>
      <c r="I2809" s="26"/>
      <c r="J2809" s="26"/>
      <c r="K2809" s="26"/>
      <c r="L2809" s="26"/>
      <c r="M2809" s="26"/>
      <c r="N2809" s="26"/>
      <c r="O2809" s="14" t="str">
        <f>HYPERLINK("https://otsuka-europe-crm.veevavault.com/ui/#object/email_activity__v/V8C000000048012", "EN-002104206")</f>
        <v>EN-002104206</v>
      </c>
    </row>
    <row r="2810" spans="1:15" ht="16" x14ac:dyDescent="0.2">
      <c r="A2810" s="19"/>
      <c r="B2810" s="19"/>
      <c r="C2810" s="19"/>
      <c r="D2810" s="19"/>
      <c r="E2810" s="19"/>
      <c r="F2810" s="19"/>
      <c r="G2810" s="19"/>
      <c r="H2810" s="19"/>
      <c r="I2810" s="19"/>
      <c r="J2810" s="19"/>
      <c r="K2810" s="19"/>
      <c r="L2810" s="19"/>
      <c r="M2810" s="19"/>
      <c r="N2810" s="19"/>
      <c r="O2810" s="14" t="str">
        <f>HYPERLINK("https://otsuka-europe-crm.veevavault.com/ui/#object/email_activity__v/V8C000000048013", "EN-002104207")</f>
        <v>EN-002104207</v>
      </c>
    </row>
    <row r="2811" spans="1:15" ht="48" x14ac:dyDescent="0.2">
      <c r="A2811" s="7" t="str">
        <f>HYPERLINK("https://otsuka-europe-crm.veevavault.com/ui/#object/account__v/V4TZ025E85BKBK9", "INES ZUGASTI ASIN")</f>
        <v>INES ZUGASTI ASIN</v>
      </c>
      <c r="B2811" s="7" t="str">
        <f>HYPERLINK("https://otsuka-europe-crm.veevavault.com/ui/#object/vcountry__v/VENZ000004SONF5", "ES")</f>
        <v>ES</v>
      </c>
      <c r="C2811" s="8" t="s">
        <v>39</v>
      </c>
      <c r="D281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11" s="10" t="str">
        <f>HYPERLINK("https://otsuka-europe-crm.veevavault.com/ui/#object/sent_email__v/VBL000000032310", "SE-001443031")</f>
        <v>SE-001443031</v>
      </c>
      <c r="F2811" s="11"/>
      <c r="G2811" s="12">
        <v>0</v>
      </c>
      <c r="H2811" s="12">
        <v>0</v>
      </c>
      <c r="I2811" s="12">
        <v>0</v>
      </c>
      <c r="J2811" s="11"/>
      <c r="K2811" s="12">
        <v>0</v>
      </c>
      <c r="L281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11" s="10" t="str">
        <f>HYPERLINK("mailto:ccoll@crm.otsuka-europe.com", "ccoll@crm.otsuka-europe.com")</f>
        <v>ccoll@crm.otsuka-europe.com</v>
      </c>
      <c r="N2811" s="13">
        <v>46212.686435185184</v>
      </c>
      <c r="O2811" s="14" t="str">
        <f>HYPERLINK("https://otsuka-europe-crm.veevavault.com/ui/#object/email_activity__v/V8C000000045359", "EN-002104005")</f>
        <v>EN-002104005</v>
      </c>
    </row>
    <row r="2812" spans="1:15" ht="48" x14ac:dyDescent="0.2">
      <c r="A2812" s="7" t="str">
        <f>HYPERLINK("https://otsuka-europe-crm.veevavault.com/ui/#object/account__v/V4TZ025E85BLCLE", "MARINA CORNEJO GARCIA")</f>
        <v>MARINA CORNEJO GARCIA</v>
      </c>
      <c r="B2812" s="7" t="str">
        <f>HYPERLINK("https://otsuka-europe-crm.veevavault.com/ui/#object/vcountry__v/VENZ000004SONF5", "ES")</f>
        <v>ES</v>
      </c>
      <c r="C2812" s="8" t="s">
        <v>39</v>
      </c>
      <c r="D2812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12" s="10" t="str">
        <f>HYPERLINK("https://otsuka-europe-crm.veevavault.com/ui/#object/sent_email__v/VBL000000032311", "SE-001443032")</f>
        <v>SE-001443032</v>
      </c>
      <c r="F2812" s="11"/>
      <c r="G2812" s="12">
        <v>0</v>
      </c>
      <c r="H2812" s="12">
        <v>0</v>
      </c>
      <c r="I2812" s="12">
        <v>0</v>
      </c>
      <c r="J2812" s="11"/>
      <c r="K2812" s="12">
        <v>0</v>
      </c>
      <c r="L2812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12" s="10" t="str">
        <f>HYPERLINK("mailto:ccoll@crm.otsuka-europe.com", "ccoll@crm.otsuka-europe.com")</f>
        <v>ccoll@crm.otsuka-europe.com</v>
      </c>
      <c r="N2812" s="13">
        <v>46212.686435185184</v>
      </c>
      <c r="O2812" s="14" t="str">
        <f>HYPERLINK("https://otsuka-europe-crm.veevavault.com/ui/#object/email_activity__v/V8C000000046096", "EN-002104012")</f>
        <v>EN-002104012</v>
      </c>
    </row>
    <row r="2813" spans="1:15" ht="48" x14ac:dyDescent="0.2">
      <c r="A2813" s="7" t="str">
        <f>HYPERLINK("https://otsuka-europe-crm.veevavault.com/ui/#object/account__v/V4TZ025E83BM3Y7", "DAVID GALLARDO GIRALT")</f>
        <v>DAVID GALLARDO GIRALT</v>
      </c>
      <c r="B2813" s="7" t="str">
        <f>HYPERLINK("https://otsuka-europe-crm.veevavault.com/ui/#object/vcountry__v/VENZ000004SONF5", "ES")</f>
        <v>ES</v>
      </c>
      <c r="C2813" s="8" t="s">
        <v>39</v>
      </c>
      <c r="D281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13" s="10" t="str">
        <f>HYPERLINK("https://otsuka-europe-crm.veevavault.com/ui/#object/sent_email__v/VBL000000032312", "SE-001443033")</f>
        <v>SE-001443033</v>
      </c>
      <c r="F2813" s="11"/>
      <c r="G2813" s="12">
        <v>0</v>
      </c>
      <c r="H2813" s="12">
        <v>0</v>
      </c>
      <c r="I2813" s="12">
        <v>0</v>
      </c>
      <c r="J2813" s="11"/>
      <c r="K2813" s="12">
        <v>0</v>
      </c>
      <c r="L281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13" s="10" t="str">
        <f>HYPERLINK("mailto:ccoll@crm.otsuka-europe.com", "ccoll@crm.otsuka-europe.com")</f>
        <v>ccoll@crm.otsuka-europe.com</v>
      </c>
      <c r="N2813" s="13">
        <v>46212.686469907407</v>
      </c>
      <c r="O2813" s="14" t="str">
        <f>HYPERLINK("https://otsuka-europe-crm.veevavault.com/ui/#object/email_activity__v/V8C000000046112", "EN-002104028")</f>
        <v>EN-002104028</v>
      </c>
    </row>
    <row r="2814" spans="1:15" ht="16" x14ac:dyDescent="0.2">
      <c r="A2814" s="18" t="str">
        <f>HYPERLINK("https://otsuka-europe-crm.veevavault.com/ui/#object/account__v/V4TZ025E82D5OMH", "MARIA DIEZ CAMPELO")</f>
        <v>MARIA DIEZ CAMPELO</v>
      </c>
      <c r="B2814" s="18" t="str">
        <f>HYPERLINK("https://otsuka-europe-crm.veevavault.com/ui/#object/vcountry__v/VENZ000004SONF5", "ES")</f>
        <v>ES</v>
      </c>
      <c r="C2814" s="20" t="s">
        <v>39</v>
      </c>
      <c r="D281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14" s="22" t="str">
        <f>HYPERLINK("https://otsuka-europe-crm.veevavault.com/ui/#object/sent_email__v/VBL000000032313", "SE-001443034")</f>
        <v>SE-001443034</v>
      </c>
      <c r="F2814" s="23"/>
      <c r="G2814" s="24">
        <v>0</v>
      </c>
      <c r="H2814" s="24">
        <v>0</v>
      </c>
      <c r="I2814" s="24">
        <v>0</v>
      </c>
      <c r="J2814" s="23"/>
      <c r="K2814" s="24">
        <v>0</v>
      </c>
      <c r="L281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14" s="22" t="str">
        <f>HYPERLINK("mailto:ccoll@crm.otsuka-europe.com", "ccoll@crm.otsuka-europe.com")</f>
        <v>ccoll@crm.otsuka-europe.com</v>
      </c>
      <c r="N2814" s="25">
        <v>46212.686435185184</v>
      </c>
      <c r="O2814" s="14" t="str">
        <f>HYPERLINK("https://otsuka-europe-crm.veevavault.com/ui/#object/email_activity__v/V8C000000046099", "EN-002104015")</f>
        <v>EN-002104015</v>
      </c>
    </row>
    <row r="2815" spans="1:15" ht="16" x14ac:dyDescent="0.2">
      <c r="A2815" s="26"/>
      <c r="B2815" s="26"/>
      <c r="C2815" s="26"/>
      <c r="D2815" s="26"/>
      <c r="E2815" s="26"/>
      <c r="F2815" s="26"/>
      <c r="G2815" s="26"/>
      <c r="H2815" s="26"/>
      <c r="I2815" s="26"/>
      <c r="J2815" s="26"/>
      <c r="K2815" s="26"/>
      <c r="L2815" s="26"/>
      <c r="M2815" s="26"/>
      <c r="N2815" s="26"/>
      <c r="O2815" s="14" t="str">
        <f>HYPERLINK("https://otsuka-europe-crm.veevavault.com/ui/#object/email_activity__v/V8C000000047009", "EN-002104172")</f>
        <v>EN-002104172</v>
      </c>
    </row>
    <row r="2816" spans="1:15" ht="16" x14ac:dyDescent="0.2">
      <c r="A2816" s="19"/>
      <c r="B2816" s="19"/>
      <c r="C2816" s="19"/>
      <c r="D2816" s="19"/>
      <c r="E2816" s="19"/>
      <c r="F2816" s="19"/>
      <c r="G2816" s="19"/>
      <c r="H2816" s="19"/>
      <c r="I2816" s="19"/>
      <c r="J2816" s="19"/>
      <c r="K2816" s="19"/>
      <c r="L2816" s="19"/>
      <c r="M2816" s="19"/>
      <c r="N2816" s="19"/>
      <c r="O2816" s="14" t="str">
        <f>HYPERLINK("https://otsuka-europe-crm.veevavault.com/ui/#object/email_activity__v/V8C000000047022", "EN-002104193")</f>
        <v>EN-002104193</v>
      </c>
    </row>
    <row r="2817" spans="1:15" ht="16" x14ac:dyDescent="0.2">
      <c r="A2817" s="18" t="str">
        <f>HYPERLINK("https://otsuka-europe-crm.veevavault.com/ui/#object/account__v/V4TZ025E85QV2KD", "LUCIA GARCIA MAÑO")</f>
        <v>LUCIA GARCIA MAÑO</v>
      </c>
      <c r="B2817" s="18" t="str">
        <f>HYPERLINK("https://otsuka-europe-crm.veevavault.com/ui/#object/vcountry__v/VENZ000004SONF5", "ES")</f>
        <v>ES</v>
      </c>
      <c r="C2817" s="20" t="s">
        <v>39</v>
      </c>
      <c r="D281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17" s="22" t="str">
        <f>HYPERLINK("https://otsuka-europe-crm.veevavault.com/ui/#object/sent_email__v/VBL000000032314", "SE-001443035")</f>
        <v>SE-001443035</v>
      </c>
      <c r="F2817" s="23"/>
      <c r="G2817" s="24">
        <v>0</v>
      </c>
      <c r="H2817" s="24">
        <v>0</v>
      </c>
      <c r="I2817" s="24">
        <v>0</v>
      </c>
      <c r="J2817" s="23"/>
      <c r="K2817" s="24">
        <v>0</v>
      </c>
      <c r="L281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17" s="22" t="str">
        <f>HYPERLINK("mailto:ccoll@crm.otsuka-europe.com", "ccoll@crm.otsuka-europe.com")</f>
        <v>ccoll@crm.otsuka-europe.com</v>
      </c>
      <c r="N2817" s="25">
        <v>46212.686469907407</v>
      </c>
      <c r="O2817" s="14" t="str">
        <f>HYPERLINK("https://otsuka-europe-crm.veevavault.com/ui/#object/email_activity__v/V8C000000045401", "EN-002104144")</f>
        <v>EN-002104144</v>
      </c>
    </row>
    <row r="2818" spans="1:15" ht="16" x14ac:dyDescent="0.2">
      <c r="A2818" s="19"/>
      <c r="B2818" s="19"/>
      <c r="C2818" s="19"/>
      <c r="D2818" s="19"/>
      <c r="E2818" s="19"/>
      <c r="F2818" s="19"/>
      <c r="G2818" s="19"/>
      <c r="H2818" s="19"/>
      <c r="I2818" s="19"/>
      <c r="J2818" s="19"/>
      <c r="K2818" s="19"/>
      <c r="L2818" s="19"/>
      <c r="M2818" s="19"/>
      <c r="N2818" s="19"/>
      <c r="O2818" s="14" t="str">
        <f>HYPERLINK("https://otsuka-europe-crm.veevavault.com/ui/#object/email_activity__v/V8C000000046111", "EN-002104027")</f>
        <v>EN-002104027</v>
      </c>
    </row>
    <row r="2819" spans="1:15" ht="48" x14ac:dyDescent="0.2">
      <c r="A2819" s="7" t="str">
        <f>HYPERLINK("https://otsuka-europe-crm.veevavault.com/ui/#object/account__v/V4TZ06G6O71TC67", "MARTA CERVERA CALVO")</f>
        <v>MARTA CERVERA CALVO</v>
      </c>
      <c r="B2819" s="7" t="str">
        <f>HYPERLINK("https://otsuka-europe-crm.veevavault.com/ui/#object/vcountry__v/VENZ000004SONF5", "ES")</f>
        <v>ES</v>
      </c>
      <c r="C2819" s="8" t="s">
        <v>39</v>
      </c>
      <c r="D2819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19" s="10" t="str">
        <f>HYPERLINK("https://otsuka-europe-crm.veevavault.com/ui/#object/sent_email__v/VBL000000032315", "SE-001443036")</f>
        <v>SE-001443036</v>
      </c>
      <c r="F2819" s="11"/>
      <c r="G2819" s="12">
        <v>0</v>
      </c>
      <c r="H2819" s="12">
        <v>0</v>
      </c>
      <c r="I2819" s="12">
        <v>0</v>
      </c>
      <c r="J2819" s="11"/>
      <c r="K2819" s="12">
        <v>0</v>
      </c>
      <c r="L2819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19" s="10" t="str">
        <f>HYPERLINK("mailto:ccoll@crm.otsuka-europe.com", "ccoll@crm.otsuka-europe.com")</f>
        <v>ccoll@crm.otsuka-europe.com</v>
      </c>
      <c r="N2819" s="13">
        <v>46212.686435185184</v>
      </c>
      <c r="O2819" s="14" t="str">
        <f>HYPERLINK("https://otsuka-europe-crm.veevavault.com/ui/#object/email_activity__v/V8C000000046097", "EN-002104013")</f>
        <v>EN-002104013</v>
      </c>
    </row>
    <row r="2820" spans="1:15" ht="16" x14ac:dyDescent="0.2">
      <c r="A2820" s="18" t="str">
        <f>HYPERLINK("https://otsuka-europe-crm.veevavault.com/ui/#object/account__v/V4TZ04ASGE7FDFX", "ANA ALFONSO PIEROLA")</f>
        <v>ANA ALFONSO PIEROLA</v>
      </c>
      <c r="B2820" s="18" t="str">
        <f>HYPERLINK("https://otsuka-europe-crm.veevavault.com/ui/#object/vcountry__v/VENZ000004SONF5", "ES")</f>
        <v>ES</v>
      </c>
      <c r="C2820" s="20" t="s">
        <v>39</v>
      </c>
      <c r="D2820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20" s="22" t="str">
        <f>HYPERLINK("https://otsuka-europe-crm.veevavault.com/ui/#object/sent_email__v/VBL000000032316", "SE-001443037")</f>
        <v>SE-001443037</v>
      </c>
      <c r="F2820" s="25">
        <v>46212.692939814813</v>
      </c>
      <c r="G2820" s="24">
        <v>1</v>
      </c>
      <c r="H2820" s="24">
        <v>1</v>
      </c>
      <c r="I2820" s="24">
        <v>0</v>
      </c>
      <c r="J2820" s="23"/>
      <c r="K2820" s="24">
        <v>0</v>
      </c>
      <c r="L2820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20" s="22" t="str">
        <f>HYPERLINK("mailto:ccoll@crm.otsuka-europe.com", "ccoll@crm.otsuka-europe.com")</f>
        <v>ccoll@crm.otsuka-europe.com</v>
      </c>
      <c r="N2820" s="25">
        <v>46212.68645833333</v>
      </c>
      <c r="O2820" s="14" t="str">
        <f>HYPERLINK("https://otsuka-europe-crm.veevavault.com/ui/#object/email_activity__v/V8C000000045387", "EN-002104108")</f>
        <v>EN-002104108</v>
      </c>
    </row>
    <row r="2821" spans="1:15" ht="16" x14ac:dyDescent="0.2">
      <c r="A2821" s="19"/>
      <c r="B2821" s="19"/>
      <c r="C2821" s="19"/>
      <c r="D2821" s="19"/>
      <c r="E2821" s="19"/>
      <c r="F2821" s="19"/>
      <c r="G2821" s="19"/>
      <c r="H2821" s="19"/>
      <c r="I2821" s="19"/>
      <c r="J2821" s="19"/>
      <c r="K2821" s="19"/>
      <c r="L2821" s="19"/>
      <c r="M2821" s="19"/>
      <c r="N2821" s="19"/>
      <c r="O2821" s="14" t="str">
        <f>HYPERLINK("https://otsuka-europe-crm.veevavault.com/ui/#object/email_activity__v/V8C000000046110", "EN-002104026")</f>
        <v>EN-002104026</v>
      </c>
    </row>
    <row r="2822" spans="1:15" ht="16" x14ac:dyDescent="0.2">
      <c r="A2822" s="18" t="str">
        <f>HYPERLINK("https://otsuka-europe-crm.veevavault.com/ui/#object/account__v/V4TZ025E83OWVZD", "ANTONIO GARCIA GUIÑON")</f>
        <v>ANTONIO GARCIA GUIÑON</v>
      </c>
      <c r="B2822" s="18" t="str">
        <f>HYPERLINK("https://otsuka-europe-crm.veevavault.com/ui/#object/vcountry__v/VENZ000004SONF5", "ES")</f>
        <v>ES</v>
      </c>
      <c r="C2822" s="20" t="s">
        <v>39</v>
      </c>
      <c r="D2822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22" s="22" t="str">
        <f>HYPERLINK("https://otsuka-europe-crm.veevavault.com/ui/#object/sent_email__v/VBL000000032317", "SE-001443038")</f>
        <v>SE-001443038</v>
      </c>
      <c r="F2822" s="25">
        <v>46213.293217592596</v>
      </c>
      <c r="G2822" s="24">
        <v>1</v>
      </c>
      <c r="H2822" s="24">
        <v>1</v>
      </c>
      <c r="I2822" s="24">
        <v>0</v>
      </c>
      <c r="J2822" s="23"/>
      <c r="K2822" s="24">
        <v>0</v>
      </c>
      <c r="L2822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22" s="22" t="str">
        <f>HYPERLINK("mailto:ccoll@crm.otsuka-europe.com", "ccoll@crm.otsuka-europe.com")</f>
        <v>ccoll@crm.otsuka-europe.com</v>
      </c>
      <c r="N2822" s="25">
        <v>46212.686435185184</v>
      </c>
      <c r="O2822" s="14" t="str">
        <f>HYPERLINK("https://otsuka-europe-crm.veevavault.com/ui/#object/email_activity__v/V8C000000045361", "EN-002104007")</f>
        <v>EN-002104007</v>
      </c>
    </row>
    <row r="2823" spans="1:15" ht="16" x14ac:dyDescent="0.2">
      <c r="A2823" s="19"/>
      <c r="B2823" s="19"/>
      <c r="C2823" s="19"/>
      <c r="D2823" s="19"/>
      <c r="E2823" s="19"/>
      <c r="F2823" s="19"/>
      <c r="G2823" s="19"/>
      <c r="H2823" s="19"/>
      <c r="I2823" s="19"/>
      <c r="J2823" s="19"/>
      <c r="K2823" s="19"/>
      <c r="L2823" s="19"/>
      <c r="M2823" s="19"/>
      <c r="N2823" s="19"/>
      <c r="O2823" s="14" t="str">
        <f>HYPERLINK("https://otsuka-europe-crm.veevavault.com/ui/#object/email_activity__v/V8C000000047036", "EN-002104216")</f>
        <v>EN-002104216</v>
      </c>
    </row>
    <row r="2824" spans="1:15" ht="16" x14ac:dyDescent="0.2">
      <c r="A2824" s="18" t="str">
        <f>HYPERLINK("https://otsuka-europe-crm.veevavault.com/ui/#object/account__v/V4TZ025E83OWVD8", "MARIA PILAR DELGADO BELTRAN")</f>
        <v>MARIA PILAR DELGADO BELTRAN</v>
      </c>
      <c r="B2824" s="18" t="str">
        <f>HYPERLINK("https://otsuka-europe-crm.veevavault.com/ui/#object/vcountry__v/VENZ000004SONF5", "ES")</f>
        <v>ES</v>
      </c>
      <c r="C2824" s="20" t="s">
        <v>39</v>
      </c>
      <c r="D282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24" s="22" t="str">
        <f>HYPERLINK("https://otsuka-europe-crm.veevavault.com/ui/#object/sent_email__v/VBL000000032318", "SE-001443039")</f>
        <v>SE-001443039</v>
      </c>
      <c r="F2824" s="25">
        <v>46214.444143518522</v>
      </c>
      <c r="G2824" s="24">
        <v>1</v>
      </c>
      <c r="H2824" s="24">
        <v>1</v>
      </c>
      <c r="I2824" s="24">
        <v>0</v>
      </c>
      <c r="J2824" s="23"/>
      <c r="K2824" s="24">
        <v>0</v>
      </c>
      <c r="L282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24" s="22" t="str">
        <f>HYPERLINK("mailto:ccoll@crm.otsuka-europe.com", "ccoll@crm.otsuka-europe.com")</f>
        <v>ccoll@crm.otsuka-europe.com</v>
      </c>
      <c r="N2824" s="25">
        <v>46212.686435185184</v>
      </c>
      <c r="O2824" s="14" t="str">
        <f>HYPERLINK("https://otsuka-europe-crm.veevavault.com/ui/#object/email_activity__v/V8C000000046118", "EN-002104035")</f>
        <v>EN-002104035</v>
      </c>
    </row>
    <row r="2825" spans="1:15" ht="16" x14ac:dyDescent="0.2">
      <c r="A2825" s="19"/>
      <c r="B2825" s="19"/>
      <c r="C2825" s="19"/>
      <c r="D2825" s="19"/>
      <c r="E2825" s="19"/>
      <c r="F2825" s="19"/>
      <c r="G2825" s="19"/>
      <c r="H2825" s="19"/>
      <c r="I2825" s="19"/>
      <c r="J2825" s="19"/>
      <c r="K2825" s="19"/>
      <c r="L2825" s="19"/>
      <c r="M2825" s="19"/>
      <c r="N2825" s="19"/>
      <c r="O2825" s="14" t="str">
        <f>HYPERLINK("https://otsuka-europe-crm.veevavault.com/ui/#object/email_activity__v/V8C000000049016", "EN-002104899")</f>
        <v>EN-002104899</v>
      </c>
    </row>
    <row r="2826" spans="1:15" ht="48" x14ac:dyDescent="0.2">
      <c r="A2826" s="7" t="str">
        <f>HYPERLINK("https://otsuka-europe-crm.veevavault.com/ui/#object/account__v/V4TZ025E841A9ML", "LUIS RODRIGUEZ FERNANDEZ")</f>
        <v>LUIS RODRIGUEZ FERNANDEZ</v>
      </c>
      <c r="B2826" s="7" t="str">
        <f>HYPERLINK("https://otsuka-europe-crm.veevavault.com/ui/#object/vcountry__v/VENZ000004SONF5", "ES")</f>
        <v>ES</v>
      </c>
      <c r="C2826" s="8" t="s">
        <v>39</v>
      </c>
      <c r="D282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26" s="10" t="str">
        <f>HYPERLINK("https://otsuka-europe-crm.veevavault.com/ui/#object/sent_email__v/VBL000000032319", "SE-001443040")</f>
        <v>SE-001443040</v>
      </c>
      <c r="F2826" s="11"/>
      <c r="G2826" s="12">
        <v>0</v>
      </c>
      <c r="H2826" s="12">
        <v>0</v>
      </c>
      <c r="I2826" s="12">
        <v>0</v>
      </c>
      <c r="J2826" s="11"/>
      <c r="K2826" s="12">
        <v>0</v>
      </c>
      <c r="L282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26" s="10" t="str">
        <f>HYPERLINK("mailto:ccoll@crm.otsuka-europe.com", "ccoll@crm.otsuka-europe.com")</f>
        <v>ccoll@crm.otsuka-europe.com</v>
      </c>
      <c r="N2826" s="13">
        <v>46212.686435185184</v>
      </c>
      <c r="O2826" s="14" t="str">
        <f>HYPERLINK("https://otsuka-europe-crm.veevavault.com/ui/#object/email_activity__v/V8C000000046119", "EN-002104036")</f>
        <v>EN-002104036</v>
      </c>
    </row>
    <row r="2827" spans="1:15" ht="16" x14ac:dyDescent="0.2">
      <c r="A2827" s="18" t="str">
        <f>HYPERLINK("https://otsuka-europe-crm.veevavault.com/ui/#object/account__v/V4TZ025E85WTXO5", "NEUS AMER SALAS")</f>
        <v>NEUS AMER SALAS</v>
      </c>
      <c r="B2827" s="18" t="str">
        <f>HYPERLINK("https://otsuka-europe-crm.veevavault.com/ui/#object/vcountry__v/VENZ000004SONF5", "ES")</f>
        <v>ES</v>
      </c>
      <c r="C2827" s="20" t="s">
        <v>39</v>
      </c>
      <c r="D282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27" s="22" t="str">
        <f>HYPERLINK("https://otsuka-europe-crm.veevavault.com/ui/#object/sent_email__v/VBL000000032320", "SE-001443041")</f>
        <v>SE-001443041</v>
      </c>
      <c r="F2827" s="25">
        <v>46217.326435185183</v>
      </c>
      <c r="G2827" s="24">
        <v>1</v>
      </c>
      <c r="H2827" s="24">
        <v>1</v>
      </c>
      <c r="I2827" s="24">
        <v>0</v>
      </c>
      <c r="J2827" s="23"/>
      <c r="K2827" s="24">
        <v>0</v>
      </c>
      <c r="L282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27" s="22" t="str">
        <f>HYPERLINK("mailto:ccoll@crm.otsuka-europe.com", "ccoll@crm.otsuka-europe.com")</f>
        <v>ccoll@crm.otsuka-europe.com</v>
      </c>
      <c r="N2827" s="25">
        <v>46212.68644675926</v>
      </c>
      <c r="O2827" s="14" t="str">
        <f>HYPERLINK("https://otsuka-europe-crm.veevavault.com/ui/#object/email_activity__v/V8C000000046098", "EN-002104014")</f>
        <v>EN-002104014</v>
      </c>
    </row>
    <row r="2828" spans="1:15" ht="16" x14ac:dyDescent="0.2">
      <c r="A2828" s="19"/>
      <c r="B2828" s="19"/>
      <c r="C2828" s="19"/>
      <c r="D2828" s="19"/>
      <c r="E2828" s="19"/>
      <c r="F2828" s="19"/>
      <c r="G2828" s="19"/>
      <c r="H2828" s="19"/>
      <c r="I2828" s="19"/>
      <c r="J2828" s="19"/>
      <c r="K2828" s="19"/>
      <c r="L2828" s="19"/>
      <c r="M2828" s="19"/>
      <c r="N2828" s="19"/>
      <c r="O2828" s="14" t="str">
        <f>HYPERLINK("https://otsuka-europe-crm.veevavault.com/ui/#object/email_activity__v/V8C000000049489", "EN-002105776")</f>
        <v>EN-002105776</v>
      </c>
    </row>
    <row r="2829" spans="1:15" ht="48" x14ac:dyDescent="0.2">
      <c r="A2829" s="7" t="str">
        <f>HYPERLINK("https://otsuka-europe-crm.veevavault.com/ui/#object/account__v/V4TZ025E83OV5SH", "MARINA DIAZ BEYA")</f>
        <v>MARINA DIAZ BEYA</v>
      </c>
      <c r="B2829" s="7" t="str">
        <f>HYPERLINK("https://otsuka-europe-crm.veevavault.com/ui/#object/vcountry__v/VENZ000004SONF5", "ES")</f>
        <v>ES</v>
      </c>
      <c r="C2829" s="8" t="s">
        <v>39</v>
      </c>
      <c r="D2829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29" s="10" t="str">
        <f>HYPERLINK("https://otsuka-europe-crm.veevavault.com/ui/#object/sent_email__v/VBL000000032321", "SE-001443042")</f>
        <v>SE-001443042</v>
      </c>
      <c r="F2829" s="11"/>
      <c r="G2829" s="12">
        <v>0</v>
      </c>
      <c r="H2829" s="12">
        <v>0</v>
      </c>
      <c r="I2829" s="12">
        <v>0</v>
      </c>
      <c r="J2829" s="11"/>
      <c r="K2829" s="12">
        <v>0</v>
      </c>
      <c r="L2829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29" s="10" t="str">
        <f>HYPERLINK("mailto:ccoll@crm.otsuka-europe.com", "ccoll@crm.otsuka-europe.com")</f>
        <v>ccoll@crm.otsuka-europe.com</v>
      </c>
      <c r="N2829" s="13">
        <v>46212.686481481483</v>
      </c>
      <c r="O2829" s="14" t="str">
        <f>HYPERLINK("https://otsuka-europe-crm.veevavault.com/ui/#object/email_activity__v/V8C000000046109", "EN-002104025")</f>
        <v>EN-002104025</v>
      </c>
    </row>
    <row r="2830" spans="1:15" ht="48" x14ac:dyDescent="0.2">
      <c r="A2830" s="7" t="str">
        <f>HYPERLINK("https://otsuka-europe-crm.veevavault.com/ui/#object/account__v/V4TZ025E83OY8QY", "MARIA JOSEFA NAJERA IRAZU")</f>
        <v>MARIA JOSEFA NAJERA IRAZU</v>
      </c>
      <c r="B2830" s="7" t="str">
        <f>HYPERLINK("https://otsuka-europe-crm.veevavault.com/ui/#object/vcountry__v/VENZ000004SONF5", "ES")</f>
        <v>ES</v>
      </c>
      <c r="C2830" s="8" t="s">
        <v>39</v>
      </c>
      <c r="D283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30" s="10" t="str">
        <f>HYPERLINK("https://otsuka-europe-crm.veevavault.com/ui/#object/sent_email__v/VBL000000032322", "SE-001443043")</f>
        <v>SE-001443043</v>
      </c>
      <c r="F2830" s="11"/>
      <c r="G2830" s="12">
        <v>0</v>
      </c>
      <c r="H2830" s="12">
        <v>0</v>
      </c>
      <c r="I2830" s="12">
        <v>0</v>
      </c>
      <c r="J2830" s="11"/>
      <c r="K2830" s="12">
        <v>0</v>
      </c>
      <c r="L283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30" s="10" t="str">
        <f>HYPERLINK("mailto:ccoll@crm.otsuka-europe.com", "ccoll@crm.otsuka-europe.com")</f>
        <v>ccoll@crm.otsuka-europe.com</v>
      </c>
      <c r="N2830" s="13">
        <v>46212.68644675926</v>
      </c>
      <c r="O2830" s="14" t="str">
        <f>HYPERLINK("https://otsuka-europe-crm.veevavault.com/ui/#object/email_activity__v/V8C000000046101", "EN-002104017")</f>
        <v>EN-002104017</v>
      </c>
    </row>
    <row r="2831" spans="1:15" ht="48" x14ac:dyDescent="0.2">
      <c r="A2831" s="7" t="str">
        <f>HYPERLINK("https://otsuka-europe-crm.veevavault.com/ui/#object/account__v/V4TZ025E83OXRGQ", "MARIA TERESA OLAVE RUBIO")</f>
        <v>MARIA TERESA OLAVE RUBIO</v>
      </c>
      <c r="B2831" s="7" t="str">
        <f>HYPERLINK("https://otsuka-europe-crm.veevavault.com/ui/#object/vcountry__v/VENZ000004SONF5", "ES")</f>
        <v>ES</v>
      </c>
      <c r="C2831" s="8" t="s">
        <v>39</v>
      </c>
      <c r="D283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31" s="10" t="str">
        <f>HYPERLINK("https://otsuka-europe-crm.veevavault.com/ui/#object/sent_email__v/VBL000000032323", "SE-001443044")</f>
        <v>SE-001443044</v>
      </c>
      <c r="F2831" s="11"/>
      <c r="G2831" s="12">
        <v>0</v>
      </c>
      <c r="H2831" s="12">
        <v>0</v>
      </c>
      <c r="I2831" s="12">
        <v>0</v>
      </c>
      <c r="J2831" s="11"/>
      <c r="K2831" s="12">
        <v>0</v>
      </c>
      <c r="L283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31" s="10" t="str">
        <f>HYPERLINK("mailto:ccoll@crm.otsuka-europe.com", "ccoll@crm.otsuka-europe.com")</f>
        <v>ccoll@crm.otsuka-europe.com</v>
      </c>
      <c r="N2831" s="13">
        <v>46212.686493055553</v>
      </c>
      <c r="O2831" s="14" t="str">
        <f>HYPERLINK("https://otsuka-europe-crm.veevavault.com/ui/#object/email_activity__v/V8C000000046117", "EN-002104033")</f>
        <v>EN-002104033</v>
      </c>
    </row>
    <row r="2832" spans="1:15" ht="16" x14ac:dyDescent="0.2">
      <c r="A2832" s="18" t="str">
        <f>HYPERLINK("https://otsuka-europe-crm.veevavault.com/ui/#object/account__v/V4TZ025E83JBE1U", "MARIA MAR TORMO DIAZ")</f>
        <v>MARIA MAR TORMO DIAZ</v>
      </c>
      <c r="B2832" s="18" t="str">
        <f>HYPERLINK("https://otsuka-europe-crm.veevavault.com/ui/#object/vcountry__v/VENZ000004SONF5", "ES")</f>
        <v>ES</v>
      </c>
      <c r="C2832" s="20" t="s">
        <v>39</v>
      </c>
      <c r="D2832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32" s="22" t="str">
        <f>HYPERLINK("https://otsuka-europe-crm.veevavault.com/ui/#object/sent_email__v/VBL000000032324", "SE-001443045")</f>
        <v>SE-001443045</v>
      </c>
      <c r="F2832" s="25">
        <v>46236.824456018519</v>
      </c>
      <c r="G2832" s="24">
        <v>1</v>
      </c>
      <c r="H2832" s="24">
        <v>1</v>
      </c>
      <c r="I2832" s="24">
        <v>0</v>
      </c>
      <c r="J2832" s="23"/>
      <c r="K2832" s="24">
        <v>0</v>
      </c>
      <c r="L2832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32" s="22" t="str">
        <f>HYPERLINK("mailto:ccoll@crm.otsuka-europe.com", "ccoll@crm.otsuka-europe.com")</f>
        <v>ccoll@crm.otsuka-europe.com</v>
      </c>
      <c r="N2832" s="25">
        <v>46212.686493055553</v>
      </c>
      <c r="O2832" s="14" t="str">
        <f>HYPERLINK("https://otsuka-europe-crm.veevavault.com/ui/#object/email_activity__v/V8C000000045367", "EN-002104037")</f>
        <v>EN-002104037</v>
      </c>
    </row>
    <row r="2833" spans="1:15" ht="16" x14ac:dyDescent="0.2">
      <c r="A2833" s="26"/>
      <c r="B2833" s="26"/>
      <c r="C2833" s="26"/>
      <c r="D2833" s="26"/>
      <c r="E2833" s="26"/>
      <c r="F2833" s="26"/>
      <c r="G2833" s="26"/>
      <c r="H2833" s="26"/>
      <c r="I2833" s="26"/>
      <c r="J2833" s="26"/>
      <c r="K2833" s="26"/>
      <c r="L2833" s="26"/>
      <c r="M2833" s="26"/>
      <c r="N2833" s="26"/>
      <c r="O2833" s="14" t="str">
        <f>HYPERLINK("https://otsuka-europe-crm.veevavault.com/ui/#object/email_activity__v/V8C000000046115", "EN-002104031")</f>
        <v>EN-002104031</v>
      </c>
    </row>
    <row r="2834" spans="1:15" ht="16" x14ac:dyDescent="0.2">
      <c r="A2834" s="26"/>
      <c r="B2834" s="26"/>
      <c r="C2834" s="26"/>
      <c r="D2834" s="26"/>
      <c r="E2834" s="26"/>
      <c r="F2834" s="26"/>
      <c r="G2834" s="26"/>
      <c r="H2834" s="26"/>
      <c r="I2834" s="26"/>
      <c r="J2834" s="26"/>
      <c r="K2834" s="26"/>
      <c r="L2834" s="26"/>
      <c r="M2834" s="26"/>
      <c r="N2834" s="26"/>
      <c r="O2834" s="14" t="str">
        <f>HYPERLINK("https://otsuka-europe-crm.veevavault.com/ui/#object/email_activity__v/V8C000000049087", "EN-002105023")</f>
        <v>EN-002105023</v>
      </c>
    </row>
    <row r="2835" spans="1:15" ht="16" x14ac:dyDescent="0.2">
      <c r="A2835" s="19"/>
      <c r="B2835" s="19"/>
      <c r="C2835" s="19"/>
      <c r="D2835" s="19"/>
      <c r="E2835" s="19"/>
      <c r="F2835" s="19"/>
      <c r="G2835" s="19"/>
      <c r="H2835" s="19"/>
      <c r="I2835" s="19"/>
      <c r="J2835" s="19"/>
      <c r="K2835" s="19"/>
      <c r="L2835" s="19"/>
      <c r="M2835" s="19"/>
      <c r="N2835" s="19"/>
      <c r="O2835" s="14" t="str">
        <f>HYPERLINK("https://otsuka-europe-crm.veevavault.com/ui/#object/email_activity__v/V8C00000004I082", "EN-002111139")</f>
        <v>EN-002111139</v>
      </c>
    </row>
    <row r="2836" spans="1:15" ht="48" x14ac:dyDescent="0.2">
      <c r="A2836" s="7" t="str">
        <f>HYPERLINK("https://otsuka-europe-crm.veevavault.com/ui/#object/account__v/V4TZ06G6O71TCMK", "SUSANA VIVES POLO")</f>
        <v>SUSANA VIVES POLO</v>
      </c>
      <c r="B2836" s="7" t="str">
        <f>HYPERLINK("https://otsuka-europe-crm.veevavault.com/ui/#object/vcountry__v/VENZ000004SONF5", "ES")</f>
        <v>ES</v>
      </c>
      <c r="C2836" s="8" t="s">
        <v>39</v>
      </c>
      <c r="D283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36" s="10" t="str">
        <f>HYPERLINK("https://otsuka-europe-crm.veevavault.com/ui/#object/sent_email__v/VBL000000032325", "SE-001443046")</f>
        <v>SE-001443046</v>
      </c>
      <c r="F2836" s="11"/>
      <c r="G2836" s="12">
        <v>0</v>
      </c>
      <c r="H2836" s="12">
        <v>0</v>
      </c>
      <c r="I2836" s="12">
        <v>0</v>
      </c>
      <c r="J2836" s="11"/>
      <c r="K2836" s="12">
        <v>0</v>
      </c>
      <c r="L283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36" s="10" t="str">
        <f>HYPERLINK("mailto:ccoll@crm.otsuka-europe.com", "ccoll@crm.otsuka-europe.com")</f>
        <v>ccoll@crm.otsuka-europe.com</v>
      </c>
      <c r="N2836" s="13">
        <v>46212.68644675926</v>
      </c>
      <c r="O2836" s="14" t="str">
        <f>HYPERLINK("https://otsuka-europe-crm.veevavault.com/ui/#object/email_activity__v/V8C000000046105", "EN-002104021")</f>
        <v>EN-002104021</v>
      </c>
    </row>
    <row r="2837" spans="1:15" ht="16" x14ac:dyDescent="0.2">
      <c r="A2837" s="18" t="str">
        <f>HYPERLINK("https://otsuka-europe-crm.veevavault.com/ui/#object/account__v/V4TZ06G6O71T9CT", "MARIA TERESA BERNAL DEL CASTILLO")</f>
        <v>MARIA TERESA BERNAL DEL CASTILLO</v>
      </c>
      <c r="B2837" s="18" t="str">
        <f>HYPERLINK("https://otsuka-europe-crm.veevavault.com/ui/#object/vcountry__v/VENZ000004SONF5", "ES")</f>
        <v>ES</v>
      </c>
      <c r="C2837" s="20" t="s">
        <v>39</v>
      </c>
      <c r="D283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37" s="22" t="str">
        <f>HYPERLINK("https://otsuka-europe-crm.veevavault.com/ui/#object/sent_email__v/VBL000000032326", "SE-001443047")</f>
        <v>SE-001443047</v>
      </c>
      <c r="F2837" s="25">
        <v>46212.692037037035</v>
      </c>
      <c r="G2837" s="24">
        <v>1</v>
      </c>
      <c r="H2837" s="24">
        <v>1</v>
      </c>
      <c r="I2837" s="24">
        <v>0</v>
      </c>
      <c r="J2837" s="23"/>
      <c r="K2837" s="24">
        <v>0</v>
      </c>
      <c r="L283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37" s="22" t="str">
        <f>HYPERLINK("mailto:ccoll@crm.otsuka-europe.com", "ccoll@crm.otsuka-europe.com")</f>
        <v>ccoll@crm.otsuka-europe.com</v>
      </c>
      <c r="N2837" s="25">
        <v>46212.68644675926</v>
      </c>
      <c r="O2837" s="14" t="str">
        <f>HYPERLINK("https://otsuka-europe-crm.veevavault.com/ui/#object/email_activity__v/V8C000000045360", "EN-002104006")</f>
        <v>EN-002104006</v>
      </c>
    </row>
    <row r="2838" spans="1:15" ht="16" x14ac:dyDescent="0.2">
      <c r="A2838" s="19"/>
      <c r="B2838" s="19"/>
      <c r="C2838" s="19"/>
      <c r="D2838" s="19"/>
      <c r="E2838" s="19"/>
      <c r="F2838" s="19"/>
      <c r="G2838" s="19"/>
      <c r="H2838" s="19"/>
      <c r="I2838" s="19"/>
      <c r="J2838" s="19"/>
      <c r="K2838" s="19"/>
      <c r="L2838" s="19"/>
      <c r="M2838" s="19"/>
      <c r="N2838" s="19"/>
      <c r="O2838" s="14" t="str">
        <f>HYPERLINK("https://otsuka-europe-crm.veevavault.com/ui/#object/email_activity__v/V8C000000045386", "EN-002104107")</f>
        <v>EN-002104107</v>
      </c>
    </row>
    <row r="2839" spans="1:15" ht="16" x14ac:dyDescent="0.2">
      <c r="A2839" s="18" t="str">
        <f>HYPERLINK("https://otsuka-europe-crm.veevavault.com/ui/#object/account__v/V4TZ06G6O71TCBN", "OLGA SALAMERO GARCIA")</f>
        <v>OLGA SALAMERO GARCIA</v>
      </c>
      <c r="B2839" s="18" t="str">
        <f>HYPERLINK("https://otsuka-europe-crm.veevavault.com/ui/#object/vcountry__v/VENZ000004SONF5", "ES")</f>
        <v>ES</v>
      </c>
      <c r="C2839" s="20" t="s">
        <v>39</v>
      </c>
      <c r="D2839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39" s="22" t="str">
        <f>HYPERLINK("https://otsuka-europe-crm.veevavault.com/ui/#object/sent_email__v/VBL000000032327", "SE-001443048")</f>
        <v>SE-001443048</v>
      </c>
      <c r="F2839" s="25">
        <v>46212.690532407411</v>
      </c>
      <c r="G2839" s="24">
        <v>1</v>
      </c>
      <c r="H2839" s="24">
        <v>1</v>
      </c>
      <c r="I2839" s="24">
        <v>0</v>
      </c>
      <c r="J2839" s="23"/>
      <c r="K2839" s="24">
        <v>0</v>
      </c>
      <c r="L2839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39" s="22" t="str">
        <f>HYPERLINK("mailto:ccoll@crm.otsuka-europe.com", "ccoll@crm.otsuka-europe.com")</f>
        <v>ccoll@crm.otsuka-europe.com</v>
      </c>
      <c r="N2839" s="25">
        <v>46212.68644675926</v>
      </c>
      <c r="O2839" s="14" t="str">
        <f>HYPERLINK("https://otsuka-europe-crm.veevavault.com/ui/#object/email_activity__v/V8C000000045383", "EN-002104103")</f>
        <v>EN-002104103</v>
      </c>
    </row>
    <row r="2840" spans="1:15" ht="16" x14ac:dyDescent="0.2">
      <c r="A2840" s="19"/>
      <c r="B2840" s="19"/>
      <c r="C2840" s="19"/>
      <c r="D2840" s="19"/>
      <c r="E2840" s="19"/>
      <c r="F2840" s="19"/>
      <c r="G2840" s="19"/>
      <c r="H2840" s="19"/>
      <c r="I2840" s="19"/>
      <c r="J2840" s="19"/>
      <c r="K2840" s="19"/>
      <c r="L2840" s="19"/>
      <c r="M2840" s="19"/>
      <c r="N2840" s="19"/>
      <c r="O2840" s="14" t="str">
        <f>HYPERLINK("https://otsuka-europe-crm.veevavault.com/ui/#object/email_activity__v/V8C000000046103", "EN-002104019")</f>
        <v>EN-002104019</v>
      </c>
    </row>
    <row r="2841" spans="1:15" ht="48" x14ac:dyDescent="0.2">
      <c r="A2841" s="7" t="str">
        <f>HYPERLINK("https://otsuka-europe-crm.veevavault.com/ui/#object/account__v/V4TZ06G6O71T9X6", "JORDI ESTEVE REYNER")</f>
        <v>JORDI ESTEVE REYNER</v>
      </c>
      <c r="B2841" s="7" t="str">
        <f t="shared" ref="B2841:B2847" si="116">HYPERLINK("https://otsuka-europe-crm.veevavault.com/ui/#object/vcountry__v/VENZ000004SONF5", "ES")</f>
        <v>ES</v>
      </c>
      <c r="C2841" s="8" t="s">
        <v>39</v>
      </c>
      <c r="D284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41" s="10" t="str">
        <f>HYPERLINK("https://otsuka-europe-crm.veevavault.com/ui/#object/sent_email__v/VBL000000032328", "SE-001443049")</f>
        <v>SE-001443049</v>
      </c>
      <c r="F2841" s="11"/>
      <c r="G2841" s="12">
        <v>0</v>
      </c>
      <c r="H2841" s="12">
        <v>0</v>
      </c>
      <c r="I2841" s="12">
        <v>0</v>
      </c>
      <c r="J2841" s="11"/>
      <c r="K2841" s="12">
        <v>0</v>
      </c>
      <c r="L284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41" s="10" t="str">
        <f t="shared" ref="M2841:M2847" si="117">HYPERLINK("mailto:ccoll@crm.otsuka-europe.com", "ccoll@crm.otsuka-europe.com")</f>
        <v>ccoll@crm.otsuka-europe.com</v>
      </c>
      <c r="N2841" s="13">
        <v>46212.686481481483</v>
      </c>
      <c r="O2841" s="14" t="str">
        <f>HYPERLINK("https://otsuka-europe-crm.veevavault.com/ui/#object/email_activity__v/V8C000000046114", "EN-002104030")</f>
        <v>EN-002104030</v>
      </c>
    </row>
    <row r="2842" spans="1:15" ht="48" x14ac:dyDescent="0.2">
      <c r="A2842" s="7" t="str">
        <f>HYPERLINK("https://otsuka-europe-crm.veevavault.com/ui/#object/account__v/V4TZ025E881UBZY", "SARA MONTOLIO CHIVA")</f>
        <v>SARA MONTOLIO CHIVA</v>
      </c>
      <c r="B2842" s="7" t="str">
        <f t="shared" si="116"/>
        <v>ES</v>
      </c>
      <c r="C2842" s="8" t="s">
        <v>39</v>
      </c>
      <c r="D2842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2842" s="10" t="str">
        <f>HYPERLINK("https://otsuka-europe-crm.veevavault.com/ui/#object/sent_email__v/VBL000000032329", "SE-001443050")</f>
        <v>SE-001443050</v>
      </c>
      <c r="F2842" s="11"/>
      <c r="G2842" s="12">
        <v>0</v>
      </c>
      <c r="H2842" s="12">
        <v>0</v>
      </c>
      <c r="I2842" s="12">
        <v>0</v>
      </c>
      <c r="J2842" s="11"/>
      <c r="K2842" s="12">
        <v>0</v>
      </c>
      <c r="L2842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2842" s="10" t="str">
        <f t="shared" si="117"/>
        <v>ccoll@crm.otsuka-europe.com</v>
      </c>
      <c r="N2842" s="13">
        <v>46212.686481481483</v>
      </c>
      <c r="O2842" s="14" t="str">
        <f>HYPERLINK("https://otsuka-europe-crm.veevavault.com/ui/#object/email_activity__v/V8C000000046108", "EN-002104024")</f>
        <v>EN-002104024</v>
      </c>
    </row>
    <row r="2843" spans="1:15" ht="64" x14ac:dyDescent="0.2">
      <c r="A2843" s="7" t="str">
        <f>HYPERLINK("https://otsuka-europe-crm.veevavault.com/ui/#object/account__v/V4TZ04ASGEC6OFJ", "INMACULADA ROS VILAMAJO")</f>
        <v>INMACULADA ROS VILAMAJO</v>
      </c>
      <c r="B2843" s="7" t="str">
        <f t="shared" si="116"/>
        <v>ES</v>
      </c>
      <c r="C2843" s="8" t="s">
        <v>39</v>
      </c>
      <c r="D284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43" s="10" t="str">
        <f>HYPERLINK("https://otsuka-europe-crm.veevavault.com/ui/#object/sent_email__v/VBL000000032330", "SE-001443051")</f>
        <v>SE-001443051</v>
      </c>
      <c r="F2843" s="11"/>
      <c r="G2843" s="12">
        <v>0</v>
      </c>
      <c r="H2843" s="12">
        <v>0</v>
      </c>
      <c r="I2843" s="12">
        <v>0</v>
      </c>
      <c r="J2843" s="11"/>
      <c r="K2843" s="12">
        <v>0</v>
      </c>
      <c r="L284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43" s="10" t="str">
        <f t="shared" si="117"/>
        <v>ccoll@crm.otsuka-europe.com</v>
      </c>
      <c r="N2843" s="13">
        <v>46212.689421296294</v>
      </c>
      <c r="O2843" s="14" t="str">
        <f>HYPERLINK("https://otsuka-europe-crm.veevavault.com/ui/#object/email_activity__v/V8C000000046160", "EN-002104088")</f>
        <v>EN-002104088</v>
      </c>
    </row>
    <row r="2844" spans="1:15" ht="64" x14ac:dyDescent="0.2">
      <c r="A2844" s="7" t="str">
        <f>HYPERLINK("https://otsuka-europe-crm.veevavault.com/ui/#object/account__v/V4TZ06G6OBU76DL", "TAREK CARLOS SALMAN MONTE")</f>
        <v>TAREK CARLOS SALMAN MONTE</v>
      </c>
      <c r="B2844" s="7" t="str">
        <f t="shared" si="116"/>
        <v>ES</v>
      </c>
      <c r="C2844" s="8" t="s">
        <v>39</v>
      </c>
      <c r="D284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44" s="10" t="str">
        <f>HYPERLINK("https://otsuka-europe-crm.veevavault.com/ui/#object/sent_email__v/VBL000000032331", "SE-001443052")</f>
        <v>SE-001443052</v>
      </c>
      <c r="F2844" s="11"/>
      <c r="G2844" s="12">
        <v>0</v>
      </c>
      <c r="H2844" s="12">
        <v>0</v>
      </c>
      <c r="I2844" s="12">
        <v>0</v>
      </c>
      <c r="J2844" s="11"/>
      <c r="K2844" s="12">
        <v>0</v>
      </c>
      <c r="L284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44" s="10" t="str">
        <f t="shared" si="117"/>
        <v>ccoll@crm.otsuka-europe.com</v>
      </c>
      <c r="N2844" s="13">
        <v>46212.689409722225</v>
      </c>
      <c r="O2844" s="14" t="str">
        <f>HYPERLINK("https://otsuka-europe-crm.veevavault.com/ui/#object/email_activity__v/V8C000000046154", "EN-002104082")</f>
        <v>EN-002104082</v>
      </c>
    </row>
    <row r="2845" spans="1:15" ht="64" x14ac:dyDescent="0.2">
      <c r="A2845" s="7" t="str">
        <f>HYPERLINK("https://otsuka-europe-crm.veevavault.com/ui/#object/account__v/V4TZ025E83DWCD8", "MARIELA CARMEN UYAGUARI MOROCHO")</f>
        <v>MARIELA CARMEN UYAGUARI MOROCHO</v>
      </c>
      <c r="B2845" s="7" t="str">
        <f t="shared" si="116"/>
        <v>ES</v>
      </c>
      <c r="C2845" s="8" t="s">
        <v>39</v>
      </c>
      <c r="D284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45" s="10" t="str">
        <f>HYPERLINK("https://otsuka-europe-crm.veevavault.com/ui/#object/sent_email__v/VBL000000032332", "SE-001443053")</f>
        <v>SE-001443053</v>
      </c>
      <c r="F2845" s="11"/>
      <c r="G2845" s="12">
        <v>0</v>
      </c>
      <c r="H2845" s="12">
        <v>0</v>
      </c>
      <c r="I2845" s="12">
        <v>0</v>
      </c>
      <c r="J2845" s="11"/>
      <c r="K2845" s="12">
        <v>0</v>
      </c>
      <c r="L284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45" s="10" t="str">
        <f t="shared" si="117"/>
        <v>ccoll@crm.otsuka-europe.com</v>
      </c>
      <c r="N2845" s="13">
        <v>46212.689409722225</v>
      </c>
      <c r="O2845" s="14" t="str">
        <f>HYPERLINK("https://otsuka-europe-crm.veevavault.com/ui/#object/email_activity__v/V8C000000046155", "EN-002104083")</f>
        <v>EN-002104083</v>
      </c>
    </row>
    <row r="2846" spans="1:15" ht="64" x14ac:dyDescent="0.2">
      <c r="A2846" s="7" t="str">
        <f>HYPERLINK("https://otsuka-europe-crm.veevavault.com/ui/#object/account__v/V4TZ04ASGB4WQ3U", "PATRICIA CORZO GARCIA")</f>
        <v>PATRICIA CORZO GARCIA</v>
      </c>
      <c r="B2846" s="7" t="str">
        <f t="shared" si="116"/>
        <v>ES</v>
      </c>
      <c r="C2846" s="8" t="s">
        <v>39</v>
      </c>
      <c r="D284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46" s="10" t="str">
        <f>HYPERLINK("https://otsuka-europe-crm.veevavault.com/ui/#object/sent_email__v/VBL000000032333", "SE-001443054")</f>
        <v>SE-001443054</v>
      </c>
      <c r="F2846" s="11"/>
      <c r="G2846" s="12">
        <v>0</v>
      </c>
      <c r="H2846" s="12">
        <v>0</v>
      </c>
      <c r="I2846" s="12">
        <v>0</v>
      </c>
      <c r="J2846" s="11"/>
      <c r="K2846" s="12">
        <v>0</v>
      </c>
      <c r="L284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46" s="10" t="str">
        <f t="shared" si="117"/>
        <v>ccoll@crm.otsuka-europe.com</v>
      </c>
      <c r="N2846" s="13">
        <v>46212.689432870371</v>
      </c>
      <c r="O2846" s="14" t="str">
        <f>HYPERLINK("https://otsuka-europe-crm.veevavault.com/ui/#object/email_activity__v/V8C000000046164", "EN-002104092")</f>
        <v>EN-002104092</v>
      </c>
    </row>
    <row r="2847" spans="1:15" ht="16" x14ac:dyDescent="0.2">
      <c r="A2847" s="18" t="str">
        <f>HYPERLINK("https://otsuka-europe-crm.veevavault.com/ui/#object/account__v/V4TZ025E87IXEF2", "REGINA FARE GARCIA")</f>
        <v>REGINA FARE GARCIA</v>
      </c>
      <c r="B2847" s="18" t="str">
        <f t="shared" si="116"/>
        <v>ES</v>
      </c>
      <c r="C2847" s="20" t="s">
        <v>39</v>
      </c>
      <c r="D284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47" s="22" t="str">
        <f>HYPERLINK("https://otsuka-europe-crm.veevavault.com/ui/#object/sent_email__v/VBL000000032334", "SE-001443055")</f>
        <v>SE-001443055</v>
      </c>
      <c r="F2847" s="25">
        <v>46237.727997685186</v>
      </c>
      <c r="G2847" s="24">
        <v>1</v>
      </c>
      <c r="H2847" s="24">
        <v>3</v>
      </c>
      <c r="I2847" s="24">
        <v>0</v>
      </c>
      <c r="J2847" s="23"/>
      <c r="K2847" s="24">
        <v>0</v>
      </c>
      <c r="L284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47" s="22" t="str">
        <f t="shared" si="117"/>
        <v>ccoll@crm.otsuka-europe.com</v>
      </c>
      <c r="N2847" s="25">
        <v>46212.689421296294</v>
      </c>
      <c r="O2847" s="14" t="str">
        <f>HYPERLINK("https://otsuka-europe-crm.veevavault.com/ui/#object/email_activity__v/V8C000000046161", "EN-002104089")</f>
        <v>EN-002104089</v>
      </c>
    </row>
    <row r="2848" spans="1:15" ht="16" x14ac:dyDescent="0.2">
      <c r="A2848" s="26"/>
      <c r="B2848" s="26"/>
      <c r="C2848" s="26"/>
      <c r="D2848" s="26"/>
      <c r="E2848" s="26"/>
      <c r="F2848" s="26"/>
      <c r="G2848" s="26"/>
      <c r="H2848" s="26"/>
      <c r="I2848" s="26"/>
      <c r="J2848" s="26"/>
      <c r="K2848" s="26"/>
      <c r="L2848" s="26"/>
      <c r="M2848" s="26"/>
      <c r="N2848" s="26"/>
      <c r="O2848" s="14" t="str">
        <f>HYPERLINK("https://otsuka-europe-crm.veevavault.com/ui/#object/email_activity__v/V8C00000004H235", "EN-002111353")</f>
        <v>EN-002111353</v>
      </c>
    </row>
    <row r="2849" spans="1:15" ht="16" x14ac:dyDescent="0.2">
      <c r="A2849" s="26"/>
      <c r="B2849" s="26"/>
      <c r="C2849" s="26"/>
      <c r="D2849" s="26"/>
      <c r="E2849" s="26"/>
      <c r="F2849" s="26"/>
      <c r="G2849" s="26"/>
      <c r="H2849" s="26"/>
      <c r="I2849" s="26"/>
      <c r="J2849" s="26"/>
      <c r="K2849" s="26"/>
      <c r="L2849" s="26"/>
      <c r="M2849" s="26"/>
      <c r="N2849" s="26"/>
      <c r="O2849" s="14" t="str">
        <f>HYPERLINK("https://otsuka-europe-crm.veevavault.com/ui/#object/email_activity__v/V8C00000004H236", "EN-002111354")</f>
        <v>EN-002111354</v>
      </c>
    </row>
    <row r="2850" spans="1:15" ht="16" x14ac:dyDescent="0.2">
      <c r="A2850" s="19"/>
      <c r="B2850" s="19"/>
      <c r="C2850" s="19"/>
      <c r="D2850" s="19"/>
      <c r="E2850" s="19"/>
      <c r="F2850" s="19"/>
      <c r="G2850" s="19"/>
      <c r="H2850" s="19"/>
      <c r="I2850" s="19"/>
      <c r="J2850" s="19"/>
      <c r="K2850" s="19"/>
      <c r="L2850" s="19"/>
      <c r="M2850" s="19"/>
      <c r="N2850" s="19"/>
      <c r="O2850" s="14" t="str">
        <f>HYPERLINK("https://otsuka-europe-crm.veevavault.com/ui/#object/email_activity__v/V8C00000004I169", "EN-002111355")</f>
        <v>EN-002111355</v>
      </c>
    </row>
    <row r="2851" spans="1:15" ht="16" x14ac:dyDescent="0.2">
      <c r="A2851" s="18" t="str">
        <f>HYPERLINK("https://otsuka-europe-crm.veevavault.com/ui/#object/account__v/V4TZ025E84G4UU9", "RICARDO DAVID GALARZA GAMBOA")</f>
        <v>RICARDO DAVID GALARZA GAMBOA</v>
      </c>
      <c r="B2851" s="18" t="str">
        <f>HYPERLINK("https://otsuka-europe-crm.veevavault.com/ui/#object/vcountry__v/VENZ000004SONF5", "ES")</f>
        <v>ES</v>
      </c>
      <c r="C2851" s="20" t="s">
        <v>39</v>
      </c>
      <c r="D285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51" s="22" t="str">
        <f>HYPERLINK("https://otsuka-europe-crm.veevavault.com/ui/#object/sent_email__v/VBL000000032335", "SE-001443056")</f>
        <v>SE-001443056</v>
      </c>
      <c r="F2851" s="25">
        <v>46212.80059027778</v>
      </c>
      <c r="G2851" s="24">
        <v>1</v>
      </c>
      <c r="H2851" s="24">
        <v>1</v>
      </c>
      <c r="I2851" s="24">
        <v>0</v>
      </c>
      <c r="J2851" s="23"/>
      <c r="K2851" s="24">
        <v>0</v>
      </c>
      <c r="L285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51" s="22" t="str">
        <f>HYPERLINK("mailto:ccoll@crm.otsuka-europe.com", "ccoll@crm.otsuka-europe.com")</f>
        <v>ccoll@crm.otsuka-europe.com</v>
      </c>
      <c r="N2851" s="25">
        <v>46212.689386574071</v>
      </c>
      <c r="O2851" s="14" t="str">
        <f>HYPERLINK("https://otsuka-europe-crm.veevavault.com/ui/#object/email_activity__v/V8C000000045372", "EN-002104042")</f>
        <v>EN-002104042</v>
      </c>
    </row>
    <row r="2852" spans="1:15" ht="16" x14ac:dyDescent="0.2">
      <c r="A2852" s="19"/>
      <c r="B2852" s="19"/>
      <c r="C2852" s="19"/>
      <c r="D2852" s="19"/>
      <c r="E2852" s="19"/>
      <c r="F2852" s="19"/>
      <c r="G2852" s="19"/>
      <c r="H2852" s="19"/>
      <c r="I2852" s="19"/>
      <c r="J2852" s="19"/>
      <c r="K2852" s="19"/>
      <c r="L2852" s="19"/>
      <c r="M2852" s="19"/>
      <c r="N2852" s="19"/>
      <c r="O2852" s="14" t="str">
        <f>HYPERLINK("https://otsuka-europe-crm.veevavault.com/ui/#object/email_activity__v/V8C000000046200", "EN-002104162")</f>
        <v>EN-002104162</v>
      </c>
    </row>
    <row r="2853" spans="1:15" ht="16" x14ac:dyDescent="0.2">
      <c r="A2853" s="18" t="str">
        <f>HYPERLINK("https://otsuka-europe-crm.veevavault.com/ui/#object/account__v/V4TZ06G6OB4F1KD", "FRANCISCO JAVIER NARVAEZ GARCIA")</f>
        <v>FRANCISCO JAVIER NARVAEZ GARCIA</v>
      </c>
      <c r="B2853" s="18" t="str">
        <f>HYPERLINK("https://otsuka-europe-crm.veevavault.com/ui/#object/vcountry__v/VENZ000004SONF5", "ES")</f>
        <v>ES</v>
      </c>
      <c r="C2853" s="20" t="s">
        <v>39</v>
      </c>
      <c r="D285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53" s="22" t="str">
        <f>HYPERLINK("https://otsuka-europe-crm.veevavault.com/ui/#object/sent_email__v/VBL000000032336", "SE-001443057")</f>
        <v>SE-001443057</v>
      </c>
      <c r="F2853" s="25">
        <v>46212.694699074076</v>
      </c>
      <c r="G2853" s="24">
        <v>1</v>
      </c>
      <c r="H2853" s="24">
        <v>2</v>
      </c>
      <c r="I2853" s="24">
        <v>1</v>
      </c>
      <c r="J2853" s="25">
        <v>46212.694930555554</v>
      </c>
      <c r="K2853" s="24">
        <v>1</v>
      </c>
      <c r="L285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53" s="22" t="str">
        <f>HYPERLINK("mailto:ccoll@crm.otsuka-europe.com", "ccoll@crm.otsuka-europe.com")</f>
        <v>ccoll@crm.otsuka-europe.com</v>
      </c>
      <c r="N2853" s="25">
        <v>46212.689421296294</v>
      </c>
      <c r="O2853" s="14" t="str">
        <f>HYPERLINK("https://otsuka-europe-crm.veevavault.com/ui/#object/email_activity__v/V8C000000045389", "EN-002104112")</f>
        <v>EN-002104112</v>
      </c>
    </row>
    <row r="2854" spans="1:15" ht="16" x14ac:dyDescent="0.2">
      <c r="A2854" s="26"/>
      <c r="B2854" s="26"/>
      <c r="C2854" s="26"/>
      <c r="D2854" s="26"/>
      <c r="E2854" s="26"/>
      <c r="F2854" s="26"/>
      <c r="G2854" s="26"/>
      <c r="H2854" s="26"/>
      <c r="I2854" s="26"/>
      <c r="J2854" s="26"/>
      <c r="K2854" s="26"/>
      <c r="L2854" s="26"/>
      <c r="M2854" s="26"/>
      <c r="N2854" s="26"/>
      <c r="O2854" s="14" t="str">
        <f>HYPERLINK("https://otsuka-europe-crm.veevavault.com/ui/#object/email_activity__v/V8C000000045390", "EN-002104113")</f>
        <v>EN-002104113</v>
      </c>
    </row>
    <row r="2855" spans="1:15" ht="16" x14ac:dyDescent="0.2">
      <c r="A2855" s="26"/>
      <c r="B2855" s="26"/>
      <c r="C2855" s="26"/>
      <c r="D2855" s="26"/>
      <c r="E2855" s="26"/>
      <c r="F2855" s="26"/>
      <c r="G2855" s="26"/>
      <c r="H2855" s="26"/>
      <c r="I2855" s="26"/>
      <c r="J2855" s="26"/>
      <c r="K2855" s="26"/>
      <c r="L2855" s="26"/>
      <c r="M2855" s="26"/>
      <c r="N2855" s="26"/>
      <c r="O2855" s="14" t="str">
        <f>HYPERLINK("https://otsuka-europe-crm.veevavault.com/ui/#object/email_activity__v/V8C000000046150", "EN-002104078")</f>
        <v>EN-002104078</v>
      </c>
    </row>
    <row r="2856" spans="1:15" ht="16" x14ac:dyDescent="0.2">
      <c r="A2856" s="19"/>
      <c r="B2856" s="19"/>
      <c r="C2856" s="19"/>
      <c r="D2856" s="19"/>
      <c r="E2856" s="19"/>
      <c r="F2856" s="19"/>
      <c r="G2856" s="19"/>
      <c r="H2856" s="19"/>
      <c r="I2856" s="19"/>
      <c r="J2856" s="19"/>
      <c r="K2856" s="19"/>
      <c r="L2856" s="19"/>
      <c r="M2856" s="19"/>
      <c r="N2856" s="19"/>
      <c r="O2856" s="14" t="str">
        <f>HYPERLINK("https://otsuka-europe-crm.veevavault.com/ui/#object/email_activity__v/V8C000000046173", "EN-002104114")</f>
        <v>EN-002104114</v>
      </c>
    </row>
    <row r="2857" spans="1:15" ht="64" x14ac:dyDescent="0.2">
      <c r="A2857" s="7" t="str">
        <f>HYPERLINK("https://otsuka-europe-crm.veevavault.com/ui/#object/account__v/V4TZ025E832J9WG", "MARIA IRENE CARRION BARBERA")</f>
        <v>MARIA IRENE CARRION BARBERA</v>
      </c>
      <c r="B2857" s="7" t="str">
        <f>HYPERLINK("https://otsuka-europe-crm.veevavault.com/ui/#object/vcountry__v/VENZ000004SONF5", "ES")</f>
        <v>ES</v>
      </c>
      <c r="C2857" s="8" t="s">
        <v>39</v>
      </c>
      <c r="D285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57" s="10" t="str">
        <f>HYPERLINK("https://otsuka-europe-crm.veevavault.com/ui/#object/sent_email__v/VBL000000032337", "SE-001443058")</f>
        <v>SE-001443058</v>
      </c>
      <c r="F2857" s="11"/>
      <c r="G2857" s="12">
        <v>0</v>
      </c>
      <c r="H2857" s="12">
        <v>0</v>
      </c>
      <c r="I2857" s="12">
        <v>0</v>
      </c>
      <c r="J2857" s="11"/>
      <c r="K2857" s="12">
        <v>0</v>
      </c>
      <c r="L285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57" s="10" t="str">
        <f>HYPERLINK("mailto:ccoll@crm.otsuka-europe.com", "ccoll@crm.otsuka-europe.com")</f>
        <v>ccoll@crm.otsuka-europe.com</v>
      </c>
      <c r="N2857" s="13">
        <v>46212.689386574071</v>
      </c>
      <c r="O2857" s="14" t="str">
        <f>HYPERLINK("https://otsuka-europe-crm.veevavault.com/ui/#object/email_activity__v/V8C000000046138", "EN-002104066")</f>
        <v>EN-002104066</v>
      </c>
    </row>
    <row r="2858" spans="1:15" ht="64" x14ac:dyDescent="0.2">
      <c r="A2858" s="7" t="str">
        <f>HYPERLINK("https://otsuka-europe-crm.veevavault.com/ui/#object/account__v/V4TZ04ASG96298S", "LAURA CRESPI MARTINEZ")</f>
        <v>LAURA CRESPI MARTINEZ</v>
      </c>
      <c r="B2858" s="7" t="str">
        <f>HYPERLINK("https://otsuka-europe-crm.veevavault.com/ui/#object/vcountry__v/VENZ000004SONF5", "ES")</f>
        <v>ES</v>
      </c>
      <c r="C2858" s="8" t="s">
        <v>39</v>
      </c>
      <c r="D285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58" s="10" t="str">
        <f>HYPERLINK("https://otsuka-europe-crm.veevavault.com/ui/#object/sent_email__v/VBL000000032338", "SE-001443059")</f>
        <v>SE-001443059</v>
      </c>
      <c r="F2858" s="11"/>
      <c r="G2858" s="12">
        <v>0</v>
      </c>
      <c r="H2858" s="12">
        <v>0</v>
      </c>
      <c r="I2858" s="12">
        <v>0</v>
      </c>
      <c r="J2858" s="11"/>
      <c r="K2858" s="12">
        <v>0</v>
      </c>
      <c r="L285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58" s="10" t="str">
        <f>HYPERLINK("mailto:ccoll@crm.otsuka-europe.com", "ccoll@crm.otsuka-europe.com")</f>
        <v>ccoll@crm.otsuka-europe.com</v>
      </c>
      <c r="N2858" s="13">
        <v>46212.689386574071</v>
      </c>
      <c r="O2858" s="14" t="str">
        <f>HYPERLINK("https://otsuka-europe-crm.veevavault.com/ui/#object/email_activity__v/V8C000000046133", "EN-002104061")</f>
        <v>EN-002104061</v>
      </c>
    </row>
    <row r="2859" spans="1:15" ht="64" x14ac:dyDescent="0.2">
      <c r="A2859" s="7" t="str">
        <f>HYPERLINK("https://otsuka-europe-crm.veevavault.com/ui/#object/account__v/V4TZ025E85JK6LH", "CLAUDIA ARANGO SILVA")</f>
        <v>CLAUDIA ARANGO SILVA</v>
      </c>
      <c r="B2859" s="7" t="str">
        <f>HYPERLINK("https://otsuka-europe-crm.veevavault.com/ui/#object/vcountry__v/VENZ000004SONF5", "ES")</f>
        <v>ES</v>
      </c>
      <c r="C2859" s="8" t="s">
        <v>39</v>
      </c>
      <c r="D285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59" s="10" t="str">
        <f>HYPERLINK("https://otsuka-europe-crm.veevavault.com/ui/#object/sent_email__v/VBL000000032339", "SE-001443060")</f>
        <v>SE-001443060</v>
      </c>
      <c r="F2859" s="11"/>
      <c r="G2859" s="12">
        <v>0</v>
      </c>
      <c r="H2859" s="12">
        <v>0</v>
      </c>
      <c r="I2859" s="12">
        <v>0</v>
      </c>
      <c r="J2859" s="11"/>
      <c r="K2859" s="12">
        <v>0</v>
      </c>
      <c r="L285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59" s="10" t="str">
        <f>HYPERLINK("mailto:ccoll@crm.otsuka-europe.com", "ccoll@crm.otsuka-europe.com")</f>
        <v>ccoll@crm.otsuka-europe.com</v>
      </c>
      <c r="N2859" s="13">
        <v>46212.689386574071</v>
      </c>
      <c r="O2859" s="14" t="str">
        <f>HYPERLINK("https://otsuka-europe-crm.veevavault.com/ui/#object/email_activity__v/V8C000000046132", "EN-002104060")</f>
        <v>EN-002104060</v>
      </c>
    </row>
    <row r="2860" spans="1:15" ht="16" x14ac:dyDescent="0.2">
      <c r="A2860" s="18" t="str">
        <f>HYPERLINK("https://otsuka-europe-crm.veevavault.com/ui/#object/account__v/V4TZ025E86KXG5G", "JOSHUA ADOLFO PEÑAFIEL SAM")</f>
        <v>JOSHUA ADOLFO PEÑAFIEL SAM</v>
      </c>
      <c r="B2860" s="18" t="str">
        <f>HYPERLINK("https://otsuka-europe-crm.veevavault.com/ui/#object/vcountry__v/VENZ000004SONF5", "ES")</f>
        <v>ES</v>
      </c>
      <c r="C2860" s="20" t="s">
        <v>39</v>
      </c>
      <c r="D286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60" s="22" t="str">
        <f>HYPERLINK("https://otsuka-europe-crm.veevavault.com/ui/#object/sent_email__v/VBL000000032340", "SE-001443061")</f>
        <v>SE-001443061</v>
      </c>
      <c r="F2860" s="25">
        <v>46212.776122685187</v>
      </c>
      <c r="G2860" s="24">
        <v>1</v>
      </c>
      <c r="H2860" s="24">
        <v>1</v>
      </c>
      <c r="I2860" s="24">
        <v>0</v>
      </c>
      <c r="J2860" s="23"/>
      <c r="K2860" s="24">
        <v>0</v>
      </c>
      <c r="L286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60" s="22" t="str">
        <f>HYPERLINK("mailto:ccoll@crm.otsuka-europe.com", "ccoll@crm.otsuka-europe.com")</f>
        <v>ccoll@crm.otsuka-europe.com</v>
      </c>
      <c r="N2860" s="25">
        <v>46212.689421296294</v>
      </c>
      <c r="O2860" s="14" t="str">
        <f>HYPERLINK("https://otsuka-europe-crm.veevavault.com/ui/#object/email_activity__v/V8C000000045410", "EN-002104160")</f>
        <v>EN-002104160</v>
      </c>
    </row>
    <row r="2861" spans="1:15" ht="16" x14ac:dyDescent="0.2">
      <c r="A2861" s="19"/>
      <c r="B2861" s="19"/>
      <c r="C2861" s="19"/>
      <c r="D2861" s="19"/>
      <c r="E2861" s="19"/>
      <c r="F2861" s="19"/>
      <c r="G2861" s="19"/>
      <c r="H2861" s="19"/>
      <c r="I2861" s="19"/>
      <c r="J2861" s="19"/>
      <c r="K2861" s="19"/>
      <c r="L2861" s="19"/>
      <c r="M2861" s="19"/>
      <c r="N2861" s="19"/>
      <c r="O2861" s="14" t="str">
        <f>HYPERLINK("https://otsuka-europe-crm.veevavault.com/ui/#object/email_activity__v/V8C000000046162", "EN-002104090")</f>
        <v>EN-002104090</v>
      </c>
    </row>
    <row r="2862" spans="1:15" ht="64" x14ac:dyDescent="0.2">
      <c r="A2862" s="7" t="str">
        <f>HYPERLINK("https://otsuka-europe-crm.veevavault.com/ui/#object/account__v/V4TZ025E8411P26", "JOANA ROVIRA AGUILAR")</f>
        <v>JOANA ROVIRA AGUILAR</v>
      </c>
      <c r="B2862" s="7" t="str">
        <f>HYPERLINK("https://otsuka-europe-crm.veevavault.com/ui/#object/vcountry__v/VENZ000004SONF5", "ES")</f>
        <v>ES</v>
      </c>
      <c r="C2862" s="8" t="s">
        <v>39</v>
      </c>
      <c r="D286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62" s="10" t="str">
        <f>HYPERLINK("https://otsuka-europe-crm.veevavault.com/ui/#object/sent_email__v/VBL000000032341", "SE-001443062")</f>
        <v>SE-001443062</v>
      </c>
      <c r="F2862" s="11"/>
      <c r="G2862" s="12">
        <v>0</v>
      </c>
      <c r="H2862" s="12">
        <v>0</v>
      </c>
      <c r="I2862" s="12">
        <v>0</v>
      </c>
      <c r="J2862" s="11"/>
      <c r="K2862" s="12">
        <v>0</v>
      </c>
      <c r="L286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62" s="10" t="str">
        <f>HYPERLINK("mailto:ccoll@crm.otsuka-europe.com", "ccoll@crm.otsuka-europe.com")</f>
        <v>ccoll@crm.otsuka-europe.com</v>
      </c>
      <c r="N2862" s="13">
        <v>46212.689386574071</v>
      </c>
      <c r="O2862" s="14" t="str">
        <f>HYPERLINK("https://otsuka-europe-crm.veevavault.com/ui/#object/email_activity__v/V8C000000046140", "EN-002104068")</f>
        <v>EN-002104068</v>
      </c>
    </row>
    <row r="2863" spans="1:15" ht="64" x14ac:dyDescent="0.2">
      <c r="A2863" s="7" t="str">
        <f>HYPERLINK("https://otsuka-europe-crm.veevavault.com/ui/#object/account__v/V4TZ04ASGB967AE", "RAMON FONTOVA GARROFE")</f>
        <v>RAMON FONTOVA GARROFE</v>
      </c>
      <c r="B2863" s="7" t="str">
        <f>HYPERLINK("https://otsuka-europe-crm.veevavault.com/ui/#object/vcountry__v/VENZ000004SONF5", "ES")</f>
        <v>ES</v>
      </c>
      <c r="C2863" s="8" t="s">
        <v>39</v>
      </c>
      <c r="D286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63" s="10" t="str">
        <f>HYPERLINK("https://otsuka-europe-crm.veevavault.com/ui/#object/sent_email__v/VBL000000032342", "SE-001443063")</f>
        <v>SE-001443063</v>
      </c>
      <c r="F2863" s="11"/>
      <c r="G2863" s="12">
        <v>0</v>
      </c>
      <c r="H2863" s="12">
        <v>0</v>
      </c>
      <c r="I2863" s="12">
        <v>0</v>
      </c>
      <c r="J2863" s="11"/>
      <c r="K2863" s="12">
        <v>0</v>
      </c>
      <c r="L286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63" s="10" t="str">
        <f>HYPERLINK("mailto:ccoll@crm.otsuka-europe.com", "ccoll@crm.otsuka-europe.com")</f>
        <v>ccoll@crm.otsuka-europe.com</v>
      </c>
      <c r="N2863" s="13">
        <v>46212.689386574071</v>
      </c>
      <c r="O2863" s="14" t="str">
        <f>HYPERLINK("https://otsuka-europe-crm.veevavault.com/ui/#object/email_activity__v/V8C000000046135", "EN-002104063")</f>
        <v>EN-002104063</v>
      </c>
    </row>
    <row r="2864" spans="1:15" ht="16" x14ac:dyDescent="0.2">
      <c r="A2864" s="18" t="str">
        <f>HYPERLINK("https://otsuka-europe-crm.veevavault.com/ui/#object/account__v/V4TZ04ASG9629IW", "LIDIA ESTOPIÑAN FORTEA")</f>
        <v>LIDIA ESTOPIÑAN FORTEA</v>
      </c>
      <c r="B2864" s="18" t="str">
        <f>HYPERLINK("https://otsuka-europe-crm.veevavault.com/ui/#object/vcountry__v/VENZ000004SONF5", "ES")</f>
        <v>ES</v>
      </c>
      <c r="C2864" s="20" t="s">
        <v>39</v>
      </c>
      <c r="D286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64" s="22" t="str">
        <f>HYPERLINK("https://otsuka-europe-crm.veevavault.com/ui/#object/sent_email__v/VBL000000032343", "SE-001443064")</f>
        <v>SE-001443064</v>
      </c>
      <c r="F2864" s="25">
        <v>46223.036238425928</v>
      </c>
      <c r="G2864" s="24">
        <v>1</v>
      </c>
      <c r="H2864" s="24">
        <v>1</v>
      </c>
      <c r="I2864" s="24">
        <v>0</v>
      </c>
      <c r="J2864" s="23"/>
      <c r="K2864" s="24">
        <v>0</v>
      </c>
      <c r="L286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64" s="22" t="str">
        <f>HYPERLINK("mailto:ccoll@crm.otsuka-europe.com", "ccoll@crm.otsuka-europe.com")</f>
        <v>ccoll@crm.otsuka-europe.com</v>
      </c>
      <c r="N2864" s="25">
        <v>46212.689386574071</v>
      </c>
      <c r="O2864" s="14" t="str">
        <f>HYPERLINK("https://otsuka-europe-crm.veevavault.com/ui/#object/email_activity__v/V8C000000045393", "EN-002104117")</f>
        <v>EN-002104117</v>
      </c>
    </row>
    <row r="2865" spans="1:15" ht="16" x14ac:dyDescent="0.2">
      <c r="A2865" s="26"/>
      <c r="B2865" s="26"/>
      <c r="C2865" s="26"/>
      <c r="D2865" s="26"/>
      <c r="E2865" s="26"/>
      <c r="F2865" s="26"/>
      <c r="G2865" s="26"/>
      <c r="H2865" s="26"/>
      <c r="I2865" s="26"/>
      <c r="J2865" s="26"/>
      <c r="K2865" s="26"/>
      <c r="L2865" s="26"/>
      <c r="M2865" s="26"/>
      <c r="N2865" s="26"/>
      <c r="O2865" s="14" t="str">
        <f>HYPERLINK("https://otsuka-europe-crm.veevavault.com/ui/#object/email_activity__v/V8C000000046134", "EN-002104062")</f>
        <v>EN-002104062</v>
      </c>
    </row>
    <row r="2866" spans="1:15" ht="16" x14ac:dyDescent="0.2">
      <c r="A2866" s="19"/>
      <c r="B2866" s="19"/>
      <c r="C2866" s="19"/>
      <c r="D2866" s="19"/>
      <c r="E2866" s="19"/>
      <c r="F2866" s="19"/>
      <c r="G2866" s="19"/>
      <c r="H2866" s="19"/>
      <c r="I2866" s="19"/>
      <c r="J2866" s="19"/>
      <c r="K2866" s="19"/>
      <c r="L2866" s="19"/>
      <c r="M2866" s="19"/>
      <c r="N2866" s="19"/>
      <c r="O2866" s="14" t="str">
        <f>HYPERLINK("https://otsuka-europe-crm.veevavault.com/ui/#object/email_activity__v/V8C00000004C078", "EN-002106906")</f>
        <v>EN-002106906</v>
      </c>
    </row>
    <row r="2867" spans="1:15" ht="64" x14ac:dyDescent="0.2">
      <c r="A2867" s="7" t="str">
        <f>HYPERLINK("https://otsuka-europe-crm.veevavault.com/ui/#object/account__v/V4TZ025E880W7DD", "MARIA BELEN BUSSO ALVAREZ")</f>
        <v>MARIA BELEN BUSSO ALVAREZ</v>
      </c>
      <c r="B2867" s="7" t="str">
        <f t="shared" ref="B2867:B2872" si="118">HYPERLINK("https://otsuka-europe-crm.veevavault.com/ui/#object/vcountry__v/VENZ000004SONF5", "ES")</f>
        <v>ES</v>
      </c>
      <c r="C2867" s="8" t="s">
        <v>39</v>
      </c>
      <c r="D2867" s="9" t="str">
        <f t="shared" ref="D2867:D2872" si="119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67" s="10" t="str">
        <f>HYPERLINK("https://otsuka-europe-crm.veevavault.com/ui/#object/sent_email__v/VBL000000032344", "SE-001443065")</f>
        <v>SE-001443065</v>
      </c>
      <c r="F2867" s="11"/>
      <c r="G2867" s="12">
        <v>0</v>
      </c>
      <c r="H2867" s="12">
        <v>0</v>
      </c>
      <c r="I2867" s="12">
        <v>0</v>
      </c>
      <c r="J2867" s="11"/>
      <c r="K2867" s="12">
        <v>0</v>
      </c>
      <c r="L2867" s="10" t="str">
        <f t="shared" ref="L2867:L2872" si="120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67" s="10" t="str">
        <f t="shared" ref="M2867:M2872" si="121">HYPERLINK("mailto:ccoll@crm.otsuka-europe.com", "ccoll@crm.otsuka-europe.com")</f>
        <v>ccoll@crm.otsuka-europe.com</v>
      </c>
      <c r="N2867" s="13">
        <v>46212.689386574071</v>
      </c>
      <c r="O2867" s="14" t="str">
        <f>HYPERLINK("https://otsuka-europe-crm.veevavault.com/ui/#object/email_activity__v/V8C000000046122", "EN-002104047")</f>
        <v>EN-002104047</v>
      </c>
    </row>
    <row r="2868" spans="1:15" ht="64" x14ac:dyDescent="0.2">
      <c r="A2868" s="7" t="str">
        <f>HYPERLINK("https://otsuka-europe-crm.veevavault.com/ui/#object/account__v/V4TZ06G6OB46CMI", "MARIA GALINDO IZQUIERDO")</f>
        <v>MARIA GALINDO IZQUIERDO</v>
      </c>
      <c r="B2868" s="7" t="str">
        <f t="shared" si="118"/>
        <v>ES</v>
      </c>
      <c r="C2868" s="8" t="s">
        <v>39</v>
      </c>
      <c r="D2868" s="9" t="str">
        <f t="shared" si="119"/>
        <v>LUP - VAE Webinar “Lupkynis▼ en la práctica clínica real: más allá de la respuesta renal” - Reuma</v>
      </c>
      <c r="E2868" s="10" t="str">
        <f>HYPERLINK("https://otsuka-europe-crm.veevavault.com/ui/#object/sent_email__v/VBL000000032345", "SE-001443066")</f>
        <v>SE-001443066</v>
      </c>
      <c r="F2868" s="11"/>
      <c r="G2868" s="12">
        <v>0</v>
      </c>
      <c r="H2868" s="12">
        <v>0</v>
      </c>
      <c r="I2868" s="12">
        <v>0</v>
      </c>
      <c r="J2868" s="11"/>
      <c r="K2868" s="12">
        <v>0</v>
      </c>
      <c r="L2868" s="10" t="str">
        <f t="shared" si="120"/>
        <v>LUP - VAE Webinar “Lupkynis▼ en la práctica clínica real: más allá de la respuesta renal” - Reuma</v>
      </c>
      <c r="M2868" s="10" t="str">
        <f t="shared" si="121"/>
        <v>ccoll@crm.otsuka-europe.com</v>
      </c>
      <c r="N2868" s="13">
        <v>46212.689432870371</v>
      </c>
      <c r="O2868" s="14" t="str">
        <f>HYPERLINK("https://otsuka-europe-crm.veevavault.com/ui/#object/email_activity__v/V8C000000046152", "EN-002104080")</f>
        <v>EN-002104080</v>
      </c>
    </row>
    <row r="2869" spans="1:15" ht="64" x14ac:dyDescent="0.2">
      <c r="A2869" s="7" t="str">
        <f>HYPERLINK("https://otsuka-europe-crm.veevavault.com/ui/#object/account__v/V4TZ025E85ANY1R", "ALBERT CASALS URQUIZA")</f>
        <v>ALBERT CASALS URQUIZA</v>
      </c>
      <c r="B2869" s="7" t="str">
        <f t="shared" si="118"/>
        <v>ES</v>
      </c>
      <c r="C2869" s="8" t="s">
        <v>39</v>
      </c>
      <c r="D2869" s="9" t="str">
        <f t="shared" si="119"/>
        <v>LUP - VAE Webinar “Lupkynis▼ en la práctica clínica real: más allá de la respuesta renal” - Reuma</v>
      </c>
      <c r="E2869" s="10" t="str">
        <f>HYPERLINK("https://otsuka-europe-crm.veevavault.com/ui/#object/sent_email__v/VBL000000032346", "SE-001443067")</f>
        <v>SE-001443067</v>
      </c>
      <c r="F2869" s="11"/>
      <c r="G2869" s="12">
        <v>0</v>
      </c>
      <c r="H2869" s="12">
        <v>0</v>
      </c>
      <c r="I2869" s="12">
        <v>0</v>
      </c>
      <c r="J2869" s="11"/>
      <c r="K2869" s="12">
        <v>0</v>
      </c>
      <c r="L2869" s="10" t="str">
        <f t="shared" si="120"/>
        <v>LUP - VAE Webinar “Lupkynis▼ en la práctica clínica real: más allá de la respuesta renal” - Reuma</v>
      </c>
      <c r="M2869" s="10" t="str">
        <f t="shared" si="121"/>
        <v>ccoll@crm.otsuka-europe.com</v>
      </c>
      <c r="N2869" s="13">
        <v>46212.689386574071</v>
      </c>
      <c r="O2869" s="14" t="str">
        <f>HYPERLINK("https://otsuka-europe-crm.veevavault.com/ui/#object/email_activity__v/V8C000000045381", "EN-002104099")</f>
        <v>EN-002104099</v>
      </c>
    </row>
    <row r="2870" spans="1:15" ht="64" x14ac:dyDescent="0.2">
      <c r="A2870" s="7" t="str">
        <f>HYPERLINK("https://otsuka-europe-crm.veevavault.com/ui/#object/account__v/V4TZ025E8413QQX", "ELISABET GARCIA CASARES")</f>
        <v>ELISABET GARCIA CASARES</v>
      </c>
      <c r="B2870" s="7" t="str">
        <f t="shared" si="118"/>
        <v>ES</v>
      </c>
      <c r="C2870" s="8" t="s">
        <v>39</v>
      </c>
      <c r="D2870" s="9" t="str">
        <f t="shared" si="119"/>
        <v>LUP - VAE Webinar “Lupkynis▼ en la práctica clínica real: más allá de la respuesta renal” - Reuma</v>
      </c>
      <c r="E2870" s="10" t="str">
        <f>HYPERLINK("https://otsuka-europe-crm.veevavault.com/ui/#object/sent_email__v/VBL000000032347", "SE-001443068")</f>
        <v>SE-001443068</v>
      </c>
      <c r="F2870" s="11"/>
      <c r="G2870" s="12">
        <v>0</v>
      </c>
      <c r="H2870" s="12">
        <v>0</v>
      </c>
      <c r="I2870" s="12">
        <v>0</v>
      </c>
      <c r="J2870" s="11"/>
      <c r="K2870" s="12">
        <v>0</v>
      </c>
      <c r="L2870" s="10" t="str">
        <f t="shared" si="120"/>
        <v>LUP - VAE Webinar “Lupkynis▼ en la práctica clínica real: más allá de la respuesta renal” - Reuma</v>
      </c>
      <c r="M2870" s="10" t="str">
        <f t="shared" si="121"/>
        <v>ccoll@crm.otsuka-europe.com</v>
      </c>
      <c r="N2870" s="13">
        <v>46212.689386574071</v>
      </c>
      <c r="O2870" s="14" t="str">
        <f>HYPERLINK("https://otsuka-europe-crm.veevavault.com/ui/#object/email_activity__v/V8C000000045380", "EN-002104098")</f>
        <v>EN-002104098</v>
      </c>
    </row>
    <row r="2871" spans="1:15" ht="64" x14ac:dyDescent="0.2">
      <c r="A2871" s="7" t="str">
        <f>HYPERLINK("https://otsuka-europe-crm.veevavault.com/ui/#object/account__v/V4TZ025E85JF1EV", "ORIANA ANGELICA OMAÑA IGLESIAS")</f>
        <v>ORIANA ANGELICA OMAÑA IGLESIAS</v>
      </c>
      <c r="B2871" s="7" t="str">
        <f t="shared" si="118"/>
        <v>ES</v>
      </c>
      <c r="C2871" s="8" t="s">
        <v>39</v>
      </c>
      <c r="D2871" s="9" t="str">
        <f t="shared" si="119"/>
        <v>LUP - VAE Webinar “Lupkynis▼ en la práctica clínica real: más allá de la respuesta renal” - Reuma</v>
      </c>
      <c r="E2871" s="10" t="str">
        <f>HYPERLINK("https://otsuka-europe-crm.veevavault.com/ui/#object/sent_email__v/VBL000000032348", "SE-001443069")</f>
        <v>SE-001443069</v>
      </c>
      <c r="F2871" s="11"/>
      <c r="G2871" s="12">
        <v>0</v>
      </c>
      <c r="H2871" s="12">
        <v>0</v>
      </c>
      <c r="I2871" s="12">
        <v>0</v>
      </c>
      <c r="J2871" s="11"/>
      <c r="K2871" s="12">
        <v>0</v>
      </c>
      <c r="L2871" s="10" t="str">
        <f t="shared" si="120"/>
        <v>LUP - VAE Webinar “Lupkynis▼ en la práctica clínica real: más allá de la respuesta renal” - Reuma</v>
      </c>
      <c r="M2871" s="10" t="str">
        <f t="shared" si="121"/>
        <v>ccoll@crm.otsuka-europe.com</v>
      </c>
      <c r="N2871" s="13">
        <v>46212.689386574071</v>
      </c>
      <c r="O2871" s="14" t="str">
        <f>HYPERLINK("https://otsuka-europe-crm.veevavault.com/ui/#object/email_activity__v/V8C000000046136", "EN-002104064")</f>
        <v>EN-002104064</v>
      </c>
    </row>
    <row r="2872" spans="1:15" ht="16" x14ac:dyDescent="0.2">
      <c r="A2872" s="18" t="str">
        <f>HYPERLINK("https://otsuka-europe-crm.veevavault.com/ui/#object/account__v/V4TZ04ASGAGEXWS", "JOSE ALFREDO GOMEZ PUERTA")</f>
        <v>JOSE ALFREDO GOMEZ PUERTA</v>
      </c>
      <c r="B2872" s="18" t="str">
        <f t="shared" si="118"/>
        <v>ES</v>
      </c>
      <c r="C2872" s="20" t="s">
        <v>39</v>
      </c>
      <c r="D2872" s="21" t="str">
        <f t="shared" si="119"/>
        <v>LUP - VAE Webinar “Lupkynis▼ en la práctica clínica real: más allá de la respuesta renal” - Reuma</v>
      </c>
      <c r="E2872" s="22" t="str">
        <f>HYPERLINK("https://otsuka-europe-crm.veevavault.com/ui/#object/sent_email__v/VBL000000032349", "SE-001443070")</f>
        <v>SE-001443070</v>
      </c>
      <c r="F2872" s="25">
        <v>46212.767824074072</v>
      </c>
      <c r="G2872" s="24">
        <v>1</v>
      </c>
      <c r="H2872" s="24">
        <v>2</v>
      </c>
      <c r="I2872" s="24">
        <v>0</v>
      </c>
      <c r="J2872" s="23"/>
      <c r="K2872" s="24">
        <v>0</v>
      </c>
      <c r="L2872" s="22" t="str">
        <f t="shared" si="120"/>
        <v>LUP - VAE Webinar “Lupkynis▼ en la práctica clínica real: más allá de la respuesta renal” - Reuma</v>
      </c>
      <c r="M2872" s="22" t="str">
        <f t="shared" si="121"/>
        <v>ccoll@crm.otsuka-europe.com</v>
      </c>
      <c r="N2872" s="25">
        <v>46212.689421296294</v>
      </c>
      <c r="O2872" s="14" t="str">
        <f>HYPERLINK("https://otsuka-europe-crm.veevavault.com/ui/#object/email_activity__v/V8C000000046158", "EN-002104086")</f>
        <v>EN-002104086</v>
      </c>
    </row>
    <row r="2873" spans="1:15" ht="16" x14ac:dyDescent="0.2">
      <c r="A2873" s="26"/>
      <c r="B2873" s="26"/>
      <c r="C2873" s="26"/>
      <c r="D2873" s="26"/>
      <c r="E2873" s="26"/>
      <c r="F2873" s="26"/>
      <c r="G2873" s="26"/>
      <c r="H2873" s="26"/>
      <c r="I2873" s="26"/>
      <c r="J2873" s="26"/>
      <c r="K2873" s="26"/>
      <c r="L2873" s="26"/>
      <c r="M2873" s="26"/>
      <c r="N2873" s="26"/>
      <c r="O2873" s="14" t="str">
        <f>HYPERLINK("https://otsuka-europe-crm.veevavault.com/ui/#object/email_activity__v/V8C000000046198", "EN-002104157")</f>
        <v>EN-002104157</v>
      </c>
    </row>
    <row r="2874" spans="1:15" ht="16" x14ac:dyDescent="0.2">
      <c r="A2874" s="19"/>
      <c r="B2874" s="19"/>
      <c r="C2874" s="19"/>
      <c r="D2874" s="19"/>
      <c r="E2874" s="19"/>
      <c r="F2874" s="19"/>
      <c r="G2874" s="19"/>
      <c r="H2874" s="19"/>
      <c r="I2874" s="19"/>
      <c r="J2874" s="19"/>
      <c r="K2874" s="19"/>
      <c r="L2874" s="19"/>
      <c r="M2874" s="19"/>
      <c r="N2874" s="19"/>
      <c r="O2874" s="14" t="str">
        <f>HYPERLINK("https://otsuka-europe-crm.veevavault.com/ui/#object/email_activity__v/V8C000000046199", "EN-002104158")</f>
        <v>EN-002104158</v>
      </c>
    </row>
    <row r="2875" spans="1:15" ht="64" x14ac:dyDescent="0.2">
      <c r="A2875" s="7" t="str">
        <f>HYPERLINK("https://otsuka-europe-crm.veevavault.com/ui/#object/account__v/V4TZ04ASGCDJBDQ", "ELENA LEONOR SIRVENT ALIERTA")</f>
        <v>ELENA LEONOR SIRVENT ALIERTA</v>
      </c>
      <c r="B2875" s="7" t="str">
        <f>HYPERLINK("https://otsuka-europe-crm.veevavault.com/ui/#object/vcountry__v/VENZ000004SONF5", "ES")</f>
        <v>ES</v>
      </c>
      <c r="C2875" s="8" t="s">
        <v>39</v>
      </c>
      <c r="D287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75" s="10" t="str">
        <f>HYPERLINK("https://otsuka-europe-crm.veevavault.com/ui/#object/sent_email__v/VBL000000032350", "SE-001443071")</f>
        <v>SE-001443071</v>
      </c>
      <c r="F2875" s="11"/>
      <c r="G2875" s="12">
        <v>0</v>
      </c>
      <c r="H2875" s="12">
        <v>0</v>
      </c>
      <c r="I2875" s="12">
        <v>0</v>
      </c>
      <c r="J2875" s="11"/>
      <c r="K2875" s="12">
        <v>0</v>
      </c>
      <c r="L287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75" s="10" t="str">
        <f>HYPERLINK("mailto:ccoll@crm.otsuka-europe.com", "ccoll@crm.otsuka-europe.com")</f>
        <v>ccoll@crm.otsuka-europe.com</v>
      </c>
      <c r="N2875" s="13">
        <v>46212.689386574071</v>
      </c>
      <c r="O2875" s="14" t="str">
        <f>HYPERLINK("https://otsuka-europe-crm.veevavault.com/ui/#object/email_activity__v/V8C000000045377", "EN-002104058")</f>
        <v>EN-002104058</v>
      </c>
    </row>
    <row r="2876" spans="1:15" ht="64" x14ac:dyDescent="0.2">
      <c r="A2876" s="7" t="str">
        <f>HYPERLINK("https://otsuka-europe-crm.veevavault.com/ui/#object/account__v/V4TZ06G6O9VLJFM", "BEATRIZ FRADE SOSA")</f>
        <v>BEATRIZ FRADE SOSA</v>
      </c>
      <c r="B2876" s="7" t="str">
        <f>HYPERLINK("https://otsuka-europe-crm.veevavault.com/ui/#object/vcountry__v/VENZ000004SONF5", "ES")</f>
        <v>ES</v>
      </c>
      <c r="C2876" s="8" t="s">
        <v>39</v>
      </c>
      <c r="D287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76" s="10" t="str">
        <f>HYPERLINK("https://otsuka-europe-crm.veevavault.com/ui/#object/sent_email__v/VBL000000032351", "SE-001443072")</f>
        <v>SE-001443072</v>
      </c>
      <c r="F2876" s="11"/>
      <c r="G2876" s="12">
        <v>0</v>
      </c>
      <c r="H2876" s="12">
        <v>0</v>
      </c>
      <c r="I2876" s="12">
        <v>0</v>
      </c>
      <c r="J2876" s="11"/>
      <c r="K2876" s="12">
        <v>0</v>
      </c>
      <c r="L287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76" s="10" t="str">
        <f>HYPERLINK("mailto:ccoll@crm.otsuka-europe.com", "ccoll@crm.otsuka-europe.com")</f>
        <v>ccoll@crm.otsuka-europe.com</v>
      </c>
      <c r="N2876" s="13">
        <v>46212.689363425925</v>
      </c>
      <c r="O2876" s="14" t="str">
        <f>HYPERLINK("https://otsuka-europe-crm.veevavault.com/ui/#object/email_activity__v/V8C000000046127", "EN-002104052")</f>
        <v>EN-002104052</v>
      </c>
    </row>
    <row r="2877" spans="1:15" ht="64" x14ac:dyDescent="0.2">
      <c r="A2877" s="7" t="str">
        <f>HYPERLINK("https://otsuka-europe-crm.veevavault.com/ui/#object/account__v/V4TZ025E83P7WIE", "ELENA RIERA ALONSO")</f>
        <v>ELENA RIERA ALONSO</v>
      </c>
      <c r="B2877" s="7" t="str">
        <f>HYPERLINK("https://otsuka-europe-crm.veevavault.com/ui/#object/vcountry__v/VENZ000004SONF5", "ES")</f>
        <v>ES</v>
      </c>
      <c r="C2877" s="8" t="s">
        <v>39</v>
      </c>
      <c r="D287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77" s="10" t="str">
        <f>HYPERLINK("https://otsuka-europe-crm.veevavault.com/ui/#object/sent_email__v/VBL000000032352", "SE-001443073")</f>
        <v>SE-001443073</v>
      </c>
      <c r="F2877" s="11"/>
      <c r="G2877" s="12">
        <v>0</v>
      </c>
      <c r="H2877" s="12">
        <v>0</v>
      </c>
      <c r="I2877" s="12">
        <v>0</v>
      </c>
      <c r="J2877" s="11"/>
      <c r="K2877" s="12">
        <v>0</v>
      </c>
      <c r="L287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77" s="10" t="str">
        <f>HYPERLINK("mailto:ccoll@crm.otsuka-europe.com", "ccoll@crm.otsuka-europe.com")</f>
        <v>ccoll@crm.otsuka-europe.com</v>
      </c>
      <c r="N2877" s="13">
        <v>46212.689421296294</v>
      </c>
      <c r="O2877" s="14" t="str">
        <f>HYPERLINK("https://otsuka-europe-crm.veevavault.com/ui/#object/email_activity__v/V8C000000046163", "EN-002104091")</f>
        <v>EN-002104091</v>
      </c>
    </row>
    <row r="2878" spans="1:15" ht="16" x14ac:dyDescent="0.2">
      <c r="A2878" s="18" t="str">
        <f>HYPERLINK("https://otsuka-europe-crm.veevavault.com/ui/#object/account__v/V4TZ04ASGAP2CFD", "ROBERTO FRANCO GUMUCIO SANGUINO")</f>
        <v>ROBERTO FRANCO GUMUCIO SANGUINO</v>
      </c>
      <c r="B2878" s="18" t="str">
        <f>HYPERLINK("https://otsuka-europe-crm.veevavault.com/ui/#object/vcountry__v/VENZ000004SONF5", "ES")</f>
        <v>ES</v>
      </c>
      <c r="C2878" s="20" t="s">
        <v>39</v>
      </c>
      <c r="D287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78" s="22" t="str">
        <f>HYPERLINK("https://otsuka-europe-crm.veevavault.com/ui/#object/sent_email__v/VBL000000032353", "SE-001443074")</f>
        <v>SE-001443074</v>
      </c>
      <c r="F2878" s="25">
        <v>46212.700601851851</v>
      </c>
      <c r="G2878" s="24">
        <v>1</v>
      </c>
      <c r="H2878" s="24">
        <v>1</v>
      </c>
      <c r="I2878" s="24">
        <v>0</v>
      </c>
      <c r="J2878" s="23"/>
      <c r="K2878" s="24">
        <v>0</v>
      </c>
      <c r="L287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78" s="22" t="str">
        <f>HYPERLINK("mailto:ccoll@crm.otsuka-europe.com", "ccoll@crm.otsuka-europe.com")</f>
        <v>ccoll@crm.otsuka-europe.com</v>
      </c>
      <c r="N2878" s="25">
        <v>46212.689375000002</v>
      </c>
      <c r="O2878" s="14" t="str">
        <f>HYPERLINK("https://otsuka-europe-crm.veevavault.com/ui/#object/email_activity__v/V8C000000046165", "EN-002104093")</f>
        <v>EN-002104093</v>
      </c>
    </row>
    <row r="2879" spans="1:15" ht="16" x14ac:dyDescent="0.2">
      <c r="A2879" s="19"/>
      <c r="B2879" s="19"/>
      <c r="C2879" s="19"/>
      <c r="D2879" s="19"/>
      <c r="E2879" s="19"/>
      <c r="F2879" s="19"/>
      <c r="G2879" s="19"/>
      <c r="H2879" s="19"/>
      <c r="I2879" s="19"/>
      <c r="J2879" s="19"/>
      <c r="K2879" s="19"/>
      <c r="L2879" s="19"/>
      <c r="M2879" s="19"/>
      <c r="N2879" s="19"/>
      <c r="O2879" s="14" t="str">
        <f>HYPERLINK("https://otsuka-europe-crm.veevavault.com/ui/#object/email_activity__v/V8C000000046175", "EN-002104119")</f>
        <v>EN-002104119</v>
      </c>
    </row>
    <row r="2880" spans="1:15" ht="64" x14ac:dyDescent="0.2">
      <c r="A2880" s="7" t="str">
        <f>HYPERLINK("https://otsuka-europe-crm.veevavault.com/ui/#object/account__v/V4TZ025E82X32V4", "MARIA ARANTZAZU CONESA MATEOS")</f>
        <v>MARIA ARANTZAZU CONESA MATEOS</v>
      </c>
      <c r="B2880" s="7" t="str">
        <f t="shared" ref="B2880:B2887" si="122">HYPERLINK("https://otsuka-europe-crm.veevavault.com/ui/#object/vcountry__v/VENZ000004SONF5", "ES")</f>
        <v>ES</v>
      </c>
      <c r="C2880" s="8" t="s">
        <v>39</v>
      </c>
      <c r="D2880" s="9" t="str">
        <f t="shared" ref="D2880:D2887" si="123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80" s="10" t="str">
        <f>HYPERLINK("https://otsuka-europe-crm.veevavault.com/ui/#object/sent_email__v/VBL000000032354", "SE-001443075")</f>
        <v>SE-001443075</v>
      </c>
      <c r="F2880" s="11"/>
      <c r="G2880" s="12">
        <v>0</v>
      </c>
      <c r="H2880" s="12">
        <v>0</v>
      </c>
      <c r="I2880" s="12">
        <v>0</v>
      </c>
      <c r="J2880" s="11"/>
      <c r="K2880" s="12">
        <v>0</v>
      </c>
      <c r="L2880" s="10" t="str">
        <f t="shared" ref="L2880:L2887" si="124"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80" s="10" t="str">
        <f t="shared" ref="M2880:M2887" si="125">HYPERLINK("mailto:ccoll@crm.otsuka-europe.com", "ccoll@crm.otsuka-europe.com")</f>
        <v>ccoll@crm.otsuka-europe.com</v>
      </c>
      <c r="N2880" s="13">
        <v>46212.689409722225</v>
      </c>
      <c r="O2880" s="14" t="str">
        <f>HYPERLINK("https://otsuka-europe-crm.veevavault.com/ui/#object/email_activity__v/V8C000000046167", "EN-002104095")</f>
        <v>EN-002104095</v>
      </c>
    </row>
    <row r="2881" spans="1:15" ht="64" x14ac:dyDescent="0.2">
      <c r="A2881" s="7" t="str">
        <f>HYPERLINK("https://otsuka-europe-crm.veevavault.com/ui/#object/account__v/V4TZ025E85SK79C", "JULIA BERNARDEZ MORENO")</f>
        <v>JULIA BERNARDEZ MORENO</v>
      </c>
      <c r="B2881" s="7" t="str">
        <f t="shared" si="122"/>
        <v>ES</v>
      </c>
      <c r="C2881" s="8" t="s">
        <v>39</v>
      </c>
      <c r="D2881" s="9" t="str">
        <f t="shared" si="123"/>
        <v>LUP - VAE Webinar “Lupkynis▼ en la práctica clínica real: más allá de la respuesta renal” - Reuma</v>
      </c>
      <c r="E2881" s="10" t="str">
        <f>HYPERLINK("https://otsuka-europe-crm.veevavault.com/ui/#object/sent_email__v/VBL000000032355", "SE-001443076")</f>
        <v>SE-001443076</v>
      </c>
      <c r="F2881" s="11"/>
      <c r="G2881" s="12">
        <v>0</v>
      </c>
      <c r="H2881" s="12">
        <v>0</v>
      </c>
      <c r="I2881" s="12">
        <v>0</v>
      </c>
      <c r="J2881" s="11"/>
      <c r="K2881" s="12">
        <v>0</v>
      </c>
      <c r="L2881" s="10" t="str">
        <f t="shared" si="124"/>
        <v>LUP - VAE Webinar “Lupkynis▼ en la práctica clínica real: más allá de la respuesta renal” - Reuma</v>
      </c>
      <c r="M2881" s="10" t="str">
        <f t="shared" si="125"/>
        <v>ccoll@crm.otsuka-europe.com</v>
      </c>
      <c r="N2881" s="13">
        <v>46212.689363425925</v>
      </c>
      <c r="O2881" s="14" t="str">
        <f>HYPERLINK("https://otsuka-europe-crm.veevavault.com/ui/#object/email_activity__v/V8C000000045374", "EN-002104044")</f>
        <v>EN-002104044</v>
      </c>
    </row>
    <row r="2882" spans="1:15" ht="64" x14ac:dyDescent="0.2">
      <c r="A2882" s="7" t="str">
        <f>HYPERLINK("https://otsuka-europe-crm.veevavault.com/ui/#object/account__v/V4TZ025E83E49UY", "KATERINE FABIOLA LOPEZ GLORIA")</f>
        <v>KATERINE FABIOLA LOPEZ GLORIA</v>
      </c>
      <c r="B2882" s="7" t="str">
        <f t="shared" si="122"/>
        <v>ES</v>
      </c>
      <c r="C2882" s="8" t="s">
        <v>39</v>
      </c>
      <c r="D2882" s="9" t="str">
        <f t="shared" si="123"/>
        <v>LUP - VAE Webinar “Lupkynis▼ en la práctica clínica real: más allá de la respuesta renal” - Reuma</v>
      </c>
      <c r="E2882" s="10" t="str">
        <f>HYPERLINK("https://otsuka-europe-crm.veevavault.com/ui/#object/sent_email__v/VBL000000032356", "SE-001443077")</f>
        <v>SE-001443077</v>
      </c>
      <c r="F2882" s="11"/>
      <c r="G2882" s="12">
        <v>0</v>
      </c>
      <c r="H2882" s="12">
        <v>0</v>
      </c>
      <c r="I2882" s="12">
        <v>0</v>
      </c>
      <c r="J2882" s="11"/>
      <c r="K2882" s="12">
        <v>0</v>
      </c>
      <c r="L2882" s="10" t="str">
        <f t="shared" si="124"/>
        <v>LUP - VAE Webinar “Lupkynis▼ en la práctica clínica real: más allá de la respuesta renal” - Reuma</v>
      </c>
      <c r="M2882" s="10" t="str">
        <f t="shared" si="125"/>
        <v>ccoll@crm.otsuka-europe.com</v>
      </c>
      <c r="N2882" s="13">
        <v>46212.689363425925</v>
      </c>
      <c r="O2882" s="14" t="str">
        <f>HYPERLINK("https://otsuka-europe-crm.veevavault.com/ui/#object/email_activity__v/V8C000000045369", "EN-002104039")</f>
        <v>EN-002104039</v>
      </c>
    </row>
    <row r="2883" spans="1:15" ht="64" x14ac:dyDescent="0.2">
      <c r="A2883" s="7" t="str">
        <f>HYPERLINK("https://otsuka-europe-crm.veevavault.com/ui/#object/account__v/V4TZ025E86G5XX5", "PATRICIA MOYA ALVARADO")</f>
        <v>PATRICIA MOYA ALVARADO</v>
      </c>
      <c r="B2883" s="7" t="str">
        <f t="shared" si="122"/>
        <v>ES</v>
      </c>
      <c r="C2883" s="8" t="s">
        <v>39</v>
      </c>
      <c r="D2883" s="9" t="str">
        <f t="shared" si="123"/>
        <v>LUP - VAE Webinar “Lupkynis▼ en la práctica clínica real: más allá de la respuesta renal” - Reuma</v>
      </c>
      <c r="E2883" s="10" t="str">
        <f>HYPERLINK("https://otsuka-europe-crm.veevavault.com/ui/#object/sent_email__v/VBL000000032357", "SE-001443078")</f>
        <v>SE-001443078</v>
      </c>
      <c r="F2883" s="11"/>
      <c r="G2883" s="12">
        <v>0</v>
      </c>
      <c r="H2883" s="12">
        <v>0</v>
      </c>
      <c r="I2883" s="12">
        <v>0</v>
      </c>
      <c r="J2883" s="11"/>
      <c r="K2883" s="12">
        <v>0</v>
      </c>
      <c r="L2883" s="10" t="str">
        <f t="shared" si="124"/>
        <v>LUP - VAE Webinar “Lupkynis▼ en la práctica clínica real: más allá de la respuesta renal” - Reuma</v>
      </c>
      <c r="M2883" s="10" t="str">
        <f t="shared" si="125"/>
        <v>ccoll@crm.otsuka-europe.com</v>
      </c>
      <c r="N2883" s="13">
        <v>46212.689363425925</v>
      </c>
      <c r="O2883" s="14" t="str">
        <f>HYPERLINK("https://otsuka-europe-crm.veevavault.com/ui/#object/email_activity__v/V8C000000046128", "EN-002104053")</f>
        <v>EN-002104053</v>
      </c>
    </row>
    <row r="2884" spans="1:15" ht="64" x14ac:dyDescent="0.2">
      <c r="A2884" s="7" t="str">
        <f>HYPERLINK("https://otsuka-europe-crm.veevavault.com/ui/#object/account__v/V4TZ04ASG9HF79W", "ANA URRUTICOECHEA ARANA")</f>
        <v>ANA URRUTICOECHEA ARANA</v>
      </c>
      <c r="B2884" s="7" t="str">
        <f t="shared" si="122"/>
        <v>ES</v>
      </c>
      <c r="C2884" s="8" t="s">
        <v>39</v>
      </c>
      <c r="D2884" s="9" t="str">
        <f t="shared" si="123"/>
        <v>LUP - VAE Webinar “Lupkynis▼ en la práctica clínica real: más allá de la respuesta renal” - Reuma</v>
      </c>
      <c r="E2884" s="10" t="str">
        <f>HYPERLINK("https://otsuka-europe-crm.veevavault.com/ui/#object/sent_email__v/VBL000000032358", "SE-001443079")</f>
        <v>SE-001443079</v>
      </c>
      <c r="F2884" s="11"/>
      <c r="G2884" s="12">
        <v>0</v>
      </c>
      <c r="H2884" s="12">
        <v>0</v>
      </c>
      <c r="I2884" s="12">
        <v>0</v>
      </c>
      <c r="J2884" s="11"/>
      <c r="K2884" s="12">
        <v>0</v>
      </c>
      <c r="L2884" s="10" t="str">
        <f t="shared" si="124"/>
        <v>LUP - VAE Webinar “Lupkynis▼ en la práctica clínica real: más allá de la respuesta renal” - Reuma</v>
      </c>
      <c r="M2884" s="10" t="str">
        <f t="shared" si="125"/>
        <v>ccoll@crm.otsuka-europe.com</v>
      </c>
      <c r="N2884" s="13">
        <v>46212.689363425925</v>
      </c>
      <c r="O2884" s="14" t="str">
        <f>HYPERLINK("https://otsuka-europe-crm.veevavault.com/ui/#object/email_activity__v/V8C000000045368", "EN-002104038")</f>
        <v>EN-002104038</v>
      </c>
    </row>
    <row r="2885" spans="1:15" ht="64" x14ac:dyDescent="0.2">
      <c r="A2885" s="7" t="str">
        <f>HYPERLINK("https://otsuka-europe-crm.veevavault.com/ui/#object/account__v/V4TZ025E83ZVCG2", "LIDIA DE PRADO PEÑA")</f>
        <v>LIDIA DE PRADO PEÑA</v>
      </c>
      <c r="B2885" s="7" t="str">
        <f t="shared" si="122"/>
        <v>ES</v>
      </c>
      <c r="C2885" s="8" t="s">
        <v>39</v>
      </c>
      <c r="D2885" s="9" t="str">
        <f t="shared" si="123"/>
        <v>LUP - VAE Webinar “Lupkynis▼ en la práctica clínica real: más allá de la respuesta renal” - Reuma</v>
      </c>
      <c r="E2885" s="10" t="str">
        <f>HYPERLINK("https://otsuka-europe-crm.veevavault.com/ui/#object/sent_email__v/VBL000000032359", "SE-001443080")</f>
        <v>SE-001443080</v>
      </c>
      <c r="F2885" s="11"/>
      <c r="G2885" s="12">
        <v>0</v>
      </c>
      <c r="H2885" s="12">
        <v>0</v>
      </c>
      <c r="I2885" s="12">
        <v>0</v>
      </c>
      <c r="J2885" s="11"/>
      <c r="K2885" s="12">
        <v>0</v>
      </c>
      <c r="L2885" s="10" t="str">
        <f t="shared" si="124"/>
        <v>LUP - VAE Webinar “Lupkynis▼ en la práctica clínica real: más allá de la respuesta renal” - Reuma</v>
      </c>
      <c r="M2885" s="10" t="str">
        <f t="shared" si="125"/>
        <v>ccoll@crm.otsuka-europe.com</v>
      </c>
      <c r="N2885" s="13">
        <v>46212.689363425925</v>
      </c>
      <c r="O2885" s="14" t="str">
        <f>HYPERLINK("https://otsuka-europe-crm.veevavault.com/ui/#object/email_activity__v/V8C000000046141", "EN-002104069")</f>
        <v>EN-002104069</v>
      </c>
    </row>
    <row r="2886" spans="1:15" ht="64" x14ac:dyDescent="0.2">
      <c r="A2886" s="7" t="str">
        <f>HYPERLINK("https://otsuka-europe-crm.veevavault.com/ui/#object/account__v/V4TZ04ASGEBWRWC", "PAULA VALENTINA ESTRADA ALARCON")</f>
        <v>PAULA VALENTINA ESTRADA ALARCON</v>
      </c>
      <c r="B2886" s="7" t="str">
        <f t="shared" si="122"/>
        <v>ES</v>
      </c>
      <c r="C2886" s="8" t="s">
        <v>39</v>
      </c>
      <c r="D2886" s="9" t="str">
        <f t="shared" si="123"/>
        <v>LUP - VAE Webinar “Lupkynis▼ en la práctica clínica real: más allá de la respuesta renal” - Reuma</v>
      </c>
      <c r="E2886" s="10" t="str">
        <f>HYPERLINK("https://otsuka-europe-crm.veevavault.com/ui/#object/sent_email__v/VBL000000032360", "SE-001443081")</f>
        <v>SE-001443081</v>
      </c>
      <c r="F2886" s="11"/>
      <c r="G2886" s="12">
        <v>0</v>
      </c>
      <c r="H2886" s="12">
        <v>0</v>
      </c>
      <c r="I2886" s="12">
        <v>0</v>
      </c>
      <c r="J2886" s="11"/>
      <c r="K2886" s="12">
        <v>0</v>
      </c>
      <c r="L2886" s="10" t="str">
        <f t="shared" si="124"/>
        <v>LUP - VAE Webinar “Lupkynis▼ en la práctica clínica real: más allá de la respuesta renal” - Reuma</v>
      </c>
      <c r="M2886" s="10" t="str">
        <f t="shared" si="125"/>
        <v>ccoll@crm.otsuka-europe.com</v>
      </c>
      <c r="N2886" s="13">
        <v>46212.689386574071</v>
      </c>
      <c r="O2886" s="14" t="str">
        <f>HYPERLINK("https://otsuka-europe-crm.veevavault.com/ui/#object/email_activity__v/V8C000000046130", "EN-002104055")</f>
        <v>EN-002104055</v>
      </c>
    </row>
    <row r="2887" spans="1:15" ht="16" x14ac:dyDescent="0.2">
      <c r="A2887" s="18" t="str">
        <f>HYPERLINK("https://otsuka-europe-crm.veevavault.com/ui/#object/account__v/V4TZ04ASGB4TQAO", "SILVIA GARCIA CIRERA")</f>
        <v>SILVIA GARCIA CIRERA</v>
      </c>
      <c r="B2887" s="18" t="str">
        <f t="shared" si="122"/>
        <v>ES</v>
      </c>
      <c r="C2887" s="20" t="s">
        <v>39</v>
      </c>
      <c r="D2887" s="21" t="str">
        <f t="shared" si="123"/>
        <v>LUP - VAE Webinar “Lupkynis▼ en la práctica clínica real: más allá de la respuesta renal” - Reuma</v>
      </c>
      <c r="E2887" s="22" t="str">
        <f>HYPERLINK("https://otsuka-europe-crm.veevavault.com/ui/#object/sent_email__v/VBL000000032361", "SE-001443082")</f>
        <v>SE-001443082</v>
      </c>
      <c r="F2887" s="23"/>
      <c r="G2887" s="24">
        <v>0</v>
      </c>
      <c r="H2887" s="24">
        <v>0</v>
      </c>
      <c r="I2887" s="24">
        <v>0</v>
      </c>
      <c r="J2887" s="23"/>
      <c r="K2887" s="24">
        <v>0</v>
      </c>
      <c r="L2887" s="22" t="str">
        <f t="shared" si="124"/>
        <v>LUP - VAE Webinar “Lupkynis▼ en la práctica clínica real: más allá de la respuesta renal” - Reuma</v>
      </c>
      <c r="M2887" s="22" t="str">
        <f t="shared" si="125"/>
        <v>ccoll@crm.otsuka-europe.com</v>
      </c>
      <c r="N2887" s="25">
        <v>46212.689386574071</v>
      </c>
      <c r="O2887" s="14" t="str">
        <f>HYPERLINK("https://otsuka-europe-crm.veevavault.com/ui/#object/email_activity__v/V8C000000046120", "EN-002104045")</f>
        <v>EN-002104045</v>
      </c>
    </row>
    <row r="2888" spans="1:15" ht="16" x14ac:dyDescent="0.2">
      <c r="A2888" s="19"/>
      <c r="B2888" s="19"/>
      <c r="C2888" s="19"/>
      <c r="D2888" s="19"/>
      <c r="E2888" s="19"/>
      <c r="F2888" s="19"/>
      <c r="G2888" s="19"/>
      <c r="H2888" s="19"/>
      <c r="I2888" s="19"/>
      <c r="J2888" s="19"/>
      <c r="K2888" s="19"/>
      <c r="L2888" s="19"/>
      <c r="M2888" s="19"/>
      <c r="N2888" s="19"/>
      <c r="O2888" s="14" t="str">
        <f>HYPERLINK("https://otsuka-europe-crm.veevavault.com/ui/#object/email_activity__v/V8C000000049668", "EN-002106165")</f>
        <v>EN-002106165</v>
      </c>
    </row>
    <row r="2889" spans="1:15" ht="64" x14ac:dyDescent="0.2">
      <c r="A2889" s="7" t="str">
        <f>HYPERLINK("https://otsuka-europe-crm.veevavault.com/ui/#object/account__v/V4TZ04ASGCDLBBL", "SAMUEL HERNANDEZ BALDIZON")</f>
        <v>SAMUEL HERNANDEZ BALDIZON</v>
      </c>
      <c r="B2889" s="7" t="str">
        <f>HYPERLINK("https://otsuka-europe-crm.veevavault.com/ui/#object/vcountry__v/VENZ000004SONF5", "ES")</f>
        <v>ES</v>
      </c>
      <c r="C2889" s="8" t="s">
        <v>39</v>
      </c>
      <c r="D288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89" s="10" t="str">
        <f>HYPERLINK("https://otsuka-europe-crm.veevavault.com/ui/#object/sent_email__v/VBL000000032362", "SE-001443083")</f>
        <v>SE-001443083</v>
      </c>
      <c r="F2889" s="11"/>
      <c r="G2889" s="12">
        <v>0</v>
      </c>
      <c r="H2889" s="12">
        <v>0</v>
      </c>
      <c r="I2889" s="12">
        <v>0</v>
      </c>
      <c r="J2889" s="11"/>
      <c r="K2889" s="12">
        <v>0</v>
      </c>
      <c r="L288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89" s="10" t="str">
        <f>HYPERLINK("mailto:ccoll@crm.otsuka-europe.com", "ccoll@crm.otsuka-europe.com")</f>
        <v>ccoll@crm.otsuka-europe.com</v>
      </c>
      <c r="N2889" s="13">
        <v>46212.689421296294</v>
      </c>
      <c r="O2889" s="14" t="str">
        <f>HYPERLINK("https://otsuka-europe-crm.veevavault.com/ui/#object/email_activity__v/V8C000000046149", "EN-002104077")</f>
        <v>EN-002104077</v>
      </c>
    </row>
    <row r="2890" spans="1:15" ht="16" x14ac:dyDescent="0.2">
      <c r="A2890" s="18" t="str">
        <f>HYPERLINK("https://otsuka-europe-crm.veevavault.com/ui/#object/account__v/V4TZ04ASGABZIUJ", "MERITXELL SALLES LIZARZABURU")</f>
        <v>MERITXELL SALLES LIZARZABURU</v>
      </c>
      <c r="B2890" s="18" t="str">
        <f>HYPERLINK("https://otsuka-europe-crm.veevavault.com/ui/#object/vcountry__v/VENZ000004SONF5", "ES")</f>
        <v>ES</v>
      </c>
      <c r="C2890" s="20" t="s">
        <v>39</v>
      </c>
      <c r="D289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0" s="22" t="str">
        <f>HYPERLINK("https://otsuka-europe-crm.veevavault.com/ui/#object/sent_email__v/VBL000000032363", "SE-001443084")</f>
        <v>SE-001443084</v>
      </c>
      <c r="F2890" s="23"/>
      <c r="G2890" s="24">
        <v>0</v>
      </c>
      <c r="H2890" s="24">
        <v>0</v>
      </c>
      <c r="I2890" s="24">
        <v>0</v>
      </c>
      <c r="J2890" s="23"/>
      <c r="K2890" s="24">
        <v>0</v>
      </c>
      <c r="L289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0" s="22" t="str">
        <f>HYPERLINK("mailto:ccoll@crm.otsuka-europe.com", "ccoll@crm.otsuka-europe.com")</f>
        <v>ccoll@crm.otsuka-europe.com</v>
      </c>
      <c r="N2890" s="25">
        <v>46212.689386574071</v>
      </c>
      <c r="O2890" s="14" t="str">
        <f>HYPERLINK("https://otsuka-europe-crm.veevavault.com/ui/#object/email_activity__v/V8C000000045406", "EN-002104153")</f>
        <v>EN-002104153</v>
      </c>
    </row>
    <row r="2891" spans="1:15" ht="16" x14ac:dyDescent="0.2">
      <c r="A2891" s="19"/>
      <c r="B2891" s="19"/>
      <c r="C2891" s="19"/>
      <c r="D2891" s="19"/>
      <c r="E2891" s="19"/>
      <c r="F2891" s="19"/>
      <c r="G2891" s="19"/>
      <c r="H2891" s="19"/>
      <c r="I2891" s="19"/>
      <c r="J2891" s="19"/>
      <c r="K2891" s="19"/>
      <c r="L2891" s="19"/>
      <c r="M2891" s="19"/>
      <c r="N2891" s="19"/>
      <c r="O2891" s="14" t="str">
        <f>HYPERLINK("https://otsuka-europe-crm.veevavault.com/ui/#object/email_activity__v/V8C000000046142", "EN-002104070")</f>
        <v>EN-002104070</v>
      </c>
    </row>
    <row r="2892" spans="1:15" ht="64" x14ac:dyDescent="0.2">
      <c r="A2892" s="7" t="str">
        <f>HYPERLINK("https://otsuka-europe-crm.veevavault.com/ui/#object/account__v/V4TZ04ASGC2GZN2", "DELIA TAVERNER TORRENT")</f>
        <v>DELIA TAVERNER TORRENT</v>
      </c>
      <c r="B2892" s="7" t="str">
        <f>HYPERLINK("https://otsuka-europe-crm.veevavault.com/ui/#object/vcountry__v/VENZ000004SONF5", "ES")</f>
        <v>ES</v>
      </c>
      <c r="C2892" s="8" t="s">
        <v>39</v>
      </c>
      <c r="D289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2" s="10" t="str">
        <f>HYPERLINK("https://otsuka-europe-crm.veevavault.com/ui/#object/sent_email__v/VBL000000032364", "SE-001443085")</f>
        <v>SE-001443085</v>
      </c>
      <c r="F2892" s="11"/>
      <c r="G2892" s="12">
        <v>0</v>
      </c>
      <c r="H2892" s="12">
        <v>0</v>
      </c>
      <c r="I2892" s="12">
        <v>0</v>
      </c>
      <c r="J2892" s="11"/>
      <c r="K2892" s="12">
        <v>0</v>
      </c>
      <c r="L289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2" s="10" t="str">
        <f>HYPERLINK("mailto:ccoll@crm.otsuka-europe.com", "ccoll@crm.otsuka-europe.com")</f>
        <v>ccoll@crm.otsuka-europe.com</v>
      </c>
      <c r="N2892" s="13">
        <v>46212.689386574071</v>
      </c>
      <c r="O2892" s="14" t="str">
        <f>HYPERLINK("https://otsuka-europe-crm.veevavault.com/ui/#object/email_activity__v/V8C000000046126", "EN-002104051")</f>
        <v>EN-002104051</v>
      </c>
    </row>
    <row r="2893" spans="1:15" ht="16" x14ac:dyDescent="0.2">
      <c r="A2893" s="18" t="str">
        <f>HYPERLINK("https://otsuka-europe-crm.veevavault.com/ui/#object/account__v/V4TZ025E84CL45I", "SERGIO ORDOÑEZ PALAU")</f>
        <v>SERGIO ORDOÑEZ PALAU</v>
      </c>
      <c r="B2893" s="18" t="str">
        <f>HYPERLINK("https://otsuka-europe-crm.veevavault.com/ui/#object/vcountry__v/VENZ000004SONF5", "ES")</f>
        <v>ES</v>
      </c>
      <c r="C2893" s="20" t="s">
        <v>39</v>
      </c>
      <c r="D289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3" s="22" t="str">
        <f>HYPERLINK("https://otsuka-europe-crm.veevavault.com/ui/#object/sent_email__v/VBL000000032365", "SE-001443086")</f>
        <v>SE-001443086</v>
      </c>
      <c r="F2893" s="23"/>
      <c r="G2893" s="24">
        <v>0</v>
      </c>
      <c r="H2893" s="24">
        <v>0</v>
      </c>
      <c r="I2893" s="24">
        <v>0</v>
      </c>
      <c r="J2893" s="23"/>
      <c r="K2893" s="24">
        <v>0</v>
      </c>
      <c r="L289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3" s="22" t="str">
        <f>HYPERLINK("mailto:ccoll@crm.otsuka-europe.com", "ccoll@crm.otsuka-europe.com")</f>
        <v>ccoll@crm.otsuka-europe.com</v>
      </c>
      <c r="N2893" s="25">
        <v>46212.689409722225</v>
      </c>
      <c r="O2893" s="14" t="str">
        <f>HYPERLINK("https://otsuka-europe-crm.veevavault.com/ui/#object/email_activity__v/V8C000000045409", "EN-002104159")</f>
        <v>EN-002104159</v>
      </c>
    </row>
    <row r="2894" spans="1:15" ht="16" x14ac:dyDescent="0.2">
      <c r="A2894" s="19"/>
      <c r="B2894" s="19"/>
      <c r="C2894" s="19"/>
      <c r="D2894" s="19"/>
      <c r="E2894" s="19"/>
      <c r="F2894" s="19"/>
      <c r="G2894" s="19"/>
      <c r="H2894" s="19"/>
      <c r="I2894" s="19"/>
      <c r="J2894" s="19"/>
      <c r="K2894" s="19"/>
      <c r="L2894" s="19"/>
      <c r="M2894" s="19"/>
      <c r="N2894" s="19"/>
      <c r="O2894" s="14" t="str">
        <f>HYPERLINK("https://otsuka-europe-crm.veevavault.com/ui/#object/email_activity__v/V8C000000046156", "EN-002104084")</f>
        <v>EN-002104084</v>
      </c>
    </row>
    <row r="2895" spans="1:15" ht="16" x14ac:dyDescent="0.2">
      <c r="A2895" s="18" t="str">
        <f>HYPERLINK("https://otsuka-europe-crm.veevavault.com/ui/#object/account__v/V4TZ025E87IXD6L", "ARIADNA RUSIÑOL JOVE")</f>
        <v>ARIADNA RUSIÑOL JOVE</v>
      </c>
      <c r="B2895" s="18" t="str">
        <f>HYPERLINK("https://otsuka-europe-crm.veevavault.com/ui/#object/vcountry__v/VENZ000004SONF5", "ES")</f>
        <v>ES</v>
      </c>
      <c r="C2895" s="20" t="s">
        <v>39</v>
      </c>
      <c r="D289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5" s="22" t="str">
        <f>HYPERLINK("https://otsuka-europe-crm.veevavault.com/ui/#object/sent_email__v/VBL000000032366", "SE-001443087")</f>
        <v>SE-001443087</v>
      </c>
      <c r="F2895" s="25">
        <v>46212.689513888887</v>
      </c>
      <c r="G2895" s="24">
        <v>1</v>
      </c>
      <c r="H2895" s="24">
        <v>1</v>
      </c>
      <c r="I2895" s="24">
        <v>0</v>
      </c>
      <c r="J2895" s="23"/>
      <c r="K2895" s="24">
        <v>0</v>
      </c>
      <c r="L289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5" s="22" t="str">
        <f>HYPERLINK("mailto:ccoll@crm.otsuka-europe.com", "ccoll@crm.otsuka-europe.com")</f>
        <v>ccoll@crm.otsuka-europe.com</v>
      </c>
      <c r="N2895" s="25">
        <v>46212.689386574071</v>
      </c>
      <c r="O2895" s="14" t="str">
        <f>HYPERLINK("https://otsuka-europe-crm.veevavault.com/ui/#object/email_activity__v/V8C000000046123", "EN-002104048")</f>
        <v>EN-002104048</v>
      </c>
    </row>
    <row r="2896" spans="1:15" ht="16" x14ac:dyDescent="0.2">
      <c r="A2896" s="19"/>
      <c r="B2896" s="19"/>
      <c r="C2896" s="19"/>
      <c r="D2896" s="19"/>
      <c r="E2896" s="19"/>
      <c r="F2896" s="19"/>
      <c r="G2896" s="19"/>
      <c r="H2896" s="19"/>
      <c r="I2896" s="19"/>
      <c r="J2896" s="19"/>
      <c r="K2896" s="19"/>
      <c r="L2896" s="19"/>
      <c r="M2896" s="19"/>
      <c r="N2896" s="19"/>
      <c r="O2896" s="14" t="str">
        <f>HYPERLINK("https://otsuka-europe-crm.veevavault.com/ui/#object/email_activity__v/V8C000000046153", "EN-002104081")</f>
        <v>EN-002104081</v>
      </c>
    </row>
    <row r="2897" spans="1:15" ht="64" x14ac:dyDescent="0.2">
      <c r="A2897" s="7" t="str">
        <f>HYPERLINK("https://otsuka-europe-crm.veevavault.com/ui/#object/account__v/V4TZ04ASGCDJCG0", "MARIA PILAR SANTO PANERO")</f>
        <v>MARIA PILAR SANTO PANERO</v>
      </c>
      <c r="B2897" s="7" t="str">
        <f>HYPERLINK("https://otsuka-europe-crm.veevavault.com/ui/#object/vcountry__v/VENZ000004SONF5", "ES")</f>
        <v>ES</v>
      </c>
      <c r="C2897" s="8" t="s">
        <v>39</v>
      </c>
      <c r="D289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7" s="10" t="str">
        <f>HYPERLINK("https://otsuka-europe-crm.veevavault.com/ui/#object/sent_email__v/VBL000000032367", "SE-001443088")</f>
        <v>SE-001443088</v>
      </c>
      <c r="F2897" s="11"/>
      <c r="G2897" s="12">
        <v>0</v>
      </c>
      <c r="H2897" s="12">
        <v>0</v>
      </c>
      <c r="I2897" s="12">
        <v>0</v>
      </c>
      <c r="J2897" s="11"/>
      <c r="K2897" s="12">
        <v>0</v>
      </c>
      <c r="L289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7" s="10" t="str">
        <f>HYPERLINK("mailto:ccoll@crm.otsuka-europe.com", "ccoll@crm.otsuka-europe.com")</f>
        <v>ccoll@crm.otsuka-europe.com</v>
      </c>
      <c r="N2897" s="13">
        <v>46212.689386574071</v>
      </c>
      <c r="O2897" s="14" t="str">
        <f>HYPERLINK("https://otsuka-europe-crm.veevavault.com/ui/#object/email_activity__v/V8C000000045375", "EN-002104056")</f>
        <v>EN-002104056</v>
      </c>
    </row>
    <row r="2898" spans="1:15" ht="64" x14ac:dyDescent="0.2">
      <c r="A2898" s="7" t="str">
        <f>HYPERLINK("https://otsuka-europe-crm.veevavault.com/ui/#object/account__v/V4TZ04ASGALJJS1", "BERTA PAULA MAGALLARES LOPEZ")</f>
        <v>BERTA PAULA MAGALLARES LOPEZ</v>
      </c>
      <c r="B2898" s="7" t="str">
        <f>HYPERLINK("https://otsuka-europe-crm.veevavault.com/ui/#object/vcountry__v/VENZ000004SONF5", "ES")</f>
        <v>ES</v>
      </c>
      <c r="C2898" s="8" t="s">
        <v>39</v>
      </c>
      <c r="D289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8" s="10" t="str">
        <f>HYPERLINK("https://otsuka-europe-crm.veevavault.com/ui/#object/sent_email__v/VBL000000032368", "SE-001443089")</f>
        <v>SE-001443089</v>
      </c>
      <c r="F2898" s="11"/>
      <c r="G2898" s="12">
        <v>0</v>
      </c>
      <c r="H2898" s="12">
        <v>0</v>
      </c>
      <c r="I2898" s="12">
        <v>0</v>
      </c>
      <c r="J2898" s="11"/>
      <c r="K2898" s="12">
        <v>0</v>
      </c>
      <c r="L289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8" s="10" t="str">
        <f>HYPERLINK("mailto:ccoll@crm.otsuka-europe.com", "ccoll@crm.otsuka-europe.com")</f>
        <v>ccoll@crm.otsuka-europe.com</v>
      </c>
      <c r="N2898" s="13">
        <v>46212.689386574071</v>
      </c>
      <c r="O2898" s="14" t="str">
        <f>HYPERLINK("https://otsuka-europe-crm.veevavault.com/ui/#object/email_activity__v/V8C000000046139", "EN-002104067")</f>
        <v>EN-002104067</v>
      </c>
    </row>
    <row r="2899" spans="1:15" ht="64" x14ac:dyDescent="0.2">
      <c r="A2899" s="7" t="str">
        <f>HYPERLINK("https://otsuka-europe-crm.veevavault.com/ui/#object/account__v/V4TZ025E844GGW1", "JORGE LUIS RODAS FLORES")</f>
        <v>JORGE LUIS RODAS FLORES</v>
      </c>
      <c r="B2899" s="7" t="str">
        <f>HYPERLINK("https://otsuka-europe-crm.veevavault.com/ui/#object/vcountry__v/VENZ000004SONF5", "ES")</f>
        <v>ES</v>
      </c>
      <c r="C2899" s="8" t="s">
        <v>39</v>
      </c>
      <c r="D289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899" s="10" t="str">
        <f>HYPERLINK("https://otsuka-europe-crm.veevavault.com/ui/#object/sent_email__v/VBL000000032369", "SE-001443090")</f>
        <v>SE-001443090</v>
      </c>
      <c r="F2899" s="11"/>
      <c r="G2899" s="12">
        <v>0</v>
      </c>
      <c r="H2899" s="12">
        <v>0</v>
      </c>
      <c r="I2899" s="12">
        <v>0</v>
      </c>
      <c r="J2899" s="11"/>
      <c r="K2899" s="12">
        <v>0</v>
      </c>
      <c r="L289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899" s="10" t="str">
        <f>HYPERLINK("mailto:ccoll@crm.otsuka-europe.com", "ccoll@crm.otsuka-europe.com")</f>
        <v>ccoll@crm.otsuka-europe.com</v>
      </c>
      <c r="N2899" s="13">
        <v>46212.689386574071</v>
      </c>
      <c r="O2899" s="14" t="str">
        <f>HYPERLINK("https://otsuka-europe-crm.veevavault.com/ui/#object/email_activity__v/V8C000000046129", "EN-002104054")</f>
        <v>EN-002104054</v>
      </c>
    </row>
    <row r="2900" spans="1:15" ht="16" x14ac:dyDescent="0.2">
      <c r="A2900" s="18" t="str">
        <f>HYPERLINK("https://otsuka-europe-crm.veevavault.com/ui/#object/account__v/V4TZ025E85M0LUR", "ANA DANIELA ULLOA NAVAS")</f>
        <v>ANA DANIELA ULLOA NAVAS</v>
      </c>
      <c r="B2900" s="18" t="str">
        <f>HYPERLINK("https://otsuka-europe-crm.veevavault.com/ui/#object/vcountry__v/VENZ000004SONF5", "ES")</f>
        <v>ES</v>
      </c>
      <c r="C2900" s="20" t="s">
        <v>39</v>
      </c>
      <c r="D290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00" s="22" t="str">
        <f>HYPERLINK("https://otsuka-europe-crm.veevavault.com/ui/#object/sent_email__v/VBL000000032370", "SE-001443091")</f>
        <v>SE-001443091</v>
      </c>
      <c r="F2900" s="23"/>
      <c r="G2900" s="24">
        <v>0</v>
      </c>
      <c r="H2900" s="24">
        <v>0</v>
      </c>
      <c r="I2900" s="24">
        <v>0</v>
      </c>
      <c r="J2900" s="23"/>
      <c r="K2900" s="24">
        <v>0</v>
      </c>
      <c r="L290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00" s="22" t="str">
        <f>HYPERLINK("mailto:ccoll@crm.otsuka-europe.com", "ccoll@crm.otsuka-europe.com")</f>
        <v>ccoll@crm.otsuka-europe.com</v>
      </c>
      <c r="N2900" s="25">
        <v>46212.689421296294</v>
      </c>
      <c r="O2900" s="14" t="str">
        <f>HYPERLINK("https://otsuka-europe-crm.veevavault.com/ui/#object/email_activity__v/V8C000000046157", "EN-002104085")</f>
        <v>EN-002104085</v>
      </c>
    </row>
    <row r="2901" spans="1:15" ht="16" x14ac:dyDescent="0.2">
      <c r="A2901" s="26"/>
      <c r="B2901" s="26"/>
      <c r="C2901" s="26"/>
      <c r="D2901" s="26"/>
      <c r="E2901" s="26"/>
      <c r="F2901" s="26"/>
      <c r="G2901" s="26"/>
      <c r="H2901" s="26"/>
      <c r="I2901" s="26"/>
      <c r="J2901" s="26"/>
      <c r="K2901" s="26"/>
      <c r="L2901" s="26"/>
      <c r="M2901" s="26"/>
      <c r="N2901" s="26"/>
      <c r="O2901" s="14" t="str">
        <f>HYPERLINK("https://otsuka-europe-crm.veevavault.com/ui/#object/email_activity__v/V8C000000046197", "EN-002104156")</f>
        <v>EN-002104156</v>
      </c>
    </row>
    <row r="2902" spans="1:15" ht="16" x14ac:dyDescent="0.2">
      <c r="A2902" s="19"/>
      <c r="B2902" s="19"/>
      <c r="C2902" s="19"/>
      <c r="D2902" s="19"/>
      <c r="E2902" s="19"/>
      <c r="F2902" s="19"/>
      <c r="G2902" s="19"/>
      <c r="H2902" s="19"/>
      <c r="I2902" s="19"/>
      <c r="J2902" s="19"/>
      <c r="K2902" s="19"/>
      <c r="L2902" s="19"/>
      <c r="M2902" s="19"/>
      <c r="N2902" s="19"/>
      <c r="O2902" s="14" t="str">
        <f>HYPERLINK("https://otsuka-europe-crm.veevavault.com/ui/#object/email_activity__v/V8C00000004A633", "EN-002106169")</f>
        <v>EN-002106169</v>
      </c>
    </row>
    <row r="2903" spans="1:15" ht="64" x14ac:dyDescent="0.2">
      <c r="A2903" s="7" t="str">
        <f>HYPERLINK("https://otsuka-europe-crm.veevavault.com/ui/#object/account__v/V4TZ025E8413Q7H", "HELENA SIRERA PERELLO")</f>
        <v>HELENA SIRERA PERELLO</v>
      </c>
      <c r="B2903" s="7" t="str">
        <f>HYPERLINK("https://otsuka-europe-crm.veevavault.com/ui/#object/vcountry__v/VENZ000004SONF5", "ES")</f>
        <v>ES</v>
      </c>
      <c r="C2903" s="8" t="s">
        <v>39</v>
      </c>
      <c r="D290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03" s="10" t="str">
        <f>HYPERLINK("https://otsuka-europe-crm.veevavault.com/ui/#object/sent_email__v/VBL000000032371", "SE-001443092")</f>
        <v>SE-001443092</v>
      </c>
      <c r="F2903" s="11"/>
      <c r="G2903" s="12">
        <v>0</v>
      </c>
      <c r="H2903" s="12">
        <v>0</v>
      </c>
      <c r="I2903" s="12">
        <v>0</v>
      </c>
      <c r="J2903" s="11"/>
      <c r="K2903" s="12">
        <v>0</v>
      </c>
      <c r="L290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03" s="10" t="str">
        <f>HYPERLINK("mailto:ccoll@crm.otsuka-europe.com", "ccoll@crm.otsuka-europe.com")</f>
        <v>ccoll@crm.otsuka-europe.com</v>
      </c>
      <c r="N2903" s="13">
        <v>46212.689386574071</v>
      </c>
      <c r="O2903" s="14" t="str">
        <f>HYPERLINK("https://otsuka-europe-crm.veevavault.com/ui/#object/email_activity__v/V8C000000045376", "EN-002104057")</f>
        <v>EN-002104057</v>
      </c>
    </row>
    <row r="2904" spans="1:15" ht="16" x14ac:dyDescent="0.2">
      <c r="A2904" s="18" t="str">
        <f>HYPERLINK("https://otsuka-europe-crm.veevavault.com/ui/#object/account__v/V4TZ04ASG9ZQEUS", "MARITZA FLORES CORTES")</f>
        <v>MARITZA FLORES CORTES</v>
      </c>
      <c r="B2904" s="18" t="str">
        <f>HYPERLINK("https://otsuka-europe-crm.veevavault.com/ui/#object/vcountry__v/VENZ000004SONF5", "ES")</f>
        <v>ES</v>
      </c>
      <c r="C2904" s="20" t="s">
        <v>39</v>
      </c>
      <c r="D290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04" s="22" t="str">
        <f>HYPERLINK("https://otsuka-europe-crm.veevavault.com/ui/#object/sent_email__v/VBL000000032372", "SE-001443093")</f>
        <v>SE-001443093</v>
      </c>
      <c r="F2904" s="25">
        <v>46212.689467592594</v>
      </c>
      <c r="G2904" s="24">
        <v>1</v>
      </c>
      <c r="H2904" s="24">
        <v>1</v>
      </c>
      <c r="I2904" s="24">
        <v>0</v>
      </c>
      <c r="J2904" s="23"/>
      <c r="K2904" s="24">
        <v>0</v>
      </c>
      <c r="L290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04" s="22" t="str">
        <f>HYPERLINK("mailto:ccoll@crm.otsuka-europe.com", "ccoll@crm.otsuka-europe.com")</f>
        <v>ccoll@crm.otsuka-europe.com</v>
      </c>
      <c r="N2904" s="25">
        <v>46212.689386574071</v>
      </c>
      <c r="O2904" s="14" t="str">
        <f>HYPERLINK("https://otsuka-europe-crm.veevavault.com/ui/#object/email_activity__v/V8C000000045373", "EN-002104043")</f>
        <v>EN-002104043</v>
      </c>
    </row>
    <row r="2905" spans="1:15" ht="16" x14ac:dyDescent="0.2">
      <c r="A2905" s="19"/>
      <c r="B2905" s="19"/>
      <c r="C2905" s="19"/>
      <c r="D2905" s="19"/>
      <c r="E2905" s="19"/>
      <c r="F2905" s="19"/>
      <c r="G2905" s="19"/>
      <c r="H2905" s="19"/>
      <c r="I2905" s="19"/>
      <c r="J2905" s="19"/>
      <c r="K2905" s="19"/>
      <c r="L2905" s="19"/>
      <c r="M2905" s="19"/>
      <c r="N2905" s="19"/>
      <c r="O2905" s="14" t="str">
        <f>HYPERLINK("https://otsuka-europe-crm.veevavault.com/ui/#object/email_activity__v/V8C000000045378", "EN-002104096")</f>
        <v>EN-002104096</v>
      </c>
    </row>
    <row r="2906" spans="1:15" ht="64" x14ac:dyDescent="0.2">
      <c r="A2906" s="7" t="str">
        <f>HYPERLINK("https://otsuka-europe-crm.veevavault.com/ui/#object/account__v/V4TZ025E876XEHN", "TERESA FONT GAYA")</f>
        <v>TERESA FONT GAYA</v>
      </c>
      <c r="B2906" s="7" t="str">
        <f>HYPERLINK("https://otsuka-europe-crm.veevavault.com/ui/#object/vcountry__v/VENZ000004SONF5", "ES")</f>
        <v>ES</v>
      </c>
      <c r="C2906" s="8" t="s">
        <v>39</v>
      </c>
      <c r="D290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06" s="10" t="str">
        <f>HYPERLINK("https://otsuka-europe-crm.veevavault.com/ui/#object/sent_email__v/VBL000000032373", "SE-001443094")</f>
        <v>SE-001443094</v>
      </c>
      <c r="F2906" s="11"/>
      <c r="G2906" s="12">
        <v>0</v>
      </c>
      <c r="H2906" s="12">
        <v>0</v>
      </c>
      <c r="I2906" s="12">
        <v>0</v>
      </c>
      <c r="J2906" s="11"/>
      <c r="K2906" s="12">
        <v>0</v>
      </c>
      <c r="L290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06" s="10" t="str">
        <f>HYPERLINK("mailto:ccoll@crm.otsuka-europe.com", "ccoll@crm.otsuka-europe.com")</f>
        <v>ccoll@crm.otsuka-europe.com</v>
      </c>
      <c r="N2906" s="13">
        <v>46212.689421296294</v>
      </c>
      <c r="O2906" s="14" t="str">
        <f>HYPERLINK("https://otsuka-europe-crm.veevavault.com/ui/#object/email_activity__v/V8C000000046159", "EN-002104087")</f>
        <v>EN-002104087</v>
      </c>
    </row>
    <row r="2907" spans="1:15" ht="16" x14ac:dyDescent="0.2">
      <c r="A2907" s="18" t="str">
        <f>HYPERLINK("https://otsuka-europe-crm.veevavault.com/ui/#object/account__v/V4TZ025E82WZJ62", "ANTONIO JOSE LOZANO SAEZ")</f>
        <v>ANTONIO JOSE LOZANO SAEZ</v>
      </c>
      <c r="B2907" s="18" t="str">
        <f>HYPERLINK("https://otsuka-europe-crm.veevavault.com/ui/#object/vcountry__v/VENZ000004SONF5", "ES")</f>
        <v>ES</v>
      </c>
      <c r="C2907" s="20" t="s">
        <v>39</v>
      </c>
      <c r="D290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07" s="22" t="str">
        <f>HYPERLINK("https://otsuka-europe-crm.veevavault.com/ui/#object/sent_email__v/VBL000000032374", "SE-001443095")</f>
        <v>SE-001443095</v>
      </c>
      <c r="F2907" s="23"/>
      <c r="G2907" s="24">
        <v>0</v>
      </c>
      <c r="H2907" s="24">
        <v>0</v>
      </c>
      <c r="I2907" s="24">
        <v>0</v>
      </c>
      <c r="J2907" s="23"/>
      <c r="K2907" s="24">
        <v>0</v>
      </c>
      <c r="L290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07" s="22" t="str">
        <f>HYPERLINK("mailto:ccoll@crm.otsuka-europe.com", "ccoll@crm.otsuka-europe.com")</f>
        <v>ccoll@crm.otsuka-europe.com</v>
      </c>
      <c r="N2907" s="25">
        <v>46212.689386574071</v>
      </c>
      <c r="O2907" s="14" t="str">
        <f>HYPERLINK("https://otsuka-europe-crm.veevavault.com/ui/#object/email_activity__v/V8C000000045382", "EN-002104100")</f>
        <v>EN-002104100</v>
      </c>
    </row>
    <row r="2908" spans="1:15" ht="16" x14ac:dyDescent="0.2">
      <c r="A2908" s="19"/>
      <c r="B2908" s="19"/>
      <c r="C2908" s="19"/>
      <c r="D2908" s="19"/>
      <c r="E2908" s="19"/>
      <c r="F2908" s="19"/>
      <c r="G2908" s="19"/>
      <c r="H2908" s="19"/>
      <c r="I2908" s="19"/>
      <c r="J2908" s="19"/>
      <c r="K2908" s="19"/>
      <c r="L2908" s="19"/>
      <c r="M2908" s="19"/>
      <c r="N2908" s="19"/>
      <c r="O2908" s="14" t="str">
        <f>HYPERLINK("https://otsuka-europe-crm.veevavault.com/ui/#object/email_activity__v/V8C000000048277", "EN-002104802")</f>
        <v>EN-002104802</v>
      </c>
    </row>
    <row r="2909" spans="1:15" ht="64" x14ac:dyDescent="0.2">
      <c r="A2909" s="7" t="str">
        <f>HYPERLINK("https://otsuka-europe-crm.veevavault.com/ui/#object/account__v/V4TZ06G6O9VLJDT", "JOSEFINA CORTES HERNANDEZ")</f>
        <v>JOSEFINA CORTES HERNANDEZ</v>
      </c>
      <c r="B2909" s="7" t="str">
        <f>HYPERLINK("https://otsuka-europe-crm.veevavault.com/ui/#object/vcountry__v/VENZ000004SONF5", "ES")</f>
        <v>ES</v>
      </c>
      <c r="C2909" s="8" t="s">
        <v>39</v>
      </c>
      <c r="D290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09" s="10" t="str">
        <f>HYPERLINK("https://otsuka-europe-crm.veevavault.com/ui/#object/sent_email__v/VBL000000032375", "SE-001443096")</f>
        <v>SE-001443096</v>
      </c>
      <c r="F2909" s="11"/>
      <c r="G2909" s="12">
        <v>0</v>
      </c>
      <c r="H2909" s="12">
        <v>0</v>
      </c>
      <c r="I2909" s="12">
        <v>0</v>
      </c>
      <c r="J2909" s="11"/>
      <c r="K2909" s="12">
        <v>0</v>
      </c>
      <c r="L290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09" s="10" t="str">
        <f>HYPERLINK("mailto:ccoll@crm.otsuka-europe.com", "ccoll@crm.otsuka-europe.com")</f>
        <v>ccoll@crm.otsuka-europe.com</v>
      </c>
      <c r="N2909" s="13">
        <v>46212.689432870371</v>
      </c>
      <c r="O2909" s="14" t="str">
        <f>HYPERLINK("https://otsuka-europe-crm.veevavault.com/ui/#object/email_activity__v/V8C000000046151", "EN-002104079")</f>
        <v>EN-002104079</v>
      </c>
    </row>
    <row r="2910" spans="1:15" ht="64" x14ac:dyDescent="0.2">
      <c r="A2910" s="7" t="str">
        <f>HYPERLINK("https://otsuka-europe-crm.veevavault.com/ui/#object/account__v/V4TZ04ASG9M8EVR", "IVETTE CASAFONT SOLE")</f>
        <v>IVETTE CASAFONT SOLE</v>
      </c>
      <c r="B2910" s="7" t="str">
        <f>HYPERLINK("https://otsuka-europe-crm.veevavault.com/ui/#object/vcountry__v/VENZ000004SONF5", "ES")</f>
        <v>ES</v>
      </c>
      <c r="C2910" s="8" t="s">
        <v>39</v>
      </c>
      <c r="D291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10" s="10" t="str">
        <f>HYPERLINK("https://otsuka-europe-crm.veevavault.com/ui/#object/sent_email__v/VBL000000032376", "SE-001443097")</f>
        <v>SE-001443097</v>
      </c>
      <c r="F2910" s="11"/>
      <c r="G2910" s="12">
        <v>0</v>
      </c>
      <c r="H2910" s="12">
        <v>0</v>
      </c>
      <c r="I2910" s="12">
        <v>0</v>
      </c>
      <c r="J2910" s="11"/>
      <c r="K2910" s="12">
        <v>0</v>
      </c>
      <c r="L291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10" s="10" t="str">
        <f>HYPERLINK("mailto:ccoll@crm.otsuka-europe.com", "ccoll@crm.otsuka-europe.com")</f>
        <v>ccoll@crm.otsuka-europe.com</v>
      </c>
      <c r="N2910" s="13">
        <v>46212.689421296294</v>
      </c>
      <c r="O2910" s="14" t="str">
        <f>HYPERLINK("https://otsuka-europe-crm.veevavault.com/ui/#object/email_activity__v/V8C000000046145", "EN-002104073")</f>
        <v>EN-002104073</v>
      </c>
    </row>
    <row r="2911" spans="1:15" ht="64" x14ac:dyDescent="0.2">
      <c r="A2911" s="7" t="str">
        <f>HYPERLINK("https://otsuka-europe-crm.veevavault.com/ui/#object/account__v/V4TZ06G6O9VLJHY", "ANNE MARGARET RIVEROS FRUTOS")</f>
        <v>ANNE MARGARET RIVEROS FRUTOS</v>
      </c>
      <c r="B2911" s="7" t="str">
        <f>HYPERLINK("https://otsuka-europe-crm.veevavault.com/ui/#object/vcountry__v/VENZ000004SONF5", "ES")</f>
        <v>ES</v>
      </c>
      <c r="C2911" s="8" t="s">
        <v>39</v>
      </c>
      <c r="D291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11" s="10" t="str">
        <f>HYPERLINK("https://otsuka-europe-crm.veevavault.com/ui/#object/sent_email__v/VBL000000032377", "SE-001443098")</f>
        <v>SE-001443098</v>
      </c>
      <c r="F2911" s="11"/>
      <c r="G2911" s="12">
        <v>0</v>
      </c>
      <c r="H2911" s="12">
        <v>0</v>
      </c>
      <c r="I2911" s="12">
        <v>0</v>
      </c>
      <c r="J2911" s="11"/>
      <c r="K2911" s="12">
        <v>0</v>
      </c>
      <c r="L291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11" s="10" t="str">
        <f>HYPERLINK("mailto:ccoll@crm.otsuka-europe.com", "ccoll@crm.otsuka-europe.com")</f>
        <v>ccoll@crm.otsuka-europe.com</v>
      </c>
      <c r="N2911" s="13">
        <v>46212.689386574071</v>
      </c>
      <c r="O2911" s="14" t="str">
        <f>HYPERLINK("https://otsuka-europe-crm.veevavault.com/ui/#object/email_activity__v/V8C000000046137", "EN-002104065")</f>
        <v>EN-002104065</v>
      </c>
    </row>
    <row r="2912" spans="1:15" ht="16" x14ac:dyDescent="0.2">
      <c r="A2912" s="18" t="str">
        <f>HYPERLINK("https://otsuka-europe-crm.veevavault.com/ui/#object/account__v/V4TZ04ASGAGEZ0G", "JUAN CAMILO SARMIENTO MONROY")</f>
        <v>JUAN CAMILO SARMIENTO MONROY</v>
      </c>
      <c r="B2912" s="18" t="str">
        <f>HYPERLINK("https://otsuka-europe-crm.veevavault.com/ui/#object/vcountry__v/VENZ000004SONF5", "ES")</f>
        <v>ES</v>
      </c>
      <c r="C2912" s="20" t="s">
        <v>39</v>
      </c>
      <c r="D291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12" s="22" t="str">
        <f>HYPERLINK("https://otsuka-europe-crm.veevavault.com/ui/#object/sent_email__v/VBL000000032378", "SE-001443099")</f>
        <v>SE-001443099</v>
      </c>
      <c r="F2912" s="25">
        <v>46212.702847222223</v>
      </c>
      <c r="G2912" s="24">
        <v>1</v>
      </c>
      <c r="H2912" s="24">
        <v>2</v>
      </c>
      <c r="I2912" s="24">
        <v>1</v>
      </c>
      <c r="J2912" s="25">
        <v>46212.69017361111</v>
      </c>
      <c r="K2912" s="24">
        <v>1</v>
      </c>
      <c r="L291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12" s="22" t="str">
        <f>HYPERLINK("mailto:ccoll@crm.otsuka-europe.com", "ccoll@crm.otsuka-europe.com")</f>
        <v>ccoll@crm.otsuka-europe.com</v>
      </c>
      <c r="N2912" s="25">
        <v>46212.689386574071</v>
      </c>
      <c r="O2912" s="14" t="str">
        <f>HYPERLINK("https://otsuka-europe-crm.veevavault.com/ui/#object/email_activity__v/V8C000000046125", "EN-002104050")</f>
        <v>EN-002104050</v>
      </c>
    </row>
    <row r="2913" spans="1:15" ht="16" x14ac:dyDescent="0.2">
      <c r="A2913" s="26"/>
      <c r="B2913" s="26"/>
      <c r="C2913" s="26"/>
      <c r="D2913" s="26"/>
      <c r="E2913" s="26"/>
      <c r="F2913" s="26"/>
      <c r="G2913" s="26"/>
      <c r="H2913" s="26"/>
      <c r="I2913" s="26"/>
      <c r="J2913" s="26"/>
      <c r="K2913" s="26"/>
      <c r="L2913" s="26"/>
      <c r="M2913" s="26"/>
      <c r="N2913" s="26"/>
      <c r="O2913" s="14" t="str">
        <f>HYPERLINK("https://otsuka-europe-crm.veevavault.com/ui/#object/email_activity__v/V8C000000046168", "EN-002104101")</f>
        <v>EN-002104101</v>
      </c>
    </row>
    <row r="2914" spans="1:15" ht="16" x14ac:dyDescent="0.2">
      <c r="A2914" s="26"/>
      <c r="B2914" s="26"/>
      <c r="C2914" s="26"/>
      <c r="D2914" s="26"/>
      <c r="E2914" s="26"/>
      <c r="F2914" s="26"/>
      <c r="G2914" s="26"/>
      <c r="H2914" s="26"/>
      <c r="I2914" s="26"/>
      <c r="J2914" s="26"/>
      <c r="K2914" s="26"/>
      <c r="L2914" s="26"/>
      <c r="M2914" s="26"/>
      <c r="N2914" s="26"/>
      <c r="O2914" s="14" t="str">
        <f>HYPERLINK("https://otsuka-europe-crm.veevavault.com/ui/#object/email_activity__v/V8C000000046169", "EN-002104102")</f>
        <v>EN-002104102</v>
      </c>
    </row>
    <row r="2915" spans="1:15" ht="16" x14ac:dyDescent="0.2">
      <c r="A2915" s="19"/>
      <c r="B2915" s="19"/>
      <c r="C2915" s="19"/>
      <c r="D2915" s="19"/>
      <c r="E2915" s="19"/>
      <c r="F2915" s="19"/>
      <c r="G2915" s="19"/>
      <c r="H2915" s="19"/>
      <c r="I2915" s="19"/>
      <c r="J2915" s="19"/>
      <c r="K2915" s="19"/>
      <c r="L2915" s="19"/>
      <c r="M2915" s="19"/>
      <c r="N2915" s="19"/>
      <c r="O2915" s="14" t="str">
        <f>HYPERLINK("https://otsuka-europe-crm.veevavault.com/ui/#object/email_activity__v/V8C000000046178", "EN-002104123")</f>
        <v>EN-002104123</v>
      </c>
    </row>
    <row r="2916" spans="1:15" ht="16" x14ac:dyDescent="0.2">
      <c r="A2916" s="18" t="str">
        <f>HYPERLINK("https://otsuka-europe-crm.veevavault.com/ui/#object/account__v/V4TZ04ASGAADDZO", "MARILE SANABRIA HERNANDEZ")</f>
        <v>MARILE SANABRIA HERNANDEZ</v>
      </c>
      <c r="B2916" s="18" t="str">
        <f>HYPERLINK("https://otsuka-europe-crm.veevavault.com/ui/#object/vcountry__v/VENZ000004SONF5", "ES")</f>
        <v>ES</v>
      </c>
      <c r="C2916" s="20" t="s">
        <v>39</v>
      </c>
      <c r="D291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16" s="22" t="str">
        <f>HYPERLINK("https://otsuka-europe-crm.veevavault.com/ui/#object/sent_email__v/VBL000000032379", "SE-001443100")</f>
        <v>SE-001443100</v>
      </c>
      <c r="F2916" s="25">
        <v>46212.947881944441</v>
      </c>
      <c r="G2916" s="24">
        <v>1</v>
      </c>
      <c r="H2916" s="24">
        <v>2</v>
      </c>
      <c r="I2916" s="24">
        <v>0</v>
      </c>
      <c r="J2916" s="23"/>
      <c r="K2916" s="24">
        <v>0</v>
      </c>
      <c r="L291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16" s="22" t="str">
        <f>HYPERLINK("mailto:ccoll@crm.otsuka-europe.com", "ccoll@crm.otsuka-europe.com")</f>
        <v>ccoll@crm.otsuka-europe.com</v>
      </c>
      <c r="N2916" s="25">
        <v>46212.689386574071</v>
      </c>
      <c r="O2916" s="14" t="str">
        <f>HYPERLINK("https://otsuka-europe-crm.veevavault.com/ui/#object/email_activity__v/V8C000000045371", "EN-002104041")</f>
        <v>EN-002104041</v>
      </c>
    </row>
    <row r="2917" spans="1:15" ht="16" x14ac:dyDescent="0.2">
      <c r="A2917" s="26"/>
      <c r="B2917" s="26"/>
      <c r="C2917" s="26"/>
      <c r="D2917" s="26"/>
      <c r="E2917" s="26"/>
      <c r="F2917" s="26"/>
      <c r="G2917" s="26"/>
      <c r="H2917" s="26"/>
      <c r="I2917" s="26"/>
      <c r="J2917" s="26"/>
      <c r="K2917" s="26"/>
      <c r="L2917" s="26"/>
      <c r="M2917" s="26"/>
      <c r="N2917" s="26"/>
      <c r="O2917" s="14" t="str">
        <f>HYPERLINK("https://otsuka-europe-crm.veevavault.com/ui/#object/email_activity__v/V8C000000046143", "EN-002104071")</f>
        <v>EN-002104071</v>
      </c>
    </row>
    <row r="2918" spans="1:15" ht="16" x14ac:dyDescent="0.2">
      <c r="A2918" s="19"/>
      <c r="B2918" s="19"/>
      <c r="C2918" s="19"/>
      <c r="D2918" s="19"/>
      <c r="E2918" s="19"/>
      <c r="F2918" s="19"/>
      <c r="G2918" s="19"/>
      <c r="H2918" s="19"/>
      <c r="I2918" s="19"/>
      <c r="J2918" s="19"/>
      <c r="K2918" s="19"/>
      <c r="L2918" s="19"/>
      <c r="M2918" s="19"/>
      <c r="N2918" s="19"/>
      <c r="O2918" s="14" t="str">
        <f>HYPERLINK("https://otsuka-europe-crm.veevavault.com/ui/#object/email_activity__v/V8C000000048007", "EN-002104185")</f>
        <v>EN-002104185</v>
      </c>
    </row>
    <row r="2919" spans="1:15" ht="64" x14ac:dyDescent="0.2">
      <c r="A2919" s="7" t="str">
        <f>HYPERLINK("https://otsuka-europe-crm.veevavault.com/ui/#object/account__v/V4TZ025E85XQW3A", "CHAFIK ALEJANDRO CHACUR KISS")</f>
        <v>CHAFIK ALEJANDRO CHACUR KISS</v>
      </c>
      <c r="B2919" s="7" t="str">
        <f>HYPERLINK("https://otsuka-europe-crm.veevavault.com/ui/#object/vcountry__v/VENZ000004SONF5", "ES")</f>
        <v>ES</v>
      </c>
      <c r="C2919" s="8" t="s">
        <v>39</v>
      </c>
      <c r="D291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19" s="10" t="str">
        <f>HYPERLINK("https://otsuka-europe-crm.veevavault.com/ui/#object/sent_email__v/VBL000000032380", "SE-001443101")</f>
        <v>SE-001443101</v>
      </c>
      <c r="F2919" s="11"/>
      <c r="G2919" s="12">
        <v>0</v>
      </c>
      <c r="H2919" s="12">
        <v>0</v>
      </c>
      <c r="I2919" s="12">
        <v>0</v>
      </c>
      <c r="J2919" s="11"/>
      <c r="K2919" s="12">
        <v>0</v>
      </c>
      <c r="L291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19" s="10" t="str">
        <f>HYPERLINK("mailto:ccoll@crm.otsuka-europe.com", "ccoll@crm.otsuka-europe.com")</f>
        <v>ccoll@crm.otsuka-europe.com</v>
      </c>
      <c r="N2919" s="13">
        <v>46212.689386574071</v>
      </c>
      <c r="O2919" s="14" t="str">
        <f>HYPERLINK("https://otsuka-europe-crm.veevavault.com/ui/#object/email_activity__v/V8C000000046124", "EN-002104049")</f>
        <v>EN-002104049</v>
      </c>
    </row>
    <row r="2920" spans="1:15" ht="16" x14ac:dyDescent="0.2">
      <c r="A2920" s="18" t="str">
        <f>HYPERLINK("https://otsuka-europe-crm.veevavault.com/ui/#object/account__v/V4TZ025E892EO47", "JAIR JAVIER BASTIDAS VINUEZA")</f>
        <v>JAIR JAVIER BASTIDAS VINUEZA</v>
      </c>
      <c r="B2920" s="18" t="str">
        <f>HYPERLINK("https://otsuka-europe-crm.veevavault.com/ui/#object/vcountry__v/VENZ000004SONF5", "ES")</f>
        <v>ES</v>
      </c>
      <c r="C2920" s="20" t="s">
        <v>39</v>
      </c>
      <c r="D292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20" s="22" t="str">
        <f>HYPERLINK("https://otsuka-europe-crm.veevavault.com/ui/#object/sent_email__v/VBL000000032381", "SE-001443102")</f>
        <v>SE-001443102</v>
      </c>
      <c r="F2920" s="25">
        <v>46212.706793981481</v>
      </c>
      <c r="G2920" s="24">
        <v>1</v>
      </c>
      <c r="H2920" s="24">
        <v>1</v>
      </c>
      <c r="I2920" s="24">
        <v>0</v>
      </c>
      <c r="J2920" s="23"/>
      <c r="K2920" s="24">
        <v>0</v>
      </c>
      <c r="L292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20" s="22" t="str">
        <f>HYPERLINK("mailto:ccoll@crm.otsuka-europe.com", "ccoll@crm.otsuka-europe.com")</f>
        <v>ccoll@crm.otsuka-europe.com</v>
      </c>
      <c r="N2920" s="25">
        <v>46212.689421296294</v>
      </c>
      <c r="O2920" s="14" t="str">
        <f>HYPERLINK("https://otsuka-europe-crm.veevavault.com/ui/#object/email_activity__v/V8C000000045396", "EN-002104128")</f>
        <v>EN-002104128</v>
      </c>
    </row>
    <row r="2921" spans="1:15" ht="16" x14ac:dyDescent="0.2">
      <c r="A2921" s="19"/>
      <c r="B2921" s="19"/>
      <c r="C2921" s="19"/>
      <c r="D2921" s="19"/>
      <c r="E2921" s="19"/>
      <c r="F2921" s="19"/>
      <c r="G2921" s="19"/>
      <c r="H2921" s="19"/>
      <c r="I2921" s="19"/>
      <c r="J2921" s="19"/>
      <c r="K2921" s="19"/>
      <c r="L2921" s="19"/>
      <c r="M2921" s="19"/>
      <c r="N2921" s="19"/>
      <c r="O2921" s="14" t="str">
        <f>HYPERLINK("https://otsuka-europe-crm.veevavault.com/ui/#object/email_activity__v/V8C000000046148", "EN-002104076")</f>
        <v>EN-002104076</v>
      </c>
    </row>
    <row r="2922" spans="1:15" ht="64" x14ac:dyDescent="0.2">
      <c r="A2922" s="7" t="str">
        <f>HYPERLINK("https://otsuka-europe-crm.veevavault.com/ui/#object/account__v/V4TZ04ASG9MC2VK", "DELIA REINA SANZ")</f>
        <v>DELIA REINA SANZ</v>
      </c>
      <c r="B2922" s="7" t="str">
        <f>HYPERLINK("https://otsuka-europe-crm.veevavault.com/ui/#object/vcountry__v/VENZ000004SONF5", "ES")</f>
        <v>ES</v>
      </c>
      <c r="C2922" s="8" t="s">
        <v>39</v>
      </c>
      <c r="D292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22" s="10" t="str">
        <f>HYPERLINK("https://otsuka-europe-crm.veevavault.com/ui/#object/sent_email__v/VBL000000032382", "SE-001443103")</f>
        <v>SE-001443103</v>
      </c>
      <c r="F2922" s="11"/>
      <c r="G2922" s="12">
        <v>0</v>
      </c>
      <c r="H2922" s="12">
        <v>0</v>
      </c>
      <c r="I2922" s="12">
        <v>0</v>
      </c>
      <c r="J2922" s="11"/>
      <c r="K2922" s="12">
        <v>0</v>
      </c>
      <c r="L292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22" s="10" t="str">
        <f>HYPERLINK("mailto:ccoll@crm.otsuka-europe.com", "ccoll@crm.otsuka-europe.com")</f>
        <v>ccoll@crm.otsuka-europe.com</v>
      </c>
      <c r="N2922" s="13">
        <v>46212.689421296294</v>
      </c>
      <c r="O2922" s="14" t="str">
        <f>HYPERLINK("https://otsuka-europe-crm.veevavault.com/ui/#object/email_activity__v/V8C000000046144", "EN-002104072")</f>
        <v>EN-002104072</v>
      </c>
    </row>
    <row r="2923" spans="1:15" ht="64" x14ac:dyDescent="0.2">
      <c r="A2923" s="7" t="str">
        <f>HYPERLINK("https://otsuka-europe-crm.veevavault.com/ui/#object/account__v/V4TZ04ASG961DOR", "LAURA CALVO SANZ")</f>
        <v>LAURA CALVO SANZ</v>
      </c>
      <c r="B2923" s="7" t="str">
        <f>HYPERLINK("https://otsuka-europe-crm.veevavault.com/ui/#object/vcountry__v/VENZ000004SONF5", "ES")</f>
        <v>ES</v>
      </c>
      <c r="C2923" s="8" t="s">
        <v>39</v>
      </c>
      <c r="D292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23" s="10" t="str">
        <f>HYPERLINK("https://otsuka-europe-crm.veevavault.com/ui/#object/sent_email__v/VBL000000032383", "SE-001443104")</f>
        <v>SE-001443104</v>
      </c>
      <c r="F2923" s="11"/>
      <c r="G2923" s="12">
        <v>0</v>
      </c>
      <c r="H2923" s="12">
        <v>0</v>
      </c>
      <c r="I2923" s="12">
        <v>0</v>
      </c>
      <c r="J2923" s="11"/>
      <c r="K2923" s="12">
        <v>0</v>
      </c>
      <c r="L292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23" s="10" t="str">
        <f>HYPERLINK("mailto:ccoll@crm.otsuka-europe.com", "ccoll@crm.otsuka-europe.com")</f>
        <v>ccoll@crm.otsuka-europe.com</v>
      </c>
      <c r="N2923" s="13">
        <v>46212.689386574071</v>
      </c>
      <c r="O2923" s="14" t="str">
        <f>HYPERLINK("https://otsuka-europe-crm.veevavault.com/ui/#object/email_activity__v/V8C000000045370", "EN-002104040")</f>
        <v>EN-002104040</v>
      </c>
    </row>
    <row r="2924" spans="1:15" ht="16" x14ac:dyDescent="0.2">
      <c r="A2924" s="18" t="str">
        <f>HYPERLINK("https://otsuka-europe-crm.veevavault.com/ui/#object/account__v/V4TZ04ASG963020", "JULIA FERNANDEZ MELON")</f>
        <v>JULIA FERNANDEZ MELON</v>
      </c>
      <c r="B2924" s="18" t="str">
        <f>HYPERLINK("https://otsuka-europe-crm.veevavault.com/ui/#object/vcountry__v/VENZ000004SONF5", "ES")</f>
        <v>ES</v>
      </c>
      <c r="C2924" s="20" t="s">
        <v>39</v>
      </c>
      <c r="D292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24" s="22" t="str">
        <f>HYPERLINK("https://otsuka-europe-crm.veevavault.com/ui/#object/sent_email__v/VBL000000032384", "SE-001443105")</f>
        <v>SE-001443105</v>
      </c>
      <c r="F2924" s="25">
        <v>46212.703344907408</v>
      </c>
      <c r="G2924" s="24">
        <v>1</v>
      </c>
      <c r="H2924" s="24">
        <v>2</v>
      </c>
      <c r="I2924" s="24">
        <v>0</v>
      </c>
      <c r="J2924" s="23"/>
      <c r="K2924" s="24">
        <v>0</v>
      </c>
      <c r="L292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24" s="22" t="str">
        <f>HYPERLINK("mailto:ccoll@crm.otsuka-europe.com", "ccoll@crm.otsuka-europe.com")</f>
        <v>ccoll@crm.otsuka-europe.com</v>
      </c>
      <c r="N2924" s="25">
        <v>46212.689421296294</v>
      </c>
      <c r="O2924" s="14" t="str">
        <f>HYPERLINK("https://otsuka-europe-crm.veevavault.com/ui/#object/email_activity__v/V8C000000046147", "EN-002104075")</f>
        <v>EN-002104075</v>
      </c>
    </row>
    <row r="2925" spans="1:15" ht="16" x14ac:dyDescent="0.2">
      <c r="A2925" s="26"/>
      <c r="B2925" s="26"/>
      <c r="C2925" s="26"/>
      <c r="D2925" s="26"/>
      <c r="E2925" s="26"/>
      <c r="F2925" s="26"/>
      <c r="G2925" s="26"/>
      <c r="H2925" s="26"/>
      <c r="I2925" s="26"/>
      <c r="J2925" s="26"/>
      <c r="K2925" s="26"/>
      <c r="L2925" s="26"/>
      <c r="M2925" s="26"/>
      <c r="N2925" s="26"/>
      <c r="O2925" s="14" t="str">
        <f>HYPERLINK("https://otsuka-europe-crm.veevavault.com/ui/#object/email_activity__v/V8C000000046179", "EN-002104124")</f>
        <v>EN-002104124</v>
      </c>
    </row>
    <row r="2926" spans="1:15" ht="16" x14ac:dyDescent="0.2">
      <c r="A2926" s="19"/>
      <c r="B2926" s="19"/>
      <c r="C2926" s="19"/>
      <c r="D2926" s="19"/>
      <c r="E2926" s="19"/>
      <c r="F2926" s="19"/>
      <c r="G2926" s="19"/>
      <c r="H2926" s="19"/>
      <c r="I2926" s="19"/>
      <c r="J2926" s="19"/>
      <c r="K2926" s="19"/>
      <c r="L2926" s="19"/>
      <c r="M2926" s="19"/>
      <c r="N2926" s="19"/>
      <c r="O2926" s="14" t="str">
        <f>HYPERLINK("https://otsuka-europe-crm.veevavault.com/ui/#object/email_activity__v/V8C000000046180", "EN-002104125")</f>
        <v>EN-002104125</v>
      </c>
    </row>
    <row r="2927" spans="1:15" ht="16" x14ac:dyDescent="0.2">
      <c r="A2927" s="18" t="str">
        <f>HYPERLINK("https://otsuka-europe-crm.veevavault.com/ui/#object/account__v/V4TZ025E82UQVJ6", "ANNA PAMIES CORTS")</f>
        <v>ANNA PAMIES CORTS</v>
      </c>
      <c r="B2927" s="18" t="str">
        <f>HYPERLINK("https://otsuka-europe-crm.veevavault.com/ui/#object/vcountry__v/VENZ000004SONF5", "ES")</f>
        <v>ES</v>
      </c>
      <c r="C2927" s="20" t="s">
        <v>39</v>
      </c>
      <c r="D292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27" s="22" t="str">
        <f>HYPERLINK("https://otsuka-europe-crm.veevavault.com/ui/#object/sent_email__v/VBL000000032385", "SE-001443106")</f>
        <v>SE-001443106</v>
      </c>
      <c r="F2927" s="25">
        <v>46212.691319444442</v>
      </c>
      <c r="G2927" s="24">
        <v>1</v>
      </c>
      <c r="H2927" s="24">
        <v>2</v>
      </c>
      <c r="I2927" s="24">
        <v>0</v>
      </c>
      <c r="J2927" s="23"/>
      <c r="K2927" s="24">
        <v>0</v>
      </c>
      <c r="L292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27" s="22" t="str">
        <f>HYPERLINK("mailto:ccoll@crm.otsuka-europe.com", "ccoll@crm.otsuka-europe.com")</f>
        <v>ccoll@crm.otsuka-europe.com</v>
      </c>
      <c r="N2927" s="25">
        <v>46212.689386574071</v>
      </c>
      <c r="O2927" s="14" t="str">
        <f>HYPERLINK("https://otsuka-europe-crm.veevavault.com/ui/#object/email_activity__v/V8C000000045384", "EN-002104105")</f>
        <v>EN-002104105</v>
      </c>
    </row>
    <row r="2928" spans="1:15" ht="16" x14ac:dyDescent="0.2">
      <c r="A2928" s="26"/>
      <c r="B2928" s="26"/>
      <c r="C2928" s="26"/>
      <c r="D2928" s="26"/>
      <c r="E2928" s="26"/>
      <c r="F2928" s="26"/>
      <c r="G2928" s="26"/>
      <c r="H2928" s="26"/>
      <c r="I2928" s="26"/>
      <c r="J2928" s="26"/>
      <c r="K2928" s="26"/>
      <c r="L2928" s="26"/>
      <c r="M2928" s="26"/>
      <c r="N2928" s="26"/>
      <c r="O2928" s="14" t="str">
        <f>HYPERLINK("https://otsuka-europe-crm.veevavault.com/ui/#object/email_activity__v/V8C000000046131", "EN-002104059")</f>
        <v>EN-002104059</v>
      </c>
    </row>
    <row r="2929" spans="1:15" ht="16" x14ac:dyDescent="0.2">
      <c r="A2929" s="19"/>
      <c r="B2929" s="19"/>
      <c r="C2929" s="19"/>
      <c r="D2929" s="19"/>
      <c r="E2929" s="19"/>
      <c r="F2929" s="19"/>
      <c r="G2929" s="19"/>
      <c r="H2929" s="19"/>
      <c r="I2929" s="19"/>
      <c r="J2929" s="19"/>
      <c r="K2929" s="19"/>
      <c r="L2929" s="19"/>
      <c r="M2929" s="19"/>
      <c r="N2929" s="19"/>
      <c r="O2929" s="14" t="str">
        <f>HYPERLINK("https://otsuka-europe-crm.veevavault.com/ui/#object/email_activity__v/V8C000000046170", "EN-002104104")</f>
        <v>EN-002104104</v>
      </c>
    </row>
    <row r="2930" spans="1:15" ht="64" x14ac:dyDescent="0.2">
      <c r="A2930" s="7" t="str">
        <f>HYPERLINK("https://otsuka-europe-crm.veevavault.com/ui/#object/account__v/V4TZ04ASG9HF77Y", "ALBA QUESADA MORENO")</f>
        <v>ALBA QUESADA MORENO</v>
      </c>
      <c r="B2930" s="7" t="str">
        <f>HYPERLINK("https://otsuka-europe-crm.veevavault.com/ui/#object/vcountry__v/VENZ000004SONF5", "ES")</f>
        <v>ES</v>
      </c>
      <c r="C2930" s="8" t="s">
        <v>39</v>
      </c>
      <c r="D293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30" s="10" t="str">
        <f>HYPERLINK("https://otsuka-europe-crm.veevavault.com/ui/#object/sent_email__v/VBL000000032386", "SE-001443107")</f>
        <v>SE-001443107</v>
      </c>
      <c r="F2930" s="11"/>
      <c r="G2930" s="12">
        <v>0</v>
      </c>
      <c r="H2930" s="12">
        <v>0</v>
      </c>
      <c r="I2930" s="12">
        <v>0</v>
      </c>
      <c r="J2930" s="11"/>
      <c r="K2930" s="12">
        <v>0</v>
      </c>
      <c r="L293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30" s="10" t="str">
        <f>HYPERLINK("mailto:ccoll@crm.otsuka-europe.com", "ccoll@crm.otsuka-europe.com")</f>
        <v>ccoll@crm.otsuka-europe.com</v>
      </c>
      <c r="N2930" s="13">
        <v>46212.689421296294</v>
      </c>
      <c r="O2930" s="14" t="str">
        <f>HYPERLINK("https://otsuka-europe-crm.veevavault.com/ui/#object/email_activity__v/V8C000000046146", "EN-002104074")</f>
        <v>EN-002104074</v>
      </c>
    </row>
    <row r="2931" spans="1:15" ht="64" x14ac:dyDescent="0.2">
      <c r="A2931" s="7" t="str">
        <f>HYPERLINK("https://otsuka-europe-crm.veevavault.com/ui/#object/account__v/V4T000000010098", "HELENA CODES MENDEZ")</f>
        <v>HELENA CODES MENDEZ</v>
      </c>
      <c r="B2931" s="7" t="str">
        <f>HYPERLINK("https://otsuka-europe-crm.veevavault.com/ui/#object/vcountry__v/VENZ000004SONF5", "ES")</f>
        <v>ES</v>
      </c>
      <c r="C2931" s="8" t="s">
        <v>39</v>
      </c>
      <c r="D293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31" s="10" t="str">
        <f>HYPERLINK("https://otsuka-europe-crm.veevavault.com/ui/#object/sent_email__v/VBL000000032387", "SE-001443108")</f>
        <v>SE-001443108</v>
      </c>
      <c r="F2931" s="11"/>
      <c r="G2931" s="12">
        <v>0</v>
      </c>
      <c r="H2931" s="12">
        <v>0</v>
      </c>
      <c r="I2931" s="12">
        <v>0</v>
      </c>
      <c r="J2931" s="11"/>
      <c r="K2931" s="12">
        <v>0</v>
      </c>
      <c r="L293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31" s="10" t="str">
        <f>HYPERLINK("mailto:ccoll@crm.otsuka-europe.com", "ccoll@crm.otsuka-europe.com")</f>
        <v>ccoll@crm.otsuka-europe.com</v>
      </c>
      <c r="N2931" s="13">
        <v>46212.689386574071</v>
      </c>
      <c r="O2931" s="14" t="str">
        <f>HYPERLINK("https://otsuka-europe-crm.veevavault.com/ui/#object/email_activity__v/V8C000000045379", "EN-002104097")</f>
        <v>EN-002104097</v>
      </c>
    </row>
    <row r="2932" spans="1:15" ht="16" x14ac:dyDescent="0.2">
      <c r="A2932" s="18" t="str">
        <f>HYPERLINK("https://otsuka-europe-crm.veevavault.com/ui/#object/account__v/V4TZ025E834QHZG", "SEBASTIAN SANDOVAL MORENO")</f>
        <v>SEBASTIAN SANDOVAL MORENO</v>
      </c>
      <c r="B2932" s="18" t="str">
        <f>HYPERLINK("https://otsuka-europe-crm.veevavault.com/ui/#object/vcountry__v/VENZ000004SONF5", "ES")</f>
        <v>ES</v>
      </c>
      <c r="C2932" s="20" t="s">
        <v>39</v>
      </c>
      <c r="D293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32" s="22" t="str">
        <f>HYPERLINK("https://otsuka-europe-crm.veevavault.com/ui/#object/sent_email__v/VBL000000032388", "SE-001443109")</f>
        <v>SE-001443109</v>
      </c>
      <c r="F2932" s="23"/>
      <c r="G2932" s="24">
        <v>0</v>
      </c>
      <c r="H2932" s="24">
        <v>0</v>
      </c>
      <c r="I2932" s="24">
        <v>0</v>
      </c>
      <c r="J2932" s="23"/>
      <c r="K2932" s="24">
        <v>0</v>
      </c>
      <c r="L293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32" s="22" t="str">
        <f>HYPERLINK("mailto:ccoll@crm.otsuka-europe.com", "ccoll@crm.otsuka-europe.com")</f>
        <v>ccoll@crm.otsuka-europe.com</v>
      </c>
      <c r="N2932" s="25">
        <v>46212.689409722225</v>
      </c>
      <c r="O2932" s="14" t="str">
        <f>HYPERLINK("https://otsuka-europe-crm.veevavault.com/ui/#object/email_activity__v/V8C000000046166", "EN-002104094")</f>
        <v>EN-002104094</v>
      </c>
    </row>
    <row r="2933" spans="1:15" ht="16" x14ac:dyDescent="0.2">
      <c r="A2933" s="26"/>
      <c r="B2933" s="26"/>
      <c r="C2933" s="26"/>
      <c r="D2933" s="26"/>
      <c r="E2933" s="26"/>
      <c r="F2933" s="26"/>
      <c r="G2933" s="26"/>
      <c r="H2933" s="26"/>
      <c r="I2933" s="26"/>
      <c r="J2933" s="26"/>
      <c r="K2933" s="26"/>
      <c r="L2933" s="26"/>
      <c r="M2933" s="26"/>
      <c r="N2933" s="26"/>
      <c r="O2933" s="14" t="str">
        <f>HYPERLINK("https://otsuka-europe-crm.veevavault.com/ui/#object/email_activity__v/V8C000000046181", "EN-002104126")</f>
        <v>EN-002104126</v>
      </c>
    </row>
    <row r="2934" spans="1:15" ht="16" x14ac:dyDescent="0.2">
      <c r="A2934" s="19"/>
      <c r="B2934" s="19"/>
      <c r="C2934" s="19"/>
      <c r="D2934" s="19"/>
      <c r="E2934" s="19"/>
      <c r="F2934" s="19"/>
      <c r="G2934" s="19"/>
      <c r="H2934" s="19"/>
      <c r="I2934" s="19"/>
      <c r="J2934" s="19"/>
      <c r="K2934" s="19"/>
      <c r="L2934" s="19"/>
      <c r="M2934" s="19"/>
      <c r="N2934" s="19"/>
      <c r="O2934" s="14" t="str">
        <f>HYPERLINK("https://otsuka-europe-crm.veevavault.com/ui/#object/email_activity__v/V8C000000049434", "EN-002105633")</f>
        <v>EN-002105633</v>
      </c>
    </row>
    <row r="2935" spans="1:15" ht="16" x14ac:dyDescent="0.2">
      <c r="A2935" s="18" t="str">
        <f>HYPERLINK("https://otsuka-europe-crm.veevavault.com/ui/#object/account__v/V4TZ04ASGB4LAF8", "PAOLA VIDAL MONTAL")</f>
        <v>PAOLA VIDAL MONTAL</v>
      </c>
      <c r="B2935" s="18" t="str">
        <f>HYPERLINK("https://otsuka-europe-crm.veevavault.com/ui/#object/vcountry__v/VENZ000004SONF5", "ES")</f>
        <v>ES</v>
      </c>
      <c r="C2935" s="20" t="s">
        <v>39</v>
      </c>
      <c r="D293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2935" s="22" t="str">
        <f>HYPERLINK("https://otsuka-europe-crm.veevavault.com/ui/#object/sent_email__v/VBL000000032389", "SE-001443110")</f>
        <v>SE-001443110</v>
      </c>
      <c r="F2935" s="25">
        <v>46212.699976851851</v>
      </c>
      <c r="G2935" s="24">
        <v>1</v>
      </c>
      <c r="H2935" s="24">
        <v>1</v>
      </c>
      <c r="I2935" s="24">
        <v>0</v>
      </c>
      <c r="J2935" s="23"/>
      <c r="K2935" s="24">
        <v>0</v>
      </c>
      <c r="L293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2935" s="22" t="str">
        <f>HYPERLINK("mailto:ccoll@crm.otsuka-europe.com", "ccoll@crm.otsuka-europe.com")</f>
        <v>ccoll@crm.otsuka-europe.com</v>
      </c>
      <c r="N2935" s="25">
        <v>46212.689386574071</v>
      </c>
      <c r="O2935" s="14" t="str">
        <f>HYPERLINK("https://otsuka-europe-crm.veevavault.com/ui/#object/email_activity__v/V8C000000046121", "EN-002104046")</f>
        <v>EN-002104046</v>
      </c>
    </row>
    <row r="2936" spans="1:15" ht="16" x14ac:dyDescent="0.2">
      <c r="A2936" s="19"/>
      <c r="B2936" s="19"/>
      <c r="C2936" s="19"/>
      <c r="D2936" s="19"/>
      <c r="E2936" s="19"/>
      <c r="F2936" s="19"/>
      <c r="G2936" s="19"/>
      <c r="H2936" s="19"/>
      <c r="I2936" s="19"/>
      <c r="J2936" s="19"/>
      <c r="K2936" s="19"/>
      <c r="L2936" s="19"/>
      <c r="M2936" s="19"/>
      <c r="N2936" s="19"/>
      <c r="O2936" s="14" t="str">
        <f>HYPERLINK("https://otsuka-europe-crm.veevavault.com/ui/#object/email_activity__v/V8C000000046174", "EN-002104118")</f>
        <v>EN-002104118</v>
      </c>
    </row>
    <row r="2937" spans="1:15" ht="16" x14ac:dyDescent="0.2">
      <c r="A2937" s="18" t="str">
        <f>HYPERLINK("https://otsuka-europe-crm.veevavault.com/ui/#object/account__v/V4T00000002A036", "MARIE LOUISE LOKUKE")</f>
        <v>MARIE LOUISE LOKUKE</v>
      </c>
      <c r="B2937" s="18" t="str">
        <f>HYPERLINK("https://otsuka-europe-crm.veevavault.com/ui/#object/vcountry__v/VENZ000004SONFA", "FR")</f>
        <v>FR</v>
      </c>
      <c r="C2937" s="20" t="s">
        <v>40</v>
      </c>
      <c r="D2937" s="21" t="str">
        <f>HYPERLINK("https://otsuka-europe-crm.veevavault.com/ui/#object/approved_document__v/V5O00000001T005", "Emailing instauration - Juillet 2026 - FR-AM2-2600001")</f>
        <v>Emailing instauration - Juillet 2026 - FR-AM2-2600001</v>
      </c>
      <c r="E2937" s="22" t="str">
        <f>HYPERLINK("https://otsuka-europe-crm.veevavault.com/ui/#object/sent_email__v/VBL000000032390", "SE-001443111")</f>
        <v>SE-001443111</v>
      </c>
      <c r="F2937" s="25">
        <v>46219.353402777779</v>
      </c>
      <c r="G2937" s="24">
        <v>1</v>
      </c>
      <c r="H2937" s="24">
        <v>3</v>
      </c>
      <c r="I2937" s="24">
        <v>0</v>
      </c>
      <c r="J2937" s="23"/>
      <c r="K2937" s="24">
        <v>0</v>
      </c>
      <c r="L2937" s="22" t="str">
        <f>HYPERLINK("https://otsuka-europe-crm.veevavault.com/ui/#object/approved_document__v/V5O00000001T005", "Emailing instauration - Juillet 2026 - FR-AM2-2600001")</f>
        <v>Emailing instauration - Juillet 2026 - FR-AM2-2600001</v>
      </c>
      <c r="M2937" s="22" t="str">
        <f>HYPERLINK("mailto:sblancheland@crm.otsuka-europe.com", "sblancheland@crm.otsuka-europe.com")</f>
        <v>sblancheland@crm.otsuka-europe.com</v>
      </c>
      <c r="N2937" s="25">
        <v>46212.698657407411</v>
      </c>
      <c r="O2937" s="14" t="str">
        <f>HYPERLINK("https://otsuka-europe-crm.veevavault.com/ui/#object/email_activity__v/V8C000000045392", "EN-002104116")</f>
        <v>EN-002104116</v>
      </c>
    </row>
    <row r="2938" spans="1:15" ht="16" x14ac:dyDescent="0.2">
      <c r="A2938" s="26"/>
      <c r="B2938" s="26"/>
      <c r="C2938" s="26"/>
      <c r="D2938" s="26"/>
      <c r="E2938" s="26"/>
      <c r="F2938" s="26"/>
      <c r="G2938" s="26"/>
      <c r="H2938" s="26"/>
      <c r="I2938" s="26"/>
      <c r="J2938" s="26"/>
      <c r="K2938" s="26"/>
      <c r="L2938" s="26"/>
      <c r="M2938" s="26"/>
      <c r="N2938" s="26"/>
      <c r="O2938" s="14" t="str">
        <f>HYPERLINK("https://otsuka-europe-crm.veevavault.com/ui/#object/email_activity__v/V8C000000046189", "EN-002104139")</f>
        <v>EN-002104139</v>
      </c>
    </row>
    <row r="2939" spans="1:15" ht="16" x14ac:dyDescent="0.2">
      <c r="A2939" s="26"/>
      <c r="B2939" s="26"/>
      <c r="C2939" s="26"/>
      <c r="D2939" s="26"/>
      <c r="E2939" s="26"/>
      <c r="F2939" s="26"/>
      <c r="G2939" s="26"/>
      <c r="H2939" s="26"/>
      <c r="I2939" s="26"/>
      <c r="J2939" s="26"/>
      <c r="K2939" s="26"/>
      <c r="L2939" s="26"/>
      <c r="M2939" s="26"/>
      <c r="N2939" s="26"/>
      <c r="O2939" s="14" t="str">
        <f>HYPERLINK("https://otsuka-europe-crm.veevavault.com/ui/#object/email_activity__v/V8C00000004A857", "EN-002106568")</f>
        <v>EN-002106568</v>
      </c>
    </row>
    <row r="2940" spans="1:15" ht="16" x14ac:dyDescent="0.2">
      <c r="A2940" s="19"/>
      <c r="B2940" s="19"/>
      <c r="C2940" s="19"/>
      <c r="D2940" s="19"/>
      <c r="E2940" s="19"/>
      <c r="F2940" s="19"/>
      <c r="G2940" s="19"/>
      <c r="H2940" s="19"/>
      <c r="I2940" s="19"/>
      <c r="J2940" s="19"/>
      <c r="K2940" s="19"/>
      <c r="L2940" s="19"/>
      <c r="M2940" s="19"/>
      <c r="N2940" s="19"/>
      <c r="O2940" s="14" t="str">
        <f>HYPERLINK("https://otsuka-europe-crm.veevavault.com/ui/#object/email_activity__v/V8C00000004A858", "EN-002106569")</f>
        <v>EN-002106569</v>
      </c>
    </row>
    <row r="2941" spans="1:15" ht="16" x14ac:dyDescent="0.2">
      <c r="A2941" s="18" t="str">
        <f>HYPERLINK("https://otsuka-europe-crm.veevavault.com/ui/#object/account__v/V4T00000002C002", "ERNESTO GALVEZ CARRASCO")</f>
        <v>ERNESTO GALVEZ CARRASCO</v>
      </c>
      <c r="B2941" s="18" t="str">
        <f>HYPERLINK("https://otsuka-europe-crm.veevavault.com/ui/#object/vcountry__v/VENZ000004SONF5", "ES")</f>
        <v>ES</v>
      </c>
      <c r="C2941" s="20" t="s">
        <v>39</v>
      </c>
      <c r="D2941" s="21" t="str">
        <f>HYPERLINK("https://otsuka-europe-crm.veevavault.com/ui/#object/approved_document__v/V5OZ04ASG4FWKA9", "Documento Autorizaciขn Centro Empleador")</f>
        <v>Documento Autorizaciขn Centro Empleador</v>
      </c>
      <c r="E2941" s="22" t="str">
        <f>HYPERLINK("https://otsuka-europe-crm.veevavault.com/ui/#object/sent_email__v/VBL000000035001", "SE-001443112")</f>
        <v>SE-001443112</v>
      </c>
      <c r="F2941" s="25">
        <v>46214.544756944444</v>
      </c>
      <c r="G2941" s="24">
        <v>1</v>
      </c>
      <c r="H2941" s="24">
        <v>3</v>
      </c>
      <c r="I2941" s="24">
        <v>1</v>
      </c>
      <c r="J2941" s="25">
        <v>46213.430613425924</v>
      </c>
      <c r="K2941" s="24">
        <v>2</v>
      </c>
      <c r="L2941" s="22" t="str">
        <f>HYPERLINK("https://otsuka-europe-crm.veevavault.com/ui/#object/approved_document__v/V5OZ04ASG4FWKA9", "Documento Autorizaciขn Centro Empleador")</f>
        <v>Documento Autorizaciขn Centro Empleador</v>
      </c>
      <c r="M2941" s="22" t="str">
        <f>HYPERLINK("mailto:mgravan@crm.otsuka-europe.com", "mgravan@crm.otsuka-europe.com")</f>
        <v>mgravan@crm.otsuka-europe.com</v>
      </c>
      <c r="N2941" s="25">
        <v>46213.299930555557</v>
      </c>
      <c r="O2941" s="14" t="str">
        <f>HYPERLINK("https://otsuka-europe-crm.veevavault.com/ui/#object/email_activity__v/V8C000000047062", "EN-002104268")</f>
        <v>EN-002104268</v>
      </c>
    </row>
    <row r="2942" spans="1:15" ht="16" x14ac:dyDescent="0.2">
      <c r="A2942" s="26"/>
      <c r="B2942" s="26"/>
      <c r="C2942" s="26"/>
      <c r="D2942" s="26"/>
      <c r="E2942" s="26"/>
      <c r="F2942" s="26"/>
      <c r="G2942" s="26"/>
      <c r="H2942" s="26"/>
      <c r="I2942" s="26"/>
      <c r="J2942" s="26"/>
      <c r="K2942" s="26"/>
      <c r="L2942" s="26"/>
      <c r="M2942" s="26"/>
      <c r="N2942" s="26"/>
      <c r="O2942" s="14" t="str">
        <f>HYPERLINK("https://otsuka-europe-crm.veevavault.com/ui/#object/email_activity__v/V8C000000047065", "EN-002104273")</f>
        <v>EN-002104273</v>
      </c>
    </row>
    <row r="2943" spans="1:15" ht="16" x14ac:dyDescent="0.2">
      <c r="A2943" s="26"/>
      <c r="B2943" s="26"/>
      <c r="C2943" s="26"/>
      <c r="D2943" s="26"/>
      <c r="E2943" s="26"/>
      <c r="F2943" s="26"/>
      <c r="G2943" s="26"/>
      <c r="H2943" s="26"/>
      <c r="I2943" s="26"/>
      <c r="J2943" s="26"/>
      <c r="K2943" s="26"/>
      <c r="L2943" s="26"/>
      <c r="M2943" s="26"/>
      <c r="N2943" s="26"/>
      <c r="O2943" s="14" t="str">
        <f>HYPERLINK("https://otsuka-europe-crm.veevavault.com/ui/#object/email_activity__v/V8C000000048020", "EN-002104218")</f>
        <v>EN-002104218</v>
      </c>
    </row>
    <row r="2944" spans="1:15" ht="16" x14ac:dyDescent="0.2">
      <c r="A2944" s="26"/>
      <c r="B2944" s="26"/>
      <c r="C2944" s="26"/>
      <c r="D2944" s="26"/>
      <c r="E2944" s="26"/>
      <c r="F2944" s="26"/>
      <c r="G2944" s="26"/>
      <c r="H2944" s="26"/>
      <c r="I2944" s="26"/>
      <c r="J2944" s="26"/>
      <c r="K2944" s="26"/>
      <c r="L2944" s="26"/>
      <c r="M2944" s="26"/>
      <c r="N2944" s="26"/>
      <c r="O2944" s="14" t="str">
        <f>HYPERLINK("https://otsuka-europe-crm.veevavault.com/ui/#object/email_activity__v/V8C000000048043", "EN-002104266")</f>
        <v>EN-002104266</v>
      </c>
    </row>
    <row r="2945" spans="1:15" ht="16" x14ac:dyDescent="0.2">
      <c r="A2945" s="26"/>
      <c r="B2945" s="26"/>
      <c r="C2945" s="26"/>
      <c r="D2945" s="26"/>
      <c r="E2945" s="26"/>
      <c r="F2945" s="26"/>
      <c r="G2945" s="26"/>
      <c r="H2945" s="26"/>
      <c r="I2945" s="26"/>
      <c r="J2945" s="26"/>
      <c r="K2945" s="26"/>
      <c r="L2945" s="26"/>
      <c r="M2945" s="26"/>
      <c r="N2945" s="26"/>
      <c r="O2945" s="14" t="str">
        <f>HYPERLINK("https://otsuka-europe-crm.veevavault.com/ui/#object/email_activity__v/V8C000000048046", "EN-002104272")</f>
        <v>EN-002104272</v>
      </c>
    </row>
    <row r="2946" spans="1:15" ht="16" x14ac:dyDescent="0.2">
      <c r="A2946" s="19"/>
      <c r="B2946" s="19"/>
      <c r="C2946" s="19"/>
      <c r="D2946" s="19"/>
      <c r="E2946" s="19"/>
      <c r="F2946" s="19"/>
      <c r="G2946" s="19"/>
      <c r="H2946" s="19"/>
      <c r="I2946" s="19"/>
      <c r="J2946" s="19"/>
      <c r="K2946" s="19"/>
      <c r="L2946" s="19"/>
      <c r="M2946" s="19"/>
      <c r="N2946" s="19"/>
      <c r="O2946" s="14" t="str">
        <f>HYPERLINK("https://otsuka-europe-crm.veevavault.com/ui/#object/email_activity__v/V8C00000004A018", "EN-002104903")</f>
        <v>EN-002104903</v>
      </c>
    </row>
    <row r="2947" spans="1:15" ht="16" x14ac:dyDescent="0.2">
      <c r="A2947" s="18" t="str">
        <f>HYPERLINK("https://otsuka-europe-crm.veevavault.com/ui/#object/account__v/V4T00000002C002", "ERNESTO GALVEZ CARRASCO")</f>
        <v>ERNESTO GALVEZ CARRASCO</v>
      </c>
      <c r="B2947" s="18" t="str">
        <f>HYPERLINK("https://otsuka-europe-crm.veevavault.com/ui/#object/vcountry__v/VENZ000004SONF5", "ES")</f>
        <v>ES</v>
      </c>
      <c r="C2947" s="20" t="s">
        <v>39</v>
      </c>
      <c r="D2947" s="21" t="str">
        <f>HYPERLINK("https://otsuka-europe-crm.veevavault.com/ui/#object/approved_document__v/V5OZ04ASG4FWKA7", "Reuniones Online Consent - 2")</f>
        <v>Reuniones Online Consent - 2</v>
      </c>
      <c r="E2947" s="22" t="str">
        <f>HYPERLINK("https://otsuka-europe-crm.veevavault.com/ui/#object/sent_email__v/VBL000000035002", "SE-001443113")</f>
        <v>SE-001443113</v>
      </c>
      <c r="F2947" s="25">
        <v>46213.431458333333</v>
      </c>
      <c r="G2947" s="24">
        <v>1</v>
      </c>
      <c r="H2947" s="24">
        <v>4</v>
      </c>
      <c r="I2947" s="24">
        <v>1</v>
      </c>
      <c r="J2947" s="25">
        <v>46213.43074074074</v>
      </c>
      <c r="K2947" s="24">
        <v>1</v>
      </c>
      <c r="L2947" s="22" t="str">
        <f>HYPERLINK("https://otsuka-europe-crm.veevavault.com/ui/#object/approved_document__v/V5OZ04ASG4FWKA7", "Reuniones Online Consent - 2")</f>
        <v>Reuniones Online Consent - 2</v>
      </c>
      <c r="M2947" s="22" t="str">
        <f>HYPERLINK("mailto:mgravan@crm.otsuka-europe.com", "mgravan@crm.otsuka-europe.com")</f>
        <v>mgravan@crm.otsuka-europe.com</v>
      </c>
      <c r="N2947" s="25">
        <v>46213.299930555557</v>
      </c>
      <c r="O2947" s="14" t="str">
        <f>HYPERLINK("https://otsuka-europe-crm.veevavault.com/ui/#object/email_activity__v/V8C000000047064", "EN-002104271")</f>
        <v>EN-002104271</v>
      </c>
    </row>
    <row r="2948" spans="1:15" ht="16" x14ac:dyDescent="0.2">
      <c r="A2948" s="26"/>
      <c r="B2948" s="26"/>
      <c r="C2948" s="26"/>
      <c r="D2948" s="26"/>
      <c r="E2948" s="26"/>
      <c r="F2948" s="26"/>
      <c r="G2948" s="26"/>
      <c r="H2948" s="26"/>
      <c r="I2948" s="26"/>
      <c r="J2948" s="26"/>
      <c r="K2948" s="26"/>
      <c r="L2948" s="26"/>
      <c r="M2948" s="26"/>
      <c r="N2948" s="26"/>
      <c r="O2948" s="14" t="str">
        <f>HYPERLINK("https://otsuka-europe-crm.veevavault.com/ui/#object/email_activity__v/V8C000000047066", "EN-002104274")</f>
        <v>EN-002104274</v>
      </c>
    </row>
    <row r="2949" spans="1:15" ht="16" x14ac:dyDescent="0.2">
      <c r="A2949" s="26"/>
      <c r="B2949" s="26"/>
      <c r="C2949" s="26"/>
      <c r="D2949" s="26"/>
      <c r="E2949" s="26"/>
      <c r="F2949" s="26"/>
      <c r="G2949" s="26"/>
      <c r="H2949" s="26"/>
      <c r="I2949" s="26"/>
      <c r="J2949" s="26"/>
      <c r="K2949" s="26"/>
      <c r="L2949" s="26"/>
      <c r="M2949" s="26"/>
      <c r="N2949" s="26"/>
      <c r="O2949" s="14" t="str">
        <f>HYPERLINK("https://otsuka-europe-crm.veevavault.com/ui/#object/email_activity__v/V8C000000047067", "EN-002104276")</f>
        <v>EN-002104276</v>
      </c>
    </row>
    <row r="2950" spans="1:15" ht="16" x14ac:dyDescent="0.2">
      <c r="A2950" s="26"/>
      <c r="B2950" s="26"/>
      <c r="C2950" s="26"/>
      <c r="D2950" s="26"/>
      <c r="E2950" s="26"/>
      <c r="F2950" s="26"/>
      <c r="G2950" s="26"/>
      <c r="H2950" s="26"/>
      <c r="I2950" s="26"/>
      <c r="J2950" s="26"/>
      <c r="K2950" s="26"/>
      <c r="L2950" s="26"/>
      <c r="M2950" s="26"/>
      <c r="N2950" s="26"/>
      <c r="O2950" s="14" t="str">
        <f>HYPERLINK("https://otsuka-europe-crm.veevavault.com/ui/#object/email_activity__v/V8C000000048021", "EN-002104219")</f>
        <v>EN-002104219</v>
      </c>
    </row>
    <row r="2951" spans="1:15" ht="16" x14ac:dyDescent="0.2">
      <c r="A2951" s="26"/>
      <c r="B2951" s="26"/>
      <c r="C2951" s="26"/>
      <c r="D2951" s="26"/>
      <c r="E2951" s="26"/>
      <c r="F2951" s="26"/>
      <c r="G2951" s="26"/>
      <c r="H2951" s="26"/>
      <c r="I2951" s="26"/>
      <c r="J2951" s="26"/>
      <c r="K2951" s="26"/>
      <c r="L2951" s="26"/>
      <c r="M2951" s="26"/>
      <c r="N2951" s="26"/>
      <c r="O2951" s="14" t="str">
        <f>HYPERLINK("https://otsuka-europe-crm.veevavault.com/ui/#object/email_activity__v/V8C000000048044", "EN-002104267")</f>
        <v>EN-002104267</v>
      </c>
    </row>
    <row r="2952" spans="1:15" ht="16" x14ac:dyDescent="0.2">
      <c r="A2952" s="19"/>
      <c r="B2952" s="19"/>
      <c r="C2952" s="19"/>
      <c r="D2952" s="19"/>
      <c r="E2952" s="19"/>
      <c r="F2952" s="19"/>
      <c r="G2952" s="19"/>
      <c r="H2952" s="19"/>
      <c r="I2952" s="19"/>
      <c r="J2952" s="19"/>
      <c r="K2952" s="19"/>
      <c r="L2952" s="19"/>
      <c r="M2952" s="19"/>
      <c r="N2952" s="19"/>
      <c r="O2952" s="14" t="str">
        <f>HYPERLINK("https://otsuka-europe-crm.veevavault.com/ui/#object/email_activity__v/V8C000000048048", "EN-002104278")</f>
        <v>EN-002104278</v>
      </c>
    </row>
    <row r="2953" spans="1:15" ht="16" x14ac:dyDescent="0.2">
      <c r="A2953" s="18" t="str">
        <f>HYPERLINK("https://otsuka-europe-crm.veevavault.com/ui/#object/account__v/V4T00000002C002", "ERNESTO GALVEZ CARRASCO")</f>
        <v>ERNESTO GALVEZ CARRASCO</v>
      </c>
      <c r="B2953" s="18" t="str">
        <f>HYPERLINK("https://otsuka-europe-crm.veevavault.com/ui/#object/vcountry__v/VENZ000004SONF5", "ES")</f>
        <v>ES</v>
      </c>
      <c r="C2953" s="20" t="s">
        <v>39</v>
      </c>
      <c r="D2953" s="21" t="str">
        <f>HYPERLINK("https://otsuka-europe-crm.veevavault.com/ui/#object/approved_document__v/V5O00000000D100", "Spain - Consent Email 1 Aug 25")</f>
        <v>Spain - Consent Email 1 Aug 25</v>
      </c>
      <c r="E2953" s="22" t="str">
        <f>HYPERLINK("https://otsuka-europe-crm.veevavault.com/ui/#object/sent_email__v/VBL000000035003", "SE-001443114")</f>
        <v>SE-001443114</v>
      </c>
      <c r="F2953" s="25">
        <v>46215.808842592596</v>
      </c>
      <c r="G2953" s="24">
        <v>1</v>
      </c>
      <c r="H2953" s="24">
        <v>11</v>
      </c>
      <c r="I2953" s="24">
        <v>1</v>
      </c>
      <c r="J2953" s="25">
        <v>46213.531840277778</v>
      </c>
      <c r="K2953" s="24">
        <v>4</v>
      </c>
      <c r="L2953" s="22" t="str">
        <f>HYPERLINK("https://otsuka-europe-crm.veevavault.com/ui/#object/approved_document__v/V5O00000000D100", "Spain - Consent Email 1 Aug 25")</f>
        <v>Spain - Consent Email 1 Aug 25</v>
      </c>
      <c r="M2953" s="22" t="str">
        <f>HYPERLINK("mailto:mgravan@crm.otsuka-europe.com", "mgravan@crm.otsuka-europe.com")</f>
        <v>mgravan@crm.otsuka-europe.com</v>
      </c>
      <c r="N2953" s="25">
        <v>46213.299942129626</v>
      </c>
      <c r="O2953" s="14" t="str">
        <f>HYPERLINK("https://otsuka-europe-crm.veevavault.com/ui/#object/email_activity__v/V8C000000048019", "EN-002104217")</f>
        <v>EN-002104217</v>
      </c>
    </row>
    <row r="2954" spans="1:15" ht="16" x14ac:dyDescent="0.2">
      <c r="A2954" s="26"/>
      <c r="B2954" s="26"/>
      <c r="C2954" s="26"/>
      <c r="D2954" s="26"/>
      <c r="E2954" s="26"/>
      <c r="F2954" s="26"/>
      <c r="G2954" s="26"/>
      <c r="H2954" s="26"/>
      <c r="I2954" s="26"/>
      <c r="J2954" s="26"/>
      <c r="K2954" s="26"/>
      <c r="L2954" s="26"/>
      <c r="M2954" s="26"/>
      <c r="N2954" s="26"/>
      <c r="O2954" s="14" t="str">
        <f>HYPERLINK("https://otsuka-europe-crm.veevavault.com/ui/#object/email_activity__v/V8C000000048221", "EN-002104709")</f>
        <v>EN-002104709</v>
      </c>
    </row>
    <row r="2955" spans="1:15" ht="16" x14ac:dyDescent="0.2">
      <c r="A2955" s="26"/>
      <c r="B2955" s="26"/>
      <c r="C2955" s="26"/>
      <c r="D2955" s="26"/>
      <c r="E2955" s="26"/>
      <c r="F2955" s="26"/>
      <c r="G2955" s="26"/>
      <c r="H2955" s="26"/>
      <c r="I2955" s="26"/>
      <c r="J2955" s="26"/>
      <c r="K2955" s="26"/>
      <c r="L2955" s="26"/>
      <c r="M2955" s="26"/>
      <c r="N2955" s="26"/>
      <c r="O2955" s="14" t="str">
        <f>HYPERLINK("https://otsuka-europe-crm.veevavault.com/ui/#object/email_activity__v/V8C000000048222", "EN-002104707")</f>
        <v>EN-002104707</v>
      </c>
    </row>
    <row r="2956" spans="1:15" ht="16" x14ac:dyDescent="0.2">
      <c r="A2956" s="26"/>
      <c r="B2956" s="26"/>
      <c r="C2956" s="26"/>
      <c r="D2956" s="26"/>
      <c r="E2956" s="26"/>
      <c r="F2956" s="26"/>
      <c r="G2956" s="26"/>
      <c r="H2956" s="26"/>
      <c r="I2956" s="26"/>
      <c r="J2956" s="26"/>
      <c r="K2956" s="26"/>
      <c r="L2956" s="26"/>
      <c r="M2956" s="26"/>
      <c r="N2956" s="26"/>
      <c r="O2956" s="14" t="str">
        <f>HYPERLINK("https://otsuka-europe-crm.veevavault.com/ui/#object/email_activity__v/V8C000000048223", "EN-002104708")</f>
        <v>EN-002104708</v>
      </c>
    </row>
    <row r="2957" spans="1:15" ht="16" x14ac:dyDescent="0.2">
      <c r="A2957" s="26"/>
      <c r="B2957" s="26"/>
      <c r="C2957" s="26"/>
      <c r="D2957" s="26"/>
      <c r="E2957" s="26"/>
      <c r="F2957" s="26"/>
      <c r="G2957" s="26"/>
      <c r="H2957" s="26"/>
      <c r="I2957" s="26"/>
      <c r="J2957" s="26"/>
      <c r="K2957" s="26"/>
      <c r="L2957" s="26"/>
      <c r="M2957" s="26"/>
      <c r="N2957" s="26"/>
      <c r="O2957" s="14" t="str">
        <f>HYPERLINK("https://otsuka-europe-crm.veevavault.com/ui/#object/email_activity__v/V8C000000048225", "EN-002104711")</f>
        <v>EN-002104711</v>
      </c>
    </row>
    <row r="2958" spans="1:15" ht="16" x14ac:dyDescent="0.2">
      <c r="A2958" s="26"/>
      <c r="B2958" s="26"/>
      <c r="C2958" s="26"/>
      <c r="D2958" s="26"/>
      <c r="E2958" s="26"/>
      <c r="F2958" s="26"/>
      <c r="G2958" s="26"/>
      <c r="H2958" s="26"/>
      <c r="I2958" s="26"/>
      <c r="J2958" s="26"/>
      <c r="K2958" s="26"/>
      <c r="L2958" s="26"/>
      <c r="M2958" s="26"/>
      <c r="N2958" s="26"/>
      <c r="O2958" s="14" t="str">
        <f>HYPERLINK("https://otsuka-europe-crm.veevavault.com/ui/#object/email_activity__v/V8C000000048227", "EN-002104713")</f>
        <v>EN-002104713</v>
      </c>
    </row>
    <row r="2959" spans="1:15" ht="16" x14ac:dyDescent="0.2">
      <c r="A2959" s="26"/>
      <c r="B2959" s="26"/>
      <c r="C2959" s="26"/>
      <c r="D2959" s="26"/>
      <c r="E2959" s="26"/>
      <c r="F2959" s="26"/>
      <c r="G2959" s="26"/>
      <c r="H2959" s="26"/>
      <c r="I2959" s="26"/>
      <c r="J2959" s="26"/>
      <c r="K2959" s="26"/>
      <c r="L2959" s="26"/>
      <c r="M2959" s="26"/>
      <c r="N2959" s="26"/>
      <c r="O2959" s="14" t="str">
        <f>HYPERLINK("https://otsuka-europe-crm.veevavault.com/ui/#object/email_activity__v/V8C000000048229", "EN-002104715")</f>
        <v>EN-002104715</v>
      </c>
    </row>
    <row r="2960" spans="1:15" ht="16" x14ac:dyDescent="0.2">
      <c r="A2960" s="26"/>
      <c r="B2960" s="26"/>
      <c r="C2960" s="26"/>
      <c r="D2960" s="26"/>
      <c r="E2960" s="26"/>
      <c r="F2960" s="26"/>
      <c r="G2960" s="26"/>
      <c r="H2960" s="26"/>
      <c r="I2960" s="26"/>
      <c r="J2960" s="26"/>
      <c r="K2960" s="26"/>
      <c r="L2960" s="26"/>
      <c r="M2960" s="26"/>
      <c r="N2960" s="26"/>
      <c r="O2960" s="14" t="str">
        <f>HYPERLINK("https://otsuka-europe-crm.veevavault.com/ui/#object/email_activity__v/V8C000000049049", "EN-002104968")</f>
        <v>EN-002104968</v>
      </c>
    </row>
    <row r="2961" spans="1:15" ht="16" x14ac:dyDescent="0.2">
      <c r="A2961" s="26"/>
      <c r="B2961" s="26"/>
      <c r="C2961" s="26"/>
      <c r="D2961" s="26"/>
      <c r="E2961" s="26"/>
      <c r="F2961" s="26"/>
      <c r="G2961" s="26"/>
      <c r="H2961" s="26"/>
      <c r="I2961" s="26"/>
      <c r="J2961" s="26"/>
      <c r="K2961" s="26"/>
      <c r="L2961" s="26"/>
      <c r="M2961" s="26"/>
      <c r="N2961" s="26"/>
      <c r="O2961" s="14" t="str">
        <f>HYPERLINK("https://otsuka-europe-crm.veevavault.com/ui/#object/email_activity__v/V8C000000049053", "EN-002104972")</f>
        <v>EN-002104972</v>
      </c>
    </row>
    <row r="2962" spans="1:15" ht="16" x14ac:dyDescent="0.2">
      <c r="A2962" s="26"/>
      <c r="B2962" s="26"/>
      <c r="C2962" s="26"/>
      <c r="D2962" s="26"/>
      <c r="E2962" s="26"/>
      <c r="F2962" s="26"/>
      <c r="G2962" s="26"/>
      <c r="H2962" s="26"/>
      <c r="I2962" s="26"/>
      <c r="J2962" s="26"/>
      <c r="K2962" s="26"/>
      <c r="L2962" s="26"/>
      <c r="M2962" s="26"/>
      <c r="N2962" s="26"/>
      <c r="O2962" s="14" t="str">
        <f>HYPERLINK("https://otsuka-europe-crm.veevavault.com/ui/#object/email_activity__v/V8C000000049068", "EN-002104997")</f>
        <v>EN-002104997</v>
      </c>
    </row>
    <row r="2963" spans="1:15" ht="16" x14ac:dyDescent="0.2">
      <c r="A2963" s="26"/>
      <c r="B2963" s="26"/>
      <c r="C2963" s="26"/>
      <c r="D2963" s="26"/>
      <c r="E2963" s="26"/>
      <c r="F2963" s="26"/>
      <c r="G2963" s="26"/>
      <c r="H2963" s="26"/>
      <c r="I2963" s="26"/>
      <c r="J2963" s="26"/>
      <c r="K2963" s="26"/>
      <c r="L2963" s="26"/>
      <c r="M2963" s="26"/>
      <c r="N2963" s="26"/>
      <c r="O2963" s="14" t="str">
        <f>HYPERLINK("https://otsuka-europe-crm.veevavault.com/ui/#object/email_activity__v/V8C000000049074", "EN-002105006")</f>
        <v>EN-002105006</v>
      </c>
    </row>
    <row r="2964" spans="1:15" ht="16" x14ac:dyDescent="0.2">
      <c r="A2964" s="26"/>
      <c r="B2964" s="26"/>
      <c r="C2964" s="26"/>
      <c r="D2964" s="26"/>
      <c r="E2964" s="26"/>
      <c r="F2964" s="26"/>
      <c r="G2964" s="26"/>
      <c r="H2964" s="26"/>
      <c r="I2964" s="26"/>
      <c r="J2964" s="26"/>
      <c r="K2964" s="26"/>
      <c r="L2964" s="26"/>
      <c r="M2964" s="26"/>
      <c r="N2964" s="26"/>
      <c r="O2964" s="14" t="str">
        <f>HYPERLINK("https://otsuka-europe-crm.veevavault.com/ui/#object/email_activity__v/V8C000000049076", "EN-002105008")</f>
        <v>EN-002105008</v>
      </c>
    </row>
    <row r="2965" spans="1:15" ht="16" x14ac:dyDescent="0.2">
      <c r="A2965" s="26"/>
      <c r="B2965" s="26"/>
      <c r="C2965" s="26"/>
      <c r="D2965" s="26"/>
      <c r="E2965" s="26"/>
      <c r="F2965" s="26"/>
      <c r="G2965" s="26"/>
      <c r="H2965" s="26"/>
      <c r="I2965" s="26"/>
      <c r="J2965" s="26"/>
      <c r="K2965" s="26"/>
      <c r="L2965" s="26"/>
      <c r="M2965" s="26"/>
      <c r="N2965" s="26"/>
      <c r="O2965" s="14" t="str">
        <f>HYPERLINK("https://otsuka-europe-crm.veevavault.com/ui/#object/email_activity__v/V8C00000004A020", "EN-002104907")</f>
        <v>EN-002104907</v>
      </c>
    </row>
    <row r="2966" spans="1:15" ht="16" x14ac:dyDescent="0.2">
      <c r="A2966" s="26"/>
      <c r="B2966" s="26"/>
      <c r="C2966" s="26"/>
      <c r="D2966" s="26"/>
      <c r="E2966" s="26"/>
      <c r="F2966" s="26"/>
      <c r="G2966" s="26"/>
      <c r="H2966" s="26"/>
      <c r="I2966" s="26"/>
      <c r="J2966" s="26"/>
      <c r="K2966" s="26"/>
      <c r="L2966" s="26"/>
      <c r="M2966" s="26"/>
      <c r="N2966" s="26"/>
      <c r="O2966" s="14" t="str">
        <f>HYPERLINK("https://otsuka-europe-crm.veevavault.com/ui/#object/email_activity__v/V8C00000004A045", "EN-002104961")</f>
        <v>EN-002104961</v>
      </c>
    </row>
    <row r="2967" spans="1:15" ht="16" x14ac:dyDescent="0.2">
      <c r="A2967" s="26"/>
      <c r="B2967" s="26"/>
      <c r="C2967" s="26"/>
      <c r="D2967" s="26"/>
      <c r="E2967" s="26"/>
      <c r="F2967" s="26"/>
      <c r="G2967" s="26"/>
      <c r="H2967" s="26"/>
      <c r="I2967" s="26"/>
      <c r="J2967" s="26"/>
      <c r="K2967" s="26"/>
      <c r="L2967" s="26"/>
      <c r="M2967" s="26"/>
      <c r="N2967" s="26"/>
      <c r="O2967" s="14" t="str">
        <f>HYPERLINK("https://otsuka-europe-crm.veevavault.com/ui/#object/email_activity__v/V8C00000004A062", "EN-002104999")</f>
        <v>EN-002104999</v>
      </c>
    </row>
    <row r="2968" spans="1:15" ht="16" x14ac:dyDescent="0.2">
      <c r="A2968" s="19"/>
      <c r="B2968" s="19"/>
      <c r="C2968" s="19"/>
      <c r="D2968" s="19"/>
      <c r="E2968" s="19"/>
      <c r="F2968" s="19"/>
      <c r="G2968" s="19"/>
      <c r="H2968" s="19"/>
      <c r="I2968" s="19"/>
      <c r="J2968" s="19"/>
      <c r="K2968" s="19"/>
      <c r="L2968" s="19"/>
      <c r="M2968" s="19"/>
      <c r="N2968" s="19"/>
      <c r="O2968" s="14" t="str">
        <f>HYPERLINK("https://otsuka-europe-crm.veevavault.com/ui/#object/email_activity__v/V8C00000004A063", "EN-002105002")</f>
        <v>EN-002105002</v>
      </c>
    </row>
    <row r="2969" spans="1:15" ht="16" x14ac:dyDescent="0.2">
      <c r="A2969" s="18" t="str">
        <f>HYPERLINK("https://otsuka-europe-crm.veevavault.com/ui/#object/account__v/V4T00000002C002", "ERNESTO GALVEZ CARRASCO")</f>
        <v>ERNESTO GALVEZ CARRASCO</v>
      </c>
      <c r="B2969" s="18" t="str">
        <f>HYPERLINK("https://otsuka-europe-crm.veevavault.com/ui/#object/vcountry__v/VENZ000004SONF5", "ES")</f>
        <v>ES</v>
      </c>
      <c r="C2969" s="20" t="s">
        <v>39</v>
      </c>
      <c r="D2969" s="21" t="str">
        <f>HYPERLINK("https://otsuka-europe-crm.veevavault.com/ui/#object/approved_document__v/V5OZ06G6O6RFL1P", "ES Veeva Privacy Notice Email")</f>
        <v>ES Veeva Privacy Notice Email</v>
      </c>
      <c r="E2969" s="22" t="str">
        <f>HYPERLINK("https://otsuka-europe-crm.veevavault.com/ui/#object/sent_email__v/VBL000000035004", "SE-001443115")</f>
        <v>SE-001443115</v>
      </c>
      <c r="F2969" s="25">
        <v>46215.808842592596</v>
      </c>
      <c r="G2969" s="24">
        <v>1</v>
      </c>
      <c r="H2969" s="24">
        <v>12</v>
      </c>
      <c r="I2969" s="24">
        <v>1</v>
      </c>
      <c r="J2969" s="25">
        <v>46213.431481481479</v>
      </c>
      <c r="K2969" s="24">
        <v>1</v>
      </c>
      <c r="L2969" s="22" t="str">
        <f>HYPERLINK("https://otsuka-europe-crm.veevavault.com/ui/#object/approved_document__v/V5OZ06G6O6RFL1P", "ES Veeva Privacy Notice Email")</f>
        <v>ES Veeva Privacy Notice Email</v>
      </c>
      <c r="M2969" s="22" t="str">
        <f>HYPERLINK("mailto:mgravan@crm.otsuka-europe.com", "mgravan@crm.otsuka-europe.com")</f>
        <v>mgravan@crm.otsuka-europe.com</v>
      </c>
      <c r="N2969" s="25">
        <v>46213.299988425926</v>
      </c>
      <c r="O2969" s="14" t="str">
        <f>HYPERLINK("https://otsuka-europe-crm.veevavault.com/ui/#object/email_activity__v/V8C000000047061", "EN-002104265")</f>
        <v>EN-002104265</v>
      </c>
    </row>
    <row r="2970" spans="1:15" ht="16" x14ac:dyDescent="0.2">
      <c r="A2970" s="26"/>
      <c r="B2970" s="26"/>
      <c r="C2970" s="26"/>
      <c r="D2970" s="26"/>
      <c r="E2970" s="26"/>
      <c r="F2970" s="26"/>
      <c r="G2970" s="26"/>
      <c r="H2970" s="26"/>
      <c r="I2970" s="26"/>
      <c r="J2970" s="26"/>
      <c r="K2970" s="26"/>
      <c r="L2970" s="26"/>
      <c r="M2970" s="26"/>
      <c r="N2970" s="26"/>
      <c r="O2970" s="14" t="str">
        <f>HYPERLINK("https://otsuka-europe-crm.veevavault.com/ui/#object/email_activity__v/V8C000000047063", "EN-002104270")</f>
        <v>EN-002104270</v>
      </c>
    </row>
    <row r="2971" spans="1:15" ht="16" x14ac:dyDescent="0.2">
      <c r="A2971" s="26"/>
      <c r="B2971" s="26"/>
      <c r="C2971" s="26"/>
      <c r="D2971" s="26"/>
      <c r="E2971" s="26"/>
      <c r="F2971" s="26"/>
      <c r="G2971" s="26"/>
      <c r="H2971" s="26"/>
      <c r="I2971" s="26"/>
      <c r="J2971" s="26"/>
      <c r="K2971" s="26"/>
      <c r="L2971" s="26"/>
      <c r="M2971" s="26"/>
      <c r="N2971" s="26"/>
      <c r="O2971" s="14" t="str">
        <f>HYPERLINK("https://otsuka-europe-crm.veevavault.com/ui/#object/email_activity__v/V8C000000047068", "EN-002104277")</f>
        <v>EN-002104277</v>
      </c>
    </row>
    <row r="2972" spans="1:15" ht="16" x14ac:dyDescent="0.2">
      <c r="A2972" s="26"/>
      <c r="B2972" s="26"/>
      <c r="C2972" s="26"/>
      <c r="D2972" s="26"/>
      <c r="E2972" s="26"/>
      <c r="F2972" s="26"/>
      <c r="G2972" s="26"/>
      <c r="H2972" s="26"/>
      <c r="I2972" s="26"/>
      <c r="J2972" s="26"/>
      <c r="K2972" s="26"/>
      <c r="L2972" s="26"/>
      <c r="M2972" s="26"/>
      <c r="N2972" s="26"/>
      <c r="O2972" s="14" t="str">
        <f>HYPERLINK("https://otsuka-europe-crm.veevavault.com/ui/#object/email_activity__v/V8C000000048022", "EN-002104220")</f>
        <v>EN-002104220</v>
      </c>
    </row>
    <row r="2973" spans="1:15" ht="16" x14ac:dyDescent="0.2">
      <c r="A2973" s="26"/>
      <c r="B2973" s="26"/>
      <c r="C2973" s="26"/>
      <c r="D2973" s="26"/>
      <c r="E2973" s="26"/>
      <c r="F2973" s="26"/>
      <c r="G2973" s="26"/>
      <c r="H2973" s="26"/>
      <c r="I2973" s="26"/>
      <c r="J2973" s="26"/>
      <c r="K2973" s="26"/>
      <c r="L2973" s="26"/>
      <c r="M2973" s="26"/>
      <c r="N2973" s="26"/>
      <c r="O2973" s="14" t="str">
        <f>HYPERLINK("https://otsuka-europe-crm.veevavault.com/ui/#object/email_activity__v/V8C000000048047", "EN-002104275")</f>
        <v>EN-002104275</v>
      </c>
    </row>
    <row r="2974" spans="1:15" ht="16" x14ac:dyDescent="0.2">
      <c r="A2974" s="26"/>
      <c r="B2974" s="26"/>
      <c r="C2974" s="26"/>
      <c r="D2974" s="26"/>
      <c r="E2974" s="26"/>
      <c r="F2974" s="26"/>
      <c r="G2974" s="26"/>
      <c r="H2974" s="26"/>
      <c r="I2974" s="26"/>
      <c r="J2974" s="26"/>
      <c r="K2974" s="26"/>
      <c r="L2974" s="26"/>
      <c r="M2974" s="26"/>
      <c r="N2974" s="26"/>
      <c r="O2974" s="14" t="str">
        <f>HYPERLINK("https://otsuka-europe-crm.veevavault.com/ui/#object/email_activity__v/V8C000000048049", "EN-002104279")</f>
        <v>EN-002104279</v>
      </c>
    </row>
    <row r="2975" spans="1:15" ht="16" x14ac:dyDescent="0.2">
      <c r="A2975" s="26"/>
      <c r="B2975" s="26"/>
      <c r="C2975" s="26"/>
      <c r="D2975" s="26"/>
      <c r="E2975" s="26"/>
      <c r="F2975" s="26"/>
      <c r="G2975" s="26"/>
      <c r="H2975" s="26"/>
      <c r="I2975" s="26"/>
      <c r="J2975" s="26"/>
      <c r="K2975" s="26"/>
      <c r="L2975" s="26"/>
      <c r="M2975" s="26"/>
      <c r="N2975" s="26"/>
      <c r="O2975" s="14" t="str">
        <f>HYPERLINK("https://otsuka-europe-crm.veevavault.com/ui/#object/email_activity__v/V8C000000049050", "EN-002104969")</f>
        <v>EN-002104969</v>
      </c>
    </row>
    <row r="2976" spans="1:15" ht="16" x14ac:dyDescent="0.2">
      <c r="A2976" s="26"/>
      <c r="B2976" s="26"/>
      <c r="C2976" s="26"/>
      <c r="D2976" s="26"/>
      <c r="E2976" s="26"/>
      <c r="F2976" s="26"/>
      <c r="G2976" s="26"/>
      <c r="H2976" s="26"/>
      <c r="I2976" s="26"/>
      <c r="J2976" s="26"/>
      <c r="K2976" s="26"/>
      <c r="L2976" s="26"/>
      <c r="M2976" s="26"/>
      <c r="N2976" s="26"/>
      <c r="O2976" s="14" t="str">
        <f>HYPERLINK("https://otsuka-europe-crm.veevavault.com/ui/#object/email_activity__v/V8C000000049052", "EN-002104971")</f>
        <v>EN-002104971</v>
      </c>
    </row>
    <row r="2977" spans="1:15" ht="16" x14ac:dyDescent="0.2">
      <c r="A2977" s="26"/>
      <c r="B2977" s="26"/>
      <c r="C2977" s="26"/>
      <c r="D2977" s="26"/>
      <c r="E2977" s="26"/>
      <c r="F2977" s="26"/>
      <c r="G2977" s="26"/>
      <c r="H2977" s="26"/>
      <c r="I2977" s="26"/>
      <c r="J2977" s="26"/>
      <c r="K2977" s="26"/>
      <c r="L2977" s="26"/>
      <c r="M2977" s="26"/>
      <c r="N2977" s="26"/>
      <c r="O2977" s="14" t="str">
        <f>HYPERLINK("https://otsuka-europe-crm.veevavault.com/ui/#object/email_activity__v/V8C000000049067", "EN-002104996")</f>
        <v>EN-002104996</v>
      </c>
    </row>
    <row r="2978" spans="1:15" ht="16" x14ac:dyDescent="0.2">
      <c r="A2978" s="26"/>
      <c r="B2978" s="26"/>
      <c r="C2978" s="26"/>
      <c r="D2978" s="26"/>
      <c r="E2978" s="26"/>
      <c r="F2978" s="26"/>
      <c r="G2978" s="26"/>
      <c r="H2978" s="26"/>
      <c r="I2978" s="26"/>
      <c r="J2978" s="26"/>
      <c r="K2978" s="26"/>
      <c r="L2978" s="26"/>
      <c r="M2978" s="26"/>
      <c r="N2978" s="26"/>
      <c r="O2978" s="14" t="str">
        <f>HYPERLINK("https://otsuka-europe-crm.veevavault.com/ui/#object/email_activity__v/V8C000000049069", "EN-002104998")</f>
        <v>EN-002104998</v>
      </c>
    </row>
    <row r="2979" spans="1:15" ht="16" x14ac:dyDescent="0.2">
      <c r="A2979" s="26"/>
      <c r="B2979" s="26"/>
      <c r="C2979" s="26"/>
      <c r="D2979" s="26"/>
      <c r="E2979" s="26"/>
      <c r="F2979" s="26"/>
      <c r="G2979" s="26"/>
      <c r="H2979" s="26"/>
      <c r="I2979" s="26"/>
      <c r="J2979" s="26"/>
      <c r="K2979" s="26"/>
      <c r="L2979" s="26"/>
      <c r="M2979" s="26"/>
      <c r="N2979" s="26"/>
      <c r="O2979" s="14" t="str">
        <f>HYPERLINK("https://otsuka-europe-crm.veevavault.com/ui/#object/email_activity__v/V8C000000049072", "EN-002105004")</f>
        <v>EN-002105004</v>
      </c>
    </row>
    <row r="2980" spans="1:15" ht="16" x14ac:dyDescent="0.2">
      <c r="A2980" s="26"/>
      <c r="B2980" s="26"/>
      <c r="C2980" s="26"/>
      <c r="D2980" s="26"/>
      <c r="E2980" s="26"/>
      <c r="F2980" s="26"/>
      <c r="G2980" s="26"/>
      <c r="H2980" s="26"/>
      <c r="I2980" s="26"/>
      <c r="J2980" s="26"/>
      <c r="K2980" s="26"/>
      <c r="L2980" s="26"/>
      <c r="M2980" s="26"/>
      <c r="N2980" s="26"/>
      <c r="O2980" s="14" t="str">
        <f>HYPERLINK("https://otsuka-europe-crm.veevavault.com/ui/#object/email_activity__v/V8C000000049075", "EN-002105007")</f>
        <v>EN-002105007</v>
      </c>
    </row>
    <row r="2981" spans="1:15" ht="16" x14ac:dyDescent="0.2">
      <c r="A2981" s="26"/>
      <c r="B2981" s="26"/>
      <c r="C2981" s="26"/>
      <c r="D2981" s="26"/>
      <c r="E2981" s="26"/>
      <c r="F2981" s="26"/>
      <c r="G2981" s="26"/>
      <c r="H2981" s="26"/>
      <c r="I2981" s="26"/>
      <c r="J2981" s="26"/>
      <c r="K2981" s="26"/>
      <c r="L2981" s="26"/>
      <c r="M2981" s="26"/>
      <c r="N2981" s="26"/>
      <c r="O2981" s="14" t="str">
        <f>HYPERLINK("https://otsuka-europe-crm.veevavault.com/ui/#object/email_activity__v/V8C000000049078", "EN-002105010")</f>
        <v>EN-002105010</v>
      </c>
    </row>
    <row r="2982" spans="1:15" ht="16" x14ac:dyDescent="0.2">
      <c r="A2982" s="19"/>
      <c r="B2982" s="19"/>
      <c r="C2982" s="19"/>
      <c r="D2982" s="19"/>
      <c r="E2982" s="19"/>
      <c r="F2982" s="19"/>
      <c r="G2982" s="19"/>
      <c r="H2982" s="19"/>
      <c r="I2982" s="19"/>
      <c r="J2982" s="19"/>
      <c r="K2982" s="19"/>
      <c r="L2982" s="19"/>
      <c r="M2982" s="19"/>
      <c r="N2982" s="19"/>
      <c r="O2982" s="14" t="str">
        <f>HYPERLINK("https://otsuka-europe-crm.veevavault.com/ui/#object/email_activity__v/V8C00000004A046", "EN-002104962")</f>
        <v>EN-002104962</v>
      </c>
    </row>
    <row r="2983" spans="1:15" ht="48" x14ac:dyDescent="0.2">
      <c r="A2983" s="7" t="str">
        <f>HYPERLINK("https://otsuka-europe-crm.veevavault.com/ui/#object/account__v/V4TZ0000062T9BM", "Martina Roempler")</f>
        <v>Martina Roempler</v>
      </c>
      <c r="B2983" s="7" t="str">
        <f>HYPERLINK("https://otsuka-europe-crm.veevavault.com/ui/#object/vcountry__v/VENZ000004SONFP", "DE")</f>
        <v>DE</v>
      </c>
      <c r="C2983" s="8" t="s">
        <v>43</v>
      </c>
      <c r="D2983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983" s="10" t="str">
        <f>HYPERLINK("https://otsuka-europe-crm.veevavault.com/ui/#object/sent_email__v/VBL000000036001", "SE-001443116")</f>
        <v>SE-001443116</v>
      </c>
      <c r="F2983" s="11"/>
      <c r="G2983" s="12">
        <v>0</v>
      </c>
      <c r="H2983" s="12">
        <v>0</v>
      </c>
      <c r="I2983" s="12">
        <v>0</v>
      </c>
      <c r="J2983" s="11"/>
      <c r="K2983" s="12">
        <v>0</v>
      </c>
      <c r="L2983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983" s="10" t="str">
        <f>HYPERLINK("mailto:sannowsky@crm.otsuka-europe.com", "sannowsky@crm.otsuka-europe.com")</f>
        <v>sannowsky@crm.otsuka-europe.com</v>
      </c>
      <c r="N2983" s="13">
        <v>46213.311400462961</v>
      </c>
      <c r="O2983" s="14" t="str">
        <f>HYPERLINK("https://otsuka-europe-crm.veevavault.com/ui/#object/email_activity__v/V8C000000048023", "EN-002104222")</f>
        <v>EN-002104222</v>
      </c>
    </row>
    <row r="2984" spans="1:15" ht="16" x14ac:dyDescent="0.2">
      <c r="A2984" s="18" t="str">
        <f>HYPERLINK("https://otsuka-europe-crm.veevavault.com/ui/#object/account__v/V4TZ06G6OBI635P", "Fariba Sadollahi")</f>
        <v>Fariba Sadollahi</v>
      </c>
      <c r="B2984" s="18" t="str">
        <f>HYPERLINK("https://otsuka-europe-crm.veevavault.com/ui/#object/vcountry__v/VENZ000004SONFP", "DE")</f>
        <v>DE</v>
      </c>
      <c r="C2984" s="20" t="s">
        <v>43</v>
      </c>
      <c r="D2984" s="21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984" s="22" t="str">
        <f>HYPERLINK("https://otsuka-europe-crm.veevavault.com/ui/#object/sent_email__v/VBL000000036002", "SE-001443117")</f>
        <v>SE-001443117</v>
      </c>
      <c r="F2984" s="23"/>
      <c r="G2984" s="24">
        <v>0</v>
      </c>
      <c r="H2984" s="24">
        <v>0</v>
      </c>
      <c r="I2984" s="24">
        <v>0</v>
      </c>
      <c r="J2984" s="23"/>
      <c r="K2984" s="24">
        <v>0</v>
      </c>
      <c r="L2984" s="22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984" s="22" t="str">
        <f>HYPERLINK("mailto:sannowsky@crm.otsuka-europe.com", "sannowsky@crm.otsuka-europe.com")</f>
        <v>sannowsky@crm.otsuka-europe.com</v>
      </c>
      <c r="N2984" s="25">
        <v>46213.311886574076</v>
      </c>
      <c r="O2984" s="14" t="str">
        <f>HYPERLINK("https://otsuka-europe-crm.veevavault.com/ui/#object/email_activity__v/V8C000000048024", "EN-002104223")</f>
        <v>EN-002104223</v>
      </c>
    </row>
    <row r="2985" spans="1:15" ht="16" x14ac:dyDescent="0.2">
      <c r="A2985" s="19"/>
      <c r="B2985" s="19"/>
      <c r="C2985" s="19"/>
      <c r="D2985" s="19"/>
      <c r="E2985" s="19"/>
      <c r="F2985" s="19"/>
      <c r="G2985" s="19"/>
      <c r="H2985" s="19"/>
      <c r="I2985" s="19"/>
      <c r="J2985" s="19"/>
      <c r="K2985" s="19"/>
      <c r="L2985" s="19"/>
      <c r="M2985" s="19"/>
      <c r="N2985" s="19"/>
      <c r="O2985" s="14" t="str">
        <f>HYPERLINK("https://otsuka-europe-crm.veevavault.com/ui/#object/email_activity__v/V8C000000048027", "EN-002104229")</f>
        <v>EN-002104229</v>
      </c>
    </row>
    <row r="2986" spans="1:15" ht="48" x14ac:dyDescent="0.2">
      <c r="A2986" s="7" t="str">
        <f>HYPERLINK("https://otsuka-europe-crm.veevavault.com/ui/#object/account__v/V4TZ0000062T4M8", "Esther Schmidt")</f>
        <v>Esther Schmidt</v>
      </c>
      <c r="B2986" s="7" t="str">
        <f>HYPERLINK("https://otsuka-europe-crm.veevavault.com/ui/#object/vcountry__v/VENZ000004SONFP", "DE")</f>
        <v>DE</v>
      </c>
      <c r="C2986" s="8" t="s">
        <v>43</v>
      </c>
      <c r="D2986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986" s="10" t="str">
        <f>HYPERLINK("https://otsuka-europe-crm.veevavault.com/ui/#object/sent_email__v/VBL000000036003", "SE-001443118")</f>
        <v>SE-001443118</v>
      </c>
      <c r="F2986" s="11"/>
      <c r="G2986" s="12">
        <v>0</v>
      </c>
      <c r="H2986" s="12">
        <v>0</v>
      </c>
      <c r="I2986" s="12">
        <v>0</v>
      </c>
      <c r="J2986" s="11"/>
      <c r="K2986" s="12">
        <v>0</v>
      </c>
      <c r="L2986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986" s="10" t="str">
        <f>HYPERLINK("mailto:sannowsky@crm.otsuka-europe.com", "sannowsky@crm.otsuka-europe.com")</f>
        <v>sannowsky@crm.otsuka-europe.com</v>
      </c>
      <c r="N2986" s="13">
        <v>46213.312418981484</v>
      </c>
      <c r="O2986" s="14" t="str">
        <f>HYPERLINK("https://otsuka-europe-crm.veevavault.com/ui/#object/email_activity__v/V8C000000048025", "EN-002104224")</f>
        <v>EN-002104224</v>
      </c>
    </row>
    <row r="2987" spans="1:15" ht="48" x14ac:dyDescent="0.2">
      <c r="A2987" s="7" t="str">
        <f>HYPERLINK("https://otsuka-europe-crm.veevavault.com/ui/#object/account__v/V4TZ0000062T4M3", "Hagen-Torsten Schmidt")</f>
        <v>Hagen-Torsten Schmidt</v>
      </c>
      <c r="B2987" s="7" t="str">
        <f>HYPERLINK("https://otsuka-europe-crm.veevavault.com/ui/#object/vcountry__v/VENZ000004SONFP", "DE")</f>
        <v>DE</v>
      </c>
      <c r="C2987" s="8" t="s">
        <v>43</v>
      </c>
      <c r="D2987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987" s="10" t="str">
        <f>HYPERLINK("https://otsuka-europe-crm.veevavault.com/ui/#object/sent_email__v/VBL000000036004", "SE-001443119")</f>
        <v>SE-001443119</v>
      </c>
      <c r="F2987" s="11"/>
      <c r="G2987" s="12">
        <v>0</v>
      </c>
      <c r="H2987" s="12">
        <v>0</v>
      </c>
      <c r="I2987" s="12">
        <v>0</v>
      </c>
      <c r="J2987" s="11"/>
      <c r="K2987" s="12">
        <v>0</v>
      </c>
      <c r="L2987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987" s="10" t="str">
        <f>HYPERLINK("mailto:sannowsky@crm.otsuka-europe.com", "sannowsky@crm.otsuka-europe.com")</f>
        <v>sannowsky@crm.otsuka-europe.com</v>
      </c>
      <c r="N2987" s="13">
        <v>46213.312939814816</v>
      </c>
      <c r="O2987" s="14" t="str">
        <f>HYPERLINK("https://otsuka-europe-crm.veevavault.com/ui/#object/email_activity__v/V8C000000048026", "EN-002104225")</f>
        <v>EN-002104225</v>
      </c>
    </row>
    <row r="2988" spans="1:15" ht="48" x14ac:dyDescent="0.2">
      <c r="A2988" s="7" t="str">
        <f>HYPERLINK("https://otsuka-europe-crm.veevavault.com/ui/#object/account__v/V4TZ025E82AOTXQ", "Karina Shvets")</f>
        <v>Karina Shvets</v>
      </c>
      <c r="B2988" s="7" t="str">
        <f>HYPERLINK("https://otsuka-europe-crm.veevavault.com/ui/#object/vcountry__v/VENZ000004SONFP", "DE")</f>
        <v>DE</v>
      </c>
      <c r="C2988" s="8" t="s">
        <v>43</v>
      </c>
      <c r="D2988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988" s="10" t="str">
        <f>HYPERLINK("https://otsuka-europe-crm.veevavault.com/ui/#object/sent_email__v/VBL000000036005", "SE-001443120")</f>
        <v>SE-001443120</v>
      </c>
      <c r="F2988" s="11"/>
      <c r="G2988" s="12">
        <v>0</v>
      </c>
      <c r="H2988" s="12">
        <v>0</v>
      </c>
      <c r="I2988" s="12">
        <v>0</v>
      </c>
      <c r="J2988" s="11"/>
      <c r="K2988" s="12">
        <v>0</v>
      </c>
      <c r="L2988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988" s="10" t="str">
        <f>HYPERLINK("mailto:sannowsky@crm.otsuka-europe.com", "sannowsky@crm.otsuka-europe.com")</f>
        <v>sannowsky@crm.otsuka-europe.com</v>
      </c>
      <c r="N2988" s="13">
        <v>46213.313530092593</v>
      </c>
      <c r="O2988" s="14" t="str">
        <f>HYPERLINK("https://otsuka-europe-crm.veevavault.com/ui/#object/email_activity__v/V8C000000047038", "EN-002104226")</f>
        <v>EN-002104226</v>
      </c>
    </row>
    <row r="2989" spans="1:15" ht="48" x14ac:dyDescent="0.2">
      <c r="A2989" s="7" t="str">
        <f>HYPERLINK("https://otsuka-europe-crm.veevavault.com/ui/#object/account__v/V4TZ0000062TAHO", "Anke Tombrägel-Firla")</f>
        <v>Anke Tombrägel-Firla</v>
      </c>
      <c r="B2989" s="7" t="str">
        <f>HYPERLINK("https://otsuka-europe-crm.veevavault.com/ui/#object/vcountry__v/VENZ000004SONFP", "DE")</f>
        <v>DE</v>
      </c>
      <c r="C2989" s="8" t="s">
        <v>43</v>
      </c>
      <c r="D2989" s="9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E2989" s="10" t="str">
        <f>HYPERLINK("https://otsuka-europe-crm.veevavault.com/ui/#object/sent_email__v/VBL000000036006", "SE-001443121")</f>
        <v>SE-001443121</v>
      </c>
      <c r="F2989" s="11"/>
      <c r="G2989" s="12">
        <v>0</v>
      </c>
      <c r="H2989" s="12">
        <v>0</v>
      </c>
      <c r="I2989" s="12">
        <v>0</v>
      </c>
      <c r="J2989" s="11"/>
      <c r="K2989" s="12">
        <v>0</v>
      </c>
      <c r="L2989" s="10" t="str">
        <f>HYPERLINK("https://otsuka-europe-crm.veevavault.com/ui/#object/approved_document__v/V5O00000001H029", "VAE DE AM960 - Podcast-Interview Prof. Dr. Köhler_2026-05")</f>
        <v>VAE DE AM960 - Podcast-Interview Prof. Dr. Köhler_2026-05</v>
      </c>
      <c r="M2989" s="10" t="str">
        <f>HYPERLINK("mailto:sannowsky@crm.otsuka-europe.com", "sannowsky@crm.otsuka-europe.com")</f>
        <v>sannowsky@crm.otsuka-europe.com</v>
      </c>
      <c r="N2989" s="13">
        <v>46213.314513888887</v>
      </c>
      <c r="O2989" s="14" t="str">
        <f>HYPERLINK("https://otsuka-europe-crm.veevavault.com/ui/#object/email_activity__v/V8C000000047040", "EN-002104228")</f>
        <v>EN-002104228</v>
      </c>
    </row>
    <row r="2990" spans="1:15" ht="16" x14ac:dyDescent="0.2">
      <c r="A2990" s="18" t="str">
        <f>HYPERLINK("https://otsuka-europe-crm.veevavault.com/ui/#object/account__v/V4TZ06G6O71T8WI", "ISABEL MARIA MOYA SAEZ")</f>
        <v>ISABEL MARIA MOYA SAEZ</v>
      </c>
      <c r="B2990" s="18" t="str">
        <f>HYPERLINK("https://otsuka-europe-crm.veevavault.com/ui/#object/vcountry__v/VENZ000004SONF5", "ES")</f>
        <v>ES</v>
      </c>
      <c r="C2990" s="20" t="s">
        <v>39</v>
      </c>
      <c r="D2990" s="21" t="str">
        <f>HYPERLINK("https://otsuka-europe-crm.veevavault.com/ui/#object/approved_document__v/V5OZ04ASG4FWKA9", "Documento Autorizaciขn Centro Empleador")</f>
        <v>Documento Autorizaciขn Centro Empleador</v>
      </c>
      <c r="E2990" s="22" t="str">
        <f>HYPERLINK("https://otsuka-europe-crm.veevavault.com/ui/#object/sent_email__v/VBL000000036007", "SE-001443122")</f>
        <v>SE-001443122</v>
      </c>
      <c r="F2990" s="25">
        <v>46213.349942129629</v>
      </c>
      <c r="G2990" s="24">
        <v>1</v>
      </c>
      <c r="H2990" s="24">
        <v>1</v>
      </c>
      <c r="I2990" s="24">
        <v>1</v>
      </c>
      <c r="J2990" s="25">
        <v>46213.350011574075</v>
      </c>
      <c r="K2990" s="24">
        <v>1</v>
      </c>
      <c r="L2990" s="22" t="str">
        <f>HYPERLINK("https://otsuka-europe-crm.veevavault.com/ui/#object/approved_document__v/V5OZ04ASG4FWKA9", "Documento Autorizaciขn Centro Empleador")</f>
        <v>Documento Autorizaciขn Centro Empleador</v>
      </c>
      <c r="M2990" s="22" t="str">
        <f>HYPERLINK("mailto:mgravan@crm.otsuka-europe.com", "mgravan@crm.otsuka-europe.com")</f>
        <v>mgravan@crm.otsuka-europe.com</v>
      </c>
      <c r="N2990" s="25">
        <v>46213.330555555556</v>
      </c>
      <c r="O2990" s="14" t="str">
        <f>HYPERLINK("https://otsuka-europe-crm.veevavault.com/ui/#object/email_activity__v/V8C000000047041", "EN-002104230")</f>
        <v>EN-002104230</v>
      </c>
    </row>
    <row r="2991" spans="1:15" ht="16" x14ac:dyDescent="0.2">
      <c r="A2991" s="26"/>
      <c r="B2991" s="26"/>
      <c r="C2991" s="26"/>
      <c r="D2991" s="26"/>
      <c r="E2991" s="26"/>
      <c r="F2991" s="26"/>
      <c r="G2991" s="26"/>
      <c r="H2991" s="26"/>
      <c r="I2991" s="26"/>
      <c r="J2991" s="26"/>
      <c r="K2991" s="26"/>
      <c r="L2991" s="26"/>
      <c r="M2991" s="26"/>
      <c r="N2991" s="26"/>
      <c r="O2991" s="14" t="str">
        <f>HYPERLINK("https://otsuka-europe-crm.veevavault.com/ui/#object/email_activity__v/V8C000000047046", "EN-002104235")</f>
        <v>EN-002104235</v>
      </c>
    </row>
    <row r="2992" spans="1:15" ht="16" x14ac:dyDescent="0.2">
      <c r="A2992" s="19"/>
      <c r="B2992" s="19"/>
      <c r="C2992" s="19"/>
      <c r="D2992" s="19"/>
      <c r="E2992" s="19"/>
      <c r="F2992" s="19"/>
      <c r="G2992" s="19"/>
      <c r="H2992" s="19"/>
      <c r="I2992" s="19"/>
      <c r="J2992" s="19"/>
      <c r="K2992" s="19"/>
      <c r="L2992" s="19"/>
      <c r="M2992" s="19"/>
      <c r="N2992" s="19"/>
      <c r="O2992" s="14" t="str">
        <f>HYPERLINK("https://otsuka-europe-crm.veevavault.com/ui/#object/email_activity__v/V8C000000048028", "EN-002104236")</f>
        <v>EN-002104236</v>
      </c>
    </row>
    <row r="2993" spans="1:15" ht="16" x14ac:dyDescent="0.2">
      <c r="A2993" s="18" t="str">
        <f>HYPERLINK("https://otsuka-europe-crm.veevavault.com/ui/#object/account__v/V4TZ06G6O71UQS4", "CRISTINA RUSSO DEL RIO")</f>
        <v>CRISTINA RUSSO DEL RIO</v>
      </c>
      <c r="B2993" s="18" t="str">
        <f>HYPERLINK("https://otsuka-europe-crm.veevavault.com/ui/#object/vcountry__v/VENZ000004SONF5", "ES")</f>
        <v>ES</v>
      </c>
      <c r="C2993" s="20" t="s">
        <v>39</v>
      </c>
      <c r="D2993" s="21" t="str">
        <f>HYPERLINK("https://otsuka-europe-crm.veevavault.com/ui/#object/approved_document__v/V5OZ04ASG4FWKA9", "Documento Autorizaciขn Centro Empleador")</f>
        <v>Documento Autorizaciขn Centro Empleador</v>
      </c>
      <c r="E2993" s="22" t="str">
        <f>HYPERLINK("https://otsuka-europe-crm.veevavault.com/ui/#object/sent_email__v/VBL000000035005", "SE-001443123")</f>
        <v>SE-001443123</v>
      </c>
      <c r="F2993" s="25">
        <v>46213.350405092591</v>
      </c>
      <c r="G2993" s="24">
        <v>1</v>
      </c>
      <c r="H2993" s="24">
        <v>2</v>
      </c>
      <c r="I2993" s="24">
        <v>1</v>
      </c>
      <c r="J2993" s="25">
        <v>46213.3516087963</v>
      </c>
      <c r="K2993" s="24">
        <v>2</v>
      </c>
      <c r="L2993" s="22" t="str">
        <f>HYPERLINK("https://otsuka-europe-crm.veevavault.com/ui/#object/approved_document__v/V5OZ04ASG4FWKA9", "Documento Autorizaciขn Centro Empleador")</f>
        <v>Documento Autorizaciขn Centro Empleador</v>
      </c>
      <c r="M2993" s="22" t="str">
        <f>HYPERLINK("mailto:mgravan@crm.otsuka-europe.com", "mgravan@crm.otsuka-europe.com")</f>
        <v>mgravan@crm.otsuka-europe.com</v>
      </c>
      <c r="N2993" s="25">
        <v>46213.331041666665</v>
      </c>
      <c r="O2993" s="14" t="str">
        <f>HYPERLINK("https://otsuka-europe-crm.veevavault.com/ui/#object/email_activity__v/V8C000000047042", "EN-002104231")</f>
        <v>EN-002104231</v>
      </c>
    </row>
    <row r="2994" spans="1:15" ht="16" x14ac:dyDescent="0.2">
      <c r="A2994" s="26"/>
      <c r="B2994" s="26"/>
      <c r="C2994" s="26"/>
      <c r="D2994" s="26"/>
      <c r="E2994" s="26"/>
      <c r="F2994" s="26"/>
      <c r="G2994" s="26"/>
      <c r="H2994" s="26"/>
      <c r="I2994" s="26"/>
      <c r="J2994" s="26"/>
      <c r="K2994" s="26"/>
      <c r="L2994" s="26"/>
      <c r="M2994" s="26"/>
      <c r="N2994" s="26"/>
      <c r="O2994" s="14" t="str">
        <f>HYPERLINK("https://otsuka-europe-crm.veevavault.com/ui/#object/email_activity__v/V8C000000047047", "EN-002104237")</f>
        <v>EN-002104237</v>
      </c>
    </row>
    <row r="2995" spans="1:15" ht="16" x14ac:dyDescent="0.2">
      <c r="A2995" s="26"/>
      <c r="B2995" s="26"/>
      <c r="C2995" s="26"/>
      <c r="D2995" s="26"/>
      <c r="E2995" s="26"/>
      <c r="F2995" s="26"/>
      <c r="G2995" s="26"/>
      <c r="H2995" s="26"/>
      <c r="I2995" s="26"/>
      <c r="J2995" s="26"/>
      <c r="K2995" s="26"/>
      <c r="L2995" s="26"/>
      <c r="M2995" s="26"/>
      <c r="N2995" s="26"/>
      <c r="O2995" s="14" t="str">
        <f>HYPERLINK("https://otsuka-europe-crm.veevavault.com/ui/#object/email_activity__v/V8C000000047048", "EN-002104239")</f>
        <v>EN-002104239</v>
      </c>
    </row>
    <row r="2996" spans="1:15" ht="16" x14ac:dyDescent="0.2">
      <c r="A2996" s="26"/>
      <c r="B2996" s="26"/>
      <c r="C2996" s="26"/>
      <c r="D2996" s="26"/>
      <c r="E2996" s="26"/>
      <c r="F2996" s="26"/>
      <c r="G2996" s="26"/>
      <c r="H2996" s="26"/>
      <c r="I2996" s="26"/>
      <c r="J2996" s="26"/>
      <c r="K2996" s="26"/>
      <c r="L2996" s="26"/>
      <c r="M2996" s="26"/>
      <c r="N2996" s="26"/>
      <c r="O2996" s="14" t="str">
        <f>HYPERLINK("https://otsuka-europe-crm.veevavault.com/ui/#object/email_activity__v/V8C000000047050", "EN-002104241")</f>
        <v>EN-002104241</v>
      </c>
    </row>
    <row r="2997" spans="1:15" ht="16" x14ac:dyDescent="0.2">
      <c r="A2997" s="26"/>
      <c r="B2997" s="26"/>
      <c r="C2997" s="26"/>
      <c r="D2997" s="26"/>
      <c r="E2997" s="26"/>
      <c r="F2997" s="26"/>
      <c r="G2997" s="26"/>
      <c r="H2997" s="26"/>
      <c r="I2997" s="26"/>
      <c r="J2997" s="26"/>
      <c r="K2997" s="26"/>
      <c r="L2997" s="26"/>
      <c r="M2997" s="26"/>
      <c r="N2997" s="26"/>
      <c r="O2997" s="14" t="str">
        <f>HYPERLINK("https://otsuka-europe-crm.veevavault.com/ui/#object/email_activity__v/V8C000000048029", "EN-002104238")</f>
        <v>EN-002104238</v>
      </c>
    </row>
    <row r="2998" spans="1:15" ht="16" x14ac:dyDescent="0.2">
      <c r="A2998" s="19"/>
      <c r="B2998" s="19"/>
      <c r="C2998" s="19"/>
      <c r="D2998" s="19"/>
      <c r="E2998" s="19"/>
      <c r="F2998" s="19"/>
      <c r="G2998" s="19"/>
      <c r="H2998" s="19"/>
      <c r="I2998" s="19"/>
      <c r="J2998" s="19"/>
      <c r="K2998" s="19"/>
      <c r="L2998" s="19"/>
      <c r="M2998" s="19"/>
      <c r="N2998" s="19"/>
      <c r="O2998" s="14" t="str">
        <f>HYPERLINK("https://otsuka-europe-crm.veevavault.com/ui/#object/email_activity__v/V8C000000049091", "EN-002105030")</f>
        <v>EN-002105030</v>
      </c>
    </row>
    <row r="2999" spans="1:15" ht="16" x14ac:dyDescent="0.2">
      <c r="A2999" s="18" t="str">
        <f>HYPERLINK("https://otsuka-europe-crm.veevavault.com/ui/#object/account__v/V4T00000002C001", "PAULA SANCHEZ MARTINEZ")</f>
        <v>PAULA SANCHEZ MARTINEZ</v>
      </c>
      <c r="B2999" s="18" t="str">
        <f>HYPERLINK("https://otsuka-europe-crm.veevavault.com/ui/#object/vcountry__v/VENZ000004SONF5", "ES")</f>
        <v>ES</v>
      </c>
      <c r="C2999" s="20" t="s">
        <v>39</v>
      </c>
      <c r="D2999" s="21" t="str">
        <f>HYPERLINK("https://otsuka-europe-crm.veevavault.com/ui/#object/approved_document__v/V5OZ06G6O6RFL1P", "ES Veeva Privacy Notice Email")</f>
        <v>ES Veeva Privacy Notice Email</v>
      </c>
      <c r="E2999" s="22" t="str">
        <f>HYPERLINK("https://otsuka-europe-crm.veevavault.com/ui/#object/sent_email__v/VBL000000036008", "SE-001443124")</f>
        <v>SE-001443124</v>
      </c>
      <c r="F2999" s="25">
        <v>46213.463958333334</v>
      </c>
      <c r="G2999" s="24">
        <v>1</v>
      </c>
      <c r="H2999" s="24">
        <v>1</v>
      </c>
      <c r="I2999" s="24">
        <v>0</v>
      </c>
      <c r="J2999" s="23"/>
      <c r="K2999" s="24">
        <v>0</v>
      </c>
      <c r="L2999" s="22" t="str">
        <f>HYPERLINK("https://otsuka-europe-crm.veevavault.com/ui/#object/approved_document__v/V5OZ06G6O6RFL1P", "ES Veeva Privacy Notice Email")</f>
        <v>ES Veeva Privacy Notice Email</v>
      </c>
      <c r="M2999" s="22" t="str">
        <f>HYPERLINK("mailto:sruiz@crm.otsuka-europe.com", "sruiz@crm.otsuka-europe.com")</f>
        <v>sruiz@crm.otsuka-europe.com</v>
      </c>
      <c r="N2999" s="25">
        <v>46213.360289351855</v>
      </c>
      <c r="O2999" s="14" t="str">
        <f>HYPERLINK("https://otsuka-europe-crm.veevavault.com/ui/#object/email_activity__v/V8C000000048030", "EN-002104242")</f>
        <v>EN-002104242</v>
      </c>
    </row>
    <row r="3000" spans="1:15" ht="16" x14ac:dyDescent="0.2">
      <c r="A3000" s="19"/>
      <c r="B3000" s="19"/>
      <c r="C3000" s="19"/>
      <c r="D3000" s="19"/>
      <c r="E3000" s="19"/>
      <c r="F3000" s="19"/>
      <c r="G3000" s="19"/>
      <c r="H3000" s="19"/>
      <c r="I3000" s="19"/>
      <c r="J3000" s="19"/>
      <c r="K3000" s="19"/>
      <c r="L3000" s="19"/>
      <c r="M3000" s="19"/>
      <c r="N3000" s="19"/>
      <c r="O3000" s="14" t="str">
        <f>HYPERLINK("https://otsuka-europe-crm.veevavault.com/ui/#object/email_activity__v/V8C000000048050", "EN-002104282")</f>
        <v>EN-002104282</v>
      </c>
    </row>
    <row r="3001" spans="1:15" ht="16" x14ac:dyDescent="0.2">
      <c r="A3001" s="18" t="str">
        <f>HYPERLINK("https://otsuka-europe-crm.veevavault.com/ui/#object/account__v/V4T00000002C001", "PAULA SANCHEZ MARTINEZ")</f>
        <v>PAULA SANCHEZ MARTINEZ</v>
      </c>
      <c r="B3001" s="18" t="str">
        <f>HYPERLINK("https://otsuka-europe-crm.veevavault.com/ui/#object/vcountry__v/VENZ000004SONF5", "ES")</f>
        <v>ES</v>
      </c>
      <c r="C3001" s="20" t="s">
        <v>39</v>
      </c>
      <c r="D3001" s="21" t="str">
        <f>HYPERLINK("https://otsuka-europe-crm.veevavault.com/ui/#object/approved_document__v/V5OZ04ASG4FWKA7", "Reuniones Online Consent - 2")</f>
        <v>Reuniones Online Consent - 2</v>
      </c>
      <c r="E3001" s="22" t="str">
        <f>HYPERLINK("https://otsuka-europe-crm.veevavault.com/ui/#object/sent_email__v/VBL000000036009", "SE-001443125")</f>
        <v>SE-001443125</v>
      </c>
      <c r="F3001" s="25">
        <v>46213.467557870368</v>
      </c>
      <c r="G3001" s="24">
        <v>1</v>
      </c>
      <c r="H3001" s="24">
        <v>2</v>
      </c>
      <c r="I3001" s="24">
        <v>1</v>
      </c>
      <c r="J3001" s="25">
        <v>46213.468032407407</v>
      </c>
      <c r="K3001" s="24">
        <v>2</v>
      </c>
      <c r="L3001" s="22" t="str">
        <f>HYPERLINK("https://otsuka-europe-crm.veevavault.com/ui/#object/approved_document__v/V5OZ04ASG4FWKA7", "Reuniones Online Consent - 2")</f>
        <v>Reuniones Online Consent - 2</v>
      </c>
      <c r="M3001" s="22" t="str">
        <f>HYPERLINK("mailto:sruiz@crm.otsuka-europe.com", "sruiz@crm.otsuka-europe.com")</f>
        <v>sruiz@crm.otsuka-europe.com</v>
      </c>
      <c r="N3001" s="25">
        <v>46213.360625000001</v>
      </c>
      <c r="O3001" s="14" t="str">
        <f>HYPERLINK("https://otsuka-europe-crm.veevavault.com/ui/#object/email_activity__v/V8C000000048031", "EN-002104243")</f>
        <v>EN-002104243</v>
      </c>
    </row>
    <row r="3002" spans="1:15" ht="16" x14ac:dyDescent="0.2">
      <c r="A3002" s="26"/>
      <c r="B3002" s="26"/>
      <c r="C3002" s="26"/>
      <c r="D3002" s="26"/>
      <c r="E3002" s="26"/>
      <c r="F3002" s="26"/>
      <c r="G3002" s="26"/>
      <c r="H3002" s="26"/>
      <c r="I3002" s="26"/>
      <c r="J3002" s="26"/>
      <c r="K3002" s="26"/>
      <c r="L3002" s="26"/>
      <c r="M3002" s="26"/>
      <c r="N3002" s="26"/>
      <c r="O3002" s="14" t="str">
        <f>HYPERLINK("https://otsuka-europe-crm.veevavault.com/ui/#object/email_activity__v/V8C000000048051", "EN-002104285")</f>
        <v>EN-002104285</v>
      </c>
    </row>
    <row r="3003" spans="1:15" ht="16" x14ac:dyDescent="0.2">
      <c r="A3003" s="26"/>
      <c r="B3003" s="26"/>
      <c r="C3003" s="26"/>
      <c r="D3003" s="26"/>
      <c r="E3003" s="26"/>
      <c r="F3003" s="26"/>
      <c r="G3003" s="26"/>
      <c r="H3003" s="26"/>
      <c r="I3003" s="26"/>
      <c r="J3003" s="26"/>
      <c r="K3003" s="26"/>
      <c r="L3003" s="26"/>
      <c r="M3003" s="26"/>
      <c r="N3003" s="26"/>
      <c r="O3003" s="14" t="str">
        <f>HYPERLINK("https://otsuka-europe-crm.veevavault.com/ui/#object/email_activity__v/V8C000000048052", "EN-002104284")</f>
        <v>EN-002104284</v>
      </c>
    </row>
    <row r="3004" spans="1:15" ht="16" x14ac:dyDescent="0.2">
      <c r="A3004" s="26"/>
      <c r="B3004" s="26"/>
      <c r="C3004" s="26"/>
      <c r="D3004" s="26"/>
      <c r="E3004" s="26"/>
      <c r="F3004" s="26"/>
      <c r="G3004" s="26"/>
      <c r="H3004" s="26"/>
      <c r="I3004" s="26"/>
      <c r="J3004" s="26"/>
      <c r="K3004" s="26"/>
      <c r="L3004" s="26"/>
      <c r="M3004" s="26"/>
      <c r="N3004" s="26"/>
      <c r="O3004" s="14" t="str">
        <f>HYPERLINK("https://otsuka-europe-crm.veevavault.com/ui/#object/email_activity__v/V8C000000048056", "EN-002104289")</f>
        <v>EN-002104289</v>
      </c>
    </row>
    <row r="3005" spans="1:15" ht="16" x14ac:dyDescent="0.2">
      <c r="A3005" s="19"/>
      <c r="B3005" s="19"/>
      <c r="C3005" s="19"/>
      <c r="D3005" s="19"/>
      <c r="E3005" s="19"/>
      <c r="F3005" s="19"/>
      <c r="G3005" s="19"/>
      <c r="H3005" s="19"/>
      <c r="I3005" s="19"/>
      <c r="J3005" s="19"/>
      <c r="K3005" s="19"/>
      <c r="L3005" s="19"/>
      <c r="M3005" s="19"/>
      <c r="N3005" s="19"/>
      <c r="O3005" s="14" t="str">
        <f>HYPERLINK("https://otsuka-europe-crm.veevavault.com/ui/#object/email_activity__v/V8C000000048057", "EN-002104290")</f>
        <v>EN-002104290</v>
      </c>
    </row>
    <row r="3006" spans="1:15" ht="16" x14ac:dyDescent="0.2">
      <c r="A3006" s="18" t="str">
        <f>HYPERLINK("https://otsuka-europe-crm.veevavault.com/ui/#object/account__v/V4T00000002C001", "PAULA SANCHEZ MARTINEZ")</f>
        <v>PAULA SANCHEZ MARTINEZ</v>
      </c>
      <c r="B3006" s="18" t="str">
        <f>HYPERLINK("https://otsuka-europe-crm.veevavault.com/ui/#object/vcountry__v/VENZ000004SONF5", "ES")</f>
        <v>ES</v>
      </c>
      <c r="C3006" s="20" t="s">
        <v>39</v>
      </c>
      <c r="D3006" s="21" t="str">
        <f>HYPERLINK("https://otsuka-europe-crm.veevavault.com/ui/#object/approved_document__v/V5O00000000D100", "Spain - Consent Email 1 Aug 25")</f>
        <v>Spain - Consent Email 1 Aug 25</v>
      </c>
      <c r="E3006" s="22" t="str">
        <f>HYPERLINK("https://otsuka-europe-crm.veevavault.com/ui/#object/sent_email__v/VBL000000036010", "SE-001443126")</f>
        <v>SE-001443126</v>
      </c>
      <c r="F3006" s="25">
        <v>46213.565115740741</v>
      </c>
      <c r="G3006" s="24">
        <v>1</v>
      </c>
      <c r="H3006" s="24">
        <v>3</v>
      </c>
      <c r="I3006" s="24">
        <v>1</v>
      </c>
      <c r="J3006" s="25">
        <v>46213.56517361111</v>
      </c>
      <c r="K3006" s="24">
        <v>3</v>
      </c>
      <c r="L3006" s="22" t="str">
        <f>HYPERLINK("https://otsuka-europe-crm.veevavault.com/ui/#object/approved_document__v/V5O00000000D100", "Spain - Consent Email 1 Aug 25")</f>
        <v>Spain - Consent Email 1 Aug 25</v>
      </c>
      <c r="M3006" s="22" t="str">
        <f>HYPERLINK("mailto:sruiz@crm.otsuka-europe.com", "sruiz@crm.otsuka-europe.com")</f>
        <v>sruiz@crm.otsuka-europe.com</v>
      </c>
      <c r="N3006" s="25">
        <v>46213.360636574071</v>
      </c>
      <c r="O3006" s="14" t="str">
        <f>HYPERLINK("https://otsuka-europe-crm.veevavault.com/ui/#object/email_activity__v/V8C000000047073", "EN-002104293")</f>
        <v>EN-002104293</v>
      </c>
    </row>
    <row r="3007" spans="1:15" ht="16" x14ac:dyDescent="0.2">
      <c r="A3007" s="26"/>
      <c r="B3007" s="26"/>
      <c r="C3007" s="26"/>
      <c r="D3007" s="26"/>
      <c r="E3007" s="26"/>
      <c r="F3007" s="26"/>
      <c r="G3007" s="26"/>
      <c r="H3007" s="26"/>
      <c r="I3007" s="26"/>
      <c r="J3007" s="26"/>
      <c r="K3007" s="26"/>
      <c r="L3007" s="26"/>
      <c r="M3007" s="26"/>
      <c r="N3007" s="26"/>
      <c r="O3007" s="14" t="str">
        <f>HYPERLINK("https://otsuka-europe-crm.veevavault.com/ui/#object/email_activity__v/V8C000000048032", "EN-002104244")</f>
        <v>EN-002104244</v>
      </c>
    </row>
    <row r="3008" spans="1:15" ht="16" x14ac:dyDescent="0.2">
      <c r="A3008" s="26"/>
      <c r="B3008" s="26"/>
      <c r="C3008" s="26"/>
      <c r="D3008" s="26"/>
      <c r="E3008" s="26"/>
      <c r="F3008" s="26"/>
      <c r="G3008" s="26"/>
      <c r="H3008" s="26"/>
      <c r="I3008" s="26"/>
      <c r="J3008" s="26"/>
      <c r="K3008" s="26"/>
      <c r="L3008" s="26"/>
      <c r="M3008" s="26"/>
      <c r="N3008" s="26"/>
      <c r="O3008" s="14" t="str">
        <f>HYPERLINK("https://otsuka-europe-crm.veevavault.com/ui/#object/email_activity__v/V8C000000048053", "EN-002104287")</f>
        <v>EN-002104287</v>
      </c>
    </row>
    <row r="3009" spans="1:15" ht="16" x14ac:dyDescent="0.2">
      <c r="A3009" s="26"/>
      <c r="B3009" s="26"/>
      <c r="C3009" s="26"/>
      <c r="D3009" s="26"/>
      <c r="E3009" s="26"/>
      <c r="F3009" s="26"/>
      <c r="G3009" s="26"/>
      <c r="H3009" s="26"/>
      <c r="I3009" s="26"/>
      <c r="J3009" s="26"/>
      <c r="K3009" s="26"/>
      <c r="L3009" s="26"/>
      <c r="M3009" s="26"/>
      <c r="N3009" s="26"/>
      <c r="O3009" s="14" t="str">
        <f>HYPERLINK("https://otsuka-europe-crm.veevavault.com/ui/#object/email_activity__v/V8C000000048054", "EN-002104286")</f>
        <v>EN-002104286</v>
      </c>
    </row>
    <row r="3010" spans="1:15" ht="16" x14ac:dyDescent="0.2">
      <c r="A3010" s="26"/>
      <c r="B3010" s="26"/>
      <c r="C3010" s="26"/>
      <c r="D3010" s="26"/>
      <c r="E3010" s="26"/>
      <c r="F3010" s="26"/>
      <c r="G3010" s="26"/>
      <c r="H3010" s="26"/>
      <c r="I3010" s="26"/>
      <c r="J3010" s="26"/>
      <c r="K3010" s="26"/>
      <c r="L3010" s="26"/>
      <c r="M3010" s="26"/>
      <c r="N3010" s="26"/>
      <c r="O3010" s="14" t="str">
        <f>HYPERLINK("https://otsuka-europe-crm.veevavault.com/ui/#object/email_activity__v/V8C000000048058", "EN-002104291")</f>
        <v>EN-002104291</v>
      </c>
    </row>
    <row r="3011" spans="1:15" ht="16" x14ac:dyDescent="0.2">
      <c r="A3011" s="26"/>
      <c r="B3011" s="26"/>
      <c r="C3011" s="26"/>
      <c r="D3011" s="26"/>
      <c r="E3011" s="26"/>
      <c r="F3011" s="26"/>
      <c r="G3011" s="26"/>
      <c r="H3011" s="26"/>
      <c r="I3011" s="26"/>
      <c r="J3011" s="26"/>
      <c r="K3011" s="26"/>
      <c r="L3011" s="26"/>
      <c r="M3011" s="26"/>
      <c r="N3011" s="26"/>
      <c r="O3011" s="14" t="str">
        <f>HYPERLINK("https://otsuka-europe-crm.veevavault.com/ui/#object/email_activity__v/V8C000000048248", "EN-002104748")</f>
        <v>EN-002104748</v>
      </c>
    </row>
    <row r="3012" spans="1:15" ht="16" x14ac:dyDescent="0.2">
      <c r="A3012" s="19"/>
      <c r="B3012" s="19"/>
      <c r="C3012" s="19"/>
      <c r="D3012" s="19"/>
      <c r="E3012" s="19"/>
      <c r="F3012" s="19"/>
      <c r="G3012" s="19"/>
      <c r="H3012" s="19"/>
      <c r="I3012" s="19"/>
      <c r="J3012" s="19"/>
      <c r="K3012" s="19"/>
      <c r="L3012" s="19"/>
      <c r="M3012" s="19"/>
      <c r="N3012" s="19"/>
      <c r="O3012" s="14" t="str">
        <f>HYPERLINK("https://otsuka-europe-crm.veevavault.com/ui/#object/email_activity__v/V8C000000048249", "EN-002104749")</f>
        <v>EN-002104749</v>
      </c>
    </row>
    <row r="3013" spans="1:15" ht="32" x14ac:dyDescent="0.2">
      <c r="A3013" s="7" t="str">
        <f>HYPERLINK("https://otsuka-europe-crm.veevavault.com/ui/#object/account__v/V4T00000002C022", "ANGELA BLANCO GONZALEZ")</f>
        <v>ANGELA BLANCO GONZALEZ</v>
      </c>
      <c r="B3013" s="7" t="str">
        <f t="shared" ref="B3013:B3021" si="126">HYPERLINK("https://otsuka-europe-crm.veevavault.com/ui/#object/vcountry__v/VENZ000004SONF5", "ES")</f>
        <v>ES</v>
      </c>
      <c r="C3013" s="8" t="s">
        <v>39</v>
      </c>
      <c r="D3013" s="9" t="str">
        <f>HYPERLINK("https://otsuka-europe-crm.veevavault.com/ui/#object/approved_document__v/V5O00000000D100", "Spain - Consent Email 1 Aug 25")</f>
        <v>Spain - Consent Email 1 Aug 25</v>
      </c>
      <c r="E3013" s="10" t="str">
        <f>HYPERLINK("https://otsuka-europe-crm.veevavault.com/ui/#object/sent_email__v/VBL000000036011", "SE-001443127")</f>
        <v>SE-001443127</v>
      </c>
      <c r="F3013" s="11"/>
      <c r="G3013" s="12">
        <v>0</v>
      </c>
      <c r="H3013" s="12">
        <v>0</v>
      </c>
      <c r="I3013" s="12">
        <v>0</v>
      </c>
      <c r="J3013" s="11"/>
      <c r="K3013" s="12">
        <v>0</v>
      </c>
      <c r="L3013" s="10" t="str">
        <f>HYPERLINK("https://otsuka-europe-crm.veevavault.com/ui/#object/approved_document__v/V5O00000000D100", "Spain - Consent Email 1 Aug 25")</f>
        <v>Spain - Consent Email 1 Aug 25</v>
      </c>
      <c r="M3013" s="10" t="str">
        <f t="shared" ref="M3013:M3021" si="127">HYPERLINK("mailto:pmartinez@crm.otsuka-europe.com", "pmartinez@crm.otsuka-europe.com")</f>
        <v>pmartinez@crm.otsuka-europe.com</v>
      </c>
      <c r="N3013" s="13">
        <v>46213.393368055556</v>
      </c>
      <c r="O3013" s="14" t="str">
        <f>HYPERLINK("https://otsuka-europe-crm.veevavault.com/ui/#object/email_activity__v/V8C000000048036", "EN-002104250")</f>
        <v>EN-002104250</v>
      </c>
    </row>
    <row r="3014" spans="1:15" ht="32" x14ac:dyDescent="0.2">
      <c r="A3014" s="7" t="str">
        <f>HYPERLINK("https://otsuka-europe-crm.veevavault.com/ui/#object/account__v/V4T00000002C022", "ANGELA BLANCO GONZALEZ")</f>
        <v>ANGELA BLANCO GONZALEZ</v>
      </c>
      <c r="B3014" s="7" t="str">
        <f t="shared" si="126"/>
        <v>ES</v>
      </c>
      <c r="C3014" s="8" t="s">
        <v>39</v>
      </c>
      <c r="D3014" s="9" t="str">
        <f>HYPERLINK("https://otsuka-europe-crm.veevavault.com/ui/#object/approved_document__v/V5OZ04ASG4FWKA7", "Reuniones Online Consent - 2")</f>
        <v>Reuniones Online Consent - 2</v>
      </c>
      <c r="E3014" s="10" t="str">
        <f>HYPERLINK("https://otsuka-europe-crm.veevavault.com/ui/#object/sent_email__v/VBL000000036012", "SE-001443128")</f>
        <v>SE-001443128</v>
      </c>
      <c r="F3014" s="11"/>
      <c r="G3014" s="12">
        <v>0</v>
      </c>
      <c r="H3014" s="12">
        <v>0</v>
      </c>
      <c r="I3014" s="12">
        <v>0</v>
      </c>
      <c r="J3014" s="11"/>
      <c r="K3014" s="12">
        <v>0</v>
      </c>
      <c r="L3014" s="10" t="str">
        <f>HYPERLINK("https://otsuka-europe-crm.veevavault.com/ui/#object/approved_document__v/V5OZ04ASG4FWKA7", "Reuniones Online Consent - 2")</f>
        <v>Reuniones Online Consent - 2</v>
      </c>
      <c r="M3014" s="10" t="str">
        <f t="shared" si="127"/>
        <v>pmartinez@crm.otsuka-europe.com</v>
      </c>
      <c r="N3014" s="13">
        <v>46213.39371527778</v>
      </c>
      <c r="O3014" s="14" t="str">
        <f>HYPERLINK("https://otsuka-europe-crm.veevavault.com/ui/#object/email_activity__v/V8C000000047052", "EN-002104248")</f>
        <v>EN-002104248</v>
      </c>
    </row>
    <row r="3015" spans="1:15" ht="32" x14ac:dyDescent="0.2">
      <c r="A3015" s="7" t="str">
        <f>HYPERLINK("https://otsuka-europe-crm.veevavault.com/ui/#object/account__v/V4T00000002C022", "ANGELA BLANCO GONZALEZ")</f>
        <v>ANGELA BLANCO GONZALEZ</v>
      </c>
      <c r="B3015" s="7" t="str">
        <f t="shared" si="126"/>
        <v>ES</v>
      </c>
      <c r="C3015" s="8" t="s">
        <v>39</v>
      </c>
      <c r="D3015" s="9" t="str">
        <f>HYPERLINK("https://otsuka-europe-crm.veevavault.com/ui/#object/approved_document__v/V5OZ04ASG4FWKA9", "Documento Autorizaciขn Centro Empleador")</f>
        <v>Documento Autorizaciขn Centro Empleador</v>
      </c>
      <c r="E3015" s="10" t="str">
        <f>HYPERLINK("https://otsuka-europe-crm.veevavault.com/ui/#object/sent_email__v/VBL000000036013", "SE-001443129")</f>
        <v>SE-001443129</v>
      </c>
      <c r="F3015" s="11"/>
      <c r="G3015" s="12">
        <v>0</v>
      </c>
      <c r="H3015" s="12">
        <v>0</v>
      </c>
      <c r="I3015" s="12">
        <v>0</v>
      </c>
      <c r="J3015" s="11"/>
      <c r="K3015" s="12">
        <v>0</v>
      </c>
      <c r="L3015" s="10" t="str">
        <f>HYPERLINK("https://otsuka-europe-crm.veevavault.com/ui/#object/approved_document__v/V5OZ04ASG4FWKA9", "Documento Autorizaciขn Centro Empleador")</f>
        <v>Documento Autorizaciขn Centro Empleador</v>
      </c>
      <c r="M3015" s="10" t="str">
        <f t="shared" si="127"/>
        <v>pmartinez@crm.otsuka-europe.com</v>
      </c>
      <c r="N3015" s="13">
        <v>46213.393368055556</v>
      </c>
      <c r="O3015" s="14" t="str">
        <f>HYPERLINK("https://otsuka-europe-crm.veevavault.com/ui/#object/email_activity__v/V8C000000048035", "EN-002104249")</f>
        <v>EN-002104249</v>
      </c>
    </row>
    <row r="3016" spans="1:15" ht="32" x14ac:dyDescent="0.2">
      <c r="A3016" s="7" t="str">
        <f>HYPERLINK("https://otsuka-europe-crm.veevavault.com/ui/#object/account__v/V4T00000002C023", "JASONE URIARTE ELGUEZABAL")</f>
        <v>JASONE URIARTE ELGUEZABAL</v>
      </c>
      <c r="B3016" s="7" t="str">
        <f t="shared" si="126"/>
        <v>ES</v>
      </c>
      <c r="C3016" s="8" t="s">
        <v>39</v>
      </c>
      <c r="D3016" s="9" t="str">
        <f>HYPERLINK("https://otsuka-europe-crm.veevavault.com/ui/#object/approved_document__v/V5O00000000D100", "Spain - Consent Email 1 Aug 25")</f>
        <v>Spain - Consent Email 1 Aug 25</v>
      </c>
      <c r="E3016" s="10" t="str">
        <f>HYPERLINK("https://otsuka-europe-crm.veevavault.com/ui/#object/sent_email__v/VBL000000036014", "SE-001443130")</f>
        <v>SE-001443130</v>
      </c>
      <c r="F3016" s="11"/>
      <c r="G3016" s="12">
        <v>0</v>
      </c>
      <c r="H3016" s="12">
        <v>0</v>
      </c>
      <c r="I3016" s="12">
        <v>0</v>
      </c>
      <c r="J3016" s="11"/>
      <c r="K3016" s="12">
        <v>0</v>
      </c>
      <c r="L3016" s="10" t="str">
        <f>HYPERLINK("https://otsuka-europe-crm.veevavault.com/ui/#object/approved_document__v/V5O00000000D100", "Spain - Consent Email 1 Aug 25")</f>
        <v>Spain - Consent Email 1 Aug 25</v>
      </c>
      <c r="M3016" s="10" t="str">
        <f t="shared" si="127"/>
        <v>pmartinez@crm.otsuka-europe.com</v>
      </c>
      <c r="N3016" s="13">
        <v>46213.397511574076</v>
      </c>
      <c r="O3016" s="14" t="str">
        <f>HYPERLINK("https://otsuka-europe-crm.veevavault.com/ui/#object/email_activity__v/V8C000000048038", "EN-002104254")</f>
        <v>EN-002104254</v>
      </c>
    </row>
    <row r="3017" spans="1:15" ht="32" x14ac:dyDescent="0.2">
      <c r="A3017" s="7" t="str">
        <f>HYPERLINK("https://otsuka-europe-crm.veevavault.com/ui/#object/account__v/V4T00000002C023", "JASONE URIARTE ELGUEZABAL")</f>
        <v>JASONE URIARTE ELGUEZABAL</v>
      </c>
      <c r="B3017" s="7" t="str">
        <f t="shared" si="126"/>
        <v>ES</v>
      </c>
      <c r="C3017" s="8" t="s">
        <v>39</v>
      </c>
      <c r="D3017" s="9" t="str">
        <f>HYPERLINK("https://otsuka-europe-crm.veevavault.com/ui/#object/approved_document__v/V5OZ04ASG4FWKA9", "Documento Autorizaciขn Centro Empleador")</f>
        <v>Documento Autorizaciขn Centro Empleador</v>
      </c>
      <c r="E3017" s="10" t="str">
        <f>HYPERLINK("https://otsuka-europe-crm.veevavault.com/ui/#object/sent_email__v/VBL000000036015", "SE-001443131")</f>
        <v>SE-001443131</v>
      </c>
      <c r="F3017" s="11"/>
      <c r="G3017" s="12">
        <v>0</v>
      </c>
      <c r="H3017" s="12">
        <v>0</v>
      </c>
      <c r="I3017" s="12">
        <v>0</v>
      </c>
      <c r="J3017" s="11"/>
      <c r="K3017" s="12">
        <v>0</v>
      </c>
      <c r="L3017" s="10" t="str">
        <f>HYPERLINK("https://otsuka-europe-crm.veevavault.com/ui/#object/approved_document__v/V5OZ04ASG4FWKA9", "Documento Autorizaciขn Centro Empleador")</f>
        <v>Documento Autorizaciขn Centro Empleador</v>
      </c>
      <c r="M3017" s="10" t="str">
        <f t="shared" si="127"/>
        <v>pmartinez@crm.otsuka-europe.com</v>
      </c>
      <c r="N3017" s="13">
        <v>46213.397511574076</v>
      </c>
      <c r="O3017" s="14" t="str">
        <f>HYPERLINK("https://otsuka-europe-crm.veevavault.com/ui/#object/email_activity__v/V8C000000048037", "EN-002104253")</f>
        <v>EN-002104253</v>
      </c>
    </row>
    <row r="3018" spans="1:15" ht="32" x14ac:dyDescent="0.2">
      <c r="A3018" s="7" t="str">
        <f>HYPERLINK("https://otsuka-europe-crm.veevavault.com/ui/#object/account__v/V4T00000002C023", "JASONE URIARTE ELGUEZABAL")</f>
        <v>JASONE URIARTE ELGUEZABAL</v>
      </c>
      <c r="B3018" s="7" t="str">
        <f t="shared" si="126"/>
        <v>ES</v>
      </c>
      <c r="C3018" s="8" t="s">
        <v>39</v>
      </c>
      <c r="D3018" s="9" t="str">
        <f>HYPERLINK("https://otsuka-europe-crm.veevavault.com/ui/#object/approved_document__v/V5OZ04ASG4FWKA7", "Reuniones Online Consent - 2")</f>
        <v>Reuniones Online Consent - 2</v>
      </c>
      <c r="E3018" s="10" t="str">
        <f>HYPERLINK("https://otsuka-europe-crm.veevavault.com/ui/#object/sent_email__v/VBL000000036016", "SE-001443132")</f>
        <v>SE-001443132</v>
      </c>
      <c r="F3018" s="11"/>
      <c r="G3018" s="12">
        <v>0</v>
      </c>
      <c r="H3018" s="12">
        <v>0</v>
      </c>
      <c r="I3018" s="12">
        <v>0</v>
      </c>
      <c r="J3018" s="11"/>
      <c r="K3018" s="12">
        <v>0</v>
      </c>
      <c r="L3018" s="10" t="str">
        <f>HYPERLINK("https://otsuka-europe-crm.veevavault.com/ui/#object/approved_document__v/V5OZ04ASG4FWKA7", "Reuniones Online Consent - 2")</f>
        <v>Reuniones Online Consent - 2</v>
      </c>
      <c r="M3018" s="10" t="str">
        <f t="shared" si="127"/>
        <v>pmartinez@crm.otsuka-europe.com</v>
      </c>
      <c r="N3018" s="13">
        <v>46213.397511574076</v>
      </c>
      <c r="O3018" s="14" t="str">
        <f>HYPERLINK("https://otsuka-europe-crm.veevavault.com/ui/#object/email_activity__v/V8C000000047054", "EN-002104252")</f>
        <v>EN-002104252</v>
      </c>
    </row>
    <row r="3019" spans="1:15" ht="32" x14ac:dyDescent="0.2">
      <c r="A3019" s="7" t="str">
        <f>HYPERLINK("https://otsuka-europe-crm.veevavault.com/ui/#object/account__v/V4T00000002D026", "DANIELA CABALLERO ALVAREZ")</f>
        <v>DANIELA CABALLERO ALVAREZ</v>
      </c>
      <c r="B3019" s="7" t="str">
        <f t="shared" si="126"/>
        <v>ES</v>
      </c>
      <c r="C3019" s="8" t="s">
        <v>39</v>
      </c>
      <c r="D3019" s="9" t="str">
        <f>HYPERLINK("https://otsuka-europe-crm.veevavault.com/ui/#object/approved_document__v/V5OZ04ASG4FWKA7", "Reuniones Online Consent - 2")</f>
        <v>Reuniones Online Consent - 2</v>
      </c>
      <c r="E3019" s="10" t="str">
        <f>HYPERLINK("https://otsuka-europe-crm.veevavault.com/ui/#object/sent_email__v/VBL000000036017", "SE-001443133")</f>
        <v>SE-001443133</v>
      </c>
      <c r="F3019" s="11"/>
      <c r="G3019" s="12">
        <v>0</v>
      </c>
      <c r="H3019" s="12">
        <v>0</v>
      </c>
      <c r="I3019" s="12">
        <v>0</v>
      </c>
      <c r="J3019" s="11"/>
      <c r="K3019" s="12">
        <v>0</v>
      </c>
      <c r="L3019" s="10" t="str">
        <f>HYPERLINK("https://otsuka-europe-crm.veevavault.com/ui/#object/approved_document__v/V5OZ04ASG4FWKA7", "Reuniones Online Consent - 2")</f>
        <v>Reuniones Online Consent - 2</v>
      </c>
      <c r="M3019" s="10" t="str">
        <f t="shared" si="127"/>
        <v>pmartinez@crm.otsuka-europe.com</v>
      </c>
      <c r="N3019" s="13">
        <v>46213.400856481479</v>
      </c>
      <c r="O3019" s="14" t="str">
        <f>HYPERLINK("https://otsuka-europe-crm.veevavault.com/ui/#object/email_activity__v/V8C000000048039", "EN-002104255")</f>
        <v>EN-002104255</v>
      </c>
    </row>
    <row r="3020" spans="1:15" ht="32" x14ac:dyDescent="0.2">
      <c r="A3020" s="7" t="str">
        <f>HYPERLINK("https://otsuka-europe-crm.veevavault.com/ui/#object/account__v/V4T00000002D026", "DANIELA CABALLERO ALVAREZ")</f>
        <v>DANIELA CABALLERO ALVAREZ</v>
      </c>
      <c r="B3020" s="7" t="str">
        <f t="shared" si="126"/>
        <v>ES</v>
      </c>
      <c r="C3020" s="8" t="s">
        <v>39</v>
      </c>
      <c r="D3020" s="9" t="str">
        <f>HYPERLINK("https://otsuka-europe-crm.veevavault.com/ui/#object/approved_document__v/V5O00000000D100", "Spain - Consent Email 1 Aug 25")</f>
        <v>Spain - Consent Email 1 Aug 25</v>
      </c>
      <c r="E3020" s="10" t="str">
        <f>HYPERLINK("https://otsuka-europe-crm.veevavault.com/ui/#object/sent_email__v/VBL000000036018", "SE-001443134")</f>
        <v>SE-001443134</v>
      </c>
      <c r="F3020" s="11"/>
      <c r="G3020" s="12">
        <v>0</v>
      </c>
      <c r="H3020" s="12">
        <v>0</v>
      </c>
      <c r="I3020" s="12">
        <v>0</v>
      </c>
      <c r="J3020" s="11"/>
      <c r="K3020" s="12">
        <v>0</v>
      </c>
      <c r="L3020" s="10" t="str">
        <f>HYPERLINK("https://otsuka-europe-crm.veevavault.com/ui/#object/approved_document__v/V5O00000000D100", "Spain - Consent Email 1 Aug 25")</f>
        <v>Spain - Consent Email 1 Aug 25</v>
      </c>
      <c r="M3020" s="10" t="str">
        <f t="shared" si="127"/>
        <v>pmartinez@crm.otsuka-europe.com</v>
      </c>
      <c r="N3020" s="13">
        <v>46213.401030092595</v>
      </c>
      <c r="O3020" s="14" t="str">
        <f>HYPERLINK("https://otsuka-europe-crm.veevavault.com/ui/#object/email_activity__v/V8C000000048040", "EN-002104257")</f>
        <v>EN-002104257</v>
      </c>
    </row>
    <row r="3021" spans="1:15" ht="32" x14ac:dyDescent="0.2">
      <c r="A3021" s="7" t="str">
        <f>HYPERLINK("https://otsuka-europe-crm.veevavault.com/ui/#object/account__v/V4T00000002D026", "DANIELA CABALLERO ALVAREZ")</f>
        <v>DANIELA CABALLERO ALVAREZ</v>
      </c>
      <c r="B3021" s="7" t="str">
        <f t="shared" si="126"/>
        <v>ES</v>
      </c>
      <c r="C3021" s="8" t="s">
        <v>39</v>
      </c>
      <c r="D3021" s="9" t="str">
        <f>HYPERLINK("https://otsuka-europe-crm.veevavault.com/ui/#object/approved_document__v/V5OZ04ASG4FWKA9", "Documento Autorizaciขn Centro Empleador")</f>
        <v>Documento Autorizaciขn Centro Empleador</v>
      </c>
      <c r="E3021" s="10" t="str">
        <f>HYPERLINK("https://otsuka-europe-crm.veevavault.com/ui/#object/sent_email__v/VBL000000036019", "SE-001443135")</f>
        <v>SE-001443135</v>
      </c>
      <c r="F3021" s="11"/>
      <c r="G3021" s="12">
        <v>0</v>
      </c>
      <c r="H3021" s="12">
        <v>0</v>
      </c>
      <c r="I3021" s="12">
        <v>0</v>
      </c>
      <c r="J3021" s="11"/>
      <c r="K3021" s="12">
        <v>0</v>
      </c>
      <c r="L3021" s="10" t="str">
        <f>HYPERLINK("https://otsuka-europe-crm.veevavault.com/ui/#object/approved_document__v/V5OZ04ASG4FWKA9", "Documento Autorizaciขn Centro Empleador")</f>
        <v>Documento Autorizaciขn Centro Empleador</v>
      </c>
      <c r="M3021" s="10" t="str">
        <f t="shared" si="127"/>
        <v>pmartinez@crm.otsuka-europe.com</v>
      </c>
      <c r="N3021" s="13">
        <v>46213.401030092595</v>
      </c>
      <c r="O3021" s="14" t="str">
        <f>HYPERLINK("https://otsuka-europe-crm.veevavault.com/ui/#object/email_activity__v/V8C000000047055", "EN-002104256")</f>
        <v>EN-002104256</v>
      </c>
    </row>
    <row r="3022" spans="1:15" ht="32" x14ac:dyDescent="0.2">
      <c r="A3022" s="7" t="str">
        <f>HYPERLINK("https://otsuka-europe-crm.veevavault.com/ui/#object/account__v/V4TZ025E867MCUN", "Thanh Long Chau")</f>
        <v>Thanh Long Chau</v>
      </c>
      <c r="B3022" s="7" t="str">
        <f>HYPERLINK("https://otsuka-europe-crm.veevavault.com/ui/#object/vcountry__v/VENZ000004SONFN", "CH")</f>
        <v>CH</v>
      </c>
      <c r="C3022" s="8" t="s">
        <v>45</v>
      </c>
      <c r="D3022" s="9" t="str">
        <f>HYPERLINK("https://otsuka-europe-crm.veevavault.com/ui/#object/approved_document__v/V5O00000001L016", "ALL_Flexibilität_Ferienplanung_2026_AA_de")</f>
        <v>ALL_Flexibilität_Ferienplanung_2026_AA_de</v>
      </c>
      <c r="E3022" s="10" t="str">
        <f>HYPERLINK("https://otsuka-europe-crm.veevavault.com/ui/#object/sent_email__v/VBL000000035006", "SE-001443136")</f>
        <v>SE-001443136</v>
      </c>
      <c r="F3022" s="11"/>
      <c r="G3022" s="12">
        <v>0</v>
      </c>
      <c r="H3022" s="12">
        <v>0</v>
      </c>
      <c r="I3022" s="12">
        <v>0</v>
      </c>
      <c r="J3022" s="11"/>
      <c r="K3022" s="12">
        <v>0</v>
      </c>
      <c r="L3022" s="10" t="str">
        <f>HYPERLINK("https://otsuka-europe-crm.veevavault.com/ui/#object/approved_document__v/V5O00000001L016", "ALL_Flexibilität_Ferienplanung_2026_AA_de")</f>
        <v>ALL_Flexibilität_Ferienplanung_2026_AA_de</v>
      </c>
      <c r="M3022" s="10" t="str">
        <f>HYPERLINK("mailto:dharder@crm.otsuka-europe.com", "dharder@crm.otsuka-europe.com")</f>
        <v>dharder@crm.otsuka-europe.com</v>
      </c>
      <c r="N3022" s="13">
        <v>46213.427789351852</v>
      </c>
      <c r="O3022" s="14" t="str">
        <f>HYPERLINK("https://otsuka-europe-crm.veevavault.com/ui/#object/email_activity__v/V8C000000048042", "EN-002104259")</f>
        <v>EN-002104259</v>
      </c>
    </row>
    <row r="3023" spans="1:15" ht="32" x14ac:dyDescent="0.2">
      <c r="A3023" s="7" t="str">
        <f>HYPERLINK("https://otsuka-europe-crm.veevavault.com/ui/#object/account__v/V4T00000002B133", "Magid Ahmed")</f>
        <v>Magid Ahmed</v>
      </c>
      <c r="B3023" s="7" t="str">
        <f>HYPERLINK("https://otsuka-europe-crm.veevavault.com/ui/#object/vcountry__v/VENZ000004SONFK", "GB")</f>
        <v>GB</v>
      </c>
      <c r="C3023" s="8" t="s">
        <v>41</v>
      </c>
      <c r="D3023" s="9" t="str">
        <f>HYPERLINK("https://otsuka-europe-crm.veevavault.com/ui/#object/approved_document__v/V5OZ025E82PXJSL", "Otsuka Privacy Notice - UK (v2)")</f>
        <v>Otsuka Privacy Notice - UK (v2)</v>
      </c>
      <c r="E3023" s="10" t="str">
        <f>HYPERLINK("https://otsuka-europe-crm.veevavault.com/ui/#object/sent_email__v/VBL000000035007", "SE-001443137")</f>
        <v>SE-001443137</v>
      </c>
      <c r="F3023" s="11"/>
      <c r="G3023" s="12">
        <v>0</v>
      </c>
      <c r="H3023" s="12">
        <v>0</v>
      </c>
      <c r="I3023" s="12">
        <v>0</v>
      </c>
      <c r="J3023" s="11"/>
      <c r="K3023" s="12">
        <v>0</v>
      </c>
      <c r="L3023" s="10" t="str">
        <f>HYPERLINK("https://otsuka-europe-crm.veevavault.com/ui/#object/approved_document__v/V5OZ025E82PXJSL", "Otsuka Privacy Notice - UK (v2)")</f>
        <v>Otsuka Privacy Notice - UK (v2)</v>
      </c>
      <c r="M3023" s="10" t="str">
        <f>HYPERLINK("mailto:ldimambro@crm.otsuka-europe.com", "ldimambro@crm.otsuka-europe.com")</f>
        <v>ldimambro@crm.otsuka-europe.com</v>
      </c>
      <c r="N3023" s="13">
        <v>46213.428113425929</v>
      </c>
      <c r="O3023" s="14" t="str">
        <f>HYPERLINK("https://otsuka-europe-crm.veevavault.com/ui/#object/email_activity__v/V8C000000047056", "EN-002104260")</f>
        <v>EN-002104260</v>
      </c>
    </row>
    <row r="3024" spans="1:15" ht="16" x14ac:dyDescent="0.2">
      <c r="A3024" s="18" t="str">
        <f>HYPERLINK("https://otsuka-europe-crm.veevavault.com/ui/#object/account__v/V4T00000002B133", "Magid Ahmed")</f>
        <v>Magid Ahmed</v>
      </c>
      <c r="B3024" s="18" t="str">
        <f>HYPERLINK("https://otsuka-europe-crm.veevavault.com/ui/#object/vcountry__v/VENZ000004SONFK", "GB")</f>
        <v>GB</v>
      </c>
      <c r="C3024" s="20" t="s">
        <v>41</v>
      </c>
      <c r="D3024" s="21" t="str">
        <f>HYPERLINK("https://otsuka-europe-crm.veevavault.com/ui/#object/approved_document__v/V5O00000000D081", "UK - Consent Email 1 Aug 25")</f>
        <v>UK - Consent Email 1 Aug 25</v>
      </c>
      <c r="E3024" s="22" t="str">
        <f>HYPERLINK("https://otsuka-europe-crm.veevavault.com/ui/#object/sent_email__v/VBL000000035008", "SE-001443138")</f>
        <v>SE-001443138</v>
      </c>
      <c r="F3024" s="25">
        <v>46213.430150462962</v>
      </c>
      <c r="G3024" s="24">
        <v>1</v>
      </c>
      <c r="H3024" s="24">
        <v>1</v>
      </c>
      <c r="I3024" s="24">
        <v>1</v>
      </c>
      <c r="J3024" s="25">
        <v>46213.430150462962</v>
      </c>
      <c r="K3024" s="24">
        <v>1</v>
      </c>
      <c r="L3024" s="22" t="str">
        <f>HYPERLINK("https://otsuka-europe-crm.veevavault.com/ui/#object/approved_document__v/V5O00000000D081", "UK - Consent Email 1 Aug 25")</f>
        <v>UK - Consent Email 1 Aug 25</v>
      </c>
      <c r="M3024" s="22" t="str">
        <f>HYPERLINK("mailto:ldimambro@crm.otsuka-europe.com", "ldimambro@crm.otsuka-europe.com")</f>
        <v>ldimambro@crm.otsuka-europe.com</v>
      </c>
      <c r="N3024" s="25">
        <v>46213.429155092592</v>
      </c>
      <c r="O3024" s="14" t="str">
        <f>HYPERLINK("https://otsuka-europe-crm.veevavault.com/ui/#object/email_activity__v/V8C000000047057", "EN-002104261")</f>
        <v>EN-002104261</v>
      </c>
    </row>
    <row r="3025" spans="1:15" ht="16" x14ac:dyDescent="0.2">
      <c r="A3025" s="26"/>
      <c r="B3025" s="26"/>
      <c r="C3025" s="26"/>
      <c r="D3025" s="26"/>
      <c r="E3025" s="26"/>
      <c r="F3025" s="26"/>
      <c r="G3025" s="26"/>
      <c r="H3025" s="26"/>
      <c r="I3025" s="26"/>
      <c r="J3025" s="26"/>
      <c r="K3025" s="26"/>
      <c r="L3025" s="26"/>
      <c r="M3025" s="26"/>
      <c r="N3025" s="26"/>
      <c r="O3025" s="14" t="str">
        <f>HYPERLINK("https://otsuka-europe-crm.veevavault.com/ui/#object/email_activity__v/V8C000000047059", "EN-002104264")</f>
        <v>EN-002104264</v>
      </c>
    </row>
    <row r="3026" spans="1:15" ht="16" x14ac:dyDescent="0.2">
      <c r="A3026" s="19"/>
      <c r="B3026" s="19"/>
      <c r="C3026" s="19"/>
      <c r="D3026" s="19"/>
      <c r="E3026" s="19"/>
      <c r="F3026" s="19"/>
      <c r="G3026" s="19"/>
      <c r="H3026" s="19"/>
      <c r="I3026" s="19"/>
      <c r="J3026" s="19"/>
      <c r="K3026" s="19"/>
      <c r="L3026" s="19"/>
      <c r="M3026" s="19"/>
      <c r="N3026" s="19"/>
      <c r="O3026" s="14" t="str">
        <f>HYPERLINK("https://otsuka-europe-crm.veevavault.com/ui/#object/email_activity__v/V8C000000047060", "EN-002104263")</f>
        <v>EN-002104263</v>
      </c>
    </row>
    <row r="3027" spans="1:15" ht="32" x14ac:dyDescent="0.2">
      <c r="A3027" s="7" t="str">
        <f>HYPERLINK("https://otsuka-europe-crm.veevavault.com/ui/#object/account__v/V4TZ0000062R4F1", "Stephan Egger")</f>
        <v>Stephan Egger</v>
      </c>
      <c r="B3027" s="7" t="str">
        <f>HYPERLINK("https://otsuka-europe-crm.veevavault.com/ui/#object/vcountry__v/VENZ000004SONFN", "CH")</f>
        <v>CH</v>
      </c>
      <c r="C3027" s="8" t="s">
        <v>45</v>
      </c>
      <c r="D3027" s="9" t="str">
        <f>HYPERLINK("https://otsuka-europe-crm.veevavault.com/ui/#object/approved_document__v/V5O00000001L016", "ALL_Flexibilität_Ferienplanung_2026_AA_de")</f>
        <v>ALL_Flexibilität_Ferienplanung_2026_AA_de</v>
      </c>
      <c r="E3027" s="10" t="str">
        <f>HYPERLINK("https://otsuka-europe-crm.veevavault.com/ui/#object/sent_email__v/VBL000000035009", "SE-001443139")</f>
        <v>SE-001443139</v>
      </c>
      <c r="F3027" s="11"/>
      <c r="G3027" s="12">
        <v>0</v>
      </c>
      <c r="H3027" s="12">
        <v>0</v>
      </c>
      <c r="I3027" s="12">
        <v>0</v>
      </c>
      <c r="J3027" s="11"/>
      <c r="K3027" s="12">
        <v>0</v>
      </c>
      <c r="L3027" s="10" t="str">
        <f>HYPERLINK("https://otsuka-europe-crm.veevavault.com/ui/#object/approved_document__v/V5O00000001L016", "ALL_Flexibilität_Ferienplanung_2026_AA_de")</f>
        <v>ALL_Flexibilität_Ferienplanung_2026_AA_de</v>
      </c>
      <c r="M3027" s="10" t="str">
        <f>HYPERLINK("mailto:dharder@crm.otsuka-europe.com", "dharder@crm.otsuka-europe.com")</f>
        <v>dharder@crm.otsuka-europe.com</v>
      </c>
      <c r="N3027" s="13">
        <v>46213.429340277777</v>
      </c>
      <c r="O3027" s="14" t="str">
        <f>HYPERLINK("https://otsuka-europe-crm.veevavault.com/ui/#object/email_activity__v/V8C000000047058", "EN-002104262")</f>
        <v>EN-002104262</v>
      </c>
    </row>
    <row r="3028" spans="1:15" ht="16" x14ac:dyDescent="0.2">
      <c r="A3028" s="18" t="str">
        <f>HYPERLINK("https://otsuka-europe-crm.veevavault.com/ui/#object/account__v/V4TZ0000062R6FS", "Dorrit Hansmann")</f>
        <v>Dorrit Hansmann</v>
      </c>
      <c r="B3028" s="18" t="str">
        <f>HYPERLINK("https://otsuka-europe-crm.veevavault.com/ui/#object/vcountry__v/VENZ000004SONFN", "CH")</f>
        <v>CH</v>
      </c>
      <c r="C3028" s="20" t="s">
        <v>45</v>
      </c>
      <c r="D3028" s="21" t="str">
        <f>HYPERLINK("https://otsuka-europe-crm.veevavault.com/ui/#object/approved_document__v/V5O00000001L016", "ALL_Flexibilität_Ferienplanung_2026_AA_de")</f>
        <v>ALL_Flexibilität_Ferienplanung_2026_AA_de</v>
      </c>
      <c r="E3028" s="22" t="str">
        <f>HYPERLINK("https://otsuka-europe-crm.veevavault.com/ui/#object/sent_email__v/VBL000000035010", "SE-001443140")</f>
        <v>SE-001443140</v>
      </c>
      <c r="F3028" s="25">
        <v>46215.47991898148</v>
      </c>
      <c r="G3028" s="24">
        <v>1</v>
      </c>
      <c r="H3028" s="24">
        <v>1</v>
      </c>
      <c r="I3028" s="24">
        <v>0</v>
      </c>
      <c r="J3028" s="23"/>
      <c r="K3028" s="24">
        <v>0</v>
      </c>
      <c r="L3028" s="22" t="str">
        <f>HYPERLINK("https://otsuka-europe-crm.veevavault.com/ui/#object/approved_document__v/V5O00000001L016", "ALL_Flexibilität_Ferienplanung_2026_AA_de")</f>
        <v>ALL_Flexibilität_Ferienplanung_2026_AA_de</v>
      </c>
      <c r="M3028" s="22" t="str">
        <f>HYPERLINK("mailto:dharder@crm.otsuka-europe.com", "dharder@crm.otsuka-europe.com")</f>
        <v>dharder@crm.otsuka-europe.com</v>
      </c>
      <c r="N3028" s="25">
        <v>46213.430543981478</v>
      </c>
      <c r="O3028" s="14" t="str">
        <f>HYPERLINK("https://otsuka-europe-crm.veevavault.com/ui/#object/email_activity__v/V8C000000048045", "EN-002104269")</f>
        <v>EN-002104269</v>
      </c>
    </row>
    <row r="3029" spans="1:15" ht="16" x14ac:dyDescent="0.2">
      <c r="A3029" s="19"/>
      <c r="B3029" s="19"/>
      <c r="C3029" s="19"/>
      <c r="D3029" s="19"/>
      <c r="E3029" s="19"/>
      <c r="F3029" s="19"/>
      <c r="G3029" s="19"/>
      <c r="H3029" s="19"/>
      <c r="I3029" s="19"/>
      <c r="J3029" s="19"/>
      <c r="K3029" s="19"/>
      <c r="L3029" s="19"/>
      <c r="M3029" s="19"/>
      <c r="N3029" s="19"/>
      <c r="O3029" s="14" t="str">
        <f>HYPERLINK("https://otsuka-europe-crm.veevavault.com/ui/#object/email_activity__v/V8C00000004A043", "EN-002104955")</f>
        <v>EN-002104955</v>
      </c>
    </row>
    <row r="3030" spans="1:15" ht="32" x14ac:dyDescent="0.2">
      <c r="A3030" s="7" t="str">
        <f>HYPERLINK("https://otsuka-europe-crm.veevavault.com/ui/#object/account__v/V4TZ0000062PKB4", "Veena Shivnath")</f>
        <v>Veena Shivnath</v>
      </c>
      <c r="B3030" s="7" t="str">
        <f>HYPERLINK("https://otsuka-europe-crm.veevavault.com/ui/#object/vcountry__v/VENZ000004SONFK", "GB")</f>
        <v>GB</v>
      </c>
      <c r="C3030" s="8" t="s">
        <v>41</v>
      </c>
      <c r="D3030" s="9" t="str">
        <f>HYPERLINK("https://otsuka-europe-crm.veevavault.com/ui/#object/approved_document__v/V5O00000001V001", "LDM DR P2P Invite 12-Nov-26 v2 [digital]")</f>
        <v>LDM DR P2P Invite 12-Nov-26 v2 [digital]</v>
      </c>
      <c r="E3030" s="10" t="str">
        <f>HYPERLINK("https://otsuka-europe-crm.veevavault.com/ui/#object/sent_email__v/VBL000000036020", "SE-001443141")</f>
        <v>SE-001443141</v>
      </c>
      <c r="F3030" s="11"/>
      <c r="G3030" s="12">
        <v>0</v>
      </c>
      <c r="H3030" s="12">
        <v>0</v>
      </c>
      <c r="I3030" s="12">
        <v>0</v>
      </c>
      <c r="J3030" s="11"/>
      <c r="K3030" s="12">
        <v>0</v>
      </c>
      <c r="L3030" s="10" t="str">
        <f>HYPERLINK("https://otsuka-europe-crm.veevavault.com/ui/#object/approved_document__v/V5O00000001V001", "LDM DR P2P Invite 12-Nov-26 v2 [digital]")</f>
        <v>LDM DR P2P Invite 12-Nov-26 v2 [digital]</v>
      </c>
      <c r="M3030" s="10" t="str">
        <f>HYPERLINK("mailto:ldimambro@crm.otsuka-europe.com", "ldimambro@crm.otsuka-europe.com")</f>
        <v>ldimambro@crm.otsuka-europe.com</v>
      </c>
      <c r="N3030" s="13">
        <v>46213.447453703702</v>
      </c>
      <c r="O3030" s="14" t="str">
        <f>HYPERLINK("https://otsuka-europe-crm.veevavault.com/ui/#object/email_activity__v/V8C000000047070", "EN-002104281")</f>
        <v>EN-002104281</v>
      </c>
    </row>
    <row r="3031" spans="1:15" ht="16" x14ac:dyDescent="0.2">
      <c r="A3031" s="18" t="str">
        <f>HYPERLINK("https://otsuka-europe-crm.veevavault.com/ui/#object/account__v/V4T000000028052", "REBECCA CEZZA")</f>
        <v>REBECCA CEZZA</v>
      </c>
      <c r="B3031" s="18" t="str">
        <f>HYPERLINK("https://otsuka-europe-crm.veevavault.com/ui/#object/vcountry__v/VENZ000004SONFQ", "IT")</f>
        <v>IT</v>
      </c>
      <c r="C3031" s="20" t="s">
        <v>42</v>
      </c>
      <c r="D3031" s="21" t="str">
        <f>HYPERLINK("https://otsuka-europe-crm.veevavault.com/ui/#object/approved_document__v/V5OZ025E82UFNWM", "ABILIFY 960720_Branded_AE Fagiolini_IT-AM2-2500131")</f>
        <v>ABILIFY 960720_Branded_AE Fagiolini_IT-AM2-2500131</v>
      </c>
      <c r="E3031" s="22" t="str">
        <f>HYPERLINK("https://otsuka-europe-crm.veevavault.com/ui/#object/sent_email__v/VBL000000036021", "SE-001443142")</f>
        <v>SE-001443142</v>
      </c>
      <c r="F3031" s="25">
        <v>46213.469722222224</v>
      </c>
      <c r="G3031" s="24">
        <v>1</v>
      </c>
      <c r="H3031" s="24">
        <v>1</v>
      </c>
      <c r="I3031" s="24">
        <v>0</v>
      </c>
      <c r="J3031" s="23"/>
      <c r="K3031" s="24">
        <v>0</v>
      </c>
      <c r="L3031" s="22" t="str">
        <f>HYPERLINK("https://otsuka-europe-crm.veevavault.com/ui/#object/approved_document__v/V5OZ025E82UFNWM", "ABILIFY 960720_Branded_AE Fagiolini_IT-AM2-2500131")</f>
        <v>ABILIFY 960720_Branded_AE Fagiolini_IT-AM2-2500131</v>
      </c>
      <c r="M3031" s="22" t="str">
        <f>HYPERLINK("mailto:laura.mallia@crm.otsuka-europe.com", "laura.mallia@crm.otsuka-europe.com")</f>
        <v>laura.mallia@crm.otsuka-europe.com</v>
      </c>
      <c r="N3031" s="25">
        <v>46213.463969907411</v>
      </c>
      <c r="O3031" s="14" t="str">
        <f>HYPERLINK("https://otsuka-europe-crm.veevavault.com/ui/#object/email_activity__v/V8C000000047071", "EN-002104283")</f>
        <v>EN-002104283</v>
      </c>
    </row>
    <row r="3032" spans="1:15" ht="16" x14ac:dyDescent="0.2">
      <c r="A3032" s="19"/>
      <c r="B3032" s="19"/>
      <c r="C3032" s="19"/>
      <c r="D3032" s="19"/>
      <c r="E3032" s="19"/>
      <c r="F3032" s="19"/>
      <c r="G3032" s="19"/>
      <c r="H3032" s="19"/>
      <c r="I3032" s="19"/>
      <c r="J3032" s="19"/>
      <c r="K3032" s="19"/>
      <c r="L3032" s="19"/>
      <c r="M3032" s="19"/>
      <c r="N3032" s="19"/>
      <c r="O3032" s="14" t="str">
        <f>HYPERLINK("https://otsuka-europe-crm.veevavault.com/ui/#object/email_activity__v/V8C000000047072", "EN-002104292")</f>
        <v>EN-002104292</v>
      </c>
    </row>
    <row r="3033" spans="1:15" ht="32" x14ac:dyDescent="0.2">
      <c r="A3033" s="7" t="str">
        <f>HYPERLINK("https://otsuka-europe-crm.veevavault.com/ui/#object/account__v/V4T000000028052", "REBECCA CEZZA")</f>
        <v>REBECCA CEZZA</v>
      </c>
      <c r="B3033" s="7" t="str">
        <f>HYPERLINK("https://otsuka-europe-crm.veevavault.com/ui/#object/vcountry__v/VENZ000004SONFQ", "IT")</f>
        <v>IT</v>
      </c>
      <c r="C3033" s="8" t="s">
        <v>42</v>
      </c>
      <c r="D3033" s="9" t="str">
        <f>HYPERLINK("https://otsuka-europe-crm.veevavault.com/ui/#object/approved_document__v/V5OZ025E82JJ7FL", "NL AE HCP Portal")</f>
        <v>NL AE HCP Portal</v>
      </c>
      <c r="E3033" s="10" t="str">
        <f>HYPERLINK("https://otsuka-europe-crm.veevavault.com/ui/#object/sent_email__v/VBL000000036022", "SE-001443143")</f>
        <v>SE-001443143</v>
      </c>
      <c r="F3033" s="11"/>
      <c r="G3033" s="12">
        <v>0</v>
      </c>
      <c r="H3033" s="12">
        <v>0</v>
      </c>
      <c r="I3033" s="12">
        <v>0</v>
      </c>
      <c r="J3033" s="11"/>
      <c r="K3033" s="12">
        <v>0</v>
      </c>
      <c r="L3033" s="10" t="str">
        <f>HYPERLINK("https://otsuka-europe-crm.veevavault.com/ui/#object/approved_document__v/V5OZ025E82JJ7FL", "NL AE HCP Portal")</f>
        <v>NL AE HCP Portal</v>
      </c>
      <c r="M3033" s="10" t="str">
        <f>HYPERLINK("mailto:laura.mallia@crm.otsuka-europe.com", "laura.mallia@crm.otsuka-europe.com")</f>
        <v>laura.mallia@crm.otsuka-europe.com</v>
      </c>
      <c r="N3033" s="13">
        <v>46213.464062500003</v>
      </c>
      <c r="O3033" s="14" t="str">
        <f>HYPERLINK("https://otsuka-europe-crm.veevavault.com/ui/#object/email_activity__v/V8C000000048055", "EN-002104288")</f>
        <v>EN-002104288</v>
      </c>
    </row>
    <row r="3034" spans="1:15" ht="16" x14ac:dyDescent="0.2">
      <c r="A3034" s="18" t="str">
        <f>HYPERLINK("https://otsuka-europe-crm.veevavault.com/ui/#object/account__v/V4T00000002B061", "JUDITH MARTIN CASTILLO")</f>
        <v>JUDITH MARTIN CASTILLO</v>
      </c>
      <c r="B3034" s="18" t="str">
        <f>HYPERLINK("https://otsuka-europe-crm.veevavault.com/ui/#object/vcountry__v/VENZ000004SONF5", "ES")</f>
        <v>ES</v>
      </c>
      <c r="C3034" s="20" t="s">
        <v>39</v>
      </c>
      <c r="D3034" s="21" t="str">
        <f>HYPERLINK("https://otsuka-europe-crm.veevavault.com/ui/#object/approved_document__v/V5O00000000D100", "Spain - Consent Email 1 Aug 25")</f>
        <v>Spain - Consent Email 1 Aug 25</v>
      </c>
      <c r="E3034" s="22" t="str">
        <f>HYPERLINK("https://otsuka-europe-crm.veevavault.com/ui/#object/sent_email__v/VBL000000036023", "SE-001443144")</f>
        <v>SE-001443144</v>
      </c>
      <c r="F3034" s="25">
        <v>46213.530659722222</v>
      </c>
      <c r="G3034" s="24">
        <v>1</v>
      </c>
      <c r="H3034" s="24">
        <v>2</v>
      </c>
      <c r="I3034" s="24">
        <v>1</v>
      </c>
      <c r="J3034" s="25">
        <v>46213.530659722222</v>
      </c>
      <c r="K3034" s="24">
        <v>1</v>
      </c>
      <c r="L3034" s="22" t="str">
        <f>HYPERLINK("https://otsuka-europe-crm.veevavault.com/ui/#object/approved_document__v/V5O00000000D100", "Spain - Consent Email 1 Aug 25")</f>
        <v>Spain - Consent Email 1 Aug 25</v>
      </c>
      <c r="M3034" s="22" t="str">
        <f>HYPERLINK("mailto:jllombart@crm.otsuka-europe.com", "jllombart@crm.otsuka-europe.com")</f>
        <v>jllombart@crm.otsuka-europe.com</v>
      </c>
      <c r="N3034" s="25">
        <v>46213.473553240743</v>
      </c>
      <c r="O3034" s="14" t="str">
        <f>HYPERLINK("https://otsuka-europe-crm.veevavault.com/ui/#object/email_activity__v/V8C000000047074", "EN-002104295")</f>
        <v>EN-002104295</v>
      </c>
    </row>
    <row r="3035" spans="1:15" ht="16" x14ac:dyDescent="0.2">
      <c r="A3035" s="26"/>
      <c r="B3035" s="26"/>
      <c r="C3035" s="26"/>
      <c r="D3035" s="26"/>
      <c r="E3035" s="26"/>
      <c r="F3035" s="26"/>
      <c r="G3035" s="26"/>
      <c r="H3035" s="26"/>
      <c r="I3035" s="26"/>
      <c r="J3035" s="26"/>
      <c r="K3035" s="26"/>
      <c r="L3035" s="26"/>
      <c r="M3035" s="26"/>
      <c r="N3035" s="26"/>
      <c r="O3035" s="14" t="str">
        <f>HYPERLINK("https://otsuka-europe-crm.veevavault.com/ui/#object/email_activity__v/V8C000000048216", "EN-002104703")</f>
        <v>EN-002104703</v>
      </c>
    </row>
    <row r="3036" spans="1:15" ht="16" x14ac:dyDescent="0.2">
      <c r="A3036" s="26"/>
      <c r="B3036" s="26"/>
      <c r="C3036" s="26"/>
      <c r="D3036" s="26"/>
      <c r="E3036" s="26"/>
      <c r="F3036" s="26"/>
      <c r="G3036" s="26"/>
      <c r="H3036" s="26"/>
      <c r="I3036" s="26"/>
      <c r="J3036" s="26"/>
      <c r="K3036" s="26"/>
      <c r="L3036" s="26"/>
      <c r="M3036" s="26"/>
      <c r="N3036" s="26"/>
      <c r="O3036" s="14" t="str">
        <f>HYPERLINK("https://otsuka-europe-crm.veevavault.com/ui/#object/email_activity__v/V8C000000048217", "EN-002104702")</f>
        <v>EN-002104702</v>
      </c>
    </row>
    <row r="3037" spans="1:15" ht="16" x14ac:dyDescent="0.2">
      <c r="A3037" s="19"/>
      <c r="B3037" s="19"/>
      <c r="C3037" s="19"/>
      <c r="D3037" s="19"/>
      <c r="E3037" s="19"/>
      <c r="F3037" s="19"/>
      <c r="G3037" s="19"/>
      <c r="H3037" s="19"/>
      <c r="I3037" s="19"/>
      <c r="J3037" s="19"/>
      <c r="K3037" s="19"/>
      <c r="L3037" s="19"/>
      <c r="M3037" s="19"/>
      <c r="N3037" s="19"/>
      <c r="O3037" s="14" t="str">
        <f>HYPERLINK("https://otsuka-europe-crm.veevavault.com/ui/#object/email_activity__v/V8C000000048218", "EN-002104704")</f>
        <v>EN-002104704</v>
      </c>
    </row>
    <row r="3038" spans="1:15" ht="16" x14ac:dyDescent="0.2">
      <c r="A3038" s="18" t="str">
        <f>HYPERLINK("https://otsuka-europe-crm.veevavault.com/ui/#object/account__v/V4T00000002B061", "JUDITH MARTIN CASTILLO")</f>
        <v>JUDITH MARTIN CASTILLO</v>
      </c>
      <c r="B3038" s="18" t="str">
        <f>HYPERLINK("https://otsuka-europe-crm.veevavault.com/ui/#object/vcountry__v/VENZ000004SONF5", "ES")</f>
        <v>ES</v>
      </c>
      <c r="C3038" s="20" t="s">
        <v>39</v>
      </c>
      <c r="D3038" s="21" t="str">
        <f>HYPERLINK("https://otsuka-europe-crm.veevavault.com/ui/#object/approved_document__v/V5OZ04ASG4FWKA7", "Reuniones Online Consent - 2")</f>
        <v>Reuniones Online Consent - 2</v>
      </c>
      <c r="E3038" s="22" t="str">
        <f>HYPERLINK("https://otsuka-europe-crm.veevavault.com/ui/#object/sent_email__v/VBL000000036024", "SE-001443145")</f>
        <v>SE-001443145</v>
      </c>
      <c r="F3038" s="25">
        <v>46213.530787037038</v>
      </c>
      <c r="G3038" s="24">
        <v>1</v>
      </c>
      <c r="H3038" s="24">
        <v>1</v>
      </c>
      <c r="I3038" s="24">
        <v>1</v>
      </c>
      <c r="J3038" s="25">
        <v>46213.530821759261</v>
      </c>
      <c r="K3038" s="24">
        <v>1</v>
      </c>
      <c r="L3038" s="22" t="str">
        <f>HYPERLINK("https://otsuka-europe-crm.veevavault.com/ui/#object/approved_document__v/V5OZ04ASG4FWKA7", "Reuniones Online Consent - 2")</f>
        <v>Reuniones Online Consent - 2</v>
      </c>
      <c r="M3038" s="22" t="str">
        <f>HYPERLINK("mailto:jllombart@crm.otsuka-europe.com", "jllombart@crm.otsuka-europe.com")</f>
        <v>jllombart@crm.otsuka-europe.com</v>
      </c>
      <c r="N3038" s="25">
        <v>46213.473553240743</v>
      </c>
      <c r="O3038" s="14" t="str">
        <f>HYPERLINK("https://otsuka-europe-crm.veevavault.com/ui/#object/email_activity__v/V8C000000048075", "EN-002104330")</f>
        <v>EN-002104330</v>
      </c>
    </row>
    <row r="3039" spans="1:15" ht="16" x14ac:dyDescent="0.2">
      <c r="A3039" s="26"/>
      <c r="B3039" s="26"/>
      <c r="C3039" s="26"/>
      <c r="D3039" s="26"/>
      <c r="E3039" s="26"/>
      <c r="F3039" s="26"/>
      <c r="G3039" s="26"/>
      <c r="H3039" s="26"/>
      <c r="I3039" s="26"/>
      <c r="J3039" s="26"/>
      <c r="K3039" s="26"/>
      <c r="L3039" s="26"/>
      <c r="M3039" s="26"/>
      <c r="N3039" s="26"/>
      <c r="O3039" s="14" t="str">
        <f>HYPERLINK("https://otsuka-europe-crm.veevavault.com/ui/#object/email_activity__v/V8C000000048219", "EN-002104705")</f>
        <v>EN-002104705</v>
      </c>
    </row>
    <row r="3040" spans="1:15" ht="16" x14ac:dyDescent="0.2">
      <c r="A3040" s="19"/>
      <c r="B3040" s="19"/>
      <c r="C3040" s="19"/>
      <c r="D3040" s="19"/>
      <c r="E3040" s="19"/>
      <c r="F3040" s="19"/>
      <c r="G3040" s="19"/>
      <c r="H3040" s="19"/>
      <c r="I3040" s="19"/>
      <c r="J3040" s="19"/>
      <c r="K3040" s="19"/>
      <c r="L3040" s="19"/>
      <c r="M3040" s="19"/>
      <c r="N3040" s="19"/>
      <c r="O3040" s="14" t="str">
        <f>HYPERLINK("https://otsuka-europe-crm.veevavault.com/ui/#object/email_activity__v/V8C000000048220", "EN-002104706")</f>
        <v>EN-002104706</v>
      </c>
    </row>
    <row r="3041" spans="1:15" ht="16" x14ac:dyDescent="0.2">
      <c r="A3041" s="18" t="str">
        <f>HYPERLINK("https://otsuka-europe-crm.veevavault.com/ui/#object/account__v/V4T00000002B061", "JUDITH MARTIN CASTILLO")</f>
        <v>JUDITH MARTIN CASTILLO</v>
      </c>
      <c r="B3041" s="18" t="str">
        <f>HYPERLINK("https://otsuka-europe-crm.veevavault.com/ui/#object/vcountry__v/VENZ000004SONF5", "ES")</f>
        <v>ES</v>
      </c>
      <c r="C3041" s="20" t="s">
        <v>39</v>
      </c>
      <c r="D3041" s="21" t="str">
        <f>HYPERLINK("https://otsuka-europe-crm.veevavault.com/ui/#object/approved_document__v/V5OZ04ASG4FWKA9", "Documento Autorizaciขn Centro Empleador")</f>
        <v>Documento Autorizaciขn Centro Empleador</v>
      </c>
      <c r="E3041" s="22" t="str">
        <f>HYPERLINK("https://otsuka-europe-crm.veevavault.com/ui/#object/sent_email__v/VBL000000036025", "SE-001443146")</f>
        <v>SE-001443146</v>
      </c>
      <c r="F3041" s="25">
        <v>46213.530300925922</v>
      </c>
      <c r="G3041" s="24">
        <v>1</v>
      </c>
      <c r="H3041" s="24">
        <v>1</v>
      </c>
      <c r="I3041" s="24">
        <v>1</v>
      </c>
      <c r="J3041" s="25">
        <v>46213.530300925922</v>
      </c>
      <c r="K3041" s="24">
        <v>1</v>
      </c>
      <c r="L3041" s="22" t="str">
        <f>HYPERLINK("https://otsuka-europe-crm.veevavault.com/ui/#object/approved_document__v/V5OZ04ASG4FWKA9", "Documento Autorizaciขn Centro Empleador")</f>
        <v>Documento Autorizaciขn Centro Empleador</v>
      </c>
      <c r="M3041" s="22" t="str">
        <f>HYPERLINK("mailto:jllombart@crm.otsuka-europe.com", "jllombart@crm.otsuka-europe.com")</f>
        <v>jllombart@crm.otsuka-europe.com</v>
      </c>
      <c r="N3041" s="25">
        <v>46213.473564814813</v>
      </c>
      <c r="O3041" s="14" t="str">
        <f>HYPERLINK("https://otsuka-europe-crm.veevavault.com/ui/#object/email_activity__v/V8C000000048060", "EN-002104296")</f>
        <v>EN-002104296</v>
      </c>
    </row>
    <row r="3042" spans="1:15" ht="16" x14ac:dyDescent="0.2">
      <c r="A3042" s="26"/>
      <c r="B3042" s="26"/>
      <c r="C3042" s="26"/>
      <c r="D3042" s="26"/>
      <c r="E3042" s="26"/>
      <c r="F3042" s="26"/>
      <c r="G3042" s="26"/>
      <c r="H3042" s="26"/>
      <c r="I3042" s="26"/>
      <c r="J3042" s="26"/>
      <c r="K3042" s="26"/>
      <c r="L3042" s="26"/>
      <c r="M3042" s="26"/>
      <c r="N3042" s="26"/>
      <c r="O3042" s="14" t="str">
        <f>HYPERLINK("https://otsuka-europe-crm.veevavault.com/ui/#object/email_activity__v/V8C000000048214", "EN-002104701")</f>
        <v>EN-002104701</v>
      </c>
    </row>
    <row r="3043" spans="1:15" ht="16" x14ac:dyDescent="0.2">
      <c r="A3043" s="19"/>
      <c r="B3043" s="19"/>
      <c r="C3043" s="19"/>
      <c r="D3043" s="19"/>
      <c r="E3043" s="19"/>
      <c r="F3043" s="19"/>
      <c r="G3043" s="19"/>
      <c r="H3043" s="19"/>
      <c r="I3043" s="19"/>
      <c r="J3043" s="19"/>
      <c r="K3043" s="19"/>
      <c r="L3043" s="19"/>
      <c r="M3043" s="19"/>
      <c r="N3043" s="19"/>
      <c r="O3043" s="14" t="str">
        <f>HYPERLINK("https://otsuka-europe-crm.veevavault.com/ui/#object/email_activity__v/V8C000000048215", "EN-002104700")</f>
        <v>EN-002104700</v>
      </c>
    </row>
    <row r="3044" spans="1:15" ht="32" x14ac:dyDescent="0.2">
      <c r="A3044" s="7" t="str">
        <f>HYPERLINK("https://otsuka-europe-crm.veevavault.com/ui/#object/account__v/V4TZ06G6OB4E0BD", "Adebimpe Fagbenro")</f>
        <v>Adebimpe Fagbenro</v>
      </c>
      <c r="B3044" s="7" t="str">
        <f>HYPERLINK("https://otsuka-europe-crm.veevavault.com/ui/#object/vcountry__v/VENZ000004SONFK", "GB")</f>
        <v>GB</v>
      </c>
      <c r="C3044" s="8" t="s">
        <v>41</v>
      </c>
      <c r="D3044" s="9" t="str">
        <f>HYPERLINK("https://otsuka-europe-crm.veevavault.com/ui/#object/approved_document__v/V5O00000001V001", "LDM DR P2P Invite 12-Nov-26 v2 [digital]")</f>
        <v>LDM DR P2P Invite 12-Nov-26 v2 [digital]</v>
      </c>
      <c r="E3044" s="10" t="str">
        <f>HYPERLINK("https://otsuka-europe-crm.veevavault.com/ui/#object/sent_email__v/VBL000000035011", "SE-001443147")</f>
        <v>SE-001443147</v>
      </c>
      <c r="F3044" s="11"/>
      <c r="G3044" s="12">
        <v>0</v>
      </c>
      <c r="H3044" s="12">
        <v>0</v>
      </c>
      <c r="I3044" s="12">
        <v>0</v>
      </c>
      <c r="J3044" s="11"/>
      <c r="K3044" s="12">
        <v>0</v>
      </c>
      <c r="L3044" s="10" t="str">
        <f>HYPERLINK("https://otsuka-europe-crm.veevavault.com/ui/#object/approved_document__v/V5O00000001V001", "LDM DR P2P Invite 12-Nov-26 v2 [digital]")</f>
        <v>LDM DR P2P Invite 12-Nov-26 v2 [digital]</v>
      </c>
      <c r="M3044" s="10" t="str">
        <f>HYPERLINK("mailto:ldimambro@crm.otsuka-europe.com", "ldimambro@crm.otsuka-europe.com")</f>
        <v>ldimambro@crm.otsuka-europe.com</v>
      </c>
      <c r="N3044" s="13">
        <v>46213.474143518521</v>
      </c>
      <c r="O3044" s="14" t="str">
        <f>HYPERLINK("https://otsuka-europe-crm.veevavault.com/ui/#object/email_activity__v/V8C000000048061", "EN-002104297")</f>
        <v>EN-002104297</v>
      </c>
    </row>
    <row r="3045" spans="1:15" ht="16" x14ac:dyDescent="0.2">
      <c r="A3045" s="18" t="str">
        <f>HYPERLINK("https://otsuka-europe-crm.veevavault.com/ui/#object/account__v/V4TZ0000062PIV1", "Carla Villa")</f>
        <v>Carla Villa</v>
      </c>
      <c r="B3045" s="18" t="str">
        <f>HYPERLINK("https://otsuka-europe-crm.veevavault.com/ui/#object/vcountry__v/VENZ000004SONFK", "GB")</f>
        <v>GB</v>
      </c>
      <c r="C3045" s="20" t="s">
        <v>41</v>
      </c>
      <c r="D3045" s="21" t="str">
        <f>HYPERLINK("https://otsuka-europe-crm.veevavault.com/ui/#object/approved_document__v/V5O00000001V001", "LDM DR P2P Invite 12-Nov-26 v2 [digital]")</f>
        <v>LDM DR P2P Invite 12-Nov-26 v2 [digital]</v>
      </c>
      <c r="E3045" s="22" t="str">
        <f>HYPERLINK("https://otsuka-europe-crm.veevavault.com/ui/#object/sent_email__v/VBL000000035012", "SE-001443148")</f>
        <v>SE-001443148</v>
      </c>
      <c r="F3045" s="23"/>
      <c r="G3045" s="24">
        <v>0</v>
      </c>
      <c r="H3045" s="24">
        <v>0</v>
      </c>
      <c r="I3045" s="24">
        <v>0</v>
      </c>
      <c r="J3045" s="23"/>
      <c r="K3045" s="24">
        <v>0</v>
      </c>
      <c r="L3045" s="22" t="str">
        <f>HYPERLINK("https://otsuka-europe-crm.veevavault.com/ui/#object/approved_document__v/V5O00000001V001", "LDM DR P2P Invite 12-Nov-26 v2 [digital]")</f>
        <v>LDM DR P2P Invite 12-Nov-26 v2 [digital]</v>
      </c>
      <c r="M3045" s="22" t="str">
        <f>HYPERLINK("mailto:ldimambro@crm.otsuka-europe.com", "ldimambro@crm.otsuka-europe.com")</f>
        <v>ldimambro@crm.otsuka-europe.com</v>
      </c>
      <c r="N3045" s="25">
        <v>46213.474166666667</v>
      </c>
      <c r="O3045" s="14" t="str">
        <f>HYPERLINK("https://otsuka-europe-crm.veevavault.com/ui/#object/email_activity__v/V8C000000047075", "EN-002104303")</f>
        <v>EN-002104303</v>
      </c>
    </row>
    <row r="3046" spans="1:15" ht="16" x14ac:dyDescent="0.2">
      <c r="A3046" s="19"/>
      <c r="B3046" s="19"/>
      <c r="C3046" s="19"/>
      <c r="D3046" s="19"/>
      <c r="E3046" s="19"/>
      <c r="F3046" s="19"/>
      <c r="G3046" s="19"/>
      <c r="H3046" s="19"/>
      <c r="I3046" s="19"/>
      <c r="J3046" s="19"/>
      <c r="K3046" s="19"/>
      <c r="L3046" s="19"/>
      <c r="M3046" s="19"/>
      <c r="N3046" s="19"/>
      <c r="O3046" s="14" t="str">
        <f>HYPERLINK("https://otsuka-europe-crm.veevavault.com/ui/#object/email_activity__v/V8C00000004B044", "EN-002106808")</f>
        <v>EN-002106808</v>
      </c>
    </row>
    <row r="3047" spans="1:15" ht="16" x14ac:dyDescent="0.2">
      <c r="A3047" s="18" t="str">
        <f>HYPERLINK("https://otsuka-europe-crm.veevavault.com/ui/#object/account__v/V4TZ04ASG79ZO4S", "Courage Ibhale")</f>
        <v>Courage Ibhale</v>
      </c>
      <c r="B3047" s="18" t="str">
        <f>HYPERLINK("https://otsuka-europe-crm.veevavault.com/ui/#object/vcountry__v/VENZ000004SONFK", "GB")</f>
        <v>GB</v>
      </c>
      <c r="C3047" s="20" t="s">
        <v>41</v>
      </c>
      <c r="D3047" s="21" t="str">
        <f>HYPERLINK("https://otsuka-europe-crm.veevavault.com/ui/#object/approved_document__v/V5O00000001V001", "LDM DR P2P Invite 12-Nov-26 v2 [digital]")</f>
        <v>LDM DR P2P Invite 12-Nov-26 v2 [digital]</v>
      </c>
      <c r="E3047" s="22" t="str">
        <f>HYPERLINK("https://otsuka-europe-crm.veevavault.com/ui/#object/sent_email__v/VBL000000035013", "SE-001443149")</f>
        <v>SE-001443149</v>
      </c>
      <c r="F3047" s="25">
        <v>46213.474606481483</v>
      </c>
      <c r="G3047" s="24">
        <v>1</v>
      </c>
      <c r="H3047" s="24">
        <v>1</v>
      </c>
      <c r="I3047" s="24">
        <v>0</v>
      </c>
      <c r="J3047" s="23"/>
      <c r="K3047" s="24">
        <v>0</v>
      </c>
      <c r="L3047" s="22" t="str">
        <f>HYPERLINK("https://otsuka-europe-crm.veevavault.com/ui/#object/approved_document__v/V5O00000001V001", "LDM DR P2P Invite 12-Nov-26 v2 [digital]")</f>
        <v>LDM DR P2P Invite 12-Nov-26 v2 [digital]</v>
      </c>
      <c r="M3047" s="22" t="str">
        <f>HYPERLINK("mailto:ldimambro@crm.otsuka-europe.com", "ldimambro@crm.otsuka-europe.com")</f>
        <v>ldimambro@crm.otsuka-europe.com</v>
      </c>
      <c r="N3047" s="25">
        <v>46213.474143518521</v>
      </c>
      <c r="O3047" s="14" t="str">
        <f>HYPERLINK("https://otsuka-europe-crm.veevavault.com/ui/#object/email_activity__v/V8C000000047090", "EN-002104318")</f>
        <v>EN-002104318</v>
      </c>
    </row>
    <row r="3048" spans="1:15" ht="16" x14ac:dyDescent="0.2">
      <c r="A3048" s="19"/>
      <c r="B3048" s="19"/>
      <c r="C3048" s="19"/>
      <c r="D3048" s="19"/>
      <c r="E3048" s="19"/>
      <c r="F3048" s="19"/>
      <c r="G3048" s="19"/>
      <c r="H3048" s="19"/>
      <c r="I3048" s="19"/>
      <c r="J3048" s="19"/>
      <c r="K3048" s="19"/>
      <c r="L3048" s="19"/>
      <c r="M3048" s="19"/>
      <c r="N3048" s="19"/>
      <c r="O3048" s="14" t="str">
        <f>HYPERLINK("https://otsuka-europe-crm.veevavault.com/ui/#object/email_activity__v/V8C000000048072", "EN-002104327")</f>
        <v>EN-002104327</v>
      </c>
    </row>
    <row r="3049" spans="1:15" ht="32" x14ac:dyDescent="0.2">
      <c r="A3049" s="7" t="str">
        <f>HYPERLINK("https://otsuka-europe-crm.veevavault.com/ui/#object/account__v/V4TZ04ASG7A5VH2", "Bernard Adubofour")</f>
        <v>Bernard Adubofour</v>
      </c>
      <c r="B3049" s="7" t="str">
        <f>HYPERLINK("https://otsuka-europe-crm.veevavault.com/ui/#object/vcountry__v/VENZ000004SONFK", "GB")</f>
        <v>GB</v>
      </c>
      <c r="C3049" s="8" t="s">
        <v>41</v>
      </c>
      <c r="D3049" s="9" t="str">
        <f>HYPERLINK("https://otsuka-europe-crm.veevavault.com/ui/#object/approved_document__v/V5O00000001V001", "LDM DR P2P Invite 12-Nov-26 v2 [digital]")</f>
        <v>LDM DR P2P Invite 12-Nov-26 v2 [digital]</v>
      </c>
      <c r="E3049" s="10" t="str">
        <f>HYPERLINK("https://otsuka-europe-crm.veevavault.com/ui/#object/sent_email__v/VBL000000035014", "SE-001443150")</f>
        <v>SE-001443150</v>
      </c>
      <c r="F3049" s="11"/>
      <c r="G3049" s="12">
        <v>0</v>
      </c>
      <c r="H3049" s="12">
        <v>0</v>
      </c>
      <c r="I3049" s="12">
        <v>0</v>
      </c>
      <c r="J3049" s="11"/>
      <c r="K3049" s="12">
        <v>0</v>
      </c>
      <c r="L3049" s="10" t="str">
        <f>HYPERLINK("https://otsuka-europe-crm.veevavault.com/ui/#object/approved_document__v/V5O00000001V001", "LDM DR P2P Invite 12-Nov-26 v2 [digital]")</f>
        <v>LDM DR P2P Invite 12-Nov-26 v2 [digital]</v>
      </c>
      <c r="M3049" s="10" t="str">
        <f>HYPERLINK("mailto:ldimambro@crm.otsuka-europe.com", "ldimambro@crm.otsuka-europe.com")</f>
        <v>ldimambro@crm.otsuka-europe.com</v>
      </c>
      <c r="N3049" s="13">
        <v>46213.474143518521</v>
      </c>
      <c r="O3049" s="14" t="str">
        <f>HYPERLINK("https://otsuka-europe-crm.veevavault.com/ui/#object/email_activity__v/V8C000000048085", "EN-002104340")</f>
        <v>EN-002104340</v>
      </c>
    </row>
    <row r="3050" spans="1:15" ht="32" x14ac:dyDescent="0.2">
      <c r="A3050" s="7" t="str">
        <f>HYPERLINK("https://otsuka-europe-crm.veevavault.com/ui/#object/account__v/V4TZ0000062PL6C", "Alan Lundy")</f>
        <v>Alan Lundy</v>
      </c>
      <c r="B3050" s="7" t="str">
        <f>HYPERLINK("https://otsuka-europe-crm.veevavault.com/ui/#object/vcountry__v/VENZ000004SONFK", "GB")</f>
        <v>GB</v>
      </c>
      <c r="C3050" s="8" t="s">
        <v>41</v>
      </c>
      <c r="D3050" s="9" t="str">
        <f>HYPERLINK("https://otsuka-europe-crm.veevavault.com/ui/#object/approved_document__v/V5O00000001V001", "LDM DR P2P Invite 12-Nov-26 v2 [digital]")</f>
        <v>LDM DR P2P Invite 12-Nov-26 v2 [digital]</v>
      </c>
      <c r="E3050" s="10" t="str">
        <f>HYPERLINK("https://otsuka-europe-crm.veevavault.com/ui/#object/sent_email__v/VBL000000035015", "SE-001443151")</f>
        <v>SE-001443151</v>
      </c>
      <c r="F3050" s="11"/>
      <c r="G3050" s="12">
        <v>0</v>
      </c>
      <c r="H3050" s="12">
        <v>0</v>
      </c>
      <c r="I3050" s="12">
        <v>0</v>
      </c>
      <c r="J3050" s="11"/>
      <c r="K3050" s="12">
        <v>0</v>
      </c>
      <c r="L3050" s="10" t="str">
        <f>HYPERLINK("https://otsuka-europe-crm.veevavault.com/ui/#object/approved_document__v/V5O00000001V001", "LDM DR P2P Invite 12-Nov-26 v2 [digital]")</f>
        <v>LDM DR P2P Invite 12-Nov-26 v2 [digital]</v>
      </c>
      <c r="M3050" s="10" t="str">
        <f>HYPERLINK("mailto:ldimambro@crm.otsuka-europe.com", "ldimambro@crm.otsuka-europe.com")</f>
        <v>ldimambro@crm.otsuka-europe.com</v>
      </c>
      <c r="N3050" s="13">
        <v>46213.474143518521</v>
      </c>
      <c r="O3050" s="14" t="str">
        <f>HYPERLINK("https://otsuka-europe-crm.veevavault.com/ui/#object/email_activity__v/V8C000000048069", "EN-002104324")</f>
        <v>EN-002104324</v>
      </c>
    </row>
    <row r="3051" spans="1:15" ht="16" x14ac:dyDescent="0.2">
      <c r="A3051" s="18" t="str">
        <f>HYPERLINK("https://otsuka-europe-crm.veevavault.com/ui/#object/account__v/V4TZ025E83HK2VP", "Alistair Grandison")</f>
        <v>Alistair Grandison</v>
      </c>
      <c r="B3051" s="18" t="str">
        <f>HYPERLINK("https://otsuka-europe-crm.veevavault.com/ui/#object/vcountry__v/VENZ000004SONFK", "GB")</f>
        <v>GB</v>
      </c>
      <c r="C3051" s="20" t="s">
        <v>41</v>
      </c>
      <c r="D3051" s="21" t="str">
        <f>HYPERLINK("https://otsuka-europe-crm.veevavault.com/ui/#object/approved_document__v/V5O00000001V001", "LDM DR P2P Invite 12-Nov-26 v2 [digital]")</f>
        <v>LDM DR P2P Invite 12-Nov-26 v2 [digital]</v>
      </c>
      <c r="E3051" s="22" t="str">
        <f>HYPERLINK("https://otsuka-europe-crm.veevavault.com/ui/#object/sent_email__v/VBL000000035016", "SE-001443152")</f>
        <v>SE-001443152</v>
      </c>
      <c r="F3051" s="25">
        <v>46213.51363425926</v>
      </c>
      <c r="G3051" s="24">
        <v>1</v>
      </c>
      <c r="H3051" s="24">
        <v>1</v>
      </c>
      <c r="I3051" s="24">
        <v>0</v>
      </c>
      <c r="J3051" s="23"/>
      <c r="K3051" s="24">
        <v>0</v>
      </c>
      <c r="L3051" s="22" t="str">
        <f>HYPERLINK("https://otsuka-europe-crm.veevavault.com/ui/#object/approved_document__v/V5O00000001V001", "LDM DR P2P Invite 12-Nov-26 v2 [digital]")</f>
        <v>LDM DR P2P Invite 12-Nov-26 v2 [digital]</v>
      </c>
      <c r="M3051" s="22" t="str">
        <f>HYPERLINK("mailto:ldimambro@crm.otsuka-europe.com", "ldimambro@crm.otsuka-europe.com")</f>
        <v>ldimambro@crm.otsuka-europe.com</v>
      </c>
      <c r="N3051" s="25">
        <v>46213.474143518521</v>
      </c>
      <c r="O3051" s="14" t="str">
        <f>HYPERLINK("https://otsuka-europe-crm.veevavault.com/ui/#object/email_activity__v/V8C000000047310", "EN-002104677")</f>
        <v>EN-002104677</v>
      </c>
    </row>
    <row r="3052" spans="1:15" ht="16" x14ac:dyDescent="0.2">
      <c r="A3052" s="19"/>
      <c r="B3052" s="19"/>
      <c r="C3052" s="19"/>
      <c r="D3052" s="19"/>
      <c r="E3052" s="19"/>
      <c r="F3052" s="19"/>
      <c r="G3052" s="19"/>
      <c r="H3052" s="19"/>
      <c r="I3052" s="19"/>
      <c r="J3052" s="19"/>
      <c r="K3052" s="19"/>
      <c r="L3052" s="19"/>
      <c r="M3052" s="19"/>
      <c r="N3052" s="19"/>
      <c r="O3052" s="14" t="str">
        <f>HYPERLINK("https://otsuka-europe-crm.veevavault.com/ui/#object/email_activity__v/V8C000000048084", "EN-002104339")</f>
        <v>EN-002104339</v>
      </c>
    </row>
    <row r="3053" spans="1:15" ht="32" x14ac:dyDescent="0.2">
      <c r="A3053" s="7" t="str">
        <f>HYPERLINK("https://otsuka-europe-crm.veevavault.com/ui/#object/account__v/V4TZ0000062PBJX", "Amit Sharma")</f>
        <v>Amit Sharma</v>
      </c>
      <c r="B3053" s="7" t="str">
        <f>HYPERLINK("https://otsuka-europe-crm.veevavault.com/ui/#object/vcountry__v/VENZ000004SONFK", "GB")</f>
        <v>GB</v>
      </c>
      <c r="C3053" s="8" t="s">
        <v>41</v>
      </c>
      <c r="D3053" s="9" t="str">
        <f>HYPERLINK("https://otsuka-europe-crm.veevavault.com/ui/#object/approved_document__v/V5O00000001V001", "LDM DR P2P Invite 12-Nov-26 v2 [digital]")</f>
        <v>LDM DR P2P Invite 12-Nov-26 v2 [digital]</v>
      </c>
      <c r="E3053" s="10" t="str">
        <f>HYPERLINK("https://otsuka-europe-crm.veevavault.com/ui/#object/sent_email__v/VBL000000035017", "SE-001443153")</f>
        <v>SE-001443153</v>
      </c>
      <c r="F3053" s="11"/>
      <c r="G3053" s="12">
        <v>0</v>
      </c>
      <c r="H3053" s="12">
        <v>0</v>
      </c>
      <c r="I3053" s="12">
        <v>0</v>
      </c>
      <c r="J3053" s="11"/>
      <c r="K3053" s="12">
        <v>0</v>
      </c>
      <c r="L3053" s="10" t="str">
        <f>HYPERLINK("https://otsuka-europe-crm.veevavault.com/ui/#object/approved_document__v/V5O00000001V001", "LDM DR P2P Invite 12-Nov-26 v2 [digital]")</f>
        <v>LDM DR P2P Invite 12-Nov-26 v2 [digital]</v>
      </c>
      <c r="M3053" s="10" t="str">
        <f>HYPERLINK("mailto:ldimambro@crm.otsuka-europe.com", "ldimambro@crm.otsuka-europe.com")</f>
        <v>ldimambro@crm.otsuka-europe.com</v>
      </c>
      <c r="N3053" s="13">
        <v>46213.474178240744</v>
      </c>
      <c r="O3053" s="14" t="str">
        <f>HYPERLINK("https://otsuka-europe-crm.veevavault.com/ui/#object/email_activity__v/V8C000000047083", "EN-002104311")</f>
        <v>EN-002104311</v>
      </c>
    </row>
    <row r="3054" spans="1:15" ht="32" x14ac:dyDescent="0.2">
      <c r="A3054" s="7" t="str">
        <f>HYPERLINK("https://otsuka-europe-crm.veevavault.com/ui/#object/account__v/V4TZ04ASG95MM2P", "Akinkunmi Odutola")</f>
        <v>Akinkunmi Odutola</v>
      </c>
      <c r="B3054" s="7" t="str">
        <f>HYPERLINK("https://otsuka-europe-crm.veevavault.com/ui/#object/vcountry__v/VENZ000004SONFK", "GB")</f>
        <v>GB</v>
      </c>
      <c r="C3054" s="8" t="s">
        <v>41</v>
      </c>
      <c r="D3054" s="9" t="str">
        <f>HYPERLINK("https://otsuka-europe-crm.veevavault.com/ui/#object/approved_document__v/V5O00000001V001", "LDM DR P2P Invite 12-Nov-26 v2 [digital]")</f>
        <v>LDM DR P2P Invite 12-Nov-26 v2 [digital]</v>
      </c>
      <c r="E3054" s="10" t="str">
        <f>HYPERLINK("https://otsuka-europe-crm.veevavault.com/ui/#object/sent_email__v/VBL000000035018", "SE-001443154")</f>
        <v>SE-001443154</v>
      </c>
      <c r="F3054" s="11"/>
      <c r="G3054" s="12">
        <v>0</v>
      </c>
      <c r="H3054" s="12">
        <v>0</v>
      </c>
      <c r="I3054" s="12">
        <v>0</v>
      </c>
      <c r="J3054" s="11"/>
      <c r="K3054" s="12">
        <v>0</v>
      </c>
      <c r="L3054" s="10" t="str">
        <f>HYPERLINK("https://otsuka-europe-crm.veevavault.com/ui/#object/approved_document__v/V5O00000001V001", "LDM DR P2P Invite 12-Nov-26 v2 [digital]")</f>
        <v>LDM DR P2P Invite 12-Nov-26 v2 [digital]</v>
      </c>
      <c r="M3054" s="10" t="str">
        <f>HYPERLINK("mailto:ldimambro@crm.otsuka-europe.com", "ldimambro@crm.otsuka-europe.com")</f>
        <v>ldimambro@crm.otsuka-europe.com</v>
      </c>
      <c r="N3054" s="13">
        <v>46213.474178240744</v>
      </c>
      <c r="O3054" s="14" t="str">
        <f>HYPERLINK("https://otsuka-europe-crm.veevavault.com/ui/#object/email_activity__v/V8C000000047085", "EN-002104313")</f>
        <v>EN-002104313</v>
      </c>
    </row>
    <row r="3055" spans="1:15" ht="32" x14ac:dyDescent="0.2">
      <c r="A3055" s="7" t="str">
        <f>HYPERLINK("https://otsuka-europe-crm.veevavault.com/ui/#object/account__v/V4TZ06G6OB4B9PR", "Beryl Mbuntum Navti")</f>
        <v>Beryl Mbuntum Navti</v>
      </c>
      <c r="B3055" s="7" t="str">
        <f>HYPERLINK("https://otsuka-europe-crm.veevavault.com/ui/#object/vcountry__v/VENZ000004SONFK", "GB")</f>
        <v>GB</v>
      </c>
      <c r="C3055" s="8" t="s">
        <v>41</v>
      </c>
      <c r="D3055" s="9" t="str">
        <f>HYPERLINK("https://otsuka-europe-crm.veevavault.com/ui/#object/approved_document__v/V5O00000001V001", "LDM DR P2P Invite 12-Nov-26 v2 [digital]")</f>
        <v>LDM DR P2P Invite 12-Nov-26 v2 [digital]</v>
      </c>
      <c r="E3055" s="10" t="str">
        <f>HYPERLINK("https://otsuka-europe-crm.veevavault.com/ui/#object/sent_email__v/VBL000000035019", "SE-001443155")</f>
        <v>SE-001443155</v>
      </c>
      <c r="F3055" s="11"/>
      <c r="G3055" s="12">
        <v>0</v>
      </c>
      <c r="H3055" s="12">
        <v>0</v>
      </c>
      <c r="I3055" s="12">
        <v>0</v>
      </c>
      <c r="J3055" s="11"/>
      <c r="K3055" s="12">
        <v>0</v>
      </c>
      <c r="L3055" s="10" t="str">
        <f>HYPERLINK("https://otsuka-europe-crm.veevavault.com/ui/#object/approved_document__v/V5O00000001V001", "LDM DR P2P Invite 12-Nov-26 v2 [digital]")</f>
        <v>LDM DR P2P Invite 12-Nov-26 v2 [digital]</v>
      </c>
      <c r="M3055" s="10" t="str">
        <f>HYPERLINK("mailto:ldimambro@crm.otsuka-europe.com", "ldimambro@crm.otsuka-europe.com")</f>
        <v>ldimambro@crm.otsuka-europe.com</v>
      </c>
      <c r="N3055" s="13">
        <v>46213.474143518521</v>
      </c>
      <c r="O3055" s="14" t="str">
        <f>HYPERLINK("https://otsuka-europe-crm.veevavault.com/ui/#object/email_activity__v/V8C000000048063", "EN-002104299")</f>
        <v>EN-002104299</v>
      </c>
    </row>
    <row r="3056" spans="1:15" ht="32" x14ac:dyDescent="0.2">
      <c r="A3056" s="7" t="str">
        <f>HYPERLINK("https://otsuka-europe-crm.veevavault.com/ui/#object/account__v/V4TZ04ASG79ZOAY", "Alfred Katokpa")</f>
        <v>Alfred Katokpa</v>
      </c>
      <c r="B3056" s="7" t="str">
        <f>HYPERLINK("https://otsuka-europe-crm.veevavault.com/ui/#object/vcountry__v/VENZ000004SONFK", "GB")</f>
        <v>GB</v>
      </c>
      <c r="C3056" s="8" t="s">
        <v>41</v>
      </c>
      <c r="D3056" s="9" t="str">
        <f>HYPERLINK("https://otsuka-europe-crm.veevavault.com/ui/#object/approved_document__v/V5O00000001V001", "LDM DR P2P Invite 12-Nov-26 v2 [digital]")</f>
        <v>LDM DR P2P Invite 12-Nov-26 v2 [digital]</v>
      </c>
      <c r="E3056" s="10" t="str">
        <f>HYPERLINK("https://otsuka-europe-crm.veevavault.com/ui/#object/sent_email__v/VBL000000035020", "SE-001443156")</f>
        <v>SE-001443156</v>
      </c>
      <c r="F3056" s="11"/>
      <c r="G3056" s="12">
        <v>0</v>
      </c>
      <c r="H3056" s="12">
        <v>0</v>
      </c>
      <c r="I3056" s="12">
        <v>0</v>
      </c>
      <c r="J3056" s="11"/>
      <c r="K3056" s="12">
        <v>0</v>
      </c>
      <c r="L3056" s="10" t="str">
        <f>HYPERLINK("https://otsuka-europe-crm.veevavault.com/ui/#object/approved_document__v/V5O00000001V001", "LDM DR P2P Invite 12-Nov-26 v2 [digital]")</f>
        <v>LDM DR P2P Invite 12-Nov-26 v2 [digital]</v>
      </c>
      <c r="M3056" s="10" t="str">
        <f>HYPERLINK("mailto:ldimambro@crm.otsuka-europe.com", "ldimambro@crm.otsuka-europe.com")</f>
        <v>ldimambro@crm.otsuka-europe.com</v>
      </c>
      <c r="N3056" s="13">
        <v>46213.474143518521</v>
      </c>
      <c r="O3056" s="14" t="str">
        <f>HYPERLINK("https://otsuka-europe-crm.veevavault.com/ui/#object/email_activity__v/V8C000000048082", "EN-002104337")</f>
        <v>EN-002104337</v>
      </c>
    </row>
    <row r="3057" spans="1:15" ht="16" x14ac:dyDescent="0.2">
      <c r="A3057" s="18" t="str">
        <f>HYPERLINK("https://otsuka-europe-crm.veevavault.com/ui/#object/account__v/V4TZ0000062PE08", "Bomo Francis")</f>
        <v>Bomo Francis</v>
      </c>
      <c r="B3057" s="18" t="str">
        <f>HYPERLINK("https://otsuka-europe-crm.veevavault.com/ui/#object/vcountry__v/VENZ000004SONFK", "GB")</f>
        <v>GB</v>
      </c>
      <c r="C3057" s="20" t="s">
        <v>41</v>
      </c>
      <c r="D3057" s="21" t="str">
        <f>HYPERLINK("https://otsuka-europe-crm.veevavault.com/ui/#object/approved_document__v/V5O00000001V001", "LDM DR P2P Invite 12-Nov-26 v2 [digital]")</f>
        <v>LDM DR P2P Invite 12-Nov-26 v2 [digital]</v>
      </c>
      <c r="E3057" s="22" t="str">
        <f>HYPERLINK("https://otsuka-europe-crm.veevavault.com/ui/#object/sent_email__v/VBL000000035021", "SE-001443157")</f>
        <v>SE-001443157</v>
      </c>
      <c r="F3057" s="25">
        <v>46213.48982638889</v>
      </c>
      <c r="G3057" s="24">
        <v>1</v>
      </c>
      <c r="H3057" s="24">
        <v>1</v>
      </c>
      <c r="I3057" s="24">
        <v>0</v>
      </c>
      <c r="J3057" s="23"/>
      <c r="K3057" s="24">
        <v>0</v>
      </c>
      <c r="L3057" s="22" t="str">
        <f>HYPERLINK("https://otsuka-europe-crm.veevavault.com/ui/#object/approved_document__v/V5O00000001V001", "LDM DR P2P Invite 12-Nov-26 v2 [digital]")</f>
        <v>LDM DR P2P Invite 12-Nov-26 v2 [digital]</v>
      </c>
      <c r="M3057" s="22" t="str">
        <f>HYPERLINK("mailto:ldimambro@crm.otsuka-europe.com", "ldimambro@crm.otsuka-europe.com")</f>
        <v>ldimambro@crm.otsuka-europe.com</v>
      </c>
      <c r="N3057" s="25">
        <v>46213.474143518521</v>
      </c>
      <c r="O3057" s="14" t="str">
        <f>HYPERLINK("https://otsuka-europe-crm.veevavault.com/ui/#object/email_activity__v/V8C000000048081", "EN-002104336")</f>
        <v>EN-002104336</v>
      </c>
    </row>
    <row r="3058" spans="1:15" ht="16" x14ac:dyDescent="0.2">
      <c r="A3058" s="19"/>
      <c r="B3058" s="19"/>
      <c r="C3058" s="19"/>
      <c r="D3058" s="19"/>
      <c r="E3058" s="19"/>
      <c r="F3058" s="19"/>
      <c r="G3058" s="19"/>
      <c r="H3058" s="19"/>
      <c r="I3058" s="19"/>
      <c r="J3058" s="19"/>
      <c r="K3058" s="19"/>
      <c r="L3058" s="19"/>
      <c r="M3058" s="19"/>
      <c r="N3058" s="19"/>
      <c r="O3058" s="14" t="str">
        <f>HYPERLINK("https://otsuka-europe-crm.veevavault.com/ui/#object/email_activity__v/V8C000000048106", "EN-002104433")</f>
        <v>EN-002104433</v>
      </c>
    </row>
    <row r="3059" spans="1:15" ht="16" x14ac:dyDescent="0.2">
      <c r="A3059" s="18" t="str">
        <f>HYPERLINK("https://otsuka-europe-crm.veevavault.com/ui/#object/account__v/V4TZ06G6O9VFMKQ", "Bindu Gurung")</f>
        <v>Bindu Gurung</v>
      </c>
      <c r="B3059" s="18" t="str">
        <f>HYPERLINK("https://otsuka-europe-crm.veevavault.com/ui/#object/vcountry__v/VENZ000004SONFK", "GB")</f>
        <v>GB</v>
      </c>
      <c r="C3059" s="20" t="s">
        <v>41</v>
      </c>
      <c r="D3059" s="21" t="str">
        <f>HYPERLINK("https://otsuka-europe-crm.veevavault.com/ui/#object/approved_document__v/V5O00000001V001", "LDM DR P2P Invite 12-Nov-26 v2 [digital]")</f>
        <v>LDM DR P2P Invite 12-Nov-26 v2 [digital]</v>
      </c>
      <c r="E3059" s="22" t="str">
        <f>HYPERLINK("https://otsuka-europe-crm.veevavault.com/ui/#object/sent_email__v/VBL000000035022", "SE-001443158")</f>
        <v>SE-001443158</v>
      </c>
      <c r="F3059" s="25">
        <v>46233.50104166667</v>
      </c>
      <c r="G3059" s="24">
        <v>1</v>
      </c>
      <c r="H3059" s="24">
        <v>3</v>
      </c>
      <c r="I3059" s="24">
        <v>0</v>
      </c>
      <c r="J3059" s="23"/>
      <c r="K3059" s="24">
        <v>0</v>
      </c>
      <c r="L3059" s="22" t="str">
        <f>HYPERLINK("https://otsuka-europe-crm.veevavault.com/ui/#object/approved_document__v/V5O00000001V001", "LDM DR P2P Invite 12-Nov-26 v2 [digital]")</f>
        <v>LDM DR P2P Invite 12-Nov-26 v2 [digital]</v>
      </c>
      <c r="M3059" s="22" t="str">
        <f>HYPERLINK("mailto:ldimambro@crm.otsuka-europe.com", "ldimambro@crm.otsuka-europe.com")</f>
        <v>ldimambro@crm.otsuka-europe.com</v>
      </c>
      <c r="N3059" s="25">
        <v>46213.474143518521</v>
      </c>
      <c r="O3059" s="14" t="str">
        <f>HYPERLINK("https://otsuka-europe-crm.veevavault.com/ui/#object/email_activity__v/V8C000000048070", "EN-002104325")</f>
        <v>EN-002104325</v>
      </c>
    </row>
    <row r="3060" spans="1:15" ht="16" x14ac:dyDescent="0.2">
      <c r="A3060" s="26"/>
      <c r="B3060" s="26"/>
      <c r="C3060" s="26"/>
      <c r="D3060" s="26"/>
      <c r="E3060" s="26"/>
      <c r="F3060" s="26"/>
      <c r="G3060" s="26"/>
      <c r="H3060" s="26"/>
      <c r="I3060" s="26"/>
      <c r="J3060" s="26"/>
      <c r="K3060" s="26"/>
      <c r="L3060" s="26"/>
      <c r="M3060" s="26"/>
      <c r="N3060" s="26"/>
      <c r="O3060" s="14" t="str">
        <f>HYPERLINK("https://otsuka-europe-crm.veevavault.com/ui/#object/email_activity__v/V8C000000048088", "EN-002104343")</f>
        <v>EN-002104343</v>
      </c>
    </row>
    <row r="3061" spans="1:15" ht="16" x14ac:dyDescent="0.2">
      <c r="A3061" s="26"/>
      <c r="B3061" s="26"/>
      <c r="C3061" s="26"/>
      <c r="D3061" s="26"/>
      <c r="E3061" s="26"/>
      <c r="F3061" s="26"/>
      <c r="G3061" s="26"/>
      <c r="H3061" s="26"/>
      <c r="I3061" s="26"/>
      <c r="J3061" s="26"/>
      <c r="K3061" s="26"/>
      <c r="L3061" s="26"/>
      <c r="M3061" s="26"/>
      <c r="N3061" s="26"/>
      <c r="O3061" s="14" t="str">
        <f>HYPERLINK("https://otsuka-europe-crm.veevavault.com/ui/#object/email_activity__v/V8C000000048089", "EN-002104344")</f>
        <v>EN-002104344</v>
      </c>
    </row>
    <row r="3062" spans="1:15" ht="16" x14ac:dyDescent="0.2">
      <c r="A3062" s="19"/>
      <c r="B3062" s="19"/>
      <c r="C3062" s="19"/>
      <c r="D3062" s="19"/>
      <c r="E3062" s="19"/>
      <c r="F3062" s="19"/>
      <c r="G3062" s="19"/>
      <c r="H3062" s="19"/>
      <c r="I3062" s="19"/>
      <c r="J3062" s="19"/>
      <c r="K3062" s="19"/>
      <c r="L3062" s="19"/>
      <c r="M3062" s="19"/>
      <c r="N3062" s="19"/>
      <c r="O3062" s="14" t="str">
        <f>HYPERLINK("https://otsuka-europe-crm.veevavault.com/ui/#object/email_activity__v/V8C00000004D809", "EN-002109749")</f>
        <v>EN-002109749</v>
      </c>
    </row>
    <row r="3063" spans="1:15" ht="32" x14ac:dyDescent="0.2">
      <c r="A3063" s="7" t="str">
        <f>HYPERLINK("https://otsuka-europe-crm.veevavault.com/ui/#object/account__v/V4TZ04ASGE7OUC3", "Animisha Singh")</f>
        <v>Animisha Singh</v>
      </c>
      <c r="B3063" s="7" t="str">
        <f>HYPERLINK("https://otsuka-europe-crm.veevavault.com/ui/#object/vcountry__v/VENZ000004SONFK", "GB")</f>
        <v>GB</v>
      </c>
      <c r="C3063" s="8" t="s">
        <v>41</v>
      </c>
      <c r="D3063" s="9" t="str">
        <f>HYPERLINK("https://otsuka-europe-crm.veevavault.com/ui/#object/approved_document__v/V5O00000001V001", "LDM DR P2P Invite 12-Nov-26 v2 [digital]")</f>
        <v>LDM DR P2P Invite 12-Nov-26 v2 [digital]</v>
      </c>
      <c r="E3063" s="10" t="str">
        <f>HYPERLINK("https://otsuka-europe-crm.veevavault.com/ui/#object/sent_email__v/VBL000000035023", "SE-001443159")</f>
        <v>SE-001443159</v>
      </c>
      <c r="F3063" s="11"/>
      <c r="G3063" s="12">
        <v>0</v>
      </c>
      <c r="H3063" s="12">
        <v>0</v>
      </c>
      <c r="I3063" s="12">
        <v>0</v>
      </c>
      <c r="J3063" s="11"/>
      <c r="K3063" s="12">
        <v>0</v>
      </c>
      <c r="L3063" s="10" t="str">
        <f>HYPERLINK("https://otsuka-europe-crm.veevavault.com/ui/#object/approved_document__v/V5O00000001V001", "LDM DR P2P Invite 12-Nov-26 v2 [digital]")</f>
        <v>LDM DR P2P Invite 12-Nov-26 v2 [digital]</v>
      </c>
      <c r="M3063" s="10" t="str">
        <f>HYPERLINK("mailto:ldimambro@crm.otsuka-europe.com", "ldimambro@crm.otsuka-europe.com")</f>
        <v>ldimambro@crm.otsuka-europe.com</v>
      </c>
      <c r="N3063" s="13">
        <v>46213.474143518521</v>
      </c>
      <c r="O3063" s="14" t="str">
        <f>HYPERLINK("https://otsuka-europe-crm.veevavault.com/ui/#object/email_activity__v/V8C000000048086", "EN-002104341")</f>
        <v>EN-002104341</v>
      </c>
    </row>
    <row r="3064" spans="1:15" ht="32" x14ac:dyDescent="0.2">
      <c r="A3064" s="7" t="str">
        <f>HYPERLINK("https://otsuka-europe-crm.veevavault.com/ui/#object/account__v/V4TZ06G6OCEUBEC", "Anthony Hunwick")</f>
        <v>Anthony Hunwick</v>
      </c>
      <c r="B3064" s="7" t="str">
        <f>HYPERLINK("https://otsuka-europe-crm.veevavault.com/ui/#object/vcountry__v/VENZ000004SONFK", "GB")</f>
        <v>GB</v>
      </c>
      <c r="C3064" s="8" t="s">
        <v>41</v>
      </c>
      <c r="D3064" s="9" t="str">
        <f>HYPERLINK("https://otsuka-europe-crm.veevavault.com/ui/#object/approved_document__v/V5O00000001V001", "LDM DR P2P Invite 12-Nov-26 v2 [digital]")</f>
        <v>LDM DR P2P Invite 12-Nov-26 v2 [digital]</v>
      </c>
      <c r="E3064" s="10" t="str">
        <f>HYPERLINK("https://otsuka-europe-crm.veevavault.com/ui/#object/sent_email__v/VBL000000035024", "SE-001443160")</f>
        <v>SE-001443160</v>
      </c>
      <c r="F3064" s="11"/>
      <c r="G3064" s="12">
        <v>0</v>
      </c>
      <c r="H3064" s="12">
        <v>0</v>
      </c>
      <c r="I3064" s="12">
        <v>0</v>
      </c>
      <c r="J3064" s="11"/>
      <c r="K3064" s="12">
        <v>0</v>
      </c>
      <c r="L3064" s="10" t="str">
        <f>HYPERLINK("https://otsuka-europe-crm.veevavault.com/ui/#object/approved_document__v/V5O00000001V001", "LDM DR P2P Invite 12-Nov-26 v2 [digital]")</f>
        <v>LDM DR P2P Invite 12-Nov-26 v2 [digital]</v>
      </c>
      <c r="M3064" s="10" t="str">
        <f>HYPERLINK("mailto:ldimambro@crm.otsuka-europe.com", "ldimambro@crm.otsuka-europe.com")</f>
        <v>ldimambro@crm.otsuka-europe.com</v>
      </c>
      <c r="N3064" s="13">
        <v>46213.474178240744</v>
      </c>
      <c r="O3064" s="14" t="str">
        <f>HYPERLINK("https://otsuka-europe-crm.veevavault.com/ui/#object/email_activity__v/V8C000000047079", "EN-002104307")</f>
        <v>EN-002104307</v>
      </c>
    </row>
    <row r="3065" spans="1:15" ht="32" x14ac:dyDescent="0.2">
      <c r="A3065" s="7" t="str">
        <f>HYPERLINK("https://otsuka-europe-crm.veevavault.com/ui/#object/account__v/V4TZ0000062PB3S", "Chike Onyechere")</f>
        <v>Chike Onyechere</v>
      </c>
      <c r="B3065" s="7" t="str">
        <f>HYPERLINK("https://otsuka-europe-crm.veevavault.com/ui/#object/vcountry__v/VENZ000004SONFK", "GB")</f>
        <v>GB</v>
      </c>
      <c r="C3065" s="8" t="s">
        <v>41</v>
      </c>
      <c r="D3065" s="9" t="str">
        <f>HYPERLINK("https://otsuka-europe-crm.veevavault.com/ui/#object/approved_document__v/V5O00000001V001", "LDM DR P2P Invite 12-Nov-26 v2 [digital]")</f>
        <v>LDM DR P2P Invite 12-Nov-26 v2 [digital]</v>
      </c>
      <c r="E3065" s="10" t="str">
        <f>HYPERLINK("https://otsuka-europe-crm.veevavault.com/ui/#object/sent_email__v/VBL000000035025", "SE-001443161")</f>
        <v>SE-001443161</v>
      </c>
      <c r="F3065" s="11"/>
      <c r="G3065" s="12">
        <v>0</v>
      </c>
      <c r="H3065" s="12">
        <v>0</v>
      </c>
      <c r="I3065" s="12">
        <v>0</v>
      </c>
      <c r="J3065" s="11"/>
      <c r="K3065" s="12">
        <v>0</v>
      </c>
      <c r="L3065" s="10" t="str">
        <f>HYPERLINK("https://otsuka-europe-crm.veevavault.com/ui/#object/approved_document__v/V5O00000001V001", "LDM DR P2P Invite 12-Nov-26 v2 [digital]")</f>
        <v>LDM DR P2P Invite 12-Nov-26 v2 [digital]</v>
      </c>
      <c r="M3065" s="10" t="str">
        <f>HYPERLINK("mailto:ldimambro@crm.otsuka-europe.com", "ldimambro@crm.otsuka-europe.com")</f>
        <v>ldimambro@crm.otsuka-europe.com</v>
      </c>
      <c r="N3065" s="13">
        <v>46213.474178240744</v>
      </c>
      <c r="O3065" s="14" t="str">
        <f>HYPERLINK("https://otsuka-europe-crm.veevavault.com/ui/#object/email_activity__v/V8C000000047080", "EN-002104308")</f>
        <v>EN-002104308</v>
      </c>
    </row>
    <row r="3066" spans="1:15" ht="32" x14ac:dyDescent="0.2">
      <c r="A3066" s="7" t="str">
        <f>HYPERLINK("https://otsuka-europe-crm.veevavault.com/ui/#object/account__v/V4TZ0000062PIB7", "Akeem Sule")</f>
        <v>Akeem Sule</v>
      </c>
      <c r="B3066" s="7" t="str">
        <f>HYPERLINK("https://otsuka-europe-crm.veevavault.com/ui/#object/vcountry__v/VENZ000004SONFK", "GB")</f>
        <v>GB</v>
      </c>
      <c r="C3066" s="8" t="s">
        <v>41</v>
      </c>
      <c r="D3066" s="9" t="str">
        <f>HYPERLINK("https://otsuka-europe-crm.veevavault.com/ui/#object/approved_document__v/V5O00000001V001", "LDM DR P2P Invite 12-Nov-26 v2 [digital]")</f>
        <v>LDM DR P2P Invite 12-Nov-26 v2 [digital]</v>
      </c>
      <c r="E3066" s="10" t="str">
        <f>HYPERLINK("https://otsuka-europe-crm.veevavault.com/ui/#object/sent_email__v/VBL000000035026", "SE-001443162")</f>
        <v>SE-001443162</v>
      </c>
      <c r="F3066" s="11"/>
      <c r="G3066" s="12">
        <v>0</v>
      </c>
      <c r="H3066" s="12">
        <v>0</v>
      </c>
      <c r="I3066" s="12">
        <v>0</v>
      </c>
      <c r="J3066" s="11"/>
      <c r="K3066" s="12">
        <v>0</v>
      </c>
      <c r="L3066" s="10" t="str">
        <f>HYPERLINK("https://otsuka-europe-crm.veevavault.com/ui/#object/approved_document__v/V5O00000001V001", "LDM DR P2P Invite 12-Nov-26 v2 [digital]")</f>
        <v>LDM DR P2P Invite 12-Nov-26 v2 [digital]</v>
      </c>
      <c r="M3066" s="10" t="str">
        <f>HYPERLINK("mailto:ldimambro@crm.otsuka-europe.com", "ldimambro@crm.otsuka-europe.com")</f>
        <v>ldimambro@crm.otsuka-europe.com</v>
      </c>
      <c r="N3066" s="13">
        <v>46213.474178240744</v>
      </c>
      <c r="O3066" s="14" t="str">
        <f>HYPERLINK("https://otsuka-europe-crm.veevavault.com/ui/#object/email_activity__v/V8C000000047081", "EN-002104309")</f>
        <v>EN-002104309</v>
      </c>
    </row>
    <row r="3067" spans="1:15" ht="16" x14ac:dyDescent="0.2">
      <c r="A3067" s="18" t="str">
        <f>HYPERLINK("https://otsuka-europe-crm.veevavault.com/ui/#object/account__v/V4TZ0000062PHD9", "Ashish Pathak")</f>
        <v>Ashish Pathak</v>
      </c>
      <c r="B3067" s="18" t="str">
        <f>HYPERLINK("https://otsuka-europe-crm.veevavault.com/ui/#object/vcountry__v/VENZ000004SONFK", "GB")</f>
        <v>GB</v>
      </c>
      <c r="C3067" s="20" t="s">
        <v>41</v>
      </c>
      <c r="D3067" s="21" t="str">
        <f>HYPERLINK("https://otsuka-europe-crm.veevavault.com/ui/#object/approved_document__v/V5O00000001V001", "LDM DR P2P Invite 12-Nov-26 v2 [digital]")</f>
        <v>LDM DR P2P Invite 12-Nov-26 v2 [digital]</v>
      </c>
      <c r="E3067" s="22" t="str">
        <f>HYPERLINK("https://otsuka-europe-crm.veevavault.com/ui/#object/sent_email__v/VBL000000035027", "SE-001443163")</f>
        <v>SE-001443163</v>
      </c>
      <c r="F3067" s="25">
        <v>46231.638136574074</v>
      </c>
      <c r="G3067" s="24">
        <v>1</v>
      </c>
      <c r="H3067" s="24">
        <v>17</v>
      </c>
      <c r="I3067" s="24">
        <v>0</v>
      </c>
      <c r="J3067" s="23"/>
      <c r="K3067" s="24">
        <v>0</v>
      </c>
      <c r="L3067" s="22" t="str">
        <f>HYPERLINK("https://otsuka-europe-crm.veevavault.com/ui/#object/approved_document__v/V5O00000001V001", "LDM DR P2P Invite 12-Nov-26 v2 [digital]")</f>
        <v>LDM DR P2P Invite 12-Nov-26 v2 [digital]</v>
      </c>
      <c r="M3067" s="22" t="str">
        <f>HYPERLINK("mailto:ldimambro@crm.otsuka-europe.com", "ldimambro@crm.otsuka-europe.com")</f>
        <v>ldimambro@crm.otsuka-europe.com</v>
      </c>
      <c r="N3067" s="25">
        <v>46213.474062499998</v>
      </c>
      <c r="O3067" s="14" t="str">
        <f>HYPERLINK("https://otsuka-europe-crm.veevavault.com/ui/#object/email_activity__v/V8C000000047093", "EN-002104322")</f>
        <v>EN-002104322</v>
      </c>
    </row>
    <row r="3068" spans="1:15" ht="16" x14ac:dyDescent="0.2">
      <c r="A3068" s="26"/>
      <c r="B3068" s="26"/>
      <c r="C3068" s="26"/>
      <c r="D3068" s="26"/>
      <c r="E3068" s="26"/>
      <c r="F3068" s="26"/>
      <c r="G3068" s="26"/>
      <c r="H3068" s="26"/>
      <c r="I3068" s="26"/>
      <c r="J3068" s="26"/>
      <c r="K3068" s="26"/>
      <c r="L3068" s="26"/>
      <c r="M3068" s="26"/>
      <c r="N3068" s="26"/>
      <c r="O3068" s="14" t="str">
        <f>HYPERLINK("https://otsuka-europe-crm.veevavault.com/ui/#object/email_activity__v/V8C000000049762", "EN-002106356")</f>
        <v>EN-002106356</v>
      </c>
    </row>
    <row r="3069" spans="1:15" ht="16" x14ac:dyDescent="0.2">
      <c r="A3069" s="26"/>
      <c r="B3069" s="26"/>
      <c r="C3069" s="26"/>
      <c r="D3069" s="26"/>
      <c r="E3069" s="26"/>
      <c r="F3069" s="26"/>
      <c r="G3069" s="26"/>
      <c r="H3069" s="26"/>
      <c r="I3069" s="26"/>
      <c r="J3069" s="26"/>
      <c r="K3069" s="26"/>
      <c r="L3069" s="26"/>
      <c r="M3069" s="26"/>
      <c r="N3069" s="26"/>
      <c r="O3069" s="14" t="str">
        <f>HYPERLINK("https://otsuka-europe-crm.veevavault.com/ui/#object/email_activity__v/V8C00000004A729", "EN-002106357")</f>
        <v>EN-002106357</v>
      </c>
    </row>
    <row r="3070" spans="1:15" ht="16" x14ac:dyDescent="0.2">
      <c r="A3070" s="26"/>
      <c r="B3070" s="26"/>
      <c r="C3070" s="26"/>
      <c r="D3070" s="26"/>
      <c r="E3070" s="26"/>
      <c r="F3070" s="26"/>
      <c r="G3070" s="26"/>
      <c r="H3070" s="26"/>
      <c r="I3070" s="26"/>
      <c r="J3070" s="26"/>
      <c r="K3070" s="26"/>
      <c r="L3070" s="26"/>
      <c r="M3070" s="26"/>
      <c r="N3070" s="26"/>
      <c r="O3070" s="14" t="str">
        <f>HYPERLINK("https://otsuka-europe-crm.veevavault.com/ui/#object/email_activity__v/V8C00000004A900", "EN-002106659")</f>
        <v>EN-002106659</v>
      </c>
    </row>
    <row r="3071" spans="1:15" ht="16" x14ac:dyDescent="0.2">
      <c r="A3071" s="26"/>
      <c r="B3071" s="26"/>
      <c r="C3071" s="26"/>
      <c r="D3071" s="26"/>
      <c r="E3071" s="26"/>
      <c r="F3071" s="26"/>
      <c r="G3071" s="26"/>
      <c r="H3071" s="26"/>
      <c r="I3071" s="26"/>
      <c r="J3071" s="26"/>
      <c r="K3071" s="26"/>
      <c r="L3071" s="26"/>
      <c r="M3071" s="26"/>
      <c r="N3071" s="26"/>
      <c r="O3071" s="14" t="str">
        <f>HYPERLINK("https://otsuka-europe-crm.veevavault.com/ui/#object/email_activity__v/V8C00000004B277", "EN-002107199")</f>
        <v>EN-002107199</v>
      </c>
    </row>
    <row r="3072" spans="1:15" ht="16" x14ac:dyDescent="0.2">
      <c r="A3072" s="26"/>
      <c r="B3072" s="26"/>
      <c r="C3072" s="26"/>
      <c r="D3072" s="26"/>
      <c r="E3072" s="26"/>
      <c r="F3072" s="26"/>
      <c r="G3072" s="26"/>
      <c r="H3072" s="26"/>
      <c r="I3072" s="26"/>
      <c r="J3072" s="26"/>
      <c r="K3072" s="26"/>
      <c r="L3072" s="26"/>
      <c r="M3072" s="26"/>
      <c r="N3072" s="26"/>
      <c r="O3072" s="14" t="str">
        <f>HYPERLINK("https://otsuka-europe-crm.veevavault.com/ui/#object/email_activity__v/V8C00000004B278", "EN-002107200")</f>
        <v>EN-002107200</v>
      </c>
    </row>
    <row r="3073" spans="1:15" ht="16" x14ac:dyDescent="0.2">
      <c r="A3073" s="26"/>
      <c r="B3073" s="26"/>
      <c r="C3073" s="26"/>
      <c r="D3073" s="26"/>
      <c r="E3073" s="26"/>
      <c r="F3073" s="26"/>
      <c r="G3073" s="26"/>
      <c r="H3073" s="26"/>
      <c r="I3073" s="26"/>
      <c r="J3073" s="26"/>
      <c r="K3073" s="26"/>
      <c r="L3073" s="26"/>
      <c r="M3073" s="26"/>
      <c r="N3073" s="26"/>
      <c r="O3073" s="14" t="str">
        <f>HYPERLINK("https://otsuka-europe-crm.veevavault.com/ui/#object/email_activity__v/V8C00000004C195", "EN-002107204")</f>
        <v>EN-002107204</v>
      </c>
    </row>
    <row r="3074" spans="1:15" ht="16" x14ac:dyDescent="0.2">
      <c r="A3074" s="26"/>
      <c r="B3074" s="26"/>
      <c r="C3074" s="26"/>
      <c r="D3074" s="26"/>
      <c r="E3074" s="26"/>
      <c r="F3074" s="26"/>
      <c r="G3074" s="26"/>
      <c r="H3074" s="26"/>
      <c r="I3074" s="26"/>
      <c r="J3074" s="26"/>
      <c r="K3074" s="26"/>
      <c r="L3074" s="26"/>
      <c r="M3074" s="26"/>
      <c r="N3074" s="26"/>
      <c r="O3074" s="14" t="str">
        <f>HYPERLINK("https://otsuka-europe-crm.veevavault.com/ui/#object/email_activity__v/V8C00000004C196", "EN-002107205")</f>
        <v>EN-002107205</v>
      </c>
    </row>
    <row r="3075" spans="1:15" ht="16" x14ac:dyDescent="0.2">
      <c r="A3075" s="26"/>
      <c r="B3075" s="26"/>
      <c r="C3075" s="26"/>
      <c r="D3075" s="26"/>
      <c r="E3075" s="26"/>
      <c r="F3075" s="26"/>
      <c r="G3075" s="26"/>
      <c r="H3075" s="26"/>
      <c r="I3075" s="26"/>
      <c r="J3075" s="26"/>
      <c r="K3075" s="26"/>
      <c r="L3075" s="26"/>
      <c r="M3075" s="26"/>
      <c r="N3075" s="26"/>
      <c r="O3075" s="14" t="str">
        <f>HYPERLINK("https://otsuka-europe-crm.veevavault.com/ui/#object/email_activity__v/V8C00000004C197", "EN-002107206")</f>
        <v>EN-002107206</v>
      </c>
    </row>
    <row r="3076" spans="1:15" ht="16" x14ac:dyDescent="0.2">
      <c r="A3076" s="26"/>
      <c r="B3076" s="26"/>
      <c r="C3076" s="26"/>
      <c r="D3076" s="26"/>
      <c r="E3076" s="26"/>
      <c r="F3076" s="26"/>
      <c r="G3076" s="26"/>
      <c r="H3076" s="26"/>
      <c r="I3076" s="26"/>
      <c r="J3076" s="26"/>
      <c r="K3076" s="26"/>
      <c r="L3076" s="26"/>
      <c r="M3076" s="26"/>
      <c r="N3076" s="26"/>
      <c r="O3076" s="14" t="str">
        <f>HYPERLINK("https://otsuka-europe-crm.veevavault.com/ui/#object/email_activity__v/V8C00000004C198", "EN-002107207")</f>
        <v>EN-002107207</v>
      </c>
    </row>
    <row r="3077" spans="1:15" ht="16" x14ac:dyDescent="0.2">
      <c r="A3077" s="26"/>
      <c r="B3077" s="26"/>
      <c r="C3077" s="26"/>
      <c r="D3077" s="26"/>
      <c r="E3077" s="26"/>
      <c r="F3077" s="26"/>
      <c r="G3077" s="26"/>
      <c r="H3077" s="26"/>
      <c r="I3077" s="26"/>
      <c r="J3077" s="26"/>
      <c r="K3077" s="26"/>
      <c r="L3077" s="26"/>
      <c r="M3077" s="26"/>
      <c r="N3077" s="26"/>
      <c r="O3077" s="14" t="str">
        <f>HYPERLINK("https://otsuka-europe-crm.veevavault.com/ui/#object/email_activity__v/V8C00000004C199", "EN-002107208")</f>
        <v>EN-002107208</v>
      </c>
    </row>
    <row r="3078" spans="1:15" ht="16" x14ac:dyDescent="0.2">
      <c r="A3078" s="26"/>
      <c r="B3078" s="26"/>
      <c r="C3078" s="26"/>
      <c r="D3078" s="26"/>
      <c r="E3078" s="26"/>
      <c r="F3078" s="26"/>
      <c r="G3078" s="26"/>
      <c r="H3078" s="26"/>
      <c r="I3078" s="26"/>
      <c r="J3078" s="26"/>
      <c r="K3078" s="26"/>
      <c r="L3078" s="26"/>
      <c r="M3078" s="26"/>
      <c r="N3078" s="26"/>
      <c r="O3078" s="14" t="str">
        <f>HYPERLINK("https://otsuka-europe-crm.veevavault.com/ui/#object/email_activity__v/V8C00000004C200", "EN-002107209")</f>
        <v>EN-002107209</v>
      </c>
    </row>
    <row r="3079" spans="1:15" ht="16" x14ac:dyDescent="0.2">
      <c r="A3079" s="26"/>
      <c r="B3079" s="26"/>
      <c r="C3079" s="26"/>
      <c r="D3079" s="26"/>
      <c r="E3079" s="26"/>
      <c r="F3079" s="26"/>
      <c r="G3079" s="26"/>
      <c r="H3079" s="26"/>
      <c r="I3079" s="26"/>
      <c r="J3079" s="26"/>
      <c r="K3079" s="26"/>
      <c r="L3079" s="26"/>
      <c r="M3079" s="26"/>
      <c r="N3079" s="26"/>
      <c r="O3079" s="14" t="str">
        <f>HYPERLINK("https://otsuka-europe-crm.veevavault.com/ui/#object/email_activity__v/V8C00000004C201", "EN-002107210")</f>
        <v>EN-002107210</v>
      </c>
    </row>
    <row r="3080" spans="1:15" ht="16" x14ac:dyDescent="0.2">
      <c r="A3080" s="26"/>
      <c r="B3080" s="26"/>
      <c r="C3080" s="26"/>
      <c r="D3080" s="26"/>
      <c r="E3080" s="26"/>
      <c r="F3080" s="26"/>
      <c r="G3080" s="26"/>
      <c r="H3080" s="26"/>
      <c r="I3080" s="26"/>
      <c r="J3080" s="26"/>
      <c r="K3080" s="26"/>
      <c r="L3080" s="26"/>
      <c r="M3080" s="26"/>
      <c r="N3080" s="26"/>
      <c r="O3080" s="14" t="str">
        <f>HYPERLINK("https://otsuka-europe-crm.veevavault.com/ui/#object/email_activity__v/V8C00000004C202", "EN-002107211")</f>
        <v>EN-002107211</v>
      </c>
    </row>
    <row r="3081" spans="1:15" ht="16" x14ac:dyDescent="0.2">
      <c r="A3081" s="26"/>
      <c r="B3081" s="26"/>
      <c r="C3081" s="26"/>
      <c r="D3081" s="26"/>
      <c r="E3081" s="26"/>
      <c r="F3081" s="26"/>
      <c r="G3081" s="26"/>
      <c r="H3081" s="26"/>
      <c r="I3081" s="26"/>
      <c r="J3081" s="26"/>
      <c r="K3081" s="26"/>
      <c r="L3081" s="26"/>
      <c r="M3081" s="26"/>
      <c r="N3081" s="26"/>
      <c r="O3081" s="14" t="str">
        <f>HYPERLINK("https://otsuka-europe-crm.veevavault.com/ui/#object/email_activity__v/V8C00000004C531", "EN-002108033")</f>
        <v>EN-002108033</v>
      </c>
    </row>
    <row r="3082" spans="1:15" ht="16" x14ac:dyDescent="0.2">
      <c r="A3082" s="26"/>
      <c r="B3082" s="26"/>
      <c r="C3082" s="26"/>
      <c r="D3082" s="26"/>
      <c r="E3082" s="26"/>
      <c r="F3082" s="26"/>
      <c r="G3082" s="26"/>
      <c r="H3082" s="26"/>
      <c r="I3082" s="26"/>
      <c r="J3082" s="26"/>
      <c r="K3082" s="26"/>
      <c r="L3082" s="26"/>
      <c r="M3082" s="26"/>
      <c r="N3082" s="26"/>
      <c r="O3082" s="14" t="str">
        <f>HYPERLINK("https://otsuka-europe-crm.veevavault.com/ui/#object/email_activity__v/V8C00000004C532", "EN-002108034")</f>
        <v>EN-002108034</v>
      </c>
    </row>
    <row r="3083" spans="1:15" ht="16" x14ac:dyDescent="0.2">
      <c r="A3083" s="26"/>
      <c r="B3083" s="26"/>
      <c r="C3083" s="26"/>
      <c r="D3083" s="26"/>
      <c r="E3083" s="26"/>
      <c r="F3083" s="26"/>
      <c r="G3083" s="26"/>
      <c r="H3083" s="26"/>
      <c r="I3083" s="26"/>
      <c r="J3083" s="26"/>
      <c r="K3083" s="26"/>
      <c r="L3083" s="26"/>
      <c r="M3083" s="26"/>
      <c r="N3083" s="26"/>
      <c r="O3083" s="14" t="str">
        <f>HYPERLINK("https://otsuka-europe-crm.veevavault.com/ui/#object/email_activity__v/V8C00000004D680", "EN-002109461")</f>
        <v>EN-002109461</v>
      </c>
    </row>
    <row r="3084" spans="1:15" ht="16" x14ac:dyDescent="0.2">
      <c r="A3084" s="19"/>
      <c r="B3084" s="19"/>
      <c r="C3084" s="19"/>
      <c r="D3084" s="19"/>
      <c r="E3084" s="19"/>
      <c r="F3084" s="19"/>
      <c r="G3084" s="19"/>
      <c r="H3084" s="19"/>
      <c r="I3084" s="19"/>
      <c r="J3084" s="19"/>
      <c r="K3084" s="19"/>
      <c r="L3084" s="19"/>
      <c r="M3084" s="19"/>
      <c r="N3084" s="19"/>
      <c r="O3084" s="14" t="str">
        <f>HYPERLINK("https://otsuka-europe-crm.veevavault.com/ui/#object/email_activity__v/V8C00000004E564", "EN-002109462")</f>
        <v>EN-002109462</v>
      </c>
    </row>
    <row r="3085" spans="1:15" ht="16" x14ac:dyDescent="0.2">
      <c r="A3085" s="18" t="str">
        <f>HYPERLINK("https://otsuka-europe-crm.veevavault.com/ui/#object/account__v/V4TZ025E82CDG1B", "Bayan Abdul-Hadi")</f>
        <v>Bayan Abdul-Hadi</v>
      </c>
      <c r="B3085" s="18" t="str">
        <f>HYPERLINK("https://otsuka-europe-crm.veevavault.com/ui/#object/vcountry__v/VENZ000004SONFK", "GB")</f>
        <v>GB</v>
      </c>
      <c r="C3085" s="20" t="s">
        <v>41</v>
      </c>
      <c r="D3085" s="21" t="str">
        <f>HYPERLINK("https://otsuka-europe-crm.veevavault.com/ui/#object/approved_document__v/V5O00000001V001", "LDM DR P2P Invite 12-Nov-26 v2 [digital]")</f>
        <v>LDM DR P2P Invite 12-Nov-26 v2 [digital]</v>
      </c>
      <c r="E3085" s="22" t="str">
        <f>HYPERLINK("https://otsuka-europe-crm.veevavault.com/ui/#object/sent_email__v/VBL000000035028", "SE-001443164")</f>
        <v>SE-001443164</v>
      </c>
      <c r="F3085" s="25">
        <v>46216.440081018518</v>
      </c>
      <c r="G3085" s="24">
        <v>1</v>
      </c>
      <c r="H3085" s="24">
        <v>9</v>
      </c>
      <c r="I3085" s="24">
        <v>0</v>
      </c>
      <c r="J3085" s="23"/>
      <c r="K3085" s="24">
        <v>0</v>
      </c>
      <c r="L3085" s="22" t="str">
        <f>HYPERLINK("https://otsuka-europe-crm.veevavault.com/ui/#object/approved_document__v/V5O00000001V001", "LDM DR P2P Invite 12-Nov-26 v2 [digital]")</f>
        <v>LDM DR P2P Invite 12-Nov-26 v2 [digital]</v>
      </c>
      <c r="M3085" s="22" t="str">
        <f>HYPERLINK("mailto:ldimambro@crm.otsuka-europe.com", "ldimambro@crm.otsuka-europe.com")</f>
        <v>ldimambro@crm.otsuka-europe.com</v>
      </c>
      <c r="N3085" s="25">
        <v>46213.474062499998</v>
      </c>
      <c r="O3085" s="14" t="str">
        <f>HYPERLINK("https://otsuka-europe-crm.veevavault.com/ui/#object/email_activity__v/V8C000000047091", "EN-002104319")</f>
        <v>EN-002104319</v>
      </c>
    </row>
    <row r="3086" spans="1:15" ht="16" x14ac:dyDescent="0.2">
      <c r="A3086" s="26"/>
      <c r="B3086" s="26"/>
      <c r="C3086" s="26"/>
      <c r="D3086" s="26"/>
      <c r="E3086" s="26"/>
      <c r="F3086" s="26"/>
      <c r="G3086" s="26"/>
      <c r="H3086" s="26"/>
      <c r="I3086" s="26"/>
      <c r="J3086" s="26"/>
      <c r="K3086" s="26"/>
      <c r="L3086" s="26"/>
      <c r="M3086" s="26"/>
      <c r="N3086" s="26"/>
      <c r="O3086" s="14" t="str">
        <f>HYPERLINK("https://otsuka-europe-crm.veevavault.com/ui/#object/email_activity__v/V8C000000047187", "EN-002104489")</f>
        <v>EN-002104489</v>
      </c>
    </row>
    <row r="3087" spans="1:15" ht="16" x14ac:dyDescent="0.2">
      <c r="A3087" s="26"/>
      <c r="B3087" s="26"/>
      <c r="C3087" s="26"/>
      <c r="D3087" s="26"/>
      <c r="E3087" s="26"/>
      <c r="F3087" s="26"/>
      <c r="G3087" s="26"/>
      <c r="H3087" s="26"/>
      <c r="I3087" s="26"/>
      <c r="J3087" s="26"/>
      <c r="K3087" s="26"/>
      <c r="L3087" s="26"/>
      <c r="M3087" s="26"/>
      <c r="N3087" s="26"/>
      <c r="O3087" s="14" t="str">
        <f>HYPERLINK("https://otsuka-europe-crm.veevavault.com/ui/#object/email_activity__v/V8C000000048137", "EN-002104481")</f>
        <v>EN-002104481</v>
      </c>
    </row>
    <row r="3088" spans="1:15" ht="16" x14ac:dyDescent="0.2">
      <c r="A3088" s="26"/>
      <c r="B3088" s="26"/>
      <c r="C3088" s="26"/>
      <c r="D3088" s="26"/>
      <c r="E3088" s="26"/>
      <c r="F3088" s="26"/>
      <c r="G3088" s="26"/>
      <c r="H3088" s="26"/>
      <c r="I3088" s="26"/>
      <c r="J3088" s="26"/>
      <c r="K3088" s="26"/>
      <c r="L3088" s="26"/>
      <c r="M3088" s="26"/>
      <c r="N3088" s="26"/>
      <c r="O3088" s="14" t="str">
        <f>HYPERLINK("https://otsuka-europe-crm.veevavault.com/ui/#object/email_activity__v/V8C000000049022", "EN-002104912")</f>
        <v>EN-002104912</v>
      </c>
    </row>
    <row r="3089" spans="1:15" ht="16" x14ac:dyDescent="0.2">
      <c r="A3089" s="26"/>
      <c r="B3089" s="26"/>
      <c r="C3089" s="26"/>
      <c r="D3089" s="26"/>
      <c r="E3089" s="26"/>
      <c r="F3089" s="26"/>
      <c r="G3089" s="26"/>
      <c r="H3089" s="26"/>
      <c r="I3089" s="26"/>
      <c r="J3089" s="26"/>
      <c r="K3089" s="26"/>
      <c r="L3089" s="26"/>
      <c r="M3089" s="26"/>
      <c r="N3089" s="26"/>
      <c r="O3089" s="14" t="str">
        <f>HYPERLINK("https://otsuka-europe-crm.veevavault.com/ui/#object/email_activity__v/V8C000000049023", "EN-002104913")</f>
        <v>EN-002104913</v>
      </c>
    </row>
    <row r="3090" spans="1:15" ht="16" x14ac:dyDescent="0.2">
      <c r="A3090" s="26"/>
      <c r="B3090" s="26"/>
      <c r="C3090" s="26"/>
      <c r="D3090" s="26"/>
      <c r="E3090" s="26"/>
      <c r="F3090" s="26"/>
      <c r="G3090" s="26"/>
      <c r="H3090" s="26"/>
      <c r="I3090" s="26"/>
      <c r="J3090" s="26"/>
      <c r="K3090" s="26"/>
      <c r="L3090" s="26"/>
      <c r="M3090" s="26"/>
      <c r="N3090" s="26"/>
      <c r="O3090" s="14" t="str">
        <f>HYPERLINK("https://otsuka-europe-crm.veevavault.com/ui/#object/email_activity__v/V8C000000049253", "EN-002105340")</f>
        <v>EN-002105340</v>
      </c>
    </row>
    <row r="3091" spans="1:15" ht="16" x14ac:dyDescent="0.2">
      <c r="A3091" s="26"/>
      <c r="B3091" s="26"/>
      <c r="C3091" s="26"/>
      <c r="D3091" s="26"/>
      <c r="E3091" s="26"/>
      <c r="F3091" s="26"/>
      <c r="G3091" s="26"/>
      <c r="H3091" s="26"/>
      <c r="I3091" s="26"/>
      <c r="J3091" s="26"/>
      <c r="K3091" s="26"/>
      <c r="L3091" s="26"/>
      <c r="M3091" s="26"/>
      <c r="N3091" s="26"/>
      <c r="O3091" s="14" t="str">
        <f>HYPERLINK("https://otsuka-europe-crm.veevavault.com/ui/#object/email_activity__v/V8C00000004A021", "EN-002104908")</f>
        <v>EN-002104908</v>
      </c>
    </row>
    <row r="3092" spans="1:15" ht="16" x14ac:dyDescent="0.2">
      <c r="A3092" s="26"/>
      <c r="B3092" s="26"/>
      <c r="C3092" s="26"/>
      <c r="D3092" s="26"/>
      <c r="E3092" s="26"/>
      <c r="F3092" s="26"/>
      <c r="G3092" s="26"/>
      <c r="H3092" s="26"/>
      <c r="I3092" s="26"/>
      <c r="J3092" s="26"/>
      <c r="K3092" s="26"/>
      <c r="L3092" s="26"/>
      <c r="M3092" s="26"/>
      <c r="N3092" s="26"/>
      <c r="O3092" s="14" t="str">
        <f>HYPERLINK("https://otsuka-europe-crm.veevavault.com/ui/#object/email_activity__v/V8C00000004A022", "EN-002104909")</f>
        <v>EN-002104909</v>
      </c>
    </row>
    <row r="3093" spans="1:15" ht="16" x14ac:dyDescent="0.2">
      <c r="A3093" s="26"/>
      <c r="B3093" s="26"/>
      <c r="C3093" s="26"/>
      <c r="D3093" s="26"/>
      <c r="E3093" s="26"/>
      <c r="F3093" s="26"/>
      <c r="G3093" s="26"/>
      <c r="H3093" s="26"/>
      <c r="I3093" s="26"/>
      <c r="J3093" s="26"/>
      <c r="K3093" s="26"/>
      <c r="L3093" s="26"/>
      <c r="M3093" s="26"/>
      <c r="N3093" s="26"/>
      <c r="O3093" s="14" t="str">
        <f>HYPERLINK("https://otsuka-europe-crm.veevavault.com/ui/#object/email_activity__v/V8C00000004A023", "EN-002104914")</f>
        <v>EN-002104914</v>
      </c>
    </row>
    <row r="3094" spans="1:15" ht="16" x14ac:dyDescent="0.2">
      <c r="A3094" s="19"/>
      <c r="B3094" s="19"/>
      <c r="C3094" s="19"/>
      <c r="D3094" s="19"/>
      <c r="E3094" s="19"/>
      <c r="F3094" s="19"/>
      <c r="G3094" s="19"/>
      <c r="H3094" s="19"/>
      <c r="I3094" s="19"/>
      <c r="J3094" s="19"/>
      <c r="K3094" s="19"/>
      <c r="L3094" s="19"/>
      <c r="M3094" s="19"/>
      <c r="N3094" s="19"/>
      <c r="O3094" s="14" t="str">
        <f>HYPERLINK("https://otsuka-europe-crm.veevavault.com/ui/#object/email_activity__v/V8C00000004A084", "EN-002105057")</f>
        <v>EN-002105057</v>
      </c>
    </row>
    <row r="3095" spans="1:15" ht="32" x14ac:dyDescent="0.2">
      <c r="A3095" s="7" t="str">
        <f>HYPERLINK("https://otsuka-europe-crm.veevavault.com/ui/#object/account__v/V4TZ06G6O80VSKY", "Adnan Bashier")</f>
        <v>Adnan Bashier</v>
      </c>
      <c r="B3095" s="7" t="str">
        <f>HYPERLINK("https://otsuka-europe-crm.veevavault.com/ui/#object/vcountry__v/VENZ000004SONFK", "GB")</f>
        <v>GB</v>
      </c>
      <c r="C3095" s="8" t="s">
        <v>41</v>
      </c>
      <c r="D3095" s="9" t="str">
        <f>HYPERLINK("https://otsuka-europe-crm.veevavault.com/ui/#object/approved_document__v/V5O00000001V001", "LDM DR P2P Invite 12-Nov-26 v2 [digital]")</f>
        <v>LDM DR P2P Invite 12-Nov-26 v2 [digital]</v>
      </c>
      <c r="E3095" s="10" t="str">
        <f>HYPERLINK("https://otsuka-europe-crm.veevavault.com/ui/#object/sent_email__v/VBL000000035029", "SE-001443165")</f>
        <v>SE-001443165</v>
      </c>
      <c r="F3095" s="11"/>
      <c r="G3095" s="12">
        <v>0</v>
      </c>
      <c r="H3095" s="12">
        <v>0</v>
      </c>
      <c r="I3095" s="12">
        <v>0</v>
      </c>
      <c r="J3095" s="11"/>
      <c r="K3095" s="12">
        <v>0</v>
      </c>
      <c r="L3095" s="10" t="str">
        <f>HYPERLINK("https://otsuka-europe-crm.veevavault.com/ui/#object/approved_document__v/V5O00000001V001", "LDM DR P2P Invite 12-Nov-26 v2 [digital]")</f>
        <v>LDM DR P2P Invite 12-Nov-26 v2 [digital]</v>
      </c>
      <c r="M3095" s="10" t="str">
        <f>HYPERLINK("mailto:ldimambro@crm.otsuka-europe.com", "ldimambro@crm.otsuka-europe.com")</f>
        <v>ldimambro@crm.otsuka-europe.com</v>
      </c>
      <c r="N3095" s="13">
        <v>46213.474062499998</v>
      </c>
      <c r="O3095" s="14" t="str">
        <f>HYPERLINK("https://otsuka-europe-crm.veevavault.com/ui/#object/email_activity__v/V8C000000048067", "EN-002104321")</f>
        <v>EN-002104321</v>
      </c>
    </row>
    <row r="3096" spans="1:15" ht="32" x14ac:dyDescent="0.2">
      <c r="A3096" s="7" t="str">
        <f>HYPERLINK("https://otsuka-europe-crm.veevavault.com/ui/#object/account__v/V4TZ0000062PNSV", "Albert Hushie")</f>
        <v>Albert Hushie</v>
      </c>
      <c r="B3096" s="7" t="str">
        <f>HYPERLINK("https://otsuka-europe-crm.veevavault.com/ui/#object/vcountry__v/VENZ000004SONFK", "GB")</f>
        <v>GB</v>
      </c>
      <c r="C3096" s="8" t="s">
        <v>41</v>
      </c>
      <c r="D3096" s="9" t="str">
        <f>HYPERLINK("https://otsuka-europe-crm.veevavault.com/ui/#object/approved_document__v/V5O00000001V001", "LDM DR P2P Invite 12-Nov-26 v2 [digital]")</f>
        <v>LDM DR P2P Invite 12-Nov-26 v2 [digital]</v>
      </c>
      <c r="E3096" s="10" t="str">
        <f>HYPERLINK("https://otsuka-europe-crm.veevavault.com/ui/#object/sent_email__v/VBL000000035030", "SE-001443166")</f>
        <v>SE-001443166</v>
      </c>
      <c r="F3096" s="11"/>
      <c r="G3096" s="12">
        <v>0</v>
      </c>
      <c r="H3096" s="12">
        <v>0</v>
      </c>
      <c r="I3096" s="12">
        <v>0</v>
      </c>
      <c r="J3096" s="11"/>
      <c r="K3096" s="12">
        <v>0</v>
      </c>
      <c r="L3096" s="10" t="str">
        <f>HYPERLINK("https://otsuka-europe-crm.veevavault.com/ui/#object/approved_document__v/V5O00000001V001", "LDM DR P2P Invite 12-Nov-26 v2 [digital]")</f>
        <v>LDM DR P2P Invite 12-Nov-26 v2 [digital]</v>
      </c>
      <c r="M3096" s="10" t="str">
        <f>HYPERLINK("mailto:ldimambro@crm.otsuka-europe.com", "ldimambro@crm.otsuka-europe.com")</f>
        <v>ldimambro@crm.otsuka-europe.com</v>
      </c>
      <c r="N3096" s="13">
        <v>46213.474178240744</v>
      </c>
      <c r="O3096" s="14" t="str">
        <f>HYPERLINK("https://otsuka-europe-crm.veevavault.com/ui/#object/email_activity__v/V8C000000047082", "EN-002104310")</f>
        <v>EN-002104310</v>
      </c>
    </row>
    <row r="3097" spans="1:15" ht="16" x14ac:dyDescent="0.2">
      <c r="A3097" s="18" t="str">
        <f>HYPERLINK("https://otsuka-europe-crm.veevavault.com/ui/#object/account__v/V4TZ0000062PCJ2", "Abu Abraham")</f>
        <v>Abu Abraham</v>
      </c>
      <c r="B3097" s="18" t="str">
        <f>HYPERLINK("https://otsuka-europe-crm.veevavault.com/ui/#object/vcountry__v/VENZ000004SONFK", "GB")</f>
        <v>GB</v>
      </c>
      <c r="C3097" s="20" t="s">
        <v>41</v>
      </c>
      <c r="D3097" s="21" t="str">
        <f>HYPERLINK("https://otsuka-europe-crm.veevavault.com/ui/#object/approved_document__v/V5O00000001V001", "LDM DR P2P Invite 12-Nov-26 v2 [digital]")</f>
        <v>LDM DR P2P Invite 12-Nov-26 v2 [digital]</v>
      </c>
      <c r="E3097" s="22" t="str">
        <f>HYPERLINK("https://otsuka-europe-crm.veevavault.com/ui/#object/sent_email__v/VBL000000035031", "SE-001443167")</f>
        <v>SE-001443167</v>
      </c>
      <c r="F3097" s="23"/>
      <c r="G3097" s="24">
        <v>0</v>
      </c>
      <c r="H3097" s="24">
        <v>0</v>
      </c>
      <c r="I3097" s="24">
        <v>0</v>
      </c>
      <c r="J3097" s="23"/>
      <c r="K3097" s="24">
        <v>0</v>
      </c>
      <c r="L3097" s="22" t="str">
        <f>HYPERLINK("https://otsuka-europe-crm.veevavault.com/ui/#object/approved_document__v/V5O00000001V001", "LDM DR P2P Invite 12-Nov-26 v2 [digital]")</f>
        <v>LDM DR P2P Invite 12-Nov-26 v2 [digital]</v>
      </c>
      <c r="M3097" s="22" t="str">
        <f>HYPERLINK("mailto:ldimambro@crm.otsuka-europe.com", "ldimambro@crm.otsuka-europe.com")</f>
        <v>ldimambro@crm.otsuka-europe.com</v>
      </c>
      <c r="N3097" s="25">
        <v>46213.474143518521</v>
      </c>
      <c r="O3097" s="14" t="str">
        <f>HYPERLINK("https://otsuka-europe-crm.veevavault.com/ui/#object/email_activity__v/V8C000000047089", "EN-002104317")</f>
        <v>EN-002104317</v>
      </c>
    </row>
    <row r="3098" spans="1:15" ht="16" x14ac:dyDescent="0.2">
      <c r="A3098" s="19"/>
      <c r="B3098" s="19"/>
      <c r="C3098" s="19"/>
      <c r="D3098" s="19"/>
      <c r="E3098" s="19"/>
      <c r="F3098" s="19"/>
      <c r="G3098" s="19"/>
      <c r="H3098" s="19"/>
      <c r="I3098" s="19"/>
      <c r="J3098" s="19"/>
      <c r="K3098" s="19"/>
      <c r="L3098" s="19"/>
      <c r="M3098" s="19"/>
      <c r="N3098" s="19"/>
      <c r="O3098" s="14" t="str">
        <f>HYPERLINK("https://otsuka-europe-crm.veevavault.com/ui/#object/email_activity__v/V8C000000049837", "EN-002106521")</f>
        <v>EN-002106521</v>
      </c>
    </row>
    <row r="3099" spans="1:15" ht="32" x14ac:dyDescent="0.2">
      <c r="A3099" s="7" t="str">
        <f>HYPERLINK("https://otsuka-europe-crm.veevavault.com/ui/#object/account__v/V4TZ0000062PFSV", "Ayyamkulam Louis")</f>
        <v>Ayyamkulam Louis</v>
      </c>
      <c r="B3099" s="7" t="str">
        <f>HYPERLINK("https://otsuka-europe-crm.veevavault.com/ui/#object/vcountry__v/VENZ000004SONFK", "GB")</f>
        <v>GB</v>
      </c>
      <c r="C3099" s="8" t="s">
        <v>41</v>
      </c>
      <c r="D3099" s="9" t="str">
        <f>HYPERLINK("https://otsuka-europe-crm.veevavault.com/ui/#object/approved_document__v/V5O00000001V001", "LDM DR P2P Invite 12-Nov-26 v2 [digital]")</f>
        <v>LDM DR P2P Invite 12-Nov-26 v2 [digital]</v>
      </c>
      <c r="E3099" s="10" t="str">
        <f>HYPERLINK("https://otsuka-europe-crm.veevavault.com/ui/#object/sent_email__v/VBL000000035032", "SE-001443168")</f>
        <v>SE-001443168</v>
      </c>
      <c r="F3099" s="11"/>
      <c r="G3099" s="12">
        <v>0</v>
      </c>
      <c r="H3099" s="12">
        <v>0</v>
      </c>
      <c r="I3099" s="12">
        <v>0</v>
      </c>
      <c r="J3099" s="11"/>
      <c r="K3099" s="12">
        <v>0</v>
      </c>
      <c r="L3099" s="10" t="str">
        <f>HYPERLINK("https://otsuka-europe-crm.veevavault.com/ui/#object/approved_document__v/V5O00000001V001", "LDM DR P2P Invite 12-Nov-26 v2 [digital]")</f>
        <v>LDM DR P2P Invite 12-Nov-26 v2 [digital]</v>
      </c>
      <c r="M3099" s="10" t="str">
        <f>HYPERLINK("mailto:ldimambro@crm.otsuka-europe.com", "ldimambro@crm.otsuka-europe.com")</f>
        <v>ldimambro@crm.otsuka-europe.com</v>
      </c>
      <c r="N3099" s="13">
        <v>46213.474178240744</v>
      </c>
      <c r="O3099" s="14" t="str">
        <f>HYPERLINK("https://otsuka-europe-crm.veevavault.com/ui/#object/email_activity__v/V8C000000047086", "EN-002104314")</f>
        <v>EN-002104314</v>
      </c>
    </row>
    <row r="3100" spans="1:15" ht="32" x14ac:dyDescent="0.2">
      <c r="A3100" s="7" t="str">
        <f>HYPERLINK("https://otsuka-europe-crm.veevavault.com/ui/#object/account__v/V4TZ0000062PEGG", "Ahmed Shoka")</f>
        <v>Ahmed Shoka</v>
      </c>
      <c r="B3100" s="7" t="str">
        <f>HYPERLINK("https://otsuka-europe-crm.veevavault.com/ui/#object/vcountry__v/VENZ000004SONFK", "GB")</f>
        <v>GB</v>
      </c>
      <c r="C3100" s="8" t="s">
        <v>41</v>
      </c>
      <c r="D3100" s="9" t="str">
        <f>HYPERLINK("https://otsuka-europe-crm.veevavault.com/ui/#object/approved_document__v/V5O00000001V001", "LDM DR P2P Invite 12-Nov-26 v2 [digital]")</f>
        <v>LDM DR P2P Invite 12-Nov-26 v2 [digital]</v>
      </c>
      <c r="E3100" s="10" t="str">
        <f>HYPERLINK("https://otsuka-europe-crm.veevavault.com/ui/#object/sent_email__v/VBL000000035033", "SE-001443169")</f>
        <v>SE-001443169</v>
      </c>
      <c r="F3100" s="11"/>
      <c r="G3100" s="12">
        <v>0</v>
      </c>
      <c r="H3100" s="12">
        <v>0</v>
      </c>
      <c r="I3100" s="12">
        <v>0</v>
      </c>
      <c r="J3100" s="11"/>
      <c r="K3100" s="12">
        <v>0</v>
      </c>
      <c r="L3100" s="10" t="str">
        <f>HYPERLINK("https://otsuka-europe-crm.veevavault.com/ui/#object/approved_document__v/V5O00000001V001", "LDM DR P2P Invite 12-Nov-26 v2 [digital]")</f>
        <v>LDM DR P2P Invite 12-Nov-26 v2 [digital]</v>
      </c>
      <c r="M3100" s="10" t="str">
        <f>HYPERLINK("mailto:ldimambro@crm.otsuka-europe.com", "ldimambro@crm.otsuka-europe.com")</f>
        <v>ldimambro@crm.otsuka-europe.com</v>
      </c>
      <c r="N3100" s="13">
        <v>46213.474166666667</v>
      </c>
      <c r="O3100" s="14" t="str">
        <f>HYPERLINK("https://otsuka-europe-crm.veevavault.com/ui/#object/email_activity__v/V8C000000047076", "EN-002104304")</f>
        <v>EN-002104304</v>
      </c>
    </row>
    <row r="3101" spans="1:15" ht="32" x14ac:dyDescent="0.2">
      <c r="A3101" s="7" t="str">
        <f>HYPERLINK("https://otsuka-europe-crm.veevavault.com/ui/#object/account__v/V4TZ04ASG79ZOGJ", "Damilola Ojo")</f>
        <v>Damilola Ojo</v>
      </c>
      <c r="B3101" s="7" t="str">
        <f>HYPERLINK("https://otsuka-europe-crm.veevavault.com/ui/#object/vcountry__v/VENZ000004SONFK", "GB")</f>
        <v>GB</v>
      </c>
      <c r="C3101" s="8" t="s">
        <v>41</v>
      </c>
      <c r="D3101" s="9" t="str">
        <f>HYPERLINK("https://otsuka-europe-crm.veevavault.com/ui/#object/approved_document__v/V5O00000001V001", "LDM DR P2P Invite 12-Nov-26 v2 [digital]")</f>
        <v>LDM DR P2P Invite 12-Nov-26 v2 [digital]</v>
      </c>
      <c r="E3101" s="10" t="str">
        <f>HYPERLINK("https://otsuka-europe-crm.veevavault.com/ui/#object/sent_email__v/VBL000000035034", "SE-001443170")</f>
        <v>SE-001443170</v>
      </c>
      <c r="F3101" s="11"/>
      <c r="G3101" s="12">
        <v>0</v>
      </c>
      <c r="H3101" s="12">
        <v>0</v>
      </c>
      <c r="I3101" s="12">
        <v>0</v>
      </c>
      <c r="J3101" s="11"/>
      <c r="K3101" s="12">
        <v>0</v>
      </c>
      <c r="L3101" s="10" t="str">
        <f>HYPERLINK("https://otsuka-europe-crm.veevavault.com/ui/#object/approved_document__v/V5O00000001V001", "LDM DR P2P Invite 12-Nov-26 v2 [digital]")</f>
        <v>LDM DR P2P Invite 12-Nov-26 v2 [digital]</v>
      </c>
      <c r="M3101" s="10" t="str">
        <f>HYPERLINK("mailto:ldimambro@crm.otsuka-europe.com", "ldimambro@crm.otsuka-europe.com")</f>
        <v>ldimambro@crm.otsuka-europe.com</v>
      </c>
      <c r="N3101" s="13">
        <v>46213.474189814813</v>
      </c>
      <c r="O3101" s="14" t="str">
        <f>HYPERLINK("https://otsuka-europe-crm.veevavault.com/ui/#object/email_activity__v/V8C000000048065", "EN-002104301")</f>
        <v>EN-002104301</v>
      </c>
    </row>
    <row r="3102" spans="1:15" ht="16" x14ac:dyDescent="0.2">
      <c r="A3102" s="18" t="str">
        <f>HYPERLINK("https://otsuka-europe-crm.veevavault.com/ui/#object/account__v/V4TZ0000062PDAA", "Anirban Bhowmick")</f>
        <v>Anirban Bhowmick</v>
      </c>
      <c r="B3102" s="18" t="str">
        <f>HYPERLINK("https://otsuka-europe-crm.veevavault.com/ui/#object/vcountry__v/VENZ000004SONFK", "GB")</f>
        <v>GB</v>
      </c>
      <c r="C3102" s="20" t="s">
        <v>41</v>
      </c>
      <c r="D3102" s="21" t="str">
        <f>HYPERLINK("https://otsuka-europe-crm.veevavault.com/ui/#object/approved_document__v/V5O00000001V001", "LDM DR P2P Invite 12-Nov-26 v2 [digital]")</f>
        <v>LDM DR P2P Invite 12-Nov-26 v2 [digital]</v>
      </c>
      <c r="E3102" s="22" t="str">
        <f>HYPERLINK("https://otsuka-europe-crm.veevavault.com/ui/#object/sent_email__v/VBL000000035035", "SE-001443171")</f>
        <v>SE-001443171</v>
      </c>
      <c r="F3102" s="25">
        <v>46213.486597222225</v>
      </c>
      <c r="G3102" s="24">
        <v>1</v>
      </c>
      <c r="H3102" s="24">
        <v>2</v>
      </c>
      <c r="I3102" s="24">
        <v>0</v>
      </c>
      <c r="J3102" s="23"/>
      <c r="K3102" s="24">
        <v>0</v>
      </c>
      <c r="L3102" s="22" t="str">
        <f>HYPERLINK("https://otsuka-europe-crm.veevavault.com/ui/#object/approved_document__v/V5O00000001V001", "LDM DR P2P Invite 12-Nov-26 v2 [digital]")</f>
        <v>LDM DR P2P Invite 12-Nov-26 v2 [digital]</v>
      </c>
      <c r="M3102" s="22" t="str">
        <f>HYPERLINK("mailto:ldimambro@crm.otsuka-europe.com", "ldimambro@crm.otsuka-europe.com")</f>
        <v>ldimambro@crm.otsuka-europe.com</v>
      </c>
      <c r="N3102" s="25">
        <v>46213.474143518521</v>
      </c>
      <c r="O3102" s="14" t="str">
        <f>HYPERLINK("https://otsuka-europe-crm.veevavault.com/ui/#object/email_activity__v/V8C000000047165", "EN-002104431")</f>
        <v>EN-002104431</v>
      </c>
    </row>
    <row r="3103" spans="1:15" ht="16" x14ac:dyDescent="0.2">
      <c r="A3103" s="26"/>
      <c r="B3103" s="26"/>
      <c r="C3103" s="26"/>
      <c r="D3103" s="26"/>
      <c r="E3103" s="26"/>
      <c r="F3103" s="26"/>
      <c r="G3103" s="26"/>
      <c r="H3103" s="26"/>
      <c r="I3103" s="26"/>
      <c r="J3103" s="26"/>
      <c r="K3103" s="26"/>
      <c r="L3103" s="26"/>
      <c r="M3103" s="26"/>
      <c r="N3103" s="26"/>
      <c r="O3103" s="14" t="str">
        <f>HYPERLINK("https://otsuka-europe-crm.veevavault.com/ui/#object/email_activity__v/V8C000000048073", "EN-002104328")</f>
        <v>EN-002104328</v>
      </c>
    </row>
    <row r="3104" spans="1:15" ht="16" x14ac:dyDescent="0.2">
      <c r="A3104" s="19"/>
      <c r="B3104" s="19"/>
      <c r="C3104" s="19"/>
      <c r="D3104" s="19"/>
      <c r="E3104" s="19"/>
      <c r="F3104" s="19"/>
      <c r="G3104" s="19"/>
      <c r="H3104" s="19"/>
      <c r="I3104" s="19"/>
      <c r="J3104" s="19"/>
      <c r="K3104" s="19"/>
      <c r="L3104" s="19"/>
      <c r="M3104" s="19"/>
      <c r="N3104" s="19"/>
      <c r="O3104" s="14" t="str">
        <f>HYPERLINK("https://otsuka-europe-crm.veevavault.com/ui/#object/email_activity__v/V8C000000048083", "EN-002104338")</f>
        <v>EN-002104338</v>
      </c>
    </row>
    <row r="3105" spans="1:15" ht="32" x14ac:dyDescent="0.2">
      <c r="A3105" s="7" t="str">
        <f>HYPERLINK("https://otsuka-europe-crm.veevavault.com/ui/#object/account__v/V4TZ025E87H3059", "Busola Olugosi")</f>
        <v>Busola Olugosi</v>
      </c>
      <c r="B3105" s="7" t="str">
        <f t="shared" ref="B3105:B3112" si="128">HYPERLINK("https://otsuka-europe-crm.veevavault.com/ui/#object/vcountry__v/VENZ000004SONFK", "GB")</f>
        <v>GB</v>
      </c>
      <c r="C3105" s="8" t="s">
        <v>41</v>
      </c>
      <c r="D3105" s="9" t="str">
        <f t="shared" ref="D3105:D3112" si="129">HYPERLINK("https://otsuka-europe-crm.veevavault.com/ui/#object/approved_document__v/V5O00000001V001", "LDM DR P2P Invite 12-Nov-26 v2 [digital]")</f>
        <v>LDM DR P2P Invite 12-Nov-26 v2 [digital]</v>
      </c>
      <c r="E3105" s="10" t="str">
        <f>HYPERLINK("https://otsuka-europe-crm.veevavault.com/ui/#object/sent_email__v/VBL000000035036", "SE-001443172")</f>
        <v>SE-001443172</v>
      </c>
      <c r="F3105" s="11"/>
      <c r="G3105" s="12">
        <v>0</v>
      </c>
      <c r="H3105" s="12">
        <v>0</v>
      </c>
      <c r="I3105" s="12">
        <v>0</v>
      </c>
      <c r="J3105" s="11"/>
      <c r="K3105" s="12">
        <v>0</v>
      </c>
      <c r="L3105" s="10" t="str">
        <f t="shared" ref="L3105:L3112" si="130">HYPERLINK("https://otsuka-europe-crm.veevavault.com/ui/#object/approved_document__v/V5O00000001V001", "LDM DR P2P Invite 12-Nov-26 v2 [digital]")</f>
        <v>LDM DR P2P Invite 12-Nov-26 v2 [digital]</v>
      </c>
      <c r="M3105" s="10" t="str">
        <f t="shared" ref="M3105:M3112" si="131">HYPERLINK("mailto:ldimambro@crm.otsuka-europe.com", "ldimambro@crm.otsuka-europe.com")</f>
        <v>ldimambro@crm.otsuka-europe.com</v>
      </c>
      <c r="N3105" s="13">
        <v>46213.474143518521</v>
      </c>
      <c r="O3105" s="14" t="str">
        <f>HYPERLINK("https://otsuka-europe-crm.veevavault.com/ui/#object/email_activity__v/V8C000000048080", "EN-002104335")</f>
        <v>EN-002104335</v>
      </c>
    </row>
    <row r="3106" spans="1:15" ht="32" x14ac:dyDescent="0.2">
      <c r="A3106" s="7" t="str">
        <f>HYPERLINK("https://otsuka-europe-crm.veevavault.com/ui/#object/account__v/V4TZ04ASGBZXVTA", "Bose Kadiri")</f>
        <v>Bose Kadiri</v>
      </c>
      <c r="B3106" s="7" t="str">
        <f t="shared" si="128"/>
        <v>GB</v>
      </c>
      <c r="C3106" s="8" t="s">
        <v>41</v>
      </c>
      <c r="D3106" s="9" t="str">
        <f t="shared" si="129"/>
        <v>LDM DR P2P Invite 12-Nov-26 v2 [digital]</v>
      </c>
      <c r="E3106" s="10" t="str">
        <f>HYPERLINK("https://otsuka-europe-crm.veevavault.com/ui/#object/sent_email__v/VBL000000035037", "SE-001443173")</f>
        <v>SE-001443173</v>
      </c>
      <c r="F3106" s="11"/>
      <c r="G3106" s="12">
        <v>0</v>
      </c>
      <c r="H3106" s="12">
        <v>0</v>
      </c>
      <c r="I3106" s="12">
        <v>0</v>
      </c>
      <c r="J3106" s="11"/>
      <c r="K3106" s="12">
        <v>0</v>
      </c>
      <c r="L3106" s="10" t="str">
        <f t="shared" si="130"/>
        <v>LDM DR P2P Invite 12-Nov-26 v2 [digital]</v>
      </c>
      <c r="M3106" s="10" t="str">
        <f t="shared" si="131"/>
        <v>ldimambro@crm.otsuka-europe.com</v>
      </c>
      <c r="N3106" s="13">
        <v>46213.474143518521</v>
      </c>
      <c r="O3106" s="14" t="str">
        <f>HYPERLINK("https://otsuka-europe-crm.veevavault.com/ui/#object/email_activity__v/V8C000000048068", "EN-002104323")</f>
        <v>EN-002104323</v>
      </c>
    </row>
    <row r="3107" spans="1:15" ht="32" x14ac:dyDescent="0.2">
      <c r="A3107" s="7" t="str">
        <f>HYPERLINK("https://otsuka-europe-crm.veevavault.com/ui/#object/account__v/V4TZ0000062PHQ3", "Abdul Raoof")</f>
        <v>Abdul Raoof</v>
      </c>
      <c r="B3107" s="7" t="str">
        <f t="shared" si="128"/>
        <v>GB</v>
      </c>
      <c r="C3107" s="8" t="s">
        <v>41</v>
      </c>
      <c r="D3107" s="9" t="str">
        <f t="shared" si="129"/>
        <v>LDM DR P2P Invite 12-Nov-26 v2 [digital]</v>
      </c>
      <c r="E3107" s="10" t="str">
        <f>HYPERLINK("https://otsuka-europe-crm.veevavault.com/ui/#object/sent_email__v/VBL000000035038", "SE-001443174")</f>
        <v>SE-001443174</v>
      </c>
      <c r="F3107" s="11"/>
      <c r="G3107" s="12">
        <v>0</v>
      </c>
      <c r="H3107" s="12">
        <v>0</v>
      </c>
      <c r="I3107" s="12">
        <v>0</v>
      </c>
      <c r="J3107" s="11"/>
      <c r="K3107" s="12">
        <v>0</v>
      </c>
      <c r="L3107" s="10" t="str">
        <f t="shared" si="130"/>
        <v>LDM DR P2P Invite 12-Nov-26 v2 [digital]</v>
      </c>
      <c r="M3107" s="10" t="str">
        <f t="shared" si="131"/>
        <v>ldimambro@crm.otsuka-europe.com</v>
      </c>
      <c r="N3107" s="13">
        <v>46213.474143518521</v>
      </c>
      <c r="O3107" s="14" t="str">
        <f>HYPERLINK("https://otsuka-europe-crm.veevavault.com/ui/#object/email_activity__v/V8C000000048076", "EN-002104331")</f>
        <v>EN-002104331</v>
      </c>
    </row>
    <row r="3108" spans="1:15" ht="32" x14ac:dyDescent="0.2">
      <c r="A3108" s="7" t="str">
        <f>HYPERLINK("https://otsuka-europe-crm.veevavault.com/ui/#object/account__v/V4TZ06G6O9VB9FB", "Ashinedu Ifeneziuche")</f>
        <v>Ashinedu Ifeneziuche</v>
      </c>
      <c r="B3108" s="7" t="str">
        <f t="shared" si="128"/>
        <v>GB</v>
      </c>
      <c r="C3108" s="8" t="s">
        <v>41</v>
      </c>
      <c r="D3108" s="9" t="str">
        <f t="shared" si="129"/>
        <v>LDM DR P2P Invite 12-Nov-26 v2 [digital]</v>
      </c>
      <c r="E3108" s="10" t="str">
        <f>HYPERLINK("https://otsuka-europe-crm.veevavault.com/ui/#object/sent_email__v/VBL000000035039", "SE-001443175")</f>
        <v>SE-001443175</v>
      </c>
      <c r="F3108" s="11"/>
      <c r="G3108" s="12">
        <v>0</v>
      </c>
      <c r="H3108" s="12">
        <v>0</v>
      </c>
      <c r="I3108" s="12">
        <v>0</v>
      </c>
      <c r="J3108" s="11"/>
      <c r="K3108" s="12">
        <v>0</v>
      </c>
      <c r="L3108" s="10" t="str">
        <f t="shared" si="130"/>
        <v>LDM DR P2P Invite 12-Nov-26 v2 [digital]</v>
      </c>
      <c r="M3108" s="10" t="str">
        <f t="shared" si="131"/>
        <v>ldimambro@crm.otsuka-europe.com</v>
      </c>
      <c r="N3108" s="13">
        <v>46213.474189814813</v>
      </c>
      <c r="O3108" s="14" t="str">
        <f>HYPERLINK("https://otsuka-europe-crm.veevavault.com/ui/#object/email_activity__v/V8C000000047087", "EN-002104315")</f>
        <v>EN-002104315</v>
      </c>
    </row>
    <row r="3109" spans="1:15" ht="32" x14ac:dyDescent="0.2">
      <c r="A3109" s="7" t="str">
        <f>HYPERLINK("https://otsuka-europe-crm.veevavault.com/ui/#object/account__v/V4TZ0000062PB1R", "Adebayo Emmanuel")</f>
        <v>Adebayo Emmanuel</v>
      </c>
      <c r="B3109" s="7" t="str">
        <f t="shared" si="128"/>
        <v>GB</v>
      </c>
      <c r="C3109" s="8" t="s">
        <v>41</v>
      </c>
      <c r="D3109" s="9" t="str">
        <f t="shared" si="129"/>
        <v>LDM DR P2P Invite 12-Nov-26 v2 [digital]</v>
      </c>
      <c r="E3109" s="10" t="str">
        <f>HYPERLINK("https://otsuka-europe-crm.veevavault.com/ui/#object/sent_email__v/VBL000000035040", "SE-001443176")</f>
        <v>SE-001443176</v>
      </c>
      <c r="F3109" s="11"/>
      <c r="G3109" s="12">
        <v>0</v>
      </c>
      <c r="H3109" s="12">
        <v>0</v>
      </c>
      <c r="I3109" s="12">
        <v>0</v>
      </c>
      <c r="J3109" s="11"/>
      <c r="K3109" s="12">
        <v>0</v>
      </c>
      <c r="L3109" s="10" t="str">
        <f t="shared" si="130"/>
        <v>LDM DR P2P Invite 12-Nov-26 v2 [digital]</v>
      </c>
      <c r="M3109" s="10" t="str">
        <f t="shared" si="131"/>
        <v>ldimambro@crm.otsuka-europe.com</v>
      </c>
      <c r="N3109" s="13">
        <v>46213.474143518521</v>
      </c>
      <c r="O3109" s="14" t="str">
        <f>HYPERLINK("https://otsuka-europe-crm.veevavault.com/ui/#object/email_activity__v/V8C000000048077", "EN-002104332")</f>
        <v>EN-002104332</v>
      </c>
    </row>
    <row r="3110" spans="1:15" ht="32" x14ac:dyDescent="0.2">
      <c r="A3110" s="7" t="str">
        <f>HYPERLINK("https://otsuka-europe-crm.veevavault.com/ui/#object/account__v/V4TZ04ASG9ZDCTW", "Chizoba Ikechukwu")</f>
        <v>Chizoba Ikechukwu</v>
      </c>
      <c r="B3110" s="7" t="str">
        <f t="shared" si="128"/>
        <v>GB</v>
      </c>
      <c r="C3110" s="8" t="s">
        <v>41</v>
      </c>
      <c r="D3110" s="9" t="str">
        <f t="shared" si="129"/>
        <v>LDM DR P2P Invite 12-Nov-26 v2 [digital]</v>
      </c>
      <c r="E3110" s="10" t="str">
        <f>HYPERLINK("https://otsuka-europe-crm.veevavault.com/ui/#object/sent_email__v/VBL000000035041", "SE-001443177")</f>
        <v>SE-001443177</v>
      </c>
      <c r="F3110" s="11"/>
      <c r="G3110" s="12">
        <v>0</v>
      </c>
      <c r="H3110" s="12">
        <v>0</v>
      </c>
      <c r="I3110" s="12">
        <v>0</v>
      </c>
      <c r="J3110" s="11"/>
      <c r="K3110" s="12">
        <v>0</v>
      </c>
      <c r="L3110" s="10" t="str">
        <f t="shared" si="130"/>
        <v>LDM DR P2P Invite 12-Nov-26 v2 [digital]</v>
      </c>
      <c r="M3110" s="10" t="str">
        <f t="shared" si="131"/>
        <v>ldimambro@crm.otsuka-europe.com</v>
      </c>
      <c r="N3110" s="13">
        <v>46213.474143518521</v>
      </c>
      <c r="O3110" s="14" t="str">
        <f>HYPERLINK("https://otsuka-europe-crm.veevavault.com/ui/#object/email_activity__v/V8C000000048071", "EN-002104326")</f>
        <v>EN-002104326</v>
      </c>
    </row>
    <row r="3111" spans="1:15" ht="32" x14ac:dyDescent="0.2">
      <c r="A3111" s="7" t="str">
        <f>HYPERLINK("https://otsuka-europe-crm.veevavault.com/ui/#object/account__v/V4TZ06G6OB4F4I1", "Andrew Smith")</f>
        <v>Andrew Smith</v>
      </c>
      <c r="B3111" s="7" t="str">
        <f t="shared" si="128"/>
        <v>GB</v>
      </c>
      <c r="C3111" s="8" t="s">
        <v>41</v>
      </c>
      <c r="D3111" s="9" t="str">
        <f t="shared" si="129"/>
        <v>LDM DR P2P Invite 12-Nov-26 v2 [digital]</v>
      </c>
      <c r="E3111" s="10" t="str">
        <f>HYPERLINK("https://otsuka-europe-crm.veevavault.com/ui/#object/sent_email__v/VBL000000035042", "SE-001443178")</f>
        <v>SE-001443178</v>
      </c>
      <c r="F3111" s="11"/>
      <c r="G3111" s="12">
        <v>0</v>
      </c>
      <c r="H3111" s="12">
        <v>0</v>
      </c>
      <c r="I3111" s="12">
        <v>0</v>
      </c>
      <c r="J3111" s="11"/>
      <c r="K3111" s="12">
        <v>0</v>
      </c>
      <c r="L3111" s="10" t="str">
        <f t="shared" si="130"/>
        <v>LDM DR P2P Invite 12-Nov-26 v2 [digital]</v>
      </c>
      <c r="M3111" s="10" t="str">
        <f t="shared" si="131"/>
        <v>ldimambro@crm.otsuka-europe.com</v>
      </c>
      <c r="N3111" s="13">
        <v>46213.474143518521</v>
      </c>
      <c r="O3111" s="14" t="str">
        <f>HYPERLINK("https://otsuka-europe-crm.veevavault.com/ui/#object/email_activity__v/V8C000000048078", "EN-002104333")</f>
        <v>EN-002104333</v>
      </c>
    </row>
    <row r="3112" spans="1:15" ht="16" x14ac:dyDescent="0.2">
      <c r="A3112" s="18" t="str">
        <f>HYPERLINK("https://otsuka-europe-crm.veevavault.com/ui/#object/account__v/V4TZ04ASG9ZDCTX", "Chinonso Okafor")</f>
        <v>Chinonso Okafor</v>
      </c>
      <c r="B3112" s="18" t="str">
        <f t="shared" si="128"/>
        <v>GB</v>
      </c>
      <c r="C3112" s="20" t="s">
        <v>41</v>
      </c>
      <c r="D3112" s="21" t="str">
        <f t="shared" si="129"/>
        <v>LDM DR P2P Invite 12-Nov-26 v2 [digital]</v>
      </c>
      <c r="E3112" s="22" t="str">
        <f>HYPERLINK("https://otsuka-europe-crm.veevavault.com/ui/#object/sent_email__v/VBL000000035043", "SE-001443179")</f>
        <v>SE-001443179</v>
      </c>
      <c r="F3112" s="25">
        <v>46217.580428240741</v>
      </c>
      <c r="G3112" s="24">
        <v>1</v>
      </c>
      <c r="H3112" s="24">
        <v>1</v>
      </c>
      <c r="I3112" s="24">
        <v>0</v>
      </c>
      <c r="J3112" s="23"/>
      <c r="K3112" s="24">
        <v>0</v>
      </c>
      <c r="L3112" s="22" t="str">
        <f t="shared" si="130"/>
        <v>LDM DR P2P Invite 12-Nov-26 v2 [digital]</v>
      </c>
      <c r="M3112" s="22" t="str">
        <f t="shared" si="131"/>
        <v>ldimambro@crm.otsuka-europe.com</v>
      </c>
      <c r="N3112" s="25">
        <v>46213.474143518521</v>
      </c>
      <c r="O3112" s="14" t="str">
        <f>HYPERLINK("https://otsuka-europe-crm.veevavault.com/ui/#object/email_activity__v/V8C000000048079", "EN-002104334")</f>
        <v>EN-002104334</v>
      </c>
    </row>
    <row r="3113" spans="1:15" ht="16" x14ac:dyDescent="0.2">
      <c r="A3113" s="19"/>
      <c r="B3113" s="19"/>
      <c r="C3113" s="19"/>
      <c r="D3113" s="19"/>
      <c r="E3113" s="19"/>
      <c r="F3113" s="19"/>
      <c r="G3113" s="19"/>
      <c r="H3113" s="19"/>
      <c r="I3113" s="19"/>
      <c r="J3113" s="19"/>
      <c r="K3113" s="19"/>
      <c r="L3113" s="19"/>
      <c r="M3113" s="19"/>
      <c r="N3113" s="19"/>
      <c r="O3113" s="14" t="str">
        <f>HYPERLINK("https://otsuka-europe-crm.veevavault.com/ui/#object/email_activity__v/V8C000000049574", "EN-002105962")</f>
        <v>EN-002105962</v>
      </c>
    </row>
    <row r="3114" spans="1:15" ht="32" x14ac:dyDescent="0.2">
      <c r="A3114" s="7" t="str">
        <f>HYPERLINK("https://otsuka-europe-crm.veevavault.com/ui/#object/account__v/V4TZ0000062PD61", "Andrew Biggs")</f>
        <v>Andrew Biggs</v>
      </c>
      <c r="B3114" s="7" t="str">
        <f>HYPERLINK("https://otsuka-europe-crm.veevavault.com/ui/#object/vcountry__v/VENZ000004SONFK", "GB")</f>
        <v>GB</v>
      </c>
      <c r="C3114" s="8" t="s">
        <v>41</v>
      </c>
      <c r="D3114" s="9" t="str">
        <f>HYPERLINK("https://otsuka-europe-crm.veevavault.com/ui/#object/approved_document__v/V5O00000001V001", "LDM DR P2P Invite 12-Nov-26 v2 [digital]")</f>
        <v>LDM DR P2P Invite 12-Nov-26 v2 [digital]</v>
      </c>
      <c r="E3114" s="10" t="str">
        <f>HYPERLINK("https://otsuka-europe-crm.veevavault.com/ui/#object/sent_email__v/VBL000000035044", "SE-001443180")</f>
        <v>SE-001443180</v>
      </c>
      <c r="F3114" s="11"/>
      <c r="G3114" s="12">
        <v>0</v>
      </c>
      <c r="H3114" s="12">
        <v>0</v>
      </c>
      <c r="I3114" s="12">
        <v>0</v>
      </c>
      <c r="J3114" s="11"/>
      <c r="K3114" s="12">
        <v>0</v>
      </c>
      <c r="L3114" s="10" t="str">
        <f>HYPERLINK("https://otsuka-europe-crm.veevavault.com/ui/#object/approved_document__v/V5O00000001V001", "LDM DR P2P Invite 12-Nov-26 v2 [digital]")</f>
        <v>LDM DR P2P Invite 12-Nov-26 v2 [digital]</v>
      </c>
      <c r="M3114" s="10" t="str">
        <f>HYPERLINK("mailto:ldimambro@crm.otsuka-europe.com", "ldimambro@crm.otsuka-europe.com")</f>
        <v>ldimambro@crm.otsuka-europe.com</v>
      </c>
      <c r="N3114" s="13">
        <v>46213.474143518521</v>
      </c>
      <c r="O3114" s="14" t="str">
        <f>HYPERLINK("https://otsuka-europe-crm.veevavault.com/ui/#object/email_activity__v/V8C000000048074", "EN-002104329")</f>
        <v>EN-002104329</v>
      </c>
    </row>
    <row r="3115" spans="1:15" ht="32" x14ac:dyDescent="0.2">
      <c r="A3115" s="7" t="str">
        <f>HYPERLINK("https://otsuka-europe-crm.veevavault.com/ui/#object/account__v/V4TZ04ASG6LCZOP", "Boulos Tadros")</f>
        <v>Boulos Tadros</v>
      </c>
      <c r="B3115" s="7" t="str">
        <f>HYPERLINK("https://otsuka-europe-crm.veevavault.com/ui/#object/vcountry__v/VENZ000004SONFK", "GB")</f>
        <v>GB</v>
      </c>
      <c r="C3115" s="8" t="s">
        <v>41</v>
      </c>
      <c r="D3115" s="9" t="str">
        <f>HYPERLINK("https://otsuka-europe-crm.veevavault.com/ui/#object/approved_document__v/V5O00000001V001", "LDM DR P2P Invite 12-Nov-26 v2 [digital]")</f>
        <v>LDM DR P2P Invite 12-Nov-26 v2 [digital]</v>
      </c>
      <c r="E3115" s="10" t="str">
        <f>HYPERLINK("https://otsuka-europe-crm.veevavault.com/ui/#object/sent_email__v/VBL000000035045", "SE-001443181")</f>
        <v>SE-001443181</v>
      </c>
      <c r="F3115" s="11"/>
      <c r="G3115" s="12">
        <v>0</v>
      </c>
      <c r="H3115" s="12">
        <v>0</v>
      </c>
      <c r="I3115" s="12">
        <v>0</v>
      </c>
      <c r="J3115" s="11"/>
      <c r="K3115" s="12">
        <v>0</v>
      </c>
      <c r="L3115" s="10" t="str">
        <f>HYPERLINK("https://otsuka-europe-crm.veevavault.com/ui/#object/approved_document__v/V5O00000001V001", "LDM DR P2P Invite 12-Nov-26 v2 [digital]")</f>
        <v>LDM DR P2P Invite 12-Nov-26 v2 [digital]</v>
      </c>
      <c r="M3115" s="10" t="str">
        <f>HYPERLINK("mailto:ldimambro@crm.otsuka-europe.com", "ldimambro@crm.otsuka-europe.com")</f>
        <v>ldimambro@crm.otsuka-europe.com</v>
      </c>
      <c r="N3115" s="13">
        <v>46213.474189814813</v>
      </c>
      <c r="O3115" s="14" t="str">
        <f>HYPERLINK("https://otsuka-europe-crm.veevavault.com/ui/#object/email_activity__v/V8C000000048066", "EN-002104302")</f>
        <v>EN-002104302</v>
      </c>
    </row>
    <row r="3116" spans="1:15" ht="32" x14ac:dyDescent="0.2">
      <c r="A3116" s="7" t="str">
        <f>HYPERLINK("https://otsuka-europe-crm.veevavault.com/ui/#object/account__v/V4TZ04ASG9BER9C", "Chisom Obi")</f>
        <v>Chisom Obi</v>
      </c>
      <c r="B3116" s="7" t="str">
        <f>HYPERLINK("https://otsuka-europe-crm.veevavault.com/ui/#object/vcountry__v/VENZ000004SONFK", "GB")</f>
        <v>GB</v>
      </c>
      <c r="C3116" s="8" t="s">
        <v>41</v>
      </c>
      <c r="D3116" s="9" t="str">
        <f>HYPERLINK("https://otsuka-europe-crm.veevavault.com/ui/#object/approved_document__v/V5O00000001V001", "LDM DR P2P Invite 12-Nov-26 v2 [digital]")</f>
        <v>LDM DR P2P Invite 12-Nov-26 v2 [digital]</v>
      </c>
      <c r="E3116" s="10" t="str">
        <f>HYPERLINK("https://otsuka-europe-crm.veevavault.com/ui/#object/sent_email__v/VBL000000035046", "SE-001443182")</f>
        <v>SE-001443182</v>
      </c>
      <c r="F3116" s="11"/>
      <c r="G3116" s="12">
        <v>0</v>
      </c>
      <c r="H3116" s="12">
        <v>0</v>
      </c>
      <c r="I3116" s="12">
        <v>0</v>
      </c>
      <c r="J3116" s="11"/>
      <c r="K3116" s="12">
        <v>0</v>
      </c>
      <c r="L3116" s="10" t="str">
        <f>HYPERLINK("https://otsuka-europe-crm.veevavault.com/ui/#object/approved_document__v/V5O00000001V001", "LDM DR P2P Invite 12-Nov-26 v2 [digital]")</f>
        <v>LDM DR P2P Invite 12-Nov-26 v2 [digital]</v>
      </c>
      <c r="M3116" s="10" t="str">
        <f>HYPERLINK("mailto:ldimambro@crm.otsuka-europe.com", "ldimambro@crm.otsuka-europe.com")</f>
        <v>ldimambro@crm.otsuka-europe.com</v>
      </c>
      <c r="N3116" s="13">
        <v>46213.474143518521</v>
      </c>
      <c r="O3116" s="14" t="str">
        <f>HYPERLINK("https://otsuka-europe-crm.veevavault.com/ui/#object/email_activity__v/V8C000000048062", "EN-002104298")</f>
        <v>EN-002104298</v>
      </c>
    </row>
    <row r="3117" spans="1:15" ht="16" x14ac:dyDescent="0.2">
      <c r="A3117" s="18" t="str">
        <f>HYPERLINK("https://otsuka-europe-crm.veevavault.com/ui/#object/account__v/V4TZ04ASG8VE59E", "Aritetseoma Ikomi")</f>
        <v>Aritetseoma Ikomi</v>
      </c>
      <c r="B3117" s="18" t="str">
        <f>HYPERLINK("https://otsuka-europe-crm.veevavault.com/ui/#object/vcountry__v/VENZ000004SONFK", "GB")</f>
        <v>GB</v>
      </c>
      <c r="C3117" s="20" t="s">
        <v>41</v>
      </c>
      <c r="D3117" s="21" t="str">
        <f>HYPERLINK("https://otsuka-europe-crm.veevavault.com/ui/#object/approved_document__v/V5O00000001V001", "LDM DR P2P Invite 12-Nov-26 v2 [digital]")</f>
        <v>LDM DR P2P Invite 12-Nov-26 v2 [digital]</v>
      </c>
      <c r="E3117" s="22" t="str">
        <f>HYPERLINK("https://otsuka-europe-crm.veevavault.com/ui/#object/sent_email__v/VBL000000035047", "SE-001443183")</f>
        <v>SE-001443183</v>
      </c>
      <c r="F3117" s="25">
        <v>46216.39167824074</v>
      </c>
      <c r="G3117" s="24">
        <v>1</v>
      </c>
      <c r="H3117" s="24">
        <v>2</v>
      </c>
      <c r="I3117" s="24">
        <v>0</v>
      </c>
      <c r="J3117" s="23"/>
      <c r="K3117" s="24">
        <v>0</v>
      </c>
      <c r="L3117" s="22" t="str">
        <f>HYPERLINK("https://otsuka-europe-crm.veevavault.com/ui/#object/approved_document__v/V5O00000001V001", "LDM DR P2P Invite 12-Nov-26 v2 [digital]")</f>
        <v>LDM DR P2P Invite 12-Nov-26 v2 [digital]</v>
      </c>
      <c r="M3117" s="22" t="str">
        <f>HYPERLINK("mailto:ldimambro@crm.otsuka-europe.com", "ldimambro@crm.otsuka-europe.com")</f>
        <v>ldimambro@crm.otsuka-europe.com</v>
      </c>
      <c r="N3117" s="25">
        <v>46213.474178240744</v>
      </c>
      <c r="O3117" s="14" t="str">
        <f>HYPERLINK("https://otsuka-europe-crm.veevavault.com/ui/#object/email_activity__v/V8C000000047078", "EN-002104306")</f>
        <v>EN-002104306</v>
      </c>
    </row>
    <row r="3118" spans="1:15" ht="16" x14ac:dyDescent="0.2">
      <c r="A3118" s="26"/>
      <c r="B3118" s="26"/>
      <c r="C3118" s="26"/>
      <c r="D3118" s="26"/>
      <c r="E3118" s="26"/>
      <c r="F3118" s="26"/>
      <c r="G3118" s="26"/>
      <c r="H3118" s="26"/>
      <c r="I3118" s="26"/>
      <c r="J3118" s="26"/>
      <c r="K3118" s="26"/>
      <c r="L3118" s="26"/>
      <c r="M3118" s="26"/>
      <c r="N3118" s="26"/>
      <c r="O3118" s="14" t="str">
        <f>HYPERLINK("https://otsuka-europe-crm.veevavault.com/ui/#object/email_activity__v/V8C00000004A081", "EN-002105049")</f>
        <v>EN-002105049</v>
      </c>
    </row>
    <row r="3119" spans="1:15" ht="16" x14ac:dyDescent="0.2">
      <c r="A3119" s="19"/>
      <c r="B3119" s="19"/>
      <c r="C3119" s="19"/>
      <c r="D3119" s="19"/>
      <c r="E3119" s="19"/>
      <c r="F3119" s="19"/>
      <c r="G3119" s="19"/>
      <c r="H3119" s="19"/>
      <c r="I3119" s="19"/>
      <c r="J3119" s="19"/>
      <c r="K3119" s="19"/>
      <c r="L3119" s="19"/>
      <c r="M3119" s="19"/>
      <c r="N3119" s="19"/>
      <c r="O3119" s="14" t="str">
        <f>HYPERLINK("https://otsuka-europe-crm.veevavault.com/ui/#object/email_activity__v/V8C00000004A082", "EN-002105050")</f>
        <v>EN-002105050</v>
      </c>
    </row>
    <row r="3120" spans="1:15" ht="32" x14ac:dyDescent="0.2">
      <c r="A3120" s="7" t="str">
        <f>HYPERLINK("https://otsuka-europe-crm.veevavault.com/ui/#object/account__v/V4TZ0000062PH5C", "Adewunni Ogunseye")</f>
        <v>Adewunni Ogunseye</v>
      </c>
      <c r="B3120" s="7" t="str">
        <f t="shared" ref="B3120:B3127" si="132">HYPERLINK("https://otsuka-europe-crm.veevavault.com/ui/#object/vcountry__v/VENZ000004SONFK", "GB")</f>
        <v>GB</v>
      </c>
      <c r="C3120" s="8" t="s">
        <v>41</v>
      </c>
      <c r="D3120" s="9" t="str">
        <f t="shared" ref="D3120:D3127" si="133">HYPERLINK("https://otsuka-europe-crm.veevavault.com/ui/#object/approved_document__v/V5O00000001V001", "LDM DR P2P Invite 12-Nov-26 v2 [digital]")</f>
        <v>LDM DR P2P Invite 12-Nov-26 v2 [digital]</v>
      </c>
      <c r="E3120" s="10" t="str">
        <f>HYPERLINK("https://otsuka-europe-crm.veevavault.com/ui/#object/sent_email__v/VBL000000035048", "SE-001443184")</f>
        <v>SE-001443184</v>
      </c>
      <c r="F3120" s="11"/>
      <c r="G3120" s="12">
        <v>0</v>
      </c>
      <c r="H3120" s="12">
        <v>0</v>
      </c>
      <c r="I3120" s="12">
        <v>0</v>
      </c>
      <c r="J3120" s="11"/>
      <c r="K3120" s="12">
        <v>0</v>
      </c>
      <c r="L3120" s="10" t="str">
        <f t="shared" ref="L3120:L3127" si="134">HYPERLINK("https://otsuka-europe-crm.veevavault.com/ui/#object/approved_document__v/V5O00000001V001", "LDM DR P2P Invite 12-Nov-26 v2 [digital]")</f>
        <v>LDM DR P2P Invite 12-Nov-26 v2 [digital]</v>
      </c>
      <c r="M3120" s="10" t="str">
        <f t="shared" ref="M3120:M3127" si="135">HYPERLINK("mailto:ldimambro@crm.otsuka-europe.com", "ldimambro@crm.otsuka-europe.com")</f>
        <v>ldimambro@crm.otsuka-europe.com</v>
      </c>
      <c r="N3120" s="13">
        <v>46213.474189814813</v>
      </c>
      <c r="O3120" s="14" t="str">
        <f>HYPERLINK("https://otsuka-europe-crm.veevavault.com/ui/#object/email_activity__v/V8C000000047088", "EN-002104316")</f>
        <v>EN-002104316</v>
      </c>
    </row>
    <row r="3121" spans="1:15" ht="32" x14ac:dyDescent="0.2">
      <c r="A3121" s="7" t="str">
        <f>HYPERLINK("https://otsuka-europe-crm.veevavault.com/ui/#object/account__v/V4TZ06G6OBU97M8", "Benson Benjamin")</f>
        <v>Benson Benjamin</v>
      </c>
      <c r="B3121" s="7" t="str">
        <f t="shared" si="132"/>
        <v>GB</v>
      </c>
      <c r="C3121" s="8" t="s">
        <v>41</v>
      </c>
      <c r="D3121" s="9" t="str">
        <f t="shared" si="133"/>
        <v>LDM DR P2P Invite 12-Nov-26 v2 [digital]</v>
      </c>
      <c r="E3121" s="10" t="str">
        <f>HYPERLINK("https://otsuka-europe-crm.veevavault.com/ui/#object/sent_email__v/VBL000000035049", "SE-001443185")</f>
        <v>SE-001443185</v>
      </c>
      <c r="F3121" s="11"/>
      <c r="G3121" s="12">
        <v>0</v>
      </c>
      <c r="H3121" s="12">
        <v>0</v>
      </c>
      <c r="I3121" s="12">
        <v>0</v>
      </c>
      <c r="J3121" s="11"/>
      <c r="K3121" s="12">
        <v>0</v>
      </c>
      <c r="L3121" s="10" t="str">
        <f t="shared" si="134"/>
        <v>LDM DR P2P Invite 12-Nov-26 v2 [digital]</v>
      </c>
      <c r="M3121" s="10" t="str">
        <f t="shared" si="135"/>
        <v>ldimambro@crm.otsuka-europe.com</v>
      </c>
      <c r="N3121" s="13">
        <v>46213.474062499998</v>
      </c>
      <c r="O3121" s="14" t="str">
        <f>HYPERLINK("https://otsuka-europe-crm.veevavault.com/ui/#object/email_activity__v/V8C000000047092", "EN-002104320")</f>
        <v>EN-002104320</v>
      </c>
    </row>
    <row r="3122" spans="1:15" ht="32" x14ac:dyDescent="0.2">
      <c r="A3122" s="7" t="str">
        <f>HYPERLINK("https://otsuka-europe-crm.veevavault.com/ui/#object/account__v/V4TZ025E87BKZLE", "Ansar Miah")</f>
        <v>Ansar Miah</v>
      </c>
      <c r="B3122" s="7" t="str">
        <f t="shared" si="132"/>
        <v>GB</v>
      </c>
      <c r="C3122" s="8" t="s">
        <v>41</v>
      </c>
      <c r="D3122" s="9" t="str">
        <f t="shared" si="133"/>
        <v>LDM DR P2P Invite 12-Nov-26 v2 [digital]</v>
      </c>
      <c r="E3122" s="10" t="str">
        <f>HYPERLINK("https://otsuka-europe-crm.veevavault.com/ui/#object/sent_email__v/VBL000000035050", "SE-001443186")</f>
        <v>SE-001443186</v>
      </c>
      <c r="F3122" s="11"/>
      <c r="G3122" s="12">
        <v>0</v>
      </c>
      <c r="H3122" s="12">
        <v>0</v>
      </c>
      <c r="I3122" s="12">
        <v>0</v>
      </c>
      <c r="J3122" s="11"/>
      <c r="K3122" s="12">
        <v>0</v>
      </c>
      <c r="L3122" s="10" t="str">
        <f t="shared" si="134"/>
        <v>LDM DR P2P Invite 12-Nov-26 v2 [digital]</v>
      </c>
      <c r="M3122" s="10" t="str">
        <f t="shared" si="135"/>
        <v>ldimambro@crm.otsuka-europe.com</v>
      </c>
      <c r="N3122" s="13">
        <v>46213.474178240744</v>
      </c>
      <c r="O3122" s="14" t="str">
        <f>HYPERLINK("https://otsuka-europe-crm.veevavault.com/ui/#object/email_activity__v/V8C000000048064", "EN-002104300")</f>
        <v>EN-002104300</v>
      </c>
    </row>
    <row r="3123" spans="1:15" ht="32" x14ac:dyDescent="0.2">
      <c r="A3123" s="7" t="str">
        <f>HYPERLINK("https://otsuka-europe-crm.veevavault.com/ui/#object/account__v/V4TZ0000062PAXA", "Andrea Pathak")</f>
        <v>Andrea Pathak</v>
      </c>
      <c r="B3123" s="7" t="str">
        <f t="shared" si="132"/>
        <v>GB</v>
      </c>
      <c r="C3123" s="8" t="s">
        <v>41</v>
      </c>
      <c r="D3123" s="9" t="str">
        <f t="shared" si="133"/>
        <v>LDM DR P2P Invite 12-Nov-26 v2 [digital]</v>
      </c>
      <c r="E3123" s="10" t="str">
        <f>HYPERLINK("https://otsuka-europe-crm.veevavault.com/ui/#object/sent_email__v/VBL000000035051", "SE-001443187")</f>
        <v>SE-001443187</v>
      </c>
      <c r="F3123" s="11"/>
      <c r="G3123" s="12">
        <v>0</v>
      </c>
      <c r="H3123" s="12">
        <v>0</v>
      </c>
      <c r="I3123" s="12">
        <v>0</v>
      </c>
      <c r="J3123" s="11"/>
      <c r="K3123" s="12">
        <v>0</v>
      </c>
      <c r="L3123" s="10" t="str">
        <f t="shared" si="134"/>
        <v>LDM DR P2P Invite 12-Nov-26 v2 [digital]</v>
      </c>
      <c r="M3123" s="10" t="str">
        <f t="shared" si="135"/>
        <v>ldimambro@crm.otsuka-europe.com</v>
      </c>
      <c r="N3123" s="13">
        <v>46213.474178240744</v>
      </c>
      <c r="O3123" s="14" t="str">
        <f>HYPERLINK("https://otsuka-europe-crm.veevavault.com/ui/#object/email_activity__v/V8C000000047077", "EN-002104305")</f>
        <v>EN-002104305</v>
      </c>
    </row>
    <row r="3124" spans="1:15" ht="32" x14ac:dyDescent="0.2">
      <c r="A3124" s="7" t="str">
        <f>HYPERLINK("https://otsuka-europe-crm.veevavault.com/ui/#object/account__v/V4TZ04ASGCIAX7U", "Bhavin Karania")</f>
        <v>Bhavin Karania</v>
      </c>
      <c r="B3124" s="7" t="str">
        <f t="shared" si="132"/>
        <v>GB</v>
      </c>
      <c r="C3124" s="8" t="s">
        <v>41</v>
      </c>
      <c r="D3124" s="9" t="str">
        <f t="shared" si="133"/>
        <v>LDM DR P2P Invite 12-Nov-26 v2 [digital]</v>
      </c>
      <c r="E3124" s="10" t="str">
        <f>HYPERLINK("https://otsuka-europe-crm.veevavault.com/ui/#object/sent_email__v/VBL000000035052", "SE-001443188")</f>
        <v>SE-001443188</v>
      </c>
      <c r="F3124" s="11"/>
      <c r="G3124" s="12">
        <v>0</v>
      </c>
      <c r="H3124" s="12">
        <v>0</v>
      </c>
      <c r="I3124" s="12">
        <v>0</v>
      </c>
      <c r="J3124" s="11"/>
      <c r="K3124" s="12">
        <v>0</v>
      </c>
      <c r="L3124" s="10" t="str">
        <f t="shared" si="134"/>
        <v>LDM DR P2P Invite 12-Nov-26 v2 [digital]</v>
      </c>
      <c r="M3124" s="10" t="str">
        <f t="shared" si="135"/>
        <v>ldimambro@crm.otsuka-europe.com</v>
      </c>
      <c r="N3124" s="13">
        <v>46213.474178240744</v>
      </c>
      <c r="O3124" s="14" t="str">
        <f>HYPERLINK("https://otsuka-europe-crm.veevavault.com/ui/#object/email_activity__v/V8C000000047084", "EN-002104312")</f>
        <v>EN-002104312</v>
      </c>
    </row>
    <row r="3125" spans="1:15" ht="32" x14ac:dyDescent="0.2">
      <c r="A3125" s="7" t="str">
        <f>HYPERLINK("https://otsuka-europe-crm.veevavault.com/ui/#object/account__v/V4TZ06G6ODNL9CI", "Jennifer Tanner")</f>
        <v>Jennifer Tanner</v>
      </c>
      <c r="B3125" s="7" t="str">
        <f t="shared" si="132"/>
        <v>GB</v>
      </c>
      <c r="C3125" s="8" t="s">
        <v>41</v>
      </c>
      <c r="D3125" s="9" t="str">
        <f t="shared" si="133"/>
        <v>LDM DR P2P Invite 12-Nov-26 v2 [digital]</v>
      </c>
      <c r="E3125" s="10" t="str">
        <f>HYPERLINK("https://otsuka-europe-crm.veevavault.com/ui/#object/sent_email__v/VBL000000036026", "SE-001443189")</f>
        <v>SE-001443189</v>
      </c>
      <c r="F3125" s="11"/>
      <c r="G3125" s="12">
        <v>0</v>
      </c>
      <c r="H3125" s="12">
        <v>0</v>
      </c>
      <c r="I3125" s="12">
        <v>0</v>
      </c>
      <c r="J3125" s="11"/>
      <c r="K3125" s="12">
        <v>0</v>
      </c>
      <c r="L3125" s="10" t="str">
        <f t="shared" si="134"/>
        <v>LDM DR P2P Invite 12-Nov-26 v2 [digital]</v>
      </c>
      <c r="M3125" s="10" t="str">
        <f t="shared" si="135"/>
        <v>ldimambro@crm.otsuka-europe.com</v>
      </c>
      <c r="N3125" s="13">
        <v>46213.480231481481</v>
      </c>
      <c r="O3125" s="14" t="str">
        <f>HYPERLINK("https://otsuka-europe-crm.veevavault.com/ui/#object/email_activity__v/V8C000000047106", "EN-002104360")</f>
        <v>EN-002104360</v>
      </c>
    </row>
    <row r="3126" spans="1:15" ht="32" x14ac:dyDescent="0.2">
      <c r="A3126" s="7" t="str">
        <f>HYPERLINK("https://otsuka-europe-crm.veevavault.com/ui/#object/account__v/V4TZ0000062PI0K", "Karwan Saddik")</f>
        <v>Karwan Saddik</v>
      </c>
      <c r="B3126" s="7" t="str">
        <f t="shared" si="132"/>
        <v>GB</v>
      </c>
      <c r="C3126" s="8" t="s">
        <v>41</v>
      </c>
      <c r="D3126" s="9" t="str">
        <f t="shared" si="133"/>
        <v>LDM DR P2P Invite 12-Nov-26 v2 [digital]</v>
      </c>
      <c r="E3126" s="10" t="str">
        <f>HYPERLINK("https://otsuka-europe-crm.veevavault.com/ui/#object/sent_email__v/VBL000000036027", "SE-001443190")</f>
        <v>SE-001443190</v>
      </c>
      <c r="F3126" s="11"/>
      <c r="G3126" s="12">
        <v>0</v>
      </c>
      <c r="H3126" s="12">
        <v>0</v>
      </c>
      <c r="I3126" s="12">
        <v>0</v>
      </c>
      <c r="J3126" s="11"/>
      <c r="K3126" s="12">
        <v>0</v>
      </c>
      <c r="L3126" s="10" t="str">
        <f t="shared" si="134"/>
        <v>LDM DR P2P Invite 12-Nov-26 v2 [digital]</v>
      </c>
      <c r="M3126" s="10" t="str">
        <f t="shared" si="135"/>
        <v>ldimambro@crm.otsuka-europe.com</v>
      </c>
      <c r="N3126" s="13">
        <v>46213.480231481481</v>
      </c>
      <c r="O3126" s="14" t="str">
        <f>HYPERLINK("https://otsuka-europe-crm.veevavault.com/ui/#object/email_activity__v/V8C000000047107", "EN-002104361")</f>
        <v>EN-002104361</v>
      </c>
    </row>
    <row r="3127" spans="1:15" ht="16" x14ac:dyDescent="0.2">
      <c r="A3127" s="18" t="str">
        <f>HYPERLINK("https://otsuka-europe-crm.veevavault.com/ui/#object/account__v/V4TZ06G6O8A3YNZ", "Jasminka Cindori")</f>
        <v>Jasminka Cindori</v>
      </c>
      <c r="B3127" s="18" t="str">
        <f t="shared" si="132"/>
        <v>GB</v>
      </c>
      <c r="C3127" s="20" t="s">
        <v>41</v>
      </c>
      <c r="D3127" s="21" t="str">
        <f t="shared" si="133"/>
        <v>LDM DR P2P Invite 12-Nov-26 v2 [digital]</v>
      </c>
      <c r="E3127" s="22" t="str">
        <f>HYPERLINK("https://otsuka-europe-crm.veevavault.com/ui/#object/sent_email__v/VBL000000036028", "SE-001443191")</f>
        <v>SE-001443191</v>
      </c>
      <c r="F3127" s="23"/>
      <c r="G3127" s="24">
        <v>0</v>
      </c>
      <c r="H3127" s="24">
        <v>0</v>
      </c>
      <c r="I3127" s="24">
        <v>0</v>
      </c>
      <c r="J3127" s="23"/>
      <c r="K3127" s="24">
        <v>0</v>
      </c>
      <c r="L3127" s="22" t="str">
        <f t="shared" si="134"/>
        <v>LDM DR P2P Invite 12-Nov-26 v2 [digital]</v>
      </c>
      <c r="M3127" s="22" t="str">
        <f t="shared" si="135"/>
        <v>ldimambro@crm.otsuka-europe.com</v>
      </c>
      <c r="N3127" s="25">
        <v>46213.480231481481</v>
      </c>
      <c r="O3127" s="14" t="str">
        <f>HYPERLINK("https://otsuka-europe-crm.veevavault.com/ui/#object/email_activity__v/V8C000000047115", "EN-002104372")</f>
        <v>EN-002104372</v>
      </c>
    </row>
    <row r="3128" spans="1:15" ht="16" x14ac:dyDescent="0.2">
      <c r="A3128" s="19"/>
      <c r="B3128" s="19"/>
      <c r="C3128" s="19"/>
      <c r="D3128" s="19"/>
      <c r="E3128" s="19"/>
      <c r="F3128" s="19"/>
      <c r="G3128" s="19"/>
      <c r="H3128" s="19"/>
      <c r="I3128" s="19"/>
      <c r="J3128" s="19"/>
      <c r="K3128" s="19"/>
      <c r="L3128" s="19"/>
      <c r="M3128" s="19"/>
      <c r="N3128" s="19"/>
      <c r="O3128" s="14" t="str">
        <f>HYPERLINK("https://otsuka-europe-crm.veevavault.com/ui/#object/email_activity__v/V8C000000047375", "EN-002104827")</f>
        <v>EN-002104827</v>
      </c>
    </row>
    <row r="3129" spans="1:15" ht="32" x14ac:dyDescent="0.2">
      <c r="A3129" s="7" t="str">
        <f>HYPERLINK("https://otsuka-europe-crm.veevavault.com/ui/#object/account__v/V4TZ0000062PE4L", "Harsha Gopisetty")</f>
        <v>Harsha Gopisetty</v>
      </c>
      <c r="B3129" s="7" t="str">
        <f>HYPERLINK("https://otsuka-europe-crm.veevavault.com/ui/#object/vcountry__v/VENZ000004SONFK", "GB")</f>
        <v>GB</v>
      </c>
      <c r="C3129" s="8" t="s">
        <v>41</v>
      </c>
      <c r="D3129" s="9" t="str">
        <f>HYPERLINK("https://otsuka-europe-crm.veevavault.com/ui/#object/approved_document__v/V5O00000001V001", "LDM DR P2P Invite 12-Nov-26 v2 [digital]")</f>
        <v>LDM DR P2P Invite 12-Nov-26 v2 [digital]</v>
      </c>
      <c r="E3129" s="10" t="str">
        <f>HYPERLINK("https://otsuka-europe-crm.veevavault.com/ui/#object/sent_email__v/VBL000000036029", "SE-001443192")</f>
        <v>SE-001443192</v>
      </c>
      <c r="F3129" s="11"/>
      <c r="G3129" s="12">
        <v>0</v>
      </c>
      <c r="H3129" s="12">
        <v>0</v>
      </c>
      <c r="I3129" s="12">
        <v>0</v>
      </c>
      <c r="J3129" s="11"/>
      <c r="K3129" s="12">
        <v>0</v>
      </c>
      <c r="L3129" s="10" t="str">
        <f>HYPERLINK("https://otsuka-europe-crm.veevavault.com/ui/#object/approved_document__v/V5O00000001V001", "LDM DR P2P Invite 12-Nov-26 v2 [digital]")</f>
        <v>LDM DR P2P Invite 12-Nov-26 v2 [digital]</v>
      </c>
      <c r="M3129" s="10" t="str">
        <f>HYPERLINK("mailto:ldimambro@crm.otsuka-europe.com", "ldimambro@crm.otsuka-europe.com")</f>
        <v>ldimambro@crm.otsuka-europe.com</v>
      </c>
      <c r="N3129" s="13">
        <v>46213.480231481481</v>
      </c>
      <c r="O3129" s="14" t="str">
        <f>HYPERLINK("https://otsuka-europe-crm.veevavault.com/ui/#object/email_activity__v/V8C000000047124", "EN-002104381")</f>
        <v>EN-002104381</v>
      </c>
    </row>
    <row r="3130" spans="1:15" ht="16" x14ac:dyDescent="0.2">
      <c r="A3130" s="18" t="str">
        <f>HYPERLINK("https://otsuka-europe-crm.veevavault.com/ui/#object/account__v/V4TZ0000062PGYM", "Gaurish Naik Gaunekar")</f>
        <v>Gaurish Naik Gaunekar</v>
      </c>
      <c r="B3130" s="18" t="str">
        <f>HYPERLINK("https://otsuka-europe-crm.veevavault.com/ui/#object/vcountry__v/VENZ000004SONFK", "GB")</f>
        <v>GB</v>
      </c>
      <c r="C3130" s="20" t="s">
        <v>41</v>
      </c>
      <c r="D3130" s="21" t="str">
        <f>HYPERLINK("https://otsuka-europe-crm.veevavault.com/ui/#object/approved_document__v/V5O00000001V001", "LDM DR P2P Invite 12-Nov-26 v2 [digital]")</f>
        <v>LDM DR P2P Invite 12-Nov-26 v2 [digital]</v>
      </c>
      <c r="E3130" s="22" t="str">
        <f>HYPERLINK("https://otsuka-europe-crm.veevavault.com/ui/#object/sent_email__v/VBL000000036030", "SE-001443193")</f>
        <v>SE-001443193</v>
      </c>
      <c r="F3130" s="25">
        <v>46224.565428240741</v>
      </c>
      <c r="G3130" s="24">
        <v>1</v>
      </c>
      <c r="H3130" s="24">
        <v>43</v>
      </c>
      <c r="I3130" s="24">
        <v>0</v>
      </c>
      <c r="J3130" s="23"/>
      <c r="K3130" s="24">
        <v>0</v>
      </c>
      <c r="L3130" s="22" t="str">
        <f>HYPERLINK("https://otsuka-europe-crm.veevavault.com/ui/#object/approved_document__v/V5O00000001V001", "LDM DR P2P Invite 12-Nov-26 v2 [digital]")</f>
        <v>LDM DR P2P Invite 12-Nov-26 v2 [digital]</v>
      </c>
      <c r="M3130" s="22" t="str">
        <f>HYPERLINK("mailto:ldimambro@crm.otsuka-europe.com", "ldimambro@crm.otsuka-europe.com")</f>
        <v>ldimambro@crm.otsuka-europe.com</v>
      </c>
      <c r="N3130" s="25">
        <v>46213.480231481481</v>
      </c>
      <c r="O3130" s="14" t="str">
        <f>HYPERLINK("https://otsuka-europe-crm.veevavault.com/ui/#object/email_activity__v/V8C000000047125", "EN-002104382")</f>
        <v>EN-002104382</v>
      </c>
    </row>
    <row r="3131" spans="1:15" ht="16" x14ac:dyDescent="0.2">
      <c r="A3131" s="26"/>
      <c r="B3131" s="26"/>
      <c r="C3131" s="26"/>
      <c r="D3131" s="26"/>
      <c r="E3131" s="26"/>
      <c r="F3131" s="26"/>
      <c r="G3131" s="26"/>
      <c r="H3131" s="26"/>
      <c r="I3131" s="26"/>
      <c r="J3131" s="26"/>
      <c r="K3131" s="26"/>
      <c r="L3131" s="26"/>
      <c r="M3131" s="26"/>
      <c r="N3131" s="26"/>
      <c r="O3131" s="14" t="str">
        <f>HYPERLINK("https://otsuka-europe-crm.veevavault.com/ui/#object/email_activity__v/V8C000000047359", "EN-002104795")</f>
        <v>EN-002104795</v>
      </c>
    </row>
    <row r="3132" spans="1:15" ht="16" x14ac:dyDescent="0.2">
      <c r="A3132" s="26"/>
      <c r="B3132" s="26"/>
      <c r="C3132" s="26"/>
      <c r="D3132" s="26"/>
      <c r="E3132" s="26"/>
      <c r="F3132" s="26"/>
      <c r="G3132" s="26"/>
      <c r="H3132" s="26"/>
      <c r="I3132" s="26"/>
      <c r="J3132" s="26"/>
      <c r="K3132" s="26"/>
      <c r="L3132" s="26"/>
      <c r="M3132" s="26"/>
      <c r="N3132" s="26"/>
      <c r="O3132" s="14" t="str">
        <f>HYPERLINK("https://otsuka-europe-crm.veevavault.com/ui/#object/email_activity__v/V8C000000048272", "EN-002104791")</f>
        <v>EN-002104791</v>
      </c>
    </row>
    <row r="3133" spans="1:15" ht="16" x14ac:dyDescent="0.2">
      <c r="A3133" s="26"/>
      <c r="B3133" s="26"/>
      <c r="C3133" s="26"/>
      <c r="D3133" s="26"/>
      <c r="E3133" s="26"/>
      <c r="F3133" s="26"/>
      <c r="G3133" s="26"/>
      <c r="H3133" s="26"/>
      <c r="I3133" s="26"/>
      <c r="J3133" s="26"/>
      <c r="K3133" s="26"/>
      <c r="L3133" s="26"/>
      <c r="M3133" s="26"/>
      <c r="N3133" s="26"/>
      <c r="O3133" s="14" t="str">
        <f>HYPERLINK("https://otsuka-europe-crm.veevavault.com/ui/#object/email_activity__v/V8C000000048273", "EN-002104792")</f>
        <v>EN-002104792</v>
      </c>
    </row>
    <row r="3134" spans="1:15" ht="16" x14ac:dyDescent="0.2">
      <c r="A3134" s="26"/>
      <c r="B3134" s="26"/>
      <c r="C3134" s="26"/>
      <c r="D3134" s="26"/>
      <c r="E3134" s="26"/>
      <c r="F3134" s="26"/>
      <c r="G3134" s="26"/>
      <c r="H3134" s="26"/>
      <c r="I3134" s="26"/>
      <c r="J3134" s="26"/>
      <c r="K3134" s="26"/>
      <c r="L3134" s="26"/>
      <c r="M3134" s="26"/>
      <c r="N3134" s="26"/>
      <c r="O3134" s="14" t="str">
        <f>HYPERLINK("https://otsuka-europe-crm.veevavault.com/ui/#object/email_activity__v/V8C000000049506", "EN-002105797")</f>
        <v>EN-002105797</v>
      </c>
    </row>
    <row r="3135" spans="1:15" ht="16" x14ac:dyDescent="0.2">
      <c r="A3135" s="26"/>
      <c r="B3135" s="26"/>
      <c r="C3135" s="26"/>
      <c r="D3135" s="26"/>
      <c r="E3135" s="26"/>
      <c r="F3135" s="26"/>
      <c r="G3135" s="26"/>
      <c r="H3135" s="26"/>
      <c r="I3135" s="26"/>
      <c r="J3135" s="26"/>
      <c r="K3135" s="26"/>
      <c r="L3135" s="26"/>
      <c r="M3135" s="26"/>
      <c r="N3135" s="26"/>
      <c r="O3135" s="14" t="str">
        <f>HYPERLINK("https://otsuka-europe-crm.veevavault.com/ui/#object/email_activity__v/V8C000000049507", "EN-002105798")</f>
        <v>EN-002105798</v>
      </c>
    </row>
    <row r="3136" spans="1:15" ht="16" x14ac:dyDescent="0.2">
      <c r="A3136" s="26"/>
      <c r="B3136" s="26"/>
      <c r="C3136" s="26"/>
      <c r="D3136" s="26"/>
      <c r="E3136" s="26"/>
      <c r="F3136" s="26"/>
      <c r="G3136" s="26"/>
      <c r="H3136" s="26"/>
      <c r="I3136" s="26"/>
      <c r="J3136" s="26"/>
      <c r="K3136" s="26"/>
      <c r="L3136" s="26"/>
      <c r="M3136" s="26"/>
      <c r="N3136" s="26"/>
      <c r="O3136" s="14" t="str">
        <f>HYPERLINK("https://otsuka-europe-crm.veevavault.com/ui/#object/email_activity__v/V8C000000049508", "EN-002105799")</f>
        <v>EN-002105799</v>
      </c>
    </row>
    <row r="3137" spans="1:15" ht="16" x14ac:dyDescent="0.2">
      <c r="A3137" s="26"/>
      <c r="B3137" s="26"/>
      <c r="C3137" s="26"/>
      <c r="D3137" s="26"/>
      <c r="E3137" s="26"/>
      <c r="F3137" s="26"/>
      <c r="G3137" s="26"/>
      <c r="H3137" s="26"/>
      <c r="I3137" s="26"/>
      <c r="J3137" s="26"/>
      <c r="K3137" s="26"/>
      <c r="L3137" s="26"/>
      <c r="M3137" s="26"/>
      <c r="N3137" s="26"/>
      <c r="O3137" s="14" t="str">
        <f>HYPERLINK("https://otsuka-europe-crm.veevavault.com/ui/#object/email_activity__v/V8C000000049525", "EN-002105842")</f>
        <v>EN-002105842</v>
      </c>
    </row>
    <row r="3138" spans="1:15" ht="16" x14ac:dyDescent="0.2">
      <c r="A3138" s="26"/>
      <c r="B3138" s="26"/>
      <c r="C3138" s="26"/>
      <c r="D3138" s="26"/>
      <c r="E3138" s="26"/>
      <c r="F3138" s="26"/>
      <c r="G3138" s="26"/>
      <c r="H3138" s="26"/>
      <c r="I3138" s="26"/>
      <c r="J3138" s="26"/>
      <c r="K3138" s="26"/>
      <c r="L3138" s="26"/>
      <c r="M3138" s="26"/>
      <c r="N3138" s="26"/>
      <c r="O3138" s="14" t="str">
        <f>HYPERLINK("https://otsuka-europe-crm.veevavault.com/ui/#object/email_activity__v/V8C000000049526", "EN-002105844")</f>
        <v>EN-002105844</v>
      </c>
    </row>
    <row r="3139" spans="1:15" ht="16" x14ac:dyDescent="0.2">
      <c r="A3139" s="26"/>
      <c r="B3139" s="26"/>
      <c r="C3139" s="26"/>
      <c r="D3139" s="26"/>
      <c r="E3139" s="26"/>
      <c r="F3139" s="26"/>
      <c r="G3139" s="26"/>
      <c r="H3139" s="26"/>
      <c r="I3139" s="26"/>
      <c r="J3139" s="26"/>
      <c r="K3139" s="26"/>
      <c r="L3139" s="26"/>
      <c r="M3139" s="26"/>
      <c r="N3139" s="26"/>
      <c r="O3139" s="14" t="str">
        <f>HYPERLINK("https://otsuka-europe-crm.veevavault.com/ui/#object/email_activity__v/V8C000000049542", "EN-002105882")</f>
        <v>EN-002105882</v>
      </c>
    </row>
    <row r="3140" spans="1:15" ht="16" x14ac:dyDescent="0.2">
      <c r="A3140" s="26"/>
      <c r="B3140" s="26"/>
      <c r="C3140" s="26"/>
      <c r="D3140" s="26"/>
      <c r="E3140" s="26"/>
      <c r="F3140" s="26"/>
      <c r="G3140" s="26"/>
      <c r="H3140" s="26"/>
      <c r="I3140" s="26"/>
      <c r="J3140" s="26"/>
      <c r="K3140" s="26"/>
      <c r="L3140" s="26"/>
      <c r="M3140" s="26"/>
      <c r="N3140" s="26"/>
      <c r="O3140" s="14" t="str">
        <f>HYPERLINK("https://otsuka-europe-crm.veevavault.com/ui/#object/email_activity__v/V8C000000049585", "EN-002105983")</f>
        <v>EN-002105983</v>
      </c>
    </row>
    <row r="3141" spans="1:15" ht="16" x14ac:dyDescent="0.2">
      <c r="A3141" s="26"/>
      <c r="B3141" s="26"/>
      <c r="C3141" s="26"/>
      <c r="D3141" s="26"/>
      <c r="E3141" s="26"/>
      <c r="F3141" s="26"/>
      <c r="G3141" s="26"/>
      <c r="H3141" s="26"/>
      <c r="I3141" s="26"/>
      <c r="J3141" s="26"/>
      <c r="K3141" s="26"/>
      <c r="L3141" s="26"/>
      <c r="M3141" s="26"/>
      <c r="N3141" s="26"/>
      <c r="O3141" s="14" t="str">
        <f>HYPERLINK("https://otsuka-europe-crm.veevavault.com/ui/#object/email_activity__v/V8C000000049586", "EN-002105984")</f>
        <v>EN-002105984</v>
      </c>
    </row>
    <row r="3142" spans="1:15" ht="16" x14ac:dyDescent="0.2">
      <c r="A3142" s="26"/>
      <c r="B3142" s="26"/>
      <c r="C3142" s="26"/>
      <c r="D3142" s="26"/>
      <c r="E3142" s="26"/>
      <c r="F3142" s="26"/>
      <c r="G3142" s="26"/>
      <c r="H3142" s="26"/>
      <c r="I3142" s="26"/>
      <c r="J3142" s="26"/>
      <c r="K3142" s="26"/>
      <c r="L3142" s="26"/>
      <c r="M3142" s="26"/>
      <c r="N3142" s="26"/>
      <c r="O3142" s="14" t="str">
        <f>HYPERLINK("https://otsuka-europe-crm.veevavault.com/ui/#object/email_activity__v/V8C000000049587", "EN-002105985")</f>
        <v>EN-002105985</v>
      </c>
    </row>
    <row r="3143" spans="1:15" ht="16" x14ac:dyDescent="0.2">
      <c r="A3143" s="26"/>
      <c r="B3143" s="26"/>
      <c r="C3143" s="26"/>
      <c r="D3143" s="26"/>
      <c r="E3143" s="26"/>
      <c r="F3143" s="26"/>
      <c r="G3143" s="26"/>
      <c r="H3143" s="26"/>
      <c r="I3143" s="26"/>
      <c r="J3143" s="26"/>
      <c r="K3143" s="26"/>
      <c r="L3143" s="26"/>
      <c r="M3143" s="26"/>
      <c r="N3143" s="26"/>
      <c r="O3143" s="14" t="str">
        <f>HYPERLINK("https://otsuka-europe-crm.veevavault.com/ui/#object/email_activity__v/V8C000000049588", "EN-002105986")</f>
        <v>EN-002105986</v>
      </c>
    </row>
    <row r="3144" spans="1:15" ht="16" x14ac:dyDescent="0.2">
      <c r="A3144" s="26"/>
      <c r="B3144" s="26"/>
      <c r="C3144" s="26"/>
      <c r="D3144" s="26"/>
      <c r="E3144" s="26"/>
      <c r="F3144" s="26"/>
      <c r="G3144" s="26"/>
      <c r="H3144" s="26"/>
      <c r="I3144" s="26"/>
      <c r="J3144" s="26"/>
      <c r="K3144" s="26"/>
      <c r="L3144" s="26"/>
      <c r="M3144" s="26"/>
      <c r="N3144" s="26"/>
      <c r="O3144" s="14" t="str">
        <f>HYPERLINK("https://otsuka-europe-crm.veevavault.com/ui/#object/email_activity__v/V8C00000004A446", "EN-002105836")</f>
        <v>EN-002105836</v>
      </c>
    </row>
    <row r="3145" spans="1:15" ht="16" x14ac:dyDescent="0.2">
      <c r="A3145" s="26"/>
      <c r="B3145" s="26"/>
      <c r="C3145" s="26"/>
      <c r="D3145" s="26"/>
      <c r="E3145" s="26"/>
      <c r="F3145" s="26"/>
      <c r="G3145" s="26"/>
      <c r="H3145" s="26"/>
      <c r="I3145" s="26"/>
      <c r="J3145" s="26"/>
      <c r="K3145" s="26"/>
      <c r="L3145" s="26"/>
      <c r="M3145" s="26"/>
      <c r="N3145" s="26"/>
      <c r="O3145" s="14" t="str">
        <f>HYPERLINK("https://otsuka-europe-crm.veevavault.com/ui/#object/email_activity__v/V8C00000004A447", "EN-002105837")</f>
        <v>EN-002105837</v>
      </c>
    </row>
    <row r="3146" spans="1:15" ht="16" x14ac:dyDescent="0.2">
      <c r="A3146" s="26"/>
      <c r="B3146" s="26"/>
      <c r="C3146" s="26"/>
      <c r="D3146" s="26"/>
      <c r="E3146" s="26"/>
      <c r="F3146" s="26"/>
      <c r="G3146" s="26"/>
      <c r="H3146" s="26"/>
      <c r="I3146" s="26"/>
      <c r="J3146" s="26"/>
      <c r="K3146" s="26"/>
      <c r="L3146" s="26"/>
      <c r="M3146" s="26"/>
      <c r="N3146" s="26"/>
      <c r="O3146" s="14" t="str">
        <f>HYPERLINK("https://otsuka-europe-crm.veevavault.com/ui/#object/email_activity__v/V8C00000004A448", "EN-002105838")</f>
        <v>EN-002105838</v>
      </c>
    </row>
    <row r="3147" spans="1:15" ht="16" x14ac:dyDescent="0.2">
      <c r="A3147" s="26"/>
      <c r="B3147" s="26"/>
      <c r="C3147" s="26"/>
      <c r="D3147" s="26"/>
      <c r="E3147" s="26"/>
      <c r="F3147" s="26"/>
      <c r="G3147" s="26"/>
      <c r="H3147" s="26"/>
      <c r="I3147" s="26"/>
      <c r="J3147" s="26"/>
      <c r="K3147" s="26"/>
      <c r="L3147" s="26"/>
      <c r="M3147" s="26"/>
      <c r="N3147" s="26"/>
      <c r="O3147" s="14" t="str">
        <f>HYPERLINK("https://otsuka-europe-crm.veevavault.com/ui/#object/email_activity__v/V8C00000004A449", "EN-002105839")</f>
        <v>EN-002105839</v>
      </c>
    </row>
    <row r="3148" spans="1:15" ht="16" x14ac:dyDescent="0.2">
      <c r="A3148" s="26"/>
      <c r="B3148" s="26"/>
      <c r="C3148" s="26"/>
      <c r="D3148" s="26"/>
      <c r="E3148" s="26"/>
      <c r="F3148" s="26"/>
      <c r="G3148" s="26"/>
      <c r="H3148" s="26"/>
      <c r="I3148" s="26"/>
      <c r="J3148" s="26"/>
      <c r="K3148" s="26"/>
      <c r="L3148" s="26"/>
      <c r="M3148" s="26"/>
      <c r="N3148" s="26"/>
      <c r="O3148" s="14" t="str">
        <f>HYPERLINK("https://otsuka-europe-crm.veevavault.com/ui/#object/email_activity__v/V8C00000004A453", "EN-002105845")</f>
        <v>EN-002105845</v>
      </c>
    </row>
    <row r="3149" spans="1:15" ht="16" x14ac:dyDescent="0.2">
      <c r="A3149" s="26"/>
      <c r="B3149" s="26"/>
      <c r="C3149" s="26"/>
      <c r="D3149" s="26"/>
      <c r="E3149" s="26"/>
      <c r="F3149" s="26"/>
      <c r="G3149" s="26"/>
      <c r="H3149" s="26"/>
      <c r="I3149" s="26"/>
      <c r="J3149" s="26"/>
      <c r="K3149" s="26"/>
      <c r="L3149" s="26"/>
      <c r="M3149" s="26"/>
      <c r="N3149" s="26"/>
      <c r="O3149" s="14" t="str">
        <f>HYPERLINK("https://otsuka-europe-crm.veevavault.com/ui/#object/email_activity__v/V8C00000004A454", "EN-002105846")</f>
        <v>EN-002105846</v>
      </c>
    </row>
    <row r="3150" spans="1:15" ht="16" x14ac:dyDescent="0.2">
      <c r="A3150" s="26"/>
      <c r="B3150" s="26"/>
      <c r="C3150" s="26"/>
      <c r="D3150" s="26"/>
      <c r="E3150" s="26"/>
      <c r="F3150" s="26"/>
      <c r="G3150" s="26"/>
      <c r="H3150" s="26"/>
      <c r="I3150" s="26"/>
      <c r="J3150" s="26"/>
      <c r="K3150" s="26"/>
      <c r="L3150" s="26"/>
      <c r="M3150" s="26"/>
      <c r="N3150" s="26"/>
      <c r="O3150" s="14" t="str">
        <f>HYPERLINK("https://otsuka-europe-crm.veevavault.com/ui/#object/email_activity__v/V8C00000004A455", "EN-002105848")</f>
        <v>EN-002105848</v>
      </c>
    </row>
    <row r="3151" spans="1:15" ht="16" x14ac:dyDescent="0.2">
      <c r="A3151" s="26"/>
      <c r="B3151" s="26"/>
      <c r="C3151" s="26"/>
      <c r="D3151" s="26"/>
      <c r="E3151" s="26"/>
      <c r="F3151" s="26"/>
      <c r="G3151" s="26"/>
      <c r="H3151" s="26"/>
      <c r="I3151" s="26"/>
      <c r="J3151" s="26"/>
      <c r="K3151" s="26"/>
      <c r="L3151" s="26"/>
      <c r="M3151" s="26"/>
      <c r="N3151" s="26"/>
      <c r="O3151" s="14" t="str">
        <f>HYPERLINK("https://otsuka-europe-crm.veevavault.com/ui/#object/email_activity__v/V8C00000004A904", "EN-002106666")</f>
        <v>EN-002106666</v>
      </c>
    </row>
    <row r="3152" spans="1:15" ht="16" x14ac:dyDescent="0.2">
      <c r="A3152" s="26"/>
      <c r="B3152" s="26"/>
      <c r="C3152" s="26"/>
      <c r="D3152" s="26"/>
      <c r="E3152" s="26"/>
      <c r="F3152" s="26"/>
      <c r="G3152" s="26"/>
      <c r="H3152" s="26"/>
      <c r="I3152" s="26"/>
      <c r="J3152" s="26"/>
      <c r="K3152" s="26"/>
      <c r="L3152" s="26"/>
      <c r="M3152" s="26"/>
      <c r="N3152" s="26"/>
      <c r="O3152" s="14" t="str">
        <f>HYPERLINK("https://otsuka-europe-crm.veevavault.com/ui/#object/email_activity__v/V8C00000004B047", "EN-002106811")</f>
        <v>EN-002106811</v>
      </c>
    </row>
    <row r="3153" spans="1:15" ht="16" x14ac:dyDescent="0.2">
      <c r="A3153" s="26"/>
      <c r="B3153" s="26"/>
      <c r="C3153" s="26"/>
      <c r="D3153" s="26"/>
      <c r="E3153" s="26"/>
      <c r="F3153" s="26"/>
      <c r="G3153" s="26"/>
      <c r="H3153" s="26"/>
      <c r="I3153" s="26"/>
      <c r="J3153" s="26"/>
      <c r="K3153" s="26"/>
      <c r="L3153" s="26"/>
      <c r="M3153" s="26"/>
      <c r="N3153" s="26"/>
      <c r="O3153" s="14" t="str">
        <f>HYPERLINK("https://otsuka-europe-crm.veevavault.com/ui/#object/email_activity__v/V8C00000004B049", "EN-002106816")</f>
        <v>EN-002106816</v>
      </c>
    </row>
    <row r="3154" spans="1:15" ht="16" x14ac:dyDescent="0.2">
      <c r="A3154" s="26"/>
      <c r="B3154" s="26"/>
      <c r="C3154" s="26"/>
      <c r="D3154" s="26"/>
      <c r="E3154" s="26"/>
      <c r="F3154" s="26"/>
      <c r="G3154" s="26"/>
      <c r="H3154" s="26"/>
      <c r="I3154" s="26"/>
      <c r="J3154" s="26"/>
      <c r="K3154" s="26"/>
      <c r="L3154" s="26"/>
      <c r="M3154" s="26"/>
      <c r="N3154" s="26"/>
      <c r="O3154" s="14" t="str">
        <f>HYPERLINK("https://otsuka-europe-crm.veevavault.com/ui/#object/email_activity__v/V8C00000004B050", "EN-002106819")</f>
        <v>EN-002106819</v>
      </c>
    </row>
    <row r="3155" spans="1:15" ht="16" x14ac:dyDescent="0.2">
      <c r="A3155" s="26"/>
      <c r="B3155" s="26"/>
      <c r="C3155" s="26"/>
      <c r="D3155" s="26"/>
      <c r="E3155" s="26"/>
      <c r="F3155" s="26"/>
      <c r="G3155" s="26"/>
      <c r="H3155" s="26"/>
      <c r="I3155" s="26"/>
      <c r="J3155" s="26"/>
      <c r="K3155" s="26"/>
      <c r="L3155" s="26"/>
      <c r="M3155" s="26"/>
      <c r="N3155" s="26"/>
      <c r="O3155" s="14" t="str">
        <f>HYPERLINK("https://otsuka-europe-crm.veevavault.com/ui/#object/email_activity__v/V8C00000004B051", "EN-002106820")</f>
        <v>EN-002106820</v>
      </c>
    </row>
    <row r="3156" spans="1:15" ht="16" x14ac:dyDescent="0.2">
      <c r="A3156" s="26"/>
      <c r="B3156" s="26"/>
      <c r="C3156" s="26"/>
      <c r="D3156" s="26"/>
      <c r="E3156" s="26"/>
      <c r="F3156" s="26"/>
      <c r="G3156" s="26"/>
      <c r="H3156" s="26"/>
      <c r="I3156" s="26"/>
      <c r="J3156" s="26"/>
      <c r="K3156" s="26"/>
      <c r="L3156" s="26"/>
      <c r="M3156" s="26"/>
      <c r="N3156" s="26"/>
      <c r="O3156" s="14" t="str">
        <f>HYPERLINK("https://otsuka-europe-crm.veevavault.com/ui/#object/email_activity__v/V8C00000004B053", "EN-002106822")</f>
        <v>EN-002106822</v>
      </c>
    </row>
    <row r="3157" spans="1:15" ht="16" x14ac:dyDescent="0.2">
      <c r="A3157" s="26"/>
      <c r="B3157" s="26"/>
      <c r="C3157" s="26"/>
      <c r="D3157" s="26"/>
      <c r="E3157" s="26"/>
      <c r="F3157" s="26"/>
      <c r="G3157" s="26"/>
      <c r="H3157" s="26"/>
      <c r="I3157" s="26"/>
      <c r="J3157" s="26"/>
      <c r="K3157" s="26"/>
      <c r="L3157" s="26"/>
      <c r="M3157" s="26"/>
      <c r="N3157" s="26"/>
      <c r="O3157" s="14" t="str">
        <f>HYPERLINK("https://otsuka-europe-crm.veevavault.com/ui/#object/email_activity__v/V8C00000004B054", "EN-002106823")</f>
        <v>EN-002106823</v>
      </c>
    </row>
    <row r="3158" spans="1:15" ht="16" x14ac:dyDescent="0.2">
      <c r="A3158" s="26"/>
      <c r="B3158" s="26"/>
      <c r="C3158" s="26"/>
      <c r="D3158" s="26"/>
      <c r="E3158" s="26"/>
      <c r="F3158" s="26"/>
      <c r="G3158" s="26"/>
      <c r="H3158" s="26"/>
      <c r="I3158" s="26"/>
      <c r="J3158" s="26"/>
      <c r="K3158" s="26"/>
      <c r="L3158" s="26"/>
      <c r="M3158" s="26"/>
      <c r="N3158" s="26"/>
      <c r="O3158" s="14" t="str">
        <f>HYPERLINK("https://otsuka-europe-crm.veevavault.com/ui/#object/email_activity__v/V8C00000004B057", "EN-002106830")</f>
        <v>EN-002106830</v>
      </c>
    </row>
    <row r="3159" spans="1:15" ht="16" x14ac:dyDescent="0.2">
      <c r="A3159" s="26"/>
      <c r="B3159" s="26"/>
      <c r="C3159" s="26"/>
      <c r="D3159" s="26"/>
      <c r="E3159" s="26"/>
      <c r="F3159" s="26"/>
      <c r="G3159" s="26"/>
      <c r="H3159" s="26"/>
      <c r="I3159" s="26"/>
      <c r="J3159" s="26"/>
      <c r="K3159" s="26"/>
      <c r="L3159" s="26"/>
      <c r="M3159" s="26"/>
      <c r="N3159" s="26"/>
      <c r="O3159" s="14" t="str">
        <f>HYPERLINK("https://otsuka-europe-crm.veevavault.com/ui/#object/email_activity__v/V8C00000004B058", "EN-002106831")</f>
        <v>EN-002106831</v>
      </c>
    </row>
    <row r="3160" spans="1:15" ht="16" x14ac:dyDescent="0.2">
      <c r="A3160" s="26"/>
      <c r="B3160" s="26"/>
      <c r="C3160" s="26"/>
      <c r="D3160" s="26"/>
      <c r="E3160" s="26"/>
      <c r="F3160" s="26"/>
      <c r="G3160" s="26"/>
      <c r="H3160" s="26"/>
      <c r="I3160" s="26"/>
      <c r="J3160" s="26"/>
      <c r="K3160" s="26"/>
      <c r="L3160" s="26"/>
      <c r="M3160" s="26"/>
      <c r="N3160" s="26"/>
      <c r="O3160" s="14" t="str">
        <f>HYPERLINK("https://otsuka-europe-crm.veevavault.com/ui/#object/email_activity__v/V8C00000004B061", "EN-002106838")</f>
        <v>EN-002106838</v>
      </c>
    </row>
    <row r="3161" spans="1:15" ht="16" x14ac:dyDescent="0.2">
      <c r="A3161" s="26"/>
      <c r="B3161" s="26"/>
      <c r="C3161" s="26"/>
      <c r="D3161" s="26"/>
      <c r="E3161" s="26"/>
      <c r="F3161" s="26"/>
      <c r="G3161" s="26"/>
      <c r="H3161" s="26"/>
      <c r="I3161" s="26"/>
      <c r="J3161" s="26"/>
      <c r="K3161" s="26"/>
      <c r="L3161" s="26"/>
      <c r="M3161" s="26"/>
      <c r="N3161" s="26"/>
      <c r="O3161" s="14" t="str">
        <f>HYPERLINK("https://otsuka-europe-crm.veevavault.com/ui/#object/email_activity__v/V8C00000004C036", "EN-002106812")</f>
        <v>EN-002106812</v>
      </c>
    </row>
    <row r="3162" spans="1:15" ht="16" x14ac:dyDescent="0.2">
      <c r="A3162" s="26"/>
      <c r="B3162" s="26"/>
      <c r="C3162" s="26"/>
      <c r="D3162" s="26"/>
      <c r="E3162" s="26"/>
      <c r="F3162" s="26"/>
      <c r="G3162" s="26"/>
      <c r="H3162" s="26"/>
      <c r="I3162" s="26"/>
      <c r="J3162" s="26"/>
      <c r="K3162" s="26"/>
      <c r="L3162" s="26"/>
      <c r="M3162" s="26"/>
      <c r="N3162" s="26"/>
      <c r="O3162" s="14" t="str">
        <f>HYPERLINK("https://otsuka-europe-crm.veevavault.com/ui/#object/email_activity__v/V8C00000004C039", "EN-002106817")</f>
        <v>EN-002106817</v>
      </c>
    </row>
    <row r="3163" spans="1:15" ht="16" x14ac:dyDescent="0.2">
      <c r="A3163" s="26"/>
      <c r="B3163" s="26"/>
      <c r="C3163" s="26"/>
      <c r="D3163" s="26"/>
      <c r="E3163" s="26"/>
      <c r="F3163" s="26"/>
      <c r="G3163" s="26"/>
      <c r="H3163" s="26"/>
      <c r="I3163" s="26"/>
      <c r="J3163" s="26"/>
      <c r="K3163" s="26"/>
      <c r="L3163" s="26"/>
      <c r="M3163" s="26"/>
      <c r="N3163" s="26"/>
      <c r="O3163" s="14" t="str">
        <f>HYPERLINK("https://otsuka-europe-crm.veevavault.com/ui/#object/email_activity__v/V8C00000004C040", "EN-002106818")</f>
        <v>EN-002106818</v>
      </c>
    </row>
    <row r="3164" spans="1:15" ht="16" x14ac:dyDescent="0.2">
      <c r="A3164" s="26"/>
      <c r="B3164" s="26"/>
      <c r="C3164" s="26"/>
      <c r="D3164" s="26"/>
      <c r="E3164" s="26"/>
      <c r="F3164" s="26"/>
      <c r="G3164" s="26"/>
      <c r="H3164" s="26"/>
      <c r="I3164" s="26"/>
      <c r="J3164" s="26"/>
      <c r="K3164" s="26"/>
      <c r="L3164" s="26"/>
      <c r="M3164" s="26"/>
      <c r="N3164" s="26"/>
      <c r="O3164" s="14" t="str">
        <f>HYPERLINK("https://otsuka-europe-crm.veevavault.com/ui/#object/email_activity__v/V8C00000004C042", "EN-002106825")</f>
        <v>EN-002106825</v>
      </c>
    </row>
    <row r="3165" spans="1:15" ht="16" x14ac:dyDescent="0.2">
      <c r="A3165" s="26"/>
      <c r="B3165" s="26"/>
      <c r="C3165" s="26"/>
      <c r="D3165" s="26"/>
      <c r="E3165" s="26"/>
      <c r="F3165" s="26"/>
      <c r="G3165" s="26"/>
      <c r="H3165" s="26"/>
      <c r="I3165" s="26"/>
      <c r="J3165" s="26"/>
      <c r="K3165" s="26"/>
      <c r="L3165" s="26"/>
      <c r="M3165" s="26"/>
      <c r="N3165" s="26"/>
      <c r="O3165" s="14" t="str">
        <f>HYPERLINK("https://otsuka-europe-crm.veevavault.com/ui/#object/email_activity__v/V8C00000004C045", "EN-002106832")</f>
        <v>EN-002106832</v>
      </c>
    </row>
    <row r="3166" spans="1:15" ht="16" x14ac:dyDescent="0.2">
      <c r="A3166" s="26"/>
      <c r="B3166" s="26"/>
      <c r="C3166" s="26"/>
      <c r="D3166" s="26"/>
      <c r="E3166" s="26"/>
      <c r="F3166" s="26"/>
      <c r="G3166" s="26"/>
      <c r="H3166" s="26"/>
      <c r="I3166" s="26"/>
      <c r="J3166" s="26"/>
      <c r="K3166" s="26"/>
      <c r="L3166" s="26"/>
      <c r="M3166" s="26"/>
      <c r="N3166" s="26"/>
      <c r="O3166" s="14" t="str">
        <f>HYPERLINK("https://otsuka-europe-crm.veevavault.com/ui/#object/email_activity__v/V8C00000004C046", "EN-002106833")</f>
        <v>EN-002106833</v>
      </c>
    </row>
    <row r="3167" spans="1:15" ht="16" x14ac:dyDescent="0.2">
      <c r="A3167" s="26"/>
      <c r="B3167" s="26"/>
      <c r="C3167" s="26"/>
      <c r="D3167" s="26"/>
      <c r="E3167" s="26"/>
      <c r="F3167" s="26"/>
      <c r="G3167" s="26"/>
      <c r="H3167" s="26"/>
      <c r="I3167" s="26"/>
      <c r="J3167" s="26"/>
      <c r="K3167" s="26"/>
      <c r="L3167" s="26"/>
      <c r="M3167" s="26"/>
      <c r="N3167" s="26"/>
      <c r="O3167" s="14" t="str">
        <f>HYPERLINK("https://otsuka-europe-crm.veevavault.com/ui/#object/email_activity__v/V8C00000004C047", "EN-002106834")</f>
        <v>EN-002106834</v>
      </c>
    </row>
    <row r="3168" spans="1:15" ht="16" x14ac:dyDescent="0.2">
      <c r="A3168" s="26"/>
      <c r="B3168" s="26"/>
      <c r="C3168" s="26"/>
      <c r="D3168" s="26"/>
      <c r="E3168" s="26"/>
      <c r="F3168" s="26"/>
      <c r="G3168" s="26"/>
      <c r="H3168" s="26"/>
      <c r="I3168" s="26"/>
      <c r="J3168" s="26"/>
      <c r="K3168" s="26"/>
      <c r="L3168" s="26"/>
      <c r="M3168" s="26"/>
      <c r="N3168" s="26"/>
      <c r="O3168" s="14" t="str">
        <f>HYPERLINK("https://otsuka-europe-crm.veevavault.com/ui/#object/email_activity__v/V8C00000004C048", "EN-002106835")</f>
        <v>EN-002106835</v>
      </c>
    </row>
    <row r="3169" spans="1:15" ht="16" x14ac:dyDescent="0.2">
      <c r="A3169" s="26"/>
      <c r="B3169" s="26"/>
      <c r="C3169" s="26"/>
      <c r="D3169" s="26"/>
      <c r="E3169" s="26"/>
      <c r="F3169" s="26"/>
      <c r="G3169" s="26"/>
      <c r="H3169" s="26"/>
      <c r="I3169" s="26"/>
      <c r="J3169" s="26"/>
      <c r="K3169" s="26"/>
      <c r="L3169" s="26"/>
      <c r="M3169" s="26"/>
      <c r="N3169" s="26"/>
      <c r="O3169" s="14" t="str">
        <f>HYPERLINK("https://otsuka-europe-crm.veevavault.com/ui/#object/email_activity__v/V8C00000004C049", "EN-002106839")</f>
        <v>EN-002106839</v>
      </c>
    </row>
    <row r="3170" spans="1:15" ht="16" x14ac:dyDescent="0.2">
      <c r="A3170" s="26"/>
      <c r="B3170" s="26"/>
      <c r="C3170" s="26"/>
      <c r="D3170" s="26"/>
      <c r="E3170" s="26"/>
      <c r="F3170" s="26"/>
      <c r="G3170" s="26"/>
      <c r="H3170" s="26"/>
      <c r="I3170" s="26"/>
      <c r="J3170" s="26"/>
      <c r="K3170" s="26"/>
      <c r="L3170" s="26"/>
      <c r="M3170" s="26"/>
      <c r="N3170" s="26"/>
      <c r="O3170" s="14" t="str">
        <f>HYPERLINK("https://otsuka-europe-crm.veevavault.com/ui/#object/email_activity__v/V8C00000004C079", "EN-002106907")</f>
        <v>EN-002106907</v>
      </c>
    </row>
    <row r="3171" spans="1:15" ht="16" x14ac:dyDescent="0.2">
      <c r="A3171" s="26"/>
      <c r="B3171" s="26"/>
      <c r="C3171" s="26"/>
      <c r="D3171" s="26"/>
      <c r="E3171" s="26"/>
      <c r="F3171" s="26"/>
      <c r="G3171" s="26"/>
      <c r="H3171" s="26"/>
      <c r="I3171" s="26"/>
      <c r="J3171" s="26"/>
      <c r="K3171" s="26"/>
      <c r="L3171" s="26"/>
      <c r="M3171" s="26"/>
      <c r="N3171" s="26"/>
      <c r="O3171" s="14" t="str">
        <f>HYPERLINK("https://otsuka-europe-crm.veevavault.com/ui/#object/email_activity__v/V8C00000004C080", "EN-002106908")</f>
        <v>EN-002106908</v>
      </c>
    </row>
    <row r="3172" spans="1:15" ht="16" x14ac:dyDescent="0.2">
      <c r="A3172" s="26"/>
      <c r="B3172" s="26"/>
      <c r="C3172" s="26"/>
      <c r="D3172" s="26"/>
      <c r="E3172" s="26"/>
      <c r="F3172" s="26"/>
      <c r="G3172" s="26"/>
      <c r="H3172" s="26"/>
      <c r="I3172" s="26"/>
      <c r="J3172" s="26"/>
      <c r="K3172" s="26"/>
      <c r="L3172" s="26"/>
      <c r="M3172" s="26"/>
      <c r="N3172" s="26"/>
      <c r="O3172" s="14" t="str">
        <f>HYPERLINK("https://otsuka-europe-crm.veevavault.com/ui/#object/email_activity__v/V8C00000004C187", "EN-002107182")</f>
        <v>EN-002107182</v>
      </c>
    </row>
    <row r="3173" spans="1:15" ht="16" x14ac:dyDescent="0.2">
      <c r="A3173" s="26"/>
      <c r="B3173" s="26"/>
      <c r="C3173" s="26"/>
      <c r="D3173" s="26"/>
      <c r="E3173" s="26"/>
      <c r="F3173" s="26"/>
      <c r="G3173" s="26"/>
      <c r="H3173" s="26"/>
      <c r="I3173" s="26"/>
      <c r="J3173" s="26"/>
      <c r="K3173" s="26"/>
      <c r="L3173" s="26"/>
      <c r="M3173" s="26"/>
      <c r="N3173" s="26"/>
      <c r="O3173" s="14" t="str">
        <f>HYPERLINK("https://otsuka-europe-crm.veevavault.com/ui/#object/email_activity__v/V8C00000004C204", "EN-002107215")</f>
        <v>EN-002107215</v>
      </c>
    </row>
    <row r="3174" spans="1:15" ht="16" x14ac:dyDescent="0.2">
      <c r="A3174" s="19"/>
      <c r="B3174" s="19"/>
      <c r="C3174" s="19"/>
      <c r="D3174" s="19"/>
      <c r="E3174" s="19"/>
      <c r="F3174" s="19"/>
      <c r="G3174" s="19"/>
      <c r="H3174" s="19"/>
      <c r="I3174" s="19"/>
      <c r="J3174" s="19"/>
      <c r="K3174" s="19"/>
      <c r="L3174" s="19"/>
      <c r="M3174" s="19"/>
      <c r="N3174" s="19"/>
      <c r="O3174" s="14" t="str">
        <f>HYPERLINK("https://otsuka-europe-crm.veevavault.com/ui/#object/email_activity__v/V8C00000004C529", "EN-002108031")</f>
        <v>EN-002108031</v>
      </c>
    </row>
    <row r="3175" spans="1:15" ht="32" x14ac:dyDescent="0.2">
      <c r="A3175" s="7" t="str">
        <f>HYPERLINK("https://otsuka-europe-crm.veevavault.com/ui/#object/account__v/V4TZ06G6ODNLVYL", "Emma Roberts")</f>
        <v>Emma Roberts</v>
      </c>
      <c r="B3175" s="7" t="str">
        <f>HYPERLINK("https://otsuka-europe-crm.veevavault.com/ui/#object/vcountry__v/VENZ000004SONFK", "GB")</f>
        <v>GB</v>
      </c>
      <c r="C3175" s="8" t="s">
        <v>41</v>
      </c>
      <c r="D3175" s="9" t="str">
        <f>HYPERLINK("https://otsuka-europe-crm.veevavault.com/ui/#object/approved_document__v/V5O00000001V001", "LDM DR P2P Invite 12-Nov-26 v2 [digital]")</f>
        <v>LDM DR P2P Invite 12-Nov-26 v2 [digital]</v>
      </c>
      <c r="E3175" s="10" t="str">
        <f>HYPERLINK("https://otsuka-europe-crm.veevavault.com/ui/#object/sent_email__v/VBL000000036031", "SE-001443194")</f>
        <v>SE-001443194</v>
      </c>
      <c r="F3175" s="11"/>
      <c r="G3175" s="12">
        <v>0</v>
      </c>
      <c r="H3175" s="12">
        <v>0</v>
      </c>
      <c r="I3175" s="12">
        <v>0</v>
      </c>
      <c r="J3175" s="11"/>
      <c r="K3175" s="12">
        <v>0</v>
      </c>
      <c r="L3175" s="10" t="str">
        <f>HYPERLINK("https://otsuka-europe-crm.veevavault.com/ui/#object/approved_document__v/V5O00000001V001", "LDM DR P2P Invite 12-Nov-26 v2 [digital]")</f>
        <v>LDM DR P2P Invite 12-Nov-26 v2 [digital]</v>
      </c>
      <c r="M3175" s="10" t="str">
        <f>HYPERLINK("mailto:ldimambro@crm.otsuka-europe.com", "ldimambro@crm.otsuka-europe.com")</f>
        <v>ldimambro@crm.otsuka-europe.com</v>
      </c>
      <c r="N3175" s="13">
        <v>46213.480231481481</v>
      </c>
      <c r="O3175" s="14" t="str">
        <f>HYPERLINK("https://otsuka-europe-crm.veevavault.com/ui/#object/email_activity__v/V8C000000047114", "EN-002104371")</f>
        <v>EN-002104371</v>
      </c>
    </row>
    <row r="3176" spans="1:15" ht="16" x14ac:dyDescent="0.2">
      <c r="A3176" s="18" t="str">
        <f>HYPERLINK("https://otsuka-europe-crm.veevavault.com/ui/#object/account__v/V4TZ0000062PDFX", "Jayraj Burrun")</f>
        <v>Jayraj Burrun</v>
      </c>
      <c r="B3176" s="18" t="str">
        <f>HYPERLINK("https://otsuka-europe-crm.veevavault.com/ui/#object/vcountry__v/VENZ000004SONFK", "GB")</f>
        <v>GB</v>
      </c>
      <c r="C3176" s="20" t="s">
        <v>41</v>
      </c>
      <c r="D3176" s="21" t="str">
        <f>HYPERLINK("https://otsuka-europe-crm.veevavault.com/ui/#object/approved_document__v/V5O00000001V001", "LDM DR P2P Invite 12-Nov-26 v2 [digital]")</f>
        <v>LDM DR P2P Invite 12-Nov-26 v2 [digital]</v>
      </c>
      <c r="E3176" s="22" t="str">
        <f>HYPERLINK("https://otsuka-europe-crm.veevavault.com/ui/#object/sent_email__v/VBL000000036032", "SE-001443195")</f>
        <v>SE-001443195</v>
      </c>
      <c r="F3176" s="25">
        <v>46216.394270833334</v>
      </c>
      <c r="G3176" s="24">
        <v>1</v>
      </c>
      <c r="H3176" s="24">
        <v>4</v>
      </c>
      <c r="I3176" s="24">
        <v>0</v>
      </c>
      <c r="J3176" s="23"/>
      <c r="K3176" s="24">
        <v>0</v>
      </c>
      <c r="L3176" s="22" t="str">
        <f>HYPERLINK("https://otsuka-europe-crm.veevavault.com/ui/#object/approved_document__v/V5O00000001V001", "LDM DR P2P Invite 12-Nov-26 v2 [digital]")</f>
        <v>LDM DR P2P Invite 12-Nov-26 v2 [digital]</v>
      </c>
      <c r="M3176" s="22" t="str">
        <f>HYPERLINK("mailto:ldimambro@crm.otsuka-europe.com", "ldimambro@crm.otsuka-europe.com")</f>
        <v>ldimambro@crm.otsuka-europe.com</v>
      </c>
      <c r="N3176" s="25">
        <v>46213.480231481481</v>
      </c>
      <c r="O3176" s="14" t="str">
        <f>HYPERLINK("https://otsuka-europe-crm.veevavault.com/ui/#object/email_activity__v/V8C000000047118", "EN-002104375")</f>
        <v>EN-002104375</v>
      </c>
    </row>
    <row r="3177" spans="1:15" ht="16" x14ac:dyDescent="0.2">
      <c r="A3177" s="26"/>
      <c r="B3177" s="26"/>
      <c r="C3177" s="26"/>
      <c r="D3177" s="26"/>
      <c r="E3177" s="26"/>
      <c r="F3177" s="26"/>
      <c r="G3177" s="26"/>
      <c r="H3177" s="26"/>
      <c r="I3177" s="26"/>
      <c r="J3177" s="26"/>
      <c r="K3177" s="26"/>
      <c r="L3177" s="26"/>
      <c r="M3177" s="26"/>
      <c r="N3177" s="26"/>
      <c r="O3177" s="14" t="str">
        <f>HYPERLINK("https://otsuka-europe-crm.veevavault.com/ui/#object/email_activity__v/V8C000000049107", "EN-002105056")</f>
        <v>EN-002105056</v>
      </c>
    </row>
    <row r="3178" spans="1:15" ht="16" x14ac:dyDescent="0.2">
      <c r="A3178" s="26"/>
      <c r="B3178" s="26"/>
      <c r="C3178" s="26"/>
      <c r="D3178" s="26"/>
      <c r="E3178" s="26"/>
      <c r="F3178" s="26"/>
      <c r="G3178" s="26"/>
      <c r="H3178" s="26"/>
      <c r="I3178" s="26"/>
      <c r="J3178" s="26"/>
      <c r="K3178" s="26"/>
      <c r="L3178" s="26"/>
      <c r="M3178" s="26"/>
      <c r="N3178" s="26"/>
      <c r="O3178" s="14" t="str">
        <f>HYPERLINK("https://otsuka-europe-crm.veevavault.com/ui/#object/email_activity__v/V8C00000004A078", "EN-002105040")</f>
        <v>EN-002105040</v>
      </c>
    </row>
    <row r="3179" spans="1:15" ht="16" x14ac:dyDescent="0.2">
      <c r="A3179" s="26"/>
      <c r="B3179" s="26"/>
      <c r="C3179" s="26"/>
      <c r="D3179" s="26"/>
      <c r="E3179" s="26"/>
      <c r="F3179" s="26"/>
      <c r="G3179" s="26"/>
      <c r="H3179" s="26"/>
      <c r="I3179" s="26"/>
      <c r="J3179" s="26"/>
      <c r="K3179" s="26"/>
      <c r="L3179" s="26"/>
      <c r="M3179" s="26"/>
      <c r="N3179" s="26"/>
      <c r="O3179" s="14" t="str">
        <f>HYPERLINK("https://otsuka-europe-crm.veevavault.com/ui/#object/email_activity__v/V8C00000004A079", "EN-002105041")</f>
        <v>EN-002105041</v>
      </c>
    </row>
    <row r="3180" spans="1:15" ht="16" x14ac:dyDescent="0.2">
      <c r="A3180" s="19"/>
      <c r="B3180" s="19"/>
      <c r="C3180" s="19"/>
      <c r="D3180" s="19"/>
      <c r="E3180" s="19"/>
      <c r="F3180" s="19"/>
      <c r="G3180" s="19"/>
      <c r="H3180" s="19"/>
      <c r="I3180" s="19"/>
      <c r="J3180" s="19"/>
      <c r="K3180" s="19"/>
      <c r="L3180" s="19"/>
      <c r="M3180" s="19"/>
      <c r="N3180" s="19"/>
      <c r="O3180" s="14" t="str">
        <f>HYPERLINK("https://otsuka-europe-crm.veevavault.com/ui/#object/email_activity__v/V8C00000004A083", "EN-002105051")</f>
        <v>EN-002105051</v>
      </c>
    </row>
    <row r="3181" spans="1:15" ht="16" x14ac:dyDescent="0.2">
      <c r="A3181" s="18" t="str">
        <f>HYPERLINK("https://otsuka-europe-crm.veevavault.com/ui/#object/account__v/V4TZ06G6ODNLVTQ", "Deborah Gibson")</f>
        <v>Deborah Gibson</v>
      </c>
      <c r="B3181" s="18" t="str">
        <f>HYPERLINK("https://otsuka-europe-crm.veevavault.com/ui/#object/vcountry__v/VENZ000004SONFK", "GB")</f>
        <v>GB</v>
      </c>
      <c r="C3181" s="20" t="s">
        <v>41</v>
      </c>
      <c r="D3181" s="21" t="str">
        <f>HYPERLINK("https://otsuka-europe-crm.veevavault.com/ui/#object/approved_document__v/V5O00000001V001", "LDM DR P2P Invite 12-Nov-26 v2 [digital]")</f>
        <v>LDM DR P2P Invite 12-Nov-26 v2 [digital]</v>
      </c>
      <c r="E3181" s="22" t="str">
        <f>HYPERLINK("https://otsuka-europe-crm.veevavault.com/ui/#object/sent_email__v/VBL000000036033", "SE-001443196")</f>
        <v>SE-001443196</v>
      </c>
      <c r="F3181" s="23"/>
      <c r="G3181" s="24">
        <v>0</v>
      </c>
      <c r="H3181" s="24">
        <v>0</v>
      </c>
      <c r="I3181" s="24">
        <v>0</v>
      </c>
      <c r="J3181" s="23"/>
      <c r="K3181" s="24">
        <v>0</v>
      </c>
      <c r="L3181" s="22" t="str">
        <f>HYPERLINK("https://otsuka-europe-crm.veevavault.com/ui/#object/approved_document__v/V5O00000001V001", "LDM DR P2P Invite 12-Nov-26 v2 [digital]")</f>
        <v>LDM DR P2P Invite 12-Nov-26 v2 [digital]</v>
      </c>
      <c r="M3181" s="22" t="str">
        <f>HYPERLINK("mailto:ldimambro@crm.otsuka-europe.com", "ldimambro@crm.otsuka-europe.com")</f>
        <v>ldimambro@crm.otsuka-europe.com</v>
      </c>
      <c r="N3181" s="25">
        <v>46213.480231481481</v>
      </c>
      <c r="O3181" s="14" t="str">
        <f>HYPERLINK("https://otsuka-europe-crm.veevavault.com/ui/#object/email_activity__v/V8C000000047122", "EN-002104379")</f>
        <v>EN-002104379</v>
      </c>
    </row>
    <row r="3182" spans="1:15" ht="16" x14ac:dyDescent="0.2">
      <c r="A3182" s="19"/>
      <c r="B3182" s="19"/>
      <c r="C3182" s="19"/>
      <c r="D3182" s="19"/>
      <c r="E3182" s="19"/>
      <c r="F3182" s="19"/>
      <c r="G3182" s="19"/>
      <c r="H3182" s="19"/>
      <c r="I3182" s="19"/>
      <c r="J3182" s="19"/>
      <c r="K3182" s="19"/>
      <c r="L3182" s="19"/>
      <c r="M3182" s="19"/>
      <c r="N3182" s="19"/>
      <c r="O3182" s="14" t="str">
        <f>HYPERLINK("https://otsuka-europe-crm.veevavault.com/ui/#object/email_activity__v/V8C000000047356", "EN-002104782")</f>
        <v>EN-002104782</v>
      </c>
    </row>
    <row r="3183" spans="1:15" ht="32" x14ac:dyDescent="0.2">
      <c r="A3183" s="7" t="str">
        <f>HYPERLINK("https://otsuka-europe-crm.veevavault.com/ui/#object/account__v/V4TZ06G6OB48AAW", "Helen Lee")</f>
        <v>Helen Lee</v>
      </c>
      <c r="B3183" s="7" t="str">
        <f t="shared" ref="B3183:B3190" si="136">HYPERLINK("https://otsuka-europe-crm.veevavault.com/ui/#object/vcountry__v/VENZ000004SONFK", "GB")</f>
        <v>GB</v>
      </c>
      <c r="C3183" s="8" t="s">
        <v>41</v>
      </c>
      <c r="D3183" s="9" t="str">
        <f t="shared" ref="D3183:D3190" si="137">HYPERLINK("https://otsuka-europe-crm.veevavault.com/ui/#object/approved_document__v/V5O00000001V001", "LDM DR P2P Invite 12-Nov-26 v2 [digital]")</f>
        <v>LDM DR P2P Invite 12-Nov-26 v2 [digital]</v>
      </c>
      <c r="E3183" s="10" t="str">
        <f>HYPERLINK("https://otsuka-europe-crm.veevavault.com/ui/#object/sent_email__v/VBL000000036034", "SE-001443197")</f>
        <v>SE-001443197</v>
      </c>
      <c r="F3183" s="11"/>
      <c r="G3183" s="12">
        <v>0</v>
      </c>
      <c r="H3183" s="12">
        <v>0</v>
      </c>
      <c r="I3183" s="12">
        <v>0</v>
      </c>
      <c r="J3183" s="11"/>
      <c r="K3183" s="12">
        <v>0</v>
      </c>
      <c r="L3183" s="10" t="str">
        <f t="shared" ref="L3183:L3190" si="138">HYPERLINK("https://otsuka-europe-crm.veevavault.com/ui/#object/approved_document__v/V5O00000001V001", "LDM DR P2P Invite 12-Nov-26 v2 [digital]")</f>
        <v>LDM DR P2P Invite 12-Nov-26 v2 [digital]</v>
      </c>
      <c r="M3183" s="10" t="str">
        <f t="shared" ref="M3183:M3190" si="139">HYPERLINK("mailto:ldimambro@crm.otsuka-europe.com", "ldimambro@crm.otsuka-europe.com")</f>
        <v>ldimambro@crm.otsuka-europe.com</v>
      </c>
      <c r="N3183" s="13">
        <v>46213.480231481481</v>
      </c>
      <c r="O3183" s="14" t="str">
        <f>HYPERLINK("https://otsuka-europe-crm.veevavault.com/ui/#object/email_activity__v/V8C000000047119", "EN-002104376")</f>
        <v>EN-002104376</v>
      </c>
    </row>
    <row r="3184" spans="1:15" ht="32" x14ac:dyDescent="0.2">
      <c r="A3184" s="7" t="str">
        <f>HYPERLINK("https://otsuka-europe-crm.veevavault.com/ui/#object/account__v/V4TZ06G6OB48AAV", "Georgina Head")</f>
        <v>Georgina Head</v>
      </c>
      <c r="B3184" s="7" t="str">
        <f t="shared" si="136"/>
        <v>GB</v>
      </c>
      <c r="C3184" s="8" t="s">
        <v>41</v>
      </c>
      <c r="D3184" s="9" t="str">
        <f t="shared" si="137"/>
        <v>LDM DR P2P Invite 12-Nov-26 v2 [digital]</v>
      </c>
      <c r="E3184" s="10" t="str">
        <f>HYPERLINK("https://otsuka-europe-crm.veevavault.com/ui/#object/sent_email__v/VBL000000036035", "SE-001443198")</f>
        <v>SE-001443198</v>
      </c>
      <c r="F3184" s="11"/>
      <c r="G3184" s="12">
        <v>0</v>
      </c>
      <c r="H3184" s="12">
        <v>0</v>
      </c>
      <c r="I3184" s="12">
        <v>0</v>
      </c>
      <c r="J3184" s="11"/>
      <c r="K3184" s="12">
        <v>0</v>
      </c>
      <c r="L3184" s="10" t="str">
        <f t="shared" si="138"/>
        <v>LDM DR P2P Invite 12-Nov-26 v2 [digital]</v>
      </c>
      <c r="M3184" s="10" t="str">
        <f t="shared" si="139"/>
        <v>ldimambro@crm.otsuka-europe.com</v>
      </c>
      <c r="N3184" s="13">
        <v>46213.480231481481</v>
      </c>
      <c r="O3184" s="14" t="str">
        <f>HYPERLINK("https://otsuka-europe-crm.veevavault.com/ui/#object/email_activity__v/V8C000000047113", "EN-002104370")</f>
        <v>EN-002104370</v>
      </c>
    </row>
    <row r="3185" spans="1:15" ht="32" x14ac:dyDescent="0.2">
      <c r="A3185" s="7" t="str">
        <f>HYPERLINK("https://otsuka-europe-crm.veevavault.com/ui/#object/account__v/V4TZ0000062PNPE", "Kevin Mugadzaweta")</f>
        <v>Kevin Mugadzaweta</v>
      </c>
      <c r="B3185" s="7" t="str">
        <f t="shared" si="136"/>
        <v>GB</v>
      </c>
      <c r="C3185" s="8" t="s">
        <v>41</v>
      </c>
      <c r="D3185" s="9" t="str">
        <f t="shared" si="137"/>
        <v>LDM DR P2P Invite 12-Nov-26 v2 [digital]</v>
      </c>
      <c r="E3185" s="10" t="str">
        <f>HYPERLINK("https://otsuka-europe-crm.veevavault.com/ui/#object/sent_email__v/VBL000000036036", "SE-001443199")</f>
        <v>SE-001443199</v>
      </c>
      <c r="F3185" s="11"/>
      <c r="G3185" s="12">
        <v>0</v>
      </c>
      <c r="H3185" s="12">
        <v>0</v>
      </c>
      <c r="I3185" s="12">
        <v>0</v>
      </c>
      <c r="J3185" s="11"/>
      <c r="K3185" s="12">
        <v>0</v>
      </c>
      <c r="L3185" s="10" t="str">
        <f t="shared" si="138"/>
        <v>LDM DR P2P Invite 12-Nov-26 v2 [digital]</v>
      </c>
      <c r="M3185" s="10" t="str">
        <f t="shared" si="139"/>
        <v>ldimambro@crm.otsuka-europe.com</v>
      </c>
      <c r="N3185" s="13">
        <v>46213.480138888888</v>
      </c>
      <c r="O3185" s="14" t="str">
        <f>HYPERLINK("https://otsuka-europe-crm.veevavault.com/ui/#object/email_activity__v/V8C000000047097", "EN-002104351")</f>
        <v>EN-002104351</v>
      </c>
    </row>
    <row r="3186" spans="1:15" ht="32" x14ac:dyDescent="0.2">
      <c r="A3186" s="7" t="str">
        <f>HYPERLINK("https://otsuka-europe-crm.veevavault.com/ui/#object/account__v/V4TZ06G6OBUDI0P", "Fatma Ghoneim")</f>
        <v>Fatma Ghoneim</v>
      </c>
      <c r="B3186" s="7" t="str">
        <f t="shared" si="136"/>
        <v>GB</v>
      </c>
      <c r="C3186" s="8" t="s">
        <v>41</v>
      </c>
      <c r="D3186" s="9" t="str">
        <f t="shared" si="137"/>
        <v>LDM DR P2P Invite 12-Nov-26 v2 [digital]</v>
      </c>
      <c r="E3186" s="10" t="str">
        <f>HYPERLINK("https://otsuka-europe-crm.veevavault.com/ui/#object/sent_email__v/VBL000000036037", "SE-001443200")</f>
        <v>SE-001443200</v>
      </c>
      <c r="F3186" s="11"/>
      <c r="G3186" s="12">
        <v>0</v>
      </c>
      <c r="H3186" s="12">
        <v>0</v>
      </c>
      <c r="I3186" s="12">
        <v>0</v>
      </c>
      <c r="J3186" s="11"/>
      <c r="K3186" s="12">
        <v>0</v>
      </c>
      <c r="L3186" s="10" t="str">
        <f t="shared" si="138"/>
        <v>LDM DR P2P Invite 12-Nov-26 v2 [digital]</v>
      </c>
      <c r="M3186" s="10" t="str">
        <f t="shared" si="139"/>
        <v>ldimambro@crm.otsuka-europe.com</v>
      </c>
      <c r="N3186" s="13">
        <v>46213.480138888888</v>
      </c>
      <c r="O3186" s="14" t="str">
        <f>HYPERLINK("https://otsuka-europe-crm.veevavault.com/ui/#object/email_activity__v/V8C000000047096", "EN-002104350")</f>
        <v>EN-002104350</v>
      </c>
    </row>
    <row r="3187" spans="1:15" ht="32" x14ac:dyDescent="0.2">
      <c r="A3187" s="7" t="str">
        <f>HYPERLINK("https://otsuka-europe-crm.veevavault.com/ui/#object/account__v/V4TZ0000062PBDB", "Jaweria Faheem")</f>
        <v>Jaweria Faheem</v>
      </c>
      <c r="B3187" s="7" t="str">
        <f t="shared" si="136"/>
        <v>GB</v>
      </c>
      <c r="C3187" s="8" t="s">
        <v>41</v>
      </c>
      <c r="D3187" s="9" t="str">
        <f t="shared" si="137"/>
        <v>LDM DR P2P Invite 12-Nov-26 v2 [digital]</v>
      </c>
      <c r="E3187" s="10" t="str">
        <f>HYPERLINK("https://otsuka-europe-crm.veevavault.com/ui/#object/sent_email__v/VBL000000036038", "SE-001443201")</f>
        <v>SE-001443201</v>
      </c>
      <c r="F3187" s="11"/>
      <c r="G3187" s="12">
        <v>0</v>
      </c>
      <c r="H3187" s="12">
        <v>0</v>
      </c>
      <c r="I3187" s="12">
        <v>0</v>
      </c>
      <c r="J3187" s="11"/>
      <c r="K3187" s="12">
        <v>0</v>
      </c>
      <c r="L3187" s="10" t="str">
        <f t="shared" si="138"/>
        <v>LDM DR P2P Invite 12-Nov-26 v2 [digital]</v>
      </c>
      <c r="M3187" s="10" t="str">
        <f t="shared" si="139"/>
        <v>ldimambro@crm.otsuka-europe.com</v>
      </c>
      <c r="N3187" s="13">
        <v>46213.480138888888</v>
      </c>
      <c r="O3187" s="14" t="str">
        <f>HYPERLINK("https://otsuka-europe-crm.veevavault.com/ui/#object/email_activity__v/V8C000000047099", "EN-002104353")</f>
        <v>EN-002104353</v>
      </c>
    </row>
    <row r="3188" spans="1:15" ht="32" x14ac:dyDescent="0.2">
      <c r="A3188" s="7" t="str">
        <f>HYPERLINK("https://otsuka-europe-crm.veevavault.com/ui/#object/account__v/V4TZ0000062PARP", "Ehireimen Aigbogun")</f>
        <v>Ehireimen Aigbogun</v>
      </c>
      <c r="B3188" s="7" t="str">
        <f t="shared" si="136"/>
        <v>GB</v>
      </c>
      <c r="C3188" s="8" t="s">
        <v>41</v>
      </c>
      <c r="D3188" s="9" t="str">
        <f t="shared" si="137"/>
        <v>LDM DR P2P Invite 12-Nov-26 v2 [digital]</v>
      </c>
      <c r="E3188" s="10" t="str">
        <f>HYPERLINK("https://otsuka-europe-crm.veevavault.com/ui/#object/sent_email__v/VBL000000036039", "SE-001443202")</f>
        <v>SE-001443202</v>
      </c>
      <c r="F3188" s="11"/>
      <c r="G3188" s="12">
        <v>0</v>
      </c>
      <c r="H3188" s="12">
        <v>0</v>
      </c>
      <c r="I3188" s="12">
        <v>0</v>
      </c>
      <c r="J3188" s="11"/>
      <c r="K3188" s="12">
        <v>0</v>
      </c>
      <c r="L3188" s="10" t="str">
        <f t="shared" si="138"/>
        <v>LDM DR P2P Invite 12-Nov-26 v2 [digital]</v>
      </c>
      <c r="M3188" s="10" t="str">
        <f t="shared" si="139"/>
        <v>ldimambro@crm.otsuka-europe.com</v>
      </c>
      <c r="N3188" s="13">
        <v>46213.480138888888</v>
      </c>
      <c r="O3188" s="14" t="str">
        <f>HYPERLINK("https://otsuka-europe-crm.veevavault.com/ui/#object/email_activity__v/V8C000000047095", "EN-002104346")</f>
        <v>EN-002104346</v>
      </c>
    </row>
    <row r="3189" spans="1:15" ht="32" x14ac:dyDescent="0.2">
      <c r="A3189" s="7" t="str">
        <f>HYPERLINK("https://otsuka-europe-crm.veevavault.com/ui/#object/account__v/V4TZ0000062PC1G", "Khurshid Tabassum")</f>
        <v>Khurshid Tabassum</v>
      </c>
      <c r="B3189" s="7" t="str">
        <f t="shared" si="136"/>
        <v>GB</v>
      </c>
      <c r="C3189" s="8" t="s">
        <v>41</v>
      </c>
      <c r="D3189" s="9" t="str">
        <f t="shared" si="137"/>
        <v>LDM DR P2P Invite 12-Nov-26 v2 [digital]</v>
      </c>
      <c r="E3189" s="10" t="str">
        <f>HYPERLINK("https://otsuka-europe-crm.veevavault.com/ui/#object/sent_email__v/VBL000000036040", "SE-001443203")</f>
        <v>SE-001443203</v>
      </c>
      <c r="F3189" s="11"/>
      <c r="G3189" s="12">
        <v>0</v>
      </c>
      <c r="H3189" s="12">
        <v>0</v>
      </c>
      <c r="I3189" s="12">
        <v>0</v>
      </c>
      <c r="J3189" s="11"/>
      <c r="K3189" s="12">
        <v>0</v>
      </c>
      <c r="L3189" s="10" t="str">
        <f t="shared" si="138"/>
        <v>LDM DR P2P Invite 12-Nov-26 v2 [digital]</v>
      </c>
      <c r="M3189" s="10" t="str">
        <f t="shared" si="139"/>
        <v>ldimambro@crm.otsuka-europe.com</v>
      </c>
      <c r="N3189" s="13">
        <v>46213.480231481481</v>
      </c>
      <c r="O3189" s="14" t="str">
        <f>HYPERLINK("https://otsuka-europe-crm.veevavault.com/ui/#object/email_activity__v/V8C000000048092", "EN-002104349")</f>
        <v>EN-002104349</v>
      </c>
    </row>
    <row r="3190" spans="1:15" ht="16" x14ac:dyDescent="0.2">
      <c r="A3190" s="18" t="str">
        <f>HYPERLINK("https://otsuka-europe-crm.veevavault.com/ui/#object/account__v/V4TZ04ASGC2MGH8", "Kimberley Lobo")</f>
        <v>Kimberley Lobo</v>
      </c>
      <c r="B3190" s="18" t="str">
        <f t="shared" si="136"/>
        <v>GB</v>
      </c>
      <c r="C3190" s="20" t="s">
        <v>41</v>
      </c>
      <c r="D3190" s="21" t="str">
        <f t="shared" si="137"/>
        <v>LDM DR P2P Invite 12-Nov-26 v2 [digital]</v>
      </c>
      <c r="E3190" s="22" t="str">
        <f>HYPERLINK("https://otsuka-europe-crm.veevavault.com/ui/#object/sent_email__v/VBL000000036041", "SE-001443204")</f>
        <v>SE-001443204</v>
      </c>
      <c r="F3190" s="25">
        <v>46213.548611111109</v>
      </c>
      <c r="G3190" s="24">
        <v>1</v>
      </c>
      <c r="H3190" s="24">
        <v>3</v>
      </c>
      <c r="I3190" s="24">
        <v>0</v>
      </c>
      <c r="J3190" s="23"/>
      <c r="K3190" s="24">
        <v>0</v>
      </c>
      <c r="L3190" s="22" t="str">
        <f t="shared" si="138"/>
        <v>LDM DR P2P Invite 12-Nov-26 v2 [digital]</v>
      </c>
      <c r="M3190" s="22" t="str">
        <f t="shared" si="139"/>
        <v>ldimambro@crm.otsuka-europe.com</v>
      </c>
      <c r="N3190" s="25">
        <v>46213.480231481481</v>
      </c>
      <c r="O3190" s="14" t="str">
        <f>HYPERLINK("https://otsuka-europe-crm.veevavault.com/ui/#object/email_activity__v/V8C000000047101", "EN-002104355")</f>
        <v>EN-002104355</v>
      </c>
    </row>
    <row r="3191" spans="1:15" ht="16" x14ac:dyDescent="0.2">
      <c r="A3191" s="26"/>
      <c r="B3191" s="26"/>
      <c r="C3191" s="26"/>
      <c r="D3191" s="26"/>
      <c r="E3191" s="26"/>
      <c r="F3191" s="26"/>
      <c r="G3191" s="26"/>
      <c r="H3191" s="26"/>
      <c r="I3191" s="26"/>
      <c r="J3191" s="26"/>
      <c r="K3191" s="26"/>
      <c r="L3191" s="26"/>
      <c r="M3191" s="26"/>
      <c r="N3191" s="26"/>
      <c r="O3191" s="14" t="str">
        <f>HYPERLINK("https://otsuka-europe-crm.veevavault.com/ui/#object/email_activity__v/V8C000000047128", "EN-002104387")</f>
        <v>EN-002104387</v>
      </c>
    </row>
    <row r="3192" spans="1:15" ht="16" x14ac:dyDescent="0.2">
      <c r="A3192" s="26"/>
      <c r="B3192" s="26"/>
      <c r="C3192" s="26"/>
      <c r="D3192" s="26"/>
      <c r="E3192" s="26"/>
      <c r="F3192" s="26"/>
      <c r="G3192" s="26"/>
      <c r="H3192" s="26"/>
      <c r="I3192" s="26"/>
      <c r="J3192" s="26"/>
      <c r="K3192" s="26"/>
      <c r="L3192" s="26"/>
      <c r="M3192" s="26"/>
      <c r="N3192" s="26"/>
      <c r="O3192" s="14" t="str">
        <f>HYPERLINK("https://otsuka-europe-crm.veevavault.com/ui/#object/email_activity__v/V8C000000048240", "EN-002104734")</f>
        <v>EN-002104734</v>
      </c>
    </row>
    <row r="3193" spans="1:15" ht="16" x14ac:dyDescent="0.2">
      <c r="A3193" s="19"/>
      <c r="B3193" s="19"/>
      <c r="C3193" s="19"/>
      <c r="D3193" s="19"/>
      <c r="E3193" s="19"/>
      <c r="F3193" s="19"/>
      <c r="G3193" s="19"/>
      <c r="H3193" s="19"/>
      <c r="I3193" s="19"/>
      <c r="J3193" s="19"/>
      <c r="K3193" s="19"/>
      <c r="L3193" s="19"/>
      <c r="M3193" s="19"/>
      <c r="N3193" s="19"/>
      <c r="O3193" s="14" t="str">
        <f>HYPERLINK("https://otsuka-europe-crm.veevavault.com/ui/#object/email_activity__v/V8C000000048241", "EN-002104735")</f>
        <v>EN-002104735</v>
      </c>
    </row>
    <row r="3194" spans="1:15" ht="16" x14ac:dyDescent="0.2">
      <c r="A3194" s="18" t="str">
        <f>HYPERLINK("https://otsuka-europe-crm.veevavault.com/ui/#object/account__v/V4TZ0000062PNKS", "Hanson Agyirifo")</f>
        <v>Hanson Agyirifo</v>
      </c>
      <c r="B3194" s="18" t="str">
        <f>HYPERLINK("https://otsuka-europe-crm.veevavault.com/ui/#object/vcountry__v/VENZ000004SONFK", "GB")</f>
        <v>GB</v>
      </c>
      <c r="C3194" s="20" t="s">
        <v>41</v>
      </c>
      <c r="D3194" s="21" t="str">
        <f>HYPERLINK("https://otsuka-europe-crm.veevavault.com/ui/#object/approved_document__v/V5O00000001V001", "LDM DR P2P Invite 12-Nov-26 v2 [digital]")</f>
        <v>LDM DR P2P Invite 12-Nov-26 v2 [digital]</v>
      </c>
      <c r="E3194" s="22" t="str">
        <f>HYPERLINK("https://otsuka-europe-crm.veevavault.com/ui/#object/sent_email__v/VBL000000036042", "SE-001443205")</f>
        <v>SE-001443205</v>
      </c>
      <c r="F3194" s="25">
        <v>46213.639699074076</v>
      </c>
      <c r="G3194" s="24">
        <v>1</v>
      </c>
      <c r="H3194" s="24">
        <v>2</v>
      </c>
      <c r="I3194" s="24">
        <v>0</v>
      </c>
      <c r="J3194" s="23"/>
      <c r="K3194" s="24">
        <v>0</v>
      </c>
      <c r="L3194" s="22" t="str">
        <f>HYPERLINK("https://otsuka-europe-crm.veevavault.com/ui/#object/approved_document__v/V5O00000001V001", "LDM DR P2P Invite 12-Nov-26 v2 [digital]")</f>
        <v>LDM DR P2P Invite 12-Nov-26 v2 [digital]</v>
      </c>
      <c r="M3194" s="22" t="str">
        <f>HYPERLINK("mailto:ldimambro@crm.otsuka-europe.com", "ldimambro@crm.otsuka-europe.com")</f>
        <v>ldimambro@crm.otsuka-europe.com</v>
      </c>
      <c r="N3194" s="25">
        <v>46213.480231481481</v>
      </c>
      <c r="O3194" s="14" t="str">
        <f>HYPERLINK("https://otsuka-europe-crm.veevavault.com/ui/#object/email_activity__v/V8C000000048091", "EN-002104348")</f>
        <v>EN-002104348</v>
      </c>
    </row>
    <row r="3195" spans="1:15" ht="16" x14ac:dyDescent="0.2">
      <c r="A3195" s="26"/>
      <c r="B3195" s="26"/>
      <c r="C3195" s="26"/>
      <c r="D3195" s="26"/>
      <c r="E3195" s="26"/>
      <c r="F3195" s="26"/>
      <c r="G3195" s="26"/>
      <c r="H3195" s="26"/>
      <c r="I3195" s="26"/>
      <c r="J3195" s="26"/>
      <c r="K3195" s="26"/>
      <c r="L3195" s="26"/>
      <c r="M3195" s="26"/>
      <c r="N3195" s="26"/>
      <c r="O3195" s="14" t="str">
        <f>HYPERLINK("https://otsuka-europe-crm.veevavault.com/ui/#object/email_activity__v/V8C000000048231", "EN-002104717")</f>
        <v>EN-002104717</v>
      </c>
    </row>
    <row r="3196" spans="1:15" ht="16" x14ac:dyDescent="0.2">
      <c r="A3196" s="19"/>
      <c r="B3196" s="19"/>
      <c r="C3196" s="19"/>
      <c r="D3196" s="19"/>
      <c r="E3196" s="19"/>
      <c r="F3196" s="19"/>
      <c r="G3196" s="19"/>
      <c r="H3196" s="19"/>
      <c r="I3196" s="19"/>
      <c r="J3196" s="19"/>
      <c r="K3196" s="19"/>
      <c r="L3196" s="19"/>
      <c r="M3196" s="19"/>
      <c r="N3196" s="19"/>
      <c r="O3196" s="14" t="str">
        <f>HYPERLINK("https://otsuka-europe-crm.veevavault.com/ui/#object/email_activity__v/V8C000000048264", "EN-002104781")</f>
        <v>EN-002104781</v>
      </c>
    </row>
    <row r="3197" spans="1:15" ht="32" x14ac:dyDescent="0.2">
      <c r="A3197" s="7" t="str">
        <f>HYPERLINK("https://otsuka-europe-crm.veevavault.com/ui/#object/account__v/V4TZ0000062PBXG", "Katharina Adu")</f>
        <v>Katharina Adu</v>
      </c>
      <c r="B3197" s="7" t="str">
        <f>HYPERLINK("https://otsuka-europe-crm.veevavault.com/ui/#object/vcountry__v/VENZ000004SONFK", "GB")</f>
        <v>GB</v>
      </c>
      <c r="C3197" s="8" t="s">
        <v>41</v>
      </c>
      <c r="D3197" s="9" t="str">
        <f>HYPERLINK("https://otsuka-europe-crm.veevavault.com/ui/#object/approved_document__v/V5O00000001V001", "LDM DR P2P Invite 12-Nov-26 v2 [digital]")</f>
        <v>LDM DR P2P Invite 12-Nov-26 v2 [digital]</v>
      </c>
      <c r="E3197" s="10" t="str">
        <f>HYPERLINK("https://otsuka-europe-crm.veevavault.com/ui/#object/sent_email__v/VBL000000036043", "SE-001443206")</f>
        <v>SE-001443206</v>
      </c>
      <c r="F3197" s="11"/>
      <c r="G3197" s="12">
        <v>0</v>
      </c>
      <c r="H3197" s="12">
        <v>0</v>
      </c>
      <c r="I3197" s="12">
        <v>0</v>
      </c>
      <c r="J3197" s="11"/>
      <c r="K3197" s="12">
        <v>0</v>
      </c>
      <c r="L3197" s="10" t="str">
        <f>HYPERLINK("https://otsuka-europe-crm.veevavault.com/ui/#object/approved_document__v/V5O00000001V001", "LDM DR P2P Invite 12-Nov-26 v2 [digital]")</f>
        <v>LDM DR P2P Invite 12-Nov-26 v2 [digital]</v>
      </c>
      <c r="M3197" s="10" t="str">
        <f>HYPERLINK("mailto:ldimambro@crm.otsuka-europe.com", "ldimambro@crm.otsuka-europe.com")</f>
        <v>ldimambro@crm.otsuka-europe.com</v>
      </c>
      <c r="N3197" s="13">
        <v>46213.480231481481</v>
      </c>
      <c r="O3197" s="14" t="str">
        <f>HYPERLINK("https://otsuka-europe-crm.veevavault.com/ui/#object/email_activity__v/V8C000000047120", "EN-002104377")</f>
        <v>EN-002104377</v>
      </c>
    </row>
    <row r="3198" spans="1:15" ht="32" x14ac:dyDescent="0.2">
      <c r="A3198" s="7" t="str">
        <f>HYPERLINK("https://otsuka-europe-crm.veevavault.com/ui/#object/account__v/V4TZ0000062PG12", "Iffat Mahmood")</f>
        <v>Iffat Mahmood</v>
      </c>
      <c r="B3198" s="7" t="str">
        <f>HYPERLINK("https://otsuka-europe-crm.veevavault.com/ui/#object/vcountry__v/VENZ000004SONFK", "GB")</f>
        <v>GB</v>
      </c>
      <c r="C3198" s="8" t="s">
        <v>41</v>
      </c>
      <c r="D3198" s="9" t="str">
        <f>HYPERLINK("https://otsuka-europe-crm.veevavault.com/ui/#object/approved_document__v/V5O00000001V001", "LDM DR P2P Invite 12-Nov-26 v2 [digital]")</f>
        <v>LDM DR P2P Invite 12-Nov-26 v2 [digital]</v>
      </c>
      <c r="E3198" s="10" t="str">
        <f>HYPERLINK("https://otsuka-europe-crm.veevavault.com/ui/#object/sent_email__v/VBL000000036044", "SE-001443207")</f>
        <v>SE-001443207</v>
      </c>
      <c r="F3198" s="11"/>
      <c r="G3198" s="12">
        <v>0</v>
      </c>
      <c r="H3198" s="12">
        <v>0</v>
      </c>
      <c r="I3198" s="12">
        <v>0</v>
      </c>
      <c r="J3198" s="11"/>
      <c r="K3198" s="12">
        <v>0</v>
      </c>
      <c r="L3198" s="10" t="str">
        <f>HYPERLINK("https://otsuka-europe-crm.veevavault.com/ui/#object/approved_document__v/V5O00000001V001", "LDM DR P2P Invite 12-Nov-26 v2 [digital]")</f>
        <v>LDM DR P2P Invite 12-Nov-26 v2 [digital]</v>
      </c>
      <c r="M3198" s="10" t="str">
        <f>HYPERLINK("mailto:ldimambro@crm.otsuka-europe.com", "ldimambro@crm.otsuka-europe.com")</f>
        <v>ldimambro@crm.otsuka-europe.com</v>
      </c>
      <c r="N3198" s="13">
        <v>46213.480231481481</v>
      </c>
      <c r="O3198" s="14" t="str">
        <f>HYPERLINK("https://otsuka-europe-crm.veevavault.com/ui/#object/email_activity__v/V8C000000047109", "EN-002104363")</f>
        <v>EN-002104363</v>
      </c>
    </row>
    <row r="3199" spans="1:15" ht="16" x14ac:dyDescent="0.2">
      <c r="A3199" s="18" t="str">
        <f>HYPERLINK("https://otsuka-europe-crm.veevavault.com/ui/#object/account__v/V4TZ04ASG84P4IM", "Flavia Napoletano")</f>
        <v>Flavia Napoletano</v>
      </c>
      <c r="B3199" s="18" t="str">
        <f>HYPERLINK("https://otsuka-europe-crm.veevavault.com/ui/#object/vcountry__v/VENZ000004SONFK", "GB")</f>
        <v>GB</v>
      </c>
      <c r="C3199" s="20" t="s">
        <v>41</v>
      </c>
      <c r="D3199" s="21" t="str">
        <f>HYPERLINK("https://otsuka-europe-crm.veevavault.com/ui/#object/approved_document__v/V5O00000001V001", "LDM DR P2P Invite 12-Nov-26 v2 [digital]")</f>
        <v>LDM DR P2P Invite 12-Nov-26 v2 [digital]</v>
      </c>
      <c r="E3199" s="22" t="str">
        <f>HYPERLINK("https://otsuka-europe-crm.veevavault.com/ui/#object/sent_email__v/VBL000000036045", "SE-001443208")</f>
        <v>SE-001443208</v>
      </c>
      <c r="F3199" s="25">
        <v>46213.504675925928</v>
      </c>
      <c r="G3199" s="24">
        <v>1</v>
      </c>
      <c r="H3199" s="24">
        <v>2</v>
      </c>
      <c r="I3199" s="24">
        <v>0</v>
      </c>
      <c r="J3199" s="23"/>
      <c r="K3199" s="24">
        <v>0</v>
      </c>
      <c r="L3199" s="22" t="str">
        <f>HYPERLINK("https://otsuka-europe-crm.veevavault.com/ui/#object/approved_document__v/V5O00000001V001", "LDM DR P2P Invite 12-Nov-26 v2 [digital]")</f>
        <v>LDM DR P2P Invite 12-Nov-26 v2 [digital]</v>
      </c>
      <c r="M3199" s="22" t="str">
        <f>HYPERLINK("mailto:ldimambro@crm.otsuka-europe.com", "ldimambro@crm.otsuka-europe.com")</f>
        <v>ldimambro@crm.otsuka-europe.com</v>
      </c>
      <c r="N3199" s="25">
        <v>46213.480231481481</v>
      </c>
      <c r="O3199" s="14" t="str">
        <f>HYPERLINK("https://otsuka-europe-crm.veevavault.com/ui/#object/email_activity__v/V8C000000047193", "EN-002104495")</f>
        <v>EN-002104495</v>
      </c>
    </row>
    <row r="3200" spans="1:15" ht="16" x14ac:dyDescent="0.2">
      <c r="A3200" s="26"/>
      <c r="B3200" s="26"/>
      <c r="C3200" s="26"/>
      <c r="D3200" s="26"/>
      <c r="E3200" s="26"/>
      <c r="F3200" s="26"/>
      <c r="G3200" s="26"/>
      <c r="H3200" s="26"/>
      <c r="I3200" s="26"/>
      <c r="J3200" s="26"/>
      <c r="K3200" s="26"/>
      <c r="L3200" s="26"/>
      <c r="M3200" s="26"/>
      <c r="N3200" s="26"/>
      <c r="O3200" s="14" t="str">
        <f>HYPERLINK("https://otsuka-europe-crm.veevavault.com/ui/#object/email_activity__v/V8C000000047194", "EN-002104496")</f>
        <v>EN-002104496</v>
      </c>
    </row>
    <row r="3201" spans="1:15" ht="16" x14ac:dyDescent="0.2">
      <c r="A3201" s="19"/>
      <c r="B3201" s="19"/>
      <c r="C3201" s="19"/>
      <c r="D3201" s="19"/>
      <c r="E3201" s="19"/>
      <c r="F3201" s="19"/>
      <c r="G3201" s="19"/>
      <c r="H3201" s="19"/>
      <c r="I3201" s="19"/>
      <c r="J3201" s="19"/>
      <c r="K3201" s="19"/>
      <c r="L3201" s="19"/>
      <c r="M3201" s="19"/>
      <c r="N3201" s="19"/>
      <c r="O3201" s="14" t="str">
        <f>HYPERLINK("https://otsuka-europe-crm.veevavault.com/ui/#object/email_activity__v/V8C000000048095", "EN-002104369")</f>
        <v>EN-002104369</v>
      </c>
    </row>
    <row r="3202" spans="1:15" ht="32" x14ac:dyDescent="0.2">
      <c r="A3202" s="7" t="str">
        <f>HYPERLINK("https://otsuka-europe-crm.veevavault.com/ui/#object/account__v/V4TZ0000062PCT3", "Kenneth Anakwue")</f>
        <v>Kenneth Anakwue</v>
      </c>
      <c r="B3202" s="7" t="str">
        <f t="shared" ref="B3202:B3211" si="140">HYPERLINK("https://otsuka-europe-crm.veevavault.com/ui/#object/vcountry__v/VENZ000004SONFK", "GB")</f>
        <v>GB</v>
      </c>
      <c r="C3202" s="8" t="s">
        <v>41</v>
      </c>
      <c r="D3202" s="9" t="str">
        <f t="shared" ref="D3202:D3211" si="141">HYPERLINK("https://otsuka-europe-crm.veevavault.com/ui/#object/approved_document__v/V5O00000001V001", "LDM DR P2P Invite 12-Nov-26 v2 [digital]")</f>
        <v>LDM DR P2P Invite 12-Nov-26 v2 [digital]</v>
      </c>
      <c r="E3202" s="10" t="str">
        <f>HYPERLINK("https://otsuka-europe-crm.veevavault.com/ui/#object/sent_email__v/VBL000000036046", "SE-001443209")</f>
        <v>SE-001443209</v>
      </c>
      <c r="F3202" s="11"/>
      <c r="G3202" s="12">
        <v>0</v>
      </c>
      <c r="H3202" s="12">
        <v>0</v>
      </c>
      <c r="I3202" s="12">
        <v>0</v>
      </c>
      <c r="J3202" s="11"/>
      <c r="K3202" s="12">
        <v>0</v>
      </c>
      <c r="L3202" s="10" t="str">
        <f t="shared" ref="L3202:L3211" si="142">HYPERLINK("https://otsuka-europe-crm.veevavault.com/ui/#object/approved_document__v/V5O00000001V001", "LDM DR P2P Invite 12-Nov-26 v2 [digital]")</f>
        <v>LDM DR P2P Invite 12-Nov-26 v2 [digital]</v>
      </c>
      <c r="M3202" s="10" t="str">
        <f t="shared" ref="M3202:M3211" si="143">HYPERLINK("mailto:ldimambro@crm.otsuka-europe.com", "ldimambro@crm.otsuka-europe.com")</f>
        <v>ldimambro@crm.otsuka-europe.com</v>
      </c>
      <c r="N3202" s="13">
        <v>46213.480231481481</v>
      </c>
      <c r="O3202" s="14" t="str">
        <f>HYPERLINK("https://otsuka-europe-crm.veevavault.com/ui/#object/email_activity__v/V8C000000047108", "EN-002104362")</f>
        <v>EN-002104362</v>
      </c>
    </row>
    <row r="3203" spans="1:15" ht="32" x14ac:dyDescent="0.2">
      <c r="A3203" s="7" t="str">
        <f>HYPERLINK("https://otsuka-europe-crm.veevavault.com/ui/#object/account__v/V4TZ0000062PDQL", "Elvin D'Cruz")</f>
        <v>Elvin D'Cruz</v>
      </c>
      <c r="B3203" s="7" t="str">
        <f t="shared" si="140"/>
        <v>GB</v>
      </c>
      <c r="C3203" s="8" t="s">
        <v>41</v>
      </c>
      <c r="D3203" s="9" t="str">
        <f t="shared" si="141"/>
        <v>LDM DR P2P Invite 12-Nov-26 v2 [digital]</v>
      </c>
      <c r="E3203" s="10" t="str">
        <f>HYPERLINK("https://otsuka-europe-crm.veevavault.com/ui/#object/sent_email__v/VBL000000036047", "SE-001443210")</f>
        <v>SE-001443210</v>
      </c>
      <c r="F3203" s="11"/>
      <c r="G3203" s="12">
        <v>0</v>
      </c>
      <c r="H3203" s="12">
        <v>0</v>
      </c>
      <c r="I3203" s="12">
        <v>0</v>
      </c>
      <c r="J3203" s="11"/>
      <c r="K3203" s="12">
        <v>0</v>
      </c>
      <c r="L3203" s="10" t="str">
        <f t="shared" si="142"/>
        <v>LDM DR P2P Invite 12-Nov-26 v2 [digital]</v>
      </c>
      <c r="M3203" s="10" t="str">
        <f t="shared" si="143"/>
        <v>ldimambro@crm.otsuka-europe.com</v>
      </c>
      <c r="N3203" s="13">
        <v>46213.480231481481</v>
      </c>
      <c r="O3203" s="14" t="str">
        <f>HYPERLINK("https://otsuka-europe-crm.veevavault.com/ui/#object/email_activity__v/V8C000000047111", "EN-002104365")</f>
        <v>EN-002104365</v>
      </c>
    </row>
    <row r="3204" spans="1:15" ht="32" x14ac:dyDescent="0.2">
      <c r="A3204" s="7" t="str">
        <f>HYPERLINK("https://otsuka-europe-crm.veevavault.com/ui/#object/account__v/V4TZ04ASGBNZV0Z", "Hazel Zimonte")</f>
        <v>Hazel Zimonte</v>
      </c>
      <c r="B3204" s="7" t="str">
        <f t="shared" si="140"/>
        <v>GB</v>
      </c>
      <c r="C3204" s="8" t="s">
        <v>41</v>
      </c>
      <c r="D3204" s="9" t="str">
        <f t="shared" si="141"/>
        <v>LDM DR P2P Invite 12-Nov-26 v2 [digital]</v>
      </c>
      <c r="E3204" s="10" t="str">
        <f>HYPERLINK("https://otsuka-europe-crm.veevavault.com/ui/#object/sent_email__v/VBL000000036048", "SE-001443211")</f>
        <v>SE-001443211</v>
      </c>
      <c r="F3204" s="11"/>
      <c r="G3204" s="12">
        <v>0</v>
      </c>
      <c r="H3204" s="12">
        <v>0</v>
      </c>
      <c r="I3204" s="12">
        <v>0</v>
      </c>
      <c r="J3204" s="11"/>
      <c r="K3204" s="12">
        <v>0</v>
      </c>
      <c r="L3204" s="10" t="str">
        <f t="shared" si="142"/>
        <v>LDM DR P2P Invite 12-Nov-26 v2 [digital]</v>
      </c>
      <c r="M3204" s="10" t="str">
        <f t="shared" si="143"/>
        <v>ldimambro@crm.otsuka-europe.com</v>
      </c>
      <c r="N3204" s="13">
        <v>46213.480231481481</v>
      </c>
      <c r="O3204" s="14" t="str">
        <f>HYPERLINK("https://otsuka-europe-crm.veevavault.com/ui/#object/email_activity__v/V8C000000048090", "EN-002104347")</f>
        <v>EN-002104347</v>
      </c>
    </row>
    <row r="3205" spans="1:15" ht="32" x14ac:dyDescent="0.2">
      <c r="A3205" s="7" t="str">
        <f>HYPERLINK("https://otsuka-europe-crm.veevavault.com/ui/#object/account__v/V4TZ0000062PNHS", "Juliana Darkwah")</f>
        <v>Juliana Darkwah</v>
      </c>
      <c r="B3205" s="7" t="str">
        <f t="shared" si="140"/>
        <v>GB</v>
      </c>
      <c r="C3205" s="8" t="s">
        <v>41</v>
      </c>
      <c r="D3205" s="9" t="str">
        <f t="shared" si="141"/>
        <v>LDM DR P2P Invite 12-Nov-26 v2 [digital]</v>
      </c>
      <c r="E3205" s="10" t="str">
        <f>HYPERLINK("https://otsuka-europe-crm.veevavault.com/ui/#object/sent_email__v/VBL000000036049", "SE-001443212")</f>
        <v>SE-001443212</v>
      </c>
      <c r="F3205" s="11"/>
      <c r="G3205" s="12">
        <v>0</v>
      </c>
      <c r="H3205" s="12">
        <v>0</v>
      </c>
      <c r="I3205" s="12">
        <v>0</v>
      </c>
      <c r="J3205" s="11"/>
      <c r="K3205" s="12">
        <v>0</v>
      </c>
      <c r="L3205" s="10" t="str">
        <f t="shared" si="142"/>
        <v>LDM DR P2P Invite 12-Nov-26 v2 [digital]</v>
      </c>
      <c r="M3205" s="10" t="str">
        <f t="shared" si="143"/>
        <v>ldimambro@crm.otsuka-europe.com</v>
      </c>
      <c r="N3205" s="13">
        <v>46213.480231481481</v>
      </c>
      <c r="O3205" s="14" t="str">
        <f>HYPERLINK("https://otsuka-europe-crm.veevavault.com/ui/#object/email_activity__v/V8C000000047110", "EN-002104364")</f>
        <v>EN-002104364</v>
      </c>
    </row>
    <row r="3206" spans="1:15" ht="32" x14ac:dyDescent="0.2">
      <c r="A3206" s="7" t="str">
        <f>HYPERLINK("https://otsuka-europe-crm.veevavault.com/ui/#object/account__v/V4TZ0000062PDYM", "Dina Farraj")</f>
        <v>Dina Farraj</v>
      </c>
      <c r="B3206" s="7" t="str">
        <f t="shared" si="140"/>
        <v>GB</v>
      </c>
      <c r="C3206" s="8" t="s">
        <v>41</v>
      </c>
      <c r="D3206" s="9" t="str">
        <f t="shared" si="141"/>
        <v>LDM DR P2P Invite 12-Nov-26 v2 [digital]</v>
      </c>
      <c r="E3206" s="10" t="str">
        <f>HYPERLINK("https://otsuka-europe-crm.veevavault.com/ui/#object/sent_email__v/VBL000000036050", "SE-001443213")</f>
        <v>SE-001443213</v>
      </c>
      <c r="F3206" s="11"/>
      <c r="G3206" s="12">
        <v>0</v>
      </c>
      <c r="H3206" s="12">
        <v>0</v>
      </c>
      <c r="I3206" s="12">
        <v>0</v>
      </c>
      <c r="J3206" s="11"/>
      <c r="K3206" s="12">
        <v>0</v>
      </c>
      <c r="L3206" s="10" t="str">
        <f t="shared" si="142"/>
        <v>LDM DR P2P Invite 12-Nov-26 v2 [digital]</v>
      </c>
      <c r="M3206" s="10" t="str">
        <f t="shared" si="143"/>
        <v>ldimambro@crm.otsuka-europe.com</v>
      </c>
      <c r="N3206" s="13">
        <v>46213.480231481481</v>
      </c>
      <c r="O3206" s="14" t="str">
        <f>HYPERLINK("https://otsuka-europe-crm.veevavault.com/ui/#object/email_activity__v/V8C000000047117", "EN-002104374")</f>
        <v>EN-002104374</v>
      </c>
    </row>
    <row r="3207" spans="1:15" ht="32" x14ac:dyDescent="0.2">
      <c r="A3207" s="7" t="str">
        <f>HYPERLINK("https://otsuka-europe-crm.veevavault.com/ui/#object/account__v/V4TZ04ASG6T66NQ", "Georgios Mattas")</f>
        <v>Georgios Mattas</v>
      </c>
      <c r="B3207" s="7" t="str">
        <f t="shared" si="140"/>
        <v>GB</v>
      </c>
      <c r="C3207" s="8" t="s">
        <v>41</v>
      </c>
      <c r="D3207" s="9" t="str">
        <f t="shared" si="141"/>
        <v>LDM DR P2P Invite 12-Nov-26 v2 [digital]</v>
      </c>
      <c r="E3207" s="10" t="str">
        <f>HYPERLINK("https://otsuka-europe-crm.veevavault.com/ui/#object/sent_email__v/VBL000000036051", "SE-001443214")</f>
        <v>SE-001443214</v>
      </c>
      <c r="F3207" s="11"/>
      <c r="G3207" s="12">
        <v>0</v>
      </c>
      <c r="H3207" s="12">
        <v>0</v>
      </c>
      <c r="I3207" s="12">
        <v>0</v>
      </c>
      <c r="J3207" s="11"/>
      <c r="K3207" s="12">
        <v>0</v>
      </c>
      <c r="L3207" s="10" t="str">
        <f t="shared" si="142"/>
        <v>LDM DR P2P Invite 12-Nov-26 v2 [digital]</v>
      </c>
      <c r="M3207" s="10" t="str">
        <f t="shared" si="143"/>
        <v>ldimambro@crm.otsuka-europe.com</v>
      </c>
      <c r="N3207" s="13">
        <v>46213.480231481481</v>
      </c>
      <c r="O3207" s="14" t="str">
        <f>HYPERLINK("https://otsuka-europe-crm.veevavault.com/ui/#object/email_activity__v/V8C000000047103", "EN-002104357")</f>
        <v>EN-002104357</v>
      </c>
    </row>
    <row r="3208" spans="1:15" ht="32" x14ac:dyDescent="0.2">
      <c r="A3208" s="7" t="str">
        <f>HYPERLINK("https://otsuka-europe-crm.veevavault.com/ui/#object/account__v/V4TZ0000062PCG3", "Jude-Malachy Ezeonwuka")</f>
        <v>Jude-Malachy Ezeonwuka</v>
      </c>
      <c r="B3208" s="7" t="str">
        <f t="shared" si="140"/>
        <v>GB</v>
      </c>
      <c r="C3208" s="8" t="s">
        <v>41</v>
      </c>
      <c r="D3208" s="9" t="str">
        <f t="shared" si="141"/>
        <v>LDM DR P2P Invite 12-Nov-26 v2 [digital]</v>
      </c>
      <c r="E3208" s="10" t="str">
        <f>HYPERLINK("https://otsuka-europe-crm.veevavault.com/ui/#object/sent_email__v/VBL000000036052", "SE-001443215")</f>
        <v>SE-001443215</v>
      </c>
      <c r="F3208" s="11"/>
      <c r="G3208" s="12">
        <v>0</v>
      </c>
      <c r="H3208" s="12">
        <v>0</v>
      </c>
      <c r="I3208" s="12">
        <v>0</v>
      </c>
      <c r="J3208" s="11"/>
      <c r="K3208" s="12">
        <v>0</v>
      </c>
      <c r="L3208" s="10" t="str">
        <f t="shared" si="142"/>
        <v>LDM DR P2P Invite 12-Nov-26 v2 [digital]</v>
      </c>
      <c r="M3208" s="10" t="str">
        <f t="shared" si="143"/>
        <v>ldimambro@crm.otsuka-europe.com</v>
      </c>
      <c r="N3208" s="13">
        <v>46213.480231481481</v>
      </c>
      <c r="O3208" s="14" t="str">
        <f>HYPERLINK("https://otsuka-europe-crm.veevavault.com/ui/#object/email_activity__v/V8C000000048096", "EN-002104385")</f>
        <v>EN-002104385</v>
      </c>
    </row>
    <row r="3209" spans="1:15" ht="32" x14ac:dyDescent="0.2">
      <c r="A3209" s="7" t="str">
        <f>HYPERLINK("https://otsuka-europe-crm.veevavault.com/ui/#object/account__v/V4TZ04ASG7NW2D8", "Dilshana Nafisa Bapakunhi")</f>
        <v>Dilshana Nafisa Bapakunhi</v>
      </c>
      <c r="B3209" s="7" t="str">
        <f t="shared" si="140"/>
        <v>GB</v>
      </c>
      <c r="C3209" s="8" t="s">
        <v>41</v>
      </c>
      <c r="D3209" s="9" t="str">
        <f t="shared" si="141"/>
        <v>LDM DR P2P Invite 12-Nov-26 v2 [digital]</v>
      </c>
      <c r="E3209" s="10" t="str">
        <f>HYPERLINK("https://otsuka-europe-crm.veevavault.com/ui/#object/sent_email__v/VBL000000036053", "SE-001443216")</f>
        <v>SE-001443216</v>
      </c>
      <c r="F3209" s="11"/>
      <c r="G3209" s="12">
        <v>0</v>
      </c>
      <c r="H3209" s="12">
        <v>0</v>
      </c>
      <c r="I3209" s="12">
        <v>0</v>
      </c>
      <c r="J3209" s="11"/>
      <c r="K3209" s="12">
        <v>0</v>
      </c>
      <c r="L3209" s="10" t="str">
        <f t="shared" si="142"/>
        <v>LDM DR P2P Invite 12-Nov-26 v2 [digital]</v>
      </c>
      <c r="M3209" s="10" t="str">
        <f t="shared" si="143"/>
        <v>ldimambro@crm.otsuka-europe.com</v>
      </c>
      <c r="N3209" s="13">
        <v>46213.480231481481</v>
      </c>
      <c r="O3209" s="14" t="str">
        <f>HYPERLINK("https://otsuka-europe-crm.veevavault.com/ui/#object/email_activity__v/V8C000000047100", "EN-002104354")</f>
        <v>EN-002104354</v>
      </c>
    </row>
    <row r="3210" spans="1:15" ht="32" x14ac:dyDescent="0.2">
      <c r="A3210" s="7" t="str">
        <f>HYPERLINK("https://otsuka-europe-crm.veevavault.com/ui/#object/account__v/V4TZ0000062PJLP", "Fatimat Aigbekaen")</f>
        <v>Fatimat Aigbekaen</v>
      </c>
      <c r="B3210" s="7" t="str">
        <f t="shared" si="140"/>
        <v>GB</v>
      </c>
      <c r="C3210" s="8" t="s">
        <v>41</v>
      </c>
      <c r="D3210" s="9" t="str">
        <f t="shared" si="141"/>
        <v>LDM DR P2P Invite 12-Nov-26 v2 [digital]</v>
      </c>
      <c r="E3210" s="10" t="str">
        <f>HYPERLINK("https://otsuka-europe-crm.veevavault.com/ui/#object/sent_email__v/VBL000000036054", "SE-001443217")</f>
        <v>SE-001443217</v>
      </c>
      <c r="F3210" s="11"/>
      <c r="G3210" s="12">
        <v>0</v>
      </c>
      <c r="H3210" s="12">
        <v>0</v>
      </c>
      <c r="I3210" s="12">
        <v>0</v>
      </c>
      <c r="J3210" s="11"/>
      <c r="K3210" s="12">
        <v>0</v>
      </c>
      <c r="L3210" s="10" t="str">
        <f t="shared" si="142"/>
        <v>LDM DR P2P Invite 12-Nov-26 v2 [digital]</v>
      </c>
      <c r="M3210" s="10" t="str">
        <f t="shared" si="143"/>
        <v>ldimambro@crm.otsuka-europe.com</v>
      </c>
      <c r="N3210" s="13">
        <v>46213.480231481481</v>
      </c>
      <c r="O3210" s="14" t="str">
        <f>HYPERLINK("https://otsuka-europe-crm.veevavault.com/ui/#object/email_activity__v/V8C000000047126", "EN-002104383")</f>
        <v>EN-002104383</v>
      </c>
    </row>
    <row r="3211" spans="1:15" ht="16" x14ac:dyDescent="0.2">
      <c r="A3211" s="18" t="str">
        <f>HYPERLINK("https://otsuka-europe-crm.veevavault.com/ui/#object/account__v/V4TZ04ASG79ZNAW", "Doris Akogo")</f>
        <v>Doris Akogo</v>
      </c>
      <c r="B3211" s="18" t="str">
        <f t="shared" si="140"/>
        <v>GB</v>
      </c>
      <c r="C3211" s="20" t="s">
        <v>41</v>
      </c>
      <c r="D3211" s="21" t="str">
        <f t="shared" si="141"/>
        <v>LDM DR P2P Invite 12-Nov-26 v2 [digital]</v>
      </c>
      <c r="E3211" s="22" t="str">
        <f>HYPERLINK("https://otsuka-europe-crm.veevavault.com/ui/#object/sent_email__v/VBL000000036055", "SE-001443218")</f>
        <v>SE-001443218</v>
      </c>
      <c r="F3211" s="25">
        <v>46215.56690972222</v>
      </c>
      <c r="G3211" s="24">
        <v>1</v>
      </c>
      <c r="H3211" s="24">
        <v>2</v>
      </c>
      <c r="I3211" s="24">
        <v>0</v>
      </c>
      <c r="J3211" s="23"/>
      <c r="K3211" s="24">
        <v>0</v>
      </c>
      <c r="L3211" s="22" t="str">
        <f t="shared" si="142"/>
        <v>LDM DR P2P Invite 12-Nov-26 v2 [digital]</v>
      </c>
      <c r="M3211" s="22" t="str">
        <f t="shared" si="143"/>
        <v>ldimambro@crm.otsuka-europe.com</v>
      </c>
      <c r="N3211" s="25">
        <v>46213.480231481481</v>
      </c>
      <c r="O3211" s="14" t="str">
        <f>HYPERLINK("https://otsuka-europe-crm.veevavault.com/ui/#object/email_activity__v/V8C000000047123", "EN-002104380")</f>
        <v>EN-002104380</v>
      </c>
    </row>
    <row r="3212" spans="1:15" ht="16" x14ac:dyDescent="0.2">
      <c r="A3212" s="26"/>
      <c r="B3212" s="26"/>
      <c r="C3212" s="26"/>
      <c r="D3212" s="26"/>
      <c r="E3212" s="26"/>
      <c r="F3212" s="26"/>
      <c r="G3212" s="26"/>
      <c r="H3212" s="26"/>
      <c r="I3212" s="26"/>
      <c r="J3212" s="26"/>
      <c r="K3212" s="26"/>
      <c r="L3212" s="26"/>
      <c r="M3212" s="26"/>
      <c r="N3212" s="26"/>
      <c r="O3212" s="14" t="str">
        <f>HYPERLINK("https://otsuka-europe-crm.veevavault.com/ui/#object/email_activity__v/V8C000000049048", "EN-002104966")</f>
        <v>EN-002104966</v>
      </c>
    </row>
    <row r="3213" spans="1:15" ht="16" x14ac:dyDescent="0.2">
      <c r="A3213" s="19"/>
      <c r="B3213" s="19"/>
      <c r="C3213" s="19"/>
      <c r="D3213" s="19"/>
      <c r="E3213" s="19"/>
      <c r="F3213" s="19"/>
      <c r="G3213" s="19"/>
      <c r="H3213" s="19"/>
      <c r="I3213" s="19"/>
      <c r="J3213" s="19"/>
      <c r="K3213" s="19"/>
      <c r="L3213" s="19"/>
      <c r="M3213" s="19"/>
      <c r="N3213" s="19"/>
      <c r="O3213" s="14" t="str">
        <f>HYPERLINK("https://otsuka-europe-crm.veevavault.com/ui/#object/email_activity__v/V8C00000004A051", "EN-002104967")</f>
        <v>EN-002104967</v>
      </c>
    </row>
    <row r="3214" spans="1:15" ht="16" x14ac:dyDescent="0.2">
      <c r="A3214" s="18" t="str">
        <f>HYPERLINK("https://otsuka-europe-crm.veevavault.com/ui/#object/account__v/V4TZ04ASGB9NWQI", "Garvin Alleyne")</f>
        <v>Garvin Alleyne</v>
      </c>
      <c r="B3214" s="18" t="str">
        <f>HYPERLINK("https://otsuka-europe-crm.veevavault.com/ui/#object/vcountry__v/VENZ000004SONFK", "GB")</f>
        <v>GB</v>
      </c>
      <c r="C3214" s="20" t="s">
        <v>41</v>
      </c>
      <c r="D3214" s="21" t="str">
        <f>HYPERLINK("https://otsuka-europe-crm.veevavault.com/ui/#object/approved_document__v/V5O00000001V001", "LDM DR P2P Invite 12-Nov-26 v2 [digital]")</f>
        <v>LDM DR P2P Invite 12-Nov-26 v2 [digital]</v>
      </c>
      <c r="E3214" s="22" t="str">
        <f>HYPERLINK("https://otsuka-europe-crm.veevavault.com/ui/#object/sent_email__v/VBL000000036056", "SE-001443219")</f>
        <v>SE-001443219</v>
      </c>
      <c r="F3214" s="25">
        <v>46213.675810185188</v>
      </c>
      <c r="G3214" s="24">
        <v>1</v>
      </c>
      <c r="H3214" s="24">
        <v>7</v>
      </c>
      <c r="I3214" s="24">
        <v>0</v>
      </c>
      <c r="J3214" s="23"/>
      <c r="K3214" s="24">
        <v>0</v>
      </c>
      <c r="L3214" s="22" t="str">
        <f>HYPERLINK("https://otsuka-europe-crm.veevavault.com/ui/#object/approved_document__v/V5O00000001V001", "LDM DR P2P Invite 12-Nov-26 v2 [digital]")</f>
        <v>LDM DR P2P Invite 12-Nov-26 v2 [digital]</v>
      </c>
      <c r="M3214" s="22" t="str">
        <f>HYPERLINK("mailto:ldimambro@crm.otsuka-europe.com", "ldimambro@crm.otsuka-europe.com")</f>
        <v>ldimambro@crm.otsuka-europe.com</v>
      </c>
      <c r="N3214" s="25">
        <v>46213.480231481481</v>
      </c>
      <c r="O3214" s="14" t="str">
        <f>HYPERLINK("https://otsuka-europe-crm.veevavault.com/ui/#object/email_activity__v/V8C000000047360", "EN-002104796")</f>
        <v>EN-002104796</v>
      </c>
    </row>
    <row r="3215" spans="1:15" ht="16" x14ac:dyDescent="0.2">
      <c r="A3215" s="26"/>
      <c r="B3215" s="26"/>
      <c r="C3215" s="26"/>
      <c r="D3215" s="26"/>
      <c r="E3215" s="26"/>
      <c r="F3215" s="26"/>
      <c r="G3215" s="26"/>
      <c r="H3215" s="26"/>
      <c r="I3215" s="26"/>
      <c r="J3215" s="26"/>
      <c r="K3215" s="26"/>
      <c r="L3215" s="26"/>
      <c r="M3215" s="26"/>
      <c r="N3215" s="26"/>
      <c r="O3215" s="14" t="str">
        <f>HYPERLINK("https://otsuka-europe-crm.veevavault.com/ui/#object/email_activity__v/V8C000000047362", "EN-002104799")</f>
        <v>EN-002104799</v>
      </c>
    </row>
    <row r="3216" spans="1:15" ht="16" x14ac:dyDescent="0.2">
      <c r="A3216" s="26"/>
      <c r="B3216" s="26"/>
      <c r="C3216" s="26"/>
      <c r="D3216" s="26"/>
      <c r="E3216" s="26"/>
      <c r="F3216" s="26"/>
      <c r="G3216" s="26"/>
      <c r="H3216" s="26"/>
      <c r="I3216" s="26"/>
      <c r="J3216" s="26"/>
      <c r="K3216" s="26"/>
      <c r="L3216" s="26"/>
      <c r="M3216" s="26"/>
      <c r="N3216" s="26"/>
      <c r="O3216" s="14" t="str">
        <f>HYPERLINK("https://otsuka-europe-crm.veevavault.com/ui/#object/email_activity__v/V8C000000047363", "EN-002104800")</f>
        <v>EN-002104800</v>
      </c>
    </row>
    <row r="3217" spans="1:15" ht="16" x14ac:dyDescent="0.2">
      <c r="A3217" s="26"/>
      <c r="B3217" s="26"/>
      <c r="C3217" s="26"/>
      <c r="D3217" s="26"/>
      <c r="E3217" s="26"/>
      <c r="F3217" s="26"/>
      <c r="G3217" s="26"/>
      <c r="H3217" s="26"/>
      <c r="I3217" s="26"/>
      <c r="J3217" s="26"/>
      <c r="K3217" s="26"/>
      <c r="L3217" s="26"/>
      <c r="M3217" s="26"/>
      <c r="N3217" s="26"/>
      <c r="O3217" s="14" t="str">
        <f>HYPERLINK("https://otsuka-europe-crm.veevavault.com/ui/#object/email_activity__v/V8C000000048093", "EN-002104367")</f>
        <v>EN-002104367</v>
      </c>
    </row>
    <row r="3218" spans="1:15" ht="16" x14ac:dyDescent="0.2">
      <c r="A3218" s="26"/>
      <c r="B3218" s="26"/>
      <c r="C3218" s="26"/>
      <c r="D3218" s="26"/>
      <c r="E3218" s="26"/>
      <c r="F3218" s="26"/>
      <c r="G3218" s="26"/>
      <c r="H3218" s="26"/>
      <c r="I3218" s="26"/>
      <c r="J3218" s="26"/>
      <c r="K3218" s="26"/>
      <c r="L3218" s="26"/>
      <c r="M3218" s="26"/>
      <c r="N3218" s="26"/>
      <c r="O3218" s="14" t="str">
        <f>HYPERLINK("https://otsuka-europe-crm.veevavault.com/ui/#object/email_activity__v/V8C000000048261", "EN-002104778")</f>
        <v>EN-002104778</v>
      </c>
    </row>
    <row r="3219" spans="1:15" ht="16" x14ac:dyDescent="0.2">
      <c r="A3219" s="26"/>
      <c r="B3219" s="26"/>
      <c r="C3219" s="26"/>
      <c r="D3219" s="26"/>
      <c r="E3219" s="26"/>
      <c r="F3219" s="26"/>
      <c r="G3219" s="26"/>
      <c r="H3219" s="26"/>
      <c r="I3219" s="26"/>
      <c r="J3219" s="26"/>
      <c r="K3219" s="26"/>
      <c r="L3219" s="26"/>
      <c r="M3219" s="26"/>
      <c r="N3219" s="26"/>
      <c r="O3219" s="14" t="str">
        <f>HYPERLINK("https://otsuka-europe-crm.veevavault.com/ui/#object/email_activity__v/V8C000000048262", "EN-002104779")</f>
        <v>EN-002104779</v>
      </c>
    </row>
    <row r="3220" spans="1:15" ht="16" x14ac:dyDescent="0.2">
      <c r="A3220" s="26"/>
      <c r="B3220" s="26"/>
      <c r="C3220" s="26"/>
      <c r="D3220" s="26"/>
      <c r="E3220" s="26"/>
      <c r="F3220" s="26"/>
      <c r="G3220" s="26"/>
      <c r="H3220" s="26"/>
      <c r="I3220" s="26"/>
      <c r="J3220" s="26"/>
      <c r="K3220" s="26"/>
      <c r="L3220" s="26"/>
      <c r="M3220" s="26"/>
      <c r="N3220" s="26"/>
      <c r="O3220" s="14" t="str">
        <f>HYPERLINK("https://otsuka-europe-crm.veevavault.com/ui/#object/email_activity__v/V8C000000048263", "EN-002104780")</f>
        <v>EN-002104780</v>
      </c>
    </row>
    <row r="3221" spans="1:15" ht="16" x14ac:dyDescent="0.2">
      <c r="A3221" s="19"/>
      <c r="B3221" s="19"/>
      <c r="C3221" s="19"/>
      <c r="D3221" s="19"/>
      <c r="E3221" s="19"/>
      <c r="F3221" s="19"/>
      <c r="G3221" s="19"/>
      <c r="H3221" s="19"/>
      <c r="I3221" s="19"/>
      <c r="J3221" s="19"/>
      <c r="K3221" s="19"/>
      <c r="L3221" s="19"/>
      <c r="M3221" s="19"/>
      <c r="N3221" s="19"/>
      <c r="O3221" s="14" t="str">
        <f>HYPERLINK("https://otsuka-europe-crm.veevavault.com/ui/#object/email_activity__v/V8C000000048275", "EN-002104798")</f>
        <v>EN-002104798</v>
      </c>
    </row>
    <row r="3222" spans="1:15" ht="16" x14ac:dyDescent="0.2">
      <c r="A3222" s="18" t="str">
        <f>HYPERLINK("https://otsuka-europe-crm.veevavault.com/ui/#object/account__v/V4TZ06G6O9VFSEA", "Kishore Seewoonarain")</f>
        <v>Kishore Seewoonarain</v>
      </c>
      <c r="B3222" s="18" t="str">
        <f>HYPERLINK("https://otsuka-europe-crm.veevavault.com/ui/#object/vcountry__v/VENZ000004SONFK", "GB")</f>
        <v>GB</v>
      </c>
      <c r="C3222" s="20" t="s">
        <v>41</v>
      </c>
      <c r="D3222" s="21" t="str">
        <f>HYPERLINK("https://otsuka-europe-crm.veevavault.com/ui/#object/approved_document__v/V5O00000001V001", "LDM DR P2P Invite 12-Nov-26 v2 [digital]")</f>
        <v>LDM DR P2P Invite 12-Nov-26 v2 [digital]</v>
      </c>
      <c r="E3222" s="22" t="str">
        <f>HYPERLINK("https://otsuka-europe-crm.veevavault.com/ui/#object/sent_email__v/VBL000000036057", "SE-001443220")</f>
        <v>SE-001443220</v>
      </c>
      <c r="F3222" s="25">
        <v>46216.397060185183</v>
      </c>
      <c r="G3222" s="24">
        <v>1</v>
      </c>
      <c r="H3222" s="24">
        <v>2</v>
      </c>
      <c r="I3222" s="24">
        <v>0</v>
      </c>
      <c r="J3222" s="23"/>
      <c r="K3222" s="24">
        <v>0</v>
      </c>
      <c r="L3222" s="22" t="str">
        <f>HYPERLINK("https://otsuka-europe-crm.veevavault.com/ui/#object/approved_document__v/V5O00000001V001", "LDM DR P2P Invite 12-Nov-26 v2 [digital]")</f>
        <v>LDM DR P2P Invite 12-Nov-26 v2 [digital]</v>
      </c>
      <c r="M3222" s="22" t="str">
        <f>HYPERLINK("mailto:ldimambro@crm.otsuka-europe.com", "ldimambro@crm.otsuka-europe.com")</f>
        <v>ldimambro@crm.otsuka-europe.com</v>
      </c>
      <c r="N3222" s="25">
        <v>46213.480231481481</v>
      </c>
      <c r="O3222" s="14" t="str">
        <f>HYPERLINK("https://otsuka-europe-crm.veevavault.com/ui/#object/email_activity__v/V8C000000047112", "EN-002104366")</f>
        <v>EN-002104366</v>
      </c>
    </row>
    <row r="3223" spans="1:15" ht="16" x14ac:dyDescent="0.2">
      <c r="A3223" s="26"/>
      <c r="B3223" s="26"/>
      <c r="C3223" s="26"/>
      <c r="D3223" s="26"/>
      <c r="E3223" s="26"/>
      <c r="F3223" s="26"/>
      <c r="G3223" s="26"/>
      <c r="H3223" s="26"/>
      <c r="I3223" s="26"/>
      <c r="J3223" s="26"/>
      <c r="K3223" s="26"/>
      <c r="L3223" s="26"/>
      <c r="M3223" s="26"/>
      <c r="N3223" s="26"/>
      <c r="O3223" s="14" t="str">
        <f>HYPERLINK("https://otsuka-europe-crm.veevavault.com/ui/#object/email_activity__v/V8C000000048255", "EN-002104765")</f>
        <v>EN-002104765</v>
      </c>
    </row>
    <row r="3224" spans="1:15" ht="16" x14ac:dyDescent="0.2">
      <c r="A3224" s="19"/>
      <c r="B3224" s="19"/>
      <c r="C3224" s="19"/>
      <c r="D3224" s="19"/>
      <c r="E3224" s="19"/>
      <c r="F3224" s="19"/>
      <c r="G3224" s="19"/>
      <c r="H3224" s="19"/>
      <c r="I3224" s="19"/>
      <c r="J3224" s="19"/>
      <c r="K3224" s="19"/>
      <c r="L3224" s="19"/>
      <c r="M3224" s="19"/>
      <c r="N3224" s="19"/>
      <c r="O3224" s="14" t="str">
        <f>HYPERLINK("https://otsuka-europe-crm.veevavault.com/ui/#object/email_activity__v/V8C00000004A085", "EN-002105058")</f>
        <v>EN-002105058</v>
      </c>
    </row>
    <row r="3225" spans="1:15" ht="16" x14ac:dyDescent="0.2">
      <c r="A3225" s="18" t="str">
        <f>HYPERLINK("https://otsuka-europe-crm.veevavault.com/ui/#object/account__v/V4TZ0000062PDZZ", "Jennifer Ford")</f>
        <v>Jennifer Ford</v>
      </c>
      <c r="B3225" s="18" t="str">
        <f>HYPERLINK("https://otsuka-europe-crm.veevavault.com/ui/#object/vcountry__v/VENZ000004SONFK", "GB")</f>
        <v>GB</v>
      </c>
      <c r="C3225" s="20" t="s">
        <v>41</v>
      </c>
      <c r="D3225" s="21" t="str">
        <f>HYPERLINK("https://otsuka-europe-crm.veevavault.com/ui/#object/approved_document__v/V5O00000001V001", "LDM DR P2P Invite 12-Nov-26 v2 [digital]")</f>
        <v>LDM DR P2P Invite 12-Nov-26 v2 [digital]</v>
      </c>
      <c r="E3225" s="22" t="str">
        <f>HYPERLINK("https://otsuka-europe-crm.veevavault.com/ui/#object/sent_email__v/VBL000000036058", "SE-001443221")</f>
        <v>SE-001443221</v>
      </c>
      <c r="F3225" s="25">
        <v>46225.670451388891</v>
      </c>
      <c r="G3225" s="24">
        <v>1</v>
      </c>
      <c r="H3225" s="24">
        <v>2</v>
      </c>
      <c r="I3225" s="24">
        <v>0</v>
      </c>
      <c r="J3225" s="23"/>
      <c r="K3225" s="24">
        <v>0</v>
      </c>
      <c r="L3225" s="22" t="str">
        <f>HYPERLINK("https://otsuka-europe-crm.veevavault.com/ui/#object/approved_document__v/V5O00000001V001", "LDM DR P2P Invite 12-Nov-26 v2 [digital]")</f>
        <v>LDM DR P2P Invite 12-Nov-26 v2 [digital]</v>
      </c>
      <c r="M3225" s="22" t="str">
        <f>HYPERLINK("mailto:ldimambro@crm.otsuka-europe.com", "ldimambro@crm.otsuka-europe.com")</f>
        <v>ldimambro@crm.otsuka-europe.com</v>
      </c>
      <c r="N3225" s="25">
        <v>46213.480138888888</v>
      </c>
      <c r="O3225" s="14" t="str">
        <f>HYPERLINK("https://otsuka-europe-crm.veevavault.com/ui/#object/email_activity__v/V8C000000047098", "EN-002104352")</f>
        <v>EN-002104352</v>
      </c>
    </row>
    <row r="3226" spans="1:15" ht="16" x14ac:dyDescent="0.2">
      <c r="A3226" s="26"/>
      <c r="B3226" s="26"/>
      <c r="C3226" s="26"/>
      <c r="D3226" s="26"/>
      <c r="E3226" s="26"/>
      <c r="F3226" s="26"/>
      <c r="G3226" s="26"/>
      <c r="H3226" s="26"/>
      <c r="I3226" s="26"/>
      <c r="J3226" s="26"/>
      <c r="K3226" s="26"/>
      <c r="L3226" s="26"/>
      <c r="M3226" s="26"/>
      <c r="N3226" s="26"/>
      <c r="O3226" s="14" t="str">
        <f>HYPERLINK("https://otsuka-europe-crm.veevavault.com/ui/#object/email_activity__v/V8C000000048098", "EN-002104388")</f>
        <v>EN-002104388</v>
      </c>
    </row>
    <row r="3227" spans="1:15" ht="16" x14ac:dyDescent="0.2">
      <c r="A3227" s="26"/>
      <c r="B3227" s="26"/>
      <c r="C3227" s="26"/>
      <c r="D3227" s="26"/>
      <c r="E3227" s="26"/>
      <c r="F3227" s="26"/>
      <c r="G3227" s="26"/>
      <c r="H3227" s="26"/>
      <c r="I3227" s="26"/>
      <c r="J3227" s="26"/>
      <c r="K3227" s="26"/>
      <c r="L3227" s="26"/>
      <c r="M3227" s="26"/>
      <c r="N3227" s="26"/>
      <c r="O3227" s="14" t="str">
        <f>HYPERLINK("https://otsuka-europe-crm.veevavault.com/ui/#object/email_activity__v/V8C000000048297", "EN-002104851")</f>
        <v>EN-002104851</v>
      </c>
    </row>
    <row r="3228" spans="1:15" ht="16" x14ac:dyDescent="0.2">
      <c r="A3228" s="19"/>
      <c r="B3228" s="19"/>
      <c r="C3228" s="19"/>
      <c r="D3228" s="19"/>
      <c r="E3228" s="19"/>
      <c r="F3228" s="19"/>
      <c r="G3228" s="19"/>
      <c r="H3228" s="19"/>
      <c r="I3228" s="19"/>
      <c r="J3228" s="19"/>
      <c r="K3228" s="19"/>
      <c r="L3228" s="19"/>
      <c r="M3228" s="19"/>
      <c r="N3228" s="19"/>
      <c r="O3228" s="14" t="str">
        <f>HYPERLINK("https://otsuka-europe-crm.veevavault.com/ui/#object/email_activity__v/V8C00000004B739", "EN-002107923")</f>
        <v>EN-002107923</v>
      </c>
    </row>
    <row r="3229" spans="1:15" ht="16" x14ac:dyDescent="0.2">
      <c r="A3229" s="18" t="str">
        <f>HYPERLINK("https://otsuka-europe-crm.veevavault.com/ui/#object/account__v/V4TZ04ASG6PDLNA", "Jermaine Bamfo")</f>
        <v>Jermaine Bamfo</v>
      </c>
      <c r="B3229" s="18" t="str">
        <f>HYPERLINK("https://otsuka-europe-crm.veevavault.com/ui/#object/vcountry__v/VENZ000004SONFK", "GB")</f>
        <v>GB</v>
      </c>
      <c r="C3229" s="20" t="s">
        <v>41</v>
      </c>
      <c r="D3229" s="21" t="str">
        <f>HYPERLINK("https://otsuka-europe-crm.veevavault.com/ui/#object/approved_document__v/V5O00000001V001", "LDM DR P2P Invite 12-Nov-26 v2 [digital]")</f>
        <v>LDM DR P2P Invite 12-Nov-26 v2 [digital]</v>
      </c>
      <c r="E3229" s="22" t="str">
        <f>HYPERLINK("https://otsuka-europe-crm.veevavault.com/ui/#object/sent_email__v/VBL000000036059", "SE-001443222")</f>
        <v>SE-001443222</v>
      </c>
      <c r="F3229" s="25">
        <v>46216.393171296295</v>
      </c>
      <c r="G3229" s="24">
        <v>1</v>
      </c>
      <c r="H3229" s="24">
        <v>1</v>
      </c>
      <c r="I3229" s="24">
        <v>0</v>
      </c>
      <c r="J3229" s="23"/>
      <c r="K3229" s="24">
        <v>0</v>
      </c>
      <c r="L3229" s="22" t="str">
        <f>HYPERLINK("https://otsuka-europe-crm.veevavault.com/ui/#object/approved_document__v/V5O00000001V001", "LDM DR P2P Invite 12-Nov-26 v2 [digital]")</f>
        <v>LDM DR P2P Invite 12-Nov-26 v2 [digital]</v>
      </c>
      <c r="M3229" s="22" t="str">
        <f>HYPERLINK("mailto:ldimambro@crm.otsuka-europe.com", "ldimambro@crm.otsuka-europe.com")</f>
        <v>ldimambro@crm.otsuka-europe.com</v>
      </c>
      <c r="N3229" s="25">
        <v>46213.480138888888</v>
      </c>
      <c r="O3229" s="14" t="str">
        <f>HYPERLINK("https://otsuka-europe-crm.veevavault.com/ui/#object/email_activity__v/V8C000000047094", "EN-002104345")</f>
        <v>EN-002104345</v>
      </c>
    </row>
    <row r="3230" spans="1:15" ht="16" x14ac:dyDescent="0.2">
      <c r="A3230" s="19"/>
      <c r="B3230" s="19"/>
      <c r="C3230" s="19"/>
      <c r="D3230" s="19"/>
      <c r="E3230" s="19"/>
      <c r="F3230" s="19"/>
      <c r="G3230" s="19"/>
      <c r="H3230" s="19"/>
      <c r="I3230" s="19"/>
      <c r="J3230" s="19"/>
      <c r="K3230" s="19"/>
      <c r="L3230" s="19"/>
      <c r="M3230" s="19"/>
      <c r="N3230" s="19"/>
      <c r="O3230" s="14" t="str">
        <f>HYPERLINK("https://otsuka-europe-crm.veevavault.com/ui/#object/email_activity__v/V8C000000049103", "EN-002105052")</f>
        <v>EN-002105052</v>
      </c>
    </row>
    <row r="3231" spans="1:15" ht="32" x14ac:dyDescent="0.2">
      <c r="A3231" s="7" t="str">
        <f>HYPERLINK("https://otsuka-europe-crm.veevavault.com/ui/#object/account__v/V4TZ0000062PD1F", "Jonny Babalola")</f>
        <v>Jonny Babalola</v>
      </c>
      <c r="B3231" s="7" t="str">
        <f>HYPERLINK("https://otsuka-europe-crm.veevavault.com/ui/#object/vcountry__v/VENZ000004SONFK", "GB")</f>
        <v>GB</v>
      </c>
      <c r="C3231" s="8" t="s">
        <v>41</v>
      </c>
      <c r="D3231" s="9" t="str">
        <f>HYPERLINK("https://otsuka-europe-crm.veevavault.com/ui/#object/approved_document__v/V5O00000001V001", "LDM DR P2P Invite 12-Nov-26 v2 [digital]")</f>
        <v>LDM DR P2P Invite 12-Nov-26 v2 [digital]</v>
      </c>
      <c r="E3231" s="10" t="str">
        <f>HYPERLINK("https://otsuka-europe-crm.veevavault.com/ui/#object/sent_email__v/VBL000000036060", "SE-001443223")</f>
        <v>SE-001443223</v>
      </c>
      <c r="F3231" s="11"/>
      <c r="G3231" s="12">
        <v>0</v>
      </c>
      <c r="H3231" s="12">
        <v>0</v>
      </c>
      <c r="I3231" s="12">
        <v>0</v>
      </c>
      <c r="J3231" s="11"/>
      <c r="K3231" s="12">
        <v>0</v>
      </c>
      <c r="L3231" s="10" t="str">
        <f>HYPERLINK("https://otsuka-europe-crm.veevavault.com/ui/#object/approved_document__v/V5O00000001V001", "LDM DR P2P Invite 12-Nov-26 v2 [digital]")</f>
        <v>LDM DR P2P Invite 12-Nov-26 v2 [digital]</v>
      </c>
      <c r="M3231" s="10" t="str">
        <f>HYPERLINK("mailto:ldimambro@crm.otsuka-europe.com", "ldimambro@crm.otsuka-europe.com")</f>
        <v>ldimambro@crm.otsuka-europe.com</v>
      </c>
      <c r="N3231" s="13">
        <v>46213.480231481481</v>
      </c>
      <c r="O3231" s="14" t="str">
        <f>HYPERLINK("https://otsuka-europe-crm.veevavault.com/ui/#object/email_activity__v/V8C000000048094", "EN-002104368")</f>
        <v>EN-002104368</v>
      </c>
    </row>
    <row r="3232" spans="1:15" ht="32" x14ac:dyDescent="0.2">
      <c r="A3232" s="7" t="str">
        <f>HYPERLINK("https://otsuka-europe-crm.veevavault.com/ui/#object/account__v/V4T00000000P081", "Josephine Agyeman")</f>
        <v>Josephine Agyeman</v>
      </c>
      <c r="B3232" s="7" t="str">
        <f>HYPERLINK("https://otsuka-europe-crm.veevavault.com/ui/#object/vcountry__v/VENZ000004SONFK", "GB")</f>
        <v>GB</v>
      </c>
      <c r="C3232" s="8" t="s">
        <v>41</v>
      </c>
      <c r="D3232" s="9" t="str">
        <f>HYPERLINK("https://otsuka-europe-crm.veevavault.com/ui/#object/approved_document__v/V5O00000001V001", "LDM DR P2P Invite 12-Nov-26 v2 [digital]")</f>
        <v>LDM DR P2P Invite 12-Nov-26 v2 [digital]</v>
      </c>
      <c r="E3232" s="10" t="str">
        <f>HYPERLINK("https://otsuka-europe-crm.veevavault.com/ui/#object/sent_email__v/VBL000000036061", "SE-001443224")</f>
        <v>SE-001443224</v>
      </c>
      <c r="F3232" s="11"/>
      <c r="G3232" s="12">
        <v>0</v>
      </c>
      <c r="H3232" s="12">
        <v>0</v>
      </c>
      <c r="I3232" s="12">
        <v>0</v>
      </c>
      <c r="J3232" s="11"/>
      <c r="K3232" s="12">
        <v>0</v>
      </c>
      <c r="L3232" s="10" t="str">
        <f>HYPERLINK("https://otsuka-europe-crm.veevavault.com/ui/#object/approved_document__v/V5O00000001V001", "LDM DR P2P Invite 12-Nov-26 v2 [digital]")</f>
        <v>LDM DR P2P Invite 12-Nov-26 v2 [digital]</v>
      </c>
      <c r="M3232" s="10" t="str">
        <f>HYPERLINK("mailto:ldimambro@crm.otsuka-europe.com", "ldimambro@crm.otsuka-europe.com")</f>
        <v>ldimambro@crm.otsuka-europe.com</v>
      </c>
      <c r="N3232" s="13">
        <v>46213.480231481481</v>
      </c>
      <c r="O3232" s="14" t="str">
        <f>HYPERLINK("https://otsuka-europe-crm.veevavault.com/ui/#object/email_activity__v/V8C000000047116", "EN-002104373")</f>
        <v>EN-002104373</v>
      </c>
    </row>
    <row r="3233" spans="1:15" ht="16" x14ac:dyDescent="0.2">
      <c r="A3233" s="18" t="str">
        <f>HYPERLINK("https://otsuka-europe-crm.veevavault.com/ui/#object/account__v/V4TZ04ASG9BER9A", "Increase Uzozie")</f>
        <v>Increase Uzozie</v>
      </c>
      <c r="B3233" s="18" t="str">
        <f>HYPERLINK("https://otsuka-europe-crm.veevavault.com/ui/#object/vcountry__v/VENZ000004SONFK", "GB")</f>
        <v>GB</v>
      </c>
      <c r="C3233" s="20" t="s">
        <v>41</v>
      </c>
      <c r="D3233" s="21" t="str">
        <f>HYPERLINK("https://otsuka-europe-crm.veevavault.com/ui/#object/approved_document__v/V5O00000001V001", "LDM DR P2P Invite 12-Nov-26 v2 [digital]")</f>
        <v>LDM DR P2P Invite 12-Nov-26 v2 [digital]</v>
      </c>
      <c r="E3233" s="22" t="str">
        <f>HYPERLINK("https://otsuka-europe-crm.veevavault.com/ui/#object/sent_email__v/VBL000000036062", "SE-001443225")</f>
        <v>SE-001443225</v>
      </c>
      <c r="F3233" s="25">
        <v>46213.480324074073</v>
      </c>
      <c r="G3233" s="24">
        <v>1</v>
      </c>
      <c r="H3233" s="24">
        <v>1</v>
      </c>
      <c r="I3233" s="24">
        <v>0</v>
      </c>
      <c r="J3233" s="23"/>
      <c r="K3233" s="24">
        <v>0</v>
      </c>
      <c r="L3233" s="22" t="str">
        <f>HYPERLINK("https://otsuka-europe-crm.veevavault.com/ui/#object/approved_document__v/V5O00000001V001", "LDM DR P2P Invite 12-Nov-26 v2 [digital]")</f>
        <v>LDM DR P2P Invite 12-Nov-26 v2 [digital]</v>
      </c>
      <c r="M3233" s="22" t="str">
        <f>HYPERLINK("mailto:ldimambro@crm.otsuka-europe.com", "ldimambro@crm.otsuka-europe.com")</f>
        <v>ldimambro@crm.otsuka-europe.com</v>
      </c>
      <c r="N3233" s="25">
        <v>46213.480231481481</v>
      </c>
      <c r="O3233" s="14" t="str">
        <f>HYPERLINK("https://otsuka-europe-crm.veevavault.com/ui/#object/email_activity__v/V8C000000047102", "EN-002104356")</f>
        <v>EN-002104356</v>
      </c>
    </row>
    <row r="3234" spans="1:15" ht="16" x14ac:dyDescent="0.2">
      <c r="A3234" s="19"/>
      <c r="B3234" s="19"/>
      <c r="C3234" s="19"/>
      <c r="D3234" s="19"/>
      <c r="E3234" s="19"/>
      <c r="F3234" s="19"/>
      <c r="G3234" s="19"/>
      <c r="H3234" s="19"/>
      <c r="I3234" s="19"/>
      <c r="J3234" s="19"/>
      <c r="K3234" s="19"/>
      <c r="L3234" s="19"/>
      <c r="M3234" s="19"/>
      <c r="N3234" s="19"/>
      <c r="O3234" s="14" t="str">
        <f>HYPERLINK("https://otsuka-europe-crm.veevavault.com/ui/#object/email_activity__v/V8C000000047127", "EN-002104384")</f>
        <v>EN-002104384</v>
      </c>
    </row>
    <row r="3235" spans="1:15" ht="32" x14ac:dyDescent="0.2">
      <c r="A3235" s="7" t="str">
        <f>HYPERLINK("https://otsuka-europe-crm.veevavault.com/ui/#object/account__v/V4TZ04ASG6LG3VL", "Jojo John")</f>
        <v>Jojo John</v>
      </c>
      <c r="B3235" s="7" t="str">
        <f>HYPERLINK("https://otsuka-europe-crm.veevavault.com/ui/#object/vcountry__v/VENZ000004SONFK", "GB")</f>
        <v>GB</v>
      </c>
      <c r="C3235" s="8" t="s">
        <v>41</v>
      </c>
      <c r="D3235" s="9" t="str">
        <f>HYPERLINK("https://otsuka-europe-crm.veevavault.com/ui/#object/approved_document__v/V5O00000001V001", "LDM DR P2P Invite 12-Nov-26 v2 [digital]")</f>
        <v>LDM DR P2P Invite 12-Nov-26 v2 [digital]</v>
      </c>
      <c r="E3235" s="10" t="str">
        <f>HYPERLINK("https://otsuka-europe-crm.veevavault.com/ui/#object/sent_email__v/VBL000000036063", "SE-001443226")</f>
        <v>SE-001443226</v>
      </c>
      <c r="F3235" s="11"/>
      <c r="G3235" s="12">
        <v>0</v>
      </c>
      <c r="H3235" s="12">
        <v>0</v>
      </c>
      <c r="I3235" s="12">
        <v>0</v>
      </c>
      <c r="J3235" s="11"/>
      <c r="K3235" s="12">
        <v>0</v>
      </c>
      <c r="L3235" s="10" t="str">
        <f>HYPERLINK("https://otsuka-europe-crm.veevavault.com/ui/#object/approved_document__v/V5O00000001V001", "LDM DR P2P Invite 12-Nov-26 v2 [digital]")</f>
        <v>LDM DR P2P Invite 12-Nov-26 v2 [digital]</v>
      </c>
      <c r="M3235" s="10" t="str">
        <f>HYPERLINK("mailto:ldimambro@crm.otsuka-europe.com", "ldimambro@crm.otsuka-europe.com")</f>
        <v>ldimambro@crm.otsuka-europe.com</v>
      </c>
      <c r="N3235" s="13">
        <v>46213.480231481481</v>
      </c>
      <c r="O3235" s="14" t="str">
        <f>HYPERLINK("https://otsuka-europe-crm.veevavault.com/ui/#object/email_activity__v/V8C000000047121", "EN-002104378")</f>
        <v>EN-002104378</v>
      </c>
    </row>
    <row r="3236" spans="1:15" ht="32" x14ac:dyDescent="0.2">
      <c r="A3236" s="7" t="str">
        <f>HYPERLINK("https://otsuka-europe-crm.veevavault.com/ui/#object/account__v/V4TZ04ASG6PCUWQ", "Ehab Khattab")</f>
        <v>Ehab Khattab</v>
      </c>
      <c r="B3236" s="7" t="str">
        <f>HYPERLINK("https://otsuka-europe-crm.veevavault.com/ui/#object/vcountry__v/VENZ000004SONFK", "GB")</f>
        <v>GB</v>
      </c>
      <c r="C3236" s="8" t="s">
        <v>41</v>
      </c>
      <c r="D3236" s="9" t="str">
        <f>HYPERLINK("https://otsuka-europe-crm.veevavault.com/ui/#object/approved_document__v/V5O00000001V001", "LDM DR P2P Invite 12-Nov-26 v2 [digital]")</f>
        <v>LDM DR P2P Invite 12-Nov-26 v2 [digital]</v>
      </c>
      <c r="E3236" s="10" t="str">
        <f>HYPERLINK("https://otsuka-europe-crm.veevavault.com/ui/#object/sent_email__v/VBL000000036064", "SE-001443227")</f>
        <v>SE-001443227</v>
      </c>
      <c r="F3236" s="11"/>
      <c r="G3236" s="12">
        <v>0</v>
      </c>
      <c r="H3236" s="12">
        <v>0</v>
      </c>
      <c r="I3236" s="12">
        <v>0</v>
      </c>
      <c r="J3236" s="11"/>
      <c r="K3236" s="12">
        <v>0</v>
      </c>
      <c r="L3236" s="10" t="str">
        <f>HYPERLINK("https://otsuka-europe-crm.veevavault.com/ui/#object/approved_document__v/V5O00000001V001", "LDM DR P2P Invite 12-Nov-26 v2 [digital]")</f>
        <v>LDM DR P2P Invite 12-Nov-26 v2 [digital]</v>
      </c>
      <c r="M3236" s="10" t="str">
        <f>HYPERLINK("mailto:ldimambro@crm.otsuka-europe.com", "ldimambro@crm.otsuka-europe.com")</f>
        <v>ldimambro@crm.otsuka-europe.com</v>
      </c>
      <c r="N3236" s="13">
        <v>46213.480231481481</v>
      </c>
      <c r="O3236" s="14" t="str">
        <f>HYPERLINK("https://otsuka-europe-crm.veevavault.com/ui/#object/email_activity__v/V8C000000048097", "EN-002104386")</f>
        <v>EN-002104386</v>
      </c>
    </row>
    <row r="3237" spans="1:15" ht="32" x14ac:dyDescent="0.2">
      <c r="A3237" s="7" t="str">
        <f>HYPERLINK("https://otsuka-europe-crm.veevavault.com/ui/#object/account__v/V4TZ04ASGBNZVEX", "Goitseone Chambwera")</f>
        <v>Goitseone Chambwera</v>
      </c>
      <c r="B3237" s="7" t="str">
        <f>HYPERLINK("https://otsuka-europe-crm.veevavault.com/ui/#object/vcountry__v/VENZ000004SONFK", "GB")</f>
        <v>GB</v>
      </c>
      <c r="C3237" s="8" t="s">
        <v>41</v>
      </c>
      <c r="D3237" s="9" t="str">
        <f>HYPERLINK("https://otsuka-europe-crm.veevavault.com/ui/#object/approved_document__v/V5O00000001V001", "LDM DR P2P Invite 12-Nov-26 v2 [digital]")</f>
        <v>LDM DR P2P Invite 12-Nov-26 v2 [digital]</v>
      </c>
      <c r="E3237" s="10" t="str">
        <f>HYPERLINK("https://otsuka-europe-crm.veevavault.com/ui/#object/sent_email__v/VBL000000036065", "SE-001443228")</f>
        <v>SE-001443228</v>
      </c>
      <c r="F3237" s="11"/>
      <c r="G3237" s="12">
        <v>0</v>
      </c>
      <c r="H3237" s="12">
        <v>0</v>
      </c>
      <c r="I3237" s="12">
        <v>0</v>
      </c>
      <c r="J3237" s="11"/>
      <c r="K3237" s="12">
        <v>0</v>
      </c>
      <c r="L3237" s="10" t="str">
        <f>HYPERLINK("https://otsuka-europe-crm.veevavault.com/ui/#object/approved_document__v/V5O00000001V001", "LDM DR P2P Invite 12-Nov-26 v2 [digital]")</f>
        <v>LDM DR P2P Invite 12-Nov-26 v2 [digital]</v>
      </c>
      <c r="M3237" s="10" t="str">
        <f>HYPERLINK("mailto:ldimambro@crm.otsuka-europe.com", "ldimambro@crm.otsuka-europe.com")</f>
        <v>ldimambro@crm.otsuka-europe.com</v>
      </c>
      <c r="N3237" s="13">
        <v>46213.480231481481</v>
      </c>
      <c r="O3237" s="14" t="str">
        <f>HYPERLINK("https://otsuka-europe-crm.veevavault.com/ui/#object/email_activity__v/V8C000000047104", "EN-002104358")</f>
        <v>EN-002104358</v>
      </c>
    </row>
    <row r="3238" spans="1:15" ht="32" x14ac:dyDescent="0.2">
      <c r="A3238" s="7" t="str">
        <f>HYPERLINK("https://otsuka-europe-crm.veevavault.com/ui/#object/account__v/V4TZ0000062PDUY", "Francis Dunne")</f>
        <v>Francis Dunne</v>
      </c>
      <c r="B3238" s="7" t="str">
        <f>HYPERLINK("https://otsuka-europe-crm.veevavault.com/ui/#object/vcountry__v/VENZ000004SONFK", "GB")</f>
        <v>GB</v>
      </c>
      <c r="C3238" s="8" t="s">
        <v>41</v>
      </c>
      <c r="D3238" s="9" t="str">
        <f>HYPERLINK("https://otsuka-europe-crm.veevavault.com/ui/#object/approved_document__v/V5O00000001V001", "LDM DR P2P Invite 12-Nov-26 v2 [digital]")</f>
        <v>LDM DR P2P Invite 12-Nov-26 v2 [digital]</v>
      </c>
      <c r="E3238" s="10" t="str">
        <f>HYPERLINK("https://otsuka-europe-crm.veevavault.com/ui/#object/sent_email__v/VBL000000036066", "SE-001443229")</f>
        <v>SE-001443229</v>
      </c>
      <c r="F3238" s="11"/>
      <c r="G3238" s="12">
        <v>0</v>
      </c>
      <c r="H3238" s="12">
        <v>0</v>
      </c>
      <c r="I3238" s="12">
        <v>0</v>
      </c>
      <c r="J3238" s="11"/>
      <c r="K3238" s="12">
        <v>0</v>
      </c>
      <c r="L3238" s="10" t="str">
        <f>HYPERLINK("https://otsuka-europe-crm.veevavault.com/ui/#object/approved_document__v/V5O00000001V001", "LDM DR P2P Invite 12-Nov-26 v2 [digital]")</f>
        <v>LDM DR P2P Invite 12-Nov-26 v2 [digital]</v>
      </c>
      <c r="M3238" s="10" t="str">
        <f>HYPERLINK("mailto:ldimambro@crm.otsuka-europe.com", "ldimambro@crm.otsuka-europe.com")</f>
        <v>ldimambro@crm.otsuka-europe.com</v>
      </c>
      <c r="N3238" s="13">
        <v>46213.480231481481</v>
      </c>
      <c r="O3238" s="14" t="str">
        <f>HYPERLINK("https://otsuka-europe-crm.veevavault.com/ui/#object/email_activity__v/V8C000000047105", "EN-002104359")</f>
        <v>EN-002104359</v>
      </c>
    </row>
    <row r="3239" spans="1:15" ht="16" x14ac:dyDescent="0.2">
      <c r="A3239" s="18" t="str">
        <f>HYPERLINK("https://otsuka-europe-crm.veevavault.com/ui/#object/account__v/V4TZ025E82D8BGD", "Omonefe Seb-Akahomen")</f>
        <v>Omonefe Seb-Akahomen</v>
      </c>
      <c r="B3239" s="18" t="str">
        <f>HYPERLINK("https://otsuka-europe-crm.veevavault.com/ui/#object/vcountry__v/VENZ000004SONFK", "GB")</f>
        <v>GB</v>
      </c>
      <c r="C3239" s="20" t="s">
        <v>41</v>
      </c>
      <c r="D3239" s="21" t="str">
        <f>HYPERLINK("https://otsuka-europe-crm.veevavault.com/ui/#object/approved_document__v/V5O00000001V001", "LDM DR P2P Invite 12-Nov-26 v2 [digital]")</f>
        <v>LDM DR P2P Invite 12-Nov-26 v2 [digital]</v>
      </c>
      <c r="E3239" s="22" t="str">
        <f>HYPERLINK("https://otsuka-europe-crm.veevavault.com/ui/#object/sent_email__v/VBL000000035053", "SE-001443230")</f>
        <v>SE-001443230</v>
      </c>
      <c r="F3239" s="25">
        <v>46219.700821759259</v>
      </c>
      <c r="G3239" s="24">
        <v>1</v>
      </c>
      <c r="H3239" s="24">
        <v>1</v>
      </c>
      <c r="I3239" s="24">
        <v>0</v>
      </c>
      <c r="J3239" s="23"/>
      <c r="K3239" s="24">
        <v>0</v>
      </c>
      <c r="L3239" s="22" t="str">
        <f>HYPERLINK("https://otsuka-europe-crm.veevavault.com/ui/#object/approved_document__v/V5O00000001V001", "LDM DR P2P Invite 12-Nov-26 v2 [digital]")</f>
        <v>LDM DR P2P Invite 12-Nov-26 v2 [digital]</v>
      </c>
      <c r="M3239" s="22" t="str">
        <f>HYPERLINK("mailto:ldimambro@crm.otsuka-europe.com", "ldimambro@crm.otsuka-europe.com")</f>
        <v>ldimambro@crm.otsuka-europe.com</v>
      </c>
      <c r="N3239" s="25">
        <v>46213.485775462963</v>
      </c>
      <c r="O3239" s="14" t="str">
        <f>HYPERLINK("https://otsuka-europe-crm.veevavault.com/ui/#object/email_activity__v/V8C000000047136", "EN-002104396")</f>
        <v>EN-002104396</v>
      </c>
    </row>
    <row r="3240" spans="1:15" ht="16" x14ac:dyDescent="0.2">
      <c r="A3240" s="19"/>
      <c r="B3240" s="19"/>
      <c r="C3240" s="19"/>
      <c r="D3240" s="19"/>
      <c r="E3240" s="19"/>
      <c r="F3240" s="19"/>
      <c r="G3240" s="19"/>
      <c r="H3240" s="19"/>
      <c r="I3240" s="19"/>
      <c r="J3240" s="19"/>
      <c r="K3240" s="19"/>
      <c r="L3240" s="19"/>
      <c r="M3240" s="19"/>
      <c r="N3240" s="19"/>
      <c r="O3240" s="14" t="str">
        <f>HYPERLINK("https://otsuka-europe-crm.veevavault.com/ui/#object/email_activity__v/V8C000000049921", "EN-002106710")</f>
        <v>EN-002106710</v>
      </c>
    </row>
    <row r="3241" spans="1:15" ht="32" x14ac:dyDescent="0.2">
      <c r="A3241" s="7" t="str">
        <f>HYPERLINK("https://otsuka-europe-crm.veevavault.com/ui/#object/account__v/V4TZ06G6O9VGD2R", "Olufemi Talabi")</f>
        <v>Olufemi Talabi</v>
      </c>
      <c r="B3241" s="7" t="str">
        <f t="shared" ref="B3241:B3248" si="144">HYPERLINK("https://otsuka-europe-crm.veevavault.com/ui/#object/vcountry__v/VENZ000004SONFK", "GB")</f>
        <v>GB</v>
      </c>
      <c r="C3241" s="8" t="s">
        <v>41</v>
      </c>
      <c r="D3241" s="9" t="str">
        <f t="shared" ref="D3241:D3248" si="145">HYPERLINK("https://otsuka-europe-crm.veevavault.com/ui/#object/approved_document__v/V5O00000001V001", "LDM DR P2P Invite 12-Nov-26 v2 [digital]")</f>
        <v>LDM DR P2P Invite 12-Nov-26 v2 [digital]</v>
      </c>
      <c r="E3241" s="10" t="str">
        <f>HYPERLINK("https://otsuka-europe-crm.veevavault.com/ui/#object/sent_email__v/VBL000000035054", "SE-001443231")</f>
        <v>SE-001443231</v>
      </c>
      <c r="F3241" s="11"/>
      <c r="G3241" s="12">
        <v>0</v>
      </c>
      <c r="H3241" s="12">
        <v>0</v>
      </c>
      <c r="I3241" s="12">
        <v>0</v>
      </c>
      <c r="J3241" s="11"/>
      <c r="K3241" s="12">
        <v>0</v>
      </c>
      <c r="L3241" s="10" t="str">
        <f t="shared" ref="L3241:L3248" si="146">HYPERLINK("https://otsuka-europe-crm.veevavault.com/ui/#object/approved_document__v/V5O00000001V001", "LDM DR P2P Invite 12-Nov-26 v2 [digital]")</f>
        <v>LDM DR P2P Invite 12-Nov-26 v2 [digital]</v>
      </c>
      <c r="M3241" s="10" t="str">
        <f t="shared" ref="M3241:M3248" si="147">HYPERLINK("mailto:ldimambro@crm.otsuka-europe.com", "ldimambro@crm.otsuka-europe.com")</f>
        <v>ldimambro@crm.otsuka-europe.com</v>
      </c>
      <c r="N3241" s="13">
        <v>46213.48574074074</v>
      </c>
      <c r="O3241" s="14" t="str">
        <f>HYPERLINK("https://otsuka-europe-crm.veevavault.com/ui/#object/email_activity__v/V8C000000047147", "EN-002104407")</f>
        <v>EN-002104407</v>
      </c>
    </row>
    <row r="3242" spans="1:15" ht="32" x14ac:dyDescent="0.2">
      <c r="A3242" s="7" t="str">
        <f>HYPERLINK("https://otsuka-europe-crm.veevavault.com/ui/#object/account__v/V4TZ04ASGECAM0Q", "Mamun Rahman")</f>
        <v>Mamun Rahman</v>
      </c>
      <c r="B3242" s="7" t="str">
        <f t="shared" si="144"/>
        <v>GB</v>
      </c>
      <c r="C3242" s="8" t="s">
        <v>41</v>
      </c>
      <c r="D3242" s="9" t="str">
        <f t="shared" si="145"/>
        <v>LDM DR P2P Invite 12-Nov-26 v2 [digital]</v>
      </c>
      <c r="E3242" s="10" t="str">
        <f>HYPERLINK("https://otsuka-europe-crm.veevavault.com/ui/#object/sent_email__v/VBL000000035055", "SE-001443232")</f>
        <v>SE-001443232</v>
      </c>
      <c r="F3242" s="11"/>
      <c r="G3242" s="12">
        <v>0</v>
      </c>
      <c r="H3242" s="12">
        <v>0</v>
      </c>
      <c r="I3242" s="12">
        <v>0</v>
      </c>
      <c r="J3242" s="11"/>
      <c r="K3242" s="12">
        <v>0</v>
      </c>
      <c r="L3242" s="10" t="str">
        <f t="shared" si="146"/>
        <v>LDM DR P2P Invite 12-Nov-26 v2 [digital]</v>
      </c>
      <c r="M3242" s="10" t="str">
        <f t="shared" si="147"/>
        <v>ldimambro@crm.otsuka-europe.com</v>
      </c>
      <c r="N3242" s="13">
        <v>46213.48574074074</v>
      </c>
      <c r="O3242" s="14" t="str">
        <f>HYPERLINK("https://otsuka-europe-crm.veevavault.com/ui/#object/email_activity__v/V8C000000047145", "EN-002104405")</f>
        <v>EN-002104405</v>
      </c>
    </row>
    <row r="3243" spans="1:15" ht="32" x14ac:dyDescent="0.2">
      <c r="A3243" s="7" t="str">
        <f>HYPERLINK("https://otsuka-europe-crm.veevavault.com/ui/#object/account__v/V4TZ06G6OBUMW0U", "Maneshwari Kattan")</f>
        <v>Maneshwari Kattan</v>
      </c>
      <c r="B3243" s="7" t="str">
        <f t="shared" si="144"/>
        <v>GB</v>
      </c>
      <c r="C3243" s="8" t="s">
        <v>41</v>
      </c>
      <c r="D3243" s="9" t="str">
        <f t="shared" si="145"/>
        <v>LDM DR P2P Invite 12-Nov-26 v2 [digital]</v>
      </c>
      <c r="E3243" s="10" t="str">
        <f>HYPERLINK("https://otsuka-europe-crm.veevavault.com/ui/#object/sent_email__v/VBL000000035056", "SE-001443233")</f>
        <v>SE-001443233</v>
      </c>
      <c r="F3243" s="11"/>
      <c r="G3243" s="12">
        <v>0</v>
      </c>
      <c r="H3243" s="12">
        <v>0</v>
      </c>
      <c r="I3243" s="12">
        <v>0</v>
      </c>
      <c r="J3243" s="11"/>
      <c r="K3243" s="12">
        <v>0</v>
      </c>
      <c r="L3243" s="10" t="str">
        <f t="shared" si="146"/>
        <v>LDM DR P2P Invite 12-Nov-26 v2 [digital]</v>
      </c>
      <c r="M3243" s="10" t="str">
        <f t="shared" si="147"/>
        <v>ldimambro@crm.otsuka-europe.com</v>
      </c>
      <c r="N3243" s="13">
        <v>46213.485763888886</v>
      </c>
      <c r="O3243" s="14" t="str">
        <f>HYPERLINK("https://otsuka-europe-crm.veevavault.com/ui/#object/email_activity__v/V8C000000047133", "EN-002104393")</f>
        <v>EN-002104393</v>
      </c>
    </row>
    <row r="3244" spans="1:15" ht="32" x14ac:dyDescent="0.2">
      <c r="A3244" s="7" t="str">
        <f>HYPERLINK("https://otsuka-europe-crm.veevavault.com/ui/#object/account__v/V4TZ04ASG6ZY3G5", "Leslie Rodrigues")</f>
        <v>Leslie Rodrigues</v>
      </c>
      <c r="B3244" s="7" t="str">
        <f t="shared" si="144"/>
        <v>GB</v>
      </c>
      <c r="C3244" s="8" t="s">
        <v>41</v>
      </c>
      <c r="D3244" s="9" t="str">
        <f t="shared" si="145"/>
        <v>LDM DR P2P Invite 12-Nov-26 v2 [digital]</v>
      </c>
      <c r="E3244" s="10" t="str">
        <f>HYPERLINK("https://otsuka-europe-crm.veevavault.com/ui/#object/sent_email__v/VBL000000035057", "SE-001443234")</f>
        <v>SE-001443234</v>
      </c>
      <c r="F3244" s="11"/>
      <c r="G3244" s="12">
        <v>0</v>
      </c>
      <c r="H3244" s="12">
        <v>0</v>
      </c>
      <c r="I3244" s="12">
        <v>0</v>
      </c>
      <c r="J3244" s="11"/>
      <c r="K3244" s="12">
        <v>0</v>
      </c>
      <c r="L3244" s="10" t="str">
        <f t="shared" si="146"/>
        <v>LDM DR P2P Invite 12-Nov-26 v2 [digital]</v>
      </c>
      <c r="M3244" s="10" t="str">
        <f t="shared" si="147"/>
        <v>ldimambro@crm.otsuka-europe.com</v>
      </c>
      <c r="N3244" s="13">
        <v>46213.485798611109</v>
      </c>
      <c r="O3244" s="14" t="str">
        <f>HYPERLINK("https://otsuka-europe-crm.veevavault.com/ui/#object/email_activity__v/V8C000000047151", "EN-002104411")</f>
        <v>EN-002104411</v>
      </c>
    </row>
    <row r="3245" spans="1:15" ht="32" x14ac:dyDescent="0.2">
      <c r="A3245" s="7" t="str">
        <f>HYPERLINK("https://otsuka-europe-crm.veevavault.com/ui/#object/account__v/V4TZ06G6OB48AAZ", "Natalie Scott")</f>
        <v>Natalie Scott</v>
      </c>
      <c r="B3245" s="7" t="str">
        <f t="shared" si="144"/>
        <v>GB</v>
      </c>
      <c r="C3245" s="8" t="s">
        <v>41</v>
      </c>
      <c r="D3245" s="9" t="str">
        <f t="shared" si="145"/>
        <v>LDM DR P2P Invite 12-Nov-26 v2 [digital]</v>
      </c>
      <c r="E3245" s="10" t="str">
        <f>HYPERLINK("https://otsuka-europe-crm.veevavault.com/ui/#object/sent_email__v/VBL000000035058", "SE-001443235")</f>
        <v>SE-001443235</v>
      </c>
      <c r="F3245" s="11"/>
      <c r="G3245" s="12">
        <v>0</v>
      </c>
      <c r="H3245" s="12">
        <v>0</v>
      </c>
      <c r="I3245" s="12">
        <v>0</v>
      </c>
      <c r="J3245" s="11"/>
      <c r="K3245" s="12">
        <v>0</v>
      </c>
      <c r="L3245" s="10" t="str">
        <f t="shared" si="146"/>
        <v>LDM DR P2P Invite 12-Nov-26 v2 [digital]</v>
      </c>
      <c r="M3245" s="10" t="str">
        <f t="shared" si="147"/>
        <v>ldimambro@crm.otsuka-europe.com</v>
      </c>
      <c r="N3245" s="13">
        <v>46213.485798611109</v>
      </c>
      <c r="O3245" s="14" t="str">
        <f>HYPERLINK("https://otsuka-europe-crm.veevavault.com/ui/#object/email_activity__v/V8C000000047154", "EN-002104414")</f>
        <v>EN-002104414</v>
      </c>
    </row>
    <row r="3246" spans="1:15" ht="32" x14ac:dyDescent="0.2">
      <c r="A3246" s="7" t="str">
        <f>HYPERLINK("https://otsuka-europe-crm.veevavault.com/ui/#object/account__v/V4TZ0000062PAPZ", "Rachna Gurtu Bansal")</f>
        <v>Rachna Gurtu Bansal</v>
      </c>
      <c r="B3246" s="7" t="str">
        <f t="shared" si="144"/>
        <v>GB</v>
      </c>
      <c r="C3246" s="8" t="s">
        <v>41</v>
      </c>
      <c r="D3246" s="9" t="str">
        <f t="shared" si="145"/>
        <v>LDM DR P2P Invite 12-Nov-26 v2 [digital]</v>
      </c>
      <c r="E3246" s="10" t="str">
        <f>HYPERLINK("https://otsuka-europe-crm.veevavault.com/ui/#object/sent_email__v/VBL000000035059", "SE-001443236")</f>
        <v>SE-001443236</v>
      </c>
      <c r="F3246" s="11"/>
      <c r="G3246" s="12">
        <v>0</v>
      </c>
      <c r="H3246" s="12">
        <v>0</v>
      </c>
      <c r="I3246" s="12">
        <v>0</v>
      </c>
      <c r="J3246" s="11"/>
      <c r="K3246" s="12">
        <v>0</v>
      </c>
      <c r="L3246" s="10" t="str">
        <f t="shared" si="146"/>
        <v>LDM DR P2P Invite 12-Nov-26 v2 [digital]</v>
      </c>
      <c r="M3246" s="10" t="str">
        <f t="shared" si="147"/>
        <v>ldimambro@crm.otsuka-europe.com</v>
      </c>
      <c r="N3246" s="13">
        <v>46213.485798611109</v>
      </c>
      <c r="O3246" s="14" t="str">
        <f>HYPERLINK("https://otsuka-europe-crm.veevavault.com/ui/#object/email_activity__v/V8C000000048099", "EN-002104420")</f>
        <v>EN-002104420</v>
      </c>
    </row>
    <row r="3247" spans="1:15" ht="32" x14ac:dyDescent="0.2">
      <c r="A3247" s="7" t="str">
        <f>HYPERLINK("https://otsuka-europe-crm.veevavault.com/ui/#object/account__v/V4TZ0000062PIPR", "Mohammad Hussain")</f>
        <v>Mohammad Hussain</v>
      </c>
      <c r="B3247" s="7" t="str">
        <f t="shared" si="144"/>
        <v>GB</v>
      </c>
      <c r="C3247" s="8" t="s">
        <v>41</v>
      </c>
      <c r="D3247" s="9" t="str">
        <f t="shared" si="145"/>
        <v>LDM DR P2P Invite 12-Nov-26 v2 [digital]</v>
      </c>
      <c r="E3247" s="10" t="str">
        <f>HYPERLINK("https://otsuka-europe-crm.veevavault.com/ui/#object/sent_email__v/VBL000000035060", "SE-001443237")</f>
        <v>SE-001443237</v>
      </c>
      <c r="F3247" s="11"/>
      <c r="G3247" s="12">
        <v>0</v>
      </c>
      <c r="H3247" s="12">
        <v>0</v>
      </c>
      <c r="I3247" s="12">
        <v>0</v>
      </c>
      <c r="J3247" s="11"/>
      <c r="K3247" s="12">
        <v>0</v>
      </c>
      <c r="L3247" s="10" t="str">
        <f t="shared" si="146"/>
        <v>LDM DR P2P Invite 12-Nov-26 v2 [digital]</v>
      </c>
      <c r="M3247" s="10" t="str">
        <f t="shared" si="147"/>
        <v>ldimambro@crm.otsuka-europe.com</v>
      </c>
      <c r="N3247" s="13">
        <v>46213.485798611109</v>
      </c>
      <c r="O3247" s="14" t="str">
        <f>HYPERLINK("https://otsuka-europe-crm.veevavault.com/ui/#object/email_activity__v/V8C000000047164", "EN-002104428")</f>
        <v>EN-002104428</v>
      </c>
    </row>
    <row r="3248" spans="1:15" ht="16" x14ac:dyDescent="0.2">
      <c r="A3248" s="18" t="str">
        <f>HYPERLINK("https://otsuka-europe-crm.veevavault.com/ui/#object/account__v/V4TZ0000062PCDI", "Manal El-Maraghy")</f>
        <v>Manal El-Maraghy</v>
      </c>
      <c r="B3248" s="18" t="str">
        <f t="shared" si="144"/>
        <v>GB</v>
      </c>
      <c r="C3248" s="20" t="s">
        <v>41</v>
      </c>
      <c r="D3248" s="21" t="str">
        <f t="shared" si="145"/>
        <v>LDM DR P2P Invite 12-Nov-26 v2 [digital]</v>
      </c>
      <c r="E3248" s="22" t="str">
        <f>HYPERLINK("https://otsuka-europe-crm.veevavault.com/ui/#object/sent_email__v/VBL000000035061", "SE-001443238")</f>
        <v>SE-001443238</v>
      </c>
      <c r="F3248" s="25">
        <v>46234.435868055552</v>
      </c>
      <c r="G3248" s="24">
        <v>1</v>
      </c>
      <c r="H3248" s="24">
        <v>6</v>
      </c>
      <c r="I3248" s="24">
        <v>0</v>
      </c>
      <c r="J3248" s="23"/>
      <c r="K3248" s="24">
        <v>0</v>
      </c>
      <c r="L3248" s="22" t="str">
        <f t="shared" si="146"/>
        <v>LDM DR P2P Invite 12-Nov-26 v2 [digital]</v>
      </c>
      <c r="M3248" s="22" t="str">
        <f t="shared" si="147"/>
        <v>ldimambro@crm.otsuka-europe.com</v>
      </c>
      <c r="N3248" s="25">
        <v>46213.485798611109</v>
      </c>
      <c r="O3248" s="14" t="str">
        <f>HYPERLINK("https://otsuka-europe-crm.veevavault.com/ui/#object/email_activity__v/V8C000000048102", "EN-002104423")</f>
        <v>EN-002104423</v>
      </c>
    </row>
    <row r="3249" spans="1:15" ht="16" x14ac:dyDescent="0.2">
      <c r="A3249" s="26"/>
      <c r="B3249" s="26"/>
      <c r="C3249" s="26"/>
      <c r="D3249" s="26"/>
      <c r="E3249" s="26"/>
      <c r="F3249" s="26"/>
      <c r="G3249" s="26"/>
      <c r="H3249" s="26"/>
      <c r="I3249" s="26"/>
      <c r="J3249" s="26"/>
      <c r="K3249" s="26"/>
      <c r="L3249" s="26"/>
      <c r="M3249" s="26"/>
      <c r="N3249" s="26"/>
      <c r="O3249" s="14" t="str">
        <f>HYPERLINK("https://otsuka-europe-crm.veevavault.com/ui/#object/email_activity__v/V8C000000049095", "EN-002105038")</f>
        <v>EN-002105038</v>
      </c>
    </row>
    <row r="3250" spans="1:15" ht="16" x14ac:dyDescent="0.2">
      <c r="A3250" s="26"/>
      <c r="B3250" s="26"/>
      <c r="C3250" s="26"/>
      <c r="D3250" s="26"/>
      <c r="E3250" s="26"/>
      <c r="F3250" s="26"/>
      <c r="G3250" s="26"/>
      <c r="H3250" s="26"/>
      <c r="I3250" s="26"/>
      <c r="J3250" s="26"/>
      <c r="K3250" s="26"/>
      <c r="L3250" s="26"/>
      <c r="M3250" s="26"/>
      <c r="N3250" s="26"/>
      <c r="O3250" s="14" t="str">
        <f>HYPERLINK("https://otsuka-europe-crm.veevavault.com/ui/#object/email_activity__v/V8C00000004D719", "EN-002109539")</f>
        <v>EN-002109539</v>
      </c>
    </row>
    <row r="3251" spans="1:15" ht="16" x14ac:dyDescent="0.2">
      <c r="A3251" s="26"/>
      <c r="B3251" s="26"/>
      <c r="C3251" s="26"/>
      <c r="D3251" s="26"/>
      <c r="E3251" s="26"/>
      <c r="F3251" s="26"/>
      <c r="G3251" s="26"/>
      <c r="H3251" s="26"/>
      <c r="I3251" s="26"/>
      <c r="J3251" s="26"/>
      <c r="K3251" s="26"/>
      <c r="L3251" s="26"/>
      <c r="M3251" s="26"/>
      <c r="N3251" s="26"/>
      <c r="O3251" s="14" t="str">
        <f>HYPERLINK("https://otsuka-europe-crm.veevavault.com/ui/#object/email_activity__v/V8C00000004D720", "EN-002109540")</f>
        <v>EN-002109540</v>
      </c>
    </row>
    <row r="3252" spans="1:15" ht="16" x14ac:dyDescent="0.2">
      <c r="A3252" s="26"/>
      <c r="B3252" s="26"/>
      <c r="C3252" s="26"/>
      <c r="D3252" s="26"/>
      <c r="E3252" s="26"/>
      <c r="F3252" s="26"/>
      <c r="G3252" s="26"/>
      <c r="H3252" s="26"/>
      <c r="I3252" s="26"/>
      <c r="J3252" s="26"/>
      <c r="K3252" s="26"/>
      <c r="L3252" s="26"/>
      <c r="M3252" s="26"/>
      <c r="N3252" s="26"/>
      <c r="O3252" s="14" t="str">
        <f>HYPERLINK("https://otsuka-europe-crm.veevavault.com/ui/#object/email_activity__v/V8C00000004D721", "EN-002109543")</f>
        <v>EN-002109543</v>
      </c>
    </row>
    <row r="3253" spans="1:15" ht="16" x14ac:dyDescent="0.2">
      <c r="A3253" s="26"/>
      <c r="B3253" s="26"/>
      <c r="C3253" s="26"/>
      <c r="D3253" s="26"/>
      <c r="E3253" s="26"/>
      <c r="F3253" s="26"/>
      <c r="G3253" s="26"/>
      <c r="H3253" s="26"/>
      <c r="I3253" s="26"/>
      <c r="J3253" s="26"/>
      <c r="K3253" s="26"/>
      <c r="L3253" s="26"/>
      <c r="M3253" s="26"/>
      <c r="N3253" s="26"/>
      <c r="O3253" s="14" t="str">
        <f>HYPERLINK("https://otsuka-europe-crm.veevavault.com/ui/#object/email_activity__v/V8C00000004D722", "EN-002109544")</f>
        <v>EN-002109544</v>
      </c>
    </row>
    <row r="3254" spans="1:15" ht="16" x14ac:dyDescent="0.2">
      <c r="A3254" s="26"/>
      <c r="B3254" s="26"/>
      <c r="C3254" s="26"/>
      <c r="D3254" s="26"/>
      <c r="E3254" s="26"/>
      <c r="F3254" s="26"/>
      <c r="G3254" s="26"/>
      <c r="H3254" s="26"/>
      <c r="I3254" s="26"/>
      <c r="J3254" s="26"/>
      <c r="K3254" s="26"/>
      <c r="L3254" s="26"/>
      <c r="M3254" s="26"/>
      <c r="N3254" s="26"/>
      <c r="O3254" s="14" t="str">
        <f>HYPERLINK("https://otsuka-europe-crm.veevavault.com/ui/#object/email_activity__v/V8C00000004D749", "EN-002109601")</f>
        <v>EN-002109601</v>
      </c>
    </row>
    <row r="3255" spans="1:15" ht="16" x14ac:dyDescent="0.2">
      <c r="A3255" s="26"/>
      <c r="B3255" s="26"/>
      <c r="C3255" s="26"/>
      <c r="D3255" s="26"/>
      <c r="E3255" s="26"/>
      <c r="F3255" s="26"/>
      <c r="G3255" s="26"/>
      <c r="H3255" s="26"/>
      <c r="I3255" s="26"/>
      <c r="J3255" s="26"/>
      <c r="K3255" s="26"/>
      <c r="L3255" s="26"/>
      <c r="M3255" s="26"/>
      <c r="N3255" s="26"/>
      <c r="O3255" s="14" t="str">
        <f>HYPERLINK("https://otsuka-europe-crm.veevavault.com/ui/#object/email_activity__v/V8C00000004E602", "EN-002109538")</f>
        <v>EN-002109538</v>
      </c>
    </row>
    <row r="3256" spans="1:15" ht="16" x14ac:dyDescent="0.2">
      <c r="A3256" s="26"/>
      <c r="B3256" s="26"/>
      <c r="C3256" s="26"/>
      <c r="D3256" s="26"/>
      <c r="E3256" s="26"/>
      <c r="F3256" s="26"/>
      <c r="G3256" s="26"/>
      <c r="H3256" s="26"/>
      <c r="I3256" s="26"/>
      <c r="J3256" s="26"/>
      <c r="K3256" s="26"/>
      <c r="L3256" s="26"/>
      <c r="M3256" s="26"/>
      <c r="N3256" s="26"/>
      <c r="O3256" s="14" t="str">
        <f>HYPERLINK("https://otsuka-europe-crm.veevavault.com/ui/#object/email_activity__v/V8C00000004G271", "EN-002110321")</f>
        <v>EN-002110321</v>
      </c>
    </row>
    <row r="3257" spans="1:15" ht="16" x14ac:dyDescent="0.2">
      <c r="A3257" s="26"/>
      <c r="B3257" s="26"/>
      <c r="C3257" s="26"/>
      <c r="D3257" s="26"/>
      <c r="E3257" s="26"/>
      <c r="F3257" s="26"/>
      <c r="G3257" s="26"/>
      <c r="H3257" s="26"/>
      <c r="I3257" s="26"/>
      <c r="J3257" s="26"/>
      <c r="K3257" s="26"/>
      <c r="L3257" s="26"/>
      <c r="M3257" s="26"/>
      <c r="N3257" s="26"/>
      <c r="O3257" s="14" t="str">
        <f>HYPERLINK("https://otsuka-europe-crm.veevavault.com/ui/#object/email_activity__v/V8C00000004G583", "EN-002110770")</f>
        <v>EN-002110770</v>
      </c>
    </row>
    <row r="3258" spans="1:15" ht="16" x14ac:dyDescent="0.2">
      <c r="A3258" s="26"/>
      <c r="B3258" s="26"/>
      <c r="C3258" s="26"/>
      <c r="D3258" s="26"/>
      <c r="E3258" s="26"/>
      <c r="F3258" s="26"/>
      <c r="G3258" s="26"/>
      <c r="H3258" s="26"/>
      <c r="I3258" s="26"/>
      <c r="J3258" s="26"/>
      <c r="K3258" s="26"/>
      <c r="L3258" s="26"/>
      <c r="M3258" s="26"/>
      <c r="N3258" s="26"/>
      <c r="O3258" s="14" t="str">
        <f>HYPERLINK("https://otsuka-europe-crm.veevavault.com/ui/#object/email_activity__v/V8C00000004H345", "EN-002111563")</f>
        <v>EN-002111563</v>
      </c>
    </row>
    <row r="3259" spans="1:15" ht="16" x14ac:dyDescent="0.2">
      <c r="A3259" s="26"/>
      <c r="B3259" s="26"/>
      <c r="C3259" s="26"/>
      <c r="D3259" s="26"/>
      <c r="E3259" s="26"/>
      <c r="F3259" s="26"/>
      <c r="G3259" s="26"/>
      <c r="H3259" s="26"/>
      <c r="I3259" s="26"/>
      <c r="J3259" s="26"/>
      <c r="K3259" s="26"/>
      <c r="L3259" s="26"/>
      <c r="M3259" s="26"/>
      <c r="N3259" s="26"/>
      <c r="O3259" s="14" t="str">
        <f>HYPERLINK("https://otsuka-europe-crm.veevavault.com/ui/#object/email_activity__v/V8C00000004I267", "EN-002111561")</f>
        <v>EN-002111561</v>
      </c>
    </row>
    <row r="3260" spans="1:15" ht="16" x14ac:dyDescent="0.2">
      <c r="A3260" s="19"/>
      <c r="B3260" s="19"/>
      <c r="C3260" s="19"/>
      <c r="D3260" s="19"/>
      <c r="E3260" s="19"/>
      <c r="F3260" s="19"/>
      <c r="G3260" s="19"/>
      <c r="H3260" s="19"/>
      <c r="I3260" s="19"/>
      <c r="J3260" s="19"/>
      <c r="K3260" s="19"/>
      <c r="L3260" s="19"/>
      <c r="M3260" s="19"/>
      <c r="N3260" s="19"/>
      <c r="O3260" s="14" t="str">
        <f>HYPERLINK("https://otsuka-europe-crm.veevavault.com/ui/#object/email_activity__v/V8C00000004I268", "EN-002111562")</f>
        <v>EN-002111562</v>
      </c>
    </row>
    <row r="3261" spans="1:15" ht="16" x14ac:dyDescent="0.2">
      <c r="A3261" s="18" t="str">
        <f>HYPERLINK("https://otsuka-europe-crm.veevavault.com/ui/#object/account__v/V4TZ025E82K343L", "Moataz Abdelreheem")</f>
        <v>Moataz Abdelreheem</v>
      </c>
      <c r="B3261" s="18" t="str">
        <f>HYPERLINK("https://otsuka-europe-crm.veevavault.com/ui/#object/vcountry__v/VENZ000004SONFK", "GB")</f>
        <v>GB</v>
      </c>
      <c r="C3261" s="20" t="s">
        <v>41</v>
      </c>
      <c r="D3261" s="21" t="str">
        <f>HYPERLINK("https://otsuka-europe-crm.veevavault.com/ui/#object/approved_document__v/V5O00000001V001", "LDM DR P2P Invite 12-Nov-26 v2 [digital]")</f>
        <v>LDM DR P2P Invite 12-Nov-26 v2 [digital]</v>
      </c>
      <c r="E3261" s="22" t="str">
        <f>HYPERLINK("https://otsuka-europe-crm.veevavault.com/ui/#object/sent_email__v/VBL000000035062", "SE-001443239")</f>
        <v>SE-001443239</v>
      </c>
      <c r="F3261" s="25">
        <v>46213.736145833333</v>
      </c>
      <c r="G3261" s="24">
        <v>1</v>
      </c>
      <c r="H3261" s="24">
        <v>4</v>
      </c>
      <c r="I3261" s="24">
        <v>0</v>
      </c>
      <c r="J3261" s="23"/>
      <c r="K3261" s="24">
        <v>0</v>
      </c>
      <c r="L3261" s="22" t="str">
        <f>HYPERLINK("https://otsuka-europe-crm.veevavault.com/ui/#object/approved_document__v/V5O00000001V001", "LDM DR P2P Invite 12-Nov-26 v2 [digital]")</f>
        <v>LDM DR P2P Invite 12-Nov-26 v2 [digital]</v>
      </c>
      <c r="M3261" s="22" t="str">
        <f>HYPERLINK("mailto:ldimambro@crm.otsuka-europe.com", "ldimambro@crm.otsuka-europe.com")</f>
        <v>ldimambro@crm.otsuka-europe.com</v>
      </c>
      <c r="N3261" s="25">
        <v>46213.485798611109</v>
      </c>
      <c r="O3261" s="14" t="str">
        <f>HYPERLINK("https://otsuka-europe-crm.veevavault.com/ui/#object/email_activity__v/V8C000000047149", "EN-002104409")</f>
        <v>EN-002104409</v>
      </c>
    </row>
    <row r="3262" spans="1:15" ht="16" x14ac:dyDescent="0.2">
      <c r="A3262" s="26"/>
      <c r="B3262" s="26"/>
      <c r="C3262" s="26"/>
      <c r="D3262" s="26"/>
      <c r="E3262" s="26"/>
      <c r="F3262" s="26"/>
      <c r="G3262" s="26"/>
      <c r="H3262" s="26"/>
      <c r="I3262" s="26"/>
      <c r="J3262" s="26"/>
      <c r="K3262" s="26"/>
      <c r="L3262" s="26"/>
      <c r="M3262" s="26"/>
      <c r="N3262" s="26"/>
      <c r="O3262" s="14" t="str">
        <f>HYPERLINK("https://otsuka-europe-crm.veevavault.com/ui/#object/email_activity__v/V8C000000047191", "EN-002104493")</f>
        <v>EN-002104493</v>
      </c>
    </row>
    <row r="3263" spans="1:15" ht="16" x14ac:dyDescent="0.2">
      <c r="A3263" s="26"/>
      <c r="B3263" s="26"/>
      <c r="C3263" s="26"/>
      <c r="D3263" s="26"/>
      <c r="E3263" s="26"/>
      <c r="F3263" s="26"/>
      <c r="G3263" s="26"/>
      <c r="H3263" s="26"/>
      <c r="I3263" s="26"/>
      <c r="J3263" s="26"/>
      <c r="K3263" s="26"/>
      <c r="L3263" s="26"/>
      <c r="M3263" s="26"/>
      <c r="N3263" s="26"/>
      <c r="O3263" s="14" t="str">
        <f>HYPERLINK("https://otsuka-europe-crm.veevavault.com/ui/#object/email_activity__v/V8C000000047192", "EN-002104494")</f>
        <v>EN-002104494</v>
      </c>
    </row>
    <row r="3264" spans="1:15" ht="16" x14ac:dyDescent="0.2">
      <c r="A3264" s="26"/>
      <c r="B3264" s="26"/>
      <c r="C3264" s="26"/>
      <c r="D3264" s="26"/>
      <c r="E3264" s="26"/>
      <c r="F3264" s="26"/>
      <c r="G3264" s="26"/>
      <c r="H3264" s="26"/>
      <c r="I3264" s="26"/>
      <c r="J3264" s="26"/>
      <c r="K3264" s="26"/>
      <c r="L3264" s="26"/>
      <c r="M3264" s="26"/>
      <c r="N3264" s="26"/>
      <c r="O3264" s="14" t="str">
        <f>HYPERLINK("https://otsuka-europe-crm.veevavault.com/ui/#object/email_activity__v/V8C000000047371", "EN-002104820")</f>
        <v>EN-002104820</v>
      </c>
    </row>
    <row r="3265" spans="1:15" ht="16" x14ac:dyDescent="0.2">
      <c r="A3265" s="26"/>
      <c r="B3265" s="26"/>
      <c r="C3265" s="26"/>
      <c r="D3265" s="26"/>
      <c r="E3265" s="26"/>
      <c r="F3265" s="26"/>
      <c r="G3265" s="26"/>
      <c r="H3265" s="26"/>
      <c r="I3265" s="26"/>
      <c r="J3265" s="26"/>
      <c r="K3265" s="26"/>
      <c r="L3265" s="26"/>
      <c r="M3265" s="26"/>
      <c r="N3265" s="26"/>
      <c r="O3265" s="14" t="str">
        <f>HYPERLINK("https://otsuka-europe-crm.veevavault.com/ui/#object/email_activity__v/V8C000000047372", "EN-002104821")</f>
        <v>EN-002104821</v>
      </c>
    </row>
    <row r="3266" spans="1:15" ht="16" x14ac:dyDescent="0.2">
      <c r="A3266" s="19"/>
      <c r="B3266" s="19"/>
      <c r="C3266" s="19"/>
      <c r="D3266" s="19"/>
      <c r="E3266" s="19"/>
      <c r="F3266" s="19"/>
      <c r="G3266" s="19"/>
      <c r="H3266" s="19"/>
      <c r="I3266" s="19"/>
      <c r="J3266" s="19"/>
      <c r="K3266" s="19"/>
      <c r="L3266" s="19"/>
      <c r="M3266" s="19"/>
      <c r="N3266" s="19"/>
      <c r="O3266" s="14" t="str">
        <f>HYPERLINK("https://otsuka-europe-crm.veevavault.com/ui/#object/email_activity__v/V8C000000049042", "EN-002104950")</f>
        <v>EN-002104950</v>
      </c>
    </row>
    <row r="3267" spans="1:15" ht="32" x14ac:dyDescent="0.2">
      <c r="A3267" s="7" t="str">
        <f>HYPERLINK("https://otsuka-europe-crm.veevavault.com/ui/#object/account__v/V4TZ04ASGF6HGED", "Olayinka Adepoju")</f>
        <v>Olayinka Adepoju</v>
      </c>
      <c r="B3267" s="7" t="str">
        <f>HYPERLINK("https://otsuka-europe-crm.veevavault.com/ui/#object/vcountry__v/VENZ000004SONFK", "GB")</f>
        <v>GB</v>
      </c>
      <c r="C3267" s="8" t="s">
        <v>41</v>
      </c>
      <c r="D3267" s="9" t="str">
        <f>HYPERLINK("https://otsuka-europe-crm.veevavault.com/ui/#object/approved_document__v/V5O00000001V001", "LDM DR P2P Invite 12-Nov-26 v2 [digital]")</f>
        <v>LDM DR P2P Invite 12-Nov-26 v2 [digital]</v>
      </c>
      <c r="E3267" s="10" t="str">
        <f>HYPERLINK("https://otsuka-europe-crm.veevavault.com/ui/#object/sent_email__v/VBL000000035063", "SE-001443240")</f>
        <v>SE-001443240</v>
      </c>
      <c r="F3267" s="11"/>
      <c r="G3267" s="12">
        <v>0</v>
      </c>
      <c r="H3267" s="12">
        <v>0</v>
      </c>
      <c r="I3267" s="12">
        <v>0</v>
      </c>
      <c r="J3267" s="11"/>
      <c r="K3267" s="12">
        <v>0</v>
      </c>
      <c r="L3267" s="10" t="str">
        <f>HYPERLINK("https://otsuka-europe-crm.veevavault.com/ui/#object/approved_document__v/V5O00000001V001", "LDM DR P2P Invite 12-Nov-26 v2 [digital]")</f>
        <v>LDM DR P2P Invite 12-Nov-26 v2 [digital]</v>
      </c>
      <c r="M3267" s="10" t="str">
        <f>HYPERLINK("mailto:ldimambro@crm.otsuka-europe.com", "ldimambro@crm.otsuka-europe.com")</f>
        <v>ldimambro@crm.otsuka-europe.com</v>
      </c>
      <c r="N3267" s="13">
        <v>46213.485798611109</v>
      </c>
      <c r="O3267" s="14" t="str">
        <f>HYPERLINK("https://otsuka-europe-crm.veevavault.com/ui/#object/email_activity__v/V8C000000047162", "EN-002104426")</f>
        <v>EN-002104426</v>
      </c>
    </row>
    <row r="3268" spans="1:15" ht="32" x14ac:dyDescent="0.2">
      <c r="A3268" s="7" t="str">
        <f>HYPERLINK("https://otsuka-europe-crm.veevavault.com/ui/#object/account__v/V4TZ06G6OC8ZW6M", "Paula Young")</f>
        <v>Paula Young</v>
      </c>
      <c r="B3268" s="7" t="str">
        <f>HYPERLINK("https://otsuka-europe-crm.veevavault.com/ui/#object/vcountry__v/VENZ000004SONFK", "GB")</f>
        <v>GB</v>
      </c>
      <c r="C3268" s="8" t="s">
        <v>41</v>
      </c>
      <c r="D3268" s="9" t="str">
        <f>HYPERLINK("https://otsuka-europe-crm.veevavault.com/ui/#object/approved_document__v/V5O00000001V001", "LDM DR P2P Invite 12-Nov-26 v2 [digital]")</f>
        <v>LDM DR P2P Invite 12-Nov-26 v2 [digital]</v>
      </c>
      <c r="E3268" s="10" t="str">
        <f>HYPERLINK("https://otsuka-europe-crm.veevavault.com/ui/#object/sent_email__v/VBL000000035064", "SE-001443241")</f>
        <v>SE-001443241</v>
      </c>
      <c r="F3268" s="11"/>
      <c r="G3268" s="12">
        <v>0</v>
      </c>
      <c r="H3268" s="12">
        <v>0</v>
      </c>
      <c r="I3268" s="12">
        <v>0</v>
      </c>
      <c r="J3268" s="11"/>
      <c r="K3268" s="12">
        <v>0</v>
      </c>
      <c r="L3268" s="10" t="str">
        <f>HYPERLINK("https://otsuka-europe-crm.veevavault.com/ui/#object/approved_document__v/V5O00000001V001", "LDM DR P2P Invite 12-Nov-26 v2 [digital]")</f>
        <v>LDM DR P2P Invite 12-Nov-26 v2 [digital]</v>
      </c>
      <c r="M3268" s="10" t="str">
        <f>HYPERLINK("mailto:ldimambro@crm.otsuka-europe.com", "ldimambro@crm.otsuka-europe.com")</f>
        <v>ldimambro@crm.otsuka-europe.com</v>
      </c>
      <c r="N3268" s="13">
        <v>46213.485798611109</v>
      </c>
      <c r="O3268" s="14" t="str">
        <f>HYPERLINK("https://otsuka-europe-crm.veevavault.com/ui/#object/email_activity__v/V8C000000047140", "EN-002104400")</f>
        <v>EN-002104400</v>
      </c>
    </row>
    <row r="3269" spans="1:15" ht="16" x14ac:dyDescent="0.2">
      <c r="A3269" s="18" t="str">
        <f>HYPERLINK("https://otsuka-europe-crm.veevavault.com/ui/#object/account__v/V4TZ04ASG9ZDCS3", "Mariam Mozu")</f>
        <v>Mariam Mozu</v>
      </c>
      <c r="B3269" s="18" t="str">
        <f>HYPERLINK("https://otsuka-europe-crm.veevavault.com/ui/#object/vcountry__v/VENZ000004SONFK", "GB")</f>
        <v>GB</v>
      </c>
      <c r="C3269" s="20" t="s">
        <v>41</v>
      </c>
      <c r="D3269" s="21" t="str">
        <f>HYPERLINK("https://otsuka-europe-crm.veevavault.com/ui/#object/approved_document__v/V5O00000001V001", "LDM DR P2P Invite 12-Nov-26 v2 [digital]")</f>
        <v>LDM DR P2P Invite 12-Nov-26 v2 [digital]</v>
      </c>
      <c r="E3269" s="22" t="str">
        <f>HYPERLINK("https://otsuka-europe-crm.veevavault.com/ui/#object/sent_email__v/VBL000000035065", "SE-001443242")</f>
        <v>SE-001443242</v>
      </c>
      <c r="F3269" s="25">
        <v>46213.509317129632</v>
      </c>
      <c r="G3269" s="24">
        <v>1</v>
      </c>
      <c r="H3269" s="24">
        <v>2</v>
      </c>
      <c r="I3269" s="24">
        <v>0</v>
      </c>
      <c r="J3269" s="23"/>
      <c r="K3269" s="24">
        <v>0</v>
      </c>
      <c r="L3269" s="22" t="str">
        <f>HYPERLINK("https://otsuka-europe-crm.veevavault.com/ui/#object/approved_document__v/V5O00000001V001", "LDM DR P2P Invite 12-Nov-26 v2 [digital]")</f>
        <v>LDM DR P2P Invite 12-Nov-26 v2 [digital]</v>
      </c>
      <c r="M3269" s="22" t="str">
        <f>HYPERLINK("mailto:ldimambro@crm.otsuka-europe.com", "ldimambro@crm.otsuka-europe.com")</f>
        <v>ldimambro@crm.otsuka-europe.com</v>
      </c>
      <c r="N3269" s="25">
        <v>46213.485798611109</v>
      </c>
      <c r="O3269" s="14" t="str">
        <f>HYPERLINK("https://otsuka-europe-crm.veevavault.com/ui/#object/email_activity__v/V8C000000047156", "EN-002104416")</f>
        <v>EN-002104416</v>
      </c>
    </row>
    <row r="3270" spans="1:15" ht="16" x14ac:dyDescent="0.2">
      <c r="A3270" s="26"/>
      <c r="B3270" s="26"/>
      <c r="C3270" s="26"/>
      <c r="D3270" s="26"/>
      <c r="E3270" s="26"/>
      <c r="F3270" s="26"/>
      <c r="G3270" s="26"/>
      <c r="H3270" s="26"/>
      <c r="I3270" s="26"/>
      <c r="J3270" s="26"/>
      <c r="K3270" s="26"/>
      <c r="L3270" s="26"/>
      <c r="M3270" s="26"/>
      <c r="N3270" s="26"/>
      <c r="O3270" s="14" t="str">
        <f>HYPERLINK("https://otsuka-europe-crm.veevavault.com/ui/#object/email_activity__v/V8C000000047206", "EN-002104518")</f>
        <v>EN-002104518</v>
      </c>
    </row>
    <row r="3271" spans="1:15" ht="16" x14ac:dyDescent="0.2">
      <c r="A3271" s="19"/>
      <c r="B3271" s="19"/>
      <c r="C3271" s="19"/>
      <c r="D3271" s="19"/>
      <c r="E3271" s="19"/>
      <c r="F3271" s="19"/>
      <c r="G3271" s="19"/>
      <c r="H3271" s="19"/>
      <c r="I3271" s="19"/>
      <c r="J3271" s="19"/>
      <c r="K3271" s="19"/>
      <c r="L3271" s="19"/>
      <c r="M3271" s="19"/>
      <c r="N3271" s="19"/>
      <c r="O3271" s="14" t="str">
        <f>HYPERLINK("https://otsuka-europe-crm.veevavault.com/ui/#object/email_activity__v/V8C000000048103", "EN-002104429")</f>
        <v>EN-002104429</v>
      </c>
    </row>
    <row r="3272" spans="1:15" ht="32" x14ac:dyDescent="0.2">
      <c r="A3272" s="7" t="str">
        <f>HYPERLINK("https://otsuka-europe-crm.veevavault.com/ui/#object/account__v/V4TZ06G6OBU7LFE", "Philip Tarima")</f>
        <v>Philip Tarima</v>
      </c>
      <c r="B3272" s="7" t="str">
        <f t="shared" ref="B3272:B3280" si="148">HYPERLINK("https://otsuka-europe-crm.veevavault.com/ui/#object/vcountry__v/VENZ000004SONFK", "GB")</f>
        <v>GB</v>
      </c>
      <c r="C3272" s="8" t="s">
        <v>41</v>
      </c>
      <c r="D3272" s="9" t="str">
        <f t="shared" ref="D3272:D3280" si="149">HYPERLINK("https://otsuka-europe-crm.veevavault.com/ui/#object/approved_document__v/V5O00000001V001", "LDM DR P2P Invite 12-Nov-26 v2 [digital]")</f>
        <v>LDM DR P2P Invite 12-Nov-26 v2 [digital]</v>
      </c>
      <c r="E3272" s="10" t="str">
        <f>HYPERLINK("https://otsuka-europe-crm.veevavault.com/ui/#object/sent_email__v/VBL000000035066", "SE-001443243")</f>
        <v>SE-001443243</v>
      </c>
      <c r="F3272" s="11"/>
      <c r="G3272" s="12">
        <v>0</v>
      </c>
      <c r="H3272" s="12">
        <v>0</v>
      </c>
      <c r="I3272" s="12">
        <v>0</v>
      </c>
      <c r="J3272" s="11"/>
      <c r="K3272" s="12">
        <v>0</v>
      </c>
      <c r="L3272" s="10" t="str">
        <f t="shared" ref="L3272:L3280" si="150">HYPERLINK("https://otsuka-europe-crm.veevavault.com/ui/#object/approved_document__v/V5O00000001V001", "LDM DR P2P Invite 12-Nov-26 v2 [digital]")</f>
        <v>LDM DR P2P Invite 12-Nov-26 v2 [digital]</v>
      </c>
      <c r="M3272" s="10" t="str">
        <f t="shared" ref="M3272:M3280" si="151">HYPERLINK("mailto:ldimambro@crm.otsuka-europe.com", "ldimambro@crm.otsuka-europe.com")</f>
        <v>ldimambro@crm.otsuka-europe.com</v>
      </c>
      <c r="N3272" s="13">
        <v>46213.485798611109</v>
      </c>
      <c r="O3272" s="14" t="str">
        <f>HYPERLINK("https://otsuka-europe-crm.veevavault.com/ui/#object/email_activity__v/V8C000000047163", "EN-002104427")</f>
        <v>EN-002104427</v>
      </c>
    </row>
    <row r="3273" spans="1:15" ht="32" x14ac:dyDescent="0.2">
      <c r="A3273" s="7" t="str">
        <f>HYPERLINK("https://otsuka-europe-crm.veevavault.com/ui/#object/account__v/V4TZ06G6OBS5KEL", "Raj Bangaroo")</f>
        <v>Raj Bangaroo</v>
      </c>
      <c r="B3273" s="7" t="str">
        <f t="shared" si="148"/>
        <v>GB</v>
      </c>
      <c r="C3273" s="8" t="s">
        <v>41</v>
      </c>
      <c r="D3273" s="9" t="str">
        <f t="shared" si="149"/>
        <v>LDM DR P2P Invite 12-Nov-26 v2 [digital]</v>
      </c>
      <c r="E3273" s="10" t="str">
        <f>HYPERLINK("https://otsuka-europe-crm.veevavault.com/ui/#object/sent_email__v/VBL000000035067", "SE-001443244")</f>
        <v>SE-001443244</v>
      </c>
      <c r="F3273" s="11"/>
      <c r="G3273" s="12">
        <v>0</v>
      </c>
      <c r="H3273" s="12">
        <v>0</v>
      </c>
      <c r="I3273" s="12">
        <v>0</v>
      </c>
      <c r="J3273" s="11"/>
      <c r="K3273" s="12">
        <v>0</v>
      </c>
      <c r="L3273" s="10" t="str">
        <f t="shared" si="150"/>
        <v>LDM DR P2P Invite 12-Nov-26 v2 [digital]</v>
      </c>
      <c r="M3273" s="10" t="str">
        <f t="shared" si="151"/>
        <v>ldimambro@crm.otsuka-europe.com</v>
      </c>
      <c r="N3273" s="13">
        <v>46213.485798611109</v>
      </c>
      <c r="O3273" s="14" t="str">
        <f>HYPERLINK("https://otsuka-europe-crm.veevavault.com/ui/#object/email_activity__v/V8C000000047158", "EN-002104418")</f>
        <v>EN-002104418</v>
      </c>
    </row>
    <row r="3274" spans="1:15" ht="32" x14ac:dyDescent="0.2">
      <c r="A3274" s="7" t="str">
        <f>HYPERLINK("https://otsuka-europe-crm.veevavault.com/ui/#object/account__v/V4TZ0000062PCX8", "Rajesh Atam")</f>
        <v>Rajesh Atam</v>
      </c>
      <c r="B3274" s="7" t="str">
        <f t="shared" si="148"/>
        <v>GB</v>
      </c>
      <c r="C3274" s="8" t="s">
        <v>41</v>
      </c>
      <c r="D3274" s="9" t="str">
        <f t="shared" si="149"/>
        <v>LDM DR P2P Invite 12-Nov-26 v2 [digital]</v>
      </c>
      <c r="E3274" s="10" t="str">
        <f>HYPERLINK("https://otsuka-europe-crm.veevavault.com/ui/#object/sent_email__v/VBL000000035068", "SE-001443245")</f>
        <v>SE-001443245</v>
      </c>
      <c r="F3274" s="11"/>
      <c r="G3274" s="12">
        <v>0</v>
      </c>
      <c r="H3274" s="12">
        <v>0</v>
      </c>
      <c r="I3274" s="12">
        <v>0</v>
      </c>
      <c r="J3274" s="11"/>
      <c r="K3274" s="12">
        <v>0</v>
      </c>
      <c r="L3274" s="10" t="str">
        <f t="shared" si="150"/>
        <v>LDM DR P2P Invite 12-Nov-26 v2 [digital]</v>
      </c>
      <c r="M3274" s="10" t="str">
        <f t="shared" si="151"/>
        <v>ldimambro@crm.otsuka-europe.com</v>
      </c>
      <c r="N3274" s="13">
        <v>46213.48574074074</v>
      </c>
      <c r="O3274" s="14" t="str">
        <f>HYPERLINK("https://otsuka-europe-crm.veevavault.com/ui/#object/email_activity__v/V8C000000047131", "EN-002104391")</f>
        <v>EN-002104391</v>
      </c>
    </row>
    <row r="3275" spans="1:15" ht="32" x14ac:dyDescent="0.2">
      <c r="A3275" s="7" t="str">
        <f>HYPERLINK("https://otsuka-europe-crm.veevavault.com/ui/#object/account__v/V4TZ0000062PAX8", "Najam Chaudry")</f>
        <v>Najam Chaudry</v>
      </c>
      <c r="B3275" s="7" t="str">
        <f t="shared" si="148"/>
        <v>GB</v>
      </c>
      <c r="C3275" s="8" t="s">
        <v>41</v>
      </c>
      <c r="D3275" s="9" t="str">
        <f t="shared" si="149"/>
        <v>LDM DR P2P Invite 12-Nov-26 v2 [digital]</v>
      </c>
      <c r="E3275" s="10" t="str">
        <f>HYPERLINK("https://otsuka-europe-crm.veevavault.com/ui/#object/sent_email__v/VBL000000035069", "SE-001443246")</f>
        <v>SE-001443246</v>
      </c>
      <c r="F3275" s="11"/>
      <c r="G3275" s="12">
        <v>0</v>
      </c>
      <c r="H3275" s="12">
        <v>0</v>
      </c>
      <c r="I3275" s="12">
        <v>0</v>
      </c>
      <c r="J3275" s="11"/>
      <c r="K3275" s="12">
        <v>0</v>
      </c>
      <c r="L3275" s="10" t="str">
        <f t="shared" si="150"/>
        <v>LDM DR P2P Invite 12-Nov-26 v2 [digital]</v>
      </c>
      <c r="M3275" s="10" t="str">
        <f t="shared" si="151"/>
        <v>ldimambro@crm.otsuka-europe.com</v>
      </c>
      <c r="N3275" s="13">
        <v>46213.485717592594</v>
      </c>
      <c r="O3275" s="14" t="str">
        <f>HYPERLINK("https://otsuka-europe-crm.veevavault.com/ui/#object/email_activity__v/V8C000000047144", "EN-002104404")</f>
        <v>EN-002104404</v>
      </c>
    </row>
    <row r="3276" spans="1:15" ht="32" x14ac:dyDescent="0.2">
      <c r="A3276" s="7" t="str">
        <f>HYPERLINK("https://otsuka-europe-crm.veevavault.com/ui/#object/account__v/V4TZ06G6OBUDI23", "Prashant Misra")</f>
        <v>Prashant Misra</v>
      </c>
      <c r="B3276" s="7" t="str">
        <f t="shared" si="148"/>
        <v>GB</v>
      </c>
      <c r="C3276" s="8" t="s">
        <v>41</v>
      </c>
      <c r="D3276" s="9" t="str">
        <f t="shared" si="149"/>
        <v>LDM DR P2P Invite 12-Nov-26 v2 [digital]</v>
      </c>
      <c r="E3276" s="10" t="str">
        <f>HYPERLINK("https://otsuka-europe-crm.veevavault.com/ui/#object/sent_email__v/VBL000000035070", "SE-001443247")</f>
        <v>SE-001443247</v>
      </c>
      <c r="F3276" s="11"/>
      <c r="G3276" s="12">
        <v>0</v>
      </c>
      <c r="H3276" s="12">
        <v>0</v>
      </c>
      <c r="I3276" s="12">
        <v>0</v>
      </c>
      <c r="J3276" s="11"/>
      <c r="K3276" s="12">
        <v>0</v>
      </c>
      <c r="L3276" s="10" t="str">
        <f t="shared" si="150"/>
        <v>LDM DR P2P Invite 12-Nov-26 v2 [digital]</v>
      </c>
      <c r="M3276" s="10" t="str">
        <f t="shared" si="151"/>
        <v>ldimambro@crm.otsuka-europe.com</v>
      </c>
      <c r="N3276" s="13">
        <v>46213.485717592594</v>
      </c>
      <c r="O3276" s="14" t="str">
        <f>HYPERLINK("https://otsuka-europe-crm.veevavault.com/ui/#object/email_activity__v/V8C000000047159", "EN-002104419")</f>
        <v>EN-002104419</v>
      </c>
    </row>
    <row r="3277" spans="1:15" ht="32" x14ac:dyDescent="0.2">
      <c r="A3277" s="7" t="str">
        <f>HYPERLINK("https://otsuka-europe-crm.veevavault.com/ui/#object/account__v/V4TZ0000062PB51", "Lesya Lavrenchuk")</f>
        <v>Lesya Lavrenchuk</v>
      </c>
      <c r="B3277" s="7" t="str">
        <f t="shared" si="148"/>
        <v>GB</v>
      </c>
      <c r="C3277" s="8" t="s">
        <v>41</v>
      </c>
      <c r="D3277" s="9" t="str">
        <f t="shared" si="149"/>
        <v>LDM DR P2P Invite 12-Nov-26 v2 [digital]</v>
      </c>
      <c r="E3277" s="10" t="str">
        <f>HYPERLINK("https://otsuka-europe-crm.veevavault.com/ui/#object/sent_email__v/VBL000000035071", "SE-001443248")</f>
        <v>SE-001443248</v>
      </c>
      <c r="F3277" s="11"/>
      <c r="G3277" s="12">
        <v>0</v>
      </c>
      <c r="H3277" s="12">
        <v>0</v>
      </c>
      <c r="I3277" s="12">
        <v>0</v>
      </c>
      <c r="J3277" s="11"/>
      <c r="K3277" s="12">
        <v>0</v>
      </c>
      <c r="L3277" s="10" t="str">
        <f t="shared" si="150"/>
        <v>LDM DR P2P Invite 12-Nov-26 v2 [digital]</v>
      </c>
      <c r="M3277" s="10" t="str">
        <f t="shared" si="151"/>
        <v>ldimambro@crm.otsuka-europe.com</v>
      </c>
      <c r="N3277" s="13">
        <v>46213.485798611109</v>
      </c>
      <c r="O3277" s="14" t="str">
        <f>HYPERLINK("https://otsuka-europe-crm.veevavault.com/ui/#object/email_activity__v/V8C000000047143", "EN-002104403")</f>
        <v>EN-002104403</v>
      </c>
    </row>
    <row r="3278" spans="1:15" ht="32" x14ac:dyDescent="0.2">
      <c r="A3278" s="7" t="str">
        <f>HYPERLINK("https://otsuka-europe-crm.veevavault.com/ui/#object/account__v/V4TZ04ASG9ZDCPB", "Mohammediya Abubaker")</f>
        <v>Mohammediya Abubaker</v>
      </c>
      <c r="B3278" s="7" t="str">
        <f t="shared" si="148"/>
        <v>GB</v>
      </c>
      <c r="C3278" s="8" t="s">
        <v>41</v>
      </c>
      <c r="D3278" s="9" t="str">
        <f t="shared" si="149"/>
        <v>LDM DR P2P Invite 12-Nov-26 v2 [digital]</v>
      </c>
      <c r="E3278" s="10" t="str">
        <f>HYPERLINK("https://otsuka-europe-crm.veevavault.com/ui/#object/sent_email__v/VBL000000035072", "SE-001443249")</f>
        <v>SE-001443249</v>
      </c>
      <c r="F3278" s="11"/>
      <c r="G3278" s="12">
        <v>0</v>
      </c>
      <c r="H3278" s="12">
        <v>0</v>
      </c>
      <c r="I3278" s="12">
        <v>0</v>
      </c>
      <c r="J3278" s="11"/>
      <c r="K3278" s="12">
        <v>0</v>
      </c>
      <c r="L3278" s="10" t="str">
        <f t="shared" si="150"/>
        <v>LDM DR P2P Invite 12-Nov-26 v2 [digital]</v>
      </c>
      <c r="M3278" s="10" t="str">
        <f t="shared" si="151"/>
        <v>ldimambro@crm.otsuka-europe.com</v>
      </c>
      <c r="N3278" s="13">
        <v>46213.48574074074</v>
      </c>
      <c r="O3278" s="14" t="str">
        <f>HYPERLINK("https://otsuka-europe-crm.veevavault.com/ui/#object/email_activity__v/V8C000000047152", "EN-002104412")</f>
        <v>EN-002104412</v>
      </c>
    </row>
    <row r="3279" spans="1:15" ht="32" x14ac:dyDescent="0.2">
      <c r="A3279" s="7" t="str">
        <f>HYPERLINK("https://otsuka-europe-crm.veevavault.com/ui/#object/account__v/V4TZ0000062PM2B", "Olusina Olubowale")</f>
        <v>Olusina Olubowale</v>
      </c>
      <c r="B3279" s="7" t="str">
        <f t="shared" si="148"/>
        <v>GB</v>
      </c>
      <c r="C3279" s="8" t="s">
        <v>41</v>
      </c>
      <c r="D3279" s="9" t="str">
        <f t="shared" si="149"/>
        <v>LDM DR P2P Invite 12-Nov-26 v2 [digital]</v>
      </c>
      <c r="E3279" s="10" t="str">
        <f>HYPERLINK("https://otsuka-europe-crm.veevavault.com/ui/#object/sent_email__v/VBL000000035073", "SE-001443250")</f>
        <v>SE-001443250</v>
      </c>
      <c r="F3279" s="11"/>
      <c r="G3279" s="12">
        <v>0</v>
      </c>
      <c r="H3279" s="12">
        <v>0</v>
      </c>
      <c r="I3279" s="12">
        <v>0</v>
      </c>
      <c r="J3279" s="11"/>
      <c r="K3279" s="12">
        <v>0</v>
      </c>
      <c r="L3279" s="10" t="str">
        <f t="shared" si="150"/>
        <v>LDM DR P2P Invite 12-Nov-26 v2 [digital]</v>
      </c>
      <c r="M3279" s="10" t="str">
        <f t="shared" si="151"/>
        <v>ldimambro@crm.otsuka-europe.com</v>
      </c>
      <c r="N3279" s="13">
        <v>46213.48578703704</v>
      </c>
      <c r="O3279" s="14" t="str">
        <f>HYPERLINK("https://otsuka-europe-crm.veevavault.com/ui/#object/email_activity__v/V8C000000047137", "EN-002104397")</f>
        <v>EN-002104397</v>
      </c>
    </row>
    <row r="3280" spans="1:15" ht="16" x14ac:dyDescent="0.2">
      <c r="A3280" s="18" t="str">
        <f>HYPERLINK("https://otsuka-europe-crm.veevavault.com/ui/#object/account__v/V4TZ0000062PIG6", "Pranveer Singh")</f>
        <v>Pranveer Singh</v>
      </c>
      <c r="B3280" s="18" t="str">
        <f t="shared" si="148"/>
        <v>GB</v>
      </c>
      <c r="C3280" s="20" t="s">
        <v>41</v>
      </c>
      <c r="D3280" s="21" t="str">
        <f t="shared" si="149"/>
        <v>LDM DR P2P Invite 12-Nov-26 v2 [digital]</v>
      </c>
      <c r="E3280" s="22" t="str">
        <f>HYPERLINK("https://otsuka-europe-crm.veevavault.com/ui/#object/sent_email__v/VBL000000035074", "SE-001443251")</f>
        <v>SE-001443251</v>
      </c>
      <c r="F3280" s="23"/>
      <c r="G3280" s="24">
        <v>0</v>
      </c>
      <c r="H3280" s="24">
        <v>0</v>
      </c>
      <c r="I3280" s="24">
        <v>0</v>
      </c>
      <c r="J3280" s="23"/>
      <c r="K3280" s="24">
        <v>0</v>
      </c>
      <c r="L3280" s="22" t="str">
        <f t="shared" si="150"/>
        <v>LDM DR P2P Invite 12-Nov-26 v2 [digital]</v>
      </c>
      <c r="M3280" s="22" t="str">
        <f t="shared" si="151"/>
        <v>ldimambro@crm.otsuka-europe.com</v>
      </c>
      <c r="N3280" s="25">
        <v>46213.48574074074</v>
      </c>
      <c r="O3280" s="14" t="str">
        <f>HYPERLINK("https://otsuka-europe-crm.veevavault.com/ui/#object/email_activity__v/V8C000000047153", "EN-002104413")</f>
        <v>EN-002104413</v>
      </c>
    </row>
    <row r="3281" spans="1:15" ht="16" x14ac:dyDescent="0.2">
      <c r="A3281" s="19"/>
      <c r="B3281" s="19"/>
      <c r="C3281" s="19"/>
      <c r="D3281" s="19"/>
      <c r="E3281" s="19"/>
      <c r="F3281" s="19"/>
      <c r="G3281" s="19"/>
      <c r="H3281" s="19"/>
      <c r="I3281" s="19"/>
      <c r="J3281" s="19"/>
      <c r="K3281" s="19"/>
      <c r="L3281" s="19"/>
      <c r="M3281" s="19"/>
      <c r="N3281" s="19"/>
      <c r="O3281" s="14" t="str">
        <f>HYPERLINK("https://otsuka-europe-crm.veevavault.com/ui/#object/email_activity__v/V8C000000049035", "EN-002104935")</f>
        <v>EN-002104935</v>
      </c>
    </row>
    <row r="3282" spans="1:15" ht="32" x14ac:dyDescent="0.2">
      <c r="A3282" s="7" t="str">
        <f>HYPERLINK("https://otsuka-europe-crm.veevavault.com/ui/#object/account__v/V4TZ04ASGBNZVIQ", "Pamela Moonga")</f>
        <v>Pamela Moonga</v>
      </c>
      <c r="B3282" s="7" t="str">
        <f>HYPERLINK("https://otsuka-europe-crm.veevavault.com/ui/#object/vcountry__v/VENZ000004SONFK", "GB")</f>
        <v>GB</v>
      </c>
      <c r="C3282" s="8" t="s">
        <v>41</v>
      </c>
      <c r="D3282" s="9" t="str">
        <f>HYPERLINK("https://otsuka-europe-crm.veevavault.com/ui/#object/approved_document__v/V5O00000001V001", "LDM DR P2P Invite 12-Nov-26 v2 [digital]")</f>
        <v>LDM DR P2P Invite 12-Nov-26 v2 [digital]</v>
      </c>
      <c r="E3282" s="10" t="str">
        <f>HYPERLINK("https://otsuka-europe-crm.veevavault.com/ui/#object/sent_email__v/VBL000000035075", "SE-001443252")</f>
        <v>SE-001443252</v>
      </c>
      <c r="F3282" s="11"/>
      <c r="G3282" s="12">
        <v>0</v>
      </c>
      <c r="H3282" s="12">
        <v>0</v>
      </c>
      <c r="I3282" s="12">
        <v>0</v>
      </c>
      <c r="J3282" s="11"/>
      <c r="K3282" s="12">
        <v>0</v>
      </c>
      <c r="L3282" s="10" t="str">
        <f>HYPERLINK("https://otsuka-europe-crm.veevavault.com/ui/#object/approved_document__v/V5O00000001V001", "LDM DR P2P Invite 12-Nov-26 v2 [digital]")</f>
        <v>LDM DR P2P Invite 12-Nov-26 v2 [digital]</v>
      </c>
      <c r="M3282" s="10" t="str">
        <f>HYPERLINK("mailto:ldimambro@crm.otsuka-europe.com", "ldimambro@crm.otsuka-europe.com")</f>
        <v>ldimambro@crm.otsuka-europe.com</v>
      </c>
      <c r="N3282" s="13">
        <v>46213.485763888886</v>
      </c>
      <c r="O3282" s="14" t="str">
        <f>HYPERLINK("https://otsuka-europe-crm.veevavault.com/ui/#object/email_activity__v/V8C000000047134", "EN-002104394")</f>
        <v>EN-002104394</v>
      </c>
    </row>
    <row r="3283" spans="1:15" ht="16" x14ac:dyDescent="0.2">
      <c r="A3283" s="18" t="str">
        <f>HYPERLINK("https://otsuka-europe-crm.veevavault.com/ui/#object/account__v/V4TZ04ASG79ZOD4", "Oliver Osei Appiah")</f>
        <v>Oliver Osei Appiah</v>
      </c>
      <c r="B3283" s="18" t="str">
        <f>HYPERLINK("https://otsuka-europe-crm.veevavault.com/ui/#object/vcountry__v/VENZ000004SONFK", "GB")</f>
        <v>GB</v>
      </c>
      <c r="C3283" s="20" t="s">
        <v>41</v>
      </c>
      <c r="D3283" s="21" t="str">
        <f>HYPERLINK("https://otsuka-europe-crm.veevavault.com/ui/#object/approved_document__v/V5O00000001V001", "LDM DR P2P Invite 12-Nov-26 v2 [digital]")</f>
        <v>LDM DR P2P Invite 12-Nov-26 v2 [digital]</v>
      </c>
      <c r="E3283" s="22" t="str">
        <f>HYPERLINK("https://otsuka-europe-crm.veevavault.com/ui/#object/sent_email__v/VBL000000035076", "SE-001443253")</f>
        <v>SE-001443253</v>
      </c>
      <c r="F3283" s="25">
        <v>46213.94736111111</v>
      </c>
      <c r="G3283" s="24">
        <v>1</v>
      </c>
      <c r="H3283" s="24">
        <v>2</v>
      </c>
      <c r="I3283" s="24">
        <v>0</v>
      </c>
      <c r="J3283" s="23"/>
      <c r="K3283" s="24">
        <v>0</v>
      </c>
      <c r="L3283" s="22" t="str">
        <f>HYPERLINK("https://otsuka-europe-crm.veevavault.com/ui/#object/approved_document__v/V5O00000001V001", "LDM DR P2P Invite 12-Nov-26 v2 [digital]")</f>
        <v>LDM DR P2P Invite 12-Nov-26 v2 [digital]</v>
      </c>
      <c r="M3283" s="22" t="str">
        <f>HYPERLINK("mailto:ldimambro@crm.otsuka-europe.com", "ldimambro@crm.otsuka-europe.com")</f>
        <v>ldimambro@crm.otsuka-europe.com</v>
      </c>
      <c r="N3283" s="25">
        <v>46213.485763888886</v>
      </c>
      <c r="O3283" s="14" t="str">
        <f>HYPERLINK("https://otsuka-europe-crm.veevavault.com/ui/#object/email_activity__v/V8C000000047132", "EN-002104392")</f>
        <v>EN-002104392</v>
      </c>
    </row>
    <row r="3284" spans="1:15" ht="16" x14ac:dyDescent="0.2">
      <c r="A3284" s="26"/>
      <c r="B3284" s="26"/>
      <c r="C3284" s="26"/>
      <c r="D3284" s="26"/>
      <c r="E3284" s="26"/>
      <c r="F3284" s="26"/>
      <c r="G3284" s="26"/>
      <c r="H3284" s="26"/>
      <c r="I3284" s="26"/>
      <c r="J3284" s="26"/>
      <c r="K3284" s="26"/>
      <c r="L3284" s="26"/>
      <c r="M3284" s="26"/>
      <c r="N3284" s="26"/>
      <c r="O3284" s="14" t="str">
        <f>HYPERLINK("https://otsuka-europe-crm.veevavault.com/ui/#object/email_activity__v/V8C000000048302", "EN-002104860")</f>
        <v>EN-002104860</v>
      </c>
    </row>
    <row r="3285" spans="1:15" ht="16" x14ac:dyDescent="0.2">
      <c r="A3285" s="19"/>
      <c r="B3285" s="19"/>
      <c r="C3285" s="19"/>
      <c r="D3285" s="19"/>
      <c r="E3285" s="19"/>
      <c r="F3285" s="19"/>
      <c r="G3285" s="19"/>
      <c r="H3285" s="19"/>
      <c r="I3285" s="19"/>
      <c r="J3285" s="19"/>
      <c r="K3285" s="19"/>
      <c r="L3285" s="19"/>
      <c r="M3285" s="19"/>
      <c r="N3285" s="19"/>
      <c r="O3285" s="14" t="str">
        <f>HYPERLINK("https://otsuka-europe-crm.veevavault.com/ui/#object/email_activity__v/V8C000000048303", "EN-002104861")</f>
        <v>EN-002104861</v>
      </c>
    </row>
    <row r="3286" spans="1:15" ht="16" x14ac:dyDescent="0.2">
      <c r="A3286" s="18" t="str">
        <f>HYPERLINK("https://otsuka-europe-crm.veevavault.com/ui/#object/account__v/V4TZ04ASG9GXL1L", "Opeyemi Oshingbesan")</f>
        <v>Opeyemi Oshingbesan</v>
      </c>
      <c r="B3286" s="18" t="str">
        <f>HYPERLINK("https://otsuka-europe-crm.veevavault.com/ui/#object/vcountry__v/VENZ000004SONFK", "GB")</f>
        <v>GB</v>
      </c>
      <c r="C3286" s="20" t="s">
        <v>41</v>
      </c>
      <c r="D3286" s="21" t="str">
        <f>HYPERLINK("https://otsuka-europe-crm.veevavault.com/ui/#object/approved_document__v/V5O00000001V001", "LDM DR P2P Invite 12-Nov-26 v2 [digital]")</f>
        <v>LDM DR P2P Invite 12-Nov-26 v2 [digital]</v>
      </c>
      <c r="E3286" s="22" t="str">
        <f>HYPERLINK("https://otsuka-europe-crm.veevavault.com/ui/#object/sent_email__v/VBL000000035077", "SE-001443254")</f>
        <v>SE-001443254</v>
      </c>
      <c r="F3286" s="23"/>
      <c r="G3286" s="24">
        <v>0</v>
      </c>
      <c r="H3286" s="24">
        <v>0</v>
      </c>
      <c r="I3286" s="24">
        <v>0</v>
      </c>
      <c r="J3286" s="23"/>
      <c r="K3286" s="24">
        <v>0</v>
      </c>
      <c r="L3286" s="22" t="str">
        <f>HYPERLINK("https://otsuka-europe-crm.veevavault.com/ui/#object/approved_document__v/V5O00000001V001", "LDM DR P2P Invite 12-Nov-26 v2 [digital]")</f>
        <v>LDM DR P2P Invite 12-Nov-26 v2 [digital]</v>
      </c>
      <c r="M3286" s="22" t="str">
        <f>HYPERLINK("mailto:ldimambro@crm.otsuka-europe.com", "ldimambro@crm.otsuka-europe.com")</f>
        <v>ldimambro@crm.otsuka-europe.com</v>
      </c>
      <c r="N3286" s="25">
        <v>46213.48574074074</v>
      </c>
      <c r="O3286" s="14" t="str">
        <f>HYPERLINK("https://otsuka-europe-crm.veevavault.com/ui/#object/email_activity__v/V8C000000047146", "EN-002104406")</f>
        <v>EN-002104406</v>
      </c>
    </row>
    <row r="3287" spans="1:15" ht="16" x14ac:dyDescent="0.2">
      <c r="A3287" s="19"/>
      <c r="B3287" s="19"/>
      <c r="C3287" s="19"/>
      <c r="D3287" s="19"/>
      <c r="E3287" s="19"/>
      <c r="F3287" s="19"/>
      <c r="G3287" s="19"/>
      <c r="H3287" s="19"/>
      <c r="I3287" s="19"/>
      <c r="J3287" s="19"/>
      <c r="K3287" s="19"/>
      <c r="L3287" s="19"/>
      <c r="M3287" s="19"/>
      <c r="N3287" s="19"/>
      <c r="O3287" s="14" t="str">
        <f>HYPERLINK("https://otsuka-europe-crm.veevavault.com/ui/#object/email_activity__v/V8C000000048296", "EN-002104850")</f>
        <v>EN-002104850</v>
      </c>
    </row>
    <row r="3288" spans="1:15" ht="32" x14ac:dyDescent="0.2">
      <c r="A3288" s="7" t="str">
        <f>HYPERLINK("https://otsuka-europe-crm.veevavault.com/ui/#object/account__v/V4TZ0000062PB8C", "Olutobi Oyebanjo")</f>
        <v>Olutobi Oyebanjo</v>
      </c>
      <c r="B3288" s="7" t="str">
        <f>HYPERLINK("https://otsuka-europe-crm.veevavault.com/ui/#object/vcountry__v/VENZ000004SONFK", "GB")</f>
        <v>GB</v>
      </c>
      <c r="C3288" s="8" t="s">
        <v>41</v>
      </c>
      <c r="D3288" s="9" t="str">
        <f>HYPERLINK("https://otsuka-europe-crm.veevavault.com/ui/#object/approved_document__v/V5O00000001V001", "LDM DR P2P Invite 12-Nov-26 v2 [digital]")</f>
        <v>LDM DR P2P Invite 12-Nov-26 v2 [digital]</v>
      </c>
      <c r="E3288" s="10" t="str">
        <f>HYPERLINK("https://otsuka-europe-crm.veevavault.com/ui/#object/sent_email__v/VBL000000035078", "SE-001443255")</f>
        <v>SE-001443255</v>
      </c>
      <c r="F3288" s="11"/>
      <c r="G3288" s="12">
        <v>0</v>
      </c>
      <c r="H3288" s="12">
        <v>0</v>
      </c>
      <c r="I3288" s="12">
        <v>0</v>
      </c>
      <c r="J3288" s="11"/>
      <c r="K3288" s="12">
        <v>0</v>
      </c>
      <c r="L3288" s="10" t="str">
        <f>HYPERLINK("https://otsuka-europe-crm.veevavault.com/ui/#object/approved_document__v/V5O00000001V001", "LDM DR P2P Invite 12-Nov-26 v2 [digital]")</f>
        <v>LDM DR P2P Invite 12-Nov-26 v2 [digital]</v>
      </c>
      <c r="M3288" s="10" t="str">
        <f>HYPERLINK("mailto:ldimambro@crm.otsuka-europe.com", "ldimambro@crm.otsuka-europe.com")</f>
        <v>ldimambro@crm.otsuka-europe.com</v>
      </c>
      <c r="N3288" s="13">
        <v>46213.48574074074</v>
      </c>
      <c r="O3288" s="14" t="str">
        <f>HYPERLINK("https://otsuka-europe-crm.veevavault.com/ui/#object/email_activity__v/V8C000000047148", "EN-002104408")</f>
        <v>EN-002104408</v>
      </c>
    </row>
    <row r="3289" spans="1:15" ht="16" x14ac:dyDescent="0.2">
      <c r="A3289" s="18" t="str">
        <f>HYPERLINK("https://otsuka-europe-crm.veevavault.com/ui/#object/account__v/V4TZ06G6OC91UL2", "Mahmoud Soliman")</f>
        <v>Mahmoud Soliman</v>
      </c>
      <c r="B3289" s="18" t="str">
        <f>HYPERLINK("https://otsuka-europe-crm.veevavault.com/ui/#object/vcountry__v/VENZ000004SONFK", "GB")</f>
        <v>GB</v>
      </c>
      <c r="C3289" s="20" t="s">
        <v>41</v>
      </c>
      <c r="D3289" s="21" t="str">
        <f>HYPERLINK("https://otsuka-europe-crm.veevavault.com/ui/#object/approved_document__v/V5O00000001V001", "LDM DR P2P Invite 12-Nov-26 v2 [digital]")</f>
        <v>LDM DR P2P Invite 12-Nov-26 v2 [digital]</v>
      </c>
      <c r="E3289" s="22" t="str">
        <f>HYPERLINK("https://otsuka-europe-crm.veevavault.com/ui/#object/sent_email__v/VBL000000035079", "SE-001443256")</f>
        <v>SE-001443256</v>
      </c>
      <c r="F3289" s="25">
        <v>46238.646817129629</v>
      </c>
      <c r="G3289" s="24">
        <v>1</v>
      </c>
      <c r="H3289" s="24">
        <v>11</v>
      </c>
      <c r="I3289" s="24">
        <v>0</v>
      </c>
      <c r="J3289" s="23"/>
      <c r="K3289" s="24">
        <v>0</v>
      </c>
      <c r="L3289" s="22" t="str">
        <f>HYPERLINK("https://otsuka-europe-crm.veevavault.com/ui/#object/approved_document__v/V5O00000001V001", "LDM DR P2P Invite 12-Nov-26 v2 [digital]")</f>
        <v>LDM DR P2P Invite 12-Nov-26 v2 [digital]</v>
      </c>
      <c r="M3289" s="22" t="str">
        <f>HYPERLINK("mailto:ldimambro@crm.otsuka-europe.com", "ldimambro@crm.otsuka-europe.com")</f>
        <v>ldimambro@crm.otsuka-europe.com</v>
      </c>
      <c r="N3289" s="25">
        <v>46213.485833333332</v>
      </c>
      <c r="O3289" s="14" t="str">
        <f>HYPERLINK("https://otsuka-europe-crm.veevavault.com/ui/#object/email_activity__v/V8C000000047129", "EN-002104389")</f>
        <v>EN-002104389</v>
      </c>
    </row>
    <row r="3290" spans="1:15" ht="16" x14ac:dyDescent="0.2">
      <c r="A3290" s="26"/>
      <c r="B3290" s="26"/>
      <c r="C3290" s="26"/>
      <c r="D3290" s="26"/>
      <c r="E3290" s="26"/>
      <c r="F3290" s="26"/>
      <c r="G3290" s="26"/>
      <c r="H3290" s="26"/>
      <c r="I3290" s="26"/>
      <c r="J3290" s="26"/>
      <c r="K3290" s="26"/>
      <c r="L3290" s="26"/>
      <c r="M3290" s="26"/>
      <c r="N3290" s="26"/>
      <c r="O3290" s="14" t="str">
        <f>HYPERLINK("https://otsuka-europe-crm.veevavault.com/ui/#object/email_activity__v/V8C000000047186", "EN-002104488")</f>
        <v>EN-002104488</v>
      </c>
    </row>
    <row r="3291" spans="1:15" ht="16" x14ac:dyDescent="0.2">
      <c r="A3291" s="26"/>
      <c r="B3291" s="26"/>
      <c r="C3291" s="26"/>
      <c r="D3291" s="26"/>
      <c r="E3291" s="26"/>
      <c r="F3291" s="26"/>
      <c r="G3291" s="26"/>
      <c r="H3291" s="26"/>
      <c r="I3291" s="26"/>
      <c r="J3291" s="26"/>
      <c r="K3291" s="26"/>
      <c r="L3291" s="26"/>
      <c r="M3291" s="26"/>
      <c r="N3291" s="26"/>
      <c r="O3291" s="14" t="str">
        <f>HYPERLINK("https://otsuka-europe-crm.veevavault.com/ui/#object/email_activity__v/V8C000000047190", "EN-002104492")</f>
        <v>EN-002104492</v>
      </c>
    </row>
    <row r="3292" spans="1:15" ht="16" x14ac:dyDescent="0.2">
      <c r="A3292" s="26"/>
      <c r="B3292" s="26"/>
      <c r="C3292" s="26"/>
      <c r="D3292" s="26"/>
      <c r="E3292" s="26"/>
      <c r="F3292" s="26"/>
      <c r="G3292" s="26"/>
      <c r="H3292" s="26"/>
      <c r="I3292" s="26"/>
      <c r="J3292" s="26"/>
      <c r="K3292" s="26"/>
      <c r="L3292" s="26"/>
      <c r="M3292" s="26"/>
      <c r="N3292" s="26"/>
      <c r="O3292" s="14" t="str">
        <f>HYPERLINK("https://otsuka-europe-crm.veevavault.com/ui/#object/email_activity__v/V8C000000047308", "EN-002104675")</f>
        <v>EN-002104675</v>
      </c>
    </row>
    <row r="3293" spans="1:15" ht="16" x14ac:dyDescent="0.2">
      <c r="A3293" s="26"/>
      <c r="B3293" s="26"/>
      <c r="C3293" s="26"/>
      <c r="D3293" s="26"/>
      <c r="E3293" s="26"/>
      <c r="F3293" s="26"/>
      <c r="G3293" s="26"/>
      <c r="H3293" s="26"/>
      <c r="I3293" s="26"/>
      <c r="J3293" s="26"/>
      <c r="K3293" s="26"/>
      <c r="L3293" s="26"/>
      <c r="M3293" s="26"/>
      <c r="N3293" s="26"/>
      <c r="O3293" s="14" t="str">
        <f>HYPERLINK("https://otsuka-europe-crm.veevavault.com/ui/#object/email_activity__v/V8C000000047326", "EN-002104723")</f>
        <v>EN-002104723</v>
      </c>
    </row>
    <row r="3294" spans="1:15" ht="16" x14ac:dyDescent="0.2">
      <c r="A3294" s="26"/>
      <c r="B3294" s="26"/>
      <c r="C3294" s="26"/>
      <c r="D3294" s="26"/>
      <c r="E3294" s="26"/>
      <c r="F3294" s="26"/>
      <c r="G3294" s="26"/>
      <c r="H3294" s="26"/>
      <c r="I3294" s="26"/>
      <c r="J3294" s="26"/>
      <c r="K3294" s="26"/>
      <c r="L3294" s="26"/>
      <c r="M3294" s="26"/>
      <c r="N3294" s="26"/>
      <c r="O3294" s="14" t="str">
        <f>HYPERLINK("https://otsuka-europe-crm.veevavault.com/ui/#object/email_activity__v/V8C000000048105", "EN-002104432")</f>
        <v>EN-002104432</v>
      </c>
    </row>
    <row r="3295" spans="1:15" ht="16" x14ac:dyDescent="0.2">
      <c r="A3295" s="26"/>
      <c r="B3295" s="26"/>
      <c r="C3295" s="26"/>
      <c r="D3295" s="26"/>
      <c r="E3295" s="26"/>
      <c r="F3295" s="26"/>
      <c r="G3295" s="26"/>
      <c r="H3295" s="26"/>
      <c r="I3295" s="26"/>
      <c r="J3295" s="26"/>
      <c r="K3295" s="26"/>
      <c r="L3295" s="26"/>
      <c r="M3295" s="26"/>
      <c r="N3295" s="26"/>
      <c r="O3295" s="14" t="str">
        <f>HYPERLINK("https://otsuka-europe-crm.veevavault.com/ui/#object/email_activity__v/V8C000000048140", "EN-002104484")</f>
        <v>EN-002104484</v>
      </c>
    </row>
    <row r="3296" spans="1:15" ht="16" x14ac:dyDescent="0.2">
      <c r="A3296" s="26"/>
      <c r="B3296" s="26"/>
      <c r="C3296" s="26"/>
      <c r="D3296" s="26"/>
      <c r="E3296" s="26"/>
      <c r="F3296" s="26"/>
      <c r="G3296" s="26"/>
      <c r="H3296" s="26"/>
      <c r="I3296" s="26"/>
      <c r="J3296" s="26"/>
      <c r="K3296" s="26"/>
      <c r="L3296" s="26"/>
      <c r="M3296" s="26"/>
      <c r="N3296" s="26"/>
      <c r="O3296" s="14" t="str">
        <f>HYPERLINK("https://otsuka-europe-crm.veevavault.com/ui/#object/email_activity__v/V8C000000048233", "EN-002104720")</f>
        <v>EN-002104720</v>
      </c>
    </row>
    <row r="3297" spans="1:15" ht="16" x14ac:dyDescent="0.2">
      <c r="A3297" s="26"/>
      <c r="B3297" s="26"/>
      <c r="C3297" s="26"/>
      <c r="D3297" s="26"/>
      <c r="E3297" s="26"/>
      <c r="F3297" s="26"/>
      <c r="G3297" s="26"/>
      <c r="H3297" s="26"/>
      <c r="I3297" s="26"/>
      <c r="J3297" s="26"/>
      <c r="K3297" s="26"/>
      <c r="L3297" s="26"/>
      <c r="M3297" s="26"/>
      <c r="N3297" s="26"/>
      <c r="O3297" s="14" t="str">
        <f>HYPERLINK("https://otsuka-europe-crm.veevavault.com/ui/#object/email_activity__v/V8C000000049752", "EN-002106339")</f>
        <v>EN-002106339</v>
      </c>
    </row>
    <row r="3298" spans="1:15" ht="16" x14ac:dyDescent="0.2">
      <c r="A3298" s="26"/>
      <c r="B3298" s="26"/>
      <c r="C3298" s="26"/>
      <c r="D3298" s="26"/>
      <c r="E3298" s="26"/>
      <c r="F3298" s="26"/>
      <c r="G3298" s="26"/>
      <c r="H3298" s="26"/>
      <c r="I3298" s="26"/>
      <c r="J3298" s="26"/>
      <c r="K3298" s="26"/>
      <c r="L3298" s="26"/>
      <c r="M3298" s="26"/>
      <c r="N3298" s="26"/>
      <c r="O3298" s="14" t="str">
        <f>HYPERLINK("https://otsuka-europe-crm.veevavault.com/ui/#object/email_activity__v/V8C000000049760", "EN-002106354")</f>
        <v>EN-002106354</v>
      </c>
    </row>
    <row r="3299" spans="1:15" ht="16" x14ac:dyDescent="0.2">
      <c r="A3299" s="26"/>
      <c r="B3299" s="26"/>
      <c r="C3299" s="26"/>
      <c r="D3299" s="26"/>
      <c r="E3299" s="26"/>
      <c r="F3299" s="26"/>
      <c r="G3299" s="26"/>
      <c r="H3299" s="26"/>
      <c r="I3299" s="26"/>
      <c r="J3299" s="26"/>
      <c r="K3299" s="26"/>
      <c r="L3299" s="26"/>
      <c r="M3299" s="26"/>
      <c r="N3299" s="26"/>
      <c r="O3299" s="14" t="str">
        <f>HYPERLINK("https://otsuka-europe-crm.veevavault.com/ui/#object/email_activity__v/V8C00000004A736", "EN-002106368")</f>
        <v>EN-002106368</v>
      </c>
    </row>
    <row r="3300" spans="1:15" ht="16" x14ac:dyDescent="0.2">
      <c r="A3300" s="26"/>
      <c r="B3300" s="26"/>
      <c r="C3300" s="26"/>
      <c r="D3300" s="26"/>
      <c r="E3300" s="26"/>
      <c r="F3300" s="26"/>
      <c r="G3300" s="26"/>
      <c r="H3300" s="26"/>
      <c r="I3300" s="26"/>
      <c r="J3300" s="26"/>
      <c r="K3300" s="26"/>
      <c r="L3300" s="26"/>
      <c r="M3300" s="26"/>
      <c r="N3300" s="26"/>
      <c r="O3300" s="14" t="str">
        <f>HYPERLINK("https://otsuka-europe-crm.veevavault.com/ui/#object/email_activity__v/V8C00000004A738", "EN-002106370")</f>
        <v>EN-002106370</v>
      </c>
    </row>
    <row r="3301" spans="1:15" ht="16" x14ac:dyDescent="0.2">
      <c r="A3301" s="26"/>
      <c r="B3301" s="26"/>
      <c r="C3301" s="26"/>
      <c r="D3301" s="26"/>
      <c r="E3301" s="26"/>
      <c r="F3301" s="26"/>
      <c r="G3301" s="26"/>
      <c r="H3301" s="26"/>
      <c r="I3301" s="26"/>
      <c r="J3301" s="26"/>
      <c r="K3301" s="26"/>
      <c r="L3301" s="26"/>
      <c r="M3301" s="26"/>
      <c r="N3301" s="26"/>
      <c r="O3301" s="14" t="str">
        <f>HYPERLINK("https://otsuka-europe-crm.veevavault.com/ui/#object/email_activity__v/V8C00000004H328", "EN-002111532")</f>
        <v>EN-002111532</v>
      </c>
    </row>
    <row r="3302" spans="1:15" ht="16" x14ac:dyDescent="0.2">
      <c r="A3302" s="19"/>
      <c r="B3302" s="19"/>
      <c r="C3302" s="19"/>
      <c r="D3302" s="19"/>
      <c r="E3302" s="19"/>
      <c r="F3302" s="19"/>
      <c r="G3302" s="19"/>
      <c r="H3302" s="19"/>
      <c r="I3302" s="19"/>
      <c r="J3302" s="19"/>
      <c r="K3302" s="19"/>
      <c r="L3302" s="19"/>
      <c r="M3302" s="19"/>
      <c r="N3302" s="19"/>
      <c r="O3302" s="14" t="str">
        <f>HYPERLINK("https://otsuka-europe-crm.veevavault.com/ui/#object/email_activity__v/V8C00000004I254", "EN-002111531")</f>
        <v>EN-002111531</v>
      </c>
    </row>
    <row r="3303" spans="1:15" ht="16" x14ac:dyDescent="0.2">
      <c r="A3303" s="18" t="str">
        <f>HYPERLINK("https://otsuka-europe-crm.veevavault.com/ui/#object/account__v/V4TZ0000062PD3X", "Rajesh Balasubramanian")</f>
        <v>Rajesh Balasubramanian</v>
      </c>
      <c r="B3303" s="18" t="str">
        <f>HYPERLINK("https://otsuka-europe-crm.veevavault.com/ui/#object/vcountry__v/VENZ000004SONFK", "GB")</f>
        <v>GB</v>
      </c>
      <c r="C3303" s="20" t="s">
        <v>41</v>
      </c>
      <c r="D3303" s="21" t="str">
        <f>HYPERLINK("https://otsuka-europe-crm.veevavault.com/ui/#object/approved_document__v/V5O00000001V001", "LDM DR P2P Invite 12-Nov-26 v2 [digital]")</f>
        <v>LDM DR P2P Invite 12-Nov-26 v2 [digital]</v>
      </c>
      <c r="E3303" s="22" t="str">
        <f>HYPERLINK("https://otsuka-europe-crm.veevavault.com/ui/#object/sent_email__v/VBL000000035080", "SE-001443257")</f>
        <v>SE-001443257</v>
      </c>
      <c r="F3303" s="25">
        <v>46214.536817129629</v>
      </c>
      <c r="G3303" s="24">
        <v>1</v>
      </c>
      <c r="H3303" s="24">
        <v>1</v>
      </c>
      <c r="I3303" s="24">
        <v>0</v>
      </c>
      <c r="J3303" s="23"/>
      <c r="K3303" s="24">
        <v>0</v>
      </c>
      <c r="L3303" s="22" t="str">
        <f>HYPERLINK("https://otsuka-europe-crm.veevavault.com/ui/#object/approved_document__v/V5O00000001V001", "LDM DR P2P Invite 12-Nov-26 v2 [digital]")</f>
        <v>LDM DR P2P Invite 12-Nov-26 v2 [digital]</v>
      </c>
      <c r="M3303" s="22" t="str">
        <f>HYPERLINK("mailto:ldimambro@crm.otsuka-europe.com", "ldimambro@crm.otsuka-europe.com")</f>
        <v>ldimambro@crm.otsuka-europe.com</v>
      </c>
      <c r="N3303" s="25">
        <v>46213.485798611109</v>
      </c>
      <c r="O3303" s="14" t="str">
        <f>HYPERLINK("https://otsuka-europe-crm.veevavault.com/ui/#object/email_activity__v/V8C000000048100", "EN-002104421")</f>
        <v>EN-002104421</v>
      </c>
    </row>
    <row r="3304" spans="1:15" ht="16" x14ac:dyDescent="0.2">
      <c r="A3304" s="19"/>
      <c r="B3304" s="19"/>
      <c r="C3304" s="19"/>
      <c r="D3304" s="19"/>
      <c r="E3304" s="19"/>
      <c r="F3304" s="19"/>
      <c r="G3304" s="19"/>
      <c r="H3304" s="19"/>
      <c r="I3304" s="19"/>
      <c r="J3304" s="19"/>
      <c r="K3304" s="19"/>
      <c r="L3304" s="19"/>
      <c r="M3304" s="19"/>
      <c r="N3304" s="19"/>
      <c r="O3304" s="14" t="str">
        <f>HYPERLINK("https://otsuka-europe-crm.veevavault.com/ui/#object/email_activity__v/V8C00000004A017", "EN-002104902")</f>
        <v>EN-002104902</v>
      </c>
    </row>
    <row r="3305" spans="1:15" ht="32" x14ac:dyDescent="0.2">
      <c r="A3305" s="7" t="str">
        <f>HYPERLINK("https://otsuka-europe-crm.veevavault.com/ui/#object/account__v/V4TZ06G6OBIDWIU", "Manas Sarkar")</f>
        <v>Manas Sarkar</v>
      </c>
      <c r="B3305" s="7" t="str">
        <f>HYPERLINK("https://otsuka-europe-crm.veevavault.com/ui/#object/vcountry__v/VENZ000004SONFK", "GB")</f>
        <v>GB</v>
      </c>
      <c r="C3305" s="8" t="s">
        <v>41</v>
      </c>
      <c r="D3305" s="9" t="str">
        <f>HYPERLINK("https://otsuka-europe-crm.veevavault.com/ui/#object/approved_document__v/V5O00000001V001", "LDM DR P2P Invite 12-Nov-26 v2 [digital]")</f>
        <v>LDM DR P2P Invite 12-Nov-26 v2 [digital]</v>
      </c>
      <c r="E3305" s="10" t="str">
        <f>HYPERLINK("https://otsuka-europe-crm.veevavault.com/ui/#object/sent_email__v/VBL000000035081", "SE-001443258")</f>
        <v>SE-001443258</v>
      </c>
      <c r="F3305" s="11"/>
      <c r="G3305" s="12">
        <v>0</v>
      </c>
      <c r="H3305" s="12">
        <v>0</v>
      </c>
      <c r="I3305" s="12">
        <v>0</v>
      </c>
      <c r="J3305" s="11"/>
      <c r="K3305" s="12">
        <v>0</v>
      </c>
      <c r="L3305" s="10" t="str">
        <f>HYPERLINK("https://otsuka-europe-crm.veevavault.com/ui/#object/approved_document__v/V5O00000001V001", "LDM DR P2P Invite 12-Nov-26 v2 [digital]")</f>
        <v>LDM DR P2P Invite 12-Nov-26 v2 [digital]</v>
      </c>
      <c r="M3305" s="10" t="str">
        <f>HYPERLINK("mailto:ldimambro@crm.otsuka-europe.com", "ldimambro@crm.otsuka-europe.com")</f>
        <v>ldimambro@crm.otsuka-europe.com</v>
      </c>
      <c r="N3305" s="13">
        <v>46213.485798611109</v>
      </c>
      <c r="O3305" s="14" t="str">
        <f>HYPERLINK("https://otsuka-europe-crm.veevavault.com/ui/#object/email_activity__v/V8C000000047150", "EN-002104410")</f>
        <v>EN-002104410</v>
      </c>
    </row>
    <row r="3306" spans="1:15" ht="32" x14ac:dyDescent="0.2">
      <c r="A3306" s="7" t="str">
        <f>HYPERLINK("https://otsuka-europe-crm.veevavault.com/ui/#object/account__v/V4TZ04ASGBNZV1S", "Pearl Temogo")</f>
        <v>Pearl Temogo</v>
      </c>
      <c r="B3306" s="7" t="str">
        <f>HYPERLINK("https://otsuka-europe-crm.veevavault.com/ui/#object/vcountry__v/VENZ000004SONFK", "GB")</f>
        <v>GB</v>
      </c>
      <c r="C3306" s="8" t="s">
        <v>41</v>
      </c>
      <c r="D3306" s="9" t="str">
        <f>HYPERLINK("https://otsuka-europe-crm.veevavault.com/ui/#object/approved_document__v/V5O00000001V001", "LDM DR P2P Invite 12-Nov-26 v2 [digital]")</f>
        <v>LDM DR P2P Invite 12-Nov-26 v2 [digital]</v>
      </c>
      <c r="E3306" s="10" t="str">
        <f>HYPERLINK("https://otsuka-europe-crm.veevavault.com/ui/#object/sent_email__v/VBL000000035082", "SE-001443259")</f>
        <v>SE-001443259</v>
      </c>
      <c r="F3306" s="11"/>
      <c r="G3306" s="12">
        <v>0</v>
      </c>
      <c r="H3306" s="12">
        <v>0</v>
      </c>
      <c r="I3306" s="12">
        <v>0</v>
      </c>
      <c r="J3306" s="11"/>
      <c r="K3306" s="12">
        <v>0</v>
      </c>
      <c r="L3306" s="10" t="str">
        <f>HYPERLINK("https://otsuka-europe-crm.veevavault.com/ui/#object/approved_document__v/V5O00000001V001", "LDM DR P2P Invite 12-Nov-26 v2 [digital]")</f>
        <v>LDM DR P2P Invite 12-Nov-26 v2 [digital]</v>
      </c>
      <c r="M3306" s="10" t="str">
        <f>HYPERLINK("mailto:ldimambro@crm.otsuka-europe.com", "ldimambro@crm.otsuka-europe.com")</f>
        <v>ldimambro@crm.otsuka-europe.com</v>
      </c>
      <c r="N3306" s="13">
        <v>46213.485810185186</v>
      </c>
      <c r="O3306" s="14" t="str">
        <f>HYPERLINK("https://otsuka-europe-crm.veevavault.com/ui/#object/email_activity__v/V8C000000047139", "EN-002104399")</f>
        <v>EN-002104399</v>
      </c>
    </row>
    <row r="3307" spans="1:15" ht="16" x14ac:dyDescent="0.2">
      <c r="A3307" s="18" t="str">
        <f>HYPERLINK("https://otsuka-europe-crm.veevavault.com/ui/#object/account__v/V4TZ06G6O852V3F", "Rajesh Jethwa")</f>
        <v>Rajesh Jethwa</v>
      </c>
      <c r="B3307" s="18" t="str">
        <f>HYPERLINK("https://otsuka-europe-crm.veevavault.com/ui/#object/vcountry__v/VENZ000004SONFK", "GB")</f>
        <v>GB</v>
      </c>
      <c r="C3307" s="20" t="s">
        <v>41</v>
      </c>
      <c r="D3307" s="21" t="str">
        <f>HYPERLINK("https://otsuka-europe-crm.veevavault.com/ui/#object/approved_document__v/V5O00000001V001", "LDM DR P2P Invite 12-Nov-26 v2 [digital]")</f>
        <v>LDM DR P2P Invite 12-Nov-26 v2 [digital]</v>
      </c>
      <c r="E3307" s="22" t="str">
        <f>HYPERLINK("https://otsuka-europe-crm.veevavault.com/ui/#object/sent_email__v/VBL000000035083", "SE-001443260")</f>
        <v>SE-001443260</v>
      </c>
      <c r="F3307" s="23"/>
      <c r="G3307" s="24">
        <v>0</v>
      </c>
      <c r="H3307" s="24">
        <v>0</v>
      </c>
      <c r="I3307" s="24">
        <v>0</v>
      </c>
      <c r="J3307" s="23"/>
      <c r="K3307" s="24">
        <v>0</v>
      </c>
      <c r="L3307" s="22" t="str">
        <f>HYPERLINK("https://otsuka-europe-crm.veevavault.com/ui/#object/approved_document__v/V5O00000001V001", "LDM DR P2P Invite 12-Nov-26 v2 [digital]")</f>
        <v>LDM DR P2P Invite 12-Nov-26 v2 [digital]</v>
      </c>
      <c r="M3307" s="22" t="str">
        <f>HYPERLINK("mailto:ldimambro@crm.otsuka-europe.com", "ldimambro@crm.otsuka-europe.com")</f>
        <v>ldimambro@crm.otsuka-europe.com</v>
      </c>
      <c r="N3307" s="25">
        <v>46213.485798611109</v>
      </c>
      <c r="O3307" s="14" t="str">
        <f>HYPERLINK("https://otsuka-europe-crm.veevavault.com/ui/#object/email_activity__v/V8C000000047141", "EN-002104401")</f>
        <v>EN-002104401</v>
      </c>
    </row>
    <row r="3308" spans="1:15" ht="16" x14ac:dyDescent="0.2">
      <c r="A3308" s="19"/>
      <c r="B3308" s="19"/>
      <c r="C3308" s="19"/>
      <c r="D3308" s="19"/>
      <c r="E3308" s="19"/>
      <c r="F3308" s="19"/>
      <c r="G3308" s="19"/>
      <c r="H3308" s="19"/>
      <c r="I3308" s="19"/>
      <c r="J3308" s="19"/>
      <c r="K3308" s="19"/>
      <c r="L3308" s="19"/>
      <c r="M3308" s="19"/>
      <c r="N3308" s="19"/>
      <c r="O3308" s="14" t="str">
        <f>HYPERLINK("https://otsuka-europe-crm.veevavault.com/ui/#object/email_activity__v/V8C000000048104", "EN-002104430")</f>
        <v>EN-002104430</v>
      </c>
    </row>
    <row r="3309" spans="1:15" ht="32" x14ac:dyDescent="0.2">
      <c r="A3309" s="7" t="str">
        <f>HYPERLINK("https://otsuka-europe-crm.veevavault.com/ui/#object/account__v/V4TZ06G6OCBHGJN", "Ramdas Pananthattil")</f>
        <v>Ramdas Pananthattil</v>
      </c>
      <c r="B3309" s="7" t="str">
        <f>HYPERLINK("https://otsuka-europe-crm.veevavault.com/ui/#object/vcountry__v/VENZ000004SONFK", "GB")</f>
        <v>GB</v>
      </c>
      <c r="C3309" s="8" t="s">
        <v>41</v>
      </c>
      <c r="D3309" s="9" t="str">
        <f>HYPERLINK("https://otsuka-europe-crm.veevavault.com/ui/#object/approved_document__v/V5O00000001V001", "LDM DR P2P Invite 12-Nov-26 v2 [digital]")</f>
        <v>LDM DR P2P Invite 12-Nov-26 v2 [digital]</v>
      </c>
      <c r="E3309" s="10" t="str">
        <f>HYPERLINK("https://otsuka-europe-crm.veevavault.com/ui/#object/sent_email__v/VBL000000035084", "SE-001443261")</f>
        <v>SE-001443261</v>
      </c>
      <c r="F3309" s="11"/>
      <c r="G3309" s="12">
        <v>0</v>
      </c>
      <c r="H3309" s="12">
        <v>0</v>
      </c>
      <c r="I3309" s="12">
        <v>0</v>
      </c>
      <c r="J3309" s="11"/>
      <c r="K3309" s="12">
        <v>0</v>
      </c>
      <c r="L3309" s="10" t="str">
        <f>HYPERLINK("https://otsuka-europe-crm.veevavault.com/ui/#object/approved_document__v/V5O00000001V001", "LDM DR P2P Invite 12-Nov-26 v2 [digital]")</f>
        <v>LDM DR P2P Invite 12-Nov-26 v2 [digital]</v>
      </c>
      <c r="M3309" s="10" t="str">
        <f>HYPERLINK("mailto:ldimambro@crm.otsuka-europe.com", "ldimambro@crm.otsuka-europe.com")</f>
        <v>ldimambro@crm.otsuka-europe.com</v>
      </c>
      <c r="N3309" s="13">
        <v>46213.485798611109</v>
      </c>
      <c r="O3309" s="14" t="str">
        <f>HYPERLINK("https://otsuka-europe-crm.veevavault.com/ui/#object/email_activity__v/V8C000000047142", "EN-002104402")</f>
        <v>EN-002104402</v>
      </c>
    </row>
    <row r="3310" spans="1:15" ht="32" x14ac:dyDescent="0.2">
      <c r="A3310" s="7" t="str">
        <f>HYPERLINK("https://otsuka-europe-crm.veevavault.com/ui/#object/account__v/V4TZ025E82RNWS7", "Mihaela Bragaru")</f>
        <v>Mihaela Bragaru</v>
      </c>
      <c r="B3310" s="7" t="str">
        <f>HYPERLINK("https://otsuka-europe-crm.veevavault.com/ui/#object/vcountry__v/VENZ000004SONFK", "GB")</f>
        <v>GB</v>
      </c>
      <c r="C3310" s="8" t="s">
        <v>41</v>
      </c>
      <c r="D3310" s="9" t="str">
        <f>HYPERLINK("https://otsuka-europe-crm.veevavault.com/ui/#object/approved_document__v/V5O00000001V001", "LDM DR P2P Invite 12-Nov-26 v2 [digital]")</f>
        <v>LDM DR P2P Invite 12-Nov-26 v2 [digital]</v>
      </c>
      <c r="E3310" s="10" t="str">
        <f>HYPERLINK("https://otsuka-europe-crm.veevavault.com/ui/#object/sent_email__v/VBL000000035085", "SE-001443262")</f>
        <v>SE-001443262</v>
      </c>
      <c r="F3310" s="11"/>
      <c r="G3310" s="12">
        <v>0</v>
      </c>
      <c r="H3310" s="12">
        <v>0</v>
      </c>
      <c r="I3310" s="12">
        <v>0</v>
      </c>
      <c r="J3310" s="11"/>
      <c r="K3310" s="12">
        <v>0</v>
      </c>
      <c r="L3310" s="10" t="str">
        <f>HYPERLINK("https://otsuka-europe-crm.veevavault.com/ui/#object/approved_document__v/V5O00000001V001", "LDM DR P2P Invite 12-Nov-26 v2 [digital]")</f>
        <v>LDM DR P2P Invite 12-Nov-26 v2 [digital]</v>
      </c>
      <c r="M3310" s="10" t="str">
        <f>HYPERLINK("mailto:ldimambro@crm.otsuka-europe.com", "ldimambro@crm.otsuka-europe.com")</f>
        <v>ldimambro@crm.otsuka-europe.com</v>
      </c>
      <c r="N3310" s="13">
        <v>46213.485798611109</v>
      </c>
      <c r="O3310" s="14" t="str">
        <f>HYPERLINK("https://otsuka-europe-crm.veevavault.com/ui/#object/email_activity__v/V8C000000048101", "EN-002104422")</f>
        <v>EN-002104422</v>
      </c>
    </row>
    <row r="3311" spans="1:15" ht="16" x14ac:dyDescent="0.2">
      <c r="A3311" s="18" t="str">
        <f>HYPERLINK("https://otsuka-europe-crm.veevavault.com/ui/#object/account__v/V4TZ06G6OBS6ZOL", "Paul Carton")</f>
        <v>Paul Carton</v>
      </c>
      <c r="B3311" s="18" t="str">
        <f>HYPERLINK("https://otsuka-europe-crm.veevavault.com/ui/#object/vcountry__v/VENZ000004SONFK", "GB")</f>
        <v>GB</v>
      </c>
      <c r="C3311" s="20" t="s">
        <v>41</v>
      </c>
      <c r="D3311" s="21" t="str">
        <f>HYPERLINK("https://otsuka-europe-crm.veevavault.com/ui/#object/approved_document__v/V5O00000001V001", "LDM DR P2P Invite 12-Nov-26 v2 [digital]")</f>
        <v>LDM DR P2P Invite 12-Nov-26 v2 [digital]</v>
      </c>
      <c r="E3311" s="22" t="str">
        <f>HYPERLINK("https://otsuka-europe-crm.veevavault.com/ui/#object/sent_email__v/VBL000000035086", "SE-001443263")</f>
        <v>SE-001443263</v>
      </c>
      <c r="F3311" s="23"/>
      <c r="G3311" s="24">
        <v>0</v>
      </c>
      <c r="H3311" s="24">
        <v>0</v>
      </c>
      <c r="I3311" s="24">
        <v>0</v>
      </c>
      <c r="J3311" s="23"/>
      <c r="K3311" s="24">
        <v>0</v>
      </c>
      <c r="L3311" s="22" t="str">
        <f>HYPERLINK("https://otsuka-europe-crm.veevavault.com/ui/#object/approved_document__v/V5O00000001V001", "LDM DR P2P Invite 12-Nov-26 v2 [digital]")</f>
        <v>LDM DR P2P Invite 12-Nov-26 v2 [digital]</v>
      </c>
      <c r="M3311" s="22" t="str">
        <f>HYPERLINK("mailto:ldimambro@crm.otsuka-europe.com", "ldimambro@crm.otsuka-europe.com")</f>
        <v>ldimambro@crm.otsuka-europe.com</v>
      </c>
      <c r="N3311" s="25">
        <v>46213.485798611109</v>
      </c>
      <c r="O3311" s="14" t="str">
        <f>HYPERLINK("https://otsuka-europe-crm.veevavault.com/ui/#object/email_activity__v/V8C000000047157", "EN-002104417")</f>
        <v>EN-002104417</v>
      </c>
    </row>
    <row r="3312" spans="1:15" ht="16" x14ac:dyDescent="0.2">
      <c r="A3312" s="19"/>
      <c r="B3312" s="19"/>
      <c r="C3312" s="19"/>
      <c r="D3312" s="19"/>
      <c r="E3312" s="19"/>
      <c r="F3312" s="19"/>
      <c r="G3312" s="19"/>
      <c r="H3312" s="19"/>
      <c r="I3312" s="19"/>
      <c r="J3312" s="19"/>
      <c r="K3312" s="19"/>
      <c r="L3312" s="19"/>
      <c r="M3312" s="19"/>
      <c r="N3312" s="19"/>
      <c r="O3312" s="14" t="str">
        <f>HYPERLINK("https://otsuka-europe-crm.veevavault.com/ui/#object/email_activity__v/V8C00000004B077", "EN-002106866")</f>
        <v>EN-002106866</v>
      </c>
    </row>
    <row r="3313" spans="1:15" ht="32" x14ac:dyDescent="0.2">
      <c r="A3313" s="7" t="str">
        <f>HYPERLINK("https://otsuka-europe-crm.veevavault.com/ui/#object/account__v/V4TZ06G6OCBHU11", "Pedro Fernandes")</f>
        <v>Pedro Fernandes</v>
      </c>
      <c r="B3313" s="7" t="str">
        <f>HYPERLINK("https://otsuka-europe-crm.veevavault.com/ui/#object/vcountry__v/VENZ000004SONFK", "GB")</f>
        <v>GB</v>
      </c>
      <c r="C3313" s="8" t="s">
        <v>41</v>
      </c>
      <c r="D3313" s="9" t="str">
        <f>HYPERLINK("https://otsuka-europe-crm.veevavault.com/ui/#object/approved_document__v/V5O00000001V001", "LDM DR P2P Invite 12-Nov-26 v2 [digital]")</f>
        <v>LDM DR P2P Invite 12-Nov-26 v2 [digital]</v>
      </c>
      <c r="E3313" s="10" t="str">
        <f>HYPERLINK("https://otsuka-europe-crm.veevavault.com/ui/#object/sent_email__v/VBL000000035087", "SE-001443264")</f>
        <v>SE-001443264</v>
      </c>
      <c r="F3313" s="11"/>
      <c r="G3313" s="12">
        <v>0</v>
      </c>
      <c r="H3313" s="12">
        <v>0</v>
      </c>
      <c r="I3313" s="12">
        <v>0</v>
      </c>
      <c r="J3313" s="11"/>
      <c r="K3313" s="12">
        <v>0</v>
      </c>
      <c r="L3313" s="10" t="str">
        <f>HYPERLINK("https://otsuka-europe-crm.veevavault.com/ui/#object/approved_document__v/V5O00000001V001", "LDM DR P2P Invite 12-Nov-26 v2 [digital]")</f>
        <v>LDM DR P2P Invite 12-Nov-26 v2 [digital]</v>
      </c>
      <c r="M3313" s="10" t="str">
        <f>HYPERLINK("mailto:ldimambro@crm.otsuka-europe.com", "ldimambro@crm.otsuka-europe.com")</f>
        <v>ldimambro@crm.otsuka-europe.com</v>
      </c>
      <c r="N3313" s="13">
        <v>46213.485798611109</v>
      </c>
      <c r="O3313" s="14" t="str">
        <f>HYPERLINK("https://otsuka-europe-crm.veevavault.com/ui/#object/email_activity__v/V8C000000047160", "EN-002104424")</f>
        <v>EN-002104424</v>
      </c>
    </row>
    <row r="3314" spans="1:15" ht="16" x14ac:dyDescent="0.2">
      <c r="A3314" s="18" t="str">
        <f>HYPERLINK("https://otsuka-europe-crm.veevavault.com/ui/#object/account__v/V4TZ0000062PIOZ", "Okon Umoh")</f>
        <v>Okon Umoh</v>
      </c>
      <c r="B3314" s="18" t="str">
        <f>HYPERLINK("https://otsuka-europe-crm.veevavault.com/ui/#object/vcountry__v/VENZ000004SONFK", "GB")</f>
        <v>GB</v>
      </c>
      <c r="C3314" s="20" t="s">
        <v>41</v>
      </c>
      <c r="D3314" s="21" t="str">
        <f>HYPERLINK("https://otsuka-europe-crm.veevavault.com/ui/#object/approved_document__v/V5O00000001V001", "LDM DR P2P Invite 12-Nov-26 v2 [digital]")</f>
        <v>LDM DR P2P Invite 12-Nov-26 v2 [digital]</v>
      </c>
      <c r="E3314" s="22" t="str">
        <f>HYPERLINK("https://otsuka-europe-crm.veevavault.com/ui/#object/sent_email__v/VBL000000035088", "SE-001443265")</f>
        <v>SE-001443265</v>
      </c>
      <c r="F3314" s="25">
        <v>46213.565787037034</v>
      </c>
      <c r="G3314" s="24">
        <v>1</v>
      </c>
      <c r="H3314" s="24">
        <v>1</v>
      </c>
      <c r="I3314" s="24">
        <v>0</v>
      </c>
      <c r="J3314" s="23"/>
      <c r="K3314" s="24">
        <v>0</v>
      </c>
      <c r="L3314" s="22" t="str">
        <f>HYPERLINK("https://otsuka-europe-crm.veevavault.com/ui/#object/approved_document__v/V5O00000001V001", "LDM DR P2P Invite 12-Nov-26 v2 [digital]")</f>
        <v>LDM DR P2P Invite 12-Nov-26 v2 [digital]</v>
      </c>
      <c r="M3314" s="22" t="str">
        <f>HYPERLINK("mailto:ldimambro@crm.otsuka-europe.com", "ldimambro@crm.otsuka-europe.com")</f>
        <v>ldimambro@crm.otsuka-europe.com</v>
      </c>
      <c r="N3314" s="25">
        <v>46213.485798611109</v>
      </c>
      <c r="O3314" s="14" t="str">
        <f>HYPERLINK("https://otsuka-europe-crm.veevavault.com/ui/#object/email_activity__v/V8C000000047155", "EN-002104415")</f>
        <v>EN-002104415</v>
      </c>
    </row>
    <row r="3315" spans="1:15" ht="16" x14ac:dyDescent="0.2">
      <c r="A3315" s="19"/>
      <c r="B3315" s="19"/>
      <c r="C3315" s="19"/>
      <c r="D3315" s="19"/>
      <c r="E3315" s="19"/>
      <c r="F3315" s="19"/>
      <c r="G3315" s="19"/>
      <c r="H3315" s="19"/>
      <c r="I3315" s="19"/>
      <c r="J3315" s="19"/>
      <c r="K3315" s="19"/>
      <c r="L3315" s="19"/>
      <c r="M3315" s="19"/>
      <c r="N3315" s="19"/>
      <c r="O3315" s="14" t="str">
        <f>HYPERLINK("https://otsuka-europe-crm.veevavault.com/ui/#object/email_activity__v/V8C000000048250", "EN-002104750")</f>
        <v>EN-002104750</v>
      </c>
    </row>
    <row r="3316" spans="1:15" ht="32" x14ac:dyDescent="0.2">
      <c r="A3316" s="7" t="str">
        <f>HYPERLINK("https://otsuka-europe-crm.veevavault.com/ui/#object/account__v/V4TZ0000062PC3C", "Orsolya-Erzsebet Demeter")</f>
        <v>Orsolya-Erzsebet Demeter</v>
      </c>
      <c r="B3316" s="7" t="str">
        <f>HYPERLINK("https://otsuka-europe-crm.veevavault.com/ui/#object/vcountry__v/VENZ000004SONFK", "GB")</f>
        <v>GB</v>
      </c>
      <c r="C3316" s="8" t="s">
        <v>41</v>
      </c>
      <c r="D3316" s="9" t="str">
        <f>HYPERLINK("https://otsuka-europe-crm.veevavault.com/ui/#object/approved_document__v/V5O00000001V001", "LDM DR P2P Invite 12-Nov-26 v2 [digital]")</f>
        <v>LDM DR P2P Invite 12-Nov-26 v2 [digital]</v>
      </c>
      <c r="E3316" s="10" t="str">
        <f>HYPERLINK("https://otsuka-europe-crm.veevavault.com/ui/#object/sent_email__v/VBL000000035089", "SE-001443266")</f>
        <v>SE-001443266</v>
      </c>
      <c r="F3316" s="11"/>
      <c r="G3316" s="12">
        <v>0</v>
      </c>
      <c r="H3316" s="12">
        <v>0</v>
      </c>
      <c r="I3316" s="12">
        <v>0</v>
      </c>
      <c r="J3316" s="11"/>
      <c r="K3316" s="12">
        <v>0</v>
      </c>
      <c r="L3316" s="10" t="str">
        <f>HYPERLINK("https://otsuka-europe-crm.veevavault.com/ui/#object/approved_document__v/V5O00000001V001", "LDM DR P2P Invite 12-Nov-26 v2 [digital]")</f>
        <v>LDM DR P2P Invite 12-Nov-26 v2 [digital]</v>
      </c>
      <c r="M3316" s="10" t="str">
        <f>HYPERLINK("mailto:ldimambro@crm.otsuka-europe.com", "ldimambro@crm.otsuka-europe.com")</f>
        <v>ldimambro@crm.otsuka-europe.com</v>
      </c>
      <c r="N3316" s="13">
        <v>46213.485798611109</v>
      </c>
      <c r="O3316" s="14" t="str">
        <f>HYPERLINK("https://otsuka-europe-crm.veevavault.com/ui/#object/email_activity__v/V8C000000047161", "EN-002104425")</f>
        <v>EN-002104425</v>
      </c>
    </row>
    <row r="3317" spans="1:15" ht="16" x14ac:dyDescent="0.2">
      <c r="A3317" s="18" t="str">
        <f>HYPERLINK("https://otsuka-europe-crm.veevavault.com/ui/#object/account__v/V4TZ04ASG6FT0M0", "Olumide Kuti")</f>
        <v>Olumide Kuti</v>
      </c>
      <c r="B3317" s="18" t="str">
        <f>HYPERLINK("https://otsuka-europe-crm.veevavault.com/ui/#object/vcountry__v/VENZ000004SONFK", "GB")</f>
        <v>GB</v>
      </c>
      <c r="C3317" s="20" t="s">
        <v>41</v>
      </c>
      <c r="D3317" s="21" t="str">
        <f>HYPERLINK("https://otsuka-europe-crm.veevavault.com/ui/#object/approved_document__v/V5O00000001V001", "LDM DR P2P Invite 12-Nov-26 v2 [digital]")</f>
        <v>LDM DR P2P Invite 12-Nov-26 v2 [digital]</v>
      </c>
      <c r="E3317" s="22" t="str">
        <f>HYPERLINK("https://otsuka-europe-crm.veevavault.com/ui/#object/sent_email__v/VBL000000035090", "SE-001443267")</f>
        <v>SE-001443267</v>
      </c>
      <c r="F3317" s="25">
        <v>46223.389120370368</v>
      </c>
      <c r="G3317" s="24">
        <v>1</v>
      </c>
      <c r="H3317" s="24">
        <v>13</v>
      </c>
      <c r="I3317" s="24">
        <v>0</v>
      </c>
      <c r="J3317" s="23"/>
      <c r="K3317" s="24">
        <v>0</v>
      </c>
      <c r="L3317" s="22" t="str">
        <f>HYPERLINK("https://otsuka-europe-crm.veevavault.com/ui/#object/approved_document__v/V5O00000001V001", "LDM DR P2P Invite 12-Nov-26 v2 [digital]")</f>
        <v>LDM DR P2P Invite 12-Nov-26 v2 [digital]</v>
      </c>
      <c r="M3317" s="22" t="str">
        <f>HYPERLINK("mailto:ldimambro@crm.otsuka-europe.com", "ldimambro@crm.otsuka-europe.com")</f>
        <v>ldimambro@crm.otsuka-europe.com</v>
      </c>
      <c r="N3317" s="25">
        <v>46213.485775462963</v>
      </c>
      <c r="O3317" s="14" t="str">
        <f>HYPERLINK("https://otsuka-europe-crm.veevavault.com/ui/#object/email_activity__v/V8C000000047135", "EN-002104395")</f>
        <v>EN-002104395</v>
      </c>
    </row>
    <row r="3318" spans="1:15" ht="16" x14ac:dyDescent="0.2">
      <c r="A3318" s="26"/>
      <c r="B3318" s="26"/>
      <c r="C3318" s="26"/>
      <c r="D3318" s="26"/>
      <c r="E3318" s="26"/>
      <c r="F3318" s="26"/>
      <c r="G3318" s="26"/>
      <c r="H3318" s="26"/>
      <c r="I3318" s="26"/>
      <c r="J3318" s="26"/>
      <c r="K3318" s="26"/>
      <c r="L3318" s="26"/>
      <c r="M3318" s="26"/>
      <c r="N3318" s="26"/>
      <c r="O3318" s="14" t="str">
        <f>HYPERLINK("https://otsuka-europe-crm.veevavault.com/ui/#object/email_activity__v/V8C000000049820", "EN-002106474")</f>
        <v>EN-002106474</v>
      </c>
    </row>
    <row r="3319" spans="1:15" ht="16" x14ac:dyDescent="0.2">
      <c r="A3319" s="26"/>
      <c r="B3319" s="26"/>
      <c r="C3319" s="26"/>
      <c r="D3319" s="26"/>
      <c r="E3319" s="26"/>
      <c r="F3319" s="26"/>
      <c r="G3319" s="26"/>
      <c r="H3319" s="26"/>
      <c r="I3319" s="26"/>
      <c r="J3319" s="26"/>
      <c r="K3319" s="26"/>
      <c r="L3319" s="26"/>
      <c r="M3319" s="26"/>
      <c r="N3319" s="26"/>
      <c r="O3319" s="14" t="str">
        <f>HYPERLINK("https://otsuka-europe-crm.veevavault.com/ui/#object/email_activity__v/V8C000000049821", "EN-002106475")</f>
        <v>EN-002106475</v>
      </c>
    </row>
    <row r="3320" spans="1:15" ht="16" x14ac:dyDescent="0.2">
      <c r="A3320" s="26"/>
      <c r="B3320" s="26"/>
      <c r="C3320" s="26"/>
      <c r="D3320" s="26"/>
      <c r="E3320" s="26"/>
      <c r="F3320" s="26"/>
      <c r="G3320" s="26"/>
      <c r="H3320" s="26"/>
      <c r="I3320" s="26"/>
      <c r="J3320" s="26"/>
      <c r="K3320" s="26"/>
      <c r="L3320" s="26"/>
      <c r="M3320" s="26"/>
      <c r="N3320" s="26"/>
      <c r="O3320" s="14" t="str">
        <f>HYPERLINK("https://otsuka-europe-crm.veevavault.com/ui/#object/email_activity__v/V8C000000049823", "EN-002106479")</f>
        <v>EN-002106479</v>
      </c>
    </row>
    <row r="3321" spans="1:15" ht="16" x14ac:dyDescent="0.2">
      <c r="A3321" s="26"/>
      <c r="B3321" s="26"/>
      <c r="C3321" s="26"/>
      <c r="D3321" s="26"/>
      <c r="E3321" s="26"/>
      <c r="F3321" s="26"/>
      <c r="G3321" s="26"/>
      <c r="H3321" s="26"/>
      <c r="I3321" s="26"/>
      <c r="J3321" s="26"/>
      <c r="K3321" s="26"/>
      <c r="L3321" s="26"/>
      <c r="M3321" s="26"/>
      <c r="N3321" s="26"/>
      <c r="O3321" s="14" t="str">
        <f>HYPERLINK("https://otsuka-europe-crm.veevavault.com/ui/#object/email_activity__v/V8C00000004A778", "EN-002106450")</f>
        <v>EN-002106450</v>
      </c>
    </row>
    <row r="3322" spans="1:15" ht="16" x14ac:dyDescent="0.2">
      <c r="A3322" s="26"/>
      <c r="B3322" s="26"/>
      <c r="C3322" s="26"/>
      <c r="D3322" s="26"/>
      <c r="E3322" s="26"/>
      <c r="F3322" s="26"/>
      <c r="G3322" s="26"/>
      <c r="H3322" s="26"/>
      <c r="I3322" s="26"/>
      <c r="J3322" s="26"/>
      <c r="K3322" s="26"/>
      <c r="L3322" s="26"/>
      <c r="M3322" s="26"/>
      <c r="N3322" s="26"/>
      <c r="O3322" s="14" t="str">
        <f>HYPERLINK("https://otsuka-europe-crm.veevavault.com/ui/#object/email_activity__v/V8C00000004A779", "EN-002106451")</f>
        <v>EN-002106451</v>
      </c>
    </row>
    <row r="3323" spans="1:15" ht="16" x14ac:dyDescent="0.2">
      <c r="A3323" s="26"/>
      <c r="B3323" s="26"/>
      <c r="C3323" s="26"/>
      <c r="D3323" s="26"/>
      <c r="E3323" s="26"/>
      <c r="F3323" s="26"/>
      <c r="G3323" s="26"/>
      <c r="H3323" s="26"/>
      <c r="I3323" s="26"/>
      <c r="J3323" s="26"/>
      <c r="K3323" s="26"/>
      <c r="L3323" s="26"/>
      <c r="M3323" s="26"/>
      <c r="N3323" s="26"/>
      <c r="O3323" s="14" t="str">
        <f>HYPERLINK("https://otsuka-europe-crm.veevavault.com/ui/#object/email_activity__v/V8C00000004A781", "EN-002106454")</f>
        <v>EN-002106454</v>
      </c>
    </row>
    <row r="3324" spans="1:15" ht="16" x14ac:dyDescent="0.2">
      <c r="A3324" s="26"/>
      <c r="B3324" s="26"/>
      <c r="C3324" s="26"/>
      <c r="D3324" s="26"/>
      <c r="E3324" s="26"/>
      <c r="F3324" s="26"/>
      <c r="G3324" s="26"/>
      <c r="H3324" s="26"/>
      <c r="I3324" s="26"/>
      <c r="J3324" s="26"/>
      <c r="K3324" s="26"/>
      <c r="L3324" s="26"/>
      <c r="M3324" s="26"/>
      <c r="N3324" s="26"/>
      <c r="O3324" s="14" t="str">
        <f>HYPERLINK("https://otsuka-europe-crm.veevavault.com/ui/#object/email_activity__v/V8C00000004A789", "EN-002106476")</f>
        <v>EN-002106476</v>
      </c>
    </row>
    <row r="3325" spans="1:15" ht="16" x14ac:dyDescent="0.2">
      <c r="A3325" s="26"/>
      <c r="B3325" s="26"/>
      <c r="C3325" s="26"/>
      <c r="D3325" s="26"/>
      <c r="E3325" s="26"/>
      <c r="F3325" s="26"/>
      <c r="G3325" s="26"/>
      <c r="H3325" s="26"/>
      <c r="I3325" s="26"/>
      <c r="J3325" s="26"/>
      <c r="K3325" s="26"/>
      <c r="L3325" s="26"/>
      <c r="M3325" s="26"/>
      <c r="N3325" s="26"/>
      <c r="O3325" s="14" t="str">
        <f>HYPERLINK("https://otsuka-europe-crm.veevavault.com/ui/#object/email_activity__v/V8C00000004B040", "EN-002106798")</f>
        <v>EN-002106798</v>
      </c>
    </row>
    <row r="3326" spans="1:15" ht="16" x14ac:dyDescent="0.2">
      <c r="A3326" s="26"/>
      <c r="B3326" s="26"/>
      <c r="C3326" s="26"/>
      <c r="D3326" s="26"/>
      <c r="E3326" s="26"/>
      <c r="F3326" s="26"/>
      <c r="G3326" s="26"/>
      <c r="H3326" s="26"/>
      <c r="I3326" s="26"/>
      <c r="J3326" s="26"/>
      <c r="K3326" s="26"/>
      <c r="L3326" s="26"/>
      <c r="M3326" s="26"/>
      <c r="N3326" s="26"/>
      <c r="O3326" s="14" t="str">
        <f>HYPERLINK("https://otsuka-europe-crm.veevavault.com/ui/#object/email_activity__v/V8C00000004B065", "EN-002106849")</f>
        <v>EN-002106849</v>
      </c>
    </row>
    <row r="3327" spans="1:15" ht="16" x14ac:dyDescent="0.2">
      <c r="A3327" s="26"/>
      <c r="B3327" s="26"/>
      <c r="C3327" s="26"/>
      <c r="D3327" s="26"/>
      <c r="E3327" s="26"/>
      <c r="F3327" s="26"/>
      <c r="G3327" s="26"/>
      <c r="H3327" s="26"/>
      <c r="I3327" s="26"/>
      <c r="J3327" s="26"/>
      <c r="K3327" s="26"/>
      <c r="L3327" s="26"/>
      <c r="M3327" s="26"/>
      <c r="N3327" s="26"/>
      <c r="O3327" s="14" t="str">
        <f>HYPERLINK("https://otsuka-europe-crm.veevavault.com/ui/#object/email_activity__v/V8C00000004B105", "EN-002106918")</f>
        <v>EN-002106918</v>
      </c>
    </row>
    <row r="3328" spans="1:15" ht="16" x14ac:dyDescent="0.2">
      <c r="A3328" s="26"/>
      <c r="B3328" s="26"/>
      <c r="C3328" s="26"/>
      <c r="D3328" s="26"/>
      <c r="E3328" s="26"/>
      <c r="F3328" s="26"/>
      <c r="G3328" s="26"/>
      <c r="H3328" s="26"/>
      <c r="I3328" s="26"/>
      <c r="J3328" s="26"/>
      <c r="K3328" s="26"/>
      <c r="L3328" s="26"/>
      <c r="M3328" s="26"/>
      <c r="N3328" s="26"/>
      <c r="O3328" s="14" t="str">
        <f>HYPERLINK("https://otsuka-europe-crm.veevavault.com/ui/#object/email_activity__v/V8C00000004B179", "EN-002107023")</f>
        <v>EN-002107023</v>
      </c>
    </row>
    <row r="3329" spans="1:15" ht="16" x14ac:dyDescent="0.2">
      <c r="A3329" s="26"/>
      <c r="B3329" s="26"/>
      <c r="C3329" s="26"/>
      <c r="D3329" s="26"/>
      <c r="E3329" s="26"/>
      <c r="F3329" s="26"/>
      <c r="G3329" s="26"/>
      <c r="H3329" s="26"/>
      <c r="I3329" s="26"/>
      <c r="J3329" s="26"/>
      <c r="K3329" s="26"/>
      <c r="L3329" s="26"/>
      <c r="M3329" s="26"/>
      <c r="N3329" s="26"/>
      <c r="O3329" s="14" t="str">
        <f>HYPERLINK("https://otsuka-europe-crm.veevavault.com/ui/#object/email_activity__v/V8C00000004B181", "EN-002107026")</f>
        <v>EN-002107026</v>
      </c>
    </row>
    <row r="3330" spans="1:15" ht="16" x14ac:dyDescent="0.2">
      <c r="A3330" s="19"/>
      <c r="B3330" s="19"/>
      <c r="C3330" s="19"/>
      <c r="D3330" s="19"/>
      <c r="E3330" s="19"/>
      <c r="F3330" s="19"/>
      <c r="G3330" s="19"/>
      <c r="H3330" s="19"/>
      <c r="I3330" s="19"/>
      <c r="J3330" s="19"/>
      <c r="K3330" s="19"/>
      <c r="L3330" s="19"/>
      <c r="M3330" s="19"/>
      <c r="N3330" s="19"/>
      <c r="O3330" s="14" t="str">
        <f>HYPERLINK("https://otsuka-europe-crm.veevavault.com/ui/#object/email_activity__v/V8C00000004C056", "EN-002106850")</f>
        <v>EN-002106850</v>
      </c>
    </row>
    <row r="3331" spans="1:15" ht="32" x14ac:dyDescent="0.2">
      <c r="A3331" s="7" t="str">
        <f>HYPERLINK("https://otsuka-europe-crm.veevavault.com/ui/#object/account__v/V4TZ06G6OCEL5MS", "Olukemi Kolawole Sule-Akintokun")</f>
        <v>Olukemi Kolawole Sule-Akintokun</v>
      </c>
      <c r="B3331" s="7" t="str">
        <f>HYPERLINK("https://otsuka-europe-crm.veevavault.com/ui/#object/vcountry__v/VENZ000004SONFK", "GB")</f>
        <v>GB</v>
      </c>
      <c r="C3331" s="8" t="s">
        <v>41</v>
      </c>
      <c r="D3331" s="9" t="str">
        <f>HYPERLINK("https://otsuka-europe-crm.veevavault.com/ui/#object/approved_document__v/V5O00000001V001", "LDM DR P2P Invite 12-Nov-26 v2 [digital]")</f>
        <v>LDM DR P2P Invite 12-Nov-26 v2 [digital]</v>
      </c>
      <c r="E3331" s="10" t="str">
        <f>HYPERLINK("https://otsuka-europe-crm.veevavault.com/ui/#object/sent_email__v/VBL000000035091", "SE-001443268")</f>
        <v>SE-001443268</v>
      </c>
      <c r="F3331" s="11"/>
      <c r="G3331" s="12">
        <v>0</v>
      </c>
      <c r="H3331" s="12">
        <v>0</v>
      </c>
      <c r="I3331" s="12">
        <v>0</v>
      </c>
      <c r="J3331" s="11"/>
      <c r="K3331" s="12">
        <v>0</v>
      </c>
      <c r="L3331" s="10" t="str">
        <f>HYPERLINK("https://otsuka-europe-crm.veevavault.com/ui/#object/approved_document__v/V5O00000001V001", "LDM DR P2P Invite 12-Nov-26 v2 [digital]")</f>
        <v>LDM DR P2P Invite 12-Nov-26 v2 [digital]</v>
      </c>
      <c r="M3331" s="10" t="str">
        <f>HYPERLINK("mailto:ldimambro@crm.otsuka-europe.com", "ldimambro@crm.otsuka-europe.com")</f>
        <v>ldimambro@crm.otsuka-europe.com</v>
      </c>
      <c r="N3331" s="13">
        <v>46213.48578703704</v>
      </c>
      <c r="O3331" s="14" t="str">
        <f>HYPERLINK("https://otsuka-europe-crm.veevavault.com/ui/#object/email_activity__v/V8C000000047138", "EN-002104398")</f>
        <v>EN-002104398</v>
      </c>
    </row>
    <row r="3332" spans="1:15" ht="16" x14ac:dyDescent="0.2">
      <c r="A3332" s="18" t="str">
        <f>HYPERLINK("https://otsuka-europe-crm.veevavault.com/ui/#object/account__v/V4TZ04ASG9ZDCQ1", "Maryam Odediran")</f>
        <v>Maryam Odediran</v>
      </c>
      <c r="B3332" s="18" t="str">
        <f>HYPERLINK("https://otsuka-europe-crm.veevavault.com/ui/#object/vcountry__v/VENZ000004SONFK", "GB")</f>
        <v>GB</v>
      </c>
      <c r="C3332" s="20" t="s">
        <v>41</v>
      </c>
      <c r="D3332" s="21" t="str">
        <f>HYPERLINK("https://otsuka-europe-crm.veevavault.com/ui/#object/approved_document__v/V5O00000001V001", "LDM DR P2P Invite 12-Nov-26 v2 [digital]")</f>
        <v>LDM DR P2P Invite 12-Nov-26 v2 [digital]</v>
      </c>
      <c r="E3332" s="22" t="str">
        <f>HYPERLINK("https://otsuka-europe-crm.veevavault.com/ui/#object/sent_email__v/VBL000000035092", "SE-001443269")</f>
        <v>SE-001443269</v>
      </c>
      <c r="F3332" s="25">
        <v>46226.381041666667</v>
      </c>
      <c r="G3332" s="24">
        <v>1</v>
      </c>
      <c r="H3332" s="24">
        <v>5</v>
      </c>
      <c r="I3332" s="24">
        <v>0</v>
      </c>
      <c r="J3332" s="23"/>
      <c r="K3332" s="24">
        <v>0</v>
      </c>
      <c r="L3332" s="22" t="str">
        <f>HYPERLINK("https://otsuka-europe-crm.veevavault.com/ui/#object/approved_document__v/V5O00000001V001", "LDM DR P2P Invite 12-Nov-26 v2 [digital]")</f>
        <v>LDM DR P2P Invite 12-Nov-26 v2 [digital]</v>
      </c>
      <c r="M3332" s="22" t="str">
        <f>HYPERLINK("mailto:ldimambro@crm.otsuka-europe.com", "ldimambro@crm.otsuka-europe.com")</f>
        <v>ldimambro@crm.otsuka-europe.com</v>
      </c>
      <c r="N3332" s="25">
        <v>46213.485729166663</v>
      </c>
      <c r="O3332" s="14" t="str">
        <f>HYPERLINK("https://otsuka-europe-crm.veevavault.com/ui/#object/email_activity__v/V8C000000047130", "EN-002104390")</f>
        <v>EN-002104390</v>
      </c>
    </row>
    <row r="3333" spans="1:15" ht="16" x14ac:dyDescent="0.2">
      <c r="A3333" s="26"/>
      <c r="B3333" s="26"/>
      <c r="C3333" s="26"/>
      <c r="D3333" s="26"/>
      <c r="E3333" s="26"/>
      <c r="F3333" s="26"/>
      <c r="G3333" s="26"/>
      <c r="H3333" s="26"/>
      <c r="I3333" s="26"/>
      <c r="J3333" s="26"/>
      <c r="K3333" s="26"/>
      <c r="L3333" s="26"/>
      <c r="M3333" s="26"/>
      <c r="N3333" s="26"/>
      <c r="O3333" s="14" t="str">
        <f>HYPERLINK("https://otsuka-europe-crm.veevavault.com/ui/#object/email_activity__v/V8C000000047330", "EN-002104731")</f>
        <v>EN-002104731</v>
      </c>
    </row>
    <row r="3334" spans="1:15" ht="16" x14ac:dyDescent="0.2">
      <c r="A3334" s="26"/>
      <c r="B3334" s="26"/>
      <c r="C3334" s="26"/>
      <c r="D3334" s="26"/>
      <c r="E3334" s="26"/>
      <c r="F3334" s="26"/>
      <c r="G3334" s="26"/>
      <c r="H3334" s="26"/>
      <c r="I3334" s="26"/>
      <c r="J3334" s="26"/>
      <c r="K3334" s="26"/>
      <c r="L3334" s="26"/>
      <c r="M3334" s="26"/>
      <c r="N3334" s="26"/>
      <c r="O3334" s="14" t="str">
        <f>HYPERLINK("https://otsuka-europe-crm.veevavault.com/ui/#object/email_activity__v/V8C000000047334", "EN-002104739")</f>
        <v>EN-002104739</v>
      </c>
    </row>
    <row r="3335" spans="1:15" ht="16" x14ac:dyDescent="0.2">
      <c r="A3335" s="26"/>
      <c r="B3335" s="26"/>
      <c r="C3335" s="26"/>
      <c r="D3335" s="26"/>
      <c r="E3335" s="26"/>
      <c r="F3335" s="26"/>
      <c r="G3335" s="26"/>
      <c r="H3335" s="26"/>
      <c r="I3335" s="26"/>
      <c r="J3335" s="26"/>
      <c r="K3335" s="26"/>
      <c r="L3335" s="26"/>
      <c r="M3335" s="26"/>
      <c r="N3335" s="26"/>
      <c r="O3335" s="14" t="str">
        <f>HYPERLINK("https://otsuka-europe-crm.veevavault.com/ui/#object/email_activity__v/V8C000000048204", "EN-002104672")</f>
        <v>EN-002104672</v>
      </c>
    </row>
    <row r="3336" spans="1:15" ht="16" x14ac:dyDescent="0.2">
      <c r="A3336" s="26"/>
      <c r="B3336" s="26"/>
      <c r="C3336" s="26"/>
      <c r="D3336" s="26"/>
      <c r="E3336" s="26"/>
      <c r="F3336" s="26"/>
      <c r="G3336" s="26"/>
      <c r="H3336" s="26"/>
      <c r="I3336" s="26"/>
      <c r="J3336" s="26"/>
      <c r="K3336" s="26"/>
      <c r="L3336" s="26"/>
      <c r="M3336" s="26"/>
      <c r="N3336" s="26"/>
      <c r="O3336" s="14" t="str">
        <f>HYPERLINK("https://otsuka-europe-crm.veevavault.com/ui/#object/email_activity__v/V8C000000049001", "EN-002104869")</f>
        <v>EN-002104869</v>
      </c>
    </row>
    <row r="3337" spans="1:15" ht="16" x14ac:dyDescent="0.2">
      <c r="A3337" s="19"/>
      <c r="B3337" s="19"/>
      <c r="C3337" s="19"/>
      <c r="D3337" s="19"/>
      <c r="E3337" s="19"/>
      <c r="F3337" s="19"/>
      <c r="G3337" s="19"/>
      <c r="H3337" s="19"/>
      <c r="I3337" s="19"/>
      <c r="J3337" s="19"/>
      <c r="K3337" s="19"/>
      <c r="L3337" s="19"/>
      <c r="M3337" s="19"/>
      <c r="N3337" s="19"/>
      <c r="O3337" s="14" t="str">
        <f>HYPERLINK("https://otsuka-europe-crm.veevavault.com/ui/#object/email_activity__v/V8C00000004B891", "EN-002108202")</f>
        <v>EN-002108202</v>
      </c>
    </row>
    <row r="3338" spans="1:15" ht="16" x14ac:dyDescent="0.2">
      <c r="A3338" s="18" t="str">
        <f>HYPERLINK("https://otsuka-europe-crm.veevavault.com/ui/#object/account__v/V4TZ04ASG6T5XQA", "Su Hein")</f>
        <v>Su Hein</v>
      </c>
      <c r="B3338" s="18" t="str">
        <f>HYPERLINK("https://otsuka-europe-crm.veevavault.com/ui/#object/vcountry__v/VENZ000004SONFK", "GB")</f>
        <v>GB</v>
      </c>
      <c r="C3338" s="20" t="s">
        <v>41</v>
      </c>
      <c r="D3338" s="21" t="str">
        <f>HYPERLINK("https://otsuka-europe-crm.veevavault.com/ui/#object/approved_document__v/V5O00000001V001", "LDM DR P2P Invite 12-Nov-26 v2 [digital]")</f>
        <v>LDM DR P2P Invite 12-Nov-26 v2 [digital]</v>
      </c>
      <c r="E3338" s="22" t="str">
        <f>HYPERLINK("https://otsuka-europe-crm.veevavault.com/ui/#object/sent_email__v/VBL000000035093", "SE-001443270")</f>
        <v>SE-001443270</v>
      </c>
      <c r="F3338" s="23"/>
      <c r="G3338" s="24">
        <v>0</v>
      </c>
      <c r="H3338" s="24">
        <v>0</v>
      </c>
      <c r="I3338" s="24">
        <v>0</v>
      </c>
      <c r="J3338" s="23"/>
      <c r="K3338" s="24">
        <v>0</v>
      </c>
      <c r="L3338" s="22" t="str">
        <f>HYPERLINK("https://otsuka-europe-crm.veevavault.com/ui/#object/approved_document__v/V5O00000001V001", "LDM DR P2P Invite 12-Nov-26 v2 [digital]")</f>
        <v>LDM DR P2P Invite 12-Nov-26 v2 [digital]</v>
      </c>
      <c r="M3338" s="22" t="str">
        <f>HYPERLINK("mailto:ldimambro@crm.otsuka-europe.com", "ldimambro@crm.otsuka-europe.com")</f>
        <v>ldimambro@crm.otsuka-europe.com</v>
      </c>
      <c r="N3338" s="25">
        <v>46213.490173611113</v>
      </c>
      <c r="O3338" s="14" t="str">
        <f>HYPERLINK("https://otsuka-europe-crm.veevavault.com/ui/#object/email_activity__v/V8C000000047181", "EN-002104471")</f>
        <v>EN-002104471</v>
      </c>
    </row>
    <row r="3339" spans="1:15" ht="16" x14ac:dyDescent="0.2">
      <c r="A3339" s="26"/>
      <c r="B3339" s="26"/>
      <c r="C3339" s="26"/>
      <c r="D3339" s="26"/>
      <c r="E3339" s="26"/>
      <c r="F3339" s="26"/>
      <c r="G3339" s="26"/>
      <c r="H3339" s="26"/>
      <c r="I3339" s="26"/>
      <c r="J3339" s="26"/>
      <c r="K3339" s="26"/>
      <c r="L3339" s="26"/>
      <c r="M3339" s="26"/>
      <c r="N3339" s="26"/>
      <c r="O3339" s="14" t="str">
        <f>HYPERLINK("https://otsuka-europe-crm.veevavault.com/ui/#object/email_activity__v/V8C000000048207", "EN-002104682")</f>
        <v>EN-002104682</v>
      </c>
    </row>
    <row r="3340" spans="1:15" ht="16" x14ac:dyDescent="0.2">
      <c r="A3340" s="19"/>
      <c r="B3340" s="19"/>
      <c r="C3340" s="19"/>
      <c r="D3340" s="19"/>
      <c r="E3340" s="19"/>
      <c r="F3340" s="19"/>
      <c r="G3340" s="19"/>
      <c r="H3340" s="19"/>
      <c r="I3340" s="19"/>
      <c r="J3340" s="19"/>
      <c r="K3340" s="19"/>
      <c r="L3340" s="19"/>
      <c r="M3340" s="19"/>
      <c r="N3340" s="19"/>
      <c r="O3340" s="14" t="str">
        <f>HYPERLINK("https://otsuka-europe-crm.veevavault.com/ui/#object/email_activity__v/V8C000000048236", "EN-002104726")</f>
        <v>EN-002104726</v>
      </c>
    </row>
    <row r="3341" spans="1:15" ht="16" x14ac:dyDescent="0.2">
      <c r="A3341" s="18" t="str">
        <f>HYPERLINK("https://otsuka-europe-crm.veevavault.com/ui/#object/account__v/V4TZ04ASGE7IIQ9", "Steven Kowlessur")</f>
        <v>Steven Kowlessur</v>
      </c>
      <c r="B3341" s="18" t="str">
        <f>HYPERLINK("https://otsuka-europe-crm.veevavault.com/ui/#object/vcountry__v/VENZ000004SONFK", "GB")</f>
        <v>GB</v>
      </c>
      <c r="C3341" s="20" t="s">
        <v>41</v>
      </c>
      <c r="D3341" s="21" t="str">
        <f>HYPERLINK("https://otsuka-europe-crm.veevavault.com/ui/#object/approved_document__v/V5O00000001V001", "LDM DR P2P Invite 12-Nov-26 v2 [digital]")</f>
        <v>LDM DR P2P Invite 12-Nov-26 v2 [digital]</v>
      </c>
      <c r="E3341" s="22" t="str">
        <f>HYPERLINK("https://otsuka-europe-crm.veevavault.com/ui/#object/sent_email__v/VBL000000035094", "SE-001443271")</f>
        <v>SE-001443271</v>
      </c>
      <c r="F3341" s="25">
        <v>46225.673194444447</v>
      </c>
      <c r="G3341" s="24">
        <v>1</v>
      </c>
      <c r="H3341" s="24">
        <v>6</v>
      </c>
      <c r="I3341" s="24">
        <v>0</v>
      </c>
      <c r="J3341" s="23"/>
      <c r="K3341" s="24">
        <v>0</v>
      </c>
      <c r="L3341" s="22" t="str">
        <f>HYPERLINK("https://otsuka-europe-crm.veevavault.com/ui/#object/approved_document__v/V5O00000001V001", "LDM DR P2P Invite 12-Nov-26 v2 [digital]")</f>
        <v>LDM DR P2P Invite 12-Nov-26 v2 [digital]</v>
      </c>
      <c r="M3341" s="22" t="str">
        <f>HYPERLINK("mailto:ldimambro@crm.otsuka-europe.com", "ldimambro@crm.otsuka-europe.com")</f>
        <v>ldimambro@crm.otsuka-europe.com</v>
      </c>
      <c r="N3341" s="25">
        <v>46213.490173611113</v>
      </c>
      <c r="O3341" s="14" t="str">
        <f>HYPERLINK("https://otsuka-europe-crm.veevavault.com/ui/#object/email_activity__v/V8C000000047389", "EN-002104843")</f>
        <v>EN-002104843</v>
      </c>
    </row>
    <row r="3342" spans="1:15" ht="16" x14ac:dyDescent="0.2">
      <c r="A3342" s="26"/>
      <c r="B3342" s="26"/>
      <c r="C3342" s="26"/>
      <c r="D3342" s="26"/>
      <c r="E3342" s="26"/>
      <c r="F3342" s="26"/>
      <c r="G3342" s="26"/>
      <c r="H3342" s="26"/>
      <c r="I3342" s="26"/>
      <c r="J3342" s="26"/>
      <c r="K3342" s="26"/>
      <c r="L3342" s="26"/>
      <c r="M3342" s="26"/>
      <c r="N3342" s="26"/>
      <c r="O3342" s="14" t="str">
        <f>HYPERLINK("https://otsuka-europe-crm.veevavault.com/ui/#object/email_activity__v/V8C000000047390", "EN-002104844")</f>
        <v>EN-002104844</v>
      </c>
    </row>
    <row r="3343" spans="1:15" ht="16" x14ac:dyDescent="0.2">
      <c r="A3343" s="26"/>
      <c r="B3343" s="26"/>
      <c r="C3343" s="26"/>
      <c r="D3343" s="26"/>
      <c r="E3343" s="26"/>
      <c r="F3343" s="26"/>
      <c r="G3343" s="26"/>
      <c r="H3343" s="26"/>
      <c r="I3343" s="26"/>
      <c r="J3343" s="26"/>
      <c r="K3343" s="26"/>
      <c r="L3343" s="26"/>
      <c r="M3343" s="26"/>
      <c r="N3343" s="26"/>
      <c r="O3343" s="14" t="str">
        <f>HYPERLINK("https://otsuka-europe-crm.veevavault.com/ui/#object/email_activity__v/V8C000000047391", "EN-002104845")</f>
        <v>EN-002104845</v>
      </c>
    </row>
    <row r="3344" spans="1:15" ht="16" x14ac:dyDescent="0.2">
      <c r="A3344" s="26"/>
      <c r="B3344" s="26"/>
      <c r="C3344" s="26"/>
      <c r="D3344" s="26"/>
      <c r="E3344" s="26"/>
      <c r="F3344" s="26"/>
      <c r="G3344" s="26"/>
      <c r="H3344" s="26"/>
      <c r="I3344" s="26"/>
      <c r="J3344" s="26"/>
      <c r="K3344" s="26"/>
      <c r="L3344" s="26"/>
      <c r="M3344" s="26"/>
      <c r="N3344" s="26"/>
      <c r="O3344" s="14" t="str">
        <f>HYPERLINK("https://otsuka-europe-crm.veevavault.com/ui/#object/email_activity__v/V8C000000048110", "EN-002104437")</f>
        <v>EN-002104437</v>
      </c>
    </row>
    <row r="3345" spans="1:15" ht="16" x14ac:dyDescent="0.2">
      <c r="A3345" s="26"/>
      <c r="B3345" s="26"/>
      <c r="C3345" s="26"/>
      <c r="D3345" s="26"/>
      <c r="E3345" s="26"/>
      <c r="F3345" s="26"/>
      <c r="G3345" s="26"/>
      <c r="H3345" s="26"/>
      <c r="I3345" s="26"/>
      <c r="J3345" s="26"/>
      <c r="K3345" s="26"/>
      <c r="L3345" s="26"/>
      <c r="M3345" s="26"/>
      <c r="N3345" s="26"/>
      <c r="O3345" s="14" t="str">
        <f>HYPERLINK("https://otsuka-europe-crm.veevavault.com/ui/#object/email_activity__v/V8C000000048295", "EN-002104849")</f>
        <v>EN-002104849</v>
      </c>
    </row>
    <row r="3346" spans="1:15" ht="16" x14ac:dyDescent="0.2">
      <c r="A3346" s="26"/>
      <c r="B3346" s="26"/>
      <c r="C3346" s="26"/>
      <c r="D3346" s="26"/>
      <c r="E3346" s="26"/>
      <c r="F3346" s="26"/>
      <c r="G3346" s="26"/>
      <c r="H3346" s="26"/>
      <c r="I3346" s="26"/>
      <c r="J3346" s="26"/>
      <c r="K3346" s="26"/>
      <c r="L3346" s="26"/>
      <c r="M3346" s="26"/>
      <c r="N3346" s="26"/>
      <c r="O3346" s="14" t="str">
        <f>HYPERLINK("https://otsuka-europe-crm.veevavault.com/ui/#object/email_activity__v/V8C00000004A009", "EN-002104889")</f>
        <v>EN-002104889</v>
      </c>
    </row>
    <row r="3347" spans="1:15" ht="16" x14ac:dyDescent="0.2">
      <c r="A3347" s="26"/>
      <c r="B3347" s="26"/>
      <c r="C3347" s="26"/>
      <c r="D3347" s="26"/>
      <c r="E3347" s="26"/>
      <c r="F3347" s="26"/>
      <c r="G3347" s="26"/>
      <c r="H3347" s="26"/>
      <c r="I3347" s="26"/>
      <c r="J3347" s="26"/>
      <c r="K3347" s="26"/>
      <c r="L3347" s="26"/>
      <c r="M3347" s="26"/>
      <c r="N3347" s="26"/>
      <c r="O3347" s="14" t="str">
        <f>HYPERLINK("https://otsuka-europe-crm.veevavault.com/ui/#object/email_activity__v/V8C00000004A782", "EN-002106455")</f>
        <v>EN-002106455</v>
      </c>
    </row>
    <row r="3348" spans="1:15" ht="16" x14ac:dyDescent="0.2">
      <c r="A3348" s="19"/>
      <c r="B3348" s="19"/>
      <c r="C3348" s="19"/>
      <c r="D3348" s="19"/>
      <c r="E3348" s="19"/>
      <c r="F3348" s="19"/>
      <c r="G3348" s="19"/>
      <c r="H3348" s="19"/>
      <c r="I3348" s="19"/>
      <c r="J3348" s="19"/>
      <c r="K3348" s="19"/>
      <c r="L3348" s="19"/>
      <c r="M3348" s="19"/>
      <c r="N3348" s="19"/>
      <c r="O3348" s="14" t="str">
        <f>HYPERLINK("https://otsuka-europe-crm.veevavault.com/ui/#object/email_activity__v/V8C00000004C213", "EN-002107228")</f>
        <v>EN-002107228</v>
      </c>
    </row>
    <row r="3349" spans="1:15" ht="32" x14ac:dyDescent="0.2">
      <c r="A3349" s="7" t="str">
        <f>HYPERLINK("https://otsuka-europe-crm.veevavault.com/ui/#object/account__v/V4TZ025E85YI3EY", "Talisa McWilliams")</f>
        <v>Talisa McWilliams</v>
      </c>
      <c r="B3349" s="7" t="str">
        <f>HYPERLINK("https://otsuka-europe-crm.veevavault.com/ui/#object/vcountry__v/VENZ000004SONFK", "GB")</f>
        <v>GB</v>
      </c>
      <c r="C3349" s="8" t="s">
        <v>41</v>
      </c>
      <c r="D3349" s="9" t="str">
        <f>HYPERLINK("https://otsuka-europe-crm.veevavault.com/ui/#object/approved_document__v/V5O00000001V001", "LDM DR P2P Invite 12-Nov-26 v2 [digital]")</f>
        <v>LDM DR P2P Invite 12-Nov-26 v2 [digital]</v>
      </c>
      <c r="E3349" s="10" t="str">
        <f>HYPERLINK("https://otsuka-europe-crm.veevavault.com/ui/#object/sent_email__v/VBL000000035095", "SE-001443272")</f>
        <v>SE-001443272</v>
      </c>
      <c r="F3349" s="11"/>
      <c r="G3349" s="12">
        <v>0</v>
      </c>
      <c r="H3349" s="12">
        <v>0</v>
      </c>
      <c r="I3349" s="12">
        <v>0</v>
      </c>
      <c r="J3349" s="11"/>
      <c r="K3349" s="12">
        <v>0</v>
      </c>
      <c r="L3349" s="10" t="str">
        <f>HYPERLINK("https://otsuka-europe-crm.veevavault.com/ui/#object/approved_document__v/V5O00000001V001", "LDM DR P2P Invite 12-Nov-26 v2 [digital]")</f>
        <v>LDM DR P2P Invite 12-Nov-26 v2 [digital]</v>
      </c>
      <c r="M3349" s="10" t="str">
        <f>HYPERLINK("mailto:ldimambro@crm.otsuka-europe.com", "ldimambro@crm.otsuka-europe.com")</f>
        <v>ldimambro@crm.otsuka-europe.com</v>
      </c>
      <c r="N3349" s="13">
        <v>46213.490173611113</v>
      </c>
      <c r="O3349" s="14" t="str">
        <f>HYPERLINK("https://otsuka-europe-crm.veevavault.com/ui/#object/email_activity__v/V8C000000048121", "EN-002104460")</f>
        <v>EN-002104460</v>
      </c>
    </row>
    <row r="3350" spans="1:15" ht="16" x14ac:dyDescent="0.2">
      <c r="A3350" s="18" t="str">
        <f>HYPERLINK("https://otsuka-europe-crm.veevavault.com/ui/#object/account__v/V4TZ0000062PQ6G", "Rosett Sibona-Moyo")</f>
        <v>Rosett Sibona-Moyo</v>
      </c>
      <c r="B3350" s="18" t="str">
        <f>HYPERLINK("https://otsuka-europe-crm.veevavault.com/ui/#object/vcountry__v/VENZ000004SONFK", "GB")</f>
        <v>GB</v>
      </c>
      <c r="C3350" s="20" t="s">
        <v>41</v>
      </c>
      <c r="D3350" s="21" t="str">
        <f>HYPERLINK("https://otsuka-europe-crm.veevavault.com/ui/#object/approved_document__v/V5O00000001V001", "LDM DR P2P Invite 12-Nov-26 v2 [digital]")</f>
        <v>LDM DR P2P Invite 12-Nov-26 v2 [digital]</v>
      </c>
      <c r="E3350" s="22" t="str">
        <f>HYPERLINK("https://otsuka-europe-crm.veevavault.com/ui/#object/sent_email__v/VBL000000035096", "SE-001443273")</f>
        <v>SE-001443273</v>
      </c>
      <c r="F3350" s="25">
        <v>46216.380069444444</v>
      </c>
      <c r="G3350" s="24">
        <v>1</v>
      </c>
      <c r="H3350" s="24">
        <v>3</v>
      </c>
      <c r="I3350" s="24">
        <v>0</v>
      </c>
      <c r="J3350" s="23"/>
      <c r="K3350" s="24">
        <v>0</v>
      </c>
      <c r="L3350" s="22" t="str">
        <f>HYPERLINK("https://otsuka-europe-crm.veevavault.com/ui/#object/approved_document__v/V5O00000001V001", "LDM DR P2P Invite 12-Nov-26 v2 [digital]")</f>
        <v>LDM DR P2P Invite 12-Nov-26 v2 [digital]</v>
      </c>
      <c r="M3350" s="22" t="str">
        <f>HYPERLINK("mailto:ldimambro@crm.otsuka-europe.com", "ldimambro@crm.otsuka-europe.com")</f>
        <v>ldimambro@crm.otsuka-europe.com</v>
      </c>
      <c r="N3350" s="25">
        <v>46213.49019675926</v>
      </c>
      <c r="O3350" s="14" t="str">
        <f>HYPERLINK("https://otsuka-europe-crm.veevavault.com/ui/#object/email_activity__v/V8C000000047177", "EN-002104453")</f>
        <v>EN-002104453</v>
      </c>
    </row>
    <row r="3351" spans="1:15" ht="16" x14ac:dyDescent="0.2">
      <c r="A3351" s="26"/>
      <c r="B3351" s="26"/>
      <c r="C3351" s="26"/>
      <c r="D3351" s="26"/>
      <c r="E3351" s="26"/>
      <c r="F3351" s="26"/>
      <c r="G3351" s="26"/>
      <c r="H3351" s="26"/>
      <c r="I3351" s="26"/>
      <c r="J3351" s="26"/>
      <c r="K3351" s="26"/>
      <c r="L3351" s="26"/>
      <c r="M3351" s="26"/>
      <c r="N3351" s="26"/>
      <c r="O3351" s="14" t="str">
        <f>HYPERLINK("https://otsuka-europe-crm.veevavault.com/ui/#object/email_activity__v/V8C000000049100", "EN-002105046")</f>
        <v>EN-002105046</v>
      </c>
    </row>
    <row r="3352" spans="1:15" ht="16" x14ac:dyDescent="0.2">
      <c r="A3352" s="26"/>
      <c r="B3352" s="26"/>
      <c r="C3352" s="26"/>
      <c r="D3352" s="26"/>
      <c r="E3352" s="26"/>
      <c r="F3352" s="26"/>
      <c r="G3352" s="26"/>
      <c r="H3352" s="26"/>
      <c r="I3352" s="26"/>
      <c r="J3352" s="26"/>
      <c r="K3352" s="26"/>
      <c r="L3352" s="26"/>
      <c r="M3352" s="26"/>
      <c r="N3352" s="26"/>
      <c r="O3352" s="14" t="str">
        <f>HYPERLINK("https://otsuka-europe-crm.veevavault.com/ui/#object/email_activity__v/V8C000000049101", "EN-002105047")</f>
        <v>EN-002105047</v>
      </c>
    </row>
    <row r="3353" spans="1:15" ht="16" x14ac:dyDescent="0.2">
      <c r="A3353" s="19"/>
      <c r="B3353" s="19"/>
      <c r="C3353" s="19"/>
      <c r="D3353" s="19"/>
      <c r="E3353" s="19"/>
      <c r="F3353" s="19"/>
      <c r="G3353" s="19"/>
      <c r="H3353" s="19"/>
      <c r="I3353" s="19"/>
      <c r="J3353" s="19"/>
      <c r="K3353" s="19"/>
      <c r="L3353" s="19"/>
      <c r="M3353" s="19"/>
      <c r="N3353" s="19"/>
      <c r="O3353" s="14" t="str">
        <f>HYPERLINK("https://otsuka-europe-crm.veevavault.com/ui/#object/email_activity__v/V8C000000049102", "EN-002105048")</f>
        <v>EN-002105048</v>
      </c>
    </row>
    <row r="3354" spans="1:15" ht="32" x14ac:dyDescent="0.2">
      <c r="A3354" s="7" t="str">
        <f>HYPERLINK("https://otsuka-europe-crm.veevavault.com/ui/#object/account__v/V4TZ0000062PE8T", "Rina Gupta")</f>
        <v>Rina Gupta</v>
      </c>
      <c r="B3354" s="7" t="str">
        <f>HYPERLINK("https://otsuka-europe-crm.veevavault.com/ui/#object/vcountry__v/VENZ000004SONFK", "GB")</f>
        <v>GB</v>
      </c>
      <c r="C3354" s="8" t="s">
        <v>41</v>
      </c>
      <c r="D3354" s="9" t="str">
        <f>HYPERLINK("https://otsuka-europe-crm.veevavault.com/ui/#object/approved_document__v/V5O00000001V001", "LDM DR P2P Invite 12-Nov-26 v2 [digital]")</f>
        <v>LDM DR P2P Invite 12-Nov-26 v2 [digital]</v>
      </c>
      <c r="E3354" s="10" t="str">
        <f>HYPERLINK("https://otsuka-europe-crm.veevavault.com/ui/#object/sent_email__v/VBL000000035097", "SE-001443274")</f>
        <v>SE-001443274</v>
      </c>
      <c r="F3354" s="11"/>
      <c r="G3354" s="12">
        <v>0</v>
      </c>
      <c r="H3354" s="12">
        <v>0</v>
      </c>
      <c r="I3354" s="12">
        <v>0</v>
      </c>
      <c r="J3354" s="11"/>
      <c r="K3354" s="12">
        <v>0</v>
      </c>
      <c r="L3354" s="10" t="str">
        <f>HYPERLINK("https://otsuka-europe-crm.veevavault.com/ui/#object/approved_document__v/V5O00000001V001", "LDM DR P2P Invite 12-Nov-26 v2 [digital]")</f>
        <v>LDM DR P2P Invite 12-Nov-26 v2 [digital]</v>
      </c>
      <c r="M3354" s="10" t="str">
        <f>HYPERLINK("mailto:ldimambro@crm.otsuka-europe.com", "ldimambro@crm.otsuka-europe.com")</f>
        <v>ldimambro@crm.otsuka-europe.com</v>
      </c>
      <c r="N3354" s="13">
        <v>46213.490173611113</v>
      </c>
      <c r="O3354" s="14" t="str">
        <f>HYPERLINK("https://otsuka-europe-crm.veevavault.com/ui/#object/email_activity__v/V8C000000048119", "EN-002104458")</f>
        <v>EN-002104458</v>
      </c>
    </row>
    <row r="3355" spans="1:15" ht="32" x14ac:dyDescent="0.2">
      <c r="A3355" s="7" t="str">
        <f>HYPERLINK("https://otsuka-europe-crm.veevavault.com/ui/#object/account__v/V4TZ0000062PLSH", "Sidick Peeraully")</f>
        <v>Sidick Peeraully</v>
      </c>
      <c r="B3355" s="7" t="str">
        <f>HYPERLINK("https://otsuka-europe-crm.veevavault.com/ui/#object/vcountry__v/VENZ000004SONFK", "GB")</f>
        <v>GB</v>
      </c>
      <c r="C3355" s="8" t="s">
        <v>41</v>
      </c>
      <c r="D3355" s="9" t="str">
        <f>HYPERLINK("https://otsuka-europe-crm.veevavault.com/ui/#object/approved_document__v/V5O00000001V001", "LDM DR P2P Invite 12-Nov-26 v2 [digital]")</f>
        <v>LDM DR P2P Invite 12-Nov-26 v2 [digital]</v>
      </c>
      <c r="E3355" s="10" t="str">
        <f>HYPERLINK("https://otsuka-europe-crm.veevavault.com/ui/#object/sent_email__v/VBL000000035098", "SE-001443275")</f>
        <v>SE-001443275</v>
      </c>
      <c r="F3355" s="11"/>
      <c r="G3355" s="12">
        <v>0</v>
      </c>
      <c r="H3355" s="12">
        <v>0</v>
      </c>
      <c r="I3355" s="12">
        <v>0</v>
      </c>
      <c r="J3355" s="11"/>
      <c r="K3355" s="12">
        <v>0</v>
      </c>
      <c r="L3355" s="10" t="str">
        <f>HYPERLINK("https://otsuka-europe-crm.veevavault.com/ui/#object/approved_document__v/V5O00000001V001", "LDM DR P2P Invite 12-Nov-26 v2 [digital]")</f>
        <v>LDM DR P2P Invite 12-Nov-26 v2 [digital]</v>
      </c>
      <c r="M3355" s="10" t="str">
        <f>HYPERLINK("mailto:ldimambro@crm.otsuka-europe.com", "ldimambro@crm.otsuka-europe.com")</f>
        <v>ldimambro@crm.otsuka-europe.com</v>
      </c>
      <c r="N3355" s="13">
        <v>46213.490173611113</v>
      </c>
      <c r="O3355" s="14" t="str">
        <f>HYPERLINK("https://otsuka-europe-crm.veevavault.com/ui/#object/email_activity__v/V8C000000048125", "EN-002104464")</f>
        <v>EN-002104464</v>
      </c>
    </row>
    <row r="3356" spans="1:15" ht="32" x14ac:dyDescent="0.2">
      <c r="A3356" s="7" t="str">
        <f>HYPERLINK("https://otsuka-europe-crm.veevavault.com/ui/#object/account__v/V4TZ06G6O7WCYZG", "Sivagnanagowry Fernando")</f>
        <v>Sivagnanagowry Fernando</v>
      </c>
      <c r="B3356" s="7" t="str">
        <f>HYPERLINK("https://otsuka-europe-crm.veevavault.com/ui/#object/vcountry__v/VENZ000004SONFK", "GB")</f>
        <v>GB</v>
      </c>
      <c r="C3356" s="8" t="s">
        <v>41</v>
      </c>
      <c r="D3356" s="9" t="str">
        <f>HYPERLINK("https://otsuka-europe-crm.veevavault.com/ui/#object/approved_document__v/V5O00000001V001", "LDM DR P2P Invite 12-Nov-26 v2 [digital]")</f>
        <v>LDM DR P2P Invite 12-Nov-26 v2 [digital]</v>
      </c>
      <c r="E3356" s="10" t="str">
        <f>HYPERLINK("https://otsuka-europe-crm.veevavault.com/ui/#object/sent_email__v/VBL000000035099", "SE-001443276")</f>
        <v>SE-001443276</v>
      </c>
      <c r="F3356" s="11"/>
      <c r="G3356" s="12">
        <v>0</v>
      </c>
      <c r="H3356" s="12">
        <v>0</v>
      </c>
      <c r="I3356" s="12">
        <v>0</v>
      </c>
      <c r="J3356" s="11"/>
      <c r="K3356" s="12">
        <v>0</v>
      </c>
      <c r="L3356" s="10" t="str">
        <f>HYPERLINK("https://otsuka-europe-crm.veevavault.com/ui/#object/approved_document__v/V5O00000001V001", "LDM DR P2P Invite 12-Nov-26 v2 [digital]")</f>
        <v>LDM DR P2P Invite 12-Nov-26 v2 [digital]</v>
      </c>
      <c r="M3356" s="10" t="str">
        <f>HYPERLINK("mailto:ldimambro@crm.otsuka-europe.com", "ldimambro@crm.otsuka-europe.com")</f>
        <v>ldimambro@crm.otsuka-europe.com</v>
      </c>
      <c r="N3356" s="13">
        <v>46213.490173611113</v>
      </c>
      <c r="O3356" s="14" t="str">
        <f>HYPERLINK("https://otsuka-europe-crm.veevavault.com/ui/#object/email_activity__v/V8C000000048126", "EN-002104465")</f>
        <v>EN-002104465</v>
      </c>
    </row>
    <row r="3357" spans="1:15" ht="16" x14ac:dyDescent="0.2">
      <c r="A3357" s="18" t="str">
        <f>HYPERLINK("https://otsuka-europe-crm.veevavault.com/ui/#object/account__v/V4TZ0000062PFQK", "Shaheen Ansari")</f>
        <v>Shaheen Ansari</v>
      </c>
      <c r="B3357" s="18" t="str">
        <f>HYPERLINK("https://otsuka-europe-crm.veevavault.com/ui/#object/vcountry__v/VENZ000004SONFK", "GB")</f>
        <v>GB</v>
      </c>
      <c r="C3357" s="20" t="s">
        <v>41</v>
      </c>
      <c r="D3357" s="21" t="str">
        <f>HYPERLINK("https://otsuka-europe-crm.veevavault.com/ui/#object/approved_document__v/V5O00000001V001", "LDM DR P2P Invite 12-Nov-26 v2 [digital]")</f>
        <v>LDM DR P2P Invite 12-Nov-26 v2 [digital]</v>
      </c>
      <c r="E3357" s="22" t="str">
        <f>HYPERLINK("https://otsuka-europe-crm.veevavault.com/ui/#object/sent_email__v/VBL000000035100", "SE-001443277")</f>
        <v>SE-001443277</v>
      </c>
      <c r="F3357" s="25">
        <v>46213.531944444447</v>
      </c>
      <c r="G3357" s="24">
        <v>1</v>
      </c>
      <c r="H3357" s="24">
        <v>1</v>
      </c>
      <c r="I3357" s="24">
        <v>0</v>
      </c>
      <c r="J3357" s="23"/>
      <c r="K3357" s="24">
        <v>0</v>
      </c>
      <c r="L3357" s="22" t="str">
        <f>HYPERLINK("https://otsuka-europe-crm.veevavault.com/ui/#object/approved_document__v/V5O00000001V001", "LDM DR P2P Invite 12-Nov-26 v2 [digital]")</f>
        <v>LDM DR P2P Invite 12-Nov-26 v2 [digital]</v>
      </c>
      <c r="M3357" s="22" t="str">
        <f>HYPERLINK("mailto:ldimambro@crm.otsuka-europe.com", "ldimambro@crm.otsuka-europe.com")</f>
        <v>ldimambro@crm.otsuka-europe.com</v>
      </c>
      <c r="N3357" s="25">
        <v>46213.490173611113</v>
      </c>
      <c r="O3357" s="14" t="str">
        <f>HYPERLINK("https://otsuka-europe-crm.veevavault.com/ui/#object/email_activity__v/V8C000000048130", "EN-002104473")</f>
        <v>EN-002104473</v>
      </c>
    </row>
    <row r="3358" spans="1:15" ht="16" x14ac:dyDescent="0.2">
      <c r="A3358" s="26"/>
      <c r="B3358" s="26"/>
      <c r="C3358" s="26"/>
      <c r="D3358" s="26"/>
      <c r="E3358" s="26"/>
      <c r="F3358" s="26"/>
      <c r="G3358" s="26"/>
      <c r="H3358" s="26"/>
      <c r="I3358" s="26"/>
      <c r="J3358" s="26"/>
      <c r="K3358" s="26"/>
      <c r="L3358" s="26"/>
      <c r="M3358" s="26"/>
      <c r="N3358" s="26"/>
      <c r="O3358" s="14" t="str">
        <f>HYPERLINK("https://otsuka-europe-crm.veevavault.com/ui/#object/email_activity__v/V8C000000048138", "EN-002104482")</f>
        <v>EN-002104482</v>
      </c>
    </row>
    <row r="3359" spans="1:15" ht="16" x14ac:dyDescent="0.2">
      <c r="A3359" s="19"/>
      <c r="B3359" s="19"/>
      <c r="C3359" s="19"/>
      <c r="D3359" s="19"/>
      <c r="E3359" s="19"/>
      <c r="F3359" s="19"/>
      <c r="G3359" s="19"/>
      <c r="H3359" s="19"/>
      <c r="I3359" s="19"/>
      <c r="J3359" s="19"/>
      <c r="K3359" s="19"/>
      <c r="L3359" s="19"/>
      <c r="M3359" s="19"/>
      <c r="N3359" s="19"/>
      <c r="O3359" s="14" t="str">
        <f>HYPERLINK("https://otsuka-europe-crm.veevavault.com/ui/#object/email_activity__v/V8C000000048228", "EN-002104714")</f>
        <v>EN-002104714</v>
      </c>
    </row>
    <row r="3360" spans="1:15" ht="32" x14ac:dyDescent="0.2">
      <c r="A3360" s="7" t="str">
        <f>HYPERLINK("https://otsuka-europe-crm.veevavault.com/ui/#object/account__v/V4TZ04ASG9R7RLC", "Ruth Opara")</f>
        <v>Ruth Opara</v>
      </c>
      <c r="B3360" s="7" t="str">
        <f>HYPERLINK("https://otsuka-europe-crm.veevavault.com/ui/#object/vcountry__v/VENZ000004SONFK", "GB")</f>
        <v>GB</v>
      </c>
      <c r="C3360" s="8" t="s">
        <v>41</v>
      </c>
      <c r="D3360" s="9" t="str">
        <f>HYPERLINK("https://otsuka-europe-crm.veevavault.com/ui/#object/approved_document__v/V5O00000001V001", "LDM DR P2P Invite 12-Nov-26 v2 [digital]")</f>
        <v>LDM DR P2P Invite 12-Nov-26 v2 [digital]</v>
      </c>
      <c r="E3360" s="10" t="str">
        <f>HYPERLINK("https://otsuka-europe-crm.veevavault.com/ui/#object/sent_email__v/VBL000000035101", "SE-001443278")</f>
        <v>SE-001443278</v>
      </c>
      <c r="F3360" s="11"/>
      <c r="G3360" s="12">
        <v>0</v>
      </c>
      <c r="H3360" s="12">
        <v>0</v>
      </c>
      <c r="I3360" s="12">
        <v>0</v>
      </c>
      <c r="J3360" s="11"/>
      <c r="K3360" s="12">
        <v>0</v>
      </c>
      <c r="L3360" s="10" t="str">
        <f>HYPERLINK("https://otsuka-europe-crm.veevavault.com/ui/#object/approved_document__v/V5O00000001V001", "LDM DR P2P Invite 12-Nov-26 v2 [digital]")</f>
        <v>LDM DR P2P Invite 12-Nov-26 v2 [digital]</v>
      </c>
      <c r="M3360" s="10" t="str">
        <f>HYPERLINK("mailto:ldimambro@crm.otsuka-europe.com", "ldimambro@crm.otsuka-europe.com")</f>
        <v>ldimambro@crm.otsuka-europe.com</v>
      </c>
      <c r="N3360" s="13">
        <v>46213.490173611113</v>
      </c>
      <c r="O3360" s="14" t="str">
        <f>HYPERLINK("https://otsuka-europe-crm.veevavault.com/ui/#object/email_activity__v/V8C000000048109", "EN-002104436")</f>
        <v>EN-002104436</v>
      </c>
    </row>
    <row r="3361" spans="1:15" ht="16" x14ac:dyDescent="0.2">
      <c r="A3361" s="18" t="str">
        <f>HYPERLINK("https://otsuka-europe-crm.veevavault.com/ui/#object/account__v/V4TZ04ASGG578Q7", "Silvia Astefanei")</f>
        <v>Silvia Astefanei</v>
      </c>
      <c r="B3361" s="18" t="str">
        <f>HYPERLINK("https://otsuka-europe-crm.veevavault.com/ui/#object/vcountry__v/VENZ000004SONFK", "GB")</f>
        <v>GB</v>
      </c>
      <c r="C3361" s="20" t="s">
        <v>41</v>
      </c>
      <c r="D3361" s="21" t="str">
        <f>HYPERLINK("https://otsuka-europe-crm.veevavault.com/ui/#object/approved_document__v/V5O00000001V001", "LDM DR P2P Invite 12-Nov-26 v2 [digital]")</f>
        <v>LDM DR P2P Invite 12-Nov-26 v2 [digital]</v>
      </c>
      <c r="E3361" s="22" t="str">
        <f>HYPERLINK("https://otsuka-europe-crm.veevavault.com/ui/#object/sent_email__v/VBL000000035102", "SE-001443279")</f>
        <v>SE-001443279</v>
      </c>
      <c r="F3361" s="25">
        <v>46213.490243055552</v>
      </c>
      <c r="G3361" s="24">
        <v>1</v>
      </c>
      <c r="H3361" s="24">
        <v>1</v>
      </c>
      <c r="I3361" s="24">
        <v>0</v>
      </c>
      <c r="J3361" s="23"/>
      <c r="K3361" s="24">
        <v>0</v>
      </c>
      <c r="L3361" s="22" t="str">
        <f>HYPERLINK("https://otsuka-europe-crm.veevavault.com/ui/#object/approved_document__v/V5O00000001V001", "LDM DR P2P Invite 12-Nov-26 v2 [digital]")</f>
        <v>LDM DR P2P Invite 12-Nov-26 v2 [digital]</v>
      </c>
      <c r="M3361" s="22" t="str">
        <f>HYPERLINK("mailto:ldimambro@crm.otsuka-europe.com", "ldimambro@crm.otsuka-europe.com")</f>
        <v>ldimambro@crm.otsuka-europe.com</v>
      </c>
      <c r="N3361" s="25">
        <v>46213.490173611113</v>
      </c>
      <c r="O3361" s="14" t="str">
        <f>HYPERLINK("https://otsuka-europe-crm.veevavault.com/ui/#object/email_activity__v/V8C000000047179", "EN-002104469")</f>
        <v>EN-002104469</v>
      </c>
    </row>
    <row r="3362" spans="1:15" ht="16" x14ac:dyDescent="0.2">
      <c r="A3362" s="19"/>
      <c r="B3362" s="19"/>
      <c r="C3362" s="19"/>
      <c r="D3362" s="19"/>
      <c r="E3362" s="19"/>
      <c r="F3362" s="19"/>
      <c r="G3362" s="19"/>
      <c r="H3362" s="19"/>
      <c r="I3362" s="19"/>
      <c r="J3362" s="19"/>
      <c r="K3362" s="19"/>
      <c r="L3362" s="19"/>
      <c r="M3362" s="19"/>
      <c r="N3362" s="19"/>
      <c r="O3362" s="14" t="str">
        <f>HYPERLINK("https://otsuka-europe-crm.veevavault.com/ui/#object/email_activity__v/V8C000000048134", "EN-002104477")</f>
        <v>EN-002104477</v>
      </c>
    </row>
    <row r="3363" spans="1:15" ht="32" x14ac:dyDescent="0.2">
      <c r="A3363" s="7" t="str">
        <f>HYPERLINK("https://otsuka-europe-crm.veevavault.com/ui/#object/account__v/V4TZ0000062PIOD", "Victor Udu")</f>
        <v>Victor Udu</v>
      </c>
      <c r="B3363" s="7" t="str">
        <f>HYPERLINK("https://otsuka-europe-crm.veevavault.com/ui/#object/vcountry__v/VENZ000004SONFK", "GB")</f>
        <v>GB</v>
      </c>
      <c r="C3363" s="8" t="s">
        <v>41</v>
      </c>
      <c r="D3363" s="9" t="str">
        <f>HYPERLINK("https://otsuka-europe-crm.veevavault.com/ui/#object/approved_document__v/V5O00000001V001", "LDM DR P2P Invite 12-Nov-26 v2 [digital]")</f>
        <v>LDM DR P2P Invite 12-Nov-26 v2 [digital]</v>
      </c>
      <c r="E3363" s="10" t="str">
        <f>HYPERLINK("https://otsuka-europe-crm.veevavault.com/ui/#object/sent_email__v/VBL000000035103", "SE-001443280")</f>
        <v>SE-001443280</v>
      </c>
      <c r="F3363" s="11"/>
      <c r="G3363" s="12">
        <v>0</v>
      </c>
      <c r="H3363" s="12">
        <v>0</v>
      </c>
      <c r="I3363" s="12">
        <v>0</v>
      </c>
      <c r="J3363" s="11"/>
      <c r="K3363" s="12">
        <v>0</v>
      </c>
      <c r="L3363" s="10" t="str">
        <f>HYPERLINK("https://otsuka-europe-crm.veevavault.com/ui/#object/approved_document__v/V5O00000001V001", "LDM DR P2P Invite 12-Nov-26 v2 [digital]")</f>
        <v>LDM DR P2P Invite 12-Nov-26 v2 [digital]</v>
      </c>
      <c r="M3363" s="10" t="str">
        <f>HYPERLINK("mailto:ldimambro@crm.otsuka-europe.com", "ldimambro@crm.otsuka-europe.com")</f>
        <v>ldimambro@crm.otsuka-europe.com</v>
      </c>
      <c r="N3363" s="13">
        <v>46213.490185185183</v>
      </c>
      <c r="O3363" s="14" t="str">
        <f>HYPERLINK("https://otsuka-europe-crm.veevavault.com/ui/#object/email_activity__v/V8C000000047168", "EN-002104443")</f>
        <v>EN-002104443</v>
      </c>
    </row>
    <row r="3364" spans="1:15" ht="16" x14ac:dyDescent="0.2">
      <c r="A3364" s="18" t="str">
        <f>HYPERLINK("https://otsuka-europe-crm.veevavault.com/ui/#object/account__v/V4TZ0000062PGWL", "Soleman Mustafa")</f>
        <v>Soleman Mustafa</v>
      </c>
      <c r="B3364" s="18" t="str">
        <f>HYPERLINK("https://otsuka-europe-crm.veevavault.com/ui/#object/vcountry__v/VENZ000004SONFK", "GB")</f>
        <v>GB</v>
      </c>
      <c r="C3364" s="20" t="s">
        <v>41</v>
      </c>
      <c r="D3364" s="21" t="str">
        <f>HYPERLINK("https://otsuka-europe-crm.veevavault.com/ui/#object/approved_document__v/V5O00000001V001", "LDM DR P2P Invite 12-Nov-26 v2 [digital]")</f>
        <v>LDM DR P2P Invite 12-Nov-26 v2 [digital]</v>
      </c>
      <c r="E3364" s="22" t="str">
        <f>HYPERLINK("https://otsuka-europe-crm.veevavault.com/ui/#object/sent_email__v/VBL000000035104", "SE-001443281")</f>
        <v>SE-001443281</v>
      </c>
      <c r="F3364" s="25">
        <v>46220.962835648148</v>
      </c>
      <c r="G3364" s="24">
        <v>1</v>
      </c>
      <c r="H3364" s="24">
        <v>2</v>
      </c>
      <c r="I3364" s="24">
        <v>0</v>
      </c>
      <c r="J3364" s="23"/>
      <c r="K3364" s="24">
        <v>0</v>
      </c>
      <c r="L3364" s="22" t="str">
        <f>HYPERLINK("https://otsuka-europe-crm.veevavault.com/ui/#object/approved_document__v/V5O00000001V001", "LDM DR P2P Invite 12-Nov-26 v2 [digital]")</f>
        <v>LDM DR P2P Invite 12-Nov-26 v2 [digital]</v>
      </c>
      <c r="M3364" s="22" t="str">
        <f>HYPERLINK("mailto:ldimambro@crm.otsuka-europe.com", "ldimambro@crm.otsuka-europe.com")</f>
        <v>ldimambro@crm.otsuka-europe.com</v>
      </c>
      <c r="N3364" s="25">
        <v>46213.490185185183</v>
      </c>
      <c r="O3364" s="14" t="str">
        <f>HYPERLINK("https://otsuka-europe-crm.veevavault.com/ui/#object/email_activity__v/V8C000000047169", "EN-002104444")</f>
        <v>EN-002104444</v>
      </c>
    </row>
    <row r="3365" spans="1:15" ht="16" x14ac:dyDescent="0.2">
      <c r="A3365" s="26"/>
      <c r="B3365" s="26"/>
      <c r="C3365" s="26"/>
      <c r="D3365" s="26"/>
      <c r="E3365" s="26"/>
      <c r="F3365" s="26"/>
      <c r="G3365" s="26"/>
      <c r="H3365" s="26"/>
      <c r="I3365" s="26"/>
      <c r="J3365" s="26"/>
      <c r="K3365" s="26"/>
      <c r="L3365" s="26"/>
      <c r="M3365" s="26"/>
      <c r="N3365" s="26"/>
      <c r="O3365" s="14" t="str">
        <f>HYPERLINK("https://otsuka-europe-crm.veevavault.com/ui/#object/email_activity__v/V8C000000047188", "EN-002104490")</f>
        <v>EN-002104490</v>
      </c>
    </row>
    <row r="3366" spans="1:15" ht="16" x14ac:dyDescent="0.2">
      <c r="A3366" s="19"/>
      <c r="B3366" s="19"/>
      <c r="C3366" s="19"/>
      <c r="D3366" s="19"/>
      <c r="E3366" s="19"/>
      <c r="F3366" s="19"/>
      <c r="G3366" s="19"/>
      <c r="H3366" s="19"/>
      <c r="I3366" s="19"/>
      <c r="J3366" s="19"/>
      <c r="K3366" s="19"/>
      <c r="L3366" s="19"/>
      <c r="M3366" s="19"/>
      <c r="N3366" s="19"/>
      <c r="O3366" s="14" t="str">
        <f>HYPERLINK("https://otsuka-europe-crm.veevavault.com/ui/#object/email_activity__v/V8C00000004B076", "EN-002106864")</f>
        <v>EN-002106864</v>
      </c>
    </row>
    <row r="3367" spans="1:15" ht="32" x14ac:dyDescent="0.2">
      <c r="A3367" s="7" t="str">
        <f>HYPERLINK("https://otsuka-europe-crm.veevavault.com/ui/#object/account__v/V4TZ0000062PB70", "Sangeetha Kolli")</f>
        <v>Sangeetha Kolli</v>
      </c>
      <c r="B3367" s="7" t="str">
        <f>HYPERLINK("https://otsuka-europe-crm.veevavault.com/ui/#object/vcountry__v/VENZ000004SONFK", "GB")</f>
        <v>GB</v>
      </c>
      <c r="C3367" s="8" t="s">
        <v>41</v>
      </c>
      <c r="D3367" s="9" t="str">
        <f>HYPERLINK("https://otsuka-europe-crm.veevavault.com/ui/#object/approved_document__v/V5O00000001V001", "LDM DR P2P Invite 12-Nov-26 v2 [digital]")</f>
        <v>LDM DR P2P Invite 12-Nov-26 v2 [digital]</v>
      </c>
      <c r="E3367" s="10" t="str">
        <f>HYPERLINK("https://otsuka-europe-crm.veevavault.com/ui/#object/sent_email__v/VBL000000035105", "SE-001443282")</f>
        <v>SE-001443282</v>
      </c>
      <c r="F3367" s="11"/>
      <c r="G3367" s="12">
        <v>0</v>
      </c>
      <c r="H3367" s="12">
        <v>0</v>
      </c>
      <c r="I3367" s="12">
        <v>0</v>
      </c>
      <c r="J3367" s="11"/>
      <c r="K3367" s="12">
        <v>0</v>
      </c>
      <c r="L3367" s="10" t="str">
        <f>HYPERLINK("https://otsuka-europe-crm.veevavault.com/ui/#object/approved_document__v/V5O00000001V001", "LDM DR P2P Invite 12-Nov-26 v2 [digital]")</f>
        <v>LDM DR P2P Invite 12-Nov-26 v2 [digital]</v>
      </c>
      <c r="M3367" s="10" t="str">
        <f>HYPERLINK("mailto:ldimambro@crm.otsuka-europe.com", "ldimambro@crm.otsuka-europe.com")</f>
        <v>ldimambro@crm.otsuka-europe.com</v>
      </c>
      <c r="N3367" s="13">
        <v>46213.490185185183</v>
      </c>
      <c r="O3367" s="14" t="str">
        <f>HYPERLINK("https://otsuka-europe-crm.veevavault.com/ui/#object/email_activity__v/V8C000000047166", "EN-002104441")</f>
        <v>EN-002104441</v>
      </c>
    </row>
    <row r="3368" spans="1:15" ht="32" x14ac:dyDescent="0.2">
      <c r="A3368" s="7" t="str">
        <f>HYPERLINK("https://otsuka-europe-crm.veevavault.com/ui/#object/account__v/V4TZ0000062PFBV", "Sander Kooij")</f>
        <v>Sander Kooij</v>
      </c>
      <c r="B3368" s="7" t="str">
        <f>HYPERLINK("https://otsuka-europe-crm.veevavault.com/ui/#object/vcountry__v/VENZ000004SONFK", "GB")</f>
        <v>GB</v>
      </c>
      <c r="C3368" s="8" t="s">
        <v>41</v>
      </c>
      <c r="D3368" s="9" t="str">
        <f>HYPERLINK("https://otsuka-europe-crm.veevavault.com/ui/#object/approved_document__v/V5O00000001V001", "LDM DR P2P Invite 12-Nov-26 v2 [digital]")</f>
        <v>LDM DR P2P Invite 12-Nov-26 v2 [digital]</v>
      </c>
      <c r="E3368" s="10" t="str">
        <f>HYPERLINK("https://otsuka-europe-crm.veevavault.com/ui/#object/sent_email__v/VBL000000035106", "SE-001443283")</f>
        <v>SE-001443283</v>
      </c>
      <c r="F3368" s="11"/>
      <c r="G3368" s="12">
        <v>0</v>
      </c>
      <c r="H3368" s="12">
        <v>0</v>
      </c>
      <c r="I3368" s="12">
        <v>0</v>
      </c>
      <c r="J3368" s="11"/>
      <c r="K3368" s="12">
        <v>0</v>
      </c>
      <c r="L3368" s="10" t="str">
        <f>HYPERLINK("https://otsuka-europe-crm.veevavault.com/ui/#object/approved_document__v/V5O00000001V001", "LDM DR P2P Invite 12-Nov-26 v2 [digital]")</f>
        <v>LDM DR P2P Invite 12-Nov-26 v2 [digital]</v>
      </c>
      <c r="M3368" s="10" t="str">
        <f>HYPERLINK("mailto:ldimambro@crm.otsuka-europe.com", "ldimambro@crm.otsuka-europe.com")</f>
        <v>ldimambro@crm.otsuka-europe.com</v>
      </c>
      <c r="N3368" s="13">
        <v>46213.490185185183</v>
      </c>
      <c r="O3368" s="14" t="str">
        <f>HYPERLINK("https://otsuka-europe-crm.veevavault.com/ui/#object/email_activity__v/V8C000000047172", "EN-002104448")</f>
        <v>EN-002104448</v>
      </c>
    </row>
    <row r="3369" spans="1:15" ht="32" x14ac:dyDescent="0.2">
      <c r="A3369" s="7" t="str">
        <f>HYPERLINK("https://otsuka-europe-crm.veevavault.com/ui/#object/account__v/V4TZ04ASGEI8CRK", "Rose Akinnola")</f>
        <v>Rose Akinnola</v>
      </c>
      <c r="B3369" s="7" t="str">
        <f>HYPERLINK("https://otsuka-europe-crm.veevavault.com/ui/#object/vcountry__v/VENZ000004SONFK", "GB")</f>
        <v>GB</v>
      </c>
      <c r="C3369" s="8" t="s">
        <v>41</v>
      </c>
      <c r="D3369" s="9" t="str">
        <f>HYPERLINK("https://otsuka-europe-crm.veevavault.com/ui/#object/approved_document__v/V5O00000001V001", "LDM DR P2P Invite 12-Nov-26 v2 [digital]")</f>
        <v>LDM DR P2P Invite 12-Nov-26 v2 [digital]</v>
      </c>
      <c r="E3369" s="10" t="str">
        <f>HYPERLINK("https://otsuka-europe-crm.veevavault.com/ui/#object/sent_email__v/VBL000000035107", "SE-001443284")</f>
        <v>SE-001443284</v>
      </c>
      <c r="F3369" s="11"/>
      <c r="G3369" s="12">
        <v>0</v>
      </c>
      <c r="H3369" s="12">
        <v>0</v>
      </c>
      <c r="I3369" s="12">
        <v>0</v>
      </c>
      <c r="J3369" s="11"/>
      <c r="K3369" s="12">
        <v>0</v>
      </c>
      <c r="L3369" s="10" t="str">
        <f>HYPERLINK("https://otsuka-europe-crm.veevavault.com/ui/#object/approved_document__v/V5O00000001V001", "LDM DR P2P Invite 12-Nov-26 v2 [digital]")</f>
        <v>LDM DR P2P Invite 12-Nov-26 v2 [digital]</v>
      </c>
      <c r="M3369" s="10" t="str">
        <f>HYPERLINK("mailto:ldimambro@crm.otsuka-europe.com", "ldimambro@crm.otsuka-europe.com")</f>
        <v>ldimambro@crm.otsuka-europe.com</v>
      </c>
      <c r="N3369" s="13">
        <v>46213.490069444444</v>
      </c>
      <c r="O3369" s="14" t="str">
        <f>HYPERLINK("https://otsuka-europe-crm.veevavault.com/ui/#object/email_activity__v/V8C000000048108", "EN-002104435")</f>
        <v>EN-002104435</v>
      </c>
    </row>
    <row r="3370" spans="1:15" ht="32" x14ac:dyDescent="0.2">
      <c r="A3370" s="7" t="str">
        <f>HYPERLINK("https://otsuka-europe-crm.veevavault.com/ui/#object/account__v/V4TZ0000062PNK5", "Yvonne Hawkins")</f>
        <v>Yvonne Hawkins</v>
      </c>
      <c r="B3370" s="7" t="str">
        <f>HYPERLINK("https://otsuka-europe-crm.veevavault.com/ui/#object/vcountry__v/VENZ000004SONFK", "GB")</f>
        <v>GB</v>
      </c>
      <c r="C3370" s="8" t="s">
        <v>41</v>
      </c>
      <c r="D3370" s="9" t="str">
        <f>HYPERLINK("https://otsuka-europe-crm.veevavault.com/ui/#object/approved_document__v/V5O00000001V001", "LDM DR P2P Invite 12-Nov-26 v2 [digital]")</f>
        <v>LDM DR P2P Invite 12-Nov-26 v2 [digital]</v>
      </c>
      <c r="E3370" s="10" t="str">
        <f>HYPERLINK("https://otsuka-europe-crm.veevavault.com/ui/#object/sent_email__v/VBL000000035108", "SE-001443285")</f>
        <v>SE-001443285</v>
      </c>
      <c r="F3370" s="11"/>
      <c r="G3370" s="12">
        <v>0</v>
      </c>
      <c r="H3370" s="12">
        <v>0</v>
      </c>
      <c r="I3370" s="12">
        <v>0</v>
      </c>
      <c r="J3370" s="11"/>
      <c r="K3370" s="12">
        <v>0</v>
      </c>
      <c r="L3370" s="10" t="str">
        <f>HYPERLINK("https://otsuka-europe-crm.veevavault.com/ui/#object/approved_document__v/V5O00000001V001", "LDM DR P2P Invite 12-Nov-26 v2 [digital]")</f>
        <v>LDM DR P2P Invite 12-Nov-26 v2 [digital]</v>
      </c>
      <c r="M3370" s="10" t="str">
        <f>HYPERLINK("mailto:ldimambro@crm.otsuka-europe.com", "ldimambro@crm.otsuka-europe.com")</f>
        <v>ldimambro@crm.otsuka-europe.com</v>
      </c>
      <c r="N3370" s="13">
        <v>46213.49009259259</v>
      </c>
      <c r="O3370" s="14" t="str">
        <f>HYPERLINK("https://otsuka-europe-crm.veevavault.com/ui/#object/email_activity__v/V8C000000048114", "EN-002104445")</f>
        <v>EN-002104445</v>
      </c>
    </row>
    <row r="3371" spans="1:15" ht="16" x14ac:dyDescent="0.2">
      <c r="A3371" s="18" t="str">
        <f>HYPERLINK("https://otsuka-europe-crm.veevavault.com/ui/#object/account__v/V4TZ0000062PHLZ", "Subbalekshmi Reddy")</f>
        <v>Subbalekshmi Reddy</v>
      </c>
      <c r="B3371" s="18" t="str">
        <f>HYPERLINK("https://otsuka-europe-crm.veevavault.com/ui/#object/vcountry__v/VENZ000004SONFK", "GB")</f>
        <v>GB</v>
      </c>
      <c r="C3371" s="20" t="s">
        <v>41</v>
      </c>
      <c r="D3371" s="21" t="str">
        <f>HYPERLINK("https://otsuka-europe-crm.veevavault.com/ui/#object/approved_document__v/V5O00000001V001", "LDM DR P2P Invite 12-Nov-26 v2 [digital]")</f>
        <v>LDM DR P2P Invite 12-Nov-26 v2 [digital]</v>
      </c>
      <c r="E3371" s="22" t="str">
        <f>HYPERLINK("https://otsuka-europe-crm.veevavault.com/ui/#object/sent_email__v/VBL000000035109", "SE-001443286")</f>
        <v>SE-001443286</v>
      </c>
      <c r="F3371" s="23"/>
      <c r="G3371" s="24">
        <v>0</v>
      </c>
      <c r="H3371" s="24">
        <v>0</v>
      </c>
      <c r="I3371" s="24">
        <v>0</v>
      </c>
      <c r="J3371" s="23"/>
      <c r="K3371" s="24">
        <v>0</v>
      </c>
      <c r="L3371" s="22" t="str">
        <f>HYPERLINK("https://otsuka-europe-crm.veevavault.com/ui/#object/approved_document__v/V5O00000001V001", "LDM DR P2P Invite 12-Nov-26 v2 [digital]")</f>
        <v>LDM DR P2P Invite 12-Nov-26 v2 [digital]</v>
      </c>
      <c r="M3371" s="22" t="str">
        <f>HYPERLINK("mailto:ldimambro@crm.otsuka-europe.com", "ldimambro@crm.otsuka-europe.com")</f>
        <v>ldimambro@crm.otsuka-europe.com</v>
      </c>
      <c r="N3371" s="25">
        <v>46213.490173611113</v>
      </c>
      <c r="O3371" s="14" t="str">
        <f>HYPERLINK("https://otsuka-europe-crm.veevavault.com/ui/#object/email_activity__v/V8C000000047385", "EN-002104838")</f>
        <v>EN-002104838</v>
      </c>
    </row>
    <row r="3372" spans="1:15" ht="16" x14ac:dyDescent="0.2">
      <c r="A3372" s="26"/>
      <c r="B3372" s="26"/>
      <c r="C3372" s="26"/>
      <c r="D3372" s="26"/>
      <c r="E3372" s="26"/>
      <c r="F3372" s="26"/>
      <c r="G3372" s="26"/>
      <c r="H3372" s="26"/>
      <c r="I3372" s="26"/>
      <c r="J3372" s="26"/>
      <c r="K3372" s="26"/>
      <c r="L3372" s="26"/>
      <c r="M3372" s="26"/>
      <c r="N3372" s="26"/>
      <c r="O3372" s="14" t="str">
        <f>HYPERLINK("https://otsuka-europe-crm.veevavault.com/ui/#object/email_activity__v/V8C000000047388", "EN-002104842")</f>
        <v>EN-002104842</v>
      </c>
    </row>
    <row r="3373" spans="1:15" ht="16" x14ac:dyDescent="0.2">
      <c r="A3373" s="26"/>
      <c r="B3373" s="26"/>
      <c r="C3373" s="26"/>
      <c r="D3373" s="26"/>
      <c r="E3373" s="26"/>
      <c r="F3373" s="26"/>
      <c r="G3373" s="26"/>
      <c r="H3373" s="26"/>
      <c r="I3373" s="26"/>
      <c r="J3373" s="26"/>
      <c r="K3373" s="26"/>
      <c r="L3373" s="26"/>
      <c r="M3373" s="26"/>
      <c r="N3373" s="26"/>
      <c r="O3373" s="14" t="str">
        <f>HYPERLINK("https://otsuka-europe-crm.veevavault.com/ui/#object/email_activity__v/V8C000000048123", "EN-002104462")</f>
        <v>EN-002104462</v>
      </c>
    </row>
    <row r="3374" spans="1:15" ht="16" x14ac:dyDescent="0.2">
      <c r="A3374" s="19"/>
      <c r="B3374" s="19"/>
      <c r="C3374" s="19"/>
      <c r="D3374" s="19"/>
      <c r="E3374" s="19"/>
      <c r="F3374" s="19"/>
      <c r="G3374" s="19"/>
      <c r="H3374" s="19"/>
      <c r="I3374" s="19"/>
      <c r="J3374" s="19"/>
      <c r="K3374" s="19"/>
      <c r="L3374" s="19"/>
      <c r="M3374" s="19"/>
      <c r="N3374" s="19"/>
      <c r="O3374" s="14" t="str">
        <f>HYPERLINK("https://otsuka-europe-crm.veevavault.com/ui/#object/email_activity__v/V8C000000048294", "EN-002104848")</f>
        <v>EN-002104848</v>
      </c>
    </row>
    <row r="3375" spans="1:15" ht="16" x14ac:dyDescent="0.2">
      <c r="A3375" s="18" t="str">
        <f>HYPERLINK("https://otsuka-europe-crm.veevavault.com/ui/#object/account__v/V4TZ0000062PIM9", "Suresh Thurairatnam")</f>
        <v>Suresh Thurairatnam</v>
      </c>
      <c r="B3375" s="18" t="str">
        <f>HYPERLINK("https://otsuka-europe-crm.veevavault.com/ui/#object/vcountry__v/VENZ000004SONFK", "GB")</f>
        <v>GB</v>
      </c>
      <c r="C3375" s="20" t="s">
        <v>41</v>
      </c>
      <c r="D3375" s="21" t="str">
        <f>HYPERLINK("https://otsuka-europe-crm.veevavault.com/ui/#object/approved_document__v/V5O00000001V001", "LDM DR P2P Invite 12-Nov-26 v2 [digital]")</f>
        <v>LDM DR P2P Invite 12-Nov-26 v2 [digital]</v>
      </c>
      <c r="E3375" s="22" t="str">
        <f>HYPERLINK("https://otsuka-europe-crm.veevavault.com/ui/#object/sent_email__v/VBL000000035110", "SE-001443287")</f>
        <v>SE-001443287</v>
      </c>
      <c r="F3375" s="23"/>
      <c r="G3375" s="24">
        <v>0</v>
      </c>
      <c r="H3375" s="24">
        <v>0</v>
      </c>
      <c r="I3375" s="24">
        <v>0</v>
      </c>
      <c r="J3375" s="23"/>
      <c r="K3375" s="24">
        <v>0</v>
      </c>
      <c r="L3375" s="22" t="str">
        <f>HYPERLINK("https://otsuka-europe-crm.veevavault.com/ui/#object/approved_document__v/V5O00000001V001", "LDM DR P2P Invite 12-Nov-26 v2 [digital]")</f>
        <v>LDM DR P2P Invite 12-Nov-26 v2 [digital]</v>
      </c>
      <c r="M3375" s="22" t="str">
        <f>HYPERLINK("mailto:ldimambro@crm.otsuka-europe.com", "ldimambro@crm.otsuka-europe.com")</f>
        <v>ldimambro@crm.otsuka-europe.com</v>
      </c>
      <c r="N3375" s="25">
        <v>46213.490173611113</v>
      </c>
      <c r="O3375" s="14" t="str">
        <f>HYPERLINK("https://otsuka-europe-crm.veevavault.com/ui/#object/email_activity__v/V8C000000048117", "EN-002104456")</f>
        <v>EN-002104456</v>
      </c>
    </row>
    <row r="3376" spans="1:15" ht="16" x14ac:dyDescent="0.2">
      <c r="A3376" s="19"/>
      <c r="B3376" s="19"/>
      <c r="C3376" s="19"/>
      <c r="D3376" s="19"/>
      <c r="E3376" s="19"/>
      <c r="F3376" s="19"/>
      <c r="G3376" s="19"/>
      <c r="H3376" s="19"/>
      <c r="I3376" s="19"/>
      <c r="J3376" s="19"/>
      <c r="K3376" s="19"/>
      <c r="L3376" s="19"/>
      <c r="M3376" s="19"/>
      <c r="N3376" s="19"/>
      <c r="O3376" s="14" t="str">
        <f>HYPERLINK("https://otsuka-europe-crm.veevavault.com/ui/#object/email_activity__v/V8C000000049682", "EN-002106184")</f>
        <v>EN-002106184</v>
      </c>
    </row>
    <row r="3377" spans="1:15" ht="32" x14ac:dyDescent="0.2">
      <c r="A3377" s="7" t="str">
        <f>HYPERLINK("https://otsuka-europe-crm.veevavault.com/ui/#object/account__v/V4TZ06G6OB4B9M0", "Susham Gupta")</f>
        <v>Susham Gupta</v>
      </c>
      <c r="B3377" s="7" t="str">
        <f t="shared" ref="B3377:B3386" si="152">HYPERLINK("https://otsuka-europe-crm.veevavault.com/ui/#object/vcountry__v/VENZ000004SONFK", "GB")</f>
        <v>GB</v>
      </c>
      <c r="C3377" s="8" t="s">
        <v>41</v>
      </c>
      <c r="D3377" s="9" t="str">
        <f t="shared" ref="D3377:D3386" si="153">HYPERLINK("https://otsuka-europe-crm.veevavault.com/ui/#object/approved_document__v/V5O00000001V001", "LDM DR P2P Invite 12-Nov-26 v2 [digital]")</f>
        <v>LDM DR P2P Invite 12-Nov-26 v2 [digital]</v>
      </c>
      <c r="E3377" s="10" t="str">
        <f>HYPERLINK("https://otsuka-europe-crm.veevavault.com/ui/#object/sent_email__v/VBL000000035111", "SE-001443288")</f>
        <v>SE-001443288</v>
      </c>
      <c r="F3377" s="11"/>
      <c r="G3377" s="12">
        <v>0</v>
      </c>
      <c r="H3377" s="12">
        <v>0</v>
      </c>
      <c r="I3377" s="12">
        <v>0</v>
      </c>
      <c r="J3377" s="11"/>
      <c r="K3377" s="12">
        <v>0</v>
      </c>
      <c r="L3377" s="10" t="str">
        <f t="shared" ref="L3377:L3386" si="154">HYPERLINK("https://otsuka-europe-crm.veevavault.com/ui/#object/approved_document__v/V5O00000001V001", "LDM DR P2P Invite 12-Nov-26 v2 [digital]")</f>
        <v>LDM DR P2P Invite 12-Nov-26 v2 [digital]</v>
      </c>
      <c r="M3377" s="10" t="str">
        <f t="shared" ref="M3377:M3386" si="155">HYPERLINK("mailto:ldimambro@crm.otsuka-europe.com", "ldimambro@crm.otsuka-europe.com")</f>
        <v>ldimambro@crm.otsuka-europe.com</v>
      </c>
      <c r="N3377" s="13">
        <v>46213.490173611113</v>
      </c>
      <c r="O3377" s="14" t="str">
        <f>HYPERLINK("https://otsuka-europe-crm.veevavault.com/ui/#object/email_activity__v/V8C000000048120", "EN-002104459")</f>
        <v>EN-002104459</v>
      </c>
    </row>
    <row r="3378" spans="1:15" ht="32" x14ac:dyDescent="0.2">
      <c r="A3378" s="7" t="str">
        <f>HYPERLINK("https://otsuka-europe-crm.veevavault.com/ui/#object/account__v/V4TZ0000062PCC2", "Salah Abou-El-Fadl")</f>
        <v>Salah Abou-El-Fadl</v>
      </c>
      <c r="B3378" s="7" t="str">
        <f t="shared" si="152"/>
        <v>GB</v>
      </c>
      <c r="C3378" s="8" t="s">
        <v>41</v>
      </c>
      <c r="D3378" s="9" t="str">
        <f t="shared" si="153"/>
        <v>LDM DR P2P Invite 12-Nov-26 v2 [digital]</v>
      </c>
      <c r="E3378" s="10" t="str">
        <f>HYPERLINK("https://otsuka-europe-crm.veevavault.com/ui/#object/sent_email__v/VBL000000035112", "SE-001443289")</f>
        <v>SE-001443289</v>
      </c>
      <c r="F3378" s="11"/>
      <c r="G3378" s="12">
        <v>0</v>
      </c>
      <c r="H3378" s="12">
        <v>0</v>
      </c>
      <c r="I3378" s="12">
        <v>0</v>
      </c>
      <c r="J3378" s="11"/>
      <c r="K3378" s="12">
        <v>0</v>
      </c>
      <c r="L3378" s="10" t="str">
        <f t="shared" si="154"/>
        <v>LDM DR P2P Invite 12-Nov-26 v2 [digital]</v>
      </c>
      <c r="M3378" s="10" t="str">
        <f t="shared" si="155"/>
        <v>ldimambro@crm.otsuka-europe.com</v>
      </c>
      <c r="N3378" s="13">
        <v>46213.490173611113</v>
      </c>
      <c r="O3378" s="14" t="str">
        <f>HYPERLINK("https://otsuka-europe-crm.veevavault.com/ui/#object/email_activity__v/V8C000000048133", "EN-002104476")</f>
        <v>EN-002104476</v>
      </c>
    </row>
    <row r="3379" spans="1:15" ht="32" x14ac:dyDescent="0.2">
      <c r="A3379" s="7" t="str">
        <f>HYPERLINK("https://otsuka-europe-crm.veevavault.com/ui/#object/account__v/V4TZ06G6OB48AAX", "Tryline Katiyo")</f>
        <v>Tryline Katiyo</v>
      </c>
      <c r="B3379" s="7" t="str">
        <f t="shared" si="152"/>
        <v>GB</v>
      </c>
      <c r="C3379" s="8" t="s">
        <v>41</v>
      </c>
      <c r="D3379" s="9" t="str">
        <f t="shared" si="153"/>
        <v>LDM DR P2P Invite 12-Nov-26 v2 [digital]</v>
      </c>
      <c r="E3379" s="10" t="str">
        <f>HYPERLINK("https://otsuka-europe-crm.veevavault.com/ui/#object/sent_email__v/VBL000000035113", "SE-001443290")</f>
        <v>SE-001443290</v>
      </c>
      <c r="F3379" s="11"/>
      <c r="G3379" s="12">
        <v>0</v>
      </c>
      <c r="H3379" s="12">
        <v>0</v>
      </c>
      <c r="I3379" s="12">
        <v>0</v>
      </c>
      <c r="J3379" s="11"/>
      <c r="K3379" s="12">
        <v>0</v>
      </c>
      <c r="L3379" s="10" t="str">
        <f t="shared" si="154"/>
        <v>LDM DR P2P Invite 12-Nov-26 v2 [digital]</v>
      </c>
      <c r="M3379" s="10" t="str">
        <f t="shared" si="155"/>
        <v>ldimambro@crm.otsuka-europe.com</v>
      </c>
      <c r="N3379" s="13">
        <v>46213.490185185183</v>
      </c>
      <c r="O3379" s="14" t="str">
        <f>HYPERLINK("https://otsuka-europe-crm.veevavault.com/ui/#object/email_activity__v/V8C000000047173", "EN-002104449")</f>
        <v>EN-002104449</v>
      </c>
    </row>
    <row r="3380" spans="1:15" ht="32" x14ac:dyDescent="0.2">
      <c r="A3380" s="7" t="str">
        <f>HYPERLINK("https://otsuka-europe-crm.veevavault.com/ui/#object/account__v/V4TZ025E859VX3I", "Samuel Amo-Korankye")</f>
        <v>Samuel Amo-Korankye</v>
      </c>
      <c r="B3380" s="7" t="str">
        <f t="shared" si="152"/>
        <v>GB</v>
      </c>
      <c r="C3380" s="8" t="s">
        <v>41</v>
      </c>
      <c r="D3380" s="9" t="str">
        <f t="shared" si="153"/>
        <v>LDM DR P2P Invite 12-Nov-26 v2 [digital]</v>
      </c>
      <c r="E3380" s="10" t="str">
        <f>HYPERLINK("https://otsuka-europe-crm.veevavault.com/ui/#object/sent_email__v/VBL000000035114", "SE-001443291")</f>
        <v>SE-001443291</v>
      </c>
      <c r="F3380" s="11"/>
      <c r="G3380" s="12">
        <v>0</v>
      </c>
      <c r="H3380" s="12">
        <v>0</v>
      </c>
      <c r="I3380" s="12">
        <v>0</v>
      </c>
      <c r="J3380" s="11"/>
      <c r="K3380" s="12">
        <v>0</v>
      </c>
      <c r="L3380" s="10" t="str">
        <f t="shared" si="154"/>
        <v>LDM DR P2P Invite 12-Nov-26 v2 [digital]</v>
      </c>
      <c r="M3380" s="10" t="str">
        <f t="shared" si="155"/>
        <v>ldimambro@crm.otsuka-europe.com</v>
      </c>
      <c r="N3380" s="13">
        <v>46213.490173611113</v>
      </c>
      <c r="O3380" s="14" t="str">
        <f>HYPERLINK("https://otsuka-europe-crm.veevavault.com/ui/#object/email_activity__v/V8C000000048132", "EN-002104475")</f>
        <v>EN-002104475</v>
      </c>
    </row>
    <row r="3381" spans="1:15" ht="32" x14ac:dyDescent="0.2">
      <c r="A3381" s="7" t="str">
        <f>HYPERLINK("https://otsuka-europe-crm.veevavault.com/ui/#object/account__v/V4TZ06G6OCBX6AN", "Sarah Chadwick")</f>
        <v>Sarah Chadwick</v>
      </c>
      <c r="B3381" s="7" t="str">
        <f t="shared" si="152"/>
        <v>GB</v>
      </c>
      <c r="C3381" s="8" t="s">
        <v>41</v>
      </c>
      <c r="D3381" s="9" t="str">
        <f t="shared" si="153"/>
        <v>LDM DR P2P Invite 12-Nov-26 v2 [digital]</v>
      </c>
      <c r="E3381" s="10" t="str">
        <f>HYPERLINK("https://otsuka-europe-crm.veevavault.com/ui/#object/sent_email__v/VBL000000035115", "SE-001443292")</f>
        <v>SE-001443292</v>
      </c>
      <c r="F3381" s="11"/>
      <c r="G3381" s="12">
        <v>0</v>
      </c>
      <c r="H3381" s="12">
        <v>0</v>
      </c>
      <c r="I3381" s="12">
        <v>0</v>
      </c>
      <c r="J3381" s="11"/>
      <c r="K3381" s="12">
        <v>0</v>
      </c>
      <c r="L3381" s="10" t="str">
        <f t="shared" si="154"/>
        <v>LDM DR P2P Invite 12-Nov-26 v2 [digital]</v>
      </c>
      <c r="M3381" s="10" t="str">
        <f t="shared" si="155"/>
        <v>ldimambro@crm.otsuka-europe.com</v>
      </c>
      <c r="N3381" s="13">
        <v>46213.490173611113</v>
      </c>
      <c r="O3381" s="14" t="str">
        <f>HYPERLINK("https://otsuka-europe-crm.veevavault.com/ui/#object/email_activity__v/V8C000000048127", "EN-002104466")</f>
        <v>EN-002104466</v>
      </c>
    </row>
    <row r="3382" spans="1:15" ht="32" x14ac:dyDescent="0.2">
      <c r="A3382" s="7" t="str">
        <f>HYPERLINK("https://otsuka-europe-crm.veevavault.com/ui/#object/account__v/V4TZ04ASG7WYD2J", "Virginia Ndlovu")</f>
        <v>Virginia Ndlovu</v>
      </c>
      <c r="B3382" s="7" t="str">
        <f t="shared" si="152"/>
        <v>GB</v>
      </c>
      <c r="C3382" s="8" t="s">
        <v>41</v>
      </c>
      <c r="D3382" s="9" t="str">
        <f t="shared" si="153"/>
        <v>LDM DR P2P Invite 12-Nov-26 v2 [digital]</v>
      </c>
      <c r="E3382" s="10" t="str">
        <f>HYPERLINK("https://otsuka-europe-crm.veevavault.com/ui/#object/sent_email__v/VBL000000035116", "SE-001443293")</f>
        <v>SE-001443293</v>
      </c>
      <c r="F3382" s="11"/>
      <c r="G3382" s="12">
        <v>0</v>
      </c>
      <c r="H3382" s="12">
        <v>0</v>
      </c>
      <c r="I3382" s="12">
        <v>0</v>
      </c>
      <c r="J3382" s="11"/>
      <c r="K3382" s="12">
        <v>0</v>
      </c>
      <c r="L3382" s="10" t="str">
        <f t="shared" si="154"/>
        <v>LDM DR P2P Invite 12-Nov-26 v2 [digital]</v>
      </c>
      <c r="M3382" s="10" t="str">
        <f t="shared" si="155"/>
        <v>ldimambro@crm.otsuka-europe.com</v>
      </c>
      <c r="N3382" s="13">
        <v>46213.490173611113</v>
      </c>
      <c r="O3382" s="14" t="str">
        <f>HYPERLINK("https://otsuka-europe-crm.veevavault.com/ui/#object/email_activity__v/V8C000000048129", "EN-002104472")</f>
        <v>EN-002104472</v>
      </c>
    </row>
    <row r="3383" spans="1:15" ht="32" x14ac:dyDescent="0.2">
      <c r="A3383" s="7" t="str">
        <f>HYPERLINK("https://otsuka-europe-crm.veevavault.com/ui/#object/account__v/V4TZ0000062PDTY", "Simon Dein")</f>
        <v>Simon Dein</v>
      </c>
      <c r="B3383" s="7" t="str">
        <f t="shared" si="152"/>
        <v>GB</v>
      </c>
      <c r="C3383" s="8" t="s">
        <v>41</v>
      </c>
      <c r="D3383" s="9" t="str">
        <f t="shared" si="153"/>
        <v>LDM DR P2P Invite 12-Nov-26 v2 [digital]</v>
      </c>
      <c r="E3383" s="10" t="str">
        <f>HYPERLINK("https://otsuka-europe-crm.veevavault.com/ui/#object/sent_email__v/VBL000000035117", "SE-001443294")</f>
        <v>SE-001443294</v>
      </c>
      <c r="F3383" s="11"/>
      <c r="G3383" s="12">
        <v>0</v>
      </c>
      <c r="H3383" s="12">
        <v>0</v>
      </c>
      <c r="I3383" s="12">
        <v>0</v>
      </c>
      <c r="J3383" s="11"/>
      <c r="K3383" s="12">
        <v>0</v>
      </c>
      <c r="L3383" s="10" t="str">
        <f t="shared" si="154"/>
        <v>LDM DR P2P Invite 12-Nov-26 v2 [digital]</v>
      </c>
      <c r="M3383" s="10" t="str">
        <f t="shared" si="155"/>
        <v>ldimambro@crm.otsuka-europe.com</v>
      </c>
      <c r="N3383" s="13">
        <v>46213.49019675926</v>
      </c>
      <c r="O3383" s="14" t="str">
        <f>HYPERLINK("https://otsuka-europe-crm.veevavault.com/ui/#object/email_activity__v/V8C000000047175", "EN-002104451")</f>
        <v>EN-002104451</v>
      </c>
    </row>
    <row r="3384" spans="1:15" ht="32" x14ac:dyDescent="0.2">
      <c r="A3384" s="7" t="str">
        <f>HYPERLINK("https://otsuka-europe-crm.veevavault.com/ui/#object/account__v/V4TZ0000062PIQ1", "Srinivasan Vaidyanadeswaran")</f>
        <v>Srinivasan Vaidyanadeswaran</v>
      </c>
      <c r="B3384" s="7" t="str">
        <f t="shared" si="152"/>
        <v>GB</v>
      </c>
      <c r="C3384" s="8" t="s">
        <v>41</v>
      </c>
      <c r="D3384" s="9" t="str">
        <f t="shared" si="153"/>
        <v>LDM DR P2P Invite 12-Nov-26 v2 [digital]</v>
      </c>
      <c r="E3384" s="10" t="str">
        <f>HYPERLINK("https://otsuka-europe-crm.veevavault.com/ui/#object/sent_email__v/VBL000000035118", "SE-001443295")</f>
        <v>SE-001443295</v>
      </c>
      <c r="F3384" s="11"/>
      <c r="G3384" s="12">
        <v>0</v>
      </c>
      <c r="H3384" s="12">
        <v>0</v>
      </c>
      <c r="I3384" s="12">
        <v>0</v>
      </c>
      <c r="J3384" s="11"/>
      <c r="K3384" s="12">
        <v>0</v>
      </c>
      <c r="L3384" s="10" t="str">
        <f t="shared" si="154"/>
        <v>LDM DR P2P Invite 12-Nov-26 v2 [digital]</v>
      </c>
      <c r="M3384" s="10" t="str">
        <f t="shared" si="155"/>
        <v>ldimambro@crm.otsuka-europe.com</v>
      </c>
      <c r="N3384" s="13">
        <v>46213.49019675926</v>
      </c>
      <c r="O3384" s="14" t="str">
        <f>HYPERLINK("https://otsuka-europe-crm.veevavault.com/ui/#object/email_activity__v/V8C000000047174", "EN-002104450")</f>
        <v>EN-002104450</v>
      </c>
    </row>
    <row r="3385" spans="1:15" ht="32" x14ac:dyDescent="0.2">
      <c r="A3385" s="7" t="str">
        <f>HYPERLINK("https://otsuka-europe-crm.veevavault.com/ui/#object/account__v/V4TZ0000062PC1V", "Shaimaa Aboelenien")</f>
        <v>Shaimaa Aboelenien</v>
      </c>
      <c r="B3385" s="7" t="str">
        <f t="shared" si="152"/>
        <v>GB</v>
      </c>
      <c r="C3385" s="8" t="s">
        <v>41</v>
      </c>
      <c r="D3385" s="9" t="str">
        <f t="shared" si="153"/>
        <v>LDM DR P2P Invite 12-Nov-26 v2 [digital]</v>
      </c>
      <c r="E3385" s="10" t="str">
        <f>HYPERLINK("https://otsuka-europe-crm.veevavault.com/ui/#object/sent_email__v/VBL000000035119", "SE-001443296")</f>
        <v>SE-001443296</v>
      </c>
      <c r="F3385" s="11"/>
      <c r="G3385" s="12">
        <v>0</v>
      </c>
      <c r="H3385" s="12">
        <v>0</v>
      </c>
      <c r="I3385" s="12">
        <v>0</v>
      </c>
      <c r="J3385" s="11"/>
      <c r="K3385" s="12">
        <v>0</v>
      </c>
      <c r="L3385" s="10" t="str">
        <f t="shared" si="154"/>
        <v>LDM DR P2P Invite 12-Nov-26 v2 [digital]</v>
      </c>
      <c r="M3385" s="10" t="str">
        <f t="shared" si="155"/>
        <v>ldimambro@crm.otsuka-europe.com</v>
      </c>
      <c r="N3385" s="13">
        <v>46213.490173611113</v>
      </c>
      <c r="O3385" s="14" t="str">
        <f>HYPERLINK("https://otsuka-europe-crm.veevavault.com/ui/#object/email_activity__v/V8C000000048111", "EN-002104438")</f>
        <v>EN-002104438</v>
      </c>
    </row>
    <row r="3386" spans="1:15" ht="16" x14ac:dyDescent="0.2">
      <c r="A3386" s="18" t="str">
        <f>HYPERLINK("https://otsuka-europe-crm.veevavault.com/ui/#object/account__v/V4TZ04ASG9BER97", "Taiwo Owoade")</f>
        <v>Taiwo Owoade</v>
      </c>
      <c r="B3386" s="18" t="str">
        <f t="shared" si="152"/>
        <v>GB</v>
      </c>
      <c r="C3386" s="20" t="s">
        <v>41</v>
      </c>
      <c r="D3386" s="21" t="str">
        <f t="shared" si="153"/>
        <v>LDM DR P2P Invite 12-Nov-26 v2 [digital]</v>
      </c>
      <c r="E3386" s="22" t="str">
        <f>HYPERLINK("https://otsuka-europe-crm.veevavault.com/ui/#object/sent_email__v/VBL000000035120", "SE-001443297")</f>
        <v>SE-001443297</v>
      </c>
      <c r="F3386" s="25">
        <v>46213.564259259256</v>
      </c>
      <c r="G3386" s="24">
        <v>1</v>
      </c>
      <c r="H3386" s="24">
        <v>1</v>
      </c>
      <c r="I3386" s="24">
        <v>0</v>
      </c>
      <c r="J3386" s="23"/>
      <c r="K3386" s="24">
        <v>0</v>
      </c>
      <c r="L3386" s="22" t="str">
        <f t="shared" si="154"/>
        <v>LDM DR P2P Invite 12-Nov-26 v2 [digital]</v>
      </c>
      <c r="M3386" s="22" t="str">
        <f t="shared" si="155"/>
        <v>ldimambro@crm.otsuka-europe.com</v>
      </c>
      <c r="N3386" s="25">
        <v>46213.490185185183</v>
      </c>
      <c r="O3386" s="14" t="str">
        <f>HYPERLINK("https://otsuka-europe-crm.veevavault.com/ui/#object/email_activity__v/V8C000000047171", "EN-002104447")</f>
        <v>EN-002104447</v>
      </c>
    </row>
    <row r="3387" spans="1:15" ht="16" x14ac:dyDescent="0.2">
      <c r="A3387" s="19"/>
      <c r="B3387" s="19"/>
      <c r="C3387" s="19"/>
      <c r="D3387" s="19"/>
      <c r="E3387" s="19"/>
      <c r="F3387" s="19"/>
      <c r="G3387" s="19"/>
      <c r="H3387" s="19"/>
      <c r="I3387" s="19"/>
      <c r="J3387" s="19"/>
      <c r="K3387" s="19"/>
      <c r="L3387" s="19"/>
      <c r="M3387" s="19"/>
      <c r="N3387" s="19"/>
      <c r="O3387" s="14" t="str">
        <f>HYPERLINK("https://otsuka-europe-crm.veevavault.com/ui/#object/email_activity__v/V8C000000048246", "EN-002104746")</f>
        <v>EN-002104746</v>
      </c>
    </row>
    <row r="3388" spans="1:15" ht="32" x14ac:dyDescent="0.2">
      <c r="A3388" s="7" t="str">
        <f>HYPERLINK("https://otsuka-europe-crm.veevavault.com/ui/#object/account__v/V4TZ06G6OBS5CBP", "Sadaf Uzair")</f>
        <v>Sadaf Uzair</v>
      </c>
      <c r="B3388" s="7" t="str">
        <f t="shared" ref="B3388:B3394" si="156">HYPERLINK("https://otsuka-europe-crm.veevavault.com/ui/#object/vcountry__v/VENZ000004SONFK", "GB")</f>
        <v>GB</v>
      </c>
      <c r="C3388" s="8" t="s">
        <v>41</v>
      </c>
      <c r="D3388" s="9" t="str">
        <f t="shared" ref="D3388:D3394" si="157">HYPERLINK("https://otsuka-europe-crm.veevavault.com/ui/#object/approved_document__v/V5O00000001V001", "LDM DR P2P Invite 12-Nov-26 v2 [digital]")</f>
        <v>LDM DR P2P Invite 12-Nov-26 v2 [digital]</v>
      </c>
      <c r="E3388" s="10" t="str">
        <f>HYPERLINK("https://otsuka-europe-crm.veevavault.com/ui/#object/sent_email__v/VBL000000035121", "SE-001443298")</f>
        <v>SE-001443298</v>
      </c>
      <c r="F3388" s="11"/>
      <c r="G3388" s="12">
        <v>0</v>
      </c>
      <c r="H3388" s="12">
        <v>0</v>
      </c>
      <c r="I3388" s="12">
        <v>0</v>
      </c>
      <c r="J3388" s="11"/>
      <c r="K3388" s="12">
        <v>0</v>
      </c>
      <c r="L3388" s="10" t="str">
        <f t="shared" ref="L3388:L3394" si="158">HYPERLINK("https://otsuka-europe-crm.veevavault.com/ui/#object/approved_document__v/V5O00000001V001", "LDM DR P2P Invite 12-Nov-26 v2 [digital]")</f>
        <v>LDM DR P2P Invite 12-Nov-26 v2 [digital]</v>
      </c>
      <c r="M3388" s="10" t="str">
        <f t="shared" ref="M3388:M3394" si="159">HYPERLINK("mailto:ldimambro@crm.otsuka-europe.com", "ldimambro@crm.otsuka-europe.com")</f>
        <v>ldimambro@crm.otsuka-europe.com</v>
      </c>
      <c r="N3388" s="13">
        <v>46213.490173611113</v>
      </c>
      <c r="O3388" s="14" t="str">
        <f>HYPERLINK("https://otsuka-europe-crm.veevavault.com/ui/#object/email_activity__v/V8C000000048118", "EN-002104457")</f>
        <v>EN-002104457</v>
      </c>
    </row>
    <row r="3389" spans="1:15" ht="32" x14ac:dyDescent="0.2">
      <c r="A3389" s="7" t="str">
        <f>HYPERLINK("https://otsuka-europe-crm.veevavault.com/ui/#object/account__v/V4TZ025E84UKC89", "Sakil Patel")</f>
        <v>Sakil Patel</v>
      </c>
      <c r="B3389" s="7" t="str">
        <f t="shared" si="156"/>
        <v>GB</v>
      </c>
      <c r="C3389" s="8" t="s">
        <v>41</v>
      </c>
      <c r="D3389" s="9" t="str">
        <f t="shared" si="157"/>
        <v>LDM DR P2P Invite 12-Nov-26 v2 [digital]</v>
      </c>
      <c r="E3389" s="10" t="str">
        <f>HYPERLINK("https://otsuka-europe-crm.veevavault.com/ui/#object/sent_email__v/VBL000000035122", "SE-001443299")</f>
        <v>SE-001443299</v>
      </c>
      <c r="F3389" s="11"/>
      <c r="G3389" s="12">
        <v>0</v>
      </c>
      <c r="H3389" s="12">
        <v>0</v>
      </c>
      <c r="I3389" s="12">
        <v>0</v>
      </c>
      <c r="J3389" s="11"/>
      <c r="K3389" s="12">
        <v>0</v>
      </c>
      <c r="L3389" s="10" t="str">
        <f t="shared" si="158"/>
        <v>LDM DR P2P Invite 12-Nov-26 v2 [digital]</v>
      </c>
      <c r="M3389" s="10" t="str">
        <f t="shared" si="159"/>
        <v>ldimambro@crm.otsuka-europe.com</v>
      </c>
      <c r="N3389" s="13">
        <v>46213.490173611113</v>
      </c>
      <c r="O3389" s="14" t="str">
        <f>HYPERLINK("https://otsuka-europe-crm.veevavault.com/ui/#object/email_activity__v/V8C000000048112", "EN-002104439")</f>
        <v>EN-002104439</v>
      </c>
    </row>
    <row r="3390" spans="1:15" ht="32" x14ac:dyDescent="0.2">
      <c r="A3390" s="7" t="str">
        <f>HYPERLINK("https://otsuka-europe-crm.veevavault.com/ui/#object/account__v/V4TZ0000062PB7S", "Suresh Wadhwani")</f>
        <v>Suresh Wadhwani</v>
      </c>
      <c r="B3390" s="7" t="str">
        <f t="shared" si="156"/>
        <v>GB</v>
      </c>
      <c r="C3390" s="8" t="s">
        <v>41</v>
      </c>
      <c r="D3390" s="9" t="str">
        <f t="shared" si="157"/>
        <v>LDM DR P2P Invite 12-Nov-26 v2 [digital]</v>
      </c>
      <c r="E3390" s="10" t="str">
        <f>HYPERLINK("https://otsuka-europe-crm.veevavault.com/ui/#object/sent_email__v/VBL000000035123", "SE-001443300")</f>
        <v>SE-001443300</v>
      </c>
      <c r="F3390" s="11"/>
      <c r="G3390" s="12">
        <v>0</v>
      </c>
      <c r="H3390" s="12">
        <v>0</v>
      </c>
      <c r="I3390" s="12">
        <v>0</v>
      </c>
      <c r="J3390" s="11"/>
      <c r="K3390" s="12">
        <v>0</v>
      </c>
      <c r="L3390" s="10" t="str">
        <f t="shared" si="158"/>
        <v>LDM DR P2P Invite 12-Nov-26 v2 [digital]</v>
      </c>
      <c r="M3390" s="10" t="str">
        <f t="shared" si="159"/>
        <v>ldimambro@crm.otsuka-europe.com</v>
      </c>
      <c r="N3390" s="13">
        <v>46213.490173611113</v>
      </c>
      <c r="O3390" s="14" t="str">
        <f>HYPERLINK("https://otsuka-europe-crm.veevavault.com/ui/#object/email_activity__v/V8C000000048128", "EN-002104467")</f>
        <v>EN-002104467</v>
      </c>
    </row>
    <row r="3391" spans="1:15" ht="32" x14ac:dyDescent="0.2">
      <c r="A3391" s="7" t="str">
        <f>HYPERLINK("https://otsuka-europe-crm.veevavault.com/ui/#object/account__v/V4TZ0000062PC5P", "Shereen Ali")</f>
        <v>Shereen Ali</v>
      </c>
      <c r="B3391" s="7" t="str">
        <f t="shared" si="156"/>
        <v>GB</v>
      </c>
      <c r="C3391" s="8" t="s">
        <v>41</v>
      </c>
      <c r="D3391" s="9" t="str">
        <f t="shared" si="157"/>
        <v>LDM DR P2P Invite 12-Nov-26 v2 [digital]</v>
      </c>
      <c r="E3391" s="10" t="str">
        <f>HYPERLINK("https://otsuka-europe-crm.veevavault.com/ui/#object/sent_email__v/VBL000000035124", "SE-001443301")</f>
        <v>SE-001443301</v>
      </c>
      <c r="F3391" s="11"/>
      <c r="G3391" s="12">
        <v>0</v>
      </c>
      <c r="H3391" s="12">
        <v>0</v>
      </c>
      <c r="I3391" s="12">
        <v>0</v>
      </c>
      <c r="J3391" s="11"/>
      <c r="K3391" s="12">
        <v>0</v>
      </c>
      <c r="L3391" s="10" t="str">
        <f t="shared" si="158"/>
        <v>LDM DR P2P Invite 12-Nov-26 v2 [digital]</v>
      </c>
      <c r="M3391" s="10" t="str">
        <f t="shared" si="159"/>
        <v>ldimambro@crm.otsuka-europe.com</v>
      </c>
      <c r="N3391" s="13">
        <v>46213.49019675926</v>
      </c>
      <c r="O3391" s="14" t="str">
        <f>HYPERLINK("https://otsuka-europe-crm.veevavault.com/ui/#object/email_activity__v/V8C000000047176", "EN-002104452")</f>
        <v>EN-002104452</v>
      </c>
    </row>
    <row r="3392" spans="1:15" ht="32" x14ac:dyDescent="0.2">
      <c r="A3392" s="7" t="str">
        <f>HYPERLINK("https://otsuka-europe-crm.veevavault.com/ui/#object/account__v/V4TZ0000062PE9M", "Sonali Gupta")</f>
        <v>Sonali Gupta</v>
      </c>
      <c r="B3392" s="7" t="str">
        <f t="shared" si="156"/>
        <v>GB</v>
      </c>
      <c r="C3392" s="8" t="s">
        <v>41</v>
      </c>
      <c r="D3392" s="9" t="str">
        <f t="shared" si="157"/>
        <v>LDM DR P2P Invite 12-Nov-26 v2 [digital]</v>
      </c>
      <c r="E3392" s="10" t="str">
        <f>HYPERLINK("https://otsuka-europe-crm.veevavault.com/ui/#object/sent_email__v/VBL000000035125", "SE-001443302")</f>
        <v>SE-001443302</v>
      </c>
      <c r="F3392" s="11"/>
      <c r="G3392" s="12">
        <v>0</v>
      </c>
      <c r="H3392" s="12">
        <v>0</v>
      </c>
      <c r="I3392" s="12">
        <v>0</v>
      </c>
      <c r="J3392" s="11"/>
      <c r="K3392" s="12">
        <v>0</v>
      </c>
      <c r="L3392" s="10" t="str">
        <f t="shared" si="158"/>
        <v>LDM DR P2P Invite 12-Nov-26 v2 [digital]</v>
      </c>
      <c r="M3392" s="10" t="str">
        <f t="shared" si="159"/>
        <v>ldimambro@crm.otsuka-europe.com</v>
      </c>
      <c r="N3392" s="13">
        <v>46213.490173611113</v>
      </c>
      <c r="O3392" s="14" t="str">
        <f>HYPERLINK("https://otsuka-europe-crm.veevavault.com/ui/#object/email_activity__v/V8C000000048122", "EN-002104461")</f>
        <v>EN-002104461</v>
      </c>
    </row>
    <row r="3393" spans="1:15" ht="32" x14ac:dyDescent="0.2">
      <c r="A3393" s="7" t="str">
        <f>HYPERLINK("https://otsuka-europe-crm.veevavault.com/ui/#object/account__v/V4TZ0000062PBCX", "Tin-Tin Toe")</f>
        <v>Tin-Tin Toe</v>
      </c>
      <c r="B3393" s="7" t="str">
        <f t="shared" si="156"/>
        <v>GB</v>
      </c>
      <c r="C3393" s="8" t="s">
        <v>41</v>
      </c>
      <c r="D3393" s="9" t="str">
        <f t="shared" si="157"/>
        <v>LDM DR P2P Invite 12-Nov-26 v2 [digital]</v>
      </c>
      <c r="E3393" s="10" t="str">
        <f>HYPERLINK("https://otsuka-europe-crm.veevavault.com/ui/#object/sent_email__v/VBL000000035126", "SE-001443303")</f>
        <v>SE-001443303</v>
      </c>
      <c r="F3393" s="11"/>
      <c r="G3393" s="12">
        <v>0</v>
      </c>
      <c r="H3393" s="12">
        <v>0</v>
      </c>
      <c r="I3393" s="12">
        <v>0</v>
      </c>
      <c r="J3393" s="11"/>
      <c r="K3393" s="12">
        <v>0</v>
      </c>
      <c r="L3393" s="10" t="str">
        <f t="shared" si="158"/>
        <v>LDM DR P2P Invite 12-Nov-26 v2 [digital]</v>
      </c>
      <c r="M3393" s="10" t="str">
        <f t="shared" si="159"/>
        <v>ldimambro@crm.otsuka-europe.com</v>
      </c>
      <c r="N3393" s="13">
        <v>46213.490173611113</v>
      </c>
      <c r="O3393" s="14" t="str">
        <f>HYPERLINK("https://otsuka-europe-crm.veevavault.com/ui/#object/email_activity__v/V8C000000048124", "EN-002104463")</f>
        <v>EN-002104463</v>
      </c>
    </row>
    <row r="3394" spans="1:15" ht="16" x14ac:dyDescent="0.2">
      <c r="A3394" s="18" t="str">
        <f>HYPERLINK("https://otsuka-europe-crm.veevavault.com/ui/#object/account__v/V4TZ04ASG9ME5U0", "Tracy Olu-Awoniyi")</f>
        <v>Tracy Olu-Awoniyi</v>
      </c>
      <c r="B3394" s="18" t="str">
        <f t="shared" si="156"/>
        <v>GB</v>
      </c>
      <c r="C3394" s="20" t="s">
        <v>41</v>
      </c>
      <c r="D3394" s="21" t="str">
        <f t="shared" si="157"/>
        <v>LDM DR P2P Invite 12-Nov-26 v2 [digital]</v>
      </c>
      <c r="E3394" s="22" t="str">
        <f>HYPERLINK("https://otsuka-europe-crm.veevavault.com/ui/#object/sent_email__v/VBL000000035127", "SE-001443304")</f>
        <v>SE-001443304</v>
      </c>
      <c r="F3394" s="25">
        <v>46216.455752314818</v>
      </c>
      <c r="G3394" s="24">
        <v>1</v>
      </c>
      <c r="H3394" s="24">
        <v>3</v>
      </c>
      <c r="I3394" s="24">
        <v>0</v>
      </c>
      <c r="J3394" s="23"/>
      <c r="K3394" s="24">
        <v>0</v>
      </c>
      <c r="L3394" s="22" t="str">
        <f t="shared" si="158"/>
        <v>LDM DR P2P Invite 12-Nov-26 v2 [digital]</v>
      </c>
      <c r="M3394" s="22" t="str">
        <f t="shared" si="159"/>
        <v>ldimambro@crm.otsuka-europe.com</v>
      </c>
      <c r="N3394" s="25">
        <v>46213.490173611113</v>
      </c>
      <c r="O3394" s="14" t="str">
        <f>HYPERLINK("https://otsuka-europe-crm.veevavault.com/ui/#object/email_activity__v/V8C000000048113", "EN-002104440")</f>
        <v>EN-002104440</v>
      </c>
    </row>
    <row r="3395" spans="1:15" ht="16" x14ac:dyDescent="0.2">
      <c r="A3395" s="26"/>
      <c r="B3395" s="26"/>
      <c r="C3395" s="26"/>
      <c r="D3395" s="26"/>
      <c r="E3395" s="26"/>
      <c r="F3395" s="26"/>
      <c r="G3395" s="26"/>
      <c r="H3395" s="26"/>
      <c r="I3395" s="26"/>
      <c r="J3395" s="26"/>
      <c r="K3395" s="26"/>
      <c r="L3395" s="26"/>
      <c r="M3395" s="26"/>
      <c r="N3395" s="26"/>
      <c r="O3395" s="14" t="str">
        <f>HYPERLINK("https://otsuka-europe-crm.veevavault.com/ui/#object/email_activity__v/V8C000000048136", "EN-002104480")</f>
        <v>EN-002104480</v>
      </c>
    </row>
    <row r="3396" spans="1:15" ht="16" x14ac:dyDescent="0.2">
      <c r="A3396" s="26"/>
      <c r="B3396" s="26"/>
      <c r="C3396" s="26"/>
      <c r="D3396" s="26"/>
      <c r="E3396" s="26"/>
      <c r="F3396" s="26"/>
      <c r="G3396" s="26"/>
      <c r="H3396" s="26"/>
      <c r="I3396" s="26"/>
      <c r="J3396" s="26"/>
      <c r="K3396" s="26"/>
      <c r="L3396" s="26"/>
      <c r="M3396" s="26"/>
      <c r="N3396" s="26"/>
      <c r="O3396" s="14" t="str">
        <f>HYPERLINK("https://otsuka-europe-crm.veevavault.com/ui/#object/email_activity__v/V8C000000048259", "EN-002104773")</f>
        <v>EN-002104773</v>
      </c>
    </row>
    <row r="3397" spans="1:15" ht="16" x14ac:dyDescent="0.2">
      <c r="A3397" s="19"/>
      <c r="B3397" s="19"/>
      <c r="C3397" s="19"/>
      <c r="D3397" s="19"/>
      <c r="E3397" s="19"/>
      <c r="F3397" s="19"/>
      <c r="G3397" s="19"/>
      <c r="H3397" s="19"/>
      <c r="I3397" s="19"/>
      <c r="J3397" s="19"/>
      <c r="K3397" s="19"/>
      <c r="L3397" s="19"/>
      <c r="M3397" s="19"/>
      <c r="N3397" s="19"/>
      <c r="O3397" s="14" t="str">
        <f>HYPERLINK("https://otsuka-europe-crm.veevavault.com/ui/#object/email_activity__v/V8C000000049329", "EN-002105464")</f>
        <v>EN-002105464</v>
      </c>
    </row>
    <row r="3398" spans="1:15" ht="16" x14ac:dyDescent="0.2">
      <c r="A3398" s="18" t="str">
        <f>HYPERLINK("https://otsuka-europe-crm.veevavault.com/ui/#object/account__v/V4TZ04ASG6LG3VN", "Soy Cheriyan")</f>
        <v>Soy Cheriyan</v>
      </c>
      <c r="B3398" s="18" t="str">
        <f>HYPERLINK("https://otsuka-europe-crm.veevavault.com/ui/#object/vcountry__v/VENZ000004SONFK", "GB")</f>
        <v>GB</v>
      </c>
      <c r="C3398" s="20" t="s">
        <v>41</v>
      </c>
      <c r="D3398" s="21" t="str">
        <f>HYPERLINK("https://otsuka-europe-crm.veevavault.com/ui/#object/approved_document__v/V5O00000001V001", "LDM DR P2P Invite 12-Nov-26 v2 [digital]")</f>
        <v>LDM DR P2P Invite 12-Nov-26 v2 [digital]</v>
      </c>
      <c r="E3398" s="22" t="str">
        <f>HYPERLINK("https://otsuka-europe-crm.veevavault.com/ui/#object/sent_email__v/VBL000000035128", "SE-001443305")</f>
        <v>SE-001443305</v>
      </c>
      <c r="F3398" s="25">
        <v>46213.594259259262</v>
      </c>
      <c r="G3398" s="24">
        <v>1</v>
      </c>
      <c r="H3398" s="24">
        <v>1</v>
      </c>
      <c r="I3398" s="24">
        <v>0</v>
      </c>
      <c r="J3398" s="23"/>
      <c r="K3398" s="24">
        <v>0</v>
      </c>
      <c r="L3398" s="22" t="str">
        <f>HYPERLINK("https://otsuka-europe-crm.veevavault.com/ui/#object/approved_document__v/V5O00000001V001", "LDM DR P2P Invite 12-Nov-26 v2 [digital]")</f>
        <v>LDM DR P2P Invite 12-Nov-26 v2 [digital]</v>
      </c>
      <c r="M3398" s="22" t="str">
        <f>HYPERLINK("mailto:ldimambro@crm.otsuka-europe.com", "ldimambro@crm.otsuka-europe.com")</f>
        <v>ldimambro@crm.otsuka-europe.com</v>
      </c>
      <c r="N3398" s="25">
        <v>46213.490185185183</v>
      </c>
      <c r="O3398" s="14" t="str">
        <f>HYPERLINK("https://otsuka-europe-crm.veevavault.com/ui/#object/email_activity__v/V8C000000047170", "EN-002104446")</f>
        <v>EN-002104446</v>
      </c>
    </row>
    <row r="3399" spans="1:15" ht="16" x14ac:dyDescent="0.2">
      <c r="A3399" s="19"/>
      <c r="B3399" s="19"/>
      <c r="C3399" s="19"/>
      <c r="D3399" s="19"/>
      <c r="E3399" s="19"/>
      <c r="F3399" s="19"/>
      <c r="G3399" s="19"/>
      <c r="H3399" s="19"/>
      <c r="I3399" s="19"/>
      <c r="J3399" s="19"/>
      <c r="K3399" s="19"/>
      <c r="L3399" s="19"/>
      <c r="M3399" s="19"/>
      <c r="N3399" s="19"/>
      <c r="O3399" s="14" t="str">
        <f>HYPERLINK("https://otsuka-europe-crm.veevavault.com/ui/#object/email_activity__v/V8C000000047349", "EN-002104766")</f>
        <v>EN-002104766</v>
      </c>
    </row>
    <row r="3400" spans="1:15" ht="32" x14ac:dyDescent="0.2">
      <c r="A3400" s="7" t="str">
        <f>HYPERLINK("https://otsuka-europe-crm.veevavault.com/ui/#object/account__v/V4TZ04ASG79QB1E", "Sujeeththa Sivakanthan")</f>
        <v>Sujeeththa Sivakanthan</v>
      </c>
      <c r="B3400" s="7" t="str">
        <f t="shared" ref="B3400:B3406" si="160">HYPERLINK("https://otsuka-europe-crm.veevavault.com/ui/#object/vcountry__v/VENZ000004SONFK", "GB")</f>
        <v>GB</v>
      </c>
      <c r="C3400" s="8" t="s">
        <v>41</v>
      </c>
      <c r="D3400" s="9" t="str">
        <f t="shared" ref="D3400:D3406" si="161">HYPERLINK("https://otsuka-europe-crm.veevavault.com/ui/#object/approved_document__v/V5O00000001V001", "LDM DR P2P Invite 12-Nov-26 v2 [digital]")</f>
        <v>LDM DR P2P Invite 12-Nov-26 v2 [digital]</v>
      </c>
      <c r="E3400" s="10" t="str">
        <f>HYPERLINK("https://otsuka-europe-crm.veevavault.com/ui/#object/sent_email__v/VBL000000035129", "SE-001443306")</f>
        <v>SE-001443306</v>
      </c>
      <c r="F3400" s="11"/>
      <c r="G3400" s="12">
        <v>0</v>
      </c>
      <c r="H3400" s="12">
        <v>0</v>
      </c>
      <c r="I3400" s="12">
        <v>0</v>
      </c>
      <c r="J3400" s="11"/>
      <c r="K3400" s="12">
        <v>0</v>
      </c>
      <c r="L3400" s="10" t="str">
        <f t="shared" ref="L3400:L3406" si="162">HYPERLINK("https://otsuka-europe-crm.veevavault.com/ui/#object/approved_document__v/V5O00000001V001", "LDM DR P2P Invite 12-Nov-26 v2 [digital]")</f>
        <v>LDM DR P2P Invite 12-Nov-26 v2 [digital]</v>
      </c>
      <c r="M3400" s="10" t="str">
        <f t="shared" ref="M3400:M3406" si="163">HYPERLINK("mailto:ldimambro@crm.otsuka-europe.com", "ldimambro@crm.otsuka-europe.com")</f>
        <v>ldimambro@crm.otsuka-europe.com</v>
      </c>
      <c r="N3400" s="13">
        <v>46213.490081018521</v>
      </c>
      <c r="O3400" s="14" t="str">
        <f>HYPERLINK("https://otsuka-europe-crm.veevavault.com/ui/#object/email_activity__v/V8C000000048107", "EN-002104434")</f>
        <v>EN-002104434</v>
      </c>
    </row>
    <row r="3401" spans="1:15" ht="32" x14ac:dyDescent="0.2">
      <c r="A3401" s="7" t="str">
        <f>HYPERLINK("https://otsuka-europe-crm.veevavault.com/ui/#object/account__v/V4TZ025E87N4O96", "Simona Ionita")</f>
        <v>Simona Ionita</v>
      </c>
      <c r="B3401" s="7" t="str">
        <f t="shared" si="160"/>
        <v>GB</v>
      </c>
      <c r="C3401" s="8" t="s">
        <v>41</v>
      </c>
      <c r="D3401" s="9" t="str">
        <f t="shared" si="161"/>
        <v>LDM DR P2P Invite 12-Nov-26 v2 [digital]</v>
      </c>
      <c r="E3401" s="10" t="str">
        <f>HYPERLINK("https://otsuka-europe-crm.veevavault.com/ui/#object/sent_email__v/VBL000000035130", "SE-001443307")</f>
        <v>SE-001443307</v>
      </c>
      <c r="F3401" s="11"/>
      <c r="G3401" s="12">
        <v>0</v>
      </c>
      <c r="H3401" s="12">
        <v>0</v>
      </c>
      <c r="I3401" s="12">
        <v>0</v>
      </c>
      <c r="J3401" s="11"/>
      <c r="K3401" s="12">
        <v>0</v>
      </c>
      <c r="L3401" s="10" t="str">
        <f t="shared" si="162"/>
        <v>LDM DR P2P Invite 12-Nov-26 v2 [digital]</v>
      </c>
      <c r="M3401" s="10" t="str">
        <f t="shared" si="163"/>
        <v>ldimambro@crm.otsuka-europe.com</v>
      </c>
      <c r="N3401" s="13">
        <v>46213.490185185183</v>
      </c>
      <c r="O3401" s="14" t="str">
        <f>HYPERLINK("https://otsuka-europe-crm.veevavault.com/ui/#object/email_activity__v/V8C000000047167", "EN-002104442")</f>
        <v>EN-002104442</v>
      </c>
    </row>
    <row r="3402" spans="1:15" ht="32" x14ac:dyDescent="0.2">
      <c r="A3402" s="7" t="str">
        <f>HYPERLINK("https://otsuka-europe-crm.veevavault.com/ui/#object/account__v/V4TZ04ASG6LG3VP", "Sony Kondamudi")</f>
        <v>Sony Kondamudi</v>
      </c>
      <c r="B3402" s="7" t="str">
        <f t="shared" si="160"/>
        <v>GB</v>
      </c>
      <c r="C3402" s="8" t="s">
        <v>41</v>
      </c>
      <c r="D3402" s="9" t="str">
        <f t="shared" si="161"/>
        <v>LDM DR P2P Invite 12-Nov-26 v2 [digital]</v>
      </c>
      <c r="E3402" s="10" t="str">
        <f>HYPERLINK("https://otsuka-europe-crm.veevavault.com/ui/#object/sent_email__v/VBL000000035131", "SE-001443308")</f>
        <v>SE-001443308</v>
      </c>
      <c r="F3402" s="11"/>
      <c r="G3402" s="12">
        <v>0</v>
      </c>
      <c r="H3402" s="12">
        <v>0</v>
      </c>
      <c r="I3402" s="12">
        <v>0</v>
      </c>
      <c r="J3402" s="11"/>
      <c r="K3402" s="12">
        <v>0</v>
      </c>
      <c r="L3402" s="10" t="str">
        <f t="shared" si="162"/>
        <v>LDM DR P2P Invite 12-Nov-26 v2 [digital]</v>
      </c>
      <c r="M3402" s="10" t="str">
        <f t="shared" si="163"/>
        <v>ldimambro@crm.otsuka-europe.com</v>
      </c>
      <c r="N3402" s="13">
        <v>46213.490173611113</v>
      </c>
      <c r="O3402" s="14" t="str">
        <f>HYPERLINK("https://otsuka-europe-crm.veevavault.com/ui/#object/email_activity__v/V8C000000047178", "EN-002104468")</f>
        <v>EN-002104468</v>
      </c>
    </row>
    <row r="3403" spans="1:15" ht="32" x14ac:dyDescent="0.2">
      <c r="A3403" s="7" t="str">
        <f>HYPERLINK("https://otsuka-europe-crm.veevavault.com/ui/#object/account__v/V4TZ0000062PF17", "Samina Karamat")</f>
        <v>Samina Karamat</v>
      </c>
      <c r="B3403" s="7" t="str">
        <f t="shared" si="160"/>
        <v>GB</v>
      </c>
      <c r="C3403" s="8" t="s">
        <v>41</v>
      </c>
      <c r="D3403" s="9" t="str">
        <f t="shared" si="161"/>
        <v>LDM DR P2P Invite 12-Nov-26 v2 [digital]</v>
      </c>
      <c r="E3403" s="10" t="str">
        <f>HYPERLINK("https://otsuka-europe-crm.veevavault.com/ui/#object/sent_email__v/VBL000000035132", "SE-001443309")</f>
        <v>SE-001443309</v>
      </c>
      <c r="F3403" s="11"/>
      <c r="G3403" s="12">
        <v>0</v>
      </c>
      <c r="H3403" s="12">
        <v>0</v>
      </c>
      <c r="I3403" s="12">
        <v>0</v>
      </c>
      <c r="J3403" s="11"/>
      <c r="K3403" s="12">
        <v>0</v>
      </c>
      <c r="L3403" s="10" t="str">
        <f t="shared" si="162"/>
        <v>LDM DR P2P Invite 12-Nov-26 v2 [digital]</v>
      </c>
      <c r="M3403" s="10" t="str">
        <f t="shared" si="163"/>
        <v>ldimambro@crm.otsuka-europe.com</v>
      </c>
      <c r="N3403" s="13">
        <v>46213.490173611113</v>
      </c>
      <c r="O3403" s="14" t="str">
        <f>HYPERLINK("https://otsuka-europe-crm.veevavault.com/ui/#object/email_activity__v/V8C000000048115", "EN-002104454")</f>
        <v>EN-002104454</v>
      </c>
    </row>
    <row r="3404" spans="1:15" ht="32" x14ac:dyDescent="0.2">
      <c r="A3404" s="7" t="str">
        <f>HYPERLINK("https://otsuka-europe-crm.veevavault.com/ui/#object/account__v/V4T00000000O214", "Ruth Goodness Favour")</f>
        <v>Ruth Goodness Favour</v>
      </c>
      <c r="B3404" s="7" t="str">
        <f t="shared" si="160"/>
        <v>GB</v>
      </c>
      <c r="C3404" s="8" t="s">
        <v>41</v>
      </c>
      <c r="D3404" s="9" t="str">
        <f t="shared" si="161"/>
        <v>LDM DR P2P Invite 12-Nov-26 v2 [digital]</v>
      </c>
      <c r="E3404" s="10" t="str">
        <f>HYPERLINK("https://otsuka-europe-crm.veevavault.com/ui/#object/sent_email__v/VBL000000035133", "SE-001443310")</f>
        <v>SE-001443310</v>
      </c>
      <c r="F3404" s="11"/>
      <c r="G3404" s="12">
        <v>0</v>
      </c>
      <c r="H3404" s="12">
        <v>0</v>
      </c>
      <c r="I3404" s="12">
        <v>0</v>
      </c>
      <c r="J3404" s="11"/>
      <c r="K3404" s="12">
        <v>0</v>
      </c>
      <c r="L3404" s="10" t="str">
        <f t="shared" si="162"/>
        <v>LDM DR P2P Invite 12-Nov-26 v2 [digital]</v>
      </c>
      <c r="M3404" s="10" t="str">
        <f t="shared" si="163"/>
        <v>ldimambro@crm.otsuka-europe.com</v>
      </c>
      <c r="N3404" s="13">
        <v>46213.490173611113</v>
      </c>
      <c r="O3404" s="14" t="str">
        <f>HYPERLINK("https://otsuka-europe-crm.veevavault.com/ui/#object/email_activity__v/V8C000000047180", "EN-002104470")</f>
        <v>EN-002104470</v>
      </c>
    </row>
    <row r="3405" spans="1:15" ht="32" x14ac:dyDescent="0.2">
      <c r="A3405" s="7" t="str">
        <f>HYPERLINK("https://otsuka-europe-crm.veevavault.com/ui/#object/account__v/V4TZ04ASGEOTPKY", "Taiwo Oladele")</f>
        <v>Taiwo Oladele</v>
      </c>
      <c r="B3405" s="7" t="str">
        <f t="shared" si="160"/>
        <v>GB</v>
      </c>
      <c r="C3405" s="8" t="s">
        <v>41</v>
      </c>
      <c r="D3405" s="9" t="str">
        <f t="shared" si="161"/>
        <v>LDM DR P2P Invite 12-Nov-26 v2 [digital]</v>
      </c>
      <c r="E3405" s="10" t="str">
        <f>HYPERLINK("https://otsuka-europe-crm.veevavault.com/ui/#object/sent_email__v/VBL000000035134", "SE-001443311")</f>
        <v>SE-001443311</v>
      </c>
      <c r="F3405" s="11"/>
      <c r="G3405" s="12">
        <v>0</v>
      </c>
      <c r="H3405" s="12">
        <v>0</v>
      </c>
      <c r="I3405" s="12">
        <v>0</v>
      </c>
      <c r="J3405" s="11"/>
      <c r="K3405" s="12">
        <v>0</v>
      </c>
      <c r="L3405" s="10" t="str">
        <f t="shared" si="162"/>
        <v>LDM DR P2P Invite 12-Nov-26 v2 [digital]</v>
      </c>
      <c r="M3405" s="10" t="str">
        <f t="shared" si="163"/>
        <v>ldimambro@crm.otsuka-europe.com</v>
      </c>
      <c r="N3405" s="13">
        <v>46213.490173611113</v>
      </c>
      <c r="O3405" s="14" t="str">
        <f>HYPERLINK("https://otsuka-europe-crm.veevavault.com/ui/#object/email_activity__v/V8C000000048116", "EN-002104455")</f>
        <v>EN-002104455</v>
      </c>
    </row>
    <row r="3406" spans="1:15" ht="32" x14ac:dyDescent="0.2">
      <c r="A3406" s="7" t="str">
        <f>HYPERLINK("https://otsuka-europe-crm.veevavault.com/ui/#object/account__v/V4TZ06G6OCEV3AH", "Sophie Taylor")</f>
        <v>Sophie Taylor</v>
      </c>
      <c r="B3406" s="7" t="str">
        <f t="shared" si="160"/>
        <v>GB</v>
      </c>
      <c r="C3406" s="8" t="s">
        <v>41</v>
      </c>
      <c r="D3406" s="9" t="str">
        <f t="shared" si="161"/>
        <v>LDM DR P2P Invite 12-Nov-26 v2 [digital]</v>
      </c>
      <c r="E3406" s="10" t="str">
        <f>HYPERLINK("https://otsuka-europe-crm.veevavault.com/ui/#object/sent_email__v/VBL000000035135", "SE-001443312")</f>
        <v>SE-001443312</v>
      </c>
      <c r="F3406" s="11"/>
      <c r="G3406" s="12">
        <v>0</v>
      </c>
      <c r="H3406" s="12">
        <v>0</v>
      </c>
      <c r="I3406" s="12">
        <v>0</v>
      </c>
      <c r="J3406" s="11"/>
      <c r="K3406" s="12">
        <v>0</v>
      </c>
      <c r="L3406" s="10" t="str">
        <f t="shared" si="162"/>
        <v>LDM DR P2P Invite 12-Nov-26 v2 [digital]</v>
      </c>
      <c r="M3406" s="10" t="str">
        <f t="shared" si="163"/>
        <v>ldimambro@crm.otsuka-europe.com</v>
      </c>
      <c r="N3406" s="13">
        <v>46213.490173611113</v>
      </c>
      <c r="O3406" s="14" t="str">
        <f>HYPERLINK("https://otsuka-europe-crm.veevavault.com/ui/#object/email_activity__v/V8C000000048131", "EN-002104474")</f>
        <v>EN-002104474</v>
      </c>
    </row>
    <row r="3407" spans="1:15" ht="16" x14ac:dyDescent="0.2">
      <c r="A3407" s="18" t="str">
        <f>HYPERLINK("https://otsuka-europe-crm.veevavault.com/ui/#object/account__v/V4TZ06G6O9UXRTB", "FRANCESCA ROSARIA GIORDANO")</f>
        <v>FRANCESCA ROSARIA GIORDANO</v>
      </c>
      <c r="B3407" s="18" t="str">
        <f>HYPERLINK("https://otsuka-europe-crm.veevavault.com/ui/#object/vcountry__v/VENZ000004SONFQ", "IT")</f>
        <v>IT</v>
      </c>
      <c r="C3407" s="20" t="s">
        <v>42</v>
      </c>
      <c r="D3407" s="21" t="str">
        <f>HYPERLINK("https://otsuka-europe-crm.veevavault.com/ui/#object/approved_document__v/V5OZ025E82JJ7FL", "NL AE HCP Portal")</f>
        <v>NL AE HCP Portal</v>
      </c>
      <c r="E3407" s="22" t="str">
        <f>HYPERLINK("https://otsuka-europe-crm.veevavault.com/ui/#object/sent_email__v/VBL000000036067", "SE-001443313")</f>
        <v>SE-001443313</v>
      </c>
      <c r="F3407" s="25">
        <v>46214.595150462963</v>
      </c>
      <c r="G3407" s="24">
        <v>1</v>
      </c>
      <c r="H3407" s="24">
        <v>3</v>
      </c>
      <c r="I3407" s="24">
        <v>0</v>
      </c>
      <c r="J3407" s="23"/>
      <c r="K3407" s="24">
        <v>0</v>
      </c>
      <c r="L3407" s="22" t="str">
        <f>HYPERLINK("https://otsuka-europe-crm.veevavault.com/ui/#object/approved_document__v/V5OZ025E82JJ7FL", "NL AE HCP Portal")</f>
        <v>NL AE HCP Portal</v>
      </c>
      <c r="M3407" s="22" t="str">
        <f>HYPERLINK("mailto:laura.mallia@crm.otsuka-europe.com", "laura.mallia@crm.otsuka-europe.com")</f>
        <v>laura.mallia@crm.otsuka-europe.com</v>
      </c>
      <c r="N3407" s="25">
        <v>46213.493703703702</v>
      </c>
      <c r="O3407" s="14" t="str">
        <f>HYPERLINK("https://otsuka-europe-crm.veevavault.com/ui/#object/email_activity__v/V8C000000047183", "EN-002104485")</f>
        <v>EN-002104485</v>
      </c>
    </row>
    <row r="3408" spans="1:15" ht="16" x14ac:dyDescent="0.2">
      <c r="A3408" s="26"/>
      <c r="B3408" s="26"/>
      <c r="C3408" s="26"/>
      <c r="D3408" s="26"/>
      <c r="E3408" s="26"/>
      <c r="F3408" s="26"/>
      <c r="G3408" s="26"/>
      <c r="H3408" s="26"/>
      <c r="I3408" s="26"/>
      <c r="J3408" s="26"/>
      <c r="K3408" s="26"/>
      <c r="L3408" s="26"/>
      <c r="M3408" s="26"/>
      <c r="N3408" s="26"/>
      <c r="O3408" s="14" t="str">
        <f>HYPERLINK("https://otsuka-europe-crm.veevavault.com/ui/#object/email_activity__v/V8C000000047184", "EN-002104486")</f>
        <v>EN-002104486</v>
      </c>
    </row>
    <row r="3409" spans="1:15" ht="16" x14ac:dyDescent="0.2">
      <c r="A3409" s="26"/>
      <c r="B3409" s="26"/>
      <c r="C3409" s="26"/>
      <c r="D3409" s="26"/>
      <c r="E3409" s="26"/>
      <c r="F3409" s="26"/>
      <c r="G3409" s="26"/>
      <c r="H3409" s="26"/>
      <c r="I3409" s="26"/>
      <c r="J3409" s="26"/>
      <c r="K3409" s="26"/>
      <c r="L3409" s="26"/>
      <c r="M3409" s="26"/>
      <c r="N3409" s="26"/>
      <c r="O3409" s="14" t="str">
        <f>HYPERLINK("https://otsuka-europe-crm.veevavault.com/ui/#object/email_activity__v/V8C000000047195", "EN-002104497")</f>
        <v>EN-002104497</v>
      </c>
    </row>
    <row r="3410" spans="1:15" ht="16" x14ac:dyDescent="0.2">
      <c r="A3410" s="19"/>
      <c r="B3410" s="19"/>
      <c r="C3410" s="19"/>
      <c r="D3410" s="19"/>
      <c r="E3410" s="19"/>
      <c r="F3410" s="19"/>
      <c r="G3410" s="19"/>
      <c r="H3410" s="19"/>
      <c r="I3410" s="19"/>
      <c r="J3410" s="19"/>
      <c r="K3410" s="19"/>
      <c r="L3410" s="19"/>
      <c r="M3410" s="19"/>
      <c r="N3410" s="19"/>
      <c r="O3410" s="14" t="str">
        <f>HYPERLINK("https://otsuka-europe-crm.veevavault.com/ui/#object/email_activity__v/V8C000000049019", "EN-002104905")</f>
        <v>EN-002104905</v>
      </c>
    </row>
    <row r="3411" spans="1:15" ht="32" x14ac:dyDescent="0.2">
      <c r="A3411" s="7" t="str">
        <f>HYPERLINK("https://otsuka-europe-crm.veevavault.com/ui/#object/account__v/V4TZ0000062PGTV", "Amer Mukhtar")</f>
        <v>Amer Mukhtar</v>
      </c>
      <c r="B3411" s="7" t="str">
        <f>HYPERLINK("https://otsuka-europe-crm.veevavault.com/ui/#object/vcountry__v/VENZ000004SONFK", "GB")</f>
        <v>GB</v>
      </c>
      <c r="C3411" s="8" t="s">
        <v>41</v>
      </c>
      <c r="D3411" s="9" t="str">
        <f>HYPERLINK("https://otsuka-europe-crm.veevavault.com/ui/#object/approved_document__v/V5O00000000D081", "UK - Consent Email 1 Aug 25")</f>
        <v>UK - Consent Email 1 Aug 25</v>
      </c>
      <c r="E3411" s="10" t="str">
        <f>HYPERLINK("https://otsuka-europe-crm.veevavault.com/ui/#object/sent_email__v/VBL000000035136", "SE-001443314")</f>
        <v>SE-001443314</v>
      </c>
      <c r="F3411" s="11"/>
      <c r="G3411" s="12">
        <v>0</v>
      </c>
      <c r="H3411" s="12">
        <v>0</v>
      </c>
      <c r="I3411" s="12">
        <v>0</v>
      </c>
      <c r="J3411" s="11"/>
      <c r="K3411" s="12">
        <v>0</v>
      </c>
      <c r="L3411" s="10" t="str">
        <f>HYPERLINK("https://otsuka-europe-crm.veevavault.com/ui/#object/approved_document__v/V5O00000000D081", "UK - Consent Email 1 Aug 25")</f>
        <v>UK - Consent Email 1 Aug 25</v>
      </c>
      <c r="M3411" s="10" t="str">
        <f>HYPERLINK("mailto:ldimambro@crm.otsuka-europe.com", "ldimambro@crm.otsuka-europe.com")</f>
        <v>ldimambro@crm.otsuka-europe.com</v>
      </c>
      <c r="N3411" s="13">
        <v>46213.493773148148</v>
      </c>
      <c r="O3411" s="14" t="str">
        <f>HYPERLINK("https://otsuka-europe-crm.veevavault.com/ui/#object/email_activity__v/V8C000000047185", "EN-002104487")</f>
        <v>EN-002104487</v>
      </c>
    </row>
    <row r="3412" spans="1:15" ht="16" x14ac:dyDescent="0.2">
      <c r="A3412" s="18" t="str">
        <f>HYPERLINK("https://otsuka-europe-crm.veevavault.com/ui/#object/account__v/V4TZ025E82G9G06", "Shayanti Chaudhuri")</f>
        <v>Shayanti Chaudhuri</v>
      </c>
      <c r="B3412" s="18" t="str">
        <f>HYPERLINK("https://otsuka-europe-crm.veevavault.com/ui/#object/vcountry__v/VENZ000004SONFK", "GB")</f>
        <v>GB</v>
      </c>
      <c r="C3412" s="20" t="s">
        <v>41</v>
      </c>
      <c r="D3412" s="21" t="str">
        <f>HYPERLINK("https://otsuka-europe-crm.veevavault.com/ui/#object/approved_document__v/V5O00000001V001", "LDM DR P2P Invite 12-Nov-26 v2 [digital]")</f>
        <v>LDM DR P2P Invite 12-Nov-26 v2 [digital]</v>
      </c>
      <c r="E3412" s="22" t="str">
        <f>HYPERLINK("https://otsuka-europe-crm.veevavault.com/ui/#object/sent_email__v/VBL000000036068", "SE-001443315")</f>
        <v>SE-001443315</v>
      </c>
      <c r="F3412" s="25">
        <v>46216.393657407411</v>
      </c>
      <c r="G3412" s="24">
        <v>1</v>
      </c>
      <c r="H3412" s="24">
        <v>6</v>
      </c>
      <c r="I3412" s="24">
        <v>0</v>
      </c>
      <c r="J3412" s="23"/>
      <c r="K3412" s="24">
        <v>0</v>
      </c>
      <c r="L3412" s="22" t="str">
        <f>HYPERLINK("https://otsuka-europe-crm.veevavault.com/ui/#object/approved_document__v/V5O00000001V001", "LDM DR P2P Invite 12-Nov-26 v2 [digital]")</f>
        <v>LDM DR P2P Invite 12-Nov-26 v2 [digital]</v>
      </c>
      <c r="M3412" s="22" t="str">
        <f>HYPERLINK("mailto:ldimambro@crm.otsuka-europe.com", "ldimambro@crm.otsuka-europe.com")</f>
        <v>ldimambro@crm.otsuka-europe.com</v>
      </c>
      <c r="N3412" s="25">
        <v>46213.496481481481</v>
      </c>
      <c r="O3412" s="14" t="str">
        <f>HYPERLINK("https://otsuka-europe-crm.veevavault.com/ui/#object/email_activity__v/V8C000000047189", "EN-002104491")</f>
        <v>EN-002104491</v>
      </c>
    </row>
    <row r="3413" spans="1:15" ht="16" x14ac:dyDescent="0.2">
      <c r="A3413" s="26"/>
      <c r="B3413" s="26"/>
      <c r="C3413" s="26"/>
      <c r="D3413" s="26"/>
      <c r="E3413" s="26"/>
      <c r="F3413" s="26"/>
      <c r="G3413" s="26"/>
      <c r="H3413" s="26"/>
      <c r="I3413" s="26"/>
      <c r="J3413" s="26"/>
      <c r="K3413" s="26"/>
      <c r="L3413" s="26"/>
      <c r="M3413" s="26"/>
      <c r="N3413" s="26"/>
      <c r="O3413" s="14" t="str">
        <f>HYPERLINK("https://otsuka-europe-crm.veevavault.com/ui/#object/email_activity__v/V8C000000049055", "EN-002104976")</f>
        <v>EN-002104976</v>
      </c>
    </row>
    <row r="3414" spans="1:15" ht="16" x14ac:dyDescent="0.2">
      <c r="A3414" s="26"/>
      <c r="B3414" s="26"/>
      <c r="C3414" s="26"/>
      <c r="D3414" s="26"/>
      <c r="E3414" s="26"/>
      <c r="F3414" s="26"/>
      <c r="G3414" s="26"/>
      <c r="H3414" s="26"/>
      <c r="I3414" s="26"/>
      <c r="J3414" s="26"/>
      <c r="K3414" s="26"/>
      <c r="L3414" s="26"/>
      <c r="M3414" s="26"/>
      <c r="N3414" s="26"/>
      <c r="O3414" s="14" t="str">
        <f>HYPERLINK("https://otsuka-europe-crm.veevavault.com/ui/#object/email_activity__v/V8C000000049080", "EN-002105012")</f>
        <v>EN-002105012</v>
      </c>
    </row>
    <row r="3415" spans="1:15" ht="16" x14ac:dyDescent="0.2">
      <c r="A3415" s="26"/>
      <c r="B3415" s="26"/>
      <c r="C3415" s="26"/>
      <c r="D3415" s="26"/>
      <c r="E3415" s="26"/>
      <c r="F3415" s="26"/>
      <c r="G3415" s="26"/>
      <c r="H3415" s="26"/>
      <c r="I3415" s="26"/>
      <c r="J3415" s="26"/>
      <c r="K3415" s="26"/>
      <c r="L3415" s="26"/>
      <c r="M3415" s="26"/>
      <c r="N3415" s="26"/>
      <c r="O3415" s="14" t="str">
        <f>HYPERLINK("https://otsuka-europe-crm.veevavault.com/ui/#object/email_activity__v/V8C000000049081", "EN-002105013")</f>
        <v>EN-002105013</v>
      </c>
    </row>
    <row r="3416" spans="1:15" ht="16" x14ac:dyDescent="0.2">
      <c r="A3416" s="26"/>
      <c r="B3416" s="26"/>
      <c r="C3416" s="26"/>
      <c r="D3416" s="26"/>
      <c r="E3416" s="26"/>
      <c r="F3416" s="26"/>
      <c r="G3416" s="26"/>
      <c r="H3416" s="26"/>
      <c r="I3416" s="26"/>
      <c r="J3416" s="26"/>
      <c r="K3416" s="26"/>
      <c r="L3416" s="26"/>
      <c r="M3416" s="26"/>
      <c r="N3416" s="26"/>
      <c r="O3416" s="14" t="str">
        <f>HYPERLINK("https://otsuka-europe-crm.veevavault.com/ui/#object/email_activity__v/V8C000000049105", "EN-002105054")</f>
        <v>EN-002105054</v>
      </c>
    </row>
    <row r="3417" spans="1:15" ht="16" x14ac:dyDescent="0.2">
      <c r="A3417" s="26"/>
      <c r="B3417" s="26"/>
      <c r="C3417" s="26"/>
      <c r="D3417" s="26"/>
      <c r="E3417" s="26"/>
      <c r="F3417" s="26"/>
      <c r="G3417" s="26"/>
      <c r="H3417" s="26"/>
      <c r="I3417" s="26"/>
      <c r="J3417" s="26"/>
      <c r="K3417" s="26"/>
      <c r="L3417" s="26"/>
      <c r="M3417" s="26"/>
      <c r="N3417" s="26"/>
      <c r="O3417" s="14" t="str">
        <f>HYPERLINK("https://otsuka-europe-crm.veevavault.com/ui/#object/email_activity__v/V8C00000004A050", "EN-002104965")</f>
        <v>EN-002104965</v>
      </c>
    </row>
    <row r="3418" spans="1:15" ht="16" x14ac:dyDescent="0.2">
      <c r="A3418" s="19"/>
      <c r="B3418" s="19"/>
      <c r="C3418" s="19"/>
      <c r="D3418" s="19"/>
      <c r="E3418" s="19"/>
      <c r="F3418" s="19"/>
      <c r="G3418" s="19"/>
      <c r="H3418" s="19"/>
      <c r="I3418" s="19"/>
      <c r="J3418" s="19"/>
      <c r="K3418" s="19"/>
      <c r="L3418" s="19"/>
      <c r="M3418" s="19"/>
      <c r="N3418" s="19"/>
      <c r="O3418" s="14" t="str">
        <f>HYPERLINK("https://otsuka-europe-crm.veevavault.com/ui/#object/email_activity__v/V8C00000004A056", "EN-002104982")</f>
        <v>EN-002104982</v>
      </c>
    </row>
    <row r="3419" spans="1:15" ht="16" x14ac:dyDescent="0.2">
      <c r="A3419" s="18" t="str">
        <f>HYPERLINK("https://otsuka-europe-crm.veevavault.com/ui/#object/account__v/V4TZ0000062PEL7", "Khalid Jaffar")</f>
        <v>Khalid Jaffar</v>
      </c>
      <c r="B3419" s="18" t="str">
        <f>HYPERLINK("https://otsuka-europe-crm.veevavault.com/ui/#object/vcountry__v/VENZ000004SONFK", "GB")</f>
        <v>GB</v>
      </c>
      <c r="C3419" s="20" t="s">
        <v>41</v>
      </c>
      <c r="D3419" s="21" t="str">
        <f>HYPERLINK("https://otsuka-europe-crm.veevavault.com/ui/#object/approved_document__v/V5O00000001V001", "LDM DR P2P Invite 12-Nov-26 v2 [digital]")</f>
        <v>LDM DR P2P Invite 12-Nov-26 v2 [digital]</v>
      </c>
      <c r="E3419" s="22" t="str">
        <f>HYPERLINK("https://otsuka-europe-crm.veevavault.com/ui/#object/sent_email__v/VBL000000036069", "SE-001443316")</f>
        <v>SE-001443316</v>
      </c>
      <c r="F3419" s="25">
        <v>46213.538240740738</v>
      </c>
      <c r="G3419" s="24">
        <v>1</v>
      </c>
      <c r="H3419" s="24">
        <v>4</v>
      </c>
      <c r="I3419" s="24">
        <v>0</v>
      </c>
      <c r="J3419" s="23"/>
      <c r="K3419" s="24">
        <v>0</v>
      </c>
      <c r="L3419" s="22" t="str">
        <f>HYPERLINK("https://otsuka-europe-crm.veevavault.com/ui/#object/approved_document__v/V5O00000001V001", "LDM DR P2P Invite 12-Nov-26 v2 [digital]")</f>
        <v>LDM DR P2P Invite 12-Nov-26 v2 [digital]</v>
      </c>
      <c r="M3419" s="22" t="str">
        <f>HYPERLINK("mailto:ldimambro@crm.otsuka-europe.com", "ldimambro@crm.otsuka-europe.com")</f>
        <v>ldimambro@crm.otsuka-europe.com</v>
      </c>
      <c r="N3419" s="25">
        <v>46213.506099537037</v>
      </c>
      <c r="O3419" s="14" t="str">
        <f>HYPERLINK("https://otsuka-europe-crm.veevavault.com/ui/#object/email_activity__v/V8C000000047196", "EN-002104498")</f>
        <v>EN-002104498</v>
      </c>
    </row>
    <row r="3420" spans="1:15" ht="16" x14ac:dyDescent="0.2">
      <c r="A3420" s="26"/>
      <c r="B3420" s="26"/>
      <c r="C3420" s="26"/>
      <c r="D3420" s="26"/>
      <c r="E3420" s="26"/>
      <c r="F3420" s="26"/>
      <c r="G3420" s="26"/>
      <c r="H3420" s="26"/>
      <c r="I3420" s="26"/>
      <c r="J3420" s="26"/>
      <c r="K3420" s="26"/>
      <c r="L3420" s="26"/>
      <c r="M3420" s="26"/>
      <c r="N3420" s="26"/>
      <c r="O3420" s="14" t="str">
        <f>HYPERLINK("https://otsuka-europe-crm.veevavault.com/ui/#object/email_activity__v/V8C000000047197", "EN-002104499")</f>
        <v>EN-002104499</v>
      </c>
    </row>
    <row r="3421" spans="1:15" ht="16" x14ac:dyDescent="0.2">
      <c r="A3421" s="26"/>
      <c r="B3421" s="26"/>
      <c r="C3421" s="26"/>
      <c r="D3421" s="26"/>
      <c r="E3421" s="26"/>
      <c r="F3421" s="26"/>
      <c r="G3421" s="26"/>
      <c r="H3421" s="26"/>
      <c r="I3421" s="26"/>
      <c r="J3421" s="26"/>
      <c r="K3421" s="26"/>
      <c r="L3421" s="26"/>
      <c r="M3421" s="26"/>
      <c r="N3421" s="26"/>
      <c r="O3421" s="14" t="str">
        <f>HYPERLINK("https://otsuka-europe-crm.veevavault.com/ui/#object/email_activity__v/V8C000000047271", "EN-002104623")</f>
        <v>EN-002104623</v>
      </c>
    </row>
    <row r="3422" spans="1:15" ht="16" x14ac:dyDescent="0.2">
      <c r="A3422" s="26"/>
      <c r="B3422" s="26"/>
      <c r="C3422" s="26"/>
      <c r="D3422" s="26"/>
      <c r="E3422" s="26"/>
      <c r="F3422" s="26"/>
      <c r="G3422" s="26"/>
      <c r="H3422" s="26"/>
      <c r="I3422" s="26"/>
      <c r="J3422" s="26"/>
      <c r="K3422" s="26"/>
      <c r="L3422" s="26"/>
      <c r="M3422" s="26"/>
      <c r="N3422" s="26"/>
      <c r="O3422" s="14" t="str">
        <f>HYPERLINK("https://otsuka-europe-crm.veevavault.com/ui/#object/email_activity__v/V8C000000047327", "EN-002104724")</f>
        <v>EN-002104724</v>
      </c>
    </row>
    <row r="3423" spans="1:15" ht="16" x14ac:dyDescent="0.2">
      <c r="A3423" s="19"/>
      <c r="B3423" s="19"/>
      <c r="C3423" s="19"/>
      <c r="D3423" s="19"/>
      <c r="E3423" s="19"/>
      <c r="F3423" s="19"/>
      <c r="G3423" s="19"/>
      <c r="H3423" s="19"/>
      <c r="I3423" s="19"/>
      <c r="J3423" s="19"/>
      <c r="K3423" s="19"/>
      <c r="L3423" s="19"/>
      <c r="M3423" s="19"/>
      <c r="N3423" s="19"/>
      <c r="O3423" s="14" t="str">
        <f>HYPERLINK("https://otsuka-europe-crm.veevavault.com/ui/#object/email_activity__v/V8C000000047328", "EN-002104725")</f>
        <v>EN-002104725</v>
      </c>
    </row>
    <row r="3424" spans="1:15" ht="32" x14ac:dyDescent="0.2">
      <c r="A3424" s="7" t="str">
        <f>HYPERLINK("https://otsuka-europe-crm.veevavault.com/ui/#object/account__v/V4T00000002B133", "Magid Ahmed")</f>
        <v>Magid Ahmed</v>
      </c>
      <c r="B3424" s="7" t="str">
        <f>HYPERLINK("https://otsuka-europe-crm.veevavault.com/ui/#object/vcountry__v/VENZ000004SONFK", "GB")</f>
        <v>GB</v>
      </c>
      <c r="C3424" s="8" t="s">
        <v>41</v>
      </c>
      <c r="D3424" s="9" t="str">
        <f>HYPERLINK("https://otsuka-europe-crm.veevavault.com/ui/#object/approved_document__v/V5OZ025E82TSZBI", "Aripiprazole 960mg Fragment VAE")</f>
        <v>Aripiprazole 960mg Fragment VAE</v>
      </c>
      <c r="E3424" s="10" t="str">
        <f>HYPERLINK("https://otsuka-europe-crm.veevavault.com/ui/#object/sent_email__v/VBL000000036070", "SE-001443317")</f>
        <v>SE-001443317</v>
      </c>
      <c r="F3424" s="11"/>
      <c r="G3424" s="12">
        <v>0</v>
      </c>
      <c r="H3424" s="12">
        <v>0</v>
      </c>
      <c r="I3424" s="12">
        <v>0</v>
      </c>
      <c r="J3424" s="11"/>
      <c r="K3424" s="12">
        <v>0</v>
      </c>
      <c r="L3424" s="10" t="str">
        <f>HYPERLINK("https://otsuka-europe-crm.veevavault.com/ui/#object/approved_document__v/V5OZ025E82TSZBI", "Aripiprazole 960mg Fragment VAE")</f>
        <v>Aripiprazole 960mg Fragment VAE</v>
      </c>
      <c r="M3424" s="10" t="str">
        <f>HYPERLINK("mailto:ldimambro@crm.otsuka-europe.com", "ldimambro@crm.otsuka-europe.com")</f>
        <v>ldimambro@crm.otsuka-europe.com</v>
      </c>
      <c r="N3424" s="13">
        <v>46213.50849537037</v>
      </c>
      <c r="O3424" s="14" t="str">
        <f>HYPERLINK("https://otsuka-europe-crm.veevavault.com/ui/#object/email_activity__v/V8C000000047198", "EN-002104500")</f>
        <v>EN-002104500</v>
      </c>
    </row>
    <row r="3425" spans="1:15" ht="16" x14ac:dyDescent="0.2">
      <c r="A3425" s="18" t="str">
        <f>HYPERLINK("https://otsuka-europe-crm.veevavault.com/ui/#object/account__v/V4TZ06G6O71T7DC", "KATIA ISABEL TOLEDO PERDOMO")</f>
        <v>KATIA ISABEL TOLEDO PERDOMO</v>
      </c>
      <c r="B3425" s="18" t="str">
        <f>HYPERLINK("https://otsuka-europe-crm.veevavault.com/ui/#object/vcountry__v/VENZ000004SONF5", "ES")</f>
        <v>ES</v>
      </c>
      <c r="C3425" s="20" t="s">
        <v>39</v>
      </c>
      <c r="D34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25" s="22" t="str">
        <f>HYPERLINK("https://otsuka-europe-crm.veevavault.com/ui/#object/sent_email__v/VBL000000035137", "SE-001443318")</f>
        <v>SE-001443318</v>
      </c>
      <c r="F3425" s="25">
        <v>46213.670590277776</v>
      </c>
      <c r="G3425" s="24">
        <v>1</v>
      </c>
      <c r="H3425" s="24">
        <v>1</v>
      </c>
      <c r="I3425" s="24">
        <v>0</v>
      </c>
      <c r="J3425" s="23"/>
      <c r="K3425" s="24">
        <v>0</v>
      </c>
      <c r="L34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25" s="22" t="str">
        <f>HYPERLINK("mailto:vvalladares@crm.otsuka-europe.com", "vvalladares@crm.otsuka-europe.com")</f>
        <v>vvalladares@crm.otsuka-europe.com</v>
      </c>
      <c r="N3425" s="25">
        <v>46213.509606481479</v>
      </c>
      <c r="O3425" s="14" t="str">
        <f>HYPERLINK("https://otsuka-europe-crm.veevavault.com/ui/#object/email_activity__v/V8C000000047243", "EN-002104566")</f>
        <v>EN-002104566</v>
      </c>
    </row>
    <row r="3426" spans="1:15" ht="16" x14ac:dyDescent="0.2">
      <c r="A3426" s="19"/>
      <c r="B3426" s="19"/>
      <c r="C3426" s="19"/>
      <c r="D3426" s="19"/>
      <c r="E3426" s="19"/>
      <c r="F3426" s="19"/>
      <c r="G3426" s="19"/>
      <c r="H3426" s="19"/>
      <c r="I3426" s="19"/>
      <c r="J3426" s="19"/>
      <c r="K3426" s="19"/>
      <c r="L3426" s="19"/>
      <c r="M3426" s="19"/>
      <c r="N3426" s="19"/>
      <c r="O3426" s="14" t="str">
        <f>HYPERLINK("https://otsuka-europe-crm.veevavault.com/ui/#object/email_activity__v/V8C000000047361", "EN-002104797")</f>
        <v>EN-002104797</v>
      </c>
    </row>
    <row r="3427" spans="1:15" ht="64" x14ac:dyDescent="0.2">
      <c r="A3427" s="7" t="str">
        <f>HYPERLINK("https://otsuka-europe-crm.veevavault.com/ui/#object/account__v/V4TZ06G6O71TAU1", "MARIA ASUNCION MACIA LAGIER")</f>
        <v>MARIA ASUNCION MACIA LAGIER</v>
      </c>
      <c r="B3427" s="7" t="str">
        <f>HYPERLINK("https://otsuka-europe-crm.veevavault.com/ui/#object/vcountry__v/VENZ000004SONF5", "ES")</f>
        <v>ES</v>
      </c>
      <c r="C3427" s="8" t="s">
        <v>39</v>
      </c>
      <c r="D342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27" s="10" t="str">
        <f>HYPERLINK("https://otsuka-europe-crm.veevavault.com/ui/#object/sent_email__v/VBL000000035138", "SE-001443319")</f>
        <v>SE-001443319</v>
      </c>
      <c r="F3427" s="11"/>
      <c r="G3427" s="12">
        <v>0</v>
      </c>
      <c r="H3427" s="12">
        <v>0</v>
      </c>
      <c r="I3427" s="12">
        <v>0</v>
      </c>
      <c r="J3427" s="11"/>
      <c r="K3427" s="12">
        <v>0</v>
      </c>
      <c r="L342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27" s="10" t="str">
        <f>HYPERLINK("mailto:vvalladares@crm.otsuka-europe.com", "vvalladares@crm.otsuka-europe.com")</f>
        <v>vvalladares@crm.otsuka-europe.com</v>
      </c>
      <c r="N3427" s="13">
        <v>46213.509606481479</v>
      </c>
      <c r="O3427" s="14" t="str">
        <f>HYPERLINK("https://otsuka-europe-crm.veevavault.com/ui/#object/email_activity__v/V8C000000048169", "EN-002104577")</f>
        <v>EN-002104577</v>
      </c>
    </row>
    <row r="3428" spans="1:15" ht="64" x14ac:dyDescent="0.2">
      <c r="A3428" s="7" t="str">
        <f>HYPERLINK("https://otsuka-europe-crm.veevavault.com/ui/#object/account__v/V4TZ06G6O71T7GD", "ELENA BORREGO GARCIA")</f>
        <v>ELENA BORREGO GARCIA</v>
      </c>
      <c r="B3428" s="7" t="str">
        <f>HYPERLINK("https://otsuka-europe-crm.veevavault.com/ui/#object/vcountry__v/VENZ000004SONF5", "ES")</f>
        <v>ES</v>
      </c>
      <c r="C3428" s="8" t="s">
        <v>39</v>
      </c>
      <c r="D342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28" s="10" t="str">
        <f>HYPERLINK("https://otsuka-europe-crm.veevavault.com/ui/#object/sent_email__v/VBL000000035139", "SE-001443320")</f>
        <v>SE-001443320</v>
      </c>
      <c r="F3428" s="11"/>
      <c r="G3428" s="12">
        <v>0</v>
      </c>
      <c r="H3428" s="12">
        <v>0</v>
      </c>
      <c r="I3428" s="12">
        <v>0</v>
      </c>
      <c r="J3428" s="11"/>
      <c r="K3428" s="12">
        <v>0</v>
      </c>
      <c r="L342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28" s="10" t="str">
        <f>HYPERLINK("mailto:vvalladares@crm.otsuka-europe.com", "vvalladares@crm.otsuka-europe.com")</f>
        <v>vvalladares@crm.otsuka-europe.com</v>
      </c>
      <c r="N3428" s="13">
        <v>46213.509583333333</v>
      </c>
      <c r="O3428" s="14" t="str">
        <f>HYPERLINK("https://otsuka-europe-crm.veevavault.com/ui/#object/email_activity__v/V8C000000047213", "EN-002104530")</f>
        <v>EN-002104530</v>
      </c>
    </row>
    <row r="3429" spans="1:15" ht="16" x14ac:dyDescent="0.2">
      <c r="A3429" s="18" t="str">
        <f>HYPERLINK("https://otsuka-europe-crm.veevavault.com/ui/#object/account__v/V4TZ06G6O71T8N9", "MARIA JOSE LOPEZ RUIZ")</f>
        <v>MARIA JOSE LOPEZ RUIZ</v>
      </c>
      <c r="B3429" s="18" t="str">
        <f>HYPERLINK("https://otsuka-europe-crm.veevavault.com/ui/#object/vcountry__v/VENZ000004SONF5", "ES")</f>
        <v>ES</v>
      </c>
      <c r="C3429" s="20" t="s">
        <v>39</v>
      </c>
      <c r="D342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29" s="22" t="str">
        <f>HYPERLINK("https://otsuka-europe-crm.veevavault.com/ui/#object/sent_email__v/VBL000000035140", "SE-001443321")</f>
        <v>SE-001443321</v>
      </c>
      <c r="F3429" s="25">
        <v>46216.286192129628</v>
      </c>
      <c r="G3429" s="24">
        <v>1</v>
      </c>
      <c r="H3429" s="24">
        <v>3</v>
      </c>
      <c r="I3429" s="24">
        <v>0</v>
      </c>
      <c r="J3429" s="23"/>
      <c r="K3429" s="24">
        <v>0</v>
      </c>
      <c r="L342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29" s="22" t="str">
        <f>HYPERLINK("mailto:vvalladares@crm.otsuka-europe.com", "vvalladares@crm.otsuka-europe.com")</f>
        <v>vvalladares@crm.otsuka-europe.com</v>
      </c>
      <c r="N3429" s="25">
        <v>46213.509583333333</v>
      </c>
      <c r="O3429" s="14" t="str">
        <f>HYPERLINK("https://otsuka-europe-crm.veevavault.com/ui/#object/email_activity__v/V8C000000047214", "EN-002104531")</f>
        <v>EN-002104531</v>
      </c>
    </row>
    <row r="3430" spans="1:15" ht="16" x14ac:dyDescent="0.2">
      <c r="A3430" s="26"/>
      <c r="B3430" s="26"/>
      <c r="C3430" s="26"/>
      <c r="D3430" s="26"/>
      <c r="E3430" s="26"/>
      <c r="F3430" s="26"/>
      <c r="G3430" s="26"/>
      <c r="H3430" s="26"/>
      <c r="I3430" s="26"/>
      <c r="J3430" s="26"/>
      <c r="K3430" s="26"/>
      <c r="L3430" s="26"/>
      <c r="M3430" s="26"/>
      <c r="N3430" s="26"/>
      <c r="O3430" s="14" t="str">
        <f>HYPERLINK("https://otsuka-europe-crm.veevavault.com/ui/#object/email_activity__v/V8C000000047274", "EN-002104626")</f>
        <v>EN-002104626</v>
      </c>
    </row>
    <row r="3431" spans="1:15" ht="16" x14ac:dyDescent="0.2">
      <c r="A3431" s="26"/>
      <c r="B3431" s="26"/>
      <c r="C3431" s="26"/>
      <c r="D3431" s="26"/>
      <c r="E3431" s="26"/>
      <c r="F3431" s="26"/>
      <c r="G3431" s="26"/>
      <c r="H3431" s="26"/>
      <c r="I3431" s="26"/>
      <c r="J3431" s="26"/>
      <c r="K3431" s="26"/>
      <c r="L3431" s="26"/>
      <c r="M3431" s="26"/>
      <c r="N3431" s="26"/>
      <c r="O3431" s="14" t="str">
        <f>HYPERLINK("https://otsuka-europe-crm.veevavault.com/ui/#object/email_activity__v/V8C00000004A072", "EN-002105031")</f>
        <v>EN-002105031</v>
      </c>
    </row>
    <row r="3432" spans="1:15" ht="16" x14ac:dyDescent="0.2">
      <c r="A3432" s="19"/>
      <c r="B3432" s="19"/>
      <c r="C3432" s="19"/>
      <c r="D3432" s="19"/>
      <c r="E3432" s="19"/>
      <c r="F3432" s="19"/>
      <c r="G3432" s="19"/>
      <c r="H3432" s="19"/>
      <c r="I3432" s="19"/>
      <c r="J3432" s="19"/>
      <c r="K3432" s="19"/>
      <c r="L3432" s="19"/>
      <c r="M3432" s="19"/>
      <c r="N3432" s="19"/>
      <c r="O3432" s="14" t="str">
        <f>HYPERLINK("https://otsuka-europe-crm.veevavault.com/ui/#object/email_activity__v/V8C00000004A073", "EN-002105032")</f>
        <v>EN-002105032</v>
      </c>
    </row>
    <row r="3433" spans="1:15" ht="16" x14ac:dyDescent="0.2">
      <c r="A3433" s="18" t="str">
        <f>HYPERLINK("https://otsuka-europe-crm.veevavault.com/ui/#object/account__v/V4TZ06G6O71T9AH", "BEATRIZ CONCEPCION AVILES BUENO")</f>
        <v>BEATRIZ CONCEPCION AVILES BUENO</v>
      </c>
      <c r="B3433" s="18" t="str">
        <f>HYPERLINK("https://otsuka-europe-crm.veevavault.com/ui/#object/vcountry__v/VENZ000004SONF5", "ES")</f>
        <v>ES</v>
      </c>
      <c r="C3433" s="20" t="s">
        <v>39</v>
      </c>
      <c r="D343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33" s="22" t="str">
        <f>HYPERLINK("https://otsuka-europe-crm.veevavault.com/ui/#object/sent_email__v/VBL000000035141", "SE-001443322")</f>
        <v>SE-001443322</v>
      </c>
      <c r="F3433" s="25">
        <v>46213.567280092589</v>
      </c>
      <c r="G3433" s="24">
        <v>1</v>
      </c>
      <c r="H3433" s="24">
        <v>1</v>
      </c>
      <c r="I3433" s="24">
        <v>0</v>
      </c>
      <c r="J3433" s="23"/>
      <c r="K3433" s="24">
        <v>0</v>
      </c>
      <c r="L343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33" s="22" t="str">
        <f>HYPERLINK("mailto:vvalladares@crm.otsuka-europe.com", "vvalladares@crm.otsuka-europe.com")</f>
        <v>vvalladares@crm.otsuka-europe.com</v>
      </c>
      <c r="N3433" s="25">
        <v>46213.509583333333</v>
      </c>
      <c r="O3433" s="14" t="str">
        <f>HYPERLINK("https://otsuka-europe-crm.veevavault.com/ui/#object/email_activity__v/V8C000000047219", "EN-002104536")</f>
        <v>EN-002104536</v>
      </c>
    </row>
    <row r="3434" spans="1:15" ht="16" x14ac:dyDescent="0.2">
      <c r="A3434" s="19"/>
      <c r="B3434" s="19"/>
      <c r="C3434" s="19"/>
      <c r="D3434" s="19"/>
      <c r="E3434" s="19"/>
      <c r="F3434" s="19"/>
      <c r="G3434" s="19"/>
      <c r="H3434" s="19"/>
      <c r="I3434" s="19"/>
      <c r="J3434" s="19"/>
      <c r="K3434" s="19"/>
      <c r="L3434" s="19"/>
      <c r="M3434" s="19"/>
      <c r="N3434" s="19"/>
      <c r="O3434" s="14" t="str">
        <f>HYPERLINK("https://otsuka-europe-crm.veevavault.com/ui/#object/email_activity__v/V8C000000047339", "EN-002104751")</f>
        <v>EN-002104751</v>
      </c>
    </row>
    <row r="3435" spans="1:15" ht="16" x14ac:dyDescent="0.2">
      <c r="A3435" s="18" t="str">
        <f>HYPERLINK("https://otsuka-europe-crm.veevavault.com/ui/#object/account__v/V4TZ06G6O71TA0F", "REMEDIOS GAROFANO LOPEZ")</f>
        <v>REMEDIOS GAROFANO LOPEZ</v>
      </c>
      <c r="B3435" s="18" t="str">
        <f>HYPERLINK("https://otsuka-europe-crm.veevavault.com/ui/#object/vcountry__v/VENZ000004SONF5", "ES")</f>
        <v>ES</v>
      </c>
      <c r="C3435" s="20" t="s">
        <v>39</v>
      </c>
      <c r="D34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35" s="22" t="str">
        <f>HYPERLINK("https://otsuka-europe-crm.veevavault.com/ui/#object/sent_email__v/VBL000000035142", "SE-001443323")</f>
        <v>SE-001443323</v>
      </c>
      <c r="F3435" s="23"/>
      <c r="G3435" s="24">
        <v>0</v>
      </c>
      <c r="H3435" s="24">
        <v>0</v>
      </c>
      <c r="I3435" s="24">
        <v>0</v>
      </c>
      <c r="J3435" s="23"/>
      <c r="K3435" s="24">
        <v>0</v>
      </c>
      <c r="L34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35" s="22" t="str">
        <f>HYPERLINK("mailto:vvalladares@crm.otsuka-europe.com", "vvalladares@crm.otsuka-europe.com")</f>
        <v>vvalladares@crm.otsuka-europe.com</v>
      </c>
      <c r="N3435" s="25">
        <v>46213.509583333333</v>
      </c>
      <c r="O3435" s="14" t="str">
        <f>HYPERLINK("https://otsuka-europe-crm.veevavault.com/ui/#object/email_activity__v/V8C000000047221", "EN-002104538")</f>
        <v>EN-002104538</v>
      </c>
    </row>
    <row r="3436" spans="1:15" ht="16" x14ac:dyDescent="0.2">
      <c r="A3436" s="19"/>
      <c r="B3436" s="19"/>
      <c r="C3436" s="19"/>
      <c r="D3436" s="19"/>
      <c r="E3436" s="19"/>
      <c r="F3436" s="19"/>
      <c r="G3436" s="19"/>
      <c r="H3436" s="19"/>
      <c r="I3436" s="19"/>
      <c r="J3436" s="19"/>
      <c r="K3436" s="19"/>
      <c r="L3436" s="19"/>
      <c r="M3436" s="19"/>
      <c r="N3436" s="19"/>
      <c r="O3436" s="14" t="str">
        <f>HYPERLINK("https://otsuka-europe-crm.veevavault.com/ui/#object/email_activity__v/V8C000000049004", "EN-002104874")</f>
        <v>EN-002104874</v>
      </c>
    </row>
    <row r="3437" spans="1:15" ht="64" x14ac:dyDescent="0.2">
      <c r="A3437" s="7" t="str">
        <f>HYPERLINK("https://otsuka-europe-crm.veevavault.com/ui/#object/account__v/V4TZ025E87AAYME", "DAVID SALCEDO HERRERO")</f>
        <v>DAVID SALCEDO HERRERO</v>
      </c>
      <c r="B3437" s="7" t="str">
        <f>HYPERLINK("https://otsuka-europe-crm.veevavault.com/ui/#object/vcountry__v/VENZ000004SONF5", "ES")</f>
        <v>ES</v>
      </c>
      <c r="C3437" s="8" t="s">
        <v>39</v>
      </c>
      <c r="D343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37" s="10" t="str">
        <f>HYPERLINK("https://otsuka-europe-crm.veevavault.com/ui/#object/sent_email__v/VBL000000035143", "SE-001443324")</f>
        <v>SE-001443324</v>
      </c>
      <c r="F3437" s="11"/>
      <c r="G3437" s="12">
        <v>0</v>
      </c>
      <c r="H3437" s="12">
        <v>0</v>
      </c>
      <c r="I3437" s="12">
        <v>0</v>
      </c>
      <c r="J3437" s="11"/>
      <c r="K3437" s="12">
        <v>0</v>
      </c>
      <c r="L343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37" s="10" t="str">
        <f>HYPERLINK("mailto:vvalladares@crm.otsuka-europe.com", "vvalladares@crm.otsuka-europe.com")</f>
        <v>vvalladares@crm.otsuka-europe.com</v>
      </c>
      <c r="N3437" s="13">
        <v>46213.509606481479</v>
      </c>
      <c r="O3437" s="14" t="str">
        <f>HYPERLINK("https://otsuka-europe-crm.veevavault.com/ui/#object/email_activity__v/V8C000000048171", "EN-002104579")</f>
        <v>EN-002104579</v>
      </c>
    </row>
    <row r="3438" spans="1:15" ht="16" x14ac:dyDescent="0.2">
      <c r="A3438" s="18" t="str">
        <f>HYPERLINK("https://otsuka-europe-crm.veevavault.com/ui/#object/account__v/V4TZ06G6O71T7OS", "VIRGINIA DOMINGUEZ PIMENTEL")</f>
        <v>VIRGINIA DOMINGUEZ PIMENTEL</v>
      </c>
      <c r="B3438" s="18" t="str">
        <f>HYPERLINK("https://otsuka-europe-crm.veevavault.com/ui/#object/vcountry__v/VENZ000004SONF5", "ES")</f>
        <v>ES</v>
      </c>
      <c r="C3438" s="20" t="s">
        <v>39</v>
      </c>
      <c r="D343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38" s="22" t="str">
        <f>HYPERLINK("https://otsuka-europe-crm.veevavault.com/ui/#object/sent_email__v/VBL000000035144", "SE-001443325")</f>
        <v>SE-001443325</v>
      </c>
      <c r="F3438" s="23"/>
      <c r="G3438" s="24">
        <v>0</v>
      </c>
      <c r="H3438" s="24">
        <v>0</v>
      </c>
      <c r="I3438" s="24">
        <v>1</v>
      </c>
      <c r="J3438" s="25">
        <v>46215.735196759262</v>
      </c>
      <c r="K3438" s="24">
        <v>1</v>
      </c>
      <c r="L343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38" s="22" t="str">
        <f>HYPERLINK("mailto:vvalladares@crm.otsuka-europe.com", "vvalladares@crm.otsuka-europe.com")</f>
        <v>vvalladares@crm.otsuka-europe.com</v>
      </c>
      <c r="N3438" s="25">
        <v>46213.509583333333</v>
      </c>
      <c r="O3438" s="14" t="str">
        <f>HYPERLINK("https://otsuka-europe-crm.veevavault.com/ui/#object/email_activity__v/V8C000000047217", "EN-002104534")</f>
        <v>EN-002104534</v>
      </c>
    </row>
    <row r="3439" spans="1:15" ht="16" x14ac:dyDescent="0.2">
      <c r="A3439" s="26"/>
      <c r="B3439" s="26"/>
      <c r="C3439" s="26"/>
      <c r="D3439" s="26"/>
      <c r="E3439" s="26"/>
      <c r="F3439" s="26"/>
      <c r="G3439" s="26"/>
      <c r="H3439" s="26"/>
      <c r="I3439" s="26"/>
      <c r="J3439" s="26"/>
      <c r="K3439" s="26"/>
      <c r="L3439" s="26"/>
      <c r="M3439" s="26"/>
      <c r="N3439" s="26"/>
      <c r="O3439" s="14" t="str">
        <f>HYPERLINK("https://otsuka-europe-crm.veevavault.com/ui/#object/email_activity__v/V8C000000047357", "EN-002104790")</f>
        <v>EN-002104790</v>
      </c>
    </row>
    <row r="3440" spans="1:15" ht="16" x14ac:dyDescent="0.2">
      <c r="A3440" s="26"/>
      <c r="B3440" s="26"/>
      <c r="C3440" s="26"/>
      <c r="D3440" s="26"/>
      <c r="E3440" s="26"/>
      <c r="F3440" s="26"/>
      <c r="G3440" s="26"/>
      <c r="H3440" s="26"/>
      <c r="I3440" s="26"/>
      <c r="J3440" s="26"/>
      <c r="K3440" s="26"/>
      <c r="L3440" s="26"/>
      <c r="M3440" s="26"/>
      <c r="N3440" s="26"/>
      <c r="O3440" s="14" t="str">
        <f>HYPERLINK("https://otsuka-europe-crm.veevavault.com/ui/#object/email_activity__v/V8C000000049061", "EN-002104988")</f>
        <v>EN-002104988</v>
      </c>
    </row>
    <row r="3441" spans="1:15" ht="16" x14ac:dyDescent="0.2">
      <c r="A3441" s="19"/>
      <c r="B3441" s="19"/>
      <c r="C3441" s="19"/>
      <c r="D3441" s="19"/>
      <c r="E3441" s="19"/>
      <c r="F3441" s="19"/>
      <c r="G3441" s="19"/>
      <c r="H3441" s="19"/>
      <c r="I3441" s="19"/>
      <c r="J3441" s="19"/>
      <c r="K3441" s="19"/>
      <c r="L3441" s="19"/>
      <c r="M3441" s="19"/>
      <c r="N3441" s="19"/>
      <c r="O3441" s="14" t="str">
        <f>HYPERLINK("https://otsuka-europe-crm.veevavault.com/ui/#object/email_activity__v/V8C000000049062", "EN-002104989")</f>
        <v>EN-002104989</v>
      </c>
    </row>
    <row r="3442" spans="1:15" ht="16" x14ac:dyDescent="0.2">
      <c r="A3442" s="18" t="str">
        <f>HYPERLINK("https://otsuka-europe-crm.veevavault.com/ui/#object/account__v/V4TZ06G6O71TB7F", "ADELAIDA MARGARITA MORALES UMPIERREZ")</f>
        <v>ADELAIDA MARGARITA MORALES UMPIERREZ</v>
      </c>
      <c r="B3442" s="18" t="str">
        <f>HYPERLINK("https://otsuka-europe-crm.veevavault.com/ui/#object/vcountry__v/VENZ000004SONF5", "ES")</f>
        <v>ES</v>
      </c>
      <c r="C3442" s="20" t="s">
        <v>39</v>
      </c>
      <c r="D344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42" s="22" t="str">
        <f>HYPERLINK("https://otsuka-europe-crm.veevavault.com/ui/#object/sent_email__v/VBL000000035145", "SE-001443326")</f>
        <v>SE-001443326</v>
      </c>
      <c r="F3442" s="23"/>
      <c r="G3442" s="24">
        <v>0</v>
      </c>
      <c r="H3442" s="24">
        <v>0</v>
      </c>
      <c r="I3442" s="24">
        <v>0</v>
      </c>
      <c r="J3442" s="23"/>
      <c r="K3442" s="24">
        <v>0</v>
      </c>
      <c r="L344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42" s="22" t="str">
        <f>HYPERLINK("mailto:vvalladares@crm.otsuka-europe.com", "vvalladares@crm.otsuka-europe.com")</f>
        <v>vvalladares@crm.otsuka-europe.com</v>
      </c>
      <c r="N3442" s="25">
        <v>46213.509421296294</v>
      </c>
      <c r="O3442" s="14" t="str">
        <f>HYPERLINK("https://otsuka-europe-crm.veevavault.com/ui/#object/email_activity__v/V8C000000047226", "EN-002104543")</f>
        <v>EN-002104543</v>
      </c>
    </row>
    <row r="3443" spans="1:15" ht="16" x14ac:dyDescent="0.2">
      <c r="A3443" s="26"/>
      <c r="B3443" s="26"/>
      <c r="C3443" s="26"/>
      <c r="D3443" s="26"/>
      <c r="E3443" s="26"/>
      <c r="F3443" s="26"/>
      <c r="G3443" s="26"/>
      <c r="H3443" s="26"/>
      <c r="I3443" s="26"/>
      <c r="J3443" s="26"/>
      <c r="K3443" s="26"/>
      <c r="L3443" s="26"/>
      <c r="M3443" s="26"/>
      <c r="N3443" s="26"/>
      <c r="O3443" s="14" t="str">
        <f>HYPERLINK("https://otsuka-europe-crm.veevavault.com/ui/#object/email_activity__v/V8C000000049003", "EN-002104873")</f>
        <v>EN-002104873</v>
      </c>
    </row>
    <row r="3444" spans="1:15" ht="16" x14ac:dyDescent="0.2">
      <c r="A3444" s="19"/>
      <c r="B3444" s="19"/>
      <c r="C3444" s="19"/>
      <c r="D3444" s="19"/>
      <c r="E3444" s="19"/>
      <c r="F3444" s="19"/>
      <c r="G3444" s="19"/>
      <c r="H3444" s="19"/>
      <c r="I3444" s="19"/>
      <c r="J3444" s="19"/>
      <c r="K3444" s="19"/>
      <c r="L3444" s="19"/>
      <c r="M3444" s="19"/>
      <c r="N3444" s="19"/>
      <c r="O3444" s="14" t="str">
        <f>HYPERLINK("https://otsuka-europe-crm.veevavault.com/ui/#object/email_activity__v/V8C00000004B073", "EN-002106861")</f>
        <v>EN-002106861</v>
      </c>
    </row>
    <row r="3445" spans="1:15" ht="64" x14ac:dyDescent="0.2">
      <c r="A3445" s="7" t="str">
        <f>HYPERLINK("https://otsuka-europe-crm.veevavault.com/ui/#object/account__v/V4TZ025E8577XJH", "MARIA JESUS ALFEREZ ALFEREZ")</f>
        <v>MARIA JESUS ALFEREZ ALFEREZ</v>
      </c>
      <c r="B3445" s="7" t="str">
        <f>HYPERLINK("https://otsuka-europe-crm.veevavault.com/ui/#object/vcountry__v/VENZ000004SONF5", "ES")</f>
        <v>ES</v>
      </c>
      <c r="C3445" s="8" t="s">
        <v>39</v>
      </c>
      <c r="D344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45" s="10" t="str">
        <f>HYPERLINK("https://otsuka-europe-crm.veevavault.com/ui/#object/sent_email__v/VBL000000035146", "SE-001443327")</f>
        <v>SE-001443327</v>
      </c>
      <c r="F3445" s="11"/>
      <c r="G3445" s="12">
        <v>0</v>
      </c>
      <c r="H3445" s="12">
        <v>0</v>
      </c>
      <c r="I3445" s="12">
        <v>0</v>
      </c>
      <c r="J3445" s="11"/>
      <c r="K3445" s="12">
        <v>0</v>
      </c>
      <c r="L344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45" s="10" t="str">
        <f>HYPERLINK("mailto:vvalladares@crm.otsuka-europe.com", "vvalladares@crm.otsuka-europe.com")</f>
        <v>vvalladares@crm.otsuka-europe.com</v>
      </c>
      <c r="N3445" s="13">
        <v>46213.509421296294</v>
      </c>
      <c r="O3445" s="14" t="str">
        <f>HYPERLINK("https://otsuka-europe-crm.veevavault.com/ui/#object/email_activity__v/V8C000000048146", "EN-002104511")</f>
        <v>EN-002104511</v>
      </c>
    </row>
    <row r="3446" spans="1:15" ht="16" x14ac:dyDescent="0.2">
      <c r="A3446" s="18" t="str">
        <f>HYPERLINK("https://otsuka-europe-crm.veevavault.com/ui/#object/account__v/V4TZ06G6O71T80E", "ANA DOLORES DUARTE MARTINEZ")</f>
        <v>ANA DOLORES DUARTE MARTINEZ</v>
      </c>
      <c r="B3446" s="18" t="str">
        <f>HYPERLINK("https://otsuka-europe-crm.veevavault.com/ui/#object/vcountry__v/VENZ000004SONF5", "ES")</f>
        <v>ES</v>
      </c>
      <c r="C3446" s="20" t="s">
        <v>39</v>
      </c>
      <c r="D344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46" s="22" t="str">
        <f>HYPERLINK("https://otsuka-europe-crm.veevavault.com/ui/#object/sent_email__v/VBL000000035147", "SE-001443328")</f>
        <v>SE-001443328</v>
      </c>
      <c r="F3446" s="25">
        <v>46214.733888888892</v>
      </c>
      <c r="G3446" s="24">
        <v>1</v>
      </c>
      <c r="H3446" s="24">
        <v>1</v>
      </c>
      <c r="I3446" s="24">
        <v>0</v>
      </c>
      <c r="J3446" s="23"/>
      <c r="K3446" s="24">
        <v>0</v>
      </c>
      <c r="L344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46" s="22" t="str">
        <f>HYPERLINK("mailto:vvalladares@crm.otsuka-europe.com", "vvalladares@crm.otsuka-europe.com")</f>
        <v>vvalladares@crm.otsuka-europe.com</v>
      </c>
      <c r="N3446" s="25">
        <v>46213.509421296294</v>
      </c>
      <c r="O3446" s="14" t="str">
        <f>HYPERLINK("https://otsuka-europe-crm.veevavault.com/ui/#object/email_activity__v/V8C000000047207", "EN-002104519")</f>
        <v>EN-002104519</v>
      </c>
    </row>
    <row r="3447" spans="1:15" ht="16" x14ac:dyDescent="0.2">
      <c r="A3447" s="19"/>
      <c r="B3447" s="19"/>
      <c r="C3447" s="19"/>
      <c r="D3447" s="19"/>
      <c r="E3447" s="19"/>
      <c r="F3447" s="19"/>
      <c r="G3447" s="19"/>
      <c r="H3447" s="19"/>
      <c r="I3447" s="19"/>
      <c r="J3447" s="19"/>
      <c r="K3447" s="19"/>
      <c r="L3447" s="19"/>
      <c r="M3447" s="19"/>
      <c r="N3447" s="19"/>
      <c r="O3447" s="14" t="str">
        <f>HYPERLINK("https://otsuka-europe-crm.veevavault.com/ui/#object/email_activity__v/V8C000000049026", "EN-002104922")</f>
        <v>EN-002104922</v>
      </c>
    </row>
    <row r="3448" spans="1:15" ht="16" x14ac:dyDescent="0.2">
      <c r="A3448" s="18" t="str">
        <f>HYPERLINK("https://otsuka-europe-crm.veevavault.com/ui/#object/account__v/V4TZ06G6O71TA40", "EDUARDO GALLEGO MORA-ESPERANZA")</f>
        <v>EDUARDO GALLEGO MORA-ESPERANZA</v>
      </c>
      <c r="B3448" s="18" t="str">
        <f>HYPERLINK("https://otsuka-europe-crm.veevavault.com/ui/#object/vcountry__v/VENZ000004SONF5", "ES")</f>
        <v>ES</v>
      </c>
      <c r="C3448" s="20" t="s">
        <v>39</v>
      </c>
      <c r="D344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48" s="22" t="str">
        <f>HYPERLINK("https://otsuka-europe-crm.veevavault.com/ui/#object/sent_email__v/VBL000000035148", "SE-001443329")</f>
        <v>SE-001443329</v>
      </c>
      <c r="F3448" s="23"/>
      <c r="G3448" s="24">
        <v>0</v>
      </c>
      <c r="H3448" s="24">
        <v>0</v>
      </c>
      <c r="I3448" s="24">
        <v>0</v>
      </c>
      <c r="J3448" s="23"/>
      <c r="K3448" s="24">
        <v>0</v>
      </c>
      <c r="L344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48" s="22" t="str">
        <f>HYPERLINK("mailto:vvalladares@crm.otsuka-europe.com", "vvalladares@crm.otsuka-europe.com")</f>
        <v>vvalladares@crm.otsuka-europe.com</v>
      </c>
      <c r="N3448" s="25">
        <v>46213.509409722225</v>
      </c>
      <c r="O3448" s="14" t="str">
        <f>HYPERLINK("https://otsuka-europe-crm.veevavault.com/ui/#object/email_activity__v/V8C000000047201", "EN-002104503")</f>
        <v>EN-002104503</v>
      </c>
    </row>
    <row r="3449" spans="1:15" ht="16" x14ac:dyDescent="0.2">
      <c r="A3449" s="19"/>
      <c r="B3449" s="19"/>
      <c r="C3449" s="19"/>
      <c r="D3449" s="19"/>
      <c r="E3449" s="19"/>
      <c r="F3449" s="19"/>
      <c r="G3449" s="19"/>
      <c r="H3449" s="19"/>
      <c r="I3449" s="19"/>
      <c r="J3449" s="19"/>
      <c r="K3449" s="19"/>
      <c r="L3449" s="19"/>
      <c r="M3449" s="19"/>
      <c r="N3449" s="19"/>
      <c r="O3449" s="14" t="str">
        <f>HYPERLINK("https://otsuka-europe-crm.veevavault.com/ui/#object/email_activity__v/V8C000000048232", "EN-002104718")</f>
        <v>EN-002104718</v>
      </c>
    </row>
    <row r="3450" spans="1:15" ht="64" x14ac:dyDescent="0.2">
      <c r="A3450" s="7" t="str">
        <f>HYPERLINK("https://otsuka-europe-crm.veevavault.com/ui/#object/account__v/V4TZ06G6O71T8Z8", "SARA ESTUPIÑAN TORRES")</f>
        <v>SARA ESTUPIÑAN TORRES</v>
      </c>
      <c r="B3450" s="7" t="str">
        <f>HYPERLINK("https://otsuka-europe-crm.veevavault.com/ui/#object/vcountry__v/VENZ000004SONF5", "ES")</f>
        <v>ES</v>
      </c>
      <c r="C3450" s="8" t="s">
        <v>39</v>
      </c>
      <c r="D345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0" s="10" t="str">
        <f>HYPERLINK("https://otsuka-europe-crm.veevavault.com/ui/#object/sent_email__v/VBL000000035149", "SE-001443330")</f>
        <v>SE-001443330</v>
      </c>
      <c r="F3450" s="11"/>
      <c r="G3450" s="12">
        <v>0</v>
      </c>
      <c r="H3450" s="12">
        <v>0</v>
      </c>
      <c r="I3450" s="12">
        <v>0</v>
      </c>
      <c r="J3450" s="11"/>
      <c r="K3450" s="12">
        <v>0</v>
      </c>
      <c r="L345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0" s="10" t="str">
        <f>HYPERLINK("mailto:vvalladares@crm.otsuka-europe.com", "vvalladares@crm.otsuka-europe.com")</f>
        <v>vvalladares@crm.otsuka-europe.com</v>
      </c>
      <c r="N3450" s="13">
        <v>46213.509398148148</v>
      </c>
      <c r="O3450" s="14" t="str">
        <f>HYPERLINK("https://otsuka-europe-crm.veevavault.com/ui/#object/email_activity__v/V8C000000048141", "EN-002104506")</f>
        <v>EN-002104506</v>
      </c>
    </row>
    <row r="3451" spans="1:15" ht="64" x14ac:dyDescent="0.2">
      <c r="A3451" s="7" t="str">
        <f>HYPERLINK("https://otsuka-europe-crm.veevavault.com/ui/#object/account__v/V4TZ06G6O71T9N0", "MARIA ANGELES COBO CASO")</f>
        <v>MARIA ANGELES COBO CASO</v>
      </c>
      <c r="B3451" s="7" t="str">
        <f>HYPERLINK("https://otsuka-europe-crm.veevavault.com/ui/#object/vcountry__v/VENZ000004SONF5", "ES")</f>
        <v>ES</v>
      </c>
      <c r="C3451" s="8" t="s">
        <v>39</v>
      </c>
      <c r="D345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1" s="10" t="str">
        <f>HYPERLINK("https://otsuka-europe-crm.veevavault.com/ui/#object/sent_email__v/VBL000000035150", "SE-001443331")</f>
        <v>SE-001443331</v>
      </c>
      <c r="F3451" s="11"/>
      <c r="G3451" s="12">
        <v>0</v>
      </c>
      <c r="H3451" s="12">
        <v>0</v>
      </c>
      <c r="I3451" s="12">
        <v>0</v>
      </c>
      <c r="J3451" s="11"/>
      <c r="K3451" s="12">
        <v>0</v>
      </c>
      <c r="L345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1" s="10" t="str">
        <f>HYPERLINK("mailto:vvalladares@crm.otsuka-europe.com", "vvalladares@crm.otsuka-europe.com")</f>
        <v>vvalladares@crm.otsuka-europe.com</v>
      </c>
      <c r="N3451" s="13">
        <v>46213.509421296294</v>
      </c>
      <c r="O3451" s="14" t="str">
        <f>HYPERLINK("https://otsuka-europe-crm.veevavault.com/ui/#object/email_activity__v/V8C000000047225", "EN-002104542")</f>
        <v>EN-002104542</v>
      </c>
    </row>
    <row r="3452" spans="1:15" ht="16" x14ac:dyDescent="0.2">
      <c r="A3452" s="18" t="str">
        <f>HYPERLINK("https://otsuka-europe-crm.veevavault.com/ui/#object/account__v/V4TZ06G6O71T89G", "TERESA VAZQUEZ SANCHEZ")</f>
        <v>TERESA VAZQUEZ SANCHEZ</v>
      </c>
      <c r="B3452" s="18" t="str">
        <f>HYPERLINK("https://otsuka-europe-crm.veevavault.com/ui/#object/vcountry__v/VENZ000004SONF5", "ES")</f>
        <v>ES</v>
      </c>
      <c r="C3452" s="20" t="s">
        <v>39</v>
      </c>
      <c r="D34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2" s="22" t="str">
        <f>HYPERLINK("https://otsuka-europe-crm.veevavault.com/ui/#object/sent_email__v/VBL000000035151", "SE-001443332")</f>
        <v>SE-001443332</v>
      </c>
      <c r="F3452" s="23"/>
      <c r="G3452" s="24">
        <v>0</v>
      </c>
      <c r="H3452" s="24">
        <v>0</v>
      </c>
      <c r="I3452" s="24">
        <v>0</v>
      </c>
      <c r="J3452" s="23"/>
      <c r="K3452" s="24">
        <v>0</v>
      </c>
      <c r="L34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2" s="22" t="str">
        <f>HYPERLINK("mailto:vvalladares@crm.otsuka-europe.com", "vvalladares@crm.otsuka-europe.com")</f>
        <v>vvalladares@crm.otsuka-europe.com</v>
      </c>
      <c r="N3452" s="25">
        <v>46213.509421296294</v>
      </c>
      <c r="O3452" s="14" t="str">
        <f>HYPERLINK("https://otsuka-europe-crm.veevavault.com/ui/#object/email_activity__v/V8C000000048148", "EN-002104513")</f>
        <v>EN-002104513</v>
      </c>
    </row>
    <row r="3453" spans="1:15" ht="16" x14ac:dyDescent="0.2">
      <c r="A3453" s="19"/>
      <c r="B3453" s="19"/>
      <c r="C3453" s="19"/>
      <c r="D3453" s="19"/>
      <c r="E3453" s="19"/>
      <c r="F3453" s="19"/>
      <c r="G3453" s="19"/>
      <c r="H3453" s="19"/>
      <c r="I3453" s="19"/>
      <c r="J3453" s="19"/>
      <c r="K3453" s="19"/>
      <c r="L3453" s="19"/>
      <c r="M3453" s="19"/>
      <c r="N3453" s="19"/>
      <c r="O3453" s="14" t="str">
        <f>HYPERLINK("https://otsuka-europe-crm.veevavault.com/ui/#object/email_activity__v/V8C000000048304", "EN-002104863")</f>
        <v>EN-002104863</v>
      </c>
    </row>
    <row r="3454" spans="1:15" ht="16" x14ac:dyDescent="0.2">
      <c r="A3454" s="18" t="str">
        <f>HYPERLINK("https://otsuka-europe-crm.veevavault.com/ui/#object/account__v/V4TZ06G6O71T8DN", "MARIA PALOMA FLORES PALOMA")</f>
        <v>MARIA PALOMA FLORES PALOMA</v>
      </c>
      <c r="B3454" s="18" t="str">
        <f>HYPERLINK("https://otsuka-europe-crm.veevavault.com/ui/#object/vcountry__v/VENZ000004SONF5", "ES")</f>
        <v>ES</v>
      </c>
      <c r="C3454" s="20" t="s">
        <v>39</v>
      </c>
      <c r="D345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4" s="22" t="str">
        <f>HYPERLINK("https://otsuka-europe-crm.veevavault.com/ui/#object/sent_email__v/VBL000000035152", "SE-001443333")</f>
        <v>SE-001443333</v>
      </c>
      <c r="F3454" s="25">
        <v>46213.509525462963</v>
      </c>
      <c r="G3454" s="24">
        <v>1</v>
      </c>
      <c r="H3454" s="24">
        <v>1</v>
      </c>
      <c r="I3454" s="24">
        <v>0</v>
      </c>
      <c r="J3454" s="23"/>
      <c r="K3454" s="24">
        <v>0</v>
      </c>
      <c r="L345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4" s="22" t="str">
        <f>HYPERLINK("mailto:vvalladares@crm.otsuka-europe.com", "vvalladares@crm.otsuka-europe.com")</f>
        <v>vvalladares@crm.otsuka-europe.com</v>
      </c>
      <c r="N3454" s="25">
        <v>46213.509432870371</v>
      </c>
      <c r="O3454" s="14" t="str">
        <f>HYPERLINK("https://otsuka-europe-crm.veevavault.com/ui/#object/email_activity__v/V8C000000047202", "EN-002104504")</f>
        <v>EN-002104504</v>
      </c>
    </row>
    <row r="3455" spans="1:15" ht="16" x14ac:dyDescent="0.2">
      <c r="A3455" s="19"/>
      <c r="B3455" s="19"/>
      <c r="C3455" s="19"/>
      <c r="D3455" s="19"/>
      <c r="E3455" s="19"/>
      <c r="F3455" s="19"/>
      <c r="G3455" s="19"/>
      <c r="H3455" s="19"/>
      <c r="I3455" s="19"/>
      <c r="J3455" s="19"/>
      <c r="K3455" s="19"/>
      <c r="L3455" s="19"/>
      <c r="M3455" s="19"/>
      <c r="N3455" s="19"/>
      <c r="O3455" s="14" t="str">
        <f>HYPERLINK("https://otsuka-europe-crm.veevavault.com/ui/#object/email_activity__v/V8C000000048155", "EN-002104526")</f>
        <v>EN-002104526</v>
      </c>
    </row>
    <row r="3456" spans="1:15" ht="64" x14ac:dyDescent="0.2">
      <c r="A3456" s="7" t="str">
        <f>HYPERLINK("https://otsuka-europe-crm.veevavault.com/ui/#object/account__v/V4TZ06G6O71TA4Z", "MARIA JOSE GARCIA CORTES")</f>
        <v>MARIA JOSE GARCIA CORTES</v>
      </c>
      <c r="B3456" s="7" t="str">
        <f>HYPERLINK("https://otsuka-europe-crm.veevavault.com/ui/#object/vcountry__v/VENZ000004SONF5", "ES")</f>
        <v>ES</v>
      </c>
      <c r="C3456" s="8" t="s">
        <v>39</v>
      </c>
      <c r="D345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6" s="10" t="str">
        <f>HYPERLINK("https://otsuka-europe-crm.veevavault.com/ui/#object/sent_email__v/VBL000000035153", "SE-001443334")</f>
        <v>SE-001443334</v>
      </c>
      <c r="F3456" s="11"/>
      <c r="G3456" s="12">
        <v>0</v>
      </c>
      <c r="H3456" s="12">
        <v>0</v>
      </c>
      <c r="I3456" s="12">
        <v>0</v>
      </c>
      <c r="J3456" s="11"/>
      <c r="K3456" s="12">
        <v>0</v>
      </c>
      <c r="L345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6" s="10" t="str">
        <f>HYPERLINK("mailto:vvalladares@crm.otsuka-europe.com", "vvalladares@crm.otsuka-europe.com")</f>
        <v>vvalladares@crm.otsuka-europe.com</v>
      </c>
      <c r="N3456" s="13">
        <v>46213.509421296294</v>
      </c>
      <c r="O3456" s="14" t="str">
        <f>HYPERLINK("https://otsuka-europe-crm.veevavault.com/ui/#object/email_activity__v/V8C000000047209", "EN-002104521")</f>
        <v>EN-002104521</v>
      </c>
    </row>
    <row r="3457" spans="1:15" ht="64" x14ac:dyDescent="0.2">
      <c r="A3457" s="7" t="str">
        <f>HYPERLINK("https://otsuka-europe-crm.veevavault.com/ui/#object/account__v/V4TZ025E86ZTKRN", "MARIA LUISA GARNICA ALVAREZ")</f>
        <v>MARIA LUISA GARNICA ALVAREZ</v>
      </c>
      <c r="B3457" s="7" t="str">
        <f>HYPERLINK("https://otsuka-europe-crm.veevavault.com/ui/#object/vcountry__v/VENZ000004SONF5", "ES")</f>
        <v>ES</v>
      </c>
      <c r="C3457" s="8" t="s">
        <v>39</v>
      </c>
      <c r="D345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7" s="10" t="str">
        <f>HYPERLINK("https://otsuka-europe-crm.veevavault.com/ui/#object/sent_email__v/VBL000000035154", "SE-001443335")</f>
        <v>SE-001443335</v>
      </c>
      <c r="F3457" s="11"/>
      <c r="G3457" s="12">
        <v>0</v>
      </c>
      <c r="H3457" s="12">
        <v>0</v>
      </c>
      <c r="I3457" s="12">
        <v>0</v>
      </c>
      <c r="J3457" s="11"/>
      <c r="K3457" s="12">
        <v>0</v>
      </c>
      <c r="L345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7" s="10" t="str">
        <f>HYPERLINK("mailto:vvalladares@crm.otsuka-europe.com", "vvalladares@crm.otsuka-europe.com")</f>
        <v>vvalladares@crm.otsuka-europe.com</v>
      </c>
      <c r="N3457" s="13">
        <v>46213.509432870371</v>
      </c>
      <c r="O3457" s="14" t="str">
        <f>HYPERLINK("https://otsuka-europe-crm.veevavault.com/ui/#object/email_activity__v/V8C000000048143", "EN-002104508")</f>
        <v>EN-002104508</v>
      </c>
    </row>
    <row r="3458" spans="1:15" ht="16" x14ac:dyDescent="0.2">
      <c r="A3458" s="18" t="str">
        <f>HYPERLINK("https://otsuka-europe-crm.veevavault.com/ui/#object/account__v/V4TZ04ASG6LSXXR", "EDISSON RUDAS BERMUDEZ")</f>
        <v>EDISSON RUDAS BERMUDEZ</v>
      </c>
      <c r="B3458" s="18" t="str">
        <f>HYPERLINK("https://otsuka-europe-crm.veevavault.com/ui/#object/vcountry__v/VENZ000004SONF5", "ES")</f>
        <v>ES</v>
      </c>
      <c r="C3458" s="20" t="s">
        <v>39</v>
      </c>
      <c r="D345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58" s="22" t="str">
        <f>HYPERLINK("https://otsuka-europe-crm.veevavault.com/ui/#object/sent_email__v/VBL000000035155", "SE-001443336")</f>
        <v>SE-001443336</v>
      </c>
      <c r="F3458" s="25">
        <v>46213.509571759256</v>
      </c>
      <c r="G3458" s="24">
        <v>1</v>
      </c>
      <c r="H3458" s="24">
        <v>1</v>
      </c>
      <c r="I3458" s="24">
        <v>0</v>
      </c>
      <c r="J3458" s="23"/>
      <c r="K3458" s="24">
        <v>0</v>
      </c>
      <c r="L345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58" s="22" t="str">
        <f>HYPERLINK("mailto:vvalladares@crm.otsuka-europe.com", "vvalladares@crm.otsuka-europe.com")</f>
        <v>vvalladares@crm.otsuka-europe.com</v>
      </c>
      <c r="N3458" s="25">
        <v>46213.509432870371</v>
      </c>
      <c r="O3458" s="14" t="str">
        <f>HYPERLINK("https://otsuka-europe-crm.veevavault.com/ui/#object/email_activity__v/V8C000000047203", "EN-002104505")</f>
        <v>EN-002104505</v>
      </c>
    </row>
    <row r="3459" spans="1:15" ht="16" x14ac:dyDescent="0.2">
      <c r="A3459" s="19"/>
      <c r="B3459" s="19"/>
      <c r="C3459" s="19"/>
      <c r="D3459" s="19"/>
      <c r="E3459" s="19"/>
      <c r="F3459" s="19"/>
      <c r="G3459" s="19"/>
      <c r="H3459" s="19"/>
      <c r="I3459" s="19"/>
      <c r="J3459" s="19"/>
      <c r="K3459" s="19"/>
      <c r="L3459" s="19"/>
      <c r="M3459" s="19"/>
      <c r="N3459" s="19"/>
      <c r="O3459" s="14" t="str">
        <f>HYPERLINK("https://otsuka-europe-crm.veevavault.com/ui/#object/email_activity__v/V8C000000047235", "EN-002104552")</f>
        <v>EN-002104552</v>
      </c>
    </row>
    <row r="3460" spans="1:15" ht="64" x14ac:dyDescent="0.2">
      <c r="A3460" s="7" t="str">
        <f>HYPERLINK("https://otsuka-europe-crm.veevavault.com/ui/#object/account__v/V4TZ025E838Q4FL", "MARIA MARTINEZ MANRIQUE")</f>
        <v>MARIA MARTINEZ MANRIQUE</v>
      </c>
      <c r="B3460" s="7" t="str">
        <f>HYPERLINK("https://otsuka-europe-crm.veevavault.com/ui/#object/vcountry__v/VENZ000004SONF5", "ES")</f>
        <v>ES</v>
      </c>
      <c r="C3460" s="8" t="s">
        <v>39</v>
      </c>
      <c r="D346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0" s="10" t="str">
        <f>HYPERLINK("https://otsuka-europe-crm.veevavault.com/ui/#object/sent_email__v/VBL000000035156", "SE-001443337")</f>
        <v>SE-001443337</v>
      </c>
      <c r="F3460" s="11"/>
      <c r="G3460" s="12">
        <v>0</v>
      </c>
      <c r="H3460" s="12">
        <v>0</v>
      </c>
      <c r="I3460" s="12">
        <v>0</v>
      </c>
      <c r="J3460" s="11"/>
      <c r="K3460" s="12">
        <v>0</v>
      </c>
      <c r="L346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0" s="10" t="str">
        <f>HYPERLINK("mailto:vvalladares@crm.otsuka-europe.com", "vvalladares@crm.otsuka-europe.com")</f>
        <v>vvalladares@crm.otsuka-europe.com</v>
      </c>
      <c r="N3460" s="13">
        <v>46213.509606481479</v>
      </c>
      <c r="O3460" s="14" t="str">
        <f>HYPERLINK("https://otsuka-europe-crm.veevavault.com/ui/#object/email_activity__v/V8C000000048167", "EN-002104575")</f>
        <v>EN-002104575</v>
      </c>
    </row>
    <row r="3461" spans="1:15" ht="64" x14ac:dyDescent="0.2">
      <c r="A3461" s="7" t="str">
        <f>HYPERLINK("https://otsuka-europe-crm.veevavault.com/ui/#object/account__v/V4TZ06G6O71T7OH", "DIEGO ALVAREZ SOSA")</f>
        <v>DIEGO ALVAREZ SOSA</v>
      </c>
      <c r="B3461" s="7" t="str">
        <f>HYPERLINK("https://otsuka-europe-crm.veevavault.com/ui/#object/vcountry__v/VENZ000004SONF5", "ES")</f>
        <v>ES</v>
      </c>
      <c r="C3461" s="8" t="s">
        <v>39</v>
      </c>
      <c r="D346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1" s="10" t="str">
        <f>HYPERLINK("https://otsuka-europe-crm.veevavault.com/ui/#object/sent_email__v/VBL000000035157", "SE-001443338")</f>
        <v>SE-001443338</v>
      </c>
      <c r="F3461" s="11"/>
      <c r="G3461" s="12">
        <v>0</v>
      </c>
      <c r="H3461" s="12">
        <v>0</v>
      </c>
      <c r="I3461" s="12">
        <v>0</v>
      </c>
      <c r="J3461" s="11"/>
      <c r="K3461" s="12">
        <v>0</v>
      </c>
      <c r="L346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1" s="10" t="str">
        <f>HYPERLINK("mailto:vvalladares@crm.otsuka-europe.com", "vvalladares@crm.otsuka-europe.com")</f>
        <v>vvalladares@crm.otsuka-europe.com</v>
      </c>
      <c r="N3461" s="13">
        <v>46213.509583333333</v>
      </c>
      <c r="O3461" s="14" t="str">
        <f>HYPERLINK("https://otsuka-europe-crm.veevavault.com/ui/#object/email_activity__v/V8C000000047229", "EN-002104546")</f>
        <v>EN-002104546</v>
      </c>
    </row>
    <row r="3462" spans="1:15" ht="64" x14ac:dyDescent="0.2">
      <c r="A3462" s="7" t="str">
        <f>HYPERLINK("https://otsuka-europe-crm.veevavault.com/ui/#object/account__v/V4TZ06G6O71T9UO", "RAFAEL FRANQUELO SOLER")</f>
        <v>RAFAEL FRANQUELO SOLER</v>
      </c>
      <c r="B3462" s="7" t="str">
        <f>HYPERLINK("https://otsuka-europe-crm.veevavault.com/ui/#object/vcountry__v/VENZ000004SONF5", "ES")</f>
        <v>ES</v>
      </c>
      <c r="C3462" s="8" t="s">
        <v>39</v>
      </c>
      <c r="D346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2" s="10" t="str">
        <f>HYPERLINK("https://otsuka-europe-crm.veevavault.com/ui/#object/sent_email__v/VBL000000035158", "SE-001443339")</f>
        <v>SE-001443339</v>
      </c>
      <c r="F3462" s="11"/>
      <c r="G3462" s="12">
        <v>0</v>
      </c>
      <c r="H3462" s="12">
        <v>0</v>
      </c>
      <c r="I3462" s="12">
        <v>0</v>
      </c>
      <c r="J3462" s="11"/>
      <c r="K3462" s="12">
        <v>0</v>
      </c>
      <c r="L346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2" s="10" t="str">
        <f>HYPERLINK("mailto:vvalladares@crm.otsuka-europe.com", "vvalladares@crm.otsuka-europe.com")</f>
        <v>vvalladares@crm.otsuka-europe.com</v>
      </c>
      <c r="N3462" s="13">
        <v>46213.509583333333</v>
      </c>
      <c r="O3462" s="14" t="str">
        <f>HYPERLINK("https://otsuka-europe-crm.veevavault.com/ui/#object/email_activity__v/V8C000000047268", "EN-002104617")</f>
        <v>EN-002104617</v>
      </c>
    </row>
    <row r="3463" spans="1:15" ht="16" x14ac:dyDescent="0.2">
      <c r="A3463" s="18" t="str">
        <f>HYPERLINK("https://otsuka-europe-crm.veevavault.com/ui/#object/account__v/V4TZ06G6O71T8IZ", "LAURA PIQUERO CALLEJA")</f>
        <v>LAURA PIQUERO CALLEJA</v>
      </c>
      <c r="B3463" s="18" t="str">
        <f>HYPERLINK("https://otsuka-europe-crm.veevavault.com/ui/#object/vcountry__v/VENZ000004SONF5", "ES")</f>
        <v>ES</v>
      </c>
      <c r="C3463" s="20" t="s">
        <v>39</v>
      </c>
      <c r="D346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3" s="22" t="str">
        <f>HYPERLINK("https://otsuka-europe-crm.veevavault.com/ui/#object/sent_email__v/VBL000000035159", "SE-001443340")</f>
        <v>SE-001443340</v>
      </c>
      <c r="F3463" s="25">
        <v>46214.308749999997</v>
      </c>
      <c r="G3463" s="24">
        <v>1</v>
      </c>
      <c r="H3463" s="24">
        <v>1</v>
      </c>
      <c r="I3463" s="24">
        <v>0</v>
      </c>
      <c r="J3463" s="23"/>
      <c r="K3463" s="24">
        <v>0</v>
      </c>
      <c r="L346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3" s="22" t="str">
        <f>HYPERLINK("mailto:vvalladares@crm.otsuka-europe.com", "vvalladares@crm.otsuka-europe.com")</f>
        <v>vvalladares@crm.otsuka-europe.com</v>
      </c>
      <c r="N3463" s="25">
        <v>46213.509583333333</v>
      </c>
      <c r="O3463" s="14" t="str">
        <f>HYPERLINK("https://otsuka-europe-crm.veevavault.com/ui/#object/email_activity__v/V8C000000047236", "EN-002104553")</f>
        <v>EN-002104553</v>
      </c>
    </row>
    <row r="3464" spans="1:15" ht="16" x14ac:dyDescent="0.2">
      <c r="A3464" s="19"/>
      <c r="B3464" s="19"/>
      <c r="C3464" s="19"/>
      <c r="D3464" s="19"/>
      <c r="E3464" s="19"/>
      <c r="F3464" s="19"/>
      <c r="G3464" s="19"/>
      <c r="H3464" s="19"/>
      <c r="I3464" s="19"/>
      <c r="J3464" s="19"/>
      <c r="K3464" s="19"/>
      <c r="L3464" s="19"/>
      <c r="M3464" s="19"/>
      <c r="N3464" s="19"/>
      <c r="O3464" s="14" t="str">
        <f>HYPERLINK("https://otsuka-europe-crm.veevavault.com/ui/#object/email_activity__v/V8C00000004A007", "EN-002104881")</f>
        <v>EN-002104881</v>
      </c>
    </row>
    <row r="3465" spans="1:15" ht="16" x14ac:dyDescent="0.2">
      <c r="A3465" s="18" t="str">
        <f>HYPERLINK("https://otsuka-europe-crm.veevavault.com/ui/#object/account__v/V4TZ06G6O71TAJ0", "CLAUDIO JOSE HORNOS HORNOS")</f>
        <v>CLAUDIO JOSE HORNOS HORNOS</v>
      </c>
      <c r="B3465" s="18" t="str">
        <f>HYPERLINK("https://otsuka-europe-crm.veevavault.com/ui/#object/vcountry__v/VENZ000004SONF5", "ES")</f>
        <v>ES</v>
      </c>
      <c r="C3465" s="20" t="s">
        <v>39</v>
      </c>
      <c r="D346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5" s="22" t="str">
        <f>HYPERLINK("https://otsuka-europe-crm.veevavault.com/ui/#object/sent_email__v/VBL000000035160", "SE-001443341")</f>
        <v>SE-001443341</v>
      </c>
      <c r="F3465" s="25">
        <v>46213.509791666664</v>
      </c>
      <c r="G3465" s="24">
        <v>1</v>
      </c>
      <c r="H3465" s="24">
        <v>2</v>
      </c>
      <c r="I3465" s="24">
        <v>0</v>
      </c>
      <c r="J3465" s="23"/>
      <c r="K3465" s="24">
        <v>0</v>
      </c>
      <c r="L346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5" s="22" t="str">
        <f>HYPERLINK("mailto:vvalladares@crm.otsuka-europe.com", "vvalladares@crm.otsuka-europe.com")</f>
        <v>vvalladares@crm.otsuka-europe.com</v>
      </c>
      <c r="N3465" s="25">
        <v>46213.509606481479</v>
      </c>
      <c r="O3465" s="14" t="str">
        <f>HYPERLINK("https://otsuka-europe-crm.veevavault.com/ui/#object/email_activity__v/V8C000000047247", "EN-002104586")</f>
        <v>EN-002104586</v>
      </c>
    </row>
    <row r="3466" spans="1:15" ht="16" x14ac:dyDescent="0.2">
      <c r="A3466" s="26"/>
      <c r="B3466" s="26"/>
      <c r="C3466" s="26"/>
      <c r="D3466" s="26"/>
      <c r="E3466" s="26"/>
      <c r="F3466" s="26"/>
      <c r="G3466" s="26"/>
      <c r="H3466" s="26"/>
      <c r="I3466" s="26"/>
      <c r="J3466" s="26"/>
      <c r="K3466" s="26"/>
      <c r="L3466" s="26"/>
      <c r="M3466" s="26"/>
      <c r="N3466" s="26"/>
      <c r="O3466" s="14" t="str">
        <f>HYPERLINK("https://otsuka-europe-crm.veevavault.com/ui/#object/email_activity__v/V8C000000047262", "EN-002104611")</f>
        <v>EN-002104611</v>
      </c>
    </row>
    <row r="3467" spans="1:15" ht="16" x14ac:dyDescent="0.2">
      <c r="A3467" s="19"/>
      <c r="B3467" s="19"/>
      <c r="C3467" s="19"/>
      <c r="D3467" s="19"/>
      <c r="E3467" s="19"/>
      <c r="F3467" s="19"/>
      <c r="G3467" s="19"/>
      <c r="H3467" s="19"/>
      <c r="I3467" s="19"/>
      <c r="J3467" s="19"/>
      <c r="K3467" s="19"/>
      <c r="L3467" s="19"/>
      <c r="M3467" s="19"/>
      <c r="N3467" s="19"/>
      <c r="O3467" s="14" t="str">
        <f>HYPERLINK("https://otsuka-europe-crm.veevavault.com/ui/#object/email_activity__v/V8C000000048173", "EN-002104581")</f>
        <v>EN-002104581</v>
      </c>
    </row>
    <row r="3468" spans="1:15" ht="64" x14ac:dyDescent="0.2">
      <c r="A3468" s="7" t="str">
        <f>HYPERLINK("https://otsuka-europe-crm.veevavault.com/ui/#object/account__v/V4TZ04ASG9B14WZ", "CARLA RODRIGUEZ ALVAREZ")</f>
        <v>CARLA RODRIGUEZ ALVAREZ</v>
      </c>
      <c r="B3468" s="7" t="str">
        <f>HYPERLINK("https://otsuka-europe-crm.veevavault.com/ui/#object/vcountry__v/VENZ000004SONF5", "ES")</f>
        <v>ES</v>
      </c>
      <c r="C3468" s="8" t="s">
        <v>39</v>
      </c>
      <c r="D346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8" s="10" t="str">
        <f>HYPERLINK("https://otsuka-europe-crm.veevavault.com/ui/#object/sent_email__v/VBL000000035161", "SE-001443342")</f>
        <v>SE-001443342</v>
      </c>
      <c r="F3468" s="11"/>
      <c r="G3468" s="12">
        <v>0</v>
      </c>
      <c r="H3468" s="12">
        <v>0</v>
      </c>
      <c r="I3468" s="12">
        <v>0</v>
      </c>
      <c r="J3468" s="11"/>
      <c r="K3468" s="12">
        <v>0</v>
      </c>
      <c r="L346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8" s="10" t="str">
        <f>HYPERLINK("mailto:vvalladares@crm.otsuka-europe.com", "vvalladares@crm.otsuka-europe.com")</f>
        <v>vvalladares@crm.otsuka-europe.com</v>
      </c>
      <c r="N3468" s="13">
        <v>46213.509583333333</v>
      </c>
      <c r="O3468" s="14" t="str">
        <f>HYPERLINK("https://otsuka-europe-crm.veevavault.com/ui/#object/email_activity__v/V8C000000047254", "EN-002104593")</f>
        <v>EN-002104593</v>
      </c>
    </row>
    <row r="3469" spans="1:15" ht="64" x14ac:dyDescent="0.2">
      <c r="A3469" s="7" t="str">
        <f>HYPERLINK("https://otsuka-europe-crm.veevavault.com/ui/#object/account__v/V4TZ06G6O71TCJW", "MIGUEL GIOVANNI URIOL RIVERA")</f>
        <v>MIGUEL GIOVANNI URIOL RIVERA</v>
      </c>
      <c r="B3469" s="7" t="str">
        <f>HYPERLINK("https://otsuka-europe-crm.veevavault.com/ui/#object/vcountry__v/VENZ000004SONF5", "ES")</f>
        <v>ES</v>
      </c>
      <c r="C3469" s="8" t="s">
        <v>39</v>
      </c>
      <c r="D346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69" s="10" t="str">
        <f>HYPERLINK("https://otsuka-europe-crm.veevavault.com/ui/#object/sent_email__v/VBL000000035162", "SE-001443343")</f>
        <v>SE-001443343</v>
      </c>
      <c r="F3469" s="11"/>
      <c r="G3469" s="12">
        <v>0</v>
      </c>
      <c r="H3469" s="12">
        <v>0</v>
      </c>
      <c r="I3469" s="12">
        <v>0</v>
      </c>
      <c r="J3469" s="11"/>
      <c r="K3469" s="12">
        <v>0</v>
      </c>
      <c r="L346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69" s="10" t="str">
        <f>HYPERLINK("mailto:vvalladares@crm.otsuka-europe.com", "vvalladares@crm.otsuka-europe.com")</f>
        <v>vvalladares@crm.otsuka-europe.com</v>
      </c>
      <c r="N3469" s="13">
        <v>46213.509583333333</v>
      </c>
      <c r="O3469" s="14" t="str">
        <f>HYPERLINK("https://otsuka-europe-crm.veevavault.com/ui/#object/email_activity__v/V8C000000047230", "EN-002104547")</f>
        <v>EN-002104547</v>
      </c>
    </row>
    <row r="3470" spans="1:15" ht="16" x14ac:dyDescent="0.2">
      <c r="A3470" s="18" t="str">
        <f>HYPERLINK("https://otsuka-europe-crm.veevavault.com/ui/#object/account__v/V4TZ06G6O71T757", "MONICA MARTIN VELAZQUEZ")</f>
        <v>MONICA MARTIN VELAZQUEZ</v>
      </c>
      <c r="B3470" s="18" t="str">
        <f>HYPERLINK("https://otsuka-europe-crm.veevavault.com/ui/#object/vcountry__v/VENZ000004SONF5", "ES")</f>
        <v>ES</v>
      </c>
      <c r="C3470" s="20" t="s">
        <v>39</v>
      </c>
      <c r="D347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70" s="22" t="str">
        <f>HYPERLINK("https://otsuka-europe-crm.veevavault.com/ui/#object/sent_email__v/VBL000000035163", "SE-001443344")</f>
        <v>SE-001443344</v>
      </c>
      <c r="F3470" s="23"/>
      <c r="G3470" s="24">
        <v>0</v>
      </c>
      <c r="H3470" s="24">
        <v>0</v>
      </c>
      <c r="I3470" s="24">
        <v>0</v>
      </c>
      <c r="J3470" s="23"/>
      <c r="K3470" s="24">
        <v>0</v>
      </c>
      <c r="L347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70" s="22" t="str">
        <f>HYPERLINK("mailto:vvalladares@crm.otsuka-europe.com", "vvalladares@crm.otsuka-europe.com")</f>
        <v>vvalladares@crm.otsuka-europe.com</v>
      </c>
      <c r="N3470" s="25">
        <v>46213.509594907409</v>
      </c>
      <c r="O3470" s="14" t="str">
        <f>HYPERLINK("https://otsuka-europe-crm.veevavault.com/ui/#object/email_activity__v/V8C000000048164", "EN-002104572")</f>
        <v>EN-002104572</v>
      </c>
    </row>
    <row r="3471" spans="1:15" ht="16" x14ac:dyDescent="0.2">
      <c r="A3471" s="19"/>
      <c r="B3471" s="19"/>
      <c r="C3471" s="19"/>
      <c r="D3471" s="19"/>
      <c r="E3471" s="19"/>
      <c r="F3471" s="19"/>
      <c r="G3471" s="19"/>
      <c r="H3471" s="19"/>
      <c r="I3471" s="19"/>
      <c r="J3471" s="19"/>
      <c r="K3471" s="19"/>
      <c r="L3471" s="19"/>
      <c r="M3471" s="19"/>
      <c r="N3471" s="19"/>
      <c r="O3471" s="14" t="str">
        <f>HYPERLINK("https://otsuka-europe-crm.veevavault.com/ui/#object/email_activity__v/V8C00000004A038", "EN-002104941")</f>
        <v>EN-002104941</v>
      </c>
    </row>
    <row r="3472" spans="1:15" ht="16" x14ac:dyDescent="0.2">
      <c r="A3472" s="18" t="str">
        <f>HYPERLINK("https://otsuka-europe-crm.veevavault.com/ui/#object/account__v/V4TZ04ASG6TK5QC", "MARIA ROSA ESCAÑO MARIN")</f>
        <v>MARIA ROSA ESCAÑO MARIN</v>
      </c>
      <c r="B3472" s="18" t="str">
        <f>HYPERLINK("https://otsuka-europe-crm.veevavault.com/ui/#object/vcountry__v/VENZ000004SONF5", "ES")</f>
        <v>ES</v>
      </c>
      <c r="C3472" s="20" t="s">
        <v>39</v>
      </c>
      <c r="D34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72" s="22" t="str">
        <f>HYPERLINK("https://otsuka-europe-crm.veevavault.com/ui/#object/sent_email__v/VBL000000035164", "SE-001443345")</f>
        <v>SE-001443345</v>
      </c>
      <c r="F3472" s="25">
        <v>46213.513842592591</v>
      </c>
      <c r="G3472" s="24">
        <v>1</v>
      </c>
      <c r="H3472" s="24">
        <v>1</v>
      </c>
      <c r="I3472" s="24">
        <v>0</v>
      </c>
      <c r="J3472" s="23"/>
      <c r="K3472" s="24">
        <v>0</v>
      </c>
      <c r="L34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72" s="22" t="str">
        <f>HYPERLINK("mailto:vvalladares@crm.otsuka-europe.com", "vvalladares@crm.otsuka-europe.com")</f>
        <v>vvalladares@crm.otsuka-europe.com</v>
      </c>
      <c r="N3472" s="25">
        <v>46213.509606481479</v>
      </c>
      <c r="O3472" s="14" t="str">
        <f>HYPERLINK("https://otsuka-europe-crm.veevavault.com/ui/#object/email_activity__v/V8C000000047311", "EN-002104678")</f>
        <v>EN-002104678</v>
      </c>
    </row>
    <row r="3473" spans="1:15" ht="16" x14ac:dyDescent="0.2">
      <c r="A3473" s="19"/>
      <c r="B3473" s="19"/>
      <c r="C3473" s="19"/>
      <c r="D3473" s="19"/>
      <c r="E3473" s="19"/>
      <c r="F3473" s="19"/>
      <c r="G3473" s="19"/>
      <c r="H3473" s="19"/>
      <c r="I3473" s="19"/>
      <c r="J3473" s="19"/>
      <c r="K3473" s="19"/>
      <c r="L3473" s="19"/>
      <c r="M3473" s="19"/>
      <c r="N3473" s="19"/>
      <c r="O3473" s="14" t="str">
        <f>HYPERLINK("https://otsuka-europe-crm.veevavault.com/ui/#object/email_activity__v/V8C000000048175", "EN-002104583")</f>
        <v>EN-002104583</v>
      </c>
    </row>
    <row r="3474" spans="1:15" ht="16" x14ac:dyDescent="0.2">
      <c r="A3474" s="18" t="str">
        <f>HYPERLINK("https://otsuka-europe-crm.veevavault.com/ui/#object/account__v/V4TZ06G6OCEHQSC", "GERMAN PEREZ SUAREZ")</f>
        <v>GERMAN PEREZ SUAREZ</v>
      </c>
      <c r="B3474" s="18" t="str">
        <f>HYPERLINK("https://otsuka-europe-crm.veevavault.com/ui/#object/vcountry__v/VENZ000004SONF5", "ES")</f>
        <v>ES</v>
      </c>
      <c r="C3474" s="20" t="s">
        <v>39</v>
      </c>
      <c r="D347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74" s="22" t="str">
        <f>HYPERLINK("https://otsuka-europe-crm.veevavault.com/ui/#object/sent_email__v/VBL000000035165", "SE-001443346")</f>
        <v>SE-001443346</v>
      </c>
      <c r="F3474" s="23"/>
      <c r="G3474" s="24">
        <v>0</v>
      </c>
      <c r="H3474" s="24">
        <v>0</v>
      </c>
      <c r="I3474" s="24">
        <v>0</v>
      </c>
      <c r="J3474" s="23"/>
      <c r="K3474" s="24">
        <v>0</v>
      </c>
      <c r="L347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74" s="22" t="str">
        <f>HYPERLINK("mailto:vvalladares@crm.otsuka-europe.com", "vvalladares@crm.otsuka-europe.com")</f>
        <v>vvalladares@crm.otsuka-europe.com</v>
      </c>
      <c r="N3474" s="25">
        <v>46213.509583333333</v>
      </c>
      <c r="O3474" s="14" t="str">
        <f>HYPERLINK("https://otsuka-europe-crm.veevavault.com/ui/#object/email_activity__v/V8C000000047317", "EN-002104690")</f>
        <v>EN-002104690</v>
      </c>
    </row>
    <row r="3475" spans="1:15" ht="16" x14ac:dyDescent="0.2">
      <c r="A3475" s="19"/>
      <c r="B3475" s="19"/>
      <c r="C3475" s="19"/>
      <c r="D3475" s="19"/>
      <c r="E3475" s="19"/>
      <c r="F3475" s="19"/>
      <c r="G3475" s="19"/>
      <c r="H3475" s="19"/>
      <c r="I3475" s="19"/>
      <c r="J3475" s="19"/>
      <c r="K3475" s="19"/>
      <c r="L3475" s="19"/>
      <c r="M3475" s="19"/>
      <c r="N3475" s="19"/>
      <c r="O3475" s="14" t="str">
        <f>HYPERLINK("https://otsuka-europe-crm.veevavault.com/ui/#object/email_activity__v/V8C000000048158", "EN-002104557")</f>
        <v>EN-002104557</v>
      </c>
    </row>
    <row r="3476" spans="1:15" ht="64" x14ac:dyDescent="0.2">
      <c r="A3476" s="7" t="str">
        <f>HYPERLINK("https://otsuka-europe-crm.veevavault.com/ui/#object/account__v/V4TZ06G6O71TA69", "FRANCISCO JAVIER GONZALEZ MARTINEZ")</f>
        <v>FRANCISCO JAVIER GONZALEZ MARTINEZ</v>
      </c>
      <c r="B3476" s="7" t="str">
        <f>HYPERLINK("https://otsuka-europe-crm.veevavault.com/ui/#object/vcountry__v/VENZ000004SONF5", "ES")</f>
        <v>ES</v>
      </c>
      <c r="C3476" s="8" t="s">
        <v>39</v>
      </c>
      <c r="D347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76" s="10" t="str">
        <f>HYPERLINK("https://otsuka-europe-crm.veevavault.com/ui/#object/sent_email__v/VBL000000035166", "SE-001443347")</f>
        <v>SE-001443347</v>
      </c>
      <c r="F3476" s="11"/>
      <c r="G3476" s="12">
        <v>0</v>
      </c>
      <c r="H3476" s="12">
        <v>0</v>
      </c>
      <c r="I3476" s="12">
        <v>0</v>
      </c>
      <c r="J3476" s="11"/>
      <c r="K3476" s="12">
        <v>0</v>
      </c>
      <c r="L347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76" s="10" t="str">
        <f>HYPERLINK("mailto:vvalladares@crm.otsuka-europe.com", "vvalladares@crm.otsuka-europe.com")</f>
        <v>vvalladares@crm.otsuka-europe.com</v>
      </c>
      <c r="N3476" s="13">
        <v>46213.509583333333</v>
      </c>
      <c r="O3476" s="14" t="str">
        <f>HYPERLINK("https://otsuka-europe-crm.veevavault.com/ui/#object/email_activity__v/V8C000000047251", "EN-002104590")</f>
        <v>EN-002104590</v>
      </c>
    </row>
    <row r="3477" spans="1:15" ht="16" x14ac:dyDescent="0.2">
      <c r="A3477" s="18" t="str">
        <f>HYPERLINK("https://otsuka-europe-crm.veevavault.com/ui/#object/account__v/V4TZ06G6O71TB7T", "ROSA MARIA MIQUEL RODRIGUEZ")</f>
        <v>ROSA MARIA MIQUEL RODRIGUEZ</v>
      </c>
      <c r="B3477" s="18" t="str">
        <f>HYPERLINK("https://otsuka-europe-crm.veevavault.com/ui/#object/vcountry__v/VENZ000004SONF5", "ES")</f>
        <v>ES</v>
      </c>
      <c r="C3477" s="20" t="s">
        <v>39</v>
      </c>
      <c r="D347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77" s="22" t="str">
        <f>HYPERLINK("https://otsuka-europe-crm.veevavault.com/ui/#object/sent_email__v/VBL000000035167", "SE-001443348")</f>
        <v>SE-001443348</v>
      </c>
      <c r="F3477" s="25">
        <v>46213.509675925925</v>
      </c>
      <c r="G3477" s="24">
        <v>1</v>
      </c>
      <c r="H3477" s="24">
        <v>1</v>
      </c>
      <c r="I3477" s="24">
        <v>0</v>
      </c>
      <c r="J3477" s="23"/>
      <c r="K3477" s="24">
        <v>0</v>
      </c>
      <c r="L347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77" s="22" t="str">
        <f>HYPERLINK("mailto:vvalladares@crm.otsuka-europe.com", "vvalladares@crm.otsuka-europe.com")</f>
        <v>vvalladares@crm.otsuka-europe.com</v>
      </c>
      <c r="N3477" s="25">
        <v>46213.509606481479</v>
      </c>
      <c r="O3477" s="14" t="str">
        <f>HYPERLINK("https://otsuka-europe-crm.veevavault.com/ui/#object/email_activity__v/V8C000000047255", "EN-002104594")</f>
        <v>EN-002104594</v>
      </c>
    </row>
    <row r="3478" spans="1:15" ht="16" x14ac:dyDescent="0.2">
      <c r="A3478" s="26"/>
      <c r="B3478" s="26"/>
      <c r="C3478" s="26"/>
      <c r="D3478" s="26"/>
      <c r="E3478" s="26"/>
      <c r="F3478" s="26"/>
      <c r="G3478" s="26"/>
      <c r="H3478" s="26"/>
      <c r="I3478" s="26"/>
      <c r="J3478" s="26"/>
      <c r="K3478" s="26"/>
      <c r="L3478" s="26"/>
      <c r="M3478" s="26"/>
      <c r="N3478" s="26"/>
      <c r="O3478" s="14" t="str">
        <f>HYPERLINK("https://otsuka-europe-crm.veevavault.com/ui/#object/email_activity__v/V8C000000048166", "EN-002104574")</f>
        <v>EN-002104574</v>
      </c>
    </row>
    <row r="3479" spans="1:15" ht="16" x14ac:dyDescent="0.2">
      <c r="A3479" s="26"/>
      <c r="B3479" s="26"/>
      <c r="C3479" s="26"/>
      <c r="D3479" s="26"/>
      <c r="E3479" s="26"/>
      <c r="F3479" s="26"/>
      <c r="G3479" s="26"/>
      <c r="H3479" s="26"/>
      <c r="I3479" s="26"/>
      <c r="J3479" s="26"/>
      <c r="K3479" s="26"/>
      <c r="L3479" s="26"/>
      <c r="M3479" s="26"/>
      <c r="N3479" s="26"/>
      <c r="O3479" s="14" t="str">
        <f>HYPERLINK("https://otsuka-europe-crm.veevavault.com/ui/#object/email_activity__v/V8C000000049443", "EN-002105681")</f>
        <v>EN-002105681</v>
      </c>
    </row>
    <row r="3480" spans="1:15" ht="16" x14ac:dyDescent="0.2">
      <c r="A3480" s="19"/>
      <c r="B3480" s="19"/>
      <c r="C3480" s="19"/>
      <c r="D3480" s="19"/>
      <c r="E3480" s="19"/>
      <c r="F3480" s="19"/>
      <c r="G3480" s="19"/>
      <c r="H3480" s="19"/>
      <c r="I3480" s="19"/>
      <c r="J3480" s="19"/>
      <c r="K3480" s="19"/>
      <c r="L3480" s="19"/>
      <c r="M3480" s="19"/>
      <c r="N3480" s="19"/>
      <c r="O3480" s="14" t="str">
        <f>HYPERLINK("https://otsuka-europe-crm.veevavault.com/ui/#object/email_activity__v/V8C00000004E327", "EN-002109006")</f>
        <v>EN-002109006</v>
      </c>
    </row>
    <row r="3481" spans="1:15" ht="16" x14ac:dyDescent="0.2">
      <c r="A3481" s="18" t="str">
        <f>HYPERLINK("https://otsuka-europe-crm.veevavault.com/ui/#object/account__v/V4TZ06G6O71TA9O", "PILAR HIDALGO GUZMAN")</f>
        <v>PILAR HIDALGO GUZMAN</v>
      </c>
      <c r="B3481" s="18" t="str">
        <f>HYPERLINK("https://otsuka-europe-crm.veevavault.com/ui/#object/vcountry__v/VENZ000004SONF5", "ES")</f>
        <v>ES</v>
      </c>
      <c r="C3481" s="20" t="s">
        <v>39</v>
      </c>
      <c r="D348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81" s="22" t="str">
        <f>HYPERLINK("https://otsuka-europe-crm.veevavault.com/ui/#object/sent_email__v/VBL000000035168", "SE-001443349")</f>
        <v>SE-001443349</v>
      </c>
      <c r="F3481" s="25">
        <v>46213.572731481479</v>
      </c>
      <c r="G3481" s="24">
        <v>1</v>
      </c>
      <c r="H3481" s="24">
        <v>1</v>
      </c>
      <c r="I3481" s="24">
        <v>0</v>
      </c>
      <c r="J3481" s="23"/>
      <c r="K3481" s="24">
        <v>0</v>
      </c>
      <c r="L348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81" s="22" t="str">
        <f>HYPERLINK("mailto:vvalladares@crm.otsuka-europe.com", "vvalladares@crm.otsuka-europe.com")</f>
        <v>vvalladares@crm.otsuka-europe.com</v>
      </c>
      <c r="N3481" s="25">
        <v>46213.509583333333</v>
      </c>
      <c r="O3481" s="14" t="str">
        <f>HYPERLINK("https://otsuka-europe-crm.veevavault.com/ui/#object/email_activity__v/V8C000000047340", "EN-002104753")</f>
        <v>EN-002104753</v>
      </c>
    </row>
    <row r="3482" spans="1:15" ht="16" x14ac:dyDescent="0.2">
      <c r="A3482" s="19"/>
      <c r="B3482" s="19"/>
      <c r="C3482" s="19"/>
      <c r="D3482" s="19"/>
      <c r="E3482" s="19"/>
      <c r="F3482" s="19"/>
      <c r="G3482" s="19"/>
      <c r="H3482" s="19"/>
      <c r="I3482" s="19"/>
      <c r="J3482" s="19"/>
      <c r="K3482" s="19"/>
      <c r="L3482" s="19"/>
      <c r="M3482" s="19"/>
      <c r="N3482" s="19"/>
      <c r="O3482" s="14" t="str">
        <f>HYPERLINK("https://otsuka-europe-crm.veevavault.com/ui/#object/email_activity__v/V8C000000048184", "EN-002104601")</f>
        <v>EN-002104601</v>
      </c>
    </row>
    <row r="3483" spans="1:15" ht="16" x14ac:dyDescent="0.2">
      <c r="A3483" s="18" t="str">
        <f>HYPERLINK("https://otsuka-europe-crm.veevavault.com/ui/#object/account__v/V4TZ06G6O71TACA", "MANUEL JIMENEZ VILLODRES")</f>
        <v>MANUEL JIMENEZ VILLODRES</v>
      </c>
      <c r="B3483" s="18" t="str">
        <f>HYPERLINK("https://otsuka-europe-crm.veevavault.com/ui/#object/vcountry__v/VENZ000004SONF5", "ES")</f>
        <v>ES</v>
      </c>
      <c r="C3483" s="20" t="s">
        <v>39</v>
      </c>
      <c r="D348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83" s="22" t="str">
        <f>HYPERLINK("https://otsuka-europe-crm.veevavault.com/ui/#object/sent_email__v/VBL000000035169", "SE-001443350")</f>
        <v>SE-001443350</v>
      </c>
      <c r="F3483" s="25">
        <v>46213.649131944447</v>
      </c>
      <c r="G3483" s="24">
        <v>1</v>
      </c>
      <c r="H3483" s="24">
        <v>1</v>
      </c>
      <c r="I3483" s="24">
        <v>0</v>
      </c>
      <c r="J3483" s="23"/>
      <c r="K3483" s="24">
        <v>0</v>
      </c>
      <c r="L348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83" s="22" t="str">
        <f>HYPERLINK("mailto:vvalladares@crm.otsuka-europe.com", "vvalladares@crm.otsuka-europe.com")</f>
        <v>vvalladares@crm.otsuka-europe.com</v>
      </c>
      <c r="N3483" s="25">
        <v>46213.509606481479</v>
      </c>
      <c r="O3483" s="14" t="str">
        <f>HYPERLINK("https://otsuka-europe-crm.veevavault.com/ui/#object/email_activity__v/V8C000000047244", "EN-002104567")</f>
        <v>EN-002104567</v>
      </c>
    </row>
    <row r="3484" spans="1:15" ht="16" x14ac:dyDescent="0.2">
      <c r="A3484" s="19"/>
      <c r="B3484" s="19"/>
      <c r="C3484" s="19"/>
      <c r="D3484" s="19"/>
      <c r="E3484" s="19"/>
      <c r="F3484" s="19"/>
      <c r="G3484" s="19"/>
      <c r="H3484" s="19"/>
      <c r="I3484" s="19"/>
      <c r="J3484" s="19"/>
      <c r="K3484" s="19"/>
      <c r="L3484" s="19"/>
      <c r="M3484" s="19"/>
      <c r="N3484" s="19"/>
      <c r="O3484" s="14" t="str">
        <f>HYPERLINK("https://otsuka-europe-crm.veevavault.com/ui/#object/email_activity__v/V8C000000048265", "EN-002104783")</f>
        <v>EN-002104783</v>
      </c>
    </row>
    <row r="3485" spans="1:15" ht="64" x14ac:dyDescent="0.2">
      <c r="A3485" s="7" t="str">
        <f>HYPERLINK("https://otsuka-europe-crm.veevavault.com/ui/#object/account__v/V4TZ06G6O71TBA1", "ANA ISABEL MORALES GARCIA")</f>
        <v>ANA ISABEL MORALES GARCIA</v>
      </c>
      <c r="B3485" s="7" t="str">
        <f>HYPERLINK("https://otsuka-europe-crm.veevavault.com/ui/#object/vcountry__v/VENZ000004SONF5", "ES")</f>
        <v>ES</v>
      </c>
      <c r="C3485" s="8" t="s">
        <v>39</v>
      </c>
      <c r="D348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85" s="10" t="str">
        <f>HYPERLINK("https://otsuka-europe-crm.veevavault.com/ui/#object/sent_email__v/VBL000000035170", "SE-001443351")</f>
        <v>SE-001443351</v>
      </c>
      <c r="F3485" s="11"/>
      <c r="G3485" s="12">
        <v>0</v>
      </c>
      <c r="H3485" s="12">
        <v>0</v>
      </c>
      <c r="I3485" s="12">
        <v>0</v>
      </c>
      <c r="J3485" s="11"/>
      <c r="K3485" s="12">
        <v>0</v>
      </c>
      <c r="L348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85" s="10" t="str">
        <f>HYPERLINK("mailto:vvalladares@crm.otsuka-europe.com", "vvalladares@crm.otsuka-europe.com")</f>
        <v>vvalladares@crm.otsuka-europe.com</v>
      </c>
      <c r="N3485" s="13">
        <v>46213.509583333333</v>
      </c>
      <c r="O3485" s="14" t="str">
        <f>HYPERLINK("https://otsuka-europe-crm.veevavault.com/ui/#object/email_activity__v/V8C000000047250", "EN-002104589")</f>
        <v>EN-002104589</v>
      </c>
    </row>
    <row r="3486" spans="1:15" ht="16" x14ac:dyDescent="0.2">
      <c r="A3486" s="18" t="str">
        <f>HYPERLINK("https://otsuka-europe-crm.veevavault.com/ui/#object/account__v/V4TZ06G6O71T8UO", "MARIA MAR CASTILLA CASTELLANO")</f>
        <v>MARIA MAR CASTILLA CASTELLANO</v>
      </c>
      <c r="B3486" s="18" t="str">
        <f>HYPERLINK("https://otsuka-europe-crm.veevavault.com/ui/#object/vcountry__v/VENZ000004SONF5", "ES")</f>
        <v>ES</v>
      </c>
      <c r="C3486" s="20" t="s">
        <v>39</v>
      </c>
      <c r="D348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86" s="22" t="str">
        <f>HYPERLINK("https://otsuka-europe-crm.veevavault.com/ui/#object/sent_email__v/VBL000000035171", "SE-001443352")</f>
        <v>SE-001443352</v>
      </c>
      <c r="F3486" s="25">
        <v>46217.639826388891</v>
      </c>
      <c r="G3486" s="24">
        <v>1</v>
      </c>
      <c r="H3486" s="24">
        <v>5</v>
      </c>
      <c r="I3486" s="24">
        <v>0</v>
      </c>
      <c r="J3486" s="23"/>
      <c r="K3486" s="24">
        <v>0</v>
      </c>
      <c r="L348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86" s="22" t="str">
        <f>HYPERLINK("mailto:vvalladares@crm.otsuka-europe.com", "vvalladares@crm.otsuka-europe.com")</f>
        <v>vvalladares@crm.otsuka-europe.com</v>
      </c>
      <c r="N3486" s="25">
        <v>46213.509583333333</v>
      </c>
      <c r="O3486" s="14" t="str">
        <f>HYPERLINK("https://otsuka-europe-crm.veevavault.com/ui/#object/email_activity__v/V8C000000047257", "EN-002104606")</f>
        <v>EN-002104606</v>
      </c>
    </row>
    <row r="3487" spans="1:15" ht="16" x14ac:dyDescent="0.2">
      <c r="A3487" s="26"/>
      <c r="B3487" s="26"/>
      <c r="C3487" s="26"/>
      <c r="D3487" s="26"/>
      <c r="E3487" s="26"/>
      <c r="F3487" s="26"/>
      <c r="G3487" s="26"/>
      <c r="H3487" s="26"/>
      <c r="I3487" s="26"/>
      <c r="J3487" s="26"/>
      <c r="K3487" s="26"/>
      <c r="L3487" s="26"/>
      <c r="M3487" s="26"/>
      <c r="N3487" s="26"/>
      <c r="O3487" s="14" t="str">
        <f>HYPERLINK("https://otsuka-europe-crm.veevavault.com/ui/#object/email_activity__v/V8C000000047380", "EN-002104833")</f>
        <v>EN-002104833</v>
      </c>
    </row>
    <row r="3488" spans="1:15" ht="16" x14ac:dyDescent="0.2">
      <c r="A3488" s="26"/>
      <c r="B3488" s="26"/>
      <c r="C3488" s="26"/>
      <c r="D3488" s="26"/>
      <c r="E3488" s="26"/>
      <c r="F3488" s="26"/>
      <c r="G3488" s="26"/>
      <c r="H3488" s="26"/>
      <c r="I3488" s="26"/>
      <c r="J3488" s="26"/>
      <c r="K3488" s="26"/>
      <c r="L3488" s="26"/>
      <c r="M3488" s="26"/>
      <c r="N3488" s="26"/>
      <c r="O3488" s="14" t="str">
        <f>HYPERLINK("https://otsuka-europe-crm.veevavault.com/ui/#object/email_activity__v/V8C000000049097", "EN-002105042")</f>
        <v>EN-002105042</v>
      </c>
    </row>
    <row r="3489" spans="1:15" ht="16" x14ac:dyDescent="0.2">
      <c r="A3489" s="26"/>
      <c r="B3489" s="26"/>
      <c r="C3489" s="26"/>
      <c r="D3489" s="26"/>
      <c r="E3489" s="26"/>
      <c r="F3489" s="26"/>
      <c r="G3489" s="26"/>
      <c r="H3489" s="26"/>
      <c r="I3489" s="26"/>
      <c r="J3489" s="26"/>
      <c r="K3489" s="26"/>
      <c r="L3489" s="26"/>
      <c r="M3489" s="26"/>
      <c r="N3489" s="26"/>
      <c r="O3489" s="14" t="str">
        <f>HYPERLINK("https://otsuka-europe-crm.veevavault.com/ui/#object/email_activity__v/V8C000000049098", "EN-002105043")</f>
        <v>EN-002105043</v>
      </c>
    </row>
    <row r="3490" spans="1:15" ht="16" x14ac:dyDescent="0.2">
      <c r="A3490" s="26"/>
      <c r="B3490" s="26"/>
      <c r="C3490" s="26"/>
      <c r="D3490" s="26"/>
      <c r="E3490" s="26"/>
      <c r="F3490" s="26"/>
      <c r="G3490" s="26"/>
      <c r="H3490" s="26"/>
      <c r="I3490" s="26"/>
      <c r="J3490" s="26"/>
      <c r="K3490" s="26"/>
      <c r="L3490" s="26"/>
      <c r="M3490" s="26"/>
      <c r="N3490" s="26"/>
      <c r="O3490" s="14" t="str">
        <f>HYPERLINK("https://otsuka-europe-crm.veevavault.com/ui/#object/email_activity__v/V8C000000049583", "EN-002105981")</f>
        <v>EN-002105981</v>
      </c>
    </row>
    <row r="3491" spans="1:15" ht="16" x14ac:dyDescent="0.2">
      <c r="A3491" s="26"/>
      <c r="B3491" s="26"/>
      <c r="C3491" s="26"/>
      <c r="D3491" s="26"/>
      <c r="E3491" s="26"/>
      <c r="F3491" s="26"/>
      <c r="G3491" s="26"/>
      <c r="H3491" s="26"/>
      <c r="I3491" s="26"/>
      <c r="J3491" s="26"/>
      <c r="K3491" s="26"/>
      <c r="L3491" s="26"/>
      <c r="M3491" s="26"/>
      <c r="N3491" s="26"/>
      <c r="O3491" s="14" t="str">
        <f>HYPERLINK("https://otsuka-europe-crm.veevavault.com/ui/#object/email_activity__v/V8C00000004A080", "EN-002105044")</f>
        <v>EN-002105044</v>
      </c>
    </row>
    <row r="3492" spans="1:15" ht="16" x14ac:dyDescent="0.2">
      <c r="A3492" s="19"/>
      <c r="B3492" s="19"/>
      <c r="C3492" s="19"/>
      <c r="D3492" s="19"/>
      <c r="E3492" s="19"/>
      <c r="F3492" s="19"/>
      <c r="G3492" s="19"/>
      <c r="H3492" s="19"/>
      <c r="I3492" s="19"/>
      <c r="J3492" s="19"/>
      <c r="K3492" s="19"/>
      <c r="L3492" s="19"/>
      <c r="M3492" s="19"/>
      <c r="N3492" s="19"/>
      <c r="O3492" s="14" t="str">
        <f>HYPERLINK("https://otsuka-europe-crm.veevavault.com/ui/#object/email_activity__v/V8C00000004A278", "EN-002105486")</f>
        <v>EN-002105486</v>
      </c>
    </row>
    <row r="3493" spans="1:15" ht="16" x14ac:dyDescent="0.2">
      <c r="A3493" s="18" t="str">
        <f>HYPERLINK("https://otsuka-europe-crm.veevavault.com/ui/#object/account__v/V4TZ06G6O71U94M", "DIOMARIS ALTAGRACIA GUZMAN REGALADO")</f>
        <v>DIOMARIS ALTAGRACIA GUZMAN REGALADO</v>
      </c>
      <c r="B3493" s="18" t="str">
        <f>HYPERLINK("https://otsuka-europe-crm.veevavault.com/ui/#object/vcountry__v/VENZ000004SONF5", "ES")</f>
        <v>ES</v>
      </c>
      <c r="C3493" s="20" t="s">
        <v>39</v>
      </c>
      <c r="D349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93" s="22" t="str">
        <f>HYPERLINK("https://otsuka-europe-crm.veevavault.com/ui/#object/sent_email__v/VBL000000035172", "SE-001443353")</f>
        <v>SE-001443353</v>
      </c>
      <c r="F3493" s="23"/>
      <c r="G3493" s="24">
        <v>0</v>
      </c>
      <c r="H3493" s="24">
        <v>0</v>
      </c>
      <c r="I3493" s="24">
        <v>0</v>
      </c>
      <c r="J3493" s="23"/>
      <c r="K3493" s="24">
        <v>0</v>
      </c>
      <c r="L349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93" s="22" t="str">
        <f>HYPERLINK("mailto:vvalladares@crm.otsuka-europe.com", "vvalladares@crm.otsuka-europe.com")</f>
        <v>vvalladares@crm.otsuka-europe.com</v>
      </c>
      <c r="N3493" s="25">
        <v>46213.509583333333</v>
      </c>
      <c r="O3493" s="14" t="str">
        <f>HYPERLINK("https://otsuka-europe-crm.veevavault.com/ui/#object/email_activity__v/V8C000000047211", "EN-002104528")</f>
        <v>EN-002104528</v>
      </c>
    </row>
    <row r="3494" spans="1:15" ht="16" x14ac:dyDescent="0.2">
      <c r="A3494" s="19"/>
      <c r="B3494" s="19"/>
      <c r="C3494" s="19"/>
      <c r="D3494" s="19"/>
      <c r="E3494" s="19"/>
      <c r="F3494" s="19"/>
      <c r="G3494" s="19"/>
      <c r="H3494" s="19"/>
      <c r="I3494" s="19"/>
      <c r="J3494" s="19"/>
      <c r="K3494" s="19"/>
      <c r="L3494" s="19"/>
      <c r="M3494" s="19"/>
      <c r="N3494" s="19"/>
      <c r="O3494" s="14" t="str">
        <f>HYPERLINK("https://otsuka-europe-crm.veevavault.com/ui/#object/email_activity__v/V8C00000004A002", "EN-002104872")</f>
        <v>EN-002104872</v>
      </c>
    </row>
    <row r="3495" spans="1:15" ht="64" x14ac:dyDescent="0.2">
      <c r="A3495" s="7" t="str">
        <f>HYPERLINK("https://otsuka-europe-crm.veevavault.com/ui/#object/account__v/V4TZ06G6O71T80P", "ANA DELGADO UREÑA")</f>
        <v>ANA DELGADO UREÑA</v>
      </c>
      <c r="B3495" s="7" t="str">
        <f>HYPERLINK("https://otsuka-europe-crm.veevavault.com/ui/#object/vcountry__v/VENZ000004SONF5", "ES")</f>
        <v>ES</v>
      </c>
      <c r="C3495" s="8" t="s">
        <v>39</v>
      </c>
      <c r="D349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95" s="10" t="str">
        <f>HYPERLINK("https://otsuka-europe-crm.veevavault.com/ui/#object/sent_email__v/VBL000000035173", "SE-001443354")</f>
        <v>SE-001443354</v>
      </c>
      <c r="F3495" s="11"/>
      <c r="G3495" s="12">
        <v>0</v>
      </c>
      <c r="H3495" s="12">
        <v>0</v>
      </c>
      <c r="I3495" s="12">
        <v>0</v>
      </c>
      <c r="J3495" s="11"/>
      <c r="K3495" s="12">
        <v>0</v>
      </c>
      <c r="L349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95" s="10" t="str">
        <f>HYPERLINK("mailto:vvalladares@crm.otsuka-europe.com", "vvalladares@crm.otsuka-europe.com")</f>
        <v>vvalladares@crm.otsuka-europe.com</v>
      </c>
      <c r="N3495" s="13">
        <v>46213.509583333333</v>
      </c>
      <c r="O3495" s="14" t="str">
        <f>HYPERLINK("https://otsuka-europe-crm.veevavault.com/ui/#object/email_activity__v/V8C000000047252", "EN-002104591")</f>
        <v>EN-002104591</v>
      </c>
    </row>
    <row r="3496" spans="1:15" ht="64" x14ac:dyDescent="0.2">
      <c r="A3496" s="7" t="str">
        <f>HYPERLINK("https://otsuka-europe-crm.veevavault.com/ui/#object/account__v/V4TZ025E87AAYMH", "LLENALIA GORDILLO GARCIA")</f>
        <v>LLENALIA GORDILLO GARCIA</v>
      </c>
      <c r="B3496" s="7" t="str">
        <f>HYPERLINK("https://otsuka-europe-crm.veevavault.com/ui/#object/vcountry__v/VENZ000004SONF5", "ES")</f>
        <v>ES</v>
      </c>
      <c r="C3496" s="8" t="s">
        <v>39</v>
      </c>
      <c r="D349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96" s="10" t="str">
        <f>HYPERLINK("https://otsuka-europe-crm.veevavault.com/ui/#object/sent_email__v/VBL000000035174", "SE-001443355")</f>
        <v>SE-001443355</v>
      </c>
      <c r="F3496" s="11"/>
      <c r="G3496" s="12">
        <v>0</v>
      </c>
      <c r="H3496" s="12">
        <v>0</v>
      </c>
      <c r="I3496" s="12">
        <v>0</v>
      </c>
      <c r="J3496" s="11"/>
      <c r="K3496" s="12">
        <v>0</v>
      </c>
      <c r="L349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96" s="10" t="str">
        <f>HYPERLINK("mailto:vvalladares@crm.otsuka-europe.com", "vvalladares@crm.otsuka-europe.com")</f>
        <v>vvalladares@crm.otsuka-europe.com</v>
      </c>
      <c r="N3496" s="13">
        <v>46213.509583333333</v>
      </c>
      <c r="O3496" s="14" t="str">
        <f>HYPERLINK("https://otsuka-europe-crm.veevavault.com/ui/#object/email_activity__v/V8C000000047220", "EN-002104537")</f>
        <v>EN-002104537</v>
      </c>
    </row>
    <row r="3497" spans="1:15" ht="64" x14ac:dyDescent="0.2">
      <c r="A3497" s="7" t="str">
        <f>HYPERLINK("https://otsuka-europe-crm.veevavault.com/ui/#object/account__v/V4TZ04ASG99APL3", "AVINASH CHANDU NANWANI")</f>
        <v>AVINASH CHANDU NANWANI</v>
      </c>
      <c r="B3497" s="7" t="str">
        <f>HYPERLINK("https://otsuka-europe-crm.veevavault.com/ui/#object/vcountry__v/VENZ000004SONF5", "ES")</f>
        <v>ES</v>
      </c>
      <c r="C3497" s="8" t="s">
        <v>39</v>
      </c>
      <c r="D349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97" s="10" t="str">
        <f>HYPERLINK("https://otsuka-europe-crm.veevavault.com/ui/#object/sent_email__v/VBL000000035175", "SE-001443356")</f>
        <v>SE-001443356</v>
      </c>
      <c r="F3497" s="11"/>
      <c r="G3497" s="12">
        <v>0</v>
      </c>
      <c r="H3497" s="12">
        <v>0</v>
      </c>
      <c r="I3497" s="12">
        <v>0</v>
      </c>
      <c r="J3497" s="11"/>
      <c r="K3497" s="12">
        <v>0</v>
      </c>
      <c r="L349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97" s="10" t="str">
        <f>HYPERLINK("mailto:vvalladares@crm.otsuka-europe.com", "vvalladares@crm.otsuka-europe.com")</f>
        <v>vvalladares@crm.otsuka-europe.com</v>
      </c>
      <c r="N3497" s="13">
        <v>46213.509583333333</v>
      </c>
      <c r="O3497" s="14" t="str">
        <f>HYPERLINK("https://otsuka-europe-crm.veevavault.com/ui/#object/email_activity__v/V8C000000047215", "EN-002104532")</f>
        <v>EN-002104532</v>
      </c>
    </row>
    <row r="3498" spans="1:15" ht="64" x14ac:dyDescent="0.2">
      <c r="A3498" s="7" t="str">
        <f>HYPERLINK("https://otsuka-europe-crm.veevavault.com/ui/#object/account__v/V4TZ06G6O71T756", "PATRICIA GARCIA FRIAS")</f>
        <v>PATRICIA GARCIA FRIAS</v>
      </c>
      <c r="B3498" s="7" t="str">
        <f>HYPERLINK("https://otsuka-europe-crm.veevavault.com/ui/#object/vcountry__v/VENZ000004SONF5", "ES")</f>
        <v>ES</v>
      </c>
      <c r="C3498" s="8" t="s">
        <v>39</v>
      </c>
      <c r="D349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98" s="10" t="str">
        <f>HYPERLINK("https://otsuka-europe-crm.veevavault.com/ui/#object/sent_email__v/VBL000000035176", "SE-001443357")</f>
        <v>SE-001443357</v>
      </c>
      <c r="F3498" s="11"/>
      <c r="G3498" s="12">
        <v>0</v>
      </c>
      <c r="H3498" s="12">
        <v>0</v>
      </c>
      <c r="I3498" s="12">
        <v>0</v>
      </c>
      <c r="J3498" s="11"/>
      <c r="K3498" s="12">
        <v>0</v>
      </c>
      <c r="L349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98" s="10" t="str">
        <f>HYPERLINK("mailto:vvalladares@crm.otsuka-europe.com", "vvalladares@crm.otsuka-europe.com")</f>
        <v>vvalladares@crm.otsuka-europe.com</v>
      </c>
      <c r="N3498" s="13">
        <v>46213.509583333333</v>
      </c>
      <c r="O3498" s="14" t="str">
        <f>HYPERLINK("https://otsuka-europe-crm.veevavault.com/ui/#object/email_activity__v/V8C000000047238", "EN-002104561")</f>
        <v>EN-002104561</v>
      </c>
    </row>
    <row r="3499" spans="1:15" ht="16" x14ac:dyDescent="0.2">
      <c r="A3499" s="18" t="str">
        <f>HYPERLINK("https://otsuka-europe-crm.veevavault.com/ui/#object/account__v/V4TZ06G6O71TAU0", "MANUEL LUIS MACIA HERAS")</f>
        <v>MANUEL LUIS MACIA HERAS</v>
      </c>
      <c r="B3499" s="18" t="str">
        <f>HYPERLINK("https://otsuka-europe-crm.veevavault.com/ui/#object/vcountry__v/VENZ000004SONF5", "ES")</f>
        <v>ES</v>
      </c>
      <c r="C3499" s="20" t="s">
        <v>39</v>
      </c>
      <c r="D349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499" s="22" t="str">
        <f>HYPERLINK("https://otsuka-europe-crm.veevavault.com/ui/#object/sent_email__v/VBL000000035177", "SE-001443358")</f>
        <v>SE-001443358</v>
      </c>
      <c r="F3499" s="23"/>
      <c r="G3499" s="24">
        <v>0</v>
      </c>
      <c r="H3499" s="24">
        <v>0</v>
      </c>
      <c r="I3499" s="24">
        <v>1</v>
      </c>
      <c r="J3499" s="25">
        <v>46213.528865740744</v>
      </c>
      <c r="K3499" s="24">
        <v>2</v>
      </c>
      <c r="L349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499" s="22" t="str">
        <f>HYPERLINK("mailto:vvalladares@crm.otsuka-europe.com", "vvalladares@crm.otsuka-europe.com")</f>
        <v>vvalladares@crm.otsuka-europe.com</v>
      </c>
      <c r="N3499" s="25">
        <v>46213.509618055556</v>
      </c>
      <c r="O3499" s="14" t="str">
        <f>HYPERLINK("https://otsuka-europe-crm.veevavault.com/ui/#object/email_activity__v/V8C000000047240", "EN-002104563")</f>
        <v>EN-002104563</v>
      </c>
    </row>
    <row r="3500" spans="1:15" ht="16" x14ac:dyDescent="0.2">
      <c r="A3500" s="26"/>
      <c r="B3500" s="26"/>
      <c r="C3500" s="26"/>
      <c r="D3500" s="26"/>
      <c r="E3500" s="26"/>
      <c r="F3500" s="26"/>
      <c r="G3500" s="26"/>
      <c r="H3500" s="26"/>
      <c r="I3500" s="26"/>
      <c r="J3500" s="26"/>
      <c r="K3500" s="26"/>
      <c r="L3500" s="26"/>
      <c r="M3500" s="26"/>
      <c r="N3500" s="26"/>
      <c r="O3500" s="14" t="str">
        <f>HYPERLINK("https://otsuka-europe-crm.veevavault.com/ui/#object/email_activity__v/V8C000000047320", "EN-002104693")</f>
        <v>EN-002104693</v>
      </c>
    </row>
    <row r="3501" spans="1:15" ht="16" x14ac:dyDescent="0.2">
      <c r="A3501" s="26"/>
      <c r="B3501" s="26"/>
      <c r="C3501" s="26"/>
      <c r="D3501" s="26"/>
      <c r="E3501" s="26"/>
      <c r="F3501" s="26"/>
      <c r="G3501" s="26"/>
      <c r="H3501" s="26"/>
      <c r="I3501" s="26"/>
      <c r="J3501" s="26"/>
      <c r="K3501" s="26"/>
      <c r="L3501" s="26"/>
      <c r="M3501" s="26"/>
      <c r="N3501" s="26"/>
      <c r="O3501" s="14" t="str">
        <f>HYPERLINK("https://otsuka-europe-crm.veevavault.com/ui/#object/email_activity__v/V8C000000047321", "EN-002104696")</f>
        <v>EN-002104696</v>
      </c>
    </row>
    <row r="3502" spans="1:15" ht="16" x14ac:dyDescent="0.2">
      <c r="A3502" s="19"/>
      <c r="B3502" s="19"/>
      <c r="C3502" s="19"/>
      <c r="D3502" s="19"/>
      <c r="E3502" s="19"/>
      <c r="F3502" s="19"/>
      <c r="G3502" s="19"/>
      <c r="H3502" s="19"/>
      <c r="I3502" s="19"/>
      <c r="J3502" s="19"/>
      <c r="K3502" s="19"/>
      <c r="L3502" s="19"/>
      <c r="M3502" s="19"/>
      <c r="N3502" s="19"/>
      <c r="O3502" s="14" t="str">
        <f>HYPERLINK("https://otsuka-europe-crm.veevavault.com/ui/#object/email_activity__v/V8C000000048212", "EN-002104694")</f>
        <v>EN-002104694</v>
      </c>
    </row>
    <row r="3503" spans="1:15" ht="16" x14ac:dyDescent="0.2">
      <c r="A3503" s="18" t="str">
        <f>HYPERLINK("https://otsuka-europe-crm.veevavault.com/ui/#object/account__v/V4TZ06G6O71T81P", "ARMINDA FARIÑA HERNANDEZ")</f>
        <v>ARMINDA FARIÑA HERNANDEZ</v>
      </c>
      <c r="B3503" s="18" t="str">
        <f>HYPERLINK("https://otsuka-europe-crm.veevavault.com/ui/#object/vcountry__v/VENZ000004SONF5", "ES")</f>
        <v>ES</v>
      </c>
      <c r="C3503" s="20" t="s">
        <v>39</v>
      </c>
      <c r="D350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03" s="22" t="str">
        <f>HYPERLINK("https://otsuka-europe-crm.veevavault.com/ui/#object/sent_email__v/VBL000000035178", "SE-001443359")</f>
        <v>SE-001443359</v>
      </c>
      <c r="F3503" s="25">
        <v>46213.529293981483</v>
      </c>
      <c r="G3503" s="24">
        <v>1</v>
      </c>
      <c r="H3503" s="24">
        <v>1</v>
      </c>
      <c r="I3503" s="24">
        <v>0</v>
      </c>
      <c r="J3503" s="23"/>
      <c r="K3503" s="24">
        <v>0</v>
      </c>
      <c r="L350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03" s="22" t="str">
        <f>HYPERLINK("mailto:vvalladares@crm.otsuka-europe.com", "vvalladares@crm.otsuka-europe.com")</f>
        <v>vvalladares@crm.otsuka-europe.com</v>
      </c>
      <c r="N3503" s="25">
        <v>46213.509583333333</v>
      </c>
      <c r="O3503" s="14" t="str">
        <f>HYPERLINK("https://otsuka-europe-crm.veevavault.com/ui/#object/email_activity__v/V8C000000047323", "EN-002104698")</f>
        <v>EN-002104698</v>
      </c>
    </row>
    <row r="3504" spans="1:15" ht="16" x14ac:dyDescent="0.2">
      <c r="A3504" s="19"/>
      <c r="B3504" s="19"/>
      <c r="C3504" s="19"/>
      <c r="D3504" s="19"/>
      <c r="E3504" s="19"/>
      <c r="F3504" s="19"/>
      <c r="G3504" s="19"/>
      <c r="H3504" s="19"/>
      <c r="I3504" s="19"/>
      <c r="J3504" s="19"/>
      <c r="K3504" s="19"/>
      <c r="L3504" s="19"/>
      <c r="M3504" s="19"/>
      <c r="N3504" s="19"/>
      <c r="O3504" s="14" t="str">
        <f>HYPERLINK("https://otsuka-europe-crm.veevavault.com/ui/#object/email_activity__v/V8C000000048157", "EN-002104556")</f>
        <v>EN-002104556</v>
      </c>
    </row>
    <row r="3505" spans="1:15" ht="64" x14ac:dyDescent="0.2">
      <c r="A3505" s="7" t="str">
        <f>HYPERLINK("https://otsuka-europe-crm.veevavault.com/ui/#object/account__v/V4TZ06G6O71T9SI", "EDUARDO DE BONIS REDONDO")</f>
        <v>EDUARDO DE BONIS REDONDO</v>
      </c>
      <c r="B3505" s="7" t="str">
        <f>HYPERLINK("https://otsuka-europe-crm.veevavault.com/ui/#object/vcountry__v/VENZ000004SONF5", "ES")</f>
        <v>ES</v>
      </c>
      <c r="C3505" s="8" t="s">
        <v>39</v>
      </c>
      <c r="D350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05" s="10" t="str">
        <f>HYPERLINK("https://otsuka-europe-crm.veevavault.com/ui/#object/sent_email__v/VBL000000035179", "SE-001443360")</f>
        <v>SE-001443360</v>
      </c>
      <c r="F3505" s="11"/>
      <c r="G3505" s="12">
        <v>0</v>
      </c>
      <c r="H3505" s="12">
        <v>0</v>
      </c>
      <c r="I3505" s="12">
        <v>0</v>
      </c>
      <c r="J3505" s="11"/>
      <c r="K3505" s="12">
        <v>0</v>
      </c>
      <c r="L350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05" s="10" t="str">
        <f>HYPERLINK("mailto:vvalladares@crm.otsuka-europe.com", "vvalladares@crm.otsuka-europe.com")</f>
        <v>vvalladares@crm.otsuka-europe.com</v>
      </c>
      <c r="N3505" s="13">
        <v>46213.509583333333</v>
      </c>
      <c r="O3505" s="14" t="str">
        <f>HYPERLINK("https://otsuka-europe-crm.veevavault.com/ui/#object/email_activity__v/V8C000000047249", "EN-002104588")</f>
        <v>EN-002104588</v>
      </c>
    </row>
    <row r="3506" spans="1:15" ht="16" x14ac:dyDescent="0.2">
      <c r="A3506" s="18" t="str">
        <f>HYPERLINK("https://otsuka-europe-crm.veevavault.com/ui/#object/account__v/V4TZ04ASG9B1566", "SAMUEL ABRANTE GARCIA")</f>
        <v>SAMUEL ABRANTE GARCIA</v>
      </c>
      <c r="B3506" s="18" t="str">
        <f>HYPERLINK("https://otsuka-europe-crm.veevavault.com/ui/#object/vcountry__v/VENZ000004SONF5", "ES")</f>
        <v>ES</v>
      </c>
      <c r="C3506" s="20" t="s">
        <v>39</v>
      </c>
      <c r="D350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06" s="22" t="str">
        <f>HYPERLINK("https://otsuka-europe-crm.veevavault.com/ui/#object/sent_email__v/VBL000000035180", "SE-001443361")</f>
        <v>SE-001443361</v>
      </c>
      <c r="F3506" s="25">
        <v>46215.803217592591</v>
      </c>
      <c r="G3506" s="24">
        <v>1</v>
      </c>
      <c r="H3506" s="24">
        <v>3</v>
      </c>
      <c r="I3506" s="24">
        <v>0</v>
      </c>
      <c r="J3506" s="23"/>
      <c r="K3506" s="24">
        <v>0</v>
      </c>
      <c r="L350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06" s="22" t="str">
        <f>HYPERLINK("mailto:vvalladares@crm.otsuka-europe.com", "vvalladares@crm.otsuka-europe.com")</f>
        <v>vvalladares@crm.otsuka-europe.com</v>
      </c>
      <c r="N3506" s="25">
        <v>46213.509583333333</v>
      </c>
      <c r="O3506" s="14" t="str">
        <f>HYPERLINK("https://otsuka-europe-crm.veevavault.com/ui/#object/email_activity__v/V8C000000047216", "EN-002104533")</f>
        <v>EN-002104533</v>
      </c>
    </row>
    <row r="3507" spans="1:15" ht="16" x14ac:dyDescent="0.2">
      <c r="A3507" s="26"/>
      <c r="B3507" s="26"/>
      <c r="C3507" s="26"/>
      <c r="D3507" s="26"/>
      <c r="E3507" s="26"/>
      <c r="F3507" s="26"/>
      <c r="G3507" s="26"/>
      <c r="H3507" s="26"/>
      <c r="I3507" s="26"/>
      <c r="J3507" s="26"/>
      <c r="K3507" s="26"/>
      <c r="L3507" s="26"/>
      <c r="M3507" s="26"/>
      <c r="N3507" s="26"/>
      <c r="O3507" s="14" t="str">
        <f>HYPERLINK("https://otsuka-europe-crm.veevavault.com/ui/#object/email_activity__v/V8C000000047353", "EN-002104774")</f>
        <v>EN-002104774</v>
      </c>
    </row>
    <row r="3508" spans="1:15" ht="16" x14ac:dyDescent="0.2">
      <c r="A3508" s="26"/>
      <c r="B3508" s="26"/>
      <c r="C3508" s="26"/>
      <c r="D3508" s="26"/>
      <c r="E3508" s="26"/>
      <c r="F3508" s="26"/>
      <c r="G3508" s="26"/>
      <c r="H3508" s="26"/>
      <c r="I3508" s="26"/>
      <c r="J3508" s="26"/>
      <c r="K3508" s="26"/>
      <c r="L3508" s="26"/>
      <c r="M3508" s="26"/>
      <c r="N3508" s="26"/>
      <c r="O3508" s="14" t="str">
        <f>HYPERLINK("https://otsuka-europe-crm.veevavault.com/ui/#object/email_activity__v/V8C000000047364", "EN-002104803")</f>
        <v>EN-002104803</v>
      </c>
    </row>
    <row r="3509" spans="1:15" ht="16" x14ac:dyDescent="0.2">
      <c r="A3509" s="19"/>
      <c r="B3509" s="19"/>
      <c r="C3509" s="19"/>
      <c r="D3509" s="19"/>
      <c r="E3509" s="19"/>
      <c r="F3509" s="19"/>
      <c r="G3509" s="19"/>
      <c r="H3509" s="19"/>
      <c r="I3509" s="19"/>
      <c r="J3509" s="19"/>
      <c r="K3509" s="19"/>
      <c r="L3509" s="19"/>
      <c r="M3509" s="19"/>
      <c r="N3509" s="19"/>
      <c r="O3509" s="14" t="str">
        <f>HYPERLINK("https://otsuka-europe-crm.veevavault.com/ui/#object/email_activity__v/V8C000000049071", "EN-002105001")</f>
        <v>EN-002105001</v>
      </c>
    </row>
    <row r="3510" spans="1:15" ht="16" x14ac:dyDescent="0.2">
      <c r="A3510" s="18" t="str">
        <f>HYPERLINK("https://otsuka-europe-crm.veevavault.com/ui/#object/account__v/V4TZ06G6O71TBO8", "MARIA DOLORES PRADOS GARRIDO")</f>
        <v>MARIA DOLORES PRADOS GARRIDO</v>
      </c>
      <c r="B3510" s="18" t="str">
        <f>HYPERLINK("https://otsuka-europe-crm.veevavault.com/ui/#object/vcountry__v/VENZ000004SONF5", "ES")</f>
        <v>ES</v>
      </c>
      <c r="C3510" s="20" t="s">
        <v>39</v>
      </c>
      <c r="D351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10" s="22" t="str">
        <f>HYPERLINK("https://otsuka-europe-crm.veevavault.com/ui/#object/sent_email__v/VBL000000035181", "SE-001443362")</f>
        <v>SE-001443362</v>
      </c>
      <c r="F3510" s="23"/>
      <c r="G3510" s="24">
        <v>0</v>
      </c>
      <c r="H3510" s="24">
        <v>0</v>
      </c>
      <c r="I3510" s="24">
        <v>0</v>
      </c>
      <c r="J3510" s="23"/>
      <c r="K3510" s="24">
        <v>0</v>
      </c>
      <c r="L351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10" s="22" t="str">
        <f>HYPERLINK("mailto:vvalladares@crm.otsuka-europe.com", "vvalladares@crm.otsuka-europe.com")</f>
        <v>vvalladares@crm.otsuka-europe.com</v>
      </c>
      <c r="N3510" s="25">
        <v>46213.509583333333</v>
      </c>
      <c r="O3510" s="14" t="str">
        <f>HYPERLINK("https://otsuka-europe-crm.veevavault.com/ui/#object/email_activity__v/V8C000000048161", "EN-002104560")</f>
        <v>EN-002104560</v>
      </c>
    </row>
    <row r="3511" spans="1:15" ht="16" x14ac:dyDescent="0.2">
      <c r="A3511" s="19"/>
      <c r="B3511" s="19"/>
      <c r="C3511" s="19"/>
      <c r="D3511" s="19"/>
      <c r="E3511" s="19"/>
      <c r="F3511" s="19"/>
      <c r="G3511" s="19"/>
      <c r="H3511" s="19"/>
      <c r="I3511" s="19"/>
      <c r="J3511" s="19"/>
      <c r="K3511" s="19"/>
      <c r="L3511" s="19"/>
      <c r="M3511" s="19"/>
      <c r="N3511" s="19"/>
      <c r="O3511" s="14" t="str">
        <f>HYPERLINK("https://otsuka-europe-crm.veevavault.com/ui/#object/email_activity__v/V8C000000048290", "EN-002104826")</f>
        <v>EN-002104826</v>
      </c>
    </row>
    <row r="3512" spans="1:15" ht="16" x14ac:dyDescent="0.2">
      <c r="A3512" s="18" t="str">
        <f>HYPERLINK("https://otsuka-europe-crm.veevavault.com/ui/#object/account__v/V4TZ06G6O71TCC6", "ARMANDO TORRES RAMIREZ")</f>
        <v>ARMANDO TORRES RAMIREZ</v>
      </c>
      <c r="B3512" s="18" t="str">
        <f>HYPERLINK("https://otsuka-europe-crm.veevavault.com/ui/#object/vcountry__v/VENZ000004SONF5", "ES")</f>
        <v>ES</v>
      </c>
      <c r="C3512" s="20" t="s">
        <v>39</v>
      </c>
      <c r="D351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12" s="22" t="str">
        <f>HYPERLINK("https://otsuka-europe-crm.veevavault.com/ui/#object/sent_email__v/VBL000000035182", "SE-001443363")</f>
        <v>SE-001443363</v>
      </c>
      <c r="F3512" s="25">
        <v>46215.411064814813</v>
      </c>
      <c r="G3512" s="24">
        <v>1</v>
      </c>
      <c r="H3512" s="24">
        <v>1</v>
      </c>
      <c r="I3512" s="24">
        <v>0</v>
      </c>
      <c r="J3512" s="23"/>
      <c r="K3512" s="24">
        <v>0</v>
      </c>
      <c r="L351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12" s="22" t="str">
        <f>HYPERLINK("mailto:vvalladares@crm.otsuka-europe.com", "vvalladares@crm.otsuka-europe.com")</f>
        <v>vvalladares@crm.otsuka-europe.com</v>
      </c>
      <c r="N3512" s="25">
        <v>46213.509606481479</v>
      </c>
      <c r="O3512" s="14" t="str">
        <f>HYPERLINK("https://otsuka-europe-crm.veevavault.com/ui/#object/email_activity__v/V8C000000048172", "EN-002104580")</f>
        <v>EN-002104580</v>
      </c>
    </row>
    <row r="3513" spans="1:15" ht="16" x14ac:dyDescent="0.2">
      <c r="A3513" s="19"/>
      <c r="B3513" s="19"/>
      <c r="C3513" s="19"/>
      <c r="D3513" s="19"/>
      <c r="E3513" s="19"/>
      <c r="F3513" s="19"/>
      <c r="G3513" s="19"/>
      <c r="H3513" s="19"/>
      <c r="I3513" s="19"/>
      <c r="J3513" s="19"/>
      <c r="K3513" s="19"/>
      <c r="L3513" s="19"/>
      <c r="M3513" s="19"/>
      <c r="N3513" s="19"/>
      <c r="O3513" s="14" t="str">
        <f>HYPERLINK("https://otsuka-europe-crm.veevavault.com/ui/#object/email_activity__v/V8C000000049040", "EN-002104947")</f>
        <v>EN-002104947</v>
      </c>
    </row>
    <row r="3514" spans="1:15" ht="64" x14ac:dyDescent="0.2">
      <c r="A3514" s="7" t="str">
        <f>HYPERLINK("https://otsuka-europe-crm.veevavault.com/ui/#object/account__v/V4TZ06G6O71T7XN", "YNGRID MARIBY MARROQUIN CONTRERAS")</f>
        <v>YNGRID MARIBY MARROQUIN CONTRERAS</v>
      </c>
      <c r="B3514" s="7" t="str">
        <f>HYPERLINK("https://otsuka-europe-crm.veevavault.com/ui/#object/vcountry__v/VENZ000004SONF5", "ES")</f>
        <v>ES</v>
      </c>
      <c r="C3514" s="8" t="s">
        <v>39</v>
      </c>
      <c r="D351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14" s="10" t="str">
        <f>HYPERLINK("https://otsuka-europe-crm.veevavault.com/ui/#object/sent_email__v/VBL000000035183", "SE-001443364")</f>
        <v>SE-001443364</v>
      </c>
      <c r="F3514" s="11"/>
      <c r="G3514" s="12">
        <v>0</v>
      </c>
      <c r="H3514" s="12">
        <v>0</v>
      </c>
      <c r="I3514" s="12">
        <v>0</v>
      </c>
      <c r="J3514" s="11"/>
      <c r="K3514" s="12">
        <v>0</v>
      </c>
      <c r="L351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14" s="10" t="str">
        <f>HYPERLINK("mailto:vvalladares@crm.otsuka-europe.com", "vvalladares@crm.otsuka-europe.com")</f>
        <v>vvalladares@crm.otsuka-europe.com</v>
      </c>
      <c r="N3514" s="13">
        <v>46213.509583333333</v>
      </c>
      <c r="O3514" s="14" t="str">
        <f>HYPERLINK("https://otsuka-europe-crm.veevavault.com/ui/#object/email_activity__v/V8C000000047253", "EN-002104592")</f>
        <v>EN-002104592</v>
      </c>
    </row>
    <row r="3515" spans="1:15" ht="16" x14ac:dyDescent="0.2">
      <c r="A3515" s="18" t="str">
        <f>HYPERLINK("https://otsuka-europe-crm.veevavault.com/ui/#object/account__v/V4TZ06G6O71T8NO", "MARIA ISABEL LOPEZ GARCIA")</f>
        <v>MARIA ISABEL LOPEZ GARCIA</v>
      </c>
      <c r="B3515" s="18" t="str">
        <f>HYPERLINK("https://otsuka-europe-crm.veevavault.com/ui/#object/vcountry__v/VENZ000004SONF5", "ES")</f>
        <v>ES</v>
      </c>
      <c r="C3515" s="20" t="s">
        <v>39</v>
      </c>
      <c r="D351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15" s="22" t="str">
        <f>HYPERLINK("https://otsuka-europe-crm.veevavault.com/ui/#object/sent_email__v/VBL000000035184", "SE-001443365")</f>
        <v>SE-001443365</v>
      </c>
      <c r="F3515" s="25">
        <v>46214.354467592595</v>
      </c>
      <c r="G3515" s="24">
        <v>1</v>
      </c>
      <c r="H3515" s="24">
        <v>2</v>
      </c>
      <c r="I3515" s="24">
        <v>0</v>
      </c>
      <c r="J3515" s="23"/>
      <c r="K3515" s="24">
        <v>0</v>
      </c>
      <c r="L351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15" s="22" t="str">
        <f>HYPERLINK("mailto:vvalladares@crm.otsuka-europe.com", "vvalladares@crm.otsuka-europe.com")</f>
        <v>vvalladares@crm.otsuka-europe.com</v>
      </c>
      <c r="N3515" s="25">
        <v>46213.509583333333</v>
      </c>
      <c r="O3515" s="14" t="str">
        <f>HYPERLINK("https://otsuka-europe-crm.veevavault.com/ui/#object/email_activity__v/V8C000000047227", "EN-002104544")</f>
        <v>EN-002104544</v>
      </c>
    </row>
    <row r="3516" spans="1:15" ht="16" x14ac:dyDescent="0.2">
      <c r="A3516" s="26"/>
      <c r="B3516" s="26"/>
      <c r="C3516" s="26"/>
      <c r="D3516" s="26"/>
      <c r="E3516" s="26"/>
      <c r="F3516" s="26"/>
      <c r="G3516" s="26"/>
      <c r="H3516" s="26"/>
      <c r="I3516" s="26"/>
      <c r="J3516" s="26"/>
      <c r="K3516" s="26"/>
      <c r="L3516" s="26"/>
      <c r="M3516" s="26"/>
      <c r="N3516" s="26"/>
      <c r="O3516" s="14" t="str">
        <f>HYPERLINK("https://otsuka-europe-crm.veevavault.com/ui/#object/email_activity__v/V8C000000048188", "EN-002104619")</f>
        <v>EN-002104619</v>
      </c>
    </row>
    <row r="3517" spans="1:15" ht="16" x14ac:dyDescent="0.2">
      <c r="A3517" s="19"/>
      <c r="B3517" s="19"/>
      <c r="C3517" s="19"/>
      <c r="D3517" s="19"/>
      <c r="E3517" s="19"/>
      <c r="F3517" s="19"/>
      <c r="G3517" s="19"/>
      <c r="H3517" s="19"/>
      <c r="I3517" s="19"/>
      <c r="J3517" s="19"/>
      <c r="K3517" s="19"/>
      <c r="L3517" s="19"/>
      <c r="M3517" s="19"/>
      <c r="N3517" s="19"/>
      <c r="O3517" s="14" t="str">
        <f>HYPERLINK("https://otsuka-europe-crm.veevavault.com/ui/#object/email_activity__v/V8C000000049011", "EN-002104887")</f>
        <v>EN-002104887</v>
      </c>
    </row>
    <row r="3518" spans="1:15" ht="16" x14ac:dyDescent="0.2">
      <c r="A3518" s="18" t="str">
        <f>HYPERLINK("https://otsuka-europe-crm.veevavault.com/ui/#object/account__v/V4TZ06G6O71TAZ9", "CARLOS ALBERTO MAÑERO RODRIGUEZ")</f>
        <v>CARLOS ALBERTO MAÑERO RODRIGUEZ</v>
      </c>
      <c r="B3518" s="18" t="str">
        <f>HYPERLINK("https://otsuka-europe-crm.veevavault.com/ui/#object/vcountry__v/VENZ000004SONF5", "ES")</f>
        <v>ES</v>
      </c>
      <c r="C3518" s="20" t="s">
        <v>39</v>
      </c>
      <c r="D351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18" s="22" t="str">
        <f>HYPERLINK("https://otsuka-europe-crm.veevavault.com/ui/#object/sent_email__v/VBL000000035185", "SE-001443366")</f>
        <v>SE-001443366</v>
      </c>
      <c r="F3518" s="23"/>
      <c r="G3518" s="24">
        <v>0</v>
      </c>
      <c r="H3518" s="24">
        <v>0</v>
      </c>
      <c r="I3518" s="24">
        <v>0</v>
      </c>
      <c r="J3518" s="23"/>
      <c r="K3518" s="24">
        <v>0</v>
      </c>
      <c r="L351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18" s="22" t="str">
        <f>HYPERLINK("mailto:vvalladares@crm.otsuka-europe.com", "vvalladares@crm.otsuka-europe.com")</f>
        <v>vvalladares@crm.otsuka-europe.com</v>
      </c>
      <c r="N3518" s="25">
        <v>46213.509583333333</v>
      </c>
      <c r="O3518" s="14" t="str">
        <f>HYPERLINK("https://otsuka-europe-crm.veevavault.com/ui/#object/email_activity__v/V8C000000048160", "EN-002104559")</f>
        <v>EN-002104559</v>
      </c>
    </row>
    <row r="3519" spans="1:15" ht="16" x14ac:dyDescent="0.2">
      <c r="A3519" s="19"/>
      <c r="B3519" s="19"/>
      <c r="C3519" s="19"/>
      <c r="D3519" s="19"/>
      <c r="E3519" s="19"/>
      <c r="F3519" s="19"/>
      <c r="G3519" s="19"/>
      <c r="H3519" s="19"/>
      <c r="I3519" s="19"/>
      <c r="J3519" s="19"/>
      <c r="K3519" s="19"/>
      <c r="L3519" s="19"/>
      <c r="M3519" s="19"/>
      <c r="N3519" s="19"/>
      <c r="O3519" s="14" t="str">
        <f>HYPERLINK("https://otsuka-europe-crm.veevavault.com/ui/#object/email_activity__v/V8C00000004B085", "EN-002106879")</f>
        <v>EN-002106879</v>
      </c>
    </row>
    <row r="3520" spans="1:15" ht="16" x14ac:dyDescent="0.2">
      <c r="A3520" s="18" t="str">
        <f>HYPERLINK("https://otsuka-europe-crm.veevavault.com/ui/#object/account__v/V4TZ06G6OB479MW", "RUBEN XAVIER SCHULDT")</f>
        <v>RUBEN XAVIER SCHULDT</v>
      </c>
      <c r="B3520" s="18" t="str">
        <f>HYPERLINK("https://otsuka-europe-crm.veevavault.com/ui/#object/vcountry__v/VENZ000004SONF5", "ES")</f>
        <v>ES</v>
      </c>
      <c r="C3520" s="20" t="s">
        <v>39</v>
      </c>
      <c r="D35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20" s="22" t="str">
        <f>HYPERLINK("https://otsuka-europe-crm.veevavault.com/ui/#object/sent_email__v/VBL000000035186", "SE-001443367")</f>
        <v>SE-001443367</v>
      </c>
      <c r="F3520" s="23"/>
      <c r="G3520" s="24">
        <v>0</v>
      </c>
      <c r="H3520" s="24">
        <v>0</v>
      </c>
      <c r="I3520" s="24">
        <v>0</v>
      </c>
      <c r="J3520" s="23"/>
      <c r="K3520" s="24">
        <v>0</v>
      </c>
      <c r="L35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20" s="22" t="str">
        <f>HYPERLINK("mailto:vvalladares@crm.otsuka-europe.com", "vvalladares@crm.otsuka-europe.com")</f>
        <v>vvalladares@crm.otsuka-europe.com</v>
      </c>
      <c r="N3520" s="25">
        <v>46213.509606481479</v>
      </c>
      <c r="O3520" s="14" t="str">
        <f>HYPERLINK("https://otsuka-europe-crm.veevavault.com/ui/#object/email_activity__v/V8C000000047245", "EN-002104568")</f>
        <v>EN-002104568</v>
      </c>
    </row>
    <row r="3521" spans="1:15" ht="16" x14ac:dyDescent="0.2">
      <c r="A3521" s="19"/>
      <c r="B3521" s="19"/>
      <c r="C3521" s="19"/>
      <c r="D3521" s="19"/>
      <c r="E3521" s="19"/>
      <c r="F3521" s="19"/>
      <c r="G3521" s="19"/>
      <c r="H3521" s="19"/>
      <c r="I3521" s="19"/>
      <c r="J3521" s="19"/>
      <c r="K3521" s="19"/>
      <c r="L3521" s="19"/>
      <c r="M3521" s="19"/>
      <c r="N3521" s="19"/>
      <c r="O3521" s="14" t="str">
        <f>HYPERLINK("https://otsuka-europe-crm.veevavault.com/ui/#object/email_activity__v/V8C000000048292", "EN-002104840")</f>
        <v>EN-002104840</v>
      </c>
    </row>
    <row r="3522" spans="1:15" ht="16" x14ac:dyDescent="0.2">
      <c r="A3522" s="18" t="str">
        <f>HYPERLINK("https://otsuka-europe-crm.veevavault.com/ui/#object/account__v/V4TZ04ASG997NUR", "DANIELA MEDINA GARCIA")</f>
        <v>DANIELA MEDINA GARCIA</v>
      </c>
      <c r="B3522" s="18" t="str">
        <f>HYPERLINK("https://otsuka-europe-crm.veevavault.com/ui/#object/vcountry__v/VENZ000004SONF5", "ES")</f>
        <v>ES</v>
      </c>
      <c r="C3522" s="20" t="s">
        <v>39</v>
      </c>
      <c r="D352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22" s="22" t="str">
        <f>HYPERLINK("https://otsuka-europe-crm.veevavault.com/ui/#object/sent_email__v/VBL000000035187", "SE-001443368")</f>
        <v>SE-001443368</v>
      </c>
      <c r="F3522" s="25">
        <v>46213.83662037037</v>
      </c>
      <c r="G3522" s="24">
        <v>1</v>
      </c>
      <c r="H3522" s="24">
        <v>2</v>
      </c>
      <c r="I3522" s="24">
        <v>0</v>
      </c>
      <c r="J3522" s="23"/>
      <c r="K3522" s="24">
        <v>0</v>
      </c>
      <c r="L352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22" s="22" t="str">
        <f>HYPERLINK("mailto:vvalladares@crm.otsuka-europe.com", "vvalladares@crm.otsuka-europe.com")</f>
        <v>vvalladares@crm.otsuka-europe.com</v>
      </c>
      <c r="N3522" s="25">
        <v>46213.509606481479</v>
      </c>
      <c r="O3522" s="14" t="str">
        <f>HYPERLINK("https://otsuka-europe-crm.veevavault.com/ui/#object/email_activity__v/V8C000000047386", "EN-002104839")</f>
        <v>EN-002104839</v>
      </c>
    </row>
    <row r="3523" spans="1:15" ht="16" x14ac:dyDescent="0.2">
      <c r="A3523" s="26"/>
      <c r="B3523" s="26"/>
      <c r="C3523" s="26"/>
      <c r="D3523" s="26"/>
      <c r="E3523" s="26"/>
      <c r="F3523" s="26"/>
      <c r="G3523" s="26"/>
      <c r="H3523" s="26"/>
      <c r="I3523" s="26"/>
      <c r="J3523" s="26"/>
      <c r="K3523" s="26"/>
      <c r="L3523" s="26"/>
      <c r="M3523" s="26"/>
      <c r="N3523" s="26"/>
      <c r="O3523" s="14" t="str">
        <f>HYPERLINK("https://otsuka-europe-crm.veevavault.com/ui/#object/email_activity__v/V8C000000048174", "EN-002104582")</f>
        <v>EN-002104582</v>
      </c>
    </row>
    <row r="3524" spans="1:15" ht="16" x14ac:dyDescent="0.2">
      <c r="A3524" s="19"/>
      <c r="B3524" s="19"/>
      <c r="C3524" s="19"/>
      <c r="D3524" s="19"/>
      <c r="E3524" s="19"/>
      <c r="F3524" s="19"/>
      <c r="G3524" s="19"/>
      <c r="H3524" s="19"/>
      <c r="I3524" s="19"/>
      <c r="J3524" s="19"/>
      <c r="K3524" s="19"/>
      <c r="L3524" s="19"/>
      <c r="M3524" s="19"/>
      <c r="N3524" s="19"/>
      <c r="O3524" s="14" t="str">
        <f>HYPERLINK("https://otsuka-europe-crm.veevavault.com/ui/#object/email_activity__v/V8C000000048208", "EN-002104685")</f>
        <v>EN-002104685</v>
      </c>
    </row>
    <row r="3525" spans="1:15" ht="16" x14ac:dyDescent="0.2">
      <c r="A3525" s="18" t="str">
        <f>HYPERLINK("https://otsuka-europe-crm.veevavault.com/ui/#object/account__v/V4T000000012038", "INES DE LA CUEVA FLORES")</f>
        <v>INES DE LA CUEVA FLORES</v>
      </c>
      <c r="B3525" s="18" t="str">
        <f>HYPERLINK("https://otsuka-europe-crm.veevavault.com/ui/#object/vcountry__v/VENZ000004SONF5", "ES")</f>
        <v>ES</v>
      </c>
      <c r="C3525" s="20" t="s">
        <v>39</v>
      </c>
      <c r="D35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25" s="22" t="str">
        <f>HYPERLINK("https://otsuka-europe-crm.veevavault.com/ui/#object/sent_email__v/VBL000000035188", "SE-001443369")</f>
        <v>SE-001443369</v>
      </c>
      <c r="F3525" s="23"/>
      <c r="G3525" s="24">
        <v>0</v>
      </c>
      <c r="H3525" s="24">
        <v>0</v>
      </c>
      <c r="I3525" s="24">
        <v>0</v>
      </c>
      <c r="J3525" s="23"/>
      <c r="K3525" s="24">
        <v>0</v>
      </c>
      <c r="L35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25" s="22" t="str">
        <f>HYPERLINK("mailto:vvalladares@crm.otsuka-europe.com", "vvalladares@crm.otsuka-europe.com")</f>
        <v>vvalladares@crm.otsuka-europe.com</v>
      </c>
      <c r="N3525" s="25">
        <v>46213.509606481479</v>
      </c>
      <c r="O3525" s="14" t="str">
        <f>HYPERLINK("https://otsuka-europe-crm.veevavault.com/ui/#object/email_activity__v/V8C000000048176", "EN-002104584")</f>
        <v>EN-002104584</v>
      </c>
    </row>
    <row r="3526" spans="1:15" ht="16" x14ac:dyDescent="0.2">
      <c r="A3526" s="19"/>
      <c r="B3526" s="19"/>
      <c r="C3526" s="19"/>
      <c r="D3526" s="19"/>
      <c r="E3526" s="19"/>
      <c r="F3526" s="19"/>
      <c r="G3526" s="19"/>
      <c r="H3526" s="19"/>
      <c r="I3526" s="19"/>
      <c r="J3526" s="19"/>
      <c r="K3526" s="19"/>
      <c r="L3526" s="19"/>
      <c r="M3526" s="19"/>
      <c r="N3526" s="19"/>
      <c r="O3526" s="14" t="str">
        <f>HYPERLINK("https://otsuka-europe-crm.veevavault.com/ui/#object/email_activity__v/V8C000000049853", "EN-002106579")</f>
        <v>EN-002106579</v>
      </c>
    </row>
    <row r="3527" spans="1:15" ht="16" x14ac:dyDescent="0.2">
      <c r="A3527" s="18" t="str">
        <f>HYPERLINK("https://otsuka-europe-crm.veevavault.com/ui/#object/account__v/V4TZ06G6O71TB1T", "MARIA DOLORES MARTINEZ ESTEBAN")</f>
        <v>MARIA DOLORES MARTINEZ ESTEBAN</v>
      </c>
      <c r="B3527" s="18" t="str">
        <f>HYPERLINK("https://otsuka-europe-crm.veevavault.com/ui/#object/vcountry__v/VENZ000004SONF5", "ES")</f>
        <v>ES</v>
      </c>
      <c r="C3527" s="20" t="s">
        <v>39</v>
      </c>
      <c r="D352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27" s="22" t="str">
        <f>HYPERLINK("https://otsuka-europe-crm.veevavault.com/ui/#object/sent_email__v/VBL000000035189", "SE-001443370")</f>
        <v>SE-001443370</v>
      </c>
      <c r="F3527" s="25">
        <v>46213.509525462963</v>
      </c>
      <c r="G3527" s="24">
        <v>1</v>
      </c>
      <c r="H3527" s="24">
        <v>1</v>
      </c>
      <c r="I3527" s="24">
        <v>0</v>
      </c>
      <c r="J3527" s="23"/>
      <c r="K3527" s="24">
        <v>0</v>
      </c>
      <c r="L352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27" s="22" t="str">
        <f>HYPERLINK("mailto:vvalladares@crm.otsuka-europe.com", "vvalladares@crm.otsuka-europe.com")</f>
        <v>vvalladares@crm.otsuka-europe.com</v>
      </c>
      <c r="N3527" s="25">
        <v>46213.509421296294</v>
      </c>
      <c r="O3527" s="14" t="str">
        <f>HYPERLINK("https://otsuka-europe-crm.veevavault.com/ui/#object/email_activity__v/V8C000000048147", "EN-002104512")</f>
        <v>EN-002104512</v>
      </c>
    </row>
    <row r="3528" spans="1:15" ht="16" x14ac:dyDescent="0.2">
      <c r="A3528" s="19"/>
      <c r="B3528" s="19"/>
      <c r="C3528" s="19"/>
      <c r="D3528" s="19"/>
      <c r="E3528" s="19"/>
      <c r="F3528" s="19"/>
      <c r="G3528" s="19"/>
      <c r="H3528" s="19"/>
      <c r="I3528" s="19"/>
      <c r="J3528" s="19"/>
      <c r="K3528" s="19"/>
      <c r="L3528" s="19"/>
      <c r="M3528" s="19"/>
      <c r="N3528" s="19"/>
      <c r="O3528" s="14" t="str">
        <f>HYPERLINK("https://otsuka-europe-crm.veevavault.com/ui/#object/email_activity__v/V8C000000048153", "EN-002104524")</f>
        <v>EN-002104524</v>
      </c>
    </row>
    <row r="3529" spans="1:15" ht="64" x14ac:dyDescent="0.2">
      <c r="A3529" s="7" t="str">
        <f>HYPERLINK("https://otsuka-europe-crm.veevavault.com/ui/#object/account__v/V4TZ06G6O71TAHH", "DOMINGO JERONIMO HERNANDEZ MARRERO")</f>
        <v>DOMINGO JERONIMO HERNANDEZ MARRERO</v>
      </c>
      <c r="B3529" s="7" t="str">
        <f>HYPERLINK("https://otsuka-europe-crm.veevavault.com/ui/#object/vcountry__v/VENZ000004SONF5", "ES")</f>
        <v>ES</v>
      </c>
      <c r="C3529" s="8" t="s">
        <v>39</v>
      </c>
      <c r="D352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29" s="10" t="str">
        <f>HYPERLINK("https://otsuka-europe-crm.veevavault.com/ui/#object/sent_email__v/VBL000000035190", "SE-001443371")</f>
        <v>SE-001443371</v>
      </c>
      <c r="F3529" s="11"/>
      <c r="G3529" s="12">
        <v>0</v>
      </c>
      <c r="H3529" s="12">
        <v>0</v>
      </c>
      <c r="I3529" s="12">
        <v>0</v>
      </c>
      <c r="J3529" s="11"/>
      <c r="K3529" s="12">
        <v>0</v>
      </c>
      <c r="L352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29" s="10" t="str">
        <f>HYPERLINK("mailto:vvalladares@crm.otsuka-europe.com", "vvalladares@crm.otsuka-europe.com")</f>
        <v>vvalladares@crm.otsuka-europe.com</v>
      </c>
      <c r="N3529" s="13">
        <v>46213.509444444448</v>
      </c>
      <c r="O3529" s="14" t="str">
        <f>HYPERLINK("https://otsuka-europe-crm.veevavault.com/ui/#object/email_activity__v/V8C000000048144", "EN-002104509")</f>
        <v>EN-002104509</v>
      </c>
    </row>
    <row r="3530" spans="1:15" ht="64" x14ac:dyDescent="0.2">
      <c r="A3530" s="7" t="str">
        <f>HYPERLINK("https://otsuka-europe-crm.veevavault.com/ui/#object/account__v/V4TZ025E86V82A7", "MARIA MAR RODRIGUEZ DE OÑA")</f>
        <v>MARIA MAR RODRIGUEZ DE OÑA</v>
      </c>
      <c r="B3530" s="7" t="str">
        <f>HYPERLINK("https://otsuka-europe-crm.veevavault.com/ui/#object/vcountry__v/VENZ000004SONF5", "ES")</f>
        <v>ES</v>
      </c>
      <c r="C3530" s="8" t="s">
        <v>39</v>
      </c>
      <c r="D353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30" s="10" t="str">
        <f>HYPERLINK("https://otsuka-europe-crm.veevavault.com/ui/#object/sent_email__v/VBL000000035191", "SE-001443372")</f>
        <v>SE-001443372</v>
      </c>
      <c r="F3530" s="11"/>
      <c r="G3530" s="12">
        <v>0</v>
      </c>
      <c r="H3530" s="12">
        <v>0</v>
      </c>
      <c r="I3530" s="12">
        <v>0</v>
      </c>
      <c r="J3530" s="11"/>
      <c r="K3530" s="12">
        <v>0</v>
      </c>
      <c r="L353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30" s="10" t="str">
        <f>HYPERLINK("mailto:vvalladares@crm.otsuka-europe.com", "vvalladares@crm.otsuka-europe.com")</f>
        <v>vvalladares@crm.otsuka-europe.com</v>
      </c>
      <c r="N3530" s="13">
        <v>46213.509421296294</v>
      </c>
      <c r="O3530" s="14" t="str">
        <f>HYPERLINK("https://otsuka-europe-crm.veevavault.com/ui/#object/email_activity__v/V8C000000048149", "EN-002104514")</f>
        <v>EN-002104514</v>
      </c>
    </row>
    <row r="3531" spans="1:15" ht="16" x14ac:dyDescent="0.2">
      <c r="A3531" s="18" t="str">
        <f>HYPERLINK("https://otsuka-europe-crm.veevavault.com/ui/#object/account__v/V4TZ06G6O71TB0I", "BASILIO MARTIN URCUYO")</f>
        <v>BASILIO MARTIN URCUYO</v>
      </c>
      <c r="B3531" s="18" t="str">
        <f>HYPERLINK("https://otsuka-europe-crm.veevavault.com/ui/#object/vcountry__v/VENZ000004SONF5", "ES")</f>
        <v>ES</v>
      </c>
      <c r="C3531" s="20" t="s">
        <v>39</v>
      </c>
      <c r="D353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31" s="22" t="str">
        <f>HYPERLINK("https://otsuka-europe-crm.veevavault.com/ui/#object/sent_email__v/VBL000000035192", "SE-001443373")</f>
        <v>SE-001443373</v>
      </c>
      <c r="F3531" s="25">
        <v>46213.546053240738</v>
      </c>
      <c r="G3531" s="24">
        <v>1</v>
      </c>
      <c r="H3531" s="24">
        <v>1</v>
      </c>
      <c r="I3531" s="24">
        <v>0</v>
      </c>
      <c r="J3531" s="23"/>
      <c r="K3531" s="24">
        <v>0</v>
      </c>
      <c r="L353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31" s="22" t="str">
        <f>HYPERLINK("mailto:vvalladares@crm.otsuka-europe.com", "vvalladares@crm.otsuka-europe.com")</f>
        <v>vvalladares@crm.otsuka-europe.com</v>
      </c>
      <c r="N3531" s="25">
        <v>46213.509583333333</v>
      </c>
      <c r="O3531" s="14" t="str">
        <f>HYPERLINK("https://otsuka-europe-crm.veevavault.com/ui/#object/email_activity__v/V8C000000047331", "EN-002104732")</f>
        <v>EN-002104732</v>
      </c>
    </row>
    <row r="3532" spans="1:15" ht="16" x14ac:dyDescent="0.2">
      <c r="A3532" s="26"/>
      <c r="B3532" s="26"/>
      <c r="C3532" s="26"/>
      <c r="D3532" s="26"/>
      <c r="E3532" s="26"/>
      <c r="F3532" s="26"/>
      <c r="G3532" s="26"/>
      <c r="H3532" s="26"/>
      <c r="I3532" s="26"/>
      <c r="J3532" s="26"/>
      <c r="K3532" s="26"/>
      <c r="L3532" s="26"/>
      <c r="M3532" s="26"/>
      <c r="N3532" s="26"/>
      <c r="O3532" s="14" t="str">
        <f>HYPERLINK("https://otsuka-europe-crm.veevavault.com/ui/#object/email_activity__v/V8C000000048156", "EN-002104555")</f>
        <v>EN-002104555</v>
      </c>
    </row>
    <row r="3533" spans="1:15" ht="16" x14ac:dyDescent="0.2">
      <c r="A3533" s="19"/>
      <c r="B3533" s="19"/>
      <c r="C3533" s="19"/>
      <c r="D3533" s="19"/>
      <c r="E3533" s="19"/>
      <c r="F3533" s="19"/>
      <c r="G3533" s="19"/>
      <c r="H3533" s="19"/>
      <c r="I3533" s="19"/>
      <c r="J3533" s="19"/>
      <c r="K3533" s="19"/>
      <c r="L3533" s="19"/>
      <c r="M3533" s="19"/>
      <c r="N3533" s="19"/>
      <c r="O3533" s="14" t="str">
        <f>HYPERLINK("https://otsuka-europe-crm.veevavault.com/ui/#object/email_activity__v/V8C000000048282", "EN-002104813")</f>
        <v>EN-002104813</v>
      </c>
    </row>
    <row r="3534" spans="1:15" ht="64" x14ac:dyDescent="0.2">
      <c r="A3534" s="7" t="str">
        <f>HYPERLINK("https://otsuka-europe-crm.veevavault.com/ui/#object/account__v/V4TZ025E85DZZ9L", "GHITA LAHRICHI")</f>
        <v>GHITA LAHRICHI</v>
      </c>
      <c r="B3534" s="7" t="str">
        <f>HYPERLINK("https://otsuka-europe-crm.veevavault.com/ui/#object/vcountry__v/VENZ000004SONF5", "ES")</f>
        <v>ES</v>
      </c>
      <c r="C3534" s="8" t="s">
        <v>39</v>
      </c>
      <c r="D353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34" s="10" t="str">
        <f>HYPERLINK("https://otsuka-europe-crm.veevavault.com/ui/#object/sent_email__v/VBL000000035193", "SE-001443374")</f>
        <v>SE-001443374</v>
      </c>
      <c r="F3534" s="11"/>
      <c r="G3534" s="12">
        <v>0</v>
      </c>
      <c r="H3534" s="12">
        <v>0</v>
      </c>
      <c r="I3534" s="12">
        <v>0</v>
      </c>
      <c r="J3534" s="11"/>
      <c r="K3534" s="12">
        <v>0</v>
      </c>
      <c r="L353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34" s="10" t="str">
        <f>HYPERLINK("mailto:vvalladares@crm.otsuka-europe.com", "vvalladares@crm.otsuka-europe.com")</f>
        <v>vvalladares@crm.otsuka-europe.com</v>
      </c>
      <c r="N3534" s="13">
        <v>46213.509594907409</v>
      </c>
      <c r="O3534" s="14" t="str">
        <f>HYPERLINK("https://otsuka-europe-crm.veevavault.com/ui/#object/email_activity__v/V8C000000048162", "EN-002104570")</f>
        <v>EN-002104570</v>
      </c>
    </row>
    <row r="3535" spans="1:15" ht="64" x14ac:dyDescent="0.2">
      <c r="A3535" s="7" t="str">
        <f>HYPERLINK("https://otsuka-europe-crm.veevavault.com/ui/#object/account__v/V4TZ06G6O71TAUB", "ALBERTO MARAÑES ANTOÑANZAS")</f>
        <v>ALBERTO MARAÑES ANTOÑANZAS</v>
      </c>
      <c r="B3535" s="7" t="str">
        <f>HYPERLINK("https://otsuka-europe-crm.veevavault.com/ui/#object/vcountry__v/VENZ000004SONF5", "ES")</f>
        <v>ES</v>
      </c>
      <c r="C3535" s="8" t="s">
        <v>39</v>
      </c>
      <c r="D353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35" s="10" t="str">
        <f>HYPERLINK("https://otsuka-europe-crm.veevavault.com/ui/#object/sent_email__v/VBL000000035194", "SE-001443375")</f>
        <v>SE-001443375</v>
      </c>
      <c r="F3535" s="11"/>
      <c r="G3535" s="12">
        <v>0</v>
      </c>
      <c r="H3535" s="12">
        <v>0</v>
      </c>
      <c r="I3535" s="12">
        <v>0</v>
      </c>
      <c r="J3535" s="11"/>
      <c r="K3535" s="12">
        <v>0</v>
      </c>
      <c r="L353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35" s="10" t="str">
        <f>HYPERLINK("mailto:vvalladares@crm.otsuka-europe.com", "vvalladares@crm.otsuka-europe.com")</f>
        <v>vvalladares@crm.otsuka-europe.com</v>
      </c>
      <c r="N3535" s="13">
        <v>46213.509421296294</v>
      </c>
      <c r="O3535" s="14" t="str">
        <f>HYPERLINK("https://otsuka-europe-crm.veevavault.com/ui/#object/email_activity__v/V8C000000047205", "EN-002104517")</f>
        <v>EN-002104517</v>
      </c>
    </row>
    <row r="3536" spans="1:15" ht="16" x14ac:dyDescent="0.2">
      <c r="A3536" s="18" t="str">
        <f>HYPERLINK("https://otsuka-europe-crm.veevavault.com/ui/#object/account__v/V4TZ06G6O71TBOA", "MARIA CARMEN PRADOS SOLER")</f>
        <v>MARIA CARMEN PRADOS SOLER</v>
      </c>
      <c r="B3536" s="18" t="str">
        <f>HYPERLINK("https://otsuka-europe-crm.veevavault.com/ui/#object/vcountry__v/VENZ000004SONF5", "ES")</f>
        <v>ES</v>
      </c>
      <c r="C3536" s="20" t="s">
        <v>39</v>
      </c>
      <c r="D353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36" s="22" t="str">
        <f>HYPERLINK("https://otsuka-europe-crm.veevavault.com/ui/#object/sent_email__v/VBL000000035195", "SE-001443376")</f>
        <v>SE-001443376</v>
      </c>
      <c r="F3536" s="25">
        <v>46214.760763888888</v>
      </c>
      <c r="G3536" s="24">
        <v>1</v>
      </c>
      <c r="H3536" s="24">
        <v>2</v>
      </c>
      <c r="I3536" s="24">
        <v>1</v>
      </c>
      <c r="J3536" s="25">
        <v>46214.765162037038</v>
      </c>
      <c r="K3536" s="24">
        <v>1</v>
      </c>
      <c r="L353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36" s="22" t="str">
        <f>HYPERLINK("mailto:vvalladares@crm.otsuka-europe.com", "vvalladares@crm.otsuka-europe.com")</f>
        <v>vvalladares@crm.otsuka-europe.com</v>
      </c>
      <c r="N3536" s="25">
        <v>46213.509421296294</v>
      </c>
      <c r="O3536" s="14" t="str">
        <f>HYPERLINK("https://otsuka-europe-crm.veevavault.com/ui/#object/email_activity__v/V8C000000047303", "EN-002104667")</f>
        <v>EN-002104667</v>
      </c>
    </row>
    <row r="3537" spans="1:15" ht="16" x14ac:dyDescent="0.2">
      <c r="A3537" s="26"/>
      <c r="B3537" s="26"/>
      <c r="C3537" s="26"/>
      <c r="D3537" s="26"/>
      <c r="E3537" s="26"/>
      <c r="F3537" s="26"/>
      <c r="G3537" s="26"/>
      <c r="H3537" s="26"/>
      <c r="I3537" s="26"/>
      <c r="J3537" s="26"/>
      <c r="K3537" s="26"/>
      <c r="L3537" s="26"/>
      <c r="M3537" s="26"/>
      <c r="N3537" s="26"/>
      <c r="O3537" s="14" t="str">
        <f>HYPERLINK("https://otsuka-europe-crm.veevavault.com/ui/#object/email_activity__v/V8C000000048150", "EN-002104515")</f>
        <v>EN-002104515</v>
      </c>
    </row>
    <row r="3538" spans="1:15" ht="16" x14ac:dyDescent="0.2">
      <c r="A3538" s="26"/>
      <c r="B3538" s="26"/>
      <c r="C3538" s="26"/>
      <c r="D3538" s="26"/>
      <c r="E3538" s="26"/>
      <c r="F3538" s="26"/>
      <c r="G3538" s="26"/>
      <c r="H3538" s="26"/>
      <c r="I3538" s="26"/>
      <c r="J3538" s="26"/>
      <c r="K3538" s="26"/>
      <c r="L3538" s="26"/>
      <c r="M3538" s="26"/>
      <c r="N3538" s="26"/>
      <c r="O3538" s="14" t="str">
        <f>HYPERLINK("https://otsuka-europe-crm.veevavault.com/ui/#object/email_activity__v/V8C00000004A029", "EN-002104924")</f>
        <v>EN-002104924</v>
      </c>
    </row>
    <row r="3539" spans="1:15" ht="16" x14ac:dyDescent="0.2">
      <c r="A3539" s="19"/>
      <c r="B3539" s="19"/>
      <c r="C3539" s="19"/>
      <c r="D3539" s="19"/>
      <c r="E3539" s="19"/>
      <c r="F3539" s="19"/>
      <c r="G3539" s="19"/>
      <c r="H3539" s="19"/>
      <c r="I3539" s="19"/>
      <c r="J3539" s="19"/>
      <c r="K3539" s="19"/>
      <c r="L3539" s="19"/>
      <c r="M3539" s="19"/>
      <c r="N3539" s="19"/>
      <c r="O3539" s="14" t="str">
        <f>HYPERLINK("https://otsuka-europe-crm.veevavault.com/ui/#object/email_activity__v/V8C00000004A030", "EN-002104926")</f>
        <v>EN-002104926</v>
      </c>
    </row>
    <row r="3540" spans="1:15" ht="64" x14ac:dyDescent="0.2">
      <c r="A3540" s="7" t="str">
        <f>HYPERLINK("https://otsuka-europe-crm.veevavault.com/ui/#object/account__v/V4TZ06G6OCBJ28L", "ALBA MAROTO ARAMENDI")</f>
        <v>ALBA MAROTO ARAMENDI</v>
      </c>
      <c r="B3540" s="7" t="str">
        <f>HYPERLINK("https://otsuka-europe-crm.veevavault.com/ui/#object/vcountry__v/VENZ000004SONF5", "ES")</f>
        <v>ES</v>
      </c>
      <c r="C3540" s="8" t="s">
        <v>39</v>
      </c>
      <c r="D354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40" s="10" t="str">
        <f>HYPERLINK("https://otsuka-europe-crm.veevavault.com/ui/#object/sent_email__v/VBL000000035196", "SE-001443377")</f>
        <v>SE-001443377</v>
      </c>
      <c r="F3540" s="11"/>
      <c r="G3540" s="12">
        <v>0</v>
      </c>
      <c r="H3540" s="12">
        <v>0</v>
      </c>
      <c r="I3540" s="12">
        <v>0</v>
      </c>
      <c r="J3540" s="11"/>
      <c r="K3540" s="12">
        <v>0</v>
      </c>
      <c r="L354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40" s="10" t="str">
        <f>HYPERLINK("mailto:vvalladares@crm.otsuka-europe.com", "vvalladares@crm.otsuka-europe.com")</f>
        <v>vvalladares@crm.otsuka-europe.com</v>
      </c>
      <c r="N3540" s="13">
        <v>46213.509421296294</v>
      </c>
      <c r="O3540" s="14" t="str">
        <f>HYPERLINK("https://otsuka-europe-crm.veevavault.com/ui/#object/email_activity__v/V8C000000047208", "EN-002104520")</f>
        <v>EN-002104520</v>
      </c>
    </row>
    <row r="3541" spans="1:15" ht="64" x14ac:dyDescent="0.2">
      <c r="A3541" s="7" t="str">
        <f>HYPERLINK("https://otsuka-europe-crm.veevavault.com/ui/#object/account__v/V4TZ04ASG6LPDVT", "LUIS PEDRO CERMEÑO MARAVI")</f>
        <v>LUIS PEDRO CERMEÑO MARAVI</v>
      </c>
      <c r="B3541" s="7" t="str">
        <f>HYPERLINK("https://otsuka-europe-crm.veevavault.com/ui/#object/vcountry__v/VENZ000004SONF5", "ES")</f>
        <v>ES</v>
      </c>
      <c r="C3541" s="8" t="s">
        <v>39</v>
      </c>
      <c r="D354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41" s="10" t="str">
        <f>HYPERLINK("https://otsuka-europe-crm.veevavault.com/ui/#object/sent_email__v/VBL000000035197", "SE-001443378")</f>
        <v>SE-001443378</v>
      </c>
      <c r="F3541" s="11"/>
      <c r="G3541" s="12">
        <v>0</v>
      </c>
      <c r="H3541" s="12">
        <v>0</v>
      </c>
      <c r="I3541" s="12">
        <v>0</v>
      </c>
      <c r="J3541" s="11"/>
      <c r="K3541" s="12">
        <v>0</v>
      </c>
      <c r="L354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41" s="10" t="str">
        <f>HYPERLINK("mailto:vvalladares@crm.otsuka-europe.com", "vvalladares@crm.otsuka-europe.com")</f>
        <v>vvalladares@crm.otsuka-europe.com</v>
      </c>
      <c r="N3541" s="13">
        <v>46213.509421296294</v>
      </c>
      <c r="O3541" s="14" t="str">
        <f>HYPERLINK("https://otsuka-europe-crm.veevavault.com/ui/#object/email_activity__v/V8C000000047233", "EN-002104550")</f>
        <v>EN-002104550</v>
      </c>
    </row>
    <row r="3542" spans="1:15" ht="16" x14ac:dyDescent="0.2">
      <c r="A3542" s="18" t="str">
        <f>HYPERLINK("https://otsuka-europe-crm.veevavault.com/ui/#object/account__v/V4TZ025E83AX1MT", "JAVIER ARIAS ALCALA")</f>
        <v>JAVIER ARIAS ALCALA</v>
      </c>
      <c r="B3542" s="18" t="str">
        <f>HYPERLINK("https://otsuka-europe-crm.veevavault.com/ui/#object/vcountry__v/VENZ000004SONF5", "ES")</f>
        <v>ES</v>
      </c>
      <c r="C3542" s="20" t="s">
        <v>39</v>
      </c>
      <c r="D354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42" s="22" t="str">
        <f>HYPERLINK("https://otsuka-europe-crm.veevavault.com/ui/#object/sent_email__v/VBL000000035198", "SE-001443379")</f>
        <v>SE-001443379</v>
      </c>
      <c r="F3542" s="25">
        <v>46214.333449074074</v>
      </c>
      <c r="G3542" s="24">
        <v>1</v>
      </c>
      <c r="H3542" s="24">
        <v>3</v>
      </c>
      <c r="I3542" s="24">
        <v>0</v>
      </c>
      <c r="J3542" s="23"/>
      <c r="K3542" s="24">
        <v>0</v>
      </c>
      <c r="L354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42" s="22" t="str">
        <f>HYPERLINK("mailto:vvalladares@crm.otsuka-europe.com", "vvalladares@crm.otsuka-europe.com")</f>
        <v>vvalladares@crm.otsuka-europe.com</v>
      </c>
      <c r="N3542" s="25">
        <v>46213.509444444448</v>
      </c>
      <c r="O3542" s="14" t="str">
        <f>HYPERLINK("https://otsuka-europe-crm.veevavault.com/ui/#object/email_activity__v/V8C000000047312", "EN-002104679")</f>
        <v>EN-002104679</v>
      </c>
    </row>
    <row r="3543" spans="1:15" ht="16" x14ac:dyDescent="0.2">
      <c r="A3543" s="26"/>
      <c r="B3543" s="26"/>
      <c r="C3543" s="26"/>
      <c r="D3543" s="26"/>
      <c r="E3543" s="26"/>
      <c r="F3543" s="26"/>
      <c r="G3543" s="26"/>
      <c r="H3543" s="26"/>
      <c r="I3543" s="26"/>
      <c r="J3543" s="26"/>
      <c r="K3543" s="26"/>
      <c r="L3543" s="26"/>
      <c r="M3543" s="26"/>
      <c r="N3543" s="26"/>
      <c r="O3543" s="14" t="str">
        <f>HYPERLINK("https://otsuka-europe-crm.veevavault.com/ui/#object/email_activity__v/V8C000000048145", "EN-002104510")</f>
        <v>EN-002104510</v>
      </c>
    </row>
    <row r="3544" spans="1:15" ht="16" x14ac:dyDescent="0.2">
      <c r="A3544" s="26"/>
      <c r="B3544" s="26"/>
      <c r="C3544" s="26"/>
      <c r="D3544" s="26"/>
      <c r="E3544" s="26"/>
      <c r="F3544" s="26"/>
      <c r="G3544" s="26"/>
      <c r="H3544" s="26"/>
      <c r="I3544" s="26"/>
      <c r="J3544" s="26"/>
      <c r="K3544" s="26"/>
      <c r="L3544" s="26"/>
      <c r="M3544" s="26"/>
      <c r="N3544" s="26"/>
      <c r="O3544" s="14" t="str">
        <f>HYPERLINK("https://otsuka-europe-crm.veevavault.com/ui/#object/email_activity__v/V8C000000049006", "EN-002104879")</f>
        <v>EN-002104879</v>
      </c>
    </row>
    <row r="3545" spans="1:15" ht="16" x14ac:dyDescent="0.2">
      <c r="A3545" s="19"/>
      <c r="B3545" s="19"/>
      <c r="C3545" s="19"/>
      <c r="D3545" s="19"/>
      <c r="E3545" s="19"/>
      <c r="F3545" s="19"/>
      <c r="G3545" s="19"/>
      <c r="H3545" s="19"/>
      <c r="I3545" s="19"/>
      <c r="J3545" s="19"/>
      <c r="K3545" s="19"/>
      <c r="L3545" s="19"/>
      <c r="M3545" s="19"/>
      <c r="N3545" s="19"/>
      <c r="O3545" s="14" t="str">
        <f>HYPERLINK("https://otsuka-europe-crm.veevavault.com/ui/#object/email_activity__v/V8C000000049008", "EN-002104884")</f>
        <v>EN-002104884</v>
      </c>
    </row>
    <row r="3546" spans="1:15" ht="64" x14ac:dyDescent="0.2">
      <c r="A3546" s="7" t="str">
        <f>HYPERLINK("https://otsuka-europe-crm.veevavault.com/ui/#object/account__v/V4TZ06G6O71TA4U", "CESAR GARCIA CANTON")</f>
        <v>CESAR GARCIA CANTON</v>
      </c>
      <c r="B3546" s="7" t="str">
        <f>HYPERLINK("https://otsuka-europe-crm.veevavault.com/ui/#object/vcountry__v/VENZ000004SONF5", "ES")</f>
        <v>ES</v>
      </c>
      <c r="C3546" s="8" t="s">
        <v>39</v>
      </c>
      <c r="D35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46" s="10" t="str">
        <f>HYPERLINK("https://otsuka-europe-crm.veevavault.com/ui/#object/sent_email__v/VBL000000035199", "SE-001443380")</f>
        <v>SE-001443380</v>
      </c>
      <c r="F3546" s="11"/>
      <c r="G3546" s="12">
        <v>0</v>
      </c>
      <c r="H3546" s="12">
        <v>0</v>
      </c>
      <c r="I3546" s="12">
        <v>0</v>
      </c>
      <c r="J3546" s="11"/>
      <c r="K3546" s="12">
        <v>0</v>
      </c>
      <c r="L35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46" s="10" t="str">
        <f>HYPERLINK("mailto:vvalladares@crm.otsuka-europe.com", "vvalladares@crm.otsuka-europe.com")</f>
        <v>vvalladares@crm.otsuka-europe.com</v>
      </c>
      <c r="N3546" s="13">
        <v>46213.509421296294</v>
      </c>
      <c r="O3546" s="14" t="str">
        <f>HYPERLINK("https://otsuka-europe-crm.veevavault.com/ui/#object/email_activity__v/V8C000000048154", "EN-002104525")</f>
        <v>EN-002104525</v>
      </c>
    </row>
    <row r="3547" spans="1:15" ht="16" x14ac:dyDescent="0.2">
      <c r="A3547" s="18" t="str">
        <f>HYPERLINK("https://otsuka-europe-crm.veevavault.com/ui/#object/account__v/V4TZ06G6O71TBF3", "MANUEL NAVARRO ZURITA")</f>
        <v>MANUEL NAVARRO ZURITA</v>
      </c>
      <c r="B3547" s="18" t="str">
        <f>HYPERLINK("https://otsuka-europe-crm.veevavault.com/ui/#object/vcountry__v/VENZ000004SONF5", "ES")</f>
        <v>ES</v>
      </c>
      <c r="C3547" s="20" t="s">
        <v>39</v>
      </c>
      <c r="D354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47" s="22" t="str">
        <f>HYPERLINK("https://otsuka-europe-crm.veevavault.com/ui/#object/sent_email__v/VBL000000035200", "SE-001443381")</f>
        <v>SE-001443381</v>
      </c>
      <c r="F3547" s="25">
        <v>46226.42391203704</v>
      </c>
      <c r="G3547" s="24">
        <v>1</v>
      </c>
      <c r="H3547" s="24">
        <v>4</v>
      </c>
      <c r="I3547" s="24">
        <v>0</v>
      </c>
      <c r="J3547" s="23"/>
      <c r="K3547" s="24">
        <v>0</v>
      </c>
      <c r="L354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47" s="22" t="str">
        <f>HYPERLINK("mailto:vvalladares@crm.otsuka-europe.com", "vvalladares@crm.otsuka-europe.com")</f>
        <v>vvalladares@crm.otsuka-europe.com</v>
      </c>
      <c r="N3547" s="25">
        <v>46213.509583333333</v>
      </c>
      <c r="O3547" s="14" t="str">
        <f>HYPERLINK("https://otsuka-europe-crm.veevavault.com/ui/#object/email_activity__v/V8C000000048185", "EN-002104602")</f>
        <v>EN-002104602</v>
      </c>
    </row>
    <row r="3548" spans="1:15" ht="16" x14ac:dyDescent="0.2">
      <c r="A3548" s="26"/>
      <c r="B3548" s="26"/>
      <c r="C3548" s="26"/>
      <c r="D3548" s="26"/>
      <c r="E3548" s="26"/>
      <c r="F3548" s="26"/>
      <c r="G3548" s="26"/>
      <c r="H3548" s="26"/>
      <c r="I3548" s="26"/>
      <c r="J3548" s="26"/>
      <c r="K3548" s="26"/>
      <c r="L3548" s="26"/>
      <c r="M3548" s="26"/>
      <c r="N3548" s="26"/>
      <c r="O3548" s="14" t="str">
        <f>HYPERLINK("https://otsuka-europe-crm.veevavault.com/ui/#object/email_activity__v/V8C00000004A290", "EN-002105511")</f>
        <v>EN-002105511</v>
      </c>
    </row>
    <row r="3549" spans="1:15" ht="16" x14ac:dyDescent="0.2">
      <c r="A3549" s="26"/>
      <c r="B3549" s="26"/>
      <c r="C3549" s="26"/>
      <c r="D3549" s="26"/>
      <c r="E3549" s="26"/>
      <c r="F3549" s="26"/>
      <c r="G3549" s="26"/>
      <c r="H3549" s="26"/>
      <c r="I3549" s="26"/>
      <c r="J3549" s="26"/>
      <c r="K3549" s="26"/>
      <c r="L3549" s="26"/>
      <c r="M3549" s="26"/>
      <c r="N3549" s="26"/>
      <c r="O3549" s="14" t="str">
        <f>HYPERLINK("https://otsuka-europe-crm.veevavault.com/ui/#object/email_activity__v/V8C00000004A643", "EN-002106199")</f>
        <v>EN-002106199</v>
      </c>
    </row>
    <row r="3550" spans="1:15" ht="16" x14ac:dyDescent="0.2">
      <c r="A3550" s="26"/>
      <c r="B3550" s="26"/>
      <c r="C3550" s="26"/>
      <c r="D3550" s="26"/>
      <c r="E3550" s="26"/>
      <c r="F3550" s="26"/>
      <c r="G3550" s="26"/>
      <c r="H3550" s="26"/>
      <c r="I3550" s="26"/>
      <c r="J3550" s="26"/>
      <c r="K3550" s="26"/>
      <c r="L3550" s="26"/>
      <c r="M3550" s="26"/>
      <c r="N3550" s="26"/>
      <c r="O3550" s="14" t="str">
        <f>HYPERLINK("https://otsuka-europe-crm.veevavault.com/ui/#object/email_activity__v/V8C00000004A644", "EN-002106200")</f>
        <v>EN-002106200</v>
      </c>
    </row>
    <row r="3551" spans="1:15" ht="16" x14ac:dyDescent="0.2">
      <c r="A3551" s="19"/>
      <c r="B3551" s="19"/>
      <c r="C3551" s="19"/>
      <c r="D3551" s="19"/>
      <c r="E3551" s="19"/>
      <c r="F3551" s="19"/>
      <c r="G3551" s="19"/>
      <c r="H3551" s="19"/>
      <c r="I3551" s="19"/>
      <c r="J3551" s="19"/>
      <c r="K3551" s="19"/>
      <c r="L3551" s="19"/>
      <c r="M3551" s="19"/>
      <c r="N3551" s="19"/>
      <c r="O3551" s="14" t="str">
        <f>HYPERLINK("https://otsuka-europe-crm.veevavault.com/ui/#object/email_activity__v/V8C00000004B848", "EN-002108156")</f>
        <v>EN-002108156</v>
      </c>
    </row>
    <row r="3552" spans="1:15" ht="16" x14ac:dyDescent="0.2">
      <c r="A3552" s="18" t="str">
        <f>HYPERLINK("https://otsuka-europe-crm.veevavault.com/ui/#object/account__v/V4TZ06G6O71TA75", "FAYNA GONZALEZ CABRERA")</f>
        <v>FAYNA GONZALEZ CABRERA</v>
      </c>
      <c r="B3552" s="18" t="str">
        <f>HYPERLINK("https://otsuka-europe-crm.veevavault.com/ui/#object/vcountry__v/VENZ000004SONF5", "ES")</f>
        <v>ES</v>
      </c>
      <c r="C3552" s="20" t="s">
        <v>39</v>
      </c>
      <c r="D35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52" s="22" t="str">
        <f>HYPERLINK("https://otsuka-europe-crm.veevavault.com/ui/#object/sent_email__v/VBL000000035201", "SE-001443382")</f>
        <v>SE-001443382</v>
      </c>
      <c r="F3552" s="23"/>
      <c r="G3552" s="24">
        <v>0</v>
      </c>
      <c r="H3552" s="24">
        <v>0</v>
      </c>
      <c r="I3552" s="24">
        <v>0</v>
      </c>
      <c r="J3552" s="23"/>
      <c r="K3552" s="24">
        <v>0</v>
      </c>
      <c r="L35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52" s="22" t="str">
        <f>HYPERLINK("mailto:vvalladares@crm.otsuka-europe.com", "vvalladares@crm.otsuka-europe.com")</f>
        <v>vvalladares@crm.otsuka-europe.com</v>
      </c>
      <c r="N3552" s="25">
        <v>46213.509583333333</v>
      </c>
      <c r="O3552" s="14" t="str">
        <f>HYPERLINK("https://otsuka-europe-crm.veevavault.com/ui/#object/email_activity__v/V8C000000047218", "EN-002104535")</f>
        <v>EN-002104535</v>
      </c>
    </row>
    <row r="3553" spans="1:15" ht="16" x14ac:dyDescent="0.2">
      <c r="A3553" s="19"/>
      <c r="B3553" s="19"/>
      <c r="C3553" s="19"/>
      <c r="D3553" s="19"/>
      <c r="E3553" s="19"/>
      <c r="F3553" s="19"/>
      <c r="G3553" s="19"/>
      <c r="H3553" s="19"/>
      <c r="I3553" s="19"/>
      <c r="J3553" s="19"/>
      <c r="K3553" s="19"/>
      <c r="L3553" s="19"/>
      <c r="M3553" s="19"/>
      <c r="N3553" s="19"/>
      <c r="O3553" s="14" t="str">
        <f>HYPERLINK("https://otsuka-europe-crm.veevavault.com/ui/#object/email_activity__v/V8C000000048226", "EN-002104712")</f>
        <v>EN-002104712</v>
      </c>
    </row>
    <row r="3554" spans="1:15" ht="64" x14ac:dyDescent="0.2">
      <c r="A3554" s="7" t="str">
        <f>HYPERLINK("https://otsuka-europe-crm.veevavault.com/ui/#object/account__v/V4TZ06G6O71T769", "ELVIRA ESQUIVIAS DE MOTTA")</f>
        <v>ELVIRA ESQUIVIAS DE MOTTA</v>
      </c>
      <c r="B3554" s="7" t="str">
        <f>HYPERLINK("https://otsuka-europe-crm.veevavault.com/ui/#object/vcountry__v/VENZ000004SONF5", "ES")</f>
        <v>ES</v>
      </c>
      <c r="C3554" s="8" t="s">
        <v>39</v>
      </c>
      <c r="D355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54" s="10" t="str">
        <f>HYPERLINK("https://otsuka-europe-crm.veevavault.com/ui/#object/sent_email__v/VBL000000035202", "SE-001443383")</f>
        <v>SE-001443383</v>
      </c>
      <c r="F3554" s="11"/>
      <c r="G3554" s="12">
        <v>0</v>
      </c>
      <c r="H3554" s="12">
        <v>0</v>
      </c>
      <c r="I3554" s="12">
        <v>0</v>
      </c>
      <c r="J3554" s="11"/>
      <c r="K3554" s="12">
        <v>0</v>
      </c>
      <c r="L355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54" s="10" t="str">
        <f>HYPERLINK("mailto:vvalladares@crm.otsuka-europe.com", "vvalladares@crm.otsuka-europe.com")</f>
        <v>vvalladares@crm.otsuka-europe.com</v>
      </c>
      <c r="N3554" s="13">
        <v>46213.509583333333</v>
      </c>
      <c r="O3554" s="14" t="str">
        <f>HYPERLINK("https://otsuka-europe-crm.veevavault.com/ui/#object/email_activity__v/V8C000000047212", "EN-002104529")</f>
        <v>EN-002104529</v>
      </c>
    </row>
    <row r="3555" spans="1:15" ht="16" x14ac:dyDescent="0.2">
      <c r="A3555" s="18" t="str">
        <f>HYPERLINK("https://otsuka-europe-crm.veevavault.com/ui/#object/account__v/V4TZ06G6O71T9X3", "RAFAEL JOSE ESTEBAN DE LA ROSA")</f>
        <v>RAFAEL JOSE ESTEBAN DE LA ROSA</v>
      </c>
      <c r="B3555" s="18" t="str">
        <f>HYPERLINK("https://otsuka-europe-crm.veevavault.com/ui/#object/vcountry__v/VENZ000004SONF5", "ES")</f>
        <v>ES</v>
      </c>
      <c r="C3555" s="20" t="s">
        <v>39</v>
      </c>
      <c r="D355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55" s="22" t="str">
        <f>HYPERLINK("https://otsuka-europe-crm.veevavault.com/ui/#object/sent_email__v/VBL000000035203", "SE-001443384")</f>
        <v>SE-001443384</v>
      </c>
      <c r="F3555" s="25">
        <v>46213.656342592592</v>
      </c>
      <c r="G3555" s="24">
        <v>1</v>
      </c>
      <c r="H3555" s="24">
        <v>2</v>
      </c>
      <c r="I3555" s="24">
        <v>0</v>
      </c>
      <c r="J3555" s="23"/>
      <c r="K3555" s="24">
        <v>0</v>
      </c>
      <c r="L355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55" s="22" t="str">
        <f>HYPERLINK("mailto:vvalladares@crm.otsuka-europe.com", "vvalladares@crm.otsuka-europe.com")</f>
        <v>vvalladares@crm.otsuka-europe.com</v>
      </c>
      <c r="N3555" s="25">
        <v>46213.509583333333</v>
      </c>
      <c r="O3555" s="14" t="str">
        <f>HYPERLINK("https://otsuka-europe-crm.veevavault.com/ui/#object/email_activity__v/V8C000000047256", "EN-002104605")</f>
        <v>EN-002104605</v>
      </c>
    </row>
    <row r="3556" spans="1:15" ht="16" x14ac:dyDescent="0.2">
      <c r="A3556" s="26"/>
      <c r="B3556" s="26"/>
      <c r="C3556" s="26"/>
      <c r="D3556" s="26"/>
      <c r="E3556" s="26"/>
      <c r="F3556" s="26"/>
      <c r="G3556" s="26"/>
      <c r="H3556" s="26"/>
      <c r="I3556" s="26"/>
      <c r="J3556" s="26"/>
      <c r="K3556" s="26"/>
      <c r="L3556" s="26"/>
      <c r="M3556" s="26"/>
      <c r="N3556" s="26"/>
      <c r="O3556" s="14" t="str">
        <f>HYPERLINK("https://otsuka-europe-crm.veevavault.com/ui/#object/email_activity__v/V8C000000048181", "EN-002104598")</f>
        <v>EN-002104598</v>
      </c>
    </row>
    <row r="3557" spans="1:15" ht="16" x14ac:dyDescent="0.2">
      <c r="A3557" s="19"/>
      <c r="B3557" s="19"/>
      <c r="C3557" s="19"/>
      <c r="D3557" s="19"/>
      <c r="E3557" s="19"/>
      <c r="F3557" s="19"/>
      <c r="G3557" s="19"/>
      <c r="H3557" s="19"/>
      <c r="I3557" s="19"/>
      <c r="J3557" s="19"/>
      <c r="K3557" s="19"/>
      <c r="L3557" s="19"/>
      <c r="M3557" s="19"/>
      <c r="N3557" s="19"/>
      <c r="O3557" s="14" t="str">
        <f>HYPERLINK("https://otsuka-europe-crm.veevavault.com/ui/#object/email_activity__v/V8C000000048267", "EN-002104785")</f>
        <v>EN-002104785</v>
      </c>
    </row>
    <row r="3558" spans="1:15" ht="16" x14ac:dyDescent="0.2">
      <c r="A3558" s="18" t="str">
        <f>HYPERLINK("https://otsuka-europe-crm.veevavault.com/ui/#object/account__v/V4TZ06G6O71T7XX", "LARA PEREA ORTEGA")</f>
        <v>LARA PEREA ORTEGA</v>
      </c>
      <c r="B3558" s="18" t="str">
        <f>HYPERLINK("https://otsuka-europe-crm.veevavault.com/ui/#object/vcountry__v/VENZ000004SONF5", "ES")</f>
        <v>ES</v>
      </c>
      <c r="C3558" s="20" t="s">
        <v>39</v>
      </c>
      <c r="D355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58" s="22" t="str">
        <f>HYPERLINK("https://otsuka-europe-crm.veevavault.com/ui/#object/sent_email__v/VBL000000035204", "SE-001443385")</f>
        <v>SE-001443385</v>
      </c>
      <c r="F3558" s="25">
        <v>46214.630509259259</v>
      </c>
      <c r="G3558" s="24">
        <v>1</v>
      </c>
      <c r="H3558" s="24">
        <v>2</v>
      </c>
      <c r="I3558" s="24">
        <v>0</v>
      </c>
      <c r="J3558" s="23"/>
      <c r="K3558" s="24">
        <v>0</v>
      </c>
      <c r="L355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58" s="22" t="str">
        <f>HYPERLINK("mailto:vvalladares@crm.otsuka-europe.com", "vvalladares@crm.otsuka-europe.com")</f>
        <v>vvalladares@crm.otsuka-europe.com</v>
      </c>
      <c r="N3558" s="25">
        <v>46213.509583333333</v>
      </c>
      <c r="O3558" s="14" t="str">
        <f>HYPERLINK("https://otsuka-europe-crm.veevavault.com/ui/#object/email_activity__v/V8C000000047333", "EN-002104736")</f>
        <v>EN-002104736</v>
      </c>
    </row>
    <row r="3559" spans="1:15" ht="16" x14ac:dyDescent="0.2">
      <c r="A3559" s="26"/>
      <c r="B3559" s="26"/>
      <c r="C3559" s="26"/>
      <c r="D3559" s="26"/>
      <c r="E3559" s="26"/>
      <c r="F3559" s="26"/>
      <c r="G3559" s="26"/>
      <c r="H3559" s="26"/>
      <c r="I3559" s="26"/>
      <c r="J3559" s="26"/>
      <c r="K3559" s="26"/>
      <c r="L3559" s="26"/>
      <c r="M3559" s="26"/>
      <c r="N3559" s="26"/>
      <c r="O3559" s="14" t="str">
        <f>HYPERLINK("https://otsuka-europe-crm.veevavault.com/ui/#object/email_activity__v/V8C000000048182", "EN-002104599")</f>
        <v>EN-002104599</v>
      </c>
    </row>
    <row r="3560" spans="1:15" ht="16" x14ac:dyDescent="0.2">
      <c r="A3560" s="19"/>
      <c r="B3560" s="19"/>
      <c r="C3560" s="19"/>
      <c r="D3560" s="19"/>
      <c r="E3560" s="19"/>
      <c r="F3560" s="19"/>
      <c r="G3560" s="19"/>
      <c r="H3560" s="19"/>
      <c r="I3560" s="19"/>
      <c r="J3560" s="19"/>
      <c r="K3560" s="19"/>
      <c r="L3560" s="19"/>
      <c r="M3560" s="19"/>
      <c r="N3560" s="19"/>
      <c r="O3560" s="14" t="str">
        <f>HYPERLINK("https://otsuka-europe-crm.veevavault.com/ui/#object/email_activity__v/V8C00000004A024", "EN-002104916")</f>
        <v>EN-002104916</v>
      </c>
    </row>
    <row r="3561" spans="1:15" ht="16" x14ac:dyDescent="0.2">
      <c r="A3561" s="18" t="str">
        <f>HYPERLINK("https://otsuka-europe-crm.veevavault.com/ui/#object/account__v/V4TZ06G6O71TABC", "ANA MARIA JARQUE LOPEZ")</f>
        <v>ANA MARIA JARQUE LOPEZ</v>
      </c>
      <c r="B3561" s="18" t="str">
        <f>HYPERLINK("https://otsuka-europe-crm.veevavault.com/ui/#object/vcountry__v/VENZ000004SONF5", "ES")</f>
        <v>ES</v>
      </c>
      <c r="C3561" s="20" t="s">
        <v>39</v>
      </c>
      <c r="D356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61" s="22" t="str">
        <f>HYPERLINK("https://otsuka-europe-crm.veevavault.com/ui/#object/sent_email__v/VBL000000035205", "SE-001443386")</f>
        <v>SE-001443386</v>
      </c>
      <c r="F3561" s="23"/>
      <c r="G3561" s="24">
        <v>0</v>
      </c>
      <c r="H3561" s="24">
        <v>0</v>
      </c>
      <c r="I3561" s="24">
        <v>0</v>
      </c>
      <c r="J3561" s="23"/>
      <c r="K3561" s="24">
        <v>0</v>
      </c>
      <c r="L356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61" s="22" t="str">
        <f>HYPERLINK("mailto:vvalladares@crm.otsuka-europe.com", "vvalladares@crm.otsuka-europe.com")</f>
        <v>vvalladares@crm.otsuka-europe.com</v>
      </c>
      <c r="N3561" s="25">
        <v>46213.509583333333</v>
      </c>
      <c r="O3561" s="14" t="str">
        <f>HYPERLINK("https://otsuka-europe-crm.veevavault.com/ui/#object/email_activity__v/V8C000000047231", "EN-002104548")</f>
        <v>EN-002104548</v>
      </c>
    </row>
    <row r="3562" spans="1:15" ht="16" x14ac:dyDescent="0.2">
      <c r="A3562" s="19"/>
      <c r="B3562" s="19"/>
      <c r="C3562" s="19"/>
      <c r="D3562" s="19"/>
      <c r="E3562" s="19"/>
      <c r="F3562" s="19"/>
      <c r="G3562" s="19"/>
      <c r="H3562" s="19"/>
      <c r="I3562" s="19"/>
      <c r="J3562" s="19"/>
      <c r="K3562" s="19"/>
      <c r="L3562" s="19"/>
      <c r="M3562" s="19"/>
      <c r="N3562" s="19"/>
      <c r="O3562" s="14" t="str">
        <f>HYPERLINK("https://otsuka-europe-crm.veevavault.com/ui/#object/email_activity__v/V8C000000049044", "EN-002104954")</f>
        <v>EN-002104954</v>
      </c>
    </row>
    <row r="3563" spans="1:15" ht="16" x14ac:dyDescent="0.2">
      <c r="A3563" s="18" t="str">
        <f>HYPERLINK("https://otsuka-europe-crm.veevavault.com/ui/#object/account__v/V4T000000010099", "JULIO LOPEZ FERNANDEZ")</f>
        <v>JULIO LOPEZ FERNANDEZ</v>
      </c>
      <c r="B3563" s="18" t="str">
        <f>HYPERLINK("https://otsuka-europe-crm.veevavault.com/ui/#object/vcountry__v/VENZ000004SONF5", "ES")</f>
        <v>ES</v>
      </c>
      <c r="C3563" s="20" t="s">
        <v>39</v>
      </c>
      <c r="D356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63" s="22" t="str">
        <f>HYPERLINK("https://otsuka-europe-crm.veevavault.com/ui/#object/sent_email__v/VBL000000035206", "SE-001443387")</f>
        <v>SE-001443387</v>
      </c>
      <c r="F3563" s="25">
        <v>46215.488032407404</v>
      </c>
      <c r="G3563" s="24">
        <v>1</v>
      </c>
      <c r="H3563" s="24">
        <v>1</v>
      </c>
      <c r="I3563" s="24">
        <v>1</v>
      </c>
      <c r="J3563" s="25">
        <v>46215.488240740742</v>
      </c>
      <c r="K3563" s="24">
        <v>1</v>
      </c>
      <c r="L356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63" s="22" t="str">
        <f>HYPERLINK("mailto:vvalladares@crm.otsuka-europe.com", "vvalladares@crm.otsuka-europe.com")</f>
        <v>vvalladares@crm.otsuka-europe.com</v>
      </c>
      <c r="N3563" s="25">
        <v>46213.509583333333</v>
      </c>
      <c r="O3563" s="14" t="str">
        <f>HYPERLINK("https://otsuka-europe-crm.veevavault.com/ui/#object/email_activity__v/V8C000000047222", "EN-002104539")</f>
        <v>EN-002104539</v>
      </c>
    </row>
    <row r="3564" spans="1:15" ht="16" x14ac:dyDescent="0.2">
      <c r="A3564" s="26"/>
      <c r="B3564" s="26"/>
      <c r="C3564" s="26"/>
      <c r="D3564" s="26"/>
      <c r="E3564" s="26"/>
      <c r="F3564" s="26"/>
      <c r="G3564" s="26"/>
      <c r="H3564" s="26"/>
      <c r="I3564" s="26"/>
      <c r="J3564" s="26"/>
      <c r="K3564" s="26"/>
      <c r="L3564" s="26"/>
      <c r="M3564" s="26"/>
      <c r="N3564" s="26"/>
      <c r="O3564" s="14" t="str">
        <f>HYPERLINK("https://otsuka-europe-crm.veevavault.com/ui/#object/email_activity__v/V8C000000049045", "EN-002104956")</f>
        <v>EN-002104956</v>
      </c>
    </row>
    <row r="3565" spans="1:15" ht="16" x14ac:dyDescent="0.2">
      <c r="A3565" s="19"/>
      <c r="B3565" s="19"/>
      <c r="C3565" s="19"/>
      <c r="D3565" s="19"/>
      <c r="E3565" s="19"/>
      <c r="F3565" s="19"/>
      <c r="G3565" s="19"/>
      <c r="H3565" s="19"/>
      <c r="I3565" s="19"/>
      <c r="J3565" s="19"/>
      <c r="K3565" s="19"/>
      <c r="L3565" s="19"/>
      <c r="M3565" s="19"/>
      <c r="N3565" s="19"/>
      <c r="O3565" s="14" t="str">
        <f>HYPERLINK("https://otsuka-europe-crm.veevavault.com/ui/#object/email_activity__v/V8C000000049046", "EN-002104957")</f>
        <v>EN-002104957</v>
      </c>
    </row>
    <row r="3566" spans="1:15" ht="16" x14ac:dyDescent="0.2">
      <c r="A3566" s="18" t="str">
        <f>HYPERLINK("https://otsuka-europe-crm.veevavault.com/ui/#object/account__v/V4TZ06G6O71T8Q8", "EVA PLAZA LARA")</f>
        <v>EVA PLAZA LARA</v>
      </c>
      <c r="B3566" s="18" t="str">
        <f>HYPERLINK("https://otsuka-europe-crm.veevavault.com/ui/#object/vcountry__v/VENZ000004SONF5", "ES")</f>
        <v>ES</v>
      </c>
      <c r="C3566" s="20" t="s">
        <v>39</v>
      </c>
      <c r="D356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66" s="22" t="str">
        <f>HYPERLINK("https://otsuka-europe-crm.veevavault.com/ui/#object/sent_email__v/VBL000000035207", "SE-001443388")</f>
        <v>SE-001443388</v>
      </c>
      <c r="F3566" s="25">
        <v>46214.42291666667</v>
      </c>
      <c r="G3566" s="24">
        <v>1</v>
      </c>
      <c r="H3566" s="24">
        <v>2</v>
      </c>
      <c r="I3566" s="24">
        <v>1</v>
      </c>
      <c r="J3566" s="25">
        <v>46214.423275462963</v>
      </c>
      <c r="K3566" s="24">
        <v>1</v>
      </c>
      <c r="L356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66" s="22" t="str">
        <f>HYPERLINK("mailto:vvalladares@crm.otsuka-europe.com", "vvalladares@crm.otsuka-europe.com")</f>
        <v>vvalladares@crm.otsuka-europe.com</v>
      </c>
      <c r="N3566" s="25">
        <v>46213.509583333333</v>
      </c>
      <c r="O3566" s="14" t="str">
        <f>HYPERLINK("https://otsuka-europe-crm.veevavault.com/ui/#object/email_activity__v/V8C000000047313", "EN-002104681")</f>
        <v>EN-002104681</v>
      </c>
    </row>
    <row r="3567" spans="1:15" ht="16" x14ac:dyDescent="0.2">
      <c r="A3567" s="26"/>
      <c r="B3567" s="26"/>
      <c r="C3567" s="26"/>
      <c r="D3567" s="26"/>
      <c r="E3567" s="26"/>
      <c r="F3567" s="26"/>
      <c r="G3567" s="26"/>
      <c r="H3567" s="26"/>
      <c r="I3567" s="26"/>
      <c r="J3567" s="26"/>
      <c r="K3567" s="26"/>
      <c r="L3567" s="26"/>
      <c r="M3567" s="26"/>
      <c r="N3567" s="26"/>
      <c r="O3567" s="14" t="str">
        <f>HYPERLINK("https://otsuka-europe-crm.veevavault.com/ui/#object/email_activity__v/V8C000000048159", "EN-002104558")</f>
        <v>EN-002104558</v>
      </c>
    </row>
    <row r="3568" spans="1:15" ht="16" x14ac:dyDescent="0.2">
      <c r="A3568" s="26"/>
      <c r="B3568" s="26"/>
      <c r="C3568" s="26"/>
      <c r="D3568" s="26"/>
      <c r="E3568" s="26"/>
      <c r="F3568" s="26"/>
      <c r="G3568" s="26"/>
      <c r="H3568" s="26"/>
      <c r="I3568" s="26"/>
      <c r="J3568" s="26"/>
      <c r="K3568" s="26"/>
      <c r="L3568" s="26"/>
      <c r="M3568" s="26"/>
      <c r="N3568" s="26"/>
      <c r="O3568" s="14" t="str">
        <f>HYPERLINK("https://otsuka-europe-crm.veevavault.com/ui/#object/email_activity__v/V8C000000049015", "EN-002104897")</f>
        <v>EN-002104897</v>
      </c>
    </row>
    <row r="3569" spans="1:15" ht="16" x14ac:dyDescent="0.2">
      <c r="A3569" s="26"/>
      <c r="B3569" s="26"/>
      <c r="C3569" s="26"/>
      <c r="D3569" s="26"/>
      <c r="E3569" s="26"/>
      <c r="F3569" s="26"/>
      <c r="G3569" s="26"/>
      <c r="H3569" s="26"/>
      <c r="I3569" s="26"/>
      <c r="J3569" s="26"/>
      <c r="K3569" s="26"/>
      <c r="L3569" s="26"/>
      <c r="M3569" s="26"/>
      <c r="N3569" s="26"/>
      <c r="O3569" s="14" t="str">
        <f>HYPERLINK("https://otsuka-europe-crm.veevavault.com/ui/#object/email_activity__v/V8C00000004A013", "EN-002104895")</f>
        <v>EN-002104895</v>
      </c>
    </row>
    <row r="3570" spans="1:15" ht="16" x14ac:dyDescent="0.2">
      <c r="A3570" s="19"/>
      <c r="B3570" s="19"/>
      <c r="C3570" s="19"/>
      <c r="D3570" s="19"/>
      <c r="E3570" s="19"/>
      <c r="F3570" s="19"/>
      <c r="G3570" s="19"/>
      <c r="H3570" s="19"/>
      <c r="I3570" s="19"/>
      <c r="J3570" s="19"/>
      <c r="K3570" s="19"/>
      <c r="L3570" s="19"/>
      <c r="M3570" s="19"/>
      <c r="N3570" s="19"/>
      <c r="O3570" s="14" t="str">
        <f>HYPERLINK("https://otsuka-europe-crm.veevavault.com/ui/#object/email_activity__v/V8C00000004A014", "EN-002104896")</f>
        <v>EN-002104896</v>
      </c>
    </row>
    <row r="3571" spans="1:15" ht="16" x14ac:dyDescent="0.2">
      <c r="A3571" s="18" t="str">
        <f>HYPERLINK("https://otsuka-europe-crm.veevavault.com/ui/#object/account__v/V4TZ06G6O95NGA6", "ESTEFANIA TERESA YEROVI LEON")</f>
        <v>ESTEFANIA TERESA YEROVI LEON</v>
      </c>
      <c r="B3571" s="18" t="str">
        <f>HYPERLINK("https://otsuka-europe-crm.veevavault.com/ui/#object/vcountry__v/VENZ000004SONF5", "ES")</f>
        <v>ES</v>
      </c>
      <c r="C3571" s="20" t="s">
        <v>39</v>
      </c>
      <c r="D357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71" s="22" t="str">
        <f>HYPERLINK("https://otsuka-europe-crm.veevavault.com/ui/#object/sent_email__v/VBL000000035208", "SE-001443389")</f>
        <v>SE-001443389</v>
      </c>
      <c r="F3571" s="25">
        <v>46213.523993055554</v>
      </c>
      <c r="G3571" s="24">
        <v>1</v>
      </c>
      <c r="H3571" s="24">
        <v>2</v>
      </c>
      <c r="I3571" s="24">
        <v>0</v>
      </c>
      <c r="J3571" s="23"/>
      <c r="K3571" s="24">
        <v>0</v>
      </c>
      <c r="L357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71" s="22" t="str">
        <f>HYPERLINK("mailto:vvalladares@crm.otsuka-europe.com", "vvalladares@crm.otsuka-europe.com")</f>
        <v>vvalladares@crm.otsuka-europe.com</v>
      </c>
      <c r="N3571" s="25">
        <v>46213.509606481479</v>
      </c>
      <c r="O3571" s="14" t="str">
        <f>HYPERLINK("https://otsuka-europe-crm.veevavault.com/ui/#object/email_activity__v/V8C000000047246", "EN-002104569")</f>
        <v>EN-002104569</v>
      </c>
    </row>
    <row r="3572" spans="1:15" ht="16" x14ac:dyDescent="0.2">
      <c r="A3572" s="26"/>
      <c r="B3572" s="26"/>
      <c r="C3572" s="26"/>
      <c r="D3572" s="26"/>
      <c r="E3572" s="26"/>
      <c r="F3572" s="26"/>
      <c r="G3572" s="26"/>
      <c r="H3572" s="26"/>
      <c r="I3572" s="26"/>
      <c r="J3572" s="26"/>
      <c r="K3572" s="26"/>
      <c r="L3572" s="26"/>
      <c r="M3572" s="26"/>
      <c r="N3572" s="26"/>
      <c r="O3572" s="14" t="str">
        <f>HYPERLINK("https://otsuka-europe-crm.veevavault.com/ui/#object/email_activity__v/V8C000000048210", "EN-002104688")</f>
        <v>EN-002104688</v>
      </c>
    </row>
    <row r="3573" spans="1:15" ht="16" x14ac:dyDescent="0.2">
      <c r="A3573" s="26"/>
      <c r="B3573" s="26"/>
      <c r="C3573" s="26"/>
      <c r="D3573" s="26"/>
      <c r="E3573" s="26"/>
      <c r="F3573" s="26"/>
      <c r="G3573" s="26"/>
      <c r="H3573" s="26"/>
      <c r="I3573" s="26"/>
      <c r="J3573" s="26"/>
      <c r="K3573" s="26"/>
      <c r="L3573" s="26"/>
      <c r="M3573" s="26"/>
      <c r="N3573" s="26"/>
      <c r="O3573" s="14" t="str">
        <f>HYPERLINK("https://otsuka-europe-crm.veevavault.com/ui/#object/email_activity__v/V8C000000048211", "EN-002104689")</f>
        <v>EN-002104689</v>
      </c>
    </row>
    <row r="3574" spans="1:15" ht="16" x14ac:dyDescent="0.2">
      <c r="A3574" s="19"/>
      <c r="B3574" s="19"/>
      <c r="C3574" s="19"/>
      <c r="D3574" s="19"/>
      <c r="E3574" s="19"/>
      <c r="F3574" s="19"/>
      <c r="G3574" s="19"/>
      <c r="H3574" s="19"/>
      <c r="I3574" s="19"/>
      <c r="J3574" s="19"/>
      <c r="K3574" s="19"/>
      <c r="L3574" s="19"/>
      <c r="M3574" s="19"/>
      <c r="N3574" s="19"/>
      <c r="O3574" s="14" t="str">
        <f>HYPERLINK("https://otsuka-europe-crm.veevavault.com/ui/#object/email_activity__v/V8C00000004B014", "EN-002106753")</f>
        <v>EN-002106753</v>
      </c>
    </row>
    <row r="3575" spans="1:15" ht="16" x14ac:dyDescent="0.2">
      <c r="A3575" s="18" t="str">
        <f>HYPERLINK("https://otsuka-europe-crm.veevavault.com/ui/#object/account__v/V4TZ06G6O71TBLN", "PATRICIA PEREZ BORGES")</f>
        <v>PATRICIA PEREZ BORGES</v>
      </c>
      <c r="B3575" s="18" t="str">
        <f>HYPERLINK("https://otsuka-europe-crm.veevavault.com/ui/#object/vcountry__v/VENZ000004SONF5", "ES")</f>
        <v>ES</v>
      </c>
      <c r="C3575" s="20" t="s">
        <v>39</v>
      </c>
      <c r="D35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75" s="22" t="str">
        <f>HYPERLINK("https://otsuka-europe-crm.veevavault.com/ui/#object/sent_email__v/VBL000000035209", "SE-001443390")</f>
        <v>SE-001443390</v>
      </c>
      <c r="F3575" s="25">
        <v>46213.542222222219</v>
      </c>
      <c r="G3575" s="24">
        <v>1</v>
      </c>
      <c r="H3575" s="24">
        <v>1</v>
      </c>
      <c r="I3575" s="24">
        <v>0</v>
      </c>
      <c r="J3575" s="23"/>
      <c r="K3575" s="24">
        <v>0</v>
      </c>
      <c r="L35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75" s="22" t="str">
        <f>HYPERLINK("mailto:vvalladares@crm.otsuka-europe.com", "vvalladares@crm.otsuka-europe.com")</f>
        <v>vvalladares@crm.otsuka-europe.com</v>
      </c>
      <c r="N3575" s="25">
        <v>46213.509606481479</v>
      </c>
      <c r="O3575" s="14" t="str">
        <f>HYPERLINK("https://otsuka-europe-crm.veevavault.com/ui/#object/email_activity__v/V8C000000047329", "EN-002104727")</f>
        <v>EN-002104727</v>
      </c>
    </row>
    <row r="3576" spans="1:15" ht="16" x14ac:dyDescent="0.2">
      <c r="A3576" s="19"/>
      <c r="B3576" s="19"/>
      <c r="C3576" s="19"/>
      <c r="D3576" s="19"/>
      <c r="E3576" s="19"/>
      <c r="F3576" s="19"/>
      <c r="G3576" s="19"/>
      <c r="H3576" s="19"/>
      <c r="I3576" s="19"/>
      <c r="J3576" s="19"/>
      <c r="K3576" s="19"/>
      <c r="L3576" s="19"/>
      <c r="M3576" s="19"/>
      <c r="N3576" s="19"/>
      <c r="O3576" s="14" t="str">
        <f>HYPERLINK("https://otsuka-europe-crm.veevavault.com/ui/#object/email_activity__v/V8C000000048177", "EN-002104585")</f>
        <v>EN-002104585</v>
      </c>
    </row>
    <row r="3577" spans="1:15" ht="16" x14ac:dyDescent="0.2">
      <c r="A3577" s="18" t="str">
        <f>HYPERLINK("https://otsuka-europe-crm.veevavault.com/ui/#object/account__v/V4TZ06G6O71T8J9", "SARA AFONSO RAMOS")</f>
        <v>SARA AFONSO RAMOS</v>
      </c>
      <c r="B3577" s="18" t="str">
        <f>HYPERLINK("https://otsuka-europe-crm.veevavault.com/ui/#object/vcountry__v/VENZ000004SONF5", "ES")</f>
        <v>ES</v>
      </c>
      <c r="C3577" s="20" t="s">
        <v>39</v>
      </c>
      <c r="D357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77" s="22" t="str">
        <f>HYPERLINK("https://otsuka-europe-crm.veevavault.com/ui/#object/sent_email__v/VBL000000035210", "SE-001443391")</f>
        <v>SE-001443391</v>
      </c>
      <c r="F3577" s="25">
        <v>46213.815243055556</v>
      </c>
      <c r="G3577" s="24">
        <v>1</v>
      </c>
      <c r="H3577" s="24">
        <v>1</v>
      </c>
      <c r="I3577" s="24">
        <v>0</v>
      </c>
      <c r="J3577" s="23"/>
      <c r="K3577" s="24">
        <v>0</v>
      </c>
      <c r="L357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77" s="22" t="str">
        <f>HYPERLINK("mailto:vvalladares@crm.otsuka-europe.com", "vvalladares@crm.otsuka-europe.com")</f>
        <v>vvalladares@crm.otsuka-europe.com</v>
      </c>
      <c r="N3577" s="25">
        <v>46213.509583333333</v>
      </c>
      <c r="O3577" s="14" t="str">
        <f>HYPERLINK("https://otsuka-europe-crm.veevavault.com/ui/#object/email_activity__v/V8C000000047383", "EN-002104836")</f>
        <v>EN-002104836</v>
      </c>
    </row>
    <row r="3578" spans="1:15" ht="16" x14ac:dyDescent="0.2">
      <c r="A3578" s="19"/>
      <c r="B3578" s="19"/>
      <c r="C3578" s="19"/>
      <c r="D3578" s="19"/>
      <c r="E3578" s="19"/>
      <c r="F3578" s="19"/>
      <c r="G3578" s="19"/>
      <c r="H3578" s="19"/>
      <c r="I3578" s="19"/>
      <c r="J3578" s="19"/>
      <c r="K3578" s="19"/>
      <c r="L3578" s="19"/>
      <c r="M3578" s="19"/>
      <c r="N3578" s="19"/>
      <c r="O3578" s="14" t="str">
        <f>HYPERLINK("https://otsuka-europe-crm.veevavault.com/ui/#object/email_activity__v/V8C000000048183", "EN-002104600")</f>
        <v>EN-002104600</v>
      </c>
    </row>
    <row r="3579" spans="1:15" ht="16" x14ac:dyDescent="0.2">
      <c r="A3579" s="18" t="str">
        <f>HYPERLINK("https://otsuka-europe-crm.veevavault.com/ui/#object/account__v/V4TZ04ASG8VCLUL", "NAYARA ZAMORA RODRIGUEZ")</f>
        <v>NAYARA ZAMORA RODRIGUEZ</v>
      </c>
      <c r="B3579" s="18" t="str">
        <f>HYPERLINK("https://otsuka-europe-crm.veevavault.com/ui/#object/vcountry__v/VENZ000004SONF5", "ES")</f>
        <v>ES</v>
      </c>
      <c r="C3579" s="20" t="s">
        <v>39</v>
      </c>
      <c r="D357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79" s="22" t="str">
        <f>HYPERLINK("https://otsuka-europe-crm.veevavault.com/ui/#object/sent_email__v/VBL000000035211", "SE-001443392")</f>
        <v>SE-001443392</v>
      </c>
      <c r="F3579" s="23"/>
      <c r="G3579" s="24">
        <v>0</v>
      </c>
      <c r="H3579" s="24">
        <v>0</v>
      </c>
      <c r="I3579" s="24">
        <v>0</v>
      </c>
      <c r="J3579" s="23"/>
      <c r="K3579" s="24">
        <v>0</v>
      </c>
      <c r="L357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79" s="22" t="str">
        <f>HYPERLINK("mailto:vvalladares@crm.otsuka-europe.com", "vvalladares@crm.otsuka-europe.com")</f>
        <v>vvalladares@crm.otsuka-europe.com</v>
      </c>
      <c r="N3579" s="25">
        <v>46213.509606481479</v>
      </c>
      <c r="O3579" s="14" t="str">
        <f>HYPERLINK("https://otsuka-europe-crm.veevavault.com/ui/#object/email_activity__v/V8C000000048168", "EN-002104576")</f>
        <v>EN-002104576</v>
      </c>
    </row>
    <row r="3580" spans="1:15" ht="16" x14ac:dyDescent="0.2">
      <c r="A3580" s="19"/>
      <c r="B3580" s="19"/>
      <c r="C3580" s="19"/>
      <c r="D3580" s="19"/>
      <c r="E3580" s="19"/>
      <c r="F3580" s="19"/>
      <c r="G3580" s="19"/>
      <c r="H3580" s="19"/>
      <c r="I3580" s="19"/>
      <c r="J3580" s="19"/>
      <c r="K3580" s="19"/>
      <c r="L3580" s="19"/>
      <c r="M3580" s="19"/>
      <c r="N3580" s="19"/>
      <c r="O3580" s="14" t="str">
        <f>HYPERLINK("https://otsuka-europe-crm.veevavault.com/ui/#object/email_activity__v/V8C00000004A052", "EN-002104974")</f>
        <v>EN-002104974</v>
      </c>
    </row>
    <row r="3581" spans="1:15" ht="16" x14ac:dyDescent="0.2">
      <c r="A3581" s="18" t="str">
        <f>HYPERLINK("https://otsuka-europe-crm.veevavault.com/ui/#object/account__v/V4T00000001S066", "EVA GOMEZ FLORES")</f>
        <v>EVA GOMEZ FLORES</v>
      </c>
      <c r="B3581" s="18" t="str">
        <f>HYPERLINK("https://otsuka-europe-crm.veevavault.com/ui/#object/vcountry__v/VENZ000004SONF5", "ES")</f>
        <v>ES</v>
      </c>
      <c r="C3581" s="20" t="s">
        <v>39</v>
      </c>
      <c r="D358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81" s="22" t="str">
        <f>HYPERLINK("https://otsuka-europe-crm.veevavault.com/ui/#object/sent_email__v/VBL000000035212", "SE-001443393")</f>
        <v>SE-001443393</v>
      </c>
      <c r="F3581" s="23"/>
      <c r="G3581" s="24">
        <v>0</v>
      </c>
      <c r="H3581" s="24">
        <v>0</v>
      </c>
      <c r="I3581" s="24">
        <v>0</v>
      </c>
      <c r="J3581" s="23"/>
      <c r="K3581" s="24">
        <v>0</v>
      </c>
      <c r="L358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81" s="22" t="str">
        <f>HYPERLINK("mailto:vvalladares@crm.otsuka-europe.com", "vvalladares@crm.otsuka-europe.com")</f>
        <v>vvalladares@crm.otsuka-europe.com</v>
      </c>
      <c r="N3581" s="25">
        <v>46213.509583333333</v>
      </c>
      <c r="O3581" s="14" t="str">
        <f>HYPERLINK("https://otsuka-europe-crm.veevavault.com/ui/#object/email_activity__v/V8C000000047210", "EN-002104527")</f>
        <v>EN-002104527</v>
      </c>
    </row>
    <row r="3582" spans="1:15" ht="16" x14ac:dyDescent="0.2">
      <c r="A3582" s="26"/>
      <c r="B3582" s="26"/>
      <c r="C3582" s="26"/>
      <c r="D3582" s="26"/>
      <c r="E3582" s="26"/>
      <c r="F3582" s="26"/>
      <c r="G3582" s="26"/>
      <c r="H3582" s="26"/>
      <c r="I3582" s="26"/>
      <c r="J3582" s="26"/>
      <c r="K3582" s="26"/>
      <c r="L3582" s="26"/>
      <c r="M3582" s="26"/>
      <c r="N3582" s="26"/>
      <c r="O3582" s="14" t="str">
        <f>HYPERLINK("https://otsuka-europe-crm.veevavault.com/ui/#object/email_activity__v/V8C000000049104", "EN-002105053")</f>
        <v>EN-002105053</v>
      </c>
    </row>
    <row r="3583" spans="1:15" ht="16" x14ac:dyDescent="0.2">
      <c r="A3583" s="19"/>
      <c r="B3583" s="19"/>
      <c r="C3583" s="19"/>
      <c r="D3583" s="19"/>
      <c r="E3583" s="19"/>
      <c r="F3583" s="19"/>
      <c r="G3583" s="19"/>
      <c r="H3583" s="19"/>
      <c r="I3583" s="19"/>
      <c r="J3583" s="19"/>
      <c r="K3583" s="19"/>
      <c r="L3583" s="19"/>
      <c r="M3583" s="19"/>
      <c r="N3583" s="19"/>
      <c r="O3583" s="14" t="str">
        <f>HYPERLINK("https://otsuka-europe-crm.veevavault.com/ui/#object/email_activity__v/V8C00000004B764", "EN-002107989")</f>
        <v>EN-002107989</v>
      </c>
    </row>
    <row r="3584" spans="1:15" ht="64" x14ac:dyDescent="0.2">
      <c r="A3584" s="7" t="str">
        <f>HYPERLINK("https://otsuka-europe-crm.veevavault.com/ui/#object/account__v/V4TZ06G6O71T7RN", "ZAKARIAE KORAICHI RABIE-SENHAJI")</f>
        <v>ZAKARIAE KORAICHI RABIE-SENHAJI</v>
      </c>
      <c r="B3584" s="7" t="str">
        <f>HYPERLINK("https://otsuka-europe-crm.veevavault.com/ui/#object/vcountry__v/VENZ000004SONF5", "ES")</f>
        <v>ES</v>
      </c>
      <c r="C3584" s="8" t="s">
        <v>39</v>
      </c>
      <c r="D358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84" s="10" t="str">
        <f>HYPERLINK("https://otsuka-europe-crm.veevavault.com/ui/#object/sent_email__v/VBL000000035213", "SE-001443394")</f>
        <v>SE-001443394</v>
      </c>
      <c r="F3584" s="11"/>
      <c r="G3584" s="12">
        <v>0</v>
      </c>
      <c r="H3584" s="12">
        <v>0</v>
      </c>
      <c r="I3584" s="12">
        <v>0</v>
      </c>
      <c r="J3584" s="11"/>
      <c r="K3584" s="12">
        <v>0</v>
      </c>
      <c r="L358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84" s="10" t="str">
        <f>HYPERLINK("mailto:vvalladares@crm.otsuka-europe.com", "vvalladares@crm.otsuka-europe.com")</f>
        <v>vvalladares@crm.otsuka-europe.com</v>
      </c>
      <c r="N3584" s="13">
        <v>46213.509583333333</v>
      </c>
      <c r="O3584" s="14" t="str">
        <f>HYPERLINK("https://otsuka-europe-crm.veevavault.com/ui/#object/email_activity__v/V8C000000047248", "EN-002104587")</f>
        <v>EN-002104587</v>
      </c>
    </row>
    <row r="3585" spans="1:15" ht="16" x14ac:dyDescent="0.2">
      <c r="A3585" s="18" t="str">
        <f>HYPERLINK("https://otsuka-europe-crm.veevavault.com/ui/#object/account__v/V4TZ06G6O71TAN9", "MARIA MAR LAGO ALONSO")</f>
        <v>MARIA MAR LAGO ALONSO</v>
      </c>
      <c r="B3585" s="18" t="str">
        <f>HYPERLINK("https://otsuka-europe-crm.veevavault.com/ui/#object/vcountry__v/VENZ000004SONF5", "ES")</f>
        <v>ES</v>
      </c>
      <c r="C3585" s="20" t="s">
        <v>39</v>
      </c>
      <c r="D358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85" s="22" t="str">
        <f>HYPERLINK("https://otsuka-europe-crm.veevavault.com/ui/#object/sent_email__v/VBL000000035214", "SE-001443395")</f>
        <v>SE-001443395</v>
      </c>
      <c r="F3585" s="25">
        <v>46213.577013888891</v>
      </c>
      <c r="G3585" s="24">
        <v>1</v>
      </c>
      <c r="H3585" s="24">
        <v>1</v>
      </c>
      <c r="I3585" s="24">
        <v>0</v>
      </c>
      <c r="J3585" s="23"/>
      <c r="K3585" s="24">
        <v>0</v>
      </c>
      <c r="L358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85" s="22" t="str">
        <f>HYPERLINK("mailto:vvalladares@crm.otsuka-europe.com", "vvalladares@crm.otsuka-europe.com")</f>
        <v>vvalladares@crm.otsuka-europe.com</v>
      </c>
      <c r="N3585" s="25">
        <v>46213.509618055556</v>
      </c>
      <c r="O3585" s="14" t="str">
        <f>HYPERLINK("https://otsuka-europe-crm.veevavault.com/ui/#object/email_activity__v/V8C000000047241", "EN-002104564")</f>
        <v>EN-002104564</v>
      </c>
    </row>
    <row r="3586" spans="1:15" ht="16" x14ac:dyDescent="0.2">
      <c r="A3586" s="26"/>
      <c r="B3586" s="26"/>
      <c r="C3586" s="26"/>
      <c r="D3586" s="26"/>
      <c r="E3586" s="26"/>
      <c r="F3586" s="26"/>
      <c r="G3586" s="26"/>
      <c r="H3586" s="26"/>
      <c r="I3586" s="26"/>
      <c r="J3586" s="26"/>
      <c r="K3586" s="26"/>
      <c r="L3586" s="26"/>
      <c r="M3586" s="26"/>
      <c r="N3586" s="26"/>
      <c r="O3586" s="14" t="str">
        <f>HYPERLINK("https://otsuka-europe-crm.veevavault.com/ui/#object/email_activity__v/V8C000000047343", "EN-002104758")</f>
        <v>EN-002104758</v>
      </c>
    </row>
    <row r="3587" spans="1:15" ht="16" x14ac:dyDescent="0.2">
      <c r="A3587" s="19"/>
      <c r="B3587" s="19"/>
      <c r="C3587" s="19"/>
      <c r="D3587" s="19"/>
      <c r="E3587" s="19"/>
      <c r="F3587" s="19"/>
      <c r="G3587" s="19"/>
      <c r="H3587" s="19"/>
      <c r="I3587" s="19"/>
      <c r="J3587" s="19"/>
      <c r="K3587" s="19"/>
      <c r="L3587" s="19"/>
      <c r="M3587" s="19"/>
      <c r="N3587" s="19"/>
      <c r="O3587" s="14" t="str">
        <f>HYPERLINK("https://otsuka-europe-crm.veevavault.com/ui/#object/email_activity__v/V8C000000047345", "EN-002104760")</f>
        <v>EN-002104760</v>
      </c>
    </row>
    <row r="3588" spans="1:15" ht="16" x14ac:dyDescent="0.2">
      <c r="A3588" s="18" t="str">
        <f>HYPERLINK("https://otsuka-europe-crm.veevavault.com/ui/#object/account__v/V4TZ06G6O71TB1O", "MARIA ADORACION MARTIN GOMEZ")</f>
        <v>MARIA ADORACION MARTIN GOMEZ</v>
      </c>
      <c r="B3588" s="18" t="str">
        <f>HYPERLINK("https://otsuka-europe-crm.veevavault.com/ui/#object/vcountry__v/VENZ000004SONF5", "ES")</f>
        <v>ES</v>
      </c>
      <c r="C3588" s="20" t="s">
        <v>39</v>
      </c>
      <c r="D358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88" s="22" t="str">
        <f>HYPERLINK("https://otsuka-europe-crm.veevavault.com/ui/#object/sent_email__v/VBL000000035215", "SE-001443396")</f>
        <v>SE-001443396</v>
      </c>
      <c r="F3588" s="25">
        <v>46213.516238425924</v>
      </c>
      <c r="G3588" s="24">
        <v>1</v>
      </c>
      <c r="H3588" s="24">
        <v>1</v>
      </c>
      <c r="I3588" s="24">
        <v>0</v>
      </c>
      <c r="J3588" s="23"/>
      <c r="K3588" s="24">
        <v>0</v>
      </c>
      <c r="L358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88" s="22" t="str">
        <f>HYPERLINK("mailto:vvalladares@crm.otsuka-europe.com", "vvalladares@crm.otsuka-europe.com")</f>
        <v>vvalladares@crm.otsuka-europe.com</v>
      </c>
      <c r="N3588" s="25">
        <v>46213.509583333333</v>
      </c>
      <c r="O3588" s="14" t="str">
        <f>HYPERLINK("https://otsuka-europe-crm.veevavault.com/ui/#object/email_activity__v/V8C000000047237", "EN-002104554")</f>
        <v>EN-002104554</v>
      </c>
    </row>
    <row r="3589" spans="1:15" ht="16" x14ac:dyDescent="0.2">
      <c r="A3589" s="26"/>
      <c r="B3589" s="26"/>
      <c r="C3589" s="26"/>
      <c r="D3589" s="26"/>
      <c r="E3589" s="26"/>
      <c r="F3589" s="26"/>
      <c r="G3589" s="26"/>
      <c r="H3589" s="26"/>
      <c r="I3589" s="26"/>
      <c r="J3589" s="26"/>
      <c r="K3589" s="26"/>
      <c r="L3589" s="26"/>
      <c r="M3589" s="26"/>
      <c r="N3589" s="26"/>
      <c r="O3589" s="14" t="str">
        <f>HYPERLINK("https://otsuka-europe-crm.veevavault.com/ui/#object/email_activity__v/V8C000000047315", "EN-002104684")</f>
        <v>EN-002104684</v>
      </c>
    </row>
    <row r="3590" spans="1:15" ht="16" x14ac:dyDescent="0.2">
      <c r="A3590" s="19"/>
      <c r="B3590" s="19"/>
      <c r="C3590" s="19"/>
      <c r="D3590" s="19"/>
      <c r="E3590" s="19"/>
      <c r="F3590" s="19"/>
      <c r="G3590" s="19"/>
      <c r="H3590" s="19"/>
      <c r="I3590" s="19"/>
      <c r="J3590" s="19"/>
      <c r="K3590" s="19"/>
      <c r="L3590" s="19"/>
      <c r="M3590" s="19"/>
      <c r="N3590" s="19"/>
      <c r="O3590" s="14" t="str">
        <f>HYPERLINK("https://otsuka-europe-crm.veevavault.com/ui/#object/email_activity__v/V8C000000049695", "EN-002106210")</f>
        <v>EN-002106210</v>
      </c>
    </row>
    <row r="3591" spans="1:15" ht="16" x14ac:dyDescent="0.2">
      <c r="A3591" s="18" t="str">
        <f>HYPERLINK("https://otsuka-europe-crm.veevavault.com/ui/#object/account__v/V4TZ04ASG6P0G7F", "GALO ALEX SALAZAR RUIZ")</f>
        <v>GALO ALEX SALAZAR RUIZ</v>
      </c>
      <c r="B3591" s="18" t="str">
        <f>HYPERLINK("https://otsuka-europe-crm.veevavault.com/ui/#object/vcountry__v/VENZ000004SONF5", "ES")</f>
        <v>ES</v>
      </c>
      <c r="C3591" s="20" t="s">
        <v>39</v>
      </c>
      <c r="D359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91" s="22" t="str">
        <f>HYPERLINK("https://otsuka-europe-crm.veevavault.com/ui/#object/sent_email__v/VBL000000035216", "SE-001443397")</f>
        <v>SE-001443397</v>
      </c>
      <c r="F3591" s="25">
        <v>46213.509699074071</v>
      </c>
      <c r="G3591" s="24">
        <v>1</v>
      </c>
      <c r="H3591" s="24">
        <v>1</v>
      </c>
      <c r="I3591" s="24">
        <v>0</v>
      </c>
      <c r="J3591" s="23"/>
      <c r="K3591" s="24">
        <v>0</v>
      </c>
      <c r="L359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91" s="22" t="str">
        <f>HYPERLINK("mailto:vvalladares@crm.otsuka-europe.com", "vvalladares@crm.otsuka-europe.com")</f>
        <v>vvalladares@crm.otsuka-europe.com</v>
      </c>
      <c r="N3591" s="25">
        <v>46213.509594907409</v>
      </c>
      <c r="O3591" s="14" t="str">
        <f>HYPERLINK("https://otsuka-europe-crm.veevavault.com/ui/#object/email_activity__v/V8C000000047263", "EN-002104612")</f>
        <v>EN-002104612</v>
      </c>
    </row>
    <row r="3592" spans="1:15" ht="16" x14ac:dyDescent="0.2">
      <c r="A3592" s="19"/>
      <c r="B3592" s="19"/>
      <c r="C3592" s="19"/>
      <c r="D3592" s="19"/>
      <c r="E3592" s="19"/>
      <c r="F3592" s="19"/>
      <c r="G3592" s="19"/>
      <c r="H3592" s="19"/>
      <c r="I3592" s="19"/>
      <c r="J3592" s="19"/>
      <c r="K3592" s="19"/>
      <c r="L3592" s="19"/>
      <c r="M3592" s="19"/>
      <c r="N3592" s="19"/>
      <c r="O3592" s="14" t="str">
        <f>HYPERLINK("https://otsuka-europe-crm.veevavault.com/ui/#object/email_activity__v/V8C000000048165", "EN-002104573")</f>
        <v>EN-002104573</v>
      </c>
    </row>
    <row r="3593" spans="1:15" ht="16" x14ac:dyDescent="0.2">
      <c r="A3593" s="18" t="str">
        <f>HYPERLINK("https://otsuka-europe-crm.veevavault.com/ui/#object/account__v/V4TZ04ASG8N0HCY", "CARLOS ALBERTO MARIN DELGADO")</f>
        <v>CARLOS ALBERTO MARIN DELGADO</v>
      </c>
      <c r="B3593" s="18" t="str">
        <f>HYPERLINK("https://otsuka-europe-crm.veevavault.com/ui/#object/vcountry__v/VENZ000004SONF5", "ES")</f>
        <v>ES</v>
      </c>
      <c r="C3593" s="20" t="s">
        <v>39</v>
      </c>
      <c r="D359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93" s="22" t="str">
        <f>HYPERLINK("https://otsuka-europe-crm.veevavault.com/ui/#object/sent_email__v/VBL000000035217", "SE-001443398")</f>
        <v>SE-001443398</v>
      </c>
      <c r="F3593" s="25">
        <v>46213.875983796293</v>
      </c>
      <c r="G3593" s="24">
        <v>1</v>
      </c>
      <c r="H3593" s="24">
        <v>2</v>
      </c>
      <c r="I3593" s="24">
        <v>0</v>
      </c>
      <c r="J3593" s="23"/>
      <c r="K3593" s="24">
        <v>0</v>
      </c>
      <c r="L359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93" s="22" t="str">
        <f>HYPERLINK("mailto:vvalladares@crm.otsuka-europe.com", "vvalladares@crm.otsuka-europe.com")</f>
        <v>vvalladares@crm.otsuka-europe.com</v>
      </c>
      <c r="N3593" s="25">
        <v>46213.509606481479</v>
      </c>
      <c r="O3593" s="14" t="str">
        <f>HYPERLINK("https://otsuka-europe-crm.veevavault.com/ui/#object/email_activity__v/V8C000000047314", "EN-002104683")</f>
        <v>EN-002104683</v>
      </c>
    </row>
    <row r="3594" spans="1:15" ht="16" x14ac:dyDescent="0.2">
      <c r="A3594" s="26"/>
      <c r="B3594" s="26"/>
      <c r="C3594" s="26"/>
      <c r="D3594" s="26"/>
      <c r="E3594" s="26"/>
      <c r="F3594" s="26"/>
      <c r="G3594" s="26"/>
      <c r="H3594" s="26"/>
      <c r="I3594" s="26"/>
      <c r="J3594" s="26"/>
      <c r="K3594" s="26"/>
      <c r="L3594" s="26"/>
      <c r="M3594" s="26"/>
      <c r="N3594" s="26"/>
      <c r="O3594" s="14" t="str">
        <f>HYPERLINK("https://otsuka-europe-crm.veevavault.com/ui/#object/email_activity__v/V8C000000047392", "EN-002104846")</f>
        <v>EN-002104846</v>
      </c>
    </row>
    <row r="3595" spans="1:15" ht="16" x14ac:dyDescent="0.2">
      <c r="A3595" s="19"/>
      <c r="B3595" s="19"/>
      <c r="C3595" s="19"/>
      <c r="D3595" s="19"/>
      <c r="E3595" s="19"/>
      <c r="F3595" s="19"/>
      <c r="G3595" s="19"/>
      <c r="H3595" s="19"/>
      <c r="I3595" s="19"/>
      <c r="J3595" s="19"/>
      <c r="K3595" s="19"/>
      <c r="L3595" s="19"/>
      <c r="M3595" s="19"/>
      <c r="N3595" s="19"/>
      <c r="O3595" s="14" t="str">
        <f>HYPERLINK("https://otsuka-europe-crm.veevavault.com/ui/#object/email_activity__v/V8C000000048170", "EN-002104578")</f>
        <v>EN-002104578</v>
      </c>
    </row>
    <row r="3596" spans="1:15" ht="64" x14ac:dyDescent="0.2">
      <c r="A3596" s="7" t="str">
        <f>HYPERLINK("https://otsuka-europe-crm.veevavault.com/ui/#object/account__v/V4TZ06G6O71TCHB", "REMEDIOS TOLEDO ROJAS")</f>
        <v>REMEDIOS TOLEDO ROJAS</v>
      </c>
      <c r="B3596" s="7" t="str">
        <f>HYPERLINK("https://otsuka-europe-crm.veevavault.com/ui/#object/vcountry__v/VENZ000004SONF5", "ES")</f>
        <v>ES</v>
      </c>
      <c r="C3596" s="8" t="s">
        <v>39</v>
      </c>
      <c r="D359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96" s="10" t="str">
        <f>HYPERLINK("https://otsuka-europe-crm.veevavault.com/ui/#object/sent_email__v/VBL000000035218", "SE-001443399")</f>
        <v>SE-001443399</v>
      </c>
      <c r="F3596" s="11"/>
      <c r="G3596" s="12">
        <v>0</v>
      </c>
      <c r="H3596" s="12">
        <v>0</v>
      </c>
      <c r="I3596" s="12">
        <v>0</v>
      </c>
      <c r="J3596" s="11"/>
      <c r="K3596" s="12">
        <v>0</v>
      </c>
      <c r="L359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96" s="10" t="str">
        <f>HYPERLINK("mailto:vvalladares@crm.otsuka-europe.com", "vvalladares@crm.otsuka-europe.com")</f>
        <v>vvalladares@crm.otsuka-europe.com</v>
      </c>
      <c r="N3596" s="13">
        <v>46213.509594907409</v>
      </c>
      <c r="O3596" s="14" t="str">
        <f>HYPERLINK("https://otsuka-europe-crm.veevavault.com/ui/#object/email_activity__v/V8C000000047242", "EN-002104565")</f>
        <v>EN-002104565</v>
      </c>
    </row>
    <row r="3597" spans="1:15" ht="64" x14ac:dyDescent="0.2">
      <c r="A3597" s="7" t="str">
        <f>HYPERLINK("https://otsuka-europe-crm.veevavault.com/ui/#object/account__v/V4TZ06G6O71T7H5", "ELISA CABELLO MOYA")</f>
        <v>ELISA CABELLO MOYA</v>
      </c>
      <c r="B3597" s="7" t="str">
        <f>HYPERLINK("https://otsuka-europe-crm.veevavault.com/ui/#object/vcountry__v/VENZ000004SONF5", "ES")</f>
        <v>ES</v>
      </c>
      <c r="C3597" s="8" t="s">
        <v>39</v>
      </c>
      <c r="D359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97" s="10" t="str">
        <f>HYPERLINK("https://otsuka-europe-crm.veevavault.com/ui/#object/sent_email__v/VBL000000035219", "SE-001443400")</f>
        <v>SE-001443400</v>
      </c>
      <c r="F3597" s="11"/>
      <c r="G3597" s="12">
        <v>0</v>
      </c>
      <c r="H3597" s="12">
        <v>0</v>
      </c>
      <c r="I3597" s="12">
        <v>0</v>
      </c>
      <c r="J3597" s="11"/>
      <c r="K3597" s="12">
        <v>0</v>
      </c>
      <c r="L359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97" s="10" t="str">
        <f>HYPERLINK("mailto:vvalladares@crm.otsuka-europe.com", "vvalladares@crm.otsuka-europe.com")</f>
        <v>vvalladares@crm.otsuka-europe.com</v>
      </c>
      <c r="N3597" s="13">
        <v>46213.509618055556</v>
      </c>
      <c r="O3597" s="14" t="str">
        <f>HYPERLINK("https://otsuka-europe-crm.veevavault.com/ui/#object/email_activity__v/V8C000000047239", "EN-002104562")</f>
        <v>EN-002104562</v>
      </c>
    </row>
    <row r="3598" spans="1:15" ht="64" x14ac:dyDescent="0.2">
      <c r="A3598" s="7" t="str">
        <f>HYPERLINK("https://otsuka-europe-crm.veevavault.com/ui/#object/account__v/V4TZ06G6O71WMKC", "CAROLINA POLO CRIADO")</f>
        <v>CAROLINA POLO CRIADO</v>
      </c>
      <c r="B3598" s="7" t="str">
        <f>HYPERLINK("https://otsuka-europe-crm.veevavault.com/ui/#object/vcountry__v/VENZ000004SONF5", "ES")</f>
        <v>ES</v>
      </c>
      <c r="C3598" s="8" t="s">
        <v>39</v>
      </c>
      <c r="D359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98" s="10" t="str">
        <f>HYPERLINK("https://otsuka-europe-crm.veevavault.com/ui/#object/sent_email__v/VBL000000035220", "SE-001443401")</f>
        <v>SE-001443401</v>
      </c>
      <c r="F3598" s="11"/>
      <c r="G3598" s="12">
        <v>0</v>
      </c>
      <c r="H3598" s="12">
        <v>0</v>
      </c>
      <c r="I3598" s="12">
        <v>0</v>
      </c>
      <c r="J3598" s="11"/>
      <c r="K3598" s="12">
        <v>0</v>
      </c>
      <c r="L359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98" s="10" t="str">
        <f>HYPERLINK("mailto:vvalladares@crm.otsuka-europe.com", "vvalladares@crm.otsuka-europe.com")</f>
        <v>vvalladares@crm.otsuka-europe.com</v>
      </c>
      <c r="N3598" s="13">
        <v>46213.509583333333</v>
      </c>
      <c r="O3598" s="14" t="str">
        <f>HYPERLINK("https://otsuka-europe-crm.veevavault.com/ui/#object/email_activity__v/V8C000000047228", "EN-002104545")</f>
        <v>EN-002104545</v>
      </c>
    </row>
    <row r="3599" spans="1:15" ht="16" x14ac:dyDescent="0.2">
      <c r="A3599" s="18" t="str">
        <f>HYPERLINK("https://otsuka-europe-crm.veevavault.com/ui/#object/account__v/V4TZ06G6O71T9L3", "PATRICIA ISABEL DELGADO MALLEN")</f>
        <v>PATRICIA ISABEL DELGADO MALLEN</v>
      </c>
      <c r="B3599" s="18" t="str">
        <f>HYPERLINK("https://otsuka-europe-crm.veevavault.com/ui/#object/vcountry__v/VENZ000004SONF5", "ES")</f>
        <v>ES</v>
      </c>
      <c r="C3599" s="20" t="s">
        <v>39</v>
      </c>
      <c r="D359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599" s="22" t="str">
        <f>HYPERLINK("https://otsuka-europe-crm.veevavault.com/ui/#object/sent_email__v/VBL000000035221", "SE-001443402")</f>
        <v>SE-001443402</v>
      </c>
      <c r="F3599" s="23"/>
      <c r="G3599" s="24">
        <v>0</v>
      </c>
      <c r="H3599" s="24">
        <v>0</v>
      </c>
      <c r="I3599" s="24">
        <v>0</v>
      </c>
      <c r="J3599" s="23"/>
      <c r="K3599" s="24">
        <v>0</v>
      </c>
      <c r="L359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599" s="22" t="str">
        <f>HYPERLINK("mailto:vvalladares@crm.otsuka-europe.com", "vvalladares@crm.otsuka-europe.com")</f>
        <v>vvalladares@crm.otsuka-europe.com</v>
      </c>
      <c r="N3599" s="25">
        <v>46213.509594907409</v>
      </c>
      <c r="O3599" s="14" t="str">
        <f>HYPERLINK("https://otsuka-europe-crm.veevavault.com/ui/#object/email_activity__v/V8C000000047365", "EN-002104804")</f>
        <v>EN-002104804</v>
      </c>
    </row>
    <row r="3600" spans="1:15" ht="16" x14ac:dyDescent="0.2">
      <c r="A3600" s="26"/>
      <c r="B3600" s="26"/>
      <c r="C3600" s="26"/>
      <c r="D3600" s="26"/>
      <c r="E3600" s="26"/>
      <c r="F3600" s="26"/>
      <c r="G3600" s="26"/>
      <c r="H3600" s="26"/>
      <c r="I3600" s="26"/>
      <c r="J3600" s="26"/>
      <c r="K3600" s="26"/>
      <c r="L3600" s="26"/>
      <c r="M3600" s="26"/>
      <c r="N3600" s="26"/>
      <c r="O3600" s="14" t="str">
        <f>HYPERLINK("https://otsuka-europe-crm.veevavault.com/ui/#object/email_activity__v/V8C000000048163", "EN-002104571")</f>
        <v>EN-002104571</v>
      </c>
    </row>
    <row r="3601" spans="1:15" ht="16" x14ac:dyDescent="0.2">
      <c r="A3601" s="19"/>
      <c r="B3601" s="19"/>
      <c r="C3601" s="19"/>
      <c r="D3601" s="19"/>
      <c r="E3601" s="19"/>
      <c r="F3601" s="19"/>
      <c r="G3601" s="19"/>
      <c r="H3601" s="19"/>
      <c r="I3601" s="19"/>
      <c r="J3601" s="19"/>
      <c r="K3601" s="19"/>
      <c r="L3601" s="19"/>
      <c r="M3601" s="19"/>
      <c r="N3601" s="19"/>
      <c r="O3601" s="14" t="str">
        <f>HYPERLINK("https://otsuka-europe-crm.veevavault.com/ui/#object/email_activity__v/V8C000000049012", "EN-002104888")</f>
        <v>EN-002104888</v>
      </c>
    </row>
    <row r="3602" spans="1:15" ht="16" x14ac:dyDescent="0.2">
      <c r="A3602" s="18" t="str">
        <f>HYPERLINK("https://otsuka-europe-crm.veevavault.com/ui/#object/account__v/V4TZ06G6O71T9BX", "FRANCISCO JOSE BORREGO UTIEL")</f>
        <v>FRANCISCO JOSE BORREGO UTIEL</v>
      </c>
      <c r="B3602" s="18" t="str">
        <f>HYPERLINK("https://otsuka-europe-crm.veevavault.com/ui/#object/vcountry__v/VENZ000004SONF5", "ES")</f>
        <v>ES</v>
      </c>
      <c r="C3602" s="20" t="s">
        <v>39</v>
      </c>
      <c r="D360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02" s="22" t="str">
        <f>HYPERLINK("https://otsuka-europe-crm.veevavault.com/ui/#object/sent_email__v/VBL000000035222", "SE-001443403")</f>
        <v>SE-001443403</v>
      </c>
      <c r="F3602" s="25">
        <v>46216.66138888889</v>
      </c>
      <c r="G3602" s="24">
        <v>1</v>
      </c>
      <c r="H3602" s="24">
        <v>1</v>
      </c>
      <c r="I3602" s="24">
        <v>1</v>
      </c>
      <c r="J3602" s="25">
        <v>46216.662673611114</v>
      </c>
      <c r="K3602" s="24">
        <v>3</v>
      </c>
      <c r="L360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02" s="22" t="str">
        <f>HYPERLINK("mailto:vvalladares@crm.otsuka-europe.com", "vvalladares@crm.otsuka-europe.com")</f>
        <v>vvalladares@crm.otsuka-europe.com</v>
      </c>
      <c r="N3602" s="25">
        <v>46213.509421296294</v>
      </c>
      <c r="O3602" s="14" t="str">
        <f>HYPERLINK("https://otsuka-europe-crm.veevavault.com/ui/#object/email_activity__v/V8C000000048152", "EN-002104523")</f>
        <v>EN-002104523</v>
      </c>
    </row>
    <row r="3603" spans="1:15" ht="16" x14ac:dyDescent="0.2">
      <c r="A3603" s="26"/>
      <c r="B3603" s="26"/>
      <c r="C3603" s="26"/>
      <c r="D3603" s="26"/>
      <c r="E3603" s="26"/>
      <c r="F3603" s="26"/>
      <c r="G3603" s="26"/>
      <c r="H3603" s="26"/>
      <c r="I3603" s="26"/>
      <c r="J3603" s="26"/>
      <c r="K3603" s="26"/>
      <c r="L3603" s="26"/>
      <c r="M3603" s="26"/>
      <c r="N3603" s="26"/>
      <c r="O3603" s="14" t="str">
        <f>HYPERLINK("https://otsuka-europe-crm.veevavault.com/ui/#object/email_activity__v/V8C000000048242", "EN-002104737")</f>
        <v>EN-002104737</v>
      </c>
    </row>
    <row r="3604" spans="1:15" ht="16" x14ac:dyDescent="0.2">
      <c r="A3604" s="26"/>
      <c r="B3604" s="26"/>
      <c r="C3604" s="26"/>
      <c r="D3604" s="26"/>
      <c r="E3604" s="26"/>
      <c r="F3604" s="26"/>
      <c r="G3604" s="26"/>
      <c r="H3604" s="26"/>
      <c r="I3604" s="26"/>
      <c r="J3604" s="26"/>
      <c r="K3604" s="26"/>
      <c r="L3604" s="26"/>
      <c r="M3604" s="26"/>
      <c r="N3604" s="26"/>
      <c r="O3604" s="14" t="str">
        <f>HYPERLINK("https://otsuka-europe-crm.veevavault.com/ui/#object/email_activity__v/V8C000000049369", "EN-002105536")</f>
        <v>EN-002105536</v>
      </c>
    </row>
    <row r="3605" spans="1:15" ht="16" x14ac:dyDescent="0.2">
      <c r="A3605" s="26"/>
      <c r="B3605" s="26"/>
      <c r="C3605" s="26"/>
      <c r="D3605" s="26"/>
      <c r="E3605" s="26"/>
      <c r="F3605" s="26"/>
      <c r="G3605" s="26"/>
      <c r="H3605" s="26"/>
      <c r="I3605" s="26"/>
      <c r="J3605" s="26"/>
      <c r="K3605" s="26"/>
      <c r="L3605" s="26"/>
      <c r="M3605" s="26"/>
      <c r="N3605" s="26"/>
      <c r="O3605" s="14" t="str">
        <f>HYPERLINK("https://otsuka-europe-crm.veevavault.com/ui/#object/email_activity__v/V8C00000004A302", "EN-002105537")</f>
        <v>EN-002105537</v>
      </c>
    </row>
    <row r="3606" spans="1:15" ht="16" x14ac:dyDescent="0.2">
      <c r="A3606" s="26"/>
      <c r="B3606" s="26"/>
      <c r="C3606" s="26"/>
      <c r="D3606" s="26"/>
      <c r="E3606" s="26"/>
      <c r="F3606" s="26"/>
      <c r="G3606" s="26"/>
      <c r="H3606" s="26"/>
      <c r="I3606" s="26"/>
      <c r="J3606" s="26"/>
      <c r="K3606" s="26"/>
      <c r="L3606" s="26"/>
      <c r="M3606" s="26"/>
      <c r="N3606" s="26"/>
      <c r="O3606" s="14" t="str">
        <f>HYPERLINK("https://otsuka-europe-crm.veevavault.com/ui/#object/email_activity__v/V8C00000004A306", "EN-002105572")</f>
        <v>EN-002105572</v>
      </c>
    </row>
    <row r="3607" spans="1:15" ht="16" x14ac:dyDescent="0.2">
      <c r="A3607" s="19"/>
      <c r="B3607" s="19"/>
      <c r="C3607" s="19"/>
      <c r="D3607" s="19"/>
      <c r="E3607" s="19"/>
      <c r="F3607" s="19"/>
      <c r="G3607" s="19"/>
      <c r="H3607" s="19"/>
      <c r="I3607" s="19"/>
      <c r="J3607" s="19"/>
      <c r="K3607" s="19"/>
      <c r="L3607" s="19"/>
      <c r="M3607" s="19"/>
      <c r="N3607" s="19"/>
      <c r="O3607" s="14" t="str">
        <f>HYPERLINK("https://otsuka-europe-crm.veevavault.com/ui/#object/email_activity__v/V8C00000004A308", "EN-002105574")</f>
        <v>EN-002105574</v>
      </c>
    </row>
    <row r="3608" spans="1:15" ht="16" x14ac:dyDescent="0.2">
      <c r="A3608" s="18" t="str">
        <f>HYPERLINK("https://otsuka-europe-crm.veevavault.com/ui/#object/account__v/V4TZ06G6O71T9SU", "MARIA DOLORES DEL PINO Y PINO")</f>
        <v>MARIA DOLORES DEL PINO Y PINO</v>
      </c>
      <c r="B3608" s="18" t="str">
        <f>HYPERLINK("https://otsuka-europe-crm.veevavault.com/ui/#object/vcountry__v/VENZ000004SONF5", "ES")</f>
        <v>ES</v>
      </c>
      <c r="C3608" s="20" t="s">
        <v>39</v>
      </c>
      <c r="D360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08" s="22" t="str">
        <f>HYPERLINK("https://otsuka-europe-crm.veevavault.com/ui/#object/sent_email__v/VBL000000035223", "SE-001443404")</f>
        <v>SE-001443404</v>
      </c>
      <c r="F3608" s="25">
        <v>46213.744421296295</v>
      </c>
      <c r="G3608" s="24">
        <v>1</v>
      </c>
      <c r="H3608" s="24">
        <v>5</v>
      </c>
      <c r="I3608" s="24">
        <v>0</v>
      </c>
      <c r="J3608" s="23"/>
      <c r="K3608" s="24">
        <v>0</v>
      </c>
      <c r="L360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08" s="22" t="str">
        <f>HYPERLINK("mailto:vvalladares@crm.otsuka-europe.com", "vvalladares@crm.otsuka-europe.com")</f>
        <v>vvalladares@crm.otsuka-europe.com</v>
      </c>
      <c r="N3608" s="25">
        <v>46213.509421296294</v>
      </c>
      <c r="O3608" s="14" t="str">
        <f>HYPERLINK("https://otsuka-europe-crm.veevavault.com/ui/#object/email_activity__v/V8C000000047224", "EN-002104541")</f>
        <v>EN-002104541</v>
      </c>
    </row>
    <row r="3609" spans="1:15" ht="16" x14ac:dyDescent="0.2">
      <c r="A3609" s="26"/>
      <c r="B3609" s="26"/>
      <c r="C3609" s="26"/>
      <c r="D3609" s="26"/>
      <c r="E3609" s="26"/>
      <c r="F3609" s="26"/>
      <c r="G3609" s="26"/>
      <c r="H3609" s="26"/>
      <c r="I3609" s="26"/>
      <c r="J3609" s="26"/>
      <c r="K3609" s="26"/>
      <c r="L3609" s="26"/>
      <c r="M3609" s="26"/>
      <c r="N3609" s="26"/>
      <c r="O3609" s="14" t="str">
        <f>HYPERLINK("https://otsuka-europe-crm.veevavault.com/ui/#object/email_activity__v/V8C000000047337", "EN-002104742")</f>
        <v>EN-002104742</v>
      </c>
    </row>
    <row r="3610" spans="1:15" ht="16" x14ac:dyDescent="0.2">
      <c r="A3610" s="26"/>
      <c r="B3610" s="26"/>
      <c r="C3610" s="26"/>
      <c r="D3610" s="26"/>
      <c r="E3610" s="26"/>
      <c r="F3610" s="26"/>
      <c r="G3610" s="26"/>
      <c r="H3610" s="26"/>
      <c r="I3610" s="26"/>
      <c r="J3610" s="26"/>
      <c r="K3610" s="26"/>
      <c r="L3610" s="26"/>
      <c r="M3610" s="26"/>
      <c r="N3610" s="26"/>
      <c r="O3610" s="14" t="str">
        <f>HYPERLINK("https://otsuka-europe-crm.veevavault.com/ui/#object/email_activity__v/V8C000000047338", "EN-002104744")</f>
        <v>EN-002104744</v>
      </c>
    </row>
    <row r="3611" spans="1:15" ht="16" x14ac:dyDescent="0.2">
      <c r="A3611" s="26"/>
      <c r="B3611" s="26"/>
      <c r="C3611" s="26"/>
      <c r="D3611" s="26"/>
      <c r="E3611" s="26"/>
      <c r="F3611" s="26"/>
      <c r="G3611" s="26"/>
      <c r="H3611" s="26"/>
      <c r="I3611" s="26"/>
      <c r="J3611" s="26"/>
      <c r="K3611" s="26"/>
      <c r="L3611" s="26"/>
      <c r="M3611" s="26"/>
      <c r="N3611" s="26"/>
      <c r="O3611" s="14" t="str">
        <f>HYPERLINK("https://otsuka-europe-crm.veevavault.com/ui/#object/email_activity__v/V8C000000048244", "EN-002104743")</f>
        <v>EN-002104743</v>
      </c>
    </row>
    <row r="3612" spans="1:15" ht="16" x14ac:dyDescent="0.2">
      <c r="A3612" s="26"/>
      <c r="B3612" s="26"/>
      <c r="C3612" s="26"/>
      <c r="D3612" s="26"/>
      <c r="E3612" s="26"/>
      <c r="F3612" s="26"/>
      <c r="G3612" s="26"/>
      <c r="H3612" s="26"/>
      <c r="I3612" s="26"/>
      <c r="J3612" s="26"/>
      <c r="K3612" s="26"/>
      <c r="L3612" s="26"/>
      <c r="M3612" s="26"/>
      <c r="N3612" s="26"/>
      <c r="O3612" s="14" t="str">
        <f>HYPERLINK("https://otsuka-europe-crm.veevavault.com/ui/#object/email_activity__v/V8C000000048251", "EN-002104752")</f>
        <v>EN-002104752</v>
      </c>
    </row>
    <row r="3613" spans="1:15" ht="16" x14ac:dyDescent="0.2">
      <c r="A3613" s="19"/>
      <c r="B3613" s="19"/>
      <c r="C3613" s="19"/>
      <c r="D3613" s="19"/>
      <c r="E3613" s="19"/>
      <c r="F3613" s="19"/>
      <c r="G3613" s="19"/>
      <c r="H3613" s="19"/>
      <c r="I3613" s="19"/>
      <c r="J3613" s="19"/>
      <c r="K3613" s="19"/>
      <c r="L3613" s="19"/>
      <c r="M3613" s="19"/>
      <c r="N3613" s="19"/>
      <c r="O3613" s="14" t="str">
        <f>HYPERLINK("https://otsuka-europe-crm.veevavault.com/ui/#object/email_activity__v/V8C000000048288", "EN-002104824")</f>
        <v>EN-002104824</v>
      </c>
    </row>
    <row r="3614" spans="1:15" ht="16" x14ac:dyDescent="0.2">
      <c r="A3614" s="18" t="str">
        <f>HYPERLINK("https://otsuka-europe-crm.veevavault.com/ui/#object/account__v/V4TZ06G6O71T89F", "MIRIAM BARRALES IGLESIAS")</f>
        <v>MIRIAM BARRALES IGLESIAS</v>
      </c>
      <c r="B3614" s="18" t="str">
        <f>HYPERLINK("https://otsuka-europe-crm.veevavault.com/ui/#object/vcountry__v/VENZ000004SONF5", "ES")</f>
        <v>ES</v>
      </c>
      <c r="C3614" s="20" t="s">
        <v>39</v>
      </c>
      <c r="D361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14" s="22" t="str">
        <f>HYPERLINK("https://otsuka-europe-crm.veevavault.com/ui/#object/sent_email__v/VBL000000035224", "SE-001443405")</f>
        <v>SE-001443405</v>
      </c>
      <c r="F3614" s="23"/>
      <c r="G3614" s="24">
        <v>0</v>
      </c>
      <c r="H3614" s="24">
        <v>0</v>
      </c>
      <c r="I3614" s="24">
        <v>0</v>
      </c>
      <c r="J3614" s="23"/>
      <c r="K3614" s="24">
        <v>0</v>
      </c>
      <c r="L361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14" s="22" t="str">
        <f>HYPERLINK("mailto:vvalladares@crm.otsuka-europe.com", "vvalladares@crm.otsuka-europe.com")</f>
        <v>vvalladares@crm.otsuka-europe.com</v>
      </c>
      <c r="N3614" s="25">
        <v>46213.509421296294</v>
      </c>
      <c r="O3614" s="14" t="str">
        <f>HYPERLINK("https://otsuka-europe-crm.veevavault.com/ui/#object/email_activity__v/V8C000000047223", "EN-002104540")</f>
        <v>EN-002104540</v>
      </c>
    </row>
    <row r="3615" spans="1:15" ht="16" x14ac:dyDescent="0.2">
      <c r="A3615" s="19"/>
      <c r="B3615" s="19"/>
      <c r="C3615" s="19"/>
      <c r="D3615" s="19"/>
      <c r="E3615" s="19"/>
      <c r="F3615" s="19"/>
      <c r="G3615" s="19"/>
      <c r="H3615" s="19"/>
      <c r="I3615" s="19"/>
      <c r="J3615" s="19"/>
      <c r="K3615" s="19"/>
      <c r="L3615" s="19"/>
      <c r="M3615" s="19"/>
      <c r="N3615" s="19"/>
      <c r="O3615" s="14" t="str">
        <f>HYPERLINK("https://otsuka-europe-crm.veevavault.com/ui/#object/email_activity__v/V8C00000004A301", "EN-002105533")</f>
        <v>EN-002105533</v>
      </c>
    </row>
    <row r="3616" spans="1:15" ht="64" x14ac:dyDescent="0.2">
      <c r="A3616" s="7" t="str">
        <f>HYPERLINK("https://otsuka-europe-crm.veevavault.com/ui/#object/account__v/V4TZ04ASG9UDWHP", "ELENA TERAN GARCIA")</f>
        <v>ELENA TERAN GARCIA</v>
      </c>
      <c r="B3616" s="7" t="str">
        <f>HYPERLINK("https://otsuka-europe-crm.veevavault.com/ui/#object/vcountry__v/VENZ000004SONF5", "ES")</f>
        <v>ES</v>
      </c>
      <c r="C3616" s="8" t="s">
        <v>39</v>
      </c>
      <c r="D361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16" s="10" t="str">
        <f>HYPERLINK("https://otsuka-europe-crm.veevavault.com/ui/#object/sent_email__v/VBL000000035225", "SE-001443406")</f>
        <v>SE-001443406</v>
      </c>
      <c r="F3616" s="11"/>
      <c r="G3616" s="12">
        <v>0</v>
      </c>
      <c r="H3616" s="12">
        <v>0</v>
      </c>
      <c r="I3616" s="12">
        <v>0</v>
      </c>
      <c r="J3616" s="11"/>
      <c r="K3616" s="12">
        <v>0</v>
      </c>
      <c r="L361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16" s="10" t="str">
        <f>HYPERLINK("mailto:vvalladares@crm.otsuka-europe.com", "vvalladares@crm.otsuka-europe.com")</f>
        <v>vvalladares@crm.otsuka-europe.com</v>
      </c>
      <c r="N3616" s="13">
        <v>46213.509432870371</v>
      </c>
      <c r="O3616" s="14" t="str">
        <f>HYPERLINK("https://otsuka-europe-crm.veevavault.com/ui/#object/email_activity__v/V8C000000048142", "EN-002104507")</f>
        <v>EN-002104507</v>
      </c>
    </row>
    <row r="3617" spans="1:15" ht="16" x14ac:dyDescent="0.2">
      <c r="A3617" s="18" t="str">
        <f>HYPERLINK("https://otsuka-europe-crm.veevavault.com/ui/#object/account__v/V4TZ04ASGGI2JZ1", "JUAN FERNANDEZ SOLIS")</f>
        <v>JUAN FERNANDEZ SOLIS</v>
      </c>
      <c r="B3617" s="18" t="str">
        <f>HYPERLINK("https://otsuka-europe-crm.veevavault.com/ui/#object/vcountry__v/VENZ000004SONF5", "ES")</f>
        <v>ES</v>
      </c>
      <c r="C3617" s="20" t="s">
        <v>39</v>
      </c>
      <c r="D361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17" s="22" t="str">
        <f>HYPERLINK("https://otsuka-europe-crm.veevavault.com/ui/#object/sent_email__v/VBL000000035226", "SE-001443407")</f>
        <v>SE-001443407</v>
      </c>
      <c r="F3617" s="25">
        <v>46238.819513888891</v>
      </c>
      <c r="G3617" s="24">
        <v>1</v>
      </c>
      <c r="H3617" s="24">
        <v>1</v>
      </c>
      <c r="I3617" s="24">
        <v>0</v>
      </c>
      <c r="J3617" s="23"/>
      <c r="K3617" s="24">
        <v>0</v>
      </c>
      <c r="L361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17" s="22" t="str">
        <f>HYPERLINK("mailto:vvalladares@crm.otsuka-europe.com", "vvalladares@crm.otsuka-europe.com")</f>
        <v>vvalladares@crm.otsuka-europe.com</v>
      </c>
      <c r="N3617" s="25">
        <v>46213.509375000001</v>
      </c>
      <c r="O3617" s="14" t="str">
        <f>HYPERLINK("https://otsuka-europe-crm.veevavault.com/ui/#object/email_activity__v/V8C000000047200", "EN-002104502")</f>
        <v>EN-002104502</v>
      </c>
    </row>
    <row r="3618" spans="1:15" ht="16" x14ac:dyDescent="0.2">
      <c r="A3618" s="19"/>
      <c r="B3618" s="19"/>
      <c r="C3618" s="19"/>
      <c r="D3618" s="19"/>
      <c r="E3618" s="19"/>
      <c r="F3618" s="19"/>
      <c r="G3618" s="19"/>
      <c r="H3618" s="19"/>
      <c r="I3618" s="19"/>
      <c r="J3618" s="19"/>
      <c r="K3618" s="19"/>
      <c r="L3618" s="19"/>
      <c r="M3618" s="19"/>
      <c r="N3618" s="19"/>
      <c r="O3618" s="14" t="str">
        <f>HYPERLINK("https://otsuka-europe-crm.veevavault.com/ui/#object/email_activity__v/V8C00000004H343", "EN-002111555")</f>
        <v>EN-002111555</v>
      </c>
    </row>
    <row r="3619" spans="1:15" ht="64" x14ac:dyDescent="0.2">
      <c r="A3619" s="7" t="str">
        <f>HYPERLINK("https://otsuka-europe-crm.veevavault.com/ui/#object/account__v/V4TZ06G6OB479M7", "RAFAEL DEL POZO ALVAREZ")</f>
        <v>RAFAEL DEL POZO ALVAREZ</v>
      </c>
      <c r="B3619" s="7" t="str">
        <f>HYPERLINK("https://otsuka-europe-crm.veevavault.com/ui/#object/vcountry__v/VENZ000004SONF5", "ES")</f>
        <v>ES</v>
      </c>
      <c r="C3619" s="8" t="s">
        <v>39</v>
      </c>
      <c r="D361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19" s="10" t="str">
        <f>HYPERLINK("https://otsuka-europe-crm.veevavault.com/ui/#object/sent_email__v/VBL000000035227", "SE-001443408")</f>
        <v>SE-001443408</v>
      </c>
      <c r="F3619" s="11"/>
      <c r="G3619" s="12">
        <v>0</v>
      </c>
      <c r="H3619" s="12">
        <v>0</v>
      </c>
      <c r="I3619" s="12">
        <v>0</v>
      </c>
      <c r="J3619" s="11"/>
      <c r="K3619" s="12">
        <v>0</v>
      </c>
      <c r="L361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19" s="10" t="str">
        <f>HYPERLINK("mailto:vvalladares@crm.otsuka-europe.com", "vvalladares@crm.otsuka-europe.com")</f>
        <v>vvalladares@crm.otsuka-europe.com</v>
      </c>
      <c r="N3619" s="13">
        <v>46213.509375000001</v>
      </c>
      <c r="O3619" s="14" t="str">
        <f>HYPERLINK("https://otsuka-europe-crm.veevavault.com/ui/#object/email_activity__v/V8C000000047199", "EN-002104501")</f>
        <v>EN-002104501</v>
      </c>
    </row>
    <row r="3620" spans="1:15" ht="16" x14ac:dyDescent="0.2">
      <c r="A3620" s="18" t="str">
        <f>HYPERLINK("https://otsuka-europe-crm.veevavault.com/ui/#object/account__v/V4TZ06G6O71T7V1", "MARIA RAMIREZ GOMEZ")</f>
        <v>MARIA RAMIREZ GOMEZ</v>
      </c>
      <c r="B3620" s="18" t="str">
        <f>HYPERLINK("https://otsuka-europe-crm.veevavault.com/ui/#object/vcountry__v/VENZ000004SONF5", "ES")</f>
        <v>ES</v>
      </c>
      <c r="C3620" s="20" t="s">
        <v>39</v>
      </c>
      <c r="D36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20" s="22" t="str">
        <f>HYPERLINK("https://otsuka-europe-crm.veevavault.com/ui/#object/sent_email__v/VBL000000035228", "SE-001443409")</f>
        <v>SE-001443409</v>
      </c>
      <c r="F3620" s="25">
        <v>46213.528043981481</v>
      </c>
      <c r="G3620" s="24">
        <v>1</v>
      </c>
      <c r="H3620" s="24">
        <v>1</v>
      </c>
      <c r="I3620" s="24">
        <v>0</v>
      </c>
      <c r="J3620" s="23"/>
      <c r="K3620" s="24">
        <v>0</v>
      </c>
      <c r="L36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20" s="22" t="str">
        <f>HYPERLINK("mailto:vvalladares@crm.otsuka-europe.com", "vvalladares@crm.otsuka-europe.com")</f>
        <v>vvalladares@crm.otsuka-europe.com</v>
      </c>
      <c r="N3620" s="25">
        <v>46213.509363425925</v>
      </c>
      <c r="O3620" s="14" t="str">
        <f>HYPERLINK("https://otsuka-europe-crm.veevavault.com/ui/#object/email_activity__v/V8C000000048151", "EN-002104522")</f>
        <v>EN-002104522</v>
      </c>
    </row>
    <row r="3621" spans="1:15" ht="16" x14ac:dyDescent="0.2">
      <c r="A3621" s="19"/>
      <c r="B3621" s="19"/>
      <c r="C3621" s="19"/>
      <c r="D3621" s="19"/>
      <c r="E3621" s="19"/>
      <c r="F3621" s="19"/>
      <c r="G3621" s="19"/>
      <c r="H3621" s="19"/>
      <c r="I3621" s="19"/>
      <c r="J3621" s="19"/>
      <c r="K3621" s="19"/>
      <c r="L3621" s="19"/>
      <c r="M3621" s="19"/>
      <c r="N3621" s="19"/>
      <c r="O3621" s="14" t="str">
        <f>HYPERLINK("https://otsuka-europe-crm.veevavault.com/ui/#object/email_activity__v/V8C000000048213", "EN-002104695")</f>
        <v>EN-002104695</v>
      </c>
    </row>
    <row r="3622" spans="1:15" ht="16" x14ac:dyDescent="0.2">
      <c r="A3622" s="18" t="str">
        <f>HYPERLINK("https://otsuka-europe-crm.veevavault.com/ui/#object/account__v/V4TZ06G6O71T7GJ", "JOSE CARLOS PRADO DE LA SIERRA")</f>
        <v>JOSE CARLOS PRADO DE LA SIERRA</v>
      </c>
      <c r="B3622" s="18" t="str">
        <f>HYPERLINK("https://otsuka-europe-crm.veevavault.com/ui/#object/vcountry__v/VENZ000004SONF5", "ES")</f>
        <v>ES</v>
      </c>
      <c r="C3622" s="20" t="s">
        <v>39</v>
      </c>
      <c r="D362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22" s="22" t="str">
        <f>HYPERLINK("https://otsuka-europe-crm.veevavault.com/ui/#object/sent_email__v/VBL000000035229", "SE-001443410")</f>
        <v>SE-001443410</v>
      </c>
      <c r="F3622" s="25">
        <v>46213.562928240739</v>
      </c>
      <c r="G3622" s="24">
        <v>1</v>
      </c>
      <c r="H3622" s="24">
        <v>1</v>
      </c>
      <c r="I3622" s="24">
        <v>0</v>
      </c>
      <c r="J3622" s="23"/>
      <c r="K3622" s="24">
        <v>0</v>
      </c>
      <c r="L362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22" s="22" t="str">
        <f>HYPERLINK("mailto:vvalladares@crm.otsuka-europe.com", "vvalladares@crm.otsuka-europe.com")</f>
        <v>vvalladares@crm.otsuka-europe.com</v>
      </c>
      <c r="N3622" s="25">
        <v>46213.509363425925</v>
      </c>
      <c r="O3622" s="14" t="str">
        <f>HYPERLINK("https://otsuka-europe-crm.veevavault.com/ui/#object/email_activity__v/V8C000000047204", "EN-002104516")</f>
        <v>EN-002104516</v>
      </c>
    </row>
    <row r="3623" spans="1:15" ht="16" x14ac:dyDescent="0.2">
      <c r="A3623" s="26"/>
      <c r="B3623" s="26"/>
      <c r="C3623" s="26"/>
      <c r="D3623" s="26"/>
      <c r="E3623" s="26"/>
      <c r="F3623" s="26"/>
      <c r="G3623" s="26"/>
      <c r="H3623" s="26"/>
      <c r="I3623" s="26"/>
      <c r="J3623" s="26"/>
      <c r="K3623" s="26"/>
      <c r="L3623" s="26"/>
      <c r="M3623" s="26"/>
      <c r="N3623" s="26"/>
      <c r="O3623" s="14" t="str">
        <f>HYPERLINK("https://otsuka-europe-crm.veevavault.com/ui/#object/email_activity__v/V8C000000048245", "EN-002104745")</f>
        <v>EN-002104745</v>
      </c>
    </row>
    <row r="3624" spans="1:15" ht="16" x14ac:dyDescent="0.2">
      <c r="A3624" s="19"/>
      <c r="B3624" s="19"/>
      <c r="C3624" s="19"/>
      <c r="D3624" s="19"/>
      <c r="E3624" s="19"/>
      <c r="F3624" s="19"/>
      <c r="G3624" s="19"/>
      <c r="H3624" s="19"/>
      <c r="I3624" s="19"/>
      <c r="J3624" s="19"/>
      <c r="K3624" s="19"/>
      <c r="L3624" s="19"/>
      <c r="M3624" s="19"/>
      <c r="N3624" s="19"/>
      <c r="O3624" s="14" t="str">
        <f>HYPERLINK("https://otsuka-europe-crm.veevavault.com/ui/#object/email_activity__v/V8C00000004A010", "EN-002104890")</f>
        <v>EN-002104890</v>
      </c>
    </row>
    <row r="3625" spans="1:15" ht="16" x14ac:dyDescent="0.2">
      <c r="A3625" s="18" t="str">
        <f>HYPERLINK("https://otsuka-europe-crm.veevavault.com/ui/#object/account__v/V4TZ06G6O71T7JA", "NESTOR AGUSTIN OLIVA DAMASO")</f>
        <v>NESTOR AGUSTIN OLIVA DAMASO</v>
      </c>
      <c r="B3625" s="18" t="str">
        <f>HYPERLINK("https://otsuka-europe-crm.veevavault.com/ui/#object/vcountry__v/VENZ000004SONF5", "ES")</f>
        <v>ES</v>
      </c>
      <c r="C3625" s="20" t="s">
        <v>39</v>
      </c>
      <c r="D36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25" s="22" t="str">
        <f>HYPERLINK("https://otsuka-europe-crm.veevavault.com/ui/#object/sent_email__v/VBL000000035230", "SE-001443411")</f>
        <v>SE-001443411</v>
      </c>
      <c r="F3625" s="25">
        <v>46214.562303240738</v>
      </c>
      <c r="G3625" s="24">
        <v>1</v>
      </c>
      <c r="H3625" s="24">
        <v>1</v>
      </c>
      <c r="I3625" s="24">
        <v>0</v>
      </c>
      <c r="J3625" s="23"/>
      <c r="K3625" s="24">
        <v>0</v>
      </c>
      <c r="L36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25" s="22" t="str">
        <f>HYPERLINK("mailto:vvalladares@crm.otsuka-europe.com", "vvalladares@crm.otsuka-europe.com")</f>
        <v>vvalladares@crm.otsuka-europe.com</v>
      </c>
      <c r="N3625" s="25">
        <v>46213.509421296294</v>
      </c>
      <c r="O3625" s="14" t="str">
        <f>HYPERLINK("https://otsuka-europe-crm.veevavault.com/ui/#object/email_activity__v/V8C000000047234", "EN-002104551")</f>
        <v>EN-002104551</v>
      </c>
    </row>
    <row r="3626" spans="1:15" ht="16" x14ac:dyDescent="0.2">
      <c r="A3626" s="19"/>
      <c r="B3626" s="19"/>
      <c r="C3626" s="19"/>
      <c r="D3626" s="19"/>
      <c r="E3626" s="19"/>
      <c r="F3626" s="19"/>
      <c r="G3626" s="19"/>
      <c r="H3626" s="19"/>
      <c r="I3626" s="19"/>
      <c r="J3626" s="19"/>
      <c r="K3626" s="19"/>
      <c r="L3626" s="19"/>
      <c r="M3626" s="19"/>
      <c r="N3626" s="19"/>
      <c r="O3626" s="14" t="str">
        <f>HYPERLINK("https://otsuka-europe-crm.veevavault.com/ui/#object/email_activity__v/V8C000000049018", "EN-002104904")</f>
        <v>EN-002104904</v>
      </c>
    </row>
    <row r="3627" spans="1:15" ht="16" x14ac:dyDescent="0.2">
      <c r="A3627" s="18" t="str">
        <f>HYPERLINK("https://otsuka-europe-crm.veevavault.com/ui/#object/account__v/V4TZ04ASG9MJ4SO", "JACKIE JOHANA QUINTANA BUBU")</f>
        <v>JACKIE JOHANA QUINTANA BUBU</v>
      </c>
      <c r="B3627" s="18" t="str">
        <f>HYPERLINK("https://otsuka-europe-crm.veevavault.com/ui/#object/vcountry__v/VENZ000004SONF5", "ES")</f>
        <v>ES</v>
      </c>
      <c r="C3627" s="20" t="s">
        <v>39</v>
      </c>
      <c r="D362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627" s="22" t="str">
        <f>HYPERLINK("https://otsuka-europe-crm.veevavault.com/ui/#object/sent_email__v/VBL000000035231", "SE-001443412")</f>
        <v>SE-001443412</v>
      </c>
      <c r="F3627" s="25">
        <v>46213.9219212963</v>
      </c>
      <c r="G3627" s="24">
        <v>1</v>
      </c>
      <c r="H3627" s="24">
        <v>2</v>
      </c>
      <c r="I3627" s="24">
        <v>0</v>
      </c>
      <c r="J3627" s="23"/>
      <c r="K3627" s="24">
        <v>0</v>
      </c>
      <c r="L362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627" s="22" t="str">
        <f>HYPERLINK("mailto:vvalladares@crm.otsuka-europe.com", "vvalladares@crm.otsuka-europe.com")</f>
        <v>vvalladares@crm.otsuka-europe.com</v>
      </c>
      <c r="N3627" s="25">
        <v>46213.509421296294</v>
      </c>
      <c r="O3627" s="14" t="str">
        <f>HYPERLINK("https://otsuka-europe-crm.veevavault.com/ui/#object/email_activity__v/V8C000000047232", "EN-002104549")</f>
        <v>EN-002104549</v>
      </c>
    </row>
    <row r="3628" spans="1:15" ht="16" x14ac:dyDescent="0.2">
      <c r="A3628" s="26"/>
      <c r="B3628" s="26"/>
      <c r="C3628" s="26"/>
      <c r="D3628" s="26"/>
      <c r="E3628" s="26"/>
      <c r="F3628" s="26"/>
      <c r="G3628" s="26"/>
      <c r="H3628" s="26"/>
      <c r="I3628" s="26"/>
      <c r="J3628" s="26"/>
      <c r="K3628" s="26"/>
      <c r="L3628" s="26"/>
      <c r="M3628" s="26"/>
      <c r="N3628" s="26"/>
      <c r="O3628" s="14" t="str">
        <f>HYPERLINK("https://otsuka-europe-crm.veevavault.com/ui/#object/email_activity__v/V8C000000047394", "EN-002104855")</f>
        <v>EN-002104855</v>
      </c>
    </row>
    <row r="3629" spans="1:15" ht="16" x14ac:dyDescent="0.2">
      <c r="A3629" s="19"/>
      <c r="B3629" s="19"/>
      <c r="C3629" s="19"/>
      <c r="D3629" s="19"/>
      <c r="E3629" s="19"/>
      <c r="F3629" s="19"/>
      <c r="G3629" s="19"/>
      <c r="H3629" s="19"/>
      <c r="I3629" s="19"/>
      <c r="J3629" s="19"/>
      <c r="K3629" s="19"/>
      <c r="L3629" s="19"/>
      <c r="M3629" s="19"/>
      <c r="N3629" s="19"/>
      <c r="O3629" s="14" t="str">
        <f>HYPERLINK("https://otsuka-europe-crm.veevavault.com/ui/#object/email_activity__v/V8C000000047395", "EN-002104856")</f>
        <v>EN-002104856</v>
      </c>
    </row>
    <row r="3630" spans="1:15" ht="16" x14ac:dyDescent="0.2">
      <c r="A3630" s="18" t="str">
        <f>HYPERLINK("https://otsuka-europe-crm.veevavault.com/ui/#object/account__v/V4TZ025E8397ORE", "ISABEL SANCHEZ BERNA")</f>
        <v>ISABEL SANCHEZ BERNA</v>
      </c>
      <c r="B3630" s="18" t="str">
        <f>HYPERLINK("https://otsuka-europe-crm.veevavault.com/ui/#object/vcountry__v/VENZ000004SONF5", "ES")</f>
        <v>ES</v>
      </c>
      <c r="C3630" s="20" t="s">
        <v>39</v>
      </c>
      <c r="D363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30" s="22" t="str">
        <f>HYPERLINK("https://otsuka-europe-crm.veevavault.com/ui/#object/sent_email__v/VBL000000035232", "SE-001443413")</f>
        <v>SE-001443413</v>
      </c>
      <c r="F3630" s="23"/>
      <c r="G3630" s="24">
        <v>0</v>
      </c>
      <c r="H3630" s="24">
        <v>0</v>
      </c>
      <c r="I3630" s="24">
        <v>0</v>
      </c>
      <c r="J3630" s="23"/>
      <c r="K3630" s="24">
        <v>0</v>
      </c>
      <c r="L363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30" s="22" t="str">
        <f>HYPERLINK("mailto:vvalladares@crm.otsuka-europe.com", "vvalladares@crm.otsuka-europe.com")</f>
        <v>vvalladares@crm.otsuka-europe.com</v>
      </c>
      <c r="N3630" s="25">
        <v>46213.509745370371</v>
      </c>
      <c r="O3630" s="14" t="str">
        <f>HYPERLINK("https://otsuka-europe-crm.veevavault.com/ui/#object/email_activity__v/V8C000000048178", "EN-002104595")</f>
        <v>EN-002104595</v>
      </c>
    </row>
    <row r="3631" spans="1:15" ht="16" x14ac:dyDescent="0.2">
      <c r="A3631" s="19"/>
      <c r="B3631" s="19"/>
      <c r="C3631" s="19"/>
      <c r="D3631" s="19"/>
      <c r="E3631" s="19"/>
      <c r="F3631" s="19"/>
      <c r="G3631" s="19"/>
      <c r="H3631" s="19"/>
      <c r="I3631" s="19"/>
      <c r="J3631" s="19"/>
      <c r="K3631" s="19"/>
      <c r="L3631" s="19"/>
      <c r="M3631" s="19"/>
      <c r="N3631" s="19"/>
      <c r="O3631" s="14" t="str">
        <f>HYPERLINK("https://otsuka-europe-crm.veevavault.com/ui/#object/email_activity__v/V8C000000048274", "EN-002104793")</f>
        <v>EN-002104793</v>
      </c>
    </row>
    <row r="3632" spans="1:15" ht="16" x14ac:dyDescent="0.2">
      <c r="A3632" s="18" t="str">
        <f>HYPERLINK("https://otsuka-europe-crm.veevavault.com/ui/#object/account__v/V4TZ025E858G6OC", "DOLORES RICO LOPEZ")</f>
        <v>DOLORES RICO LOPEZ</v>
      </c>
      <c r="B3632" s="18" t="str">
        <f>HYPERLINK("https://otsuka-europe-crm.veevavault.com/ui/#object/vcountry__v/VENZ000004SONF5", "ES")</f>
        <v>ES</v>
      </c>
      <c r="C3632" s="20" t="s">
        <v>39</v>
      </c>
      <c r="D363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32" s="22" t="str">
        <f>HYPERLINK("https://otsuka-europe-crm.veevavault.com/ui/#object/sent_email__v/VBL000000035233", "SE-001443414")</f>
        <v>SE-001443414</v>
      </c>
      <c r="F3632" s="25">
        <v>46213.657256944447</v>
      </c>
      <c r="G3632" s="24">
        <v>1</v>
      </c>
      <c r="H3632" s="24">
        <v>2</v>
      </c>
      <c r="I3632" s="24">
        <v>0</v>
      </c>
      <c r="J3632" s="23"/>
      <c r="K3632" s="24">
        <v>0</v>
      </c>
      <c r="L363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32" s="22" t="str">
        <f>HYPERLINK("mailto:vvalladares@crm.otsuka-europe.com", "vvalladares@crm.otsuka-europe.com")</f>
        <v>vvalladares@crm.otsuka-europe.com</v>
      </c>
      <c r="N3632" s="25">
        <v>46213.509745370371</v>
      </c>
      <c r="O3632" s="14" t="str">
        <f>HYPERLINK("https://otsuka-europe-crm.veevavault.com/ui/#object/email_activity__v/V8C000000047258", "EN-002104607")</f>
        <v>EN-002104607</v>
      </c>
    </row>
    <row r="3633" spans="1:15" ht="16" x14ac:dyDescent="0.2">
      <c r="A3633" s="26"/>
      <c r="B3633" s="26"/>
      <c r="C3633" s="26"/>
      <c r="D3633" s="26"/>
      <c r="E3633" s="26"/>
      <c r="F3633" s="26"/>
      <c r="G3633" s="26"/>
      <c r="H3633" s="26"/>
      <c r="I3633" s="26"/>
      <c r="J3633" s="26"/>
      <c r="K3633" s="26"/>
      <c r="L3633" s="26"/>
      <c r="M3633" s="26"/>
      <c r="N3633" s="26"/>
      <c r="O3633" s="14" t="str">
        <f>HYPERLINK("https://otsuka-europe-crm.veevavault.com/ui/#object/email_activity__v/V8C000000047276", "EN-002104628")</f>
        <v>EN-002104628</v>
      </c>
    </row>
    <row r="3634" spans="1:15" ht="16" x14ac:dyDescent="0.2">
      <c r="A3634" s="19"/>
      <c r="B3634" s="19"/>
      <c r="C3634" s="19"/>
      <c r="D3634" s="19"/>
      <c r="E3634" s="19"/>
      <c r="F3634" s="19"/>
      <c r="G3634" s="19"/>
      <c r="H3634" s="19"/>
      <c r="I3634" s="19"/>
      <c r="J3634" s="19"/>
      <c r="K3634" s="19"/>
      <c r="L3634" s="19"/>
      <c r="M3634" s="19"/>
      <c r="N3634" s="19"/>
      <c r="O3634" s="14" t="str">
        <f>HYPERLINK("https://otsuka-europe-crm.veevavault.com/ui/#object/email_activity__v/V8C000000048271", "EN-002104789")</f>
        <v>EN-002104789</v>
      </c>
    </row>
    <row r="3635" spans="1:15" ht="16" x14ac:dyDescent="0.2">
      <c r="A3635" s="18" t="str">
        <f>HYPERLINK("https://otsuka-europe-crm.veevavault.com/ui/#object/account__v/V4TZ025E85BFFEH", "DANIEL DE LA CUEVA GENOVES")</f>
        <v>DANIEL DE LA CUEVA GENOVES</v>
      </c>
      <c r="B3635" s="18" t="str">
        <f>HYPERLINK("https://otsuka-europe-crm.veevavault.com/ui/#object/vcountry__v/VENZ000004SONF5", "ES")</f>
        <v>ES</v>
      </c>
      <c r="C3635" s="20" t="s">
        <v>39</v>
      </c>
      <c r="D363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35" s="22" t="str">
        <f>HYPERLINK("https://otsuka-europe-crm.veevavault.com/ui/#object/sent_email__v/VBL000000035234", "SE-001443415")</f>
        <v>SE-001443415</v>
      </c>
      <c r="F3635" s="25">
        <v>46213.510266203702</v>
      </c>
      <c r="G3635" s="24">
        <v>1</v>
      </c>
      <c r="H3635" s="24">
        <v>1</v>
      </c>
      <c r="I3635" s="24">
        <v>0</v>
      </c>
      <c r="J3635" s="23"/>
      <c r="K3635" s="24">
        <v>0</v>
      </c>
      <c r="L363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35" s="22" t="str">
        <f>HYPERLINK("mailto:vvalladares@crm.otsuka-europe.com", "vvalladares@crm.otsuka-europe.com")</f>
        <v>vvalladares@crm.otsuka-europe.com</v>
      </c>
      <c r="N3635" s="25">
        <v>46213.509768518517</v>
      </c>
      <c r="O3635" s="14" t="str">
        <f>HYPERLINK("https://otsuka-europe-crm.veevavault.com/ui/#object/email_activity__v/V8C000000047278", "EN-002104630")</f>
        <v>EN-002104630</v>
      </c>
    </row>
    <row r="3636" spans="1:15" ht="16" x14ac:dyDescent="0.2">
      <c r="A3636" s="19"/>
      <c r="B3636" s="19"/>
      <c r="C3636" s="19"/>
      <c r="D3636" s="19"/>
      <c r="E3636" s="19"/>
      <c r="F3636" s="19"/>
      <c r="G3636" s="19"/>
      <c r="H3636" s="19"/>
      <c r="I3636" s="19"/>
      <c r="J3636" s="19"/>
      <c r="K3636" s="19"/>
      <c r="L3636" s="19"/>
      <c r="M3636" s="19"/>
      <c r="N3636" s="19"/>
      <c r="O3636" s="14" t="str">
        <f>HYPERLINK("https://otsuka-europe-crm.veevavault.com/ui/#object/email_activity__v/V8C000000048190", "EN-002104621")</f>
        <v>EN-002104621</v>
      </c>
    </row>
    <row r="3637" spans="1:15" ht="16" x14ac:dyDescent="0.2">
      <c r="A3637" s="18" t="str">
        <f>HYPERLINK("https://otsuka-europe-crm.veevavault.com/ui/#object/account__v/V4TZ06G6OBI8QC6", "JOSE LUIS CALLEJAS RUBIO")</f>
        <v>JOSE LUIS CALLEJAS RUBIO</v>
      </c>
      <c r="B3637" s="18" t="str">
        <f>HYPERLINK("https://otsuka-europe-crm.veevavault.com/ui/#object/vcountry__v/VENZ000004SONF5", "ES")</f>
        <v>ES</v>
      </c>
      <c r="C3637" s="20" t="s">
        <v>39</v>
      </c>
      <c r="D363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37" s="22" t="str">
        <f>HYPERLINK("https://otsuka-europe-crm.veevavault.com/ui/#object/sent_email__v/VBL000000035235", "SE-001443416")</f>
        <v>SE-001443416</v>
      </c>
      <c r="F3637" s="23"/>
      <c r="G3637" s="24">
        <v>0</v>
      </c>
      <c r="H3637" s="24">
        <v>0</v>
      </c>
      <c r="I3637" s="24">
        <v>0</v>
      </c>
      <c r="J3637" s="23"/>
      <c r="K3637" s="24">
        <v>0</v>
      </c>
      <c r="L363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37" s="22" t="str">
        <f>HYPERLINK("mailto:vvalladares@crm.otsuka-europe.com", "vvalladares@crm.otsuka-europe.com")</f>
        <v>vvalladares@crm.otsuka-europe.com</v>
      </c>
      <c r="N3637" s="25">
        <v>46213.509745370371</v>
      </c>
      <c r="O3637" s="14" t="str">
        <f>HYPERLINK("https://otsuka-europe-crm.veevavault.com/ui/#object/email_activity__v/V8C000000047267", "EN-002104614")</f>
        <v>EN-002104614</v>
      </c>
    </row>
    <row r="3638" spans="1:15" ht="16" x14ac:dyDescent="0.2">
      <c r="A3638" s="19"/>
      <c r="B3638" s="19"/>
      <c r="C3638" s="19"/>
      <c r="D3638" s="19"/>
      <c r="E3638" s="19"/>
      <c r="F3638" s="19"/>
      <c r="G3638" s="19"/>
      <c r="H3638" s="19"/>
      <c r="I3638" s="19"/>
      <c r="J3638" s="19"/>
      <c r="K3638" s="19"/>
      <c r="L3638" s="19"/>
      <c r="M3638" s="19"/>
      <c r="N3638" s="19"/>
      <c r="O3638" s="14" t="str">
        <f>HYPERLINK("https://otsuka-europe-crm.veevavault.com/ui/#object/email_activity__v/V8C000000049034", "EN-002104934")</f>
        <v>EN-002104934</v>
      </c>
    </row>
    <row r="3639" spans="1:15" ht="16" x14ac:dyDescent="0.2">
      <c r="A3639" s="18" t="str">
        <f>HYPERLINK("https://otsuka-europe-crm.veevavault.com/ui/#object/account__v/V4TZ04ASGH6CFFD", "RAFAEL COTOS CANCA")</f>
        <v>RAFAEL COTOS CANCA</v>
      </c>
      <c r="B3639" s="18" t="str">
        <f>HYPERLINK("https://otsuka-europe-crm.veevavault.com/ui/#object/vcountry__v/VENZ000004SONF5", "ES")</f>
        <v>ES</v>
      </c>
      <c r="C3639" s="20" t="s">
        <v>39</v>
      </c>
      <c r="D363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39" s="22" t="str">
        <f>HYPERLINK("https://otsuka-europe-crm.veevavault.com/ui/#object/sent_email__v/VBL000000035236", "SE-001443417")</f>
        <v>SE-001443417</v>
      </c>
      <c r="F3639" s="23"/>
      <c r="G3639" s="24">
        <v>0</v>
      </c>
      <c r="H3639" s="24">
        <v>0</v>
      </c>
      <c r="I3639" s="24">
        <v>0</v>
      </c>
      <c r="J3639" s="23"/>
      <c r="K3639" s="24">
        <v>0</v>
      </c>
      <c r="L363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39" s="22" t="str">
        <f>HYPERLINK("mailto:vvalladares@crm.otsuka-europe.com", "vvalladares@crm.otsuka-europe.com")</f>
        <v>vvalladares@crm.otsuka-europe.com</v>
      </c>
      <c r="N3639" s="25">
        <v>46213.509745370371</v>
      </c>
      <c r="O3639" s="14" t="str">
        <f>HYPERLINK("https://otsuka-europe-crm.veevavault.com/ui/#object/email_activity__v/V8C000000048187", "EN-002104604")</f>
        <v>EN-002104604</v>
      </c>
    </row>
    <row r="3640" spans="1:15" ht="16" x14ac:dyDescent="0.2">
      <c r="A3640" s="19"/>
      <c r="B3640" s="19"/>
      <c r="C3640" s="19"/>
      <c r="D3640" s="19"/>
      <c r="E3640" s="19"/>
      <c r="F3640" s="19"/>
      <c r="G3640" s="19"/>
      <c r="H3640" s="19"/>
      <c r="I3640" s="19"/>
      <c r="J3640" s="19"/>
      <c r="K3640" s="19"/>
      <c r="L3640" s="19"/>
      <c r="M3640" s="19"/>
      <c r="N3640" s="19"/>
      <c r="O3640" s="14" t="str">
        <f>HYPERLINK("https://otsuka-europe-crm.veevavault.com/ui/#object/email_activity__v/V8C000000048256", "EN-002104767")</f>
        <v>EN-002104767</v>
      </c>
    </row>
    <row r="3641" spans="1:15" ht="16" x14ac:dyDescent="0.2">
      <c r="A3641" s="18" t="str">
        <f>HYPERLINK("https://otsuka-europe-crm.veevavault.com/ui/#object/account__v/V4T000000010097", "PABLO RODRIGUEZ LOPEZ")</f>
        <v>PABLO RODRIGUEZ LOPEZ</v>
      </c>
      <c r="B3641" s="18" t="str">
        <f>HYPERLINK("https://otsuka-europe-crm.veevavault.com/ui/#object/vcountry__v/VENZ000004SONF5", "ES")</f>
        <v>ES</v>
      </c>
      <c r="C3641" s="20" t="s">
        <v>39</v>
      </c>
      <c r="D364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41" s="22" t="str">
        <f>HYPERLINK("https://otsuka-europe-crm.veevavault.com/ui/#object/sent_email__v/VBL000000035237", "SE-001443418")</f>
        <v>SE-001443418</v>
      </c>
      <c r="F3641" s="25">
        <v>46213.564930555556</v>
      </c>
      <c r="G3641" s="24">
        <v>1</v>
      </c>
      <c r="H3641" s="24">
        <v>1</v>
      </c>
      <c r="I3641" s="24">
        <v>0</v>
      </c>
      <c r="J3641" s="23"/>
      <c r="K3641" s="24">
        <v>0</v>
      </c>
      <c r="L364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41" s="22" t="str">
        <f>HYPERLINK("mailto:vvalladares@crm.otsuka-europe.com", "vvalladares@crm.otsuka-europe.com")</f>
        <v>vvalladares@crm.otsuka-europe.com</v>
      </c>
      <c r="N3641" s="25">
        <v>46213.509722222225</v>
      </c>
      <c r="O3641" s="14" t="str">
        <f>HYPERLINK("https://otsuka-europe-crm.veevavault.com/ui/#object/email_activity__v/V8C000000047265", "EN-002104616")</f>
        <v>EN-002104616</v>
      </c>
    </row>
    <row r="3642" spans="1:15" ht="16" x14ac:dyDescent="0.2">
      <c r="A3642" s="19"/>
      <c r="B3642" s="19"/>
      <c r="C3642" s="19"/>
      <c r="D3642" s="19"/>
      <c r="E3642" s="19"/>
      <c r="F3642" s="19"/>
      <c r="G3642" s="19"/>
      <c r="H3642" s="19"/>
      <c r="I3642" s="19"/>
      <c r="J3642" s="19"/>
      <c r="K3642" s="19"/>
      <c r="L3642" s="19"/>
      <c r="M3642" s="19"/>
      <c r="N3642" s="19"/>
      <c r="O3642" s="14" t="str">
        <f>HYPERLINK("https://otsuka-europe-crm.veevavault.com/ui/#object/email_activity__v/V8C000000048247", "EN-002104747")</f>
        <v>EN-002104747</v>
      </c>
    </row>
    <row r="3643" spans="1:15" ht="64" x14ac:dyDescent="0.2">
      <c r="A3643" s="7" t="str">
        <f>HYPERLINK("https://otsuka-europe-crm.veevavault.com/ui/#object/account__v/V4TZ04ASG9HF7EE", "ANDREA AFONSO DIAZ")</f>
        <v>ANDREA AFONSO DIAZ</v>
      </c>
      <c r="B3643" s="7" t="str">
        <f>HYPERLINK("https://otsuka-europe-crm.veevavault.com/ui/#object/vcountry__v/VENZ000004SONF5", "ES")</f>
        <v>ES</v>
      </c>
      <c r="C3643" s="8" t="s">
        <v>39</v>
      </c>
      <c r="D364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43" s="10" t="str">
        <f>HYPERLINK("https://otsuka-europe-crm.veevavault.com/ui/#object/sent_email__v/VBL000000035238", "SE-001443419")</f>
        <v>SE-001443419</v>
      </c>
      <c r="F3643" s="11"/>
      <c r="G3643" s="12">
        <v>0</v>
      </c>
      <c r="H3643" s="12">
        <v>0</v>
      </c>
      <c r="I3643" s="12">
        <v>0</v>
      </c>
      <c r="J3643" s="11"/>
      <c r="K3643" s="12">
        <v>0</v>
      </c>
      <c r="L364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43" s="10" t="str">
        <f>HYPERLINK("mailto:vvalladares@crm.otsuka-europe.com", "vvalladares@crm.otsuka-europe.com")</f>
        <v>vvalladares@crm.otsuka-europe.com</v>
      </c>
      <c r="N3643" s="13">
        <v>46213.509722222225</v>
      </c>
      <c r="O3643" s="14" t="str">
        <f>HYPERLINK("https://otsuka-europe-crm.veevavault.com/ui/#object/email_activity__v/V8C000000047264", "EN-002104615")</f>
        <v>EN-002104615</v>
      </c>
    </row>
    <row r="3644" spans="1:15" ht="16" x14ac:dyDescent="0.2">
      <c r="A3644" s="18" t="str">
        <f>HYPERLINK("https://otsuka-europe-crm.veevavault.com/ui/#object/account__v/V4TZ06G6OBIG9VF", "FRANCISCO JAVIER DE LA HERA FERNANDEZ")</f>
        <v>FRANCISCO JAVIER DE LA HERA FERNANDEZ</v>
      </c>
      <c r="B3644" s="18" t="str">
        <f>HYPERLINK("https://otsuka-europe-crm.veevavault.com/ui/#object/vcountry__v/VENZ000004SONF5", "ES")</f>
        <v>ES</v>
      </c>
      <c r="C3644" s="20" t="s">
        <v>39</v>
      </c>
      <c r="D364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44" s="22" t="str">
        <f>HYPERLINK("https://otsuka-europe-crm.veevavault.com/ui/#object/sent_email__v/VBL000000035239", "SE-001443420")</f>
        <v>SE-001443420</v>
      </c>
      <c r="F3644" s="25">
        <v>46213.558541666665</v>
      </c>
      <c r="G3644" s="24">
        <v>1</v>
      </c>
      <c r="H3644" s="24">
        <v>1</v>
      </c>
      <c r="I3644" s="24">
        <v>0</v>
      </c>
      <c r="J3644" s="23"/>
      <c r="K3644" s="24">
        <v>0</v>
      </c>
      <c r="L364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44" s="22" t="str">
        <f>HYPERLINK("mailto:vvalladares@crm.otsuka-europe.com", "vvalladares@crm.otsuka-europe.com")</f>
        <v>vvalladares@crm.otsuka-europe.com</v>
      </c>
      <c r="N3644" s="25">
        <v>46213.509722222225</v>
      </c>
      <c r="O3644" s="14" t="str">
        <f>HYPERLINK("https://otsuka-europe-crm.veevavault.com/ui/#object/email_activity__v/V8C000000047270", "EN-002104622")</f>
        <v>EN-002104622</v>
      </c>
    </row>
    <row r="3645" spans="1:15" ht="16" x14ac:dyDescent="0.2">
      <c r="A3645" s="19"/>
      <c r="B3645" s="19"/>
      <c r="C3645" s="19"/>
      <c r="D3645" s="19"/>
      <c r="E3645" s="19"/>
      <c r="F3645" s="19"/>
      <c r="G3645" s="19"/>
      <c r="H3645" s="19"/>
      <c r="I3645" s="19"/>
      <c r="J3645" s="19"/>
      <c r="K3645" s="19"/>
      <c r="L3645" s="19"/>
      <c r="M3645" s="19"/>
      <c r="N3645" s="19"/>
      <c r="O3645" s="14" t="str">
        <f>HYPERLINK("https://otsuka-europe-crm.veevavault.com/ui/#object/email_activity__v/V8C000000048243", "EN-002104738")</f>
        <v>EN-002104738</v>
      </c>
    </row>
    <row r="3646" spans="1:15" ht="64" x14ac:dyDescent="0.2">
      <c r="A3646" s="7" t="str">
        <f>HYPERLINK("https://otsuka-europe-crm.veevavault.com/ui/#object/account__v/V4TZ025E82XQX9P", "FRANCISCO JAVIER GASCON JURADO")</f>
        <v>FRANCISCO JAVIER GASCON JURADO</v>
      </c>
      <c r="B3646" s="7" t="str">
        <f>HYPERLINK("https://otsuka-europe-crm.veevavault.com/ui/#object/vcountry__v/VENZ000004SONF5", "ES")</f>
        <v>ES</v>
      </c>
      <c r="C3646" s="8" t="s">
        <v>39</v>
      </c>
      <c r="D364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46" s="10" t="str">
        <f>HYPERLINK("https://otsuka-europe-crm.veevavault.com/ui/#object/sent_email__v/VBL000000035240", "SE-001443421")</f>
        <v>SE-001443421</v>
      </c>
      <c r="F3646" s="11"/>
      <c r="G3646" s="12">
        <v>0</v>
      </c>
      <c r="H3646" s="12">
        <v>0</v>
      </c>
      <c r="I3646" s="12">
        <v>0</v>
      </c>
      <c r="J3646" s="11"/>
      <c r="K3646" s="12">
        <v>0</v>
      </c>
      <c r="L364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46" s="10" t="str">
        <f>HYPERLINK("mailto:vvalladares@crm.otsuka-europe.com", "vvalladares@crm.otsuka-europe.com")</f>
        <v>vvalladares@crm.otsuka-europe.com</v>
      </c>
      <c r="N3646" s="13">
        <v>46213.509768518517</v>
      </c>
      <c r="O3646" s="14" t="str">
        <f>HYPERLINK("https://otsuka-europe-crm.veevavault.com/ui/#object/email_activity__v/V8C000000047260", "EN-002104609")</f>
        <v>EN-002104609</v>
      </c>
    </row>
    <row r="3647" spans="1:15" ht="16" x14ac:dyDescent="0.2">
      <c r="A3647" s="18" t="str">
        <f>HYPERLINK("https://otsuka-europe-crm.veevavault.com/ui/#object/account__v/V4TZ06G6O71T8HS", "DIEGO JOSE GARCIA GONZALEZ")</f>
        <v>DIEGO JOSE GARCIA GONZALEZ</v>
      </c>
      <c r="B3647" s="18" t="str">
        <f>HYPERLINK("https://otsuka-europe-crm.veevavault.com/ui/#object/vcountry__v/VENZ000004SONF5", "ES")</f>
        <v>ES</v>
      </c>
      <c r="C3647" s="20" t="s">
        <v>39</v>
      </c>
      <c r="D364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47" s="22" t="str">
        <f>HYPERLINK("https://otsuka-europe-crm.veevavault.com/ui/#object/sent_email__v/VBL000000035241", "SE-001443422")</f>
        <v>SE-001443422</v>
      </c>
      <c r="F3647" s="25">
        <v>46213.58353009259</v>
      </c>
      <c r="G3647" s="24">
        <v>1</v>
      </c>
      <c r="H3647" s="24">
        <v>1</v>
      </c>
      <c r="I3647" s="24">
        <v>0</v>
      </c>
      <c r="J3647" s="23"/>
      <c r="K3647" s="24">
        <v>0</v>
      </c>
      <c r="L364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47" s="22" t="str">
        <f>HYPERLINK("mailto:vvalladares@crm.otsuka-europe.com", "vvalladares@crm.otsuka-europe.com")</f>
        <v>vvalladares@crm.otsuka-europe.com</v>
      </c>
      <c r="N3647" s="25">
        <v>46213.509768518517</v>
      </c>
      <c r="O3647" s="14" t="str">
        <f>HYPERLINK("https://otsuka-europe-crm.veevavault.com/ui/#object/email_activity__v/V8C000000047261", "EN-002104610")</f>
        <v>EN-002104610</v>
      </c>
    </row>
    <row r="3648" spans="1:15" ht="16" x14ac:dyDescent="0.2">
      <c r="A3648" s="19"/>
      <c r="B3648" s="19"/>
      <c r="C3648" s="19"/>
      <c r="D3648" s="19"/>
      <c r="E3648" s="19"/>
      <c r="F3648" s="19"/>
      <c r="G3648" s="19"/>
      <c r="H3648" s="19"/>
      <c r="I3648" s="19"/>
      <c r="J3648" s="19"/>
      <c r="K3648" s="19"/>
      <c r="L3648" s="19"/>
      <c r="M3648" s="19"/>
      <c r="N3648" s="19"/>
      <c r="O3648" s="14" t="str">
        <f>HYPERLINK("https://otsuka-europe-crm.veevavault.com/ui/#object/email_activity__v/V8C000000047347", "EN-002104762")</f>
        <v>EN-002104762</v>
      </c>
    </row>
    <row r="3649" spans="1:15" ht="16" x14ac:dyDescent="0.2">
      <c r="A3649" s="18" t="str">
        <f>HYPERLINK("https://otsuka-europe-crm.veevavault.com/ui/#object/account__v/V4TZ06G6O71T991", "ROCIO ARNEDO DIEZ DE LOS RIOS")</f>
        <v>ROCIO ARNEDO DIEZ DE LOS RIOS</v>
      </c>
      <c r="B3649" s="18" t="str">
        <f>HYPERLINK("https://otsuka-europe-crm.veevavault.com/ui/#object/vcountry__v/VENZ000004SONF5", "ES")</f>
        <v>ES</v>
      </c>
      <c r="C3649" s="20" t="s">
        <v>39</v>
      </c>
      <c r="D364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49" s="22" t="str">
        <f>HYPERLINK("https://otsuka-europe-crm.veevavault.com/ui/#object/sent_email__v/VBL000000035242", "SE-001443423")</f>
        <v>SE-001443423</v>
      </c>
      <c r="F3649" s="23"/>
      <c r="G3649" s="24">
        <v>0</v>
      </c>
      <c r="H3649" s="24">
        <v>0</v>
      </c>
      <c r="I3649" s="24">
        <v>0</v>
      </c>
      <c r="J3649" s="23"/>
      <c r="K3649" s="24">
        <v>0</v>
      </c>
      <c r="L364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49" s="22" t="str">
        <f>HYPERLINK("mailto:vvalladares@crm.otsuka-europe.com", "vvalladares@crm.otsuka-europe.com")</f>
        <v>vvalladares@crm.otsuka-europe.com</v>
      </c>
      <c r="N3649" s="25">
        <v>46213.509756944448</v>
      </c>
      <c r="O3649" s="14" t="str">
        <f>HYPERLINK("https://otsuka-europe-crm.veevavault.com/ui/#object/email_activity__v/V8C000000047384", "EN-002104837")</f>
        <v>EN-002104837</v>
      </c>
    </row>
    <row r="3650" spans="1:15" ht="16" x14ac:dyDescent="0.2">
      <c r="A3650" s="19"/>
      <c r="B3650" s="19"/>
      <c r="C3650" s="19"/>
      <c r="D3650" s="19"/>
      <c r="E3650" s="19"/>
      <c r="F3650" s="19"/>
      <c r="G3650" s="19"/>
      <c r="H3650" s="19"/>
      <c r="I3650" s="19"/>
      <c r="J3650" s="19"/>
      <c r="K3650" s="19"/>
      <c r="L3650" s="19"/>
      <c r="M3650" s="19"/>
      <c r="N3650" s="19"/>
      <c r="O3650" s="14" t="str">
        <f>HYPERLINK("https://otsuka-europe-crm.veevavault.com/ui/#object/email_activity__v/V8C000000048189", "EN-002104620")</f>
        <v>EN-002104620</v>
      </c>
    </row>
    <row r="3651" spans="1:15" ht="64" x14ac:dyDescent="0.2">
      <c r="A3651" s="7" t="str">
        <f>HYPERLINK("https://otsuka-europe-crm.veevavault.com/ui/#object/account__v/V4TZ04ASG95LCS3", "IVAN PEREZ DE PEDRO")</f>
        <v>IVAN PEREZ DE PEDRO</v>
      </c>
      <c r="B3651" s="7" t="str">
        <f>HYPERLINK("https://otsuka-europe-crm.veevavault.com/ui/#object/vcountry__v/VENZ000004SONF5", "ES")</f>
        <v>ES</v>
      </c>
      <c r="C3651" s="8" t="s">
        <v>39</v>
      </c>
      <c r="D365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51" s="10" t="str">
        <f>HYPERLINK("https://otsuka-europe-crm.veevavault.com/ui/#object/sent_email__v/VBL000000035243", "SE-001443424")</f>
        <v>SE-001443424</v>
      </c>
      <c r="F3651" s="11"/>
      <c r="G3651" s="12">
        <v>0</v>
      </c>
      <c r="H3651" s="12">
        <v>0</v>
      </c>
      <c r="I3651" s="12">
        <v>0</v>
      </c>
      <c r="J3651" s="11"/>
      <c r="K3651" s="12">
        <v>0</v>
      </c>
      <c r="L365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51" s="10" t="str">
        <f>HYPERLINK("mailto:vvalladares@crm.otsuka-europe.com", "vvalladares@crm.otsuka-europe.com")</f>
        <v>vvalladares@crm.otsuka-europe.com</v>
      </c>
      <c r="N3651" s="13">
        <v>46213.509745370371</v>
      </c>
      <c r="O3651" s="14" t="str">
        <f>HYPERLINK("https://otsuka-europe-crm.veevavault.com/ui/#object/email_activity__v/V8C000000047275", "EN-002104627")</f>
        <v>EN-002104627</v>
      </c>
    </row>
    <row r="3652" spans="1:15" ht="16" x14ac:dyDescent="0.2">
      <c r="A3652" s="18" t="str">
        <f>HYPERLINK("https://otsuka-europe-crm.veevavault.com/ui/#object/account__v/V4TZ025E83ZU5XL", "MONICA ZAMORA PASADAS")</f>
        <v>MONICA ZAMORA PASADAS</v>
      </c>
      <c r="B3652" s="18" t="str">
        <f>HYPERLINK("https://otsuka-europe-crm.veevavault.com/ui/#object/vcountry__v/VENZ000004SONF5", "ES")</f>
        <v>ES</v>
      </c>
      <c r="C3652" s="20" t="s">
        <v>39</v>
      </c>
      <c r="D365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52" s="22" t="str">
        <f>HYPERLINK("https://otsuka-europe-crm.veevavault.com/ui/#object/sent_email__v/VBL000000035244", "SE-001443425")</f>
        <v>SE-001443425</v>
      </c>
      <c r="F3652" s="25">
        <v>46213.510497685187</v>
      </c>
      <c r="G3652" s="24">
        <v>1</v>
      </c>
      <c r="H3652" s="24">
        <v>1</v>
      </c>
      <c r="I3652" s="24">
        <v>0</v>
      </c>
      <c r="J3652" s="23"/>
      <c r="K3652" s="24">
        <v>0</v>
      </c>
      <c r="L365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52" s="22" t="str">
        <f>HYPERLINK("mailto:vvalladares@crm.otsuka-europe.com", "vvalladares@crm.otsuka-europe.com")</f>
        <v>vvalladares@crm.otsuka-europe.com</v>
      </c>
      <c r="N3652" s="25">
        <v>46213.509745370371</v>
      </c>
      <c r="O3652" s="14" t="str">
        <f>HYPERLINK("https://otsuka-europe-crm.veevavault.com/ui/#object/email_activity__v/V8C000000047273", "EN-002104625")</f>
        <v>EN-002104625</v>
      </c>
    </row>
    <row r="3653" spans="1:15" ht="16" x14ac:dyDescent="0.2">
      <c r="A3653" s="26"/>
      <c r="B3653" s="26"/>
      <c r="C3653" s="26"/>
      <c r="D3653" s="26"/>
      <c r="E3653" s="26"/>
      <c r="F3653" s="26"/>
      <c r="G3653" s="26"/>
      <c r="H3653" s="26"/>
      <c r="I3653" s="26"/>
      <c r="J3653" s="26"/>
      <c r="K3653" s="26"/>
      <c r="L3653" s="26"/>
      <c r="M3653" s="26"/>
      <c r="N3653" s="26"/>
      <c r="O3653" s="14" t="str">
        <f>HYPERLINK("https://otsuka-europe-crm.veevavault.com/ui/#object/email_activity__v/V8C000000047306", "EN-002104670")</f>
        <v>EN-002104670</v>
      </c>
    </row>
    <row r="3654" spans="1:15" ht="16" x14ac:dyDescent="0.2">
      <c r="A3654" s="19"/>
      <c r="B3654" s="19"/>
      <c r="C3654" s="19"/>
      <c r="D3654" s="19"/>
      <c r="E3654" s="19"/>
      <c r="F3654" s="19"/>
      <c r="G3654" s="19"/>
      <c r="H3654" s="19"/>
      <c r="I3654" s="19"/>
      <c r="J3654" s="19"/>
      <c r="K3654" s="19"/>
      <c r="L3654" s="19"/>
      <c r="M3654" s="19"/>
      <c r="N3654" s="19"/>
      <c r="O3654" s="14" t="str">
        <f>HYPERLINK("https://otsuka-europe-crm.veevavault.com/ui/#object/email_activity__v/V8C000000049025", "EN-002104921")</f>
        <v>EN-002104921</v>
      </c>
    </row>
    <row r="3655" spans="1:15" ht="16" x14ac:dyDescent="0.2">
      <c r="A3655" s="18" t="str">
        <f>HYPERLINK("https://otsuka-europe-crm.veevavault.com/ui/#object/account__v/V4TZ04ASG9980NJ", "ANA MARIA HIDALGO CONDE")</f>
        <v>ANA MARIA HIDALGO CONDE</v>
      </c>
      <c r="B3655" s="18" t="str">
        <f>HYPERLINK("https://otsuka-europe-crm.veevavault.com/ui/#object/vcountry__v/VENZ000004SONF5", "ES")</f>
        <v>ES</v>
      </c>
      <c r="C3655" s="20" t="s">
        <v>39</v>
      </c>
      <c r="D365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55" s="22" t="str">
        <f>HYPERLINK("https://otsuka-europe-crm.veevavault.com/ui/#object/sent_email__v/VBL000000035245", "SE-001443426")</f>
        <v>SE-001443426</v>
      </c>
      <c r="F3655" s="23"/>
      <c r="G3655" s="24">
        <v>0</v>
      </c>
      <c r="H3655" s="24">
        <v>0</v>
      </c>
      <c r="I3655" s="24">
        <v>0</v>
      </c>
      <c r="J3655" s="23"/>
      <c r="K3655" s="24">
        <v>0</v>
      </c>
      <c r="L365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55" s="22" t="str">
        <f>HYPERLINK("mailto:vvalladares@crm.otsuka-europe.com", "vvalladares@crm.otsuka-europe.com")</f>
        <v>vvalladares@crm.otsuka-europe.com</v>
      </c>
      <c r="N3655" s="25">
        <v>46213.509745370371</v>
      </c>
      <c r="O3655" s="14" t="str">
        <f>HYPERLINK("https://otsuka-europe-crm.veevavault.com/ui/#object/email_activity__v/V8C000000048180", "EN-002104597")</f>
        <v>EN-002104597</v>
      </c>
    </row>
    <row r="3656" spans="1:15" ht="16" x14ac:dyDescent="0.2">
      <c r="A3656" s="26"/>
      <c r="B3656" s="26"/>
      <c r="C3656" s="26"/>
      <c r="D3656" s="26"/>
      <c r="E3656" s="26"/>
      <c r="F3656" s="26"/>
      <c r="G3656" s="26"/>
      <c r="H3656" s="26"/>
      <c r="I3656" s="26"/>
      <c r="J3656" s="26"/>
      <c r="K3656" s="26"/>
      <c r="L3656" s="26"/>
      <c r="M3656" s="26"/>
      <c r="N3656" s="26"/>
      <c r="O3656" s="14" t="str">
        <f>HYPERLINK("https://otsuka-europe-crm.veevavault.com/ui/#object/email_activity__v/V8C000000048237", "EN-002104728")</f>
        <v>EN-002104728</v>
      </c>
    </row>
    <row r="3657" spans="1:15" ht="16" x14ac:dyDescent="0.2">
      <c r="A3657" s="19"/>
      <c r="B3657" s="19"/>
      <c r="C3657" s="19"/>
      <c r="D3657" s="19"/>
      <c r="E3657" s="19"/>
      <c r="F3657" s="19"/>
      <c r="G3657" s="19"/>
      <c r="H3657" s="19"/>
      <c r="I3657" s="19"/>
      <c r="J3657" s="19"/>
      <c r="K3657" s="19"/>
      <c r="L3657" s="19"/>
      <c r="M3657" s="19"/>
      <c r="N3657" s="19"/>
      <c r="O3657" s="14" t="str">
        <f>HYPERLINK("https://otsuka-europe-crm.veevavault.com/ui/#object/email_activity__v/V8C000000048300", "EN-002104858")</f>
        <v>EN-002104858</v>
      </c>
    </row>
    <row r="3658" spans="1:15" ht="64" x14ac:dyDescent="0.2">
      <c r="A3658" s="7" t="str">
        <f>HYPERLINK("https://otsuka-europe-crm.veevavault.com/ui/#object/account__v/V4TZ025E86SYMNA", "ANA ISABEL CASCALES VALLEJO")</f>
        <v>ANA ISABEL CASCALES VALLEJO</v>
      </c>
      <c r="B3658" s="7" t="str">
        <f>HYPERLINK("https://otsuka-europe-crm.veevavault.com/ui/#object/vcountry__v/VENZ000004SONF5", "ES")</f>
        <v>ES</v>
      </c>
      <c r="C3658" s="8" t="s">
        <v>39</v>
      </c>
      <c r="D365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58" s="10" t="str">
        <f>HYPERLINK("https://otsuka-europe-crm.veevavault.com/ui/#object/sent_email__v/VBL000000035246", "SE-001443427")</f>
        <v>SE-001443427</v>
      </c>
      <c r="F3658" s="11"/>
      <c r="G3658" s="12">
        <v>0</v>
      </c>
      <c r="H3658" s="12">
        <v>0</v>
      </c>
      <c r="I3658" s="12">
        <v>0</v>
      </c>
      <c r="J3658" s="11"/>
      <c r="K3658" s="12">
        <v>0</v>
      </c>
      <c r="L365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58" s="10" t="str">
        <f>HYPERLINK("mailto:vvalladares@crm.otsuka-europe.com", "vvalladares@crm.otsuka-europe.com")</f>
        <v>vvalladares@crm.otsuka-europe.com</v>
      </c>
      <c r="N3658" s="13">
        <v>46213.509745370371</v>
      </c>
      <c r="O3658" s="14" t="str">
        <f>HYPERLINK("https://otsuka-europe-crm.veevavault.com/ui/#object/email_activity__v/V8C000000047266", "EN-002104613")</f>
        <v>EN-002104613</v>
      </c>
    </row>
    <row r="3659" spans="1:15" ht="16" x14ac:dyDescent="0.2">
      <c r="A3659" s="18" t="str">
        <f>HYPERLINK("https://otsuka-europe-crm.veevavault.com/ui/#object/account__v/V4TZ04ASG95LVMJ", "CARLOS ROMERO GOMEZ")</f>
        <v>CARLOS ROMERO GOMEZ</v>
      </c>
      <c r="B3659" s="18" t="str">
        <f>HYPERLINK("https://otsuka-europe-crm.veevavault.com/ui/#object/vcountry__v/VENZ000004SONF5", "ES")</f>
        <v>ES</v>
      </c>
      <c r="C3659" s="20" t="s">
        <v>39</v>
      </c>
      <c r="D365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59" s="22" t="str">
        <f>HYPERLINK("https://otsuka-europe-crm.veevavault.com/ui/#object/sent_email__v/VBL000000035247", "SE-001443428")</f>
        <v>SE-001443428</v>
      </c>
      <c r="F3659" s="25">
        <v>46213.534768518519</v>
      </c>
      <c r="G3659" s="24">
        <v>1</v>
      </c>
      <c r="H3659" s="24">
        <v>3</v>
      </c>
      <c r="I3659" s="24">
        <v>0</v>
      </c>
      <c r="J3659" s="23"/>
      <c r="K3659" s="24">
        <v>0</v>
      </c>
      <c r="L365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59" s="22" t="str">
        <f>HYPERLINK("mailto:vvalladares@crm.otsuka-europe.com", "vvalladares@crm.otsuka-europe.com")</f>
        <v>vvalladares@crm.otsuka-europe.com</v>
      </c>
      <c r="N3659" s="25">
        <v>46213.509745370371</v>
      </c>
      <c r="O3659" s="14" t="str">
        <f>HYPERLINK("https://otsuka-europe-crm.veevavault.com/ui/#object/email_activity__v/V8C000000047325", "EN-002104719")</f>
        <v>EN-002104719</v>
      </c>
    </row>
    <row r="3660" spans="1:15" ht="16" x14ac:dyDescent="0.2">
      <c r="A3660" s="26"/>
      <c r="B3660" s="26"/>
      <c r="C3660" s="26"/>
      <c r="D3660" s="26"/>
      <c r="E3660" s="26"/>
      <c r="F3660" s="26"/>
      <c r="G3660" s="26"/>
      <c r="H3660" s="26"/>
      <c r="I3660" s="26"/>
      <c r="J3660" s="26"/>
      <c r="K3660" s="26"/>
      <c r="L3660" s="26"/>
      <c r="M3660" s="26"/>
      <c r="N3660" s="26"/>
      <c r="O3660" s="14" t="str">
        <f>HYPERLINK("https://otsuka-europe-crm.veevavault.com/ui/#object/email_activity__v/V8C000000048179", "EN-002104596")</f>
        <v>EN-002104596</v>
      </c>
    </row>
    <row r="3661" spans="1:15" ht="16" x14ac:dyDescent="0.2">
      <c r="A3661" s="26"/>
      <c r="B3661" s="26"/>
      <c r="C3661" s="26"/>
      <c r="D3661" s="26"/>
      <c r="E3661" s="26"/>
      <c r="F3661" s="26"/>
      <c r="G3661" s="26"/>
      <c r="H3661" s="26"/>
      <c r="I3661" s="26"/>
      <c r="J3661" s="26"/>
      <c r="K3661" s="26"/>
      <c r="L3661" s="26"/>
      <c r="M3661" s="26"/>
      <c r="N3661" s="26"/>
      <c r="O3661" s="14" t="str">
        <f>HYPERLINK("https://otsuka-europe-crm.veevavault.com/ui/#object/email_activity__v/V8C000000048205", "EN-002104674")</f>
        <v>EN-002104674</v>
      </c>
    </row>
    <row r="3662" spans="1:15" ht="16" x14ac:dyDescent="0.2">
      <c r="A3662" s="19"/>
      <c r="B3662" s="19"/>
      <c r="C3662" s="19"/>
      <c r="D3662" s="19"/>
      <c r="E3662" s="19"/>
      <c r="F3662" s="19"/>
      <c r="G3662" s="19"/>
      <c r="H3662" s="19"/>
      <c r="I3662" s="19"/>
      <c r="J3662" s="19"/>
      <c r="K3662" s="19"/>
      <c r="L3662" s="19"/>
      <c r="M3662" s="19"/>
      <c r="N3662" s="19"/>
      <c r="O3662" s="14" t="str">
        <f>HYPERLINK("https://otsuka-europe-crm.veevavault.com/ui/#object/email_activity__v/V8C000000048209", "EN-002104686")</f>
        <v>EN-002104686</v>
      </c>
    </row>
    <row r="3663" spans="1:15" ht="16" x14ac:dyDescent="0.2">
      <c r="A3663" s="18" t="str">
        <f>HYPERLINK("https://otsuka-europe-crm.veevavault.com/ui/#object/account__v/V4TZ04ASG6ZR3NT", "MARIA RAQUEL RIOS FERNANDEZ")</f>
        <v>MARIA RAQUEL RIOS FERNANDEZ</v>
      </c>
      <c r="B3663" s="18" t="str">
        <f>HYPERLINK("https://otsuka-europe-crm.veevavault.com/ui/#object/vcountry__v/VENZ000004SONF5", "ES")</f>
        <v>ES</v>
      </c>
      <c r="C3663" s="20" t="s">
        <v>39</v>
      </c>
      <c r="D366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63" s="22" t="str">
        <f>HYPERLINK("https://otsuka-europe-crm.veevavault.com/ui/#object/sent_email__v/VBL000000035248", "SE-001443429")</f>
        <v>SE-001443429</v>
      </c>
      <c r="F3663" s="25">
        <v>46214.617615740739</v>
      </c>
      <c r="G3663" s="24">
        <v>1</v>
      </c>
      <c r="H3663" s="24">
        <v>1</v>
      </c>
      <c r="I3663" s="24">
        <v>0</v>
      </c>
      <c r="J3663" s="23"/>
      <c r="K3663" s="24">
        <v>0</v>
      </c>
      <c r="L366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63" s="22" t="str">
        <f>HYPERLINK("mailto:vvalladares@crm.otsuka-europe.com", "vvalladares@crm.otsuka-europe.com")</f>
        <v>vvalladares@crm.otsuka-europe.com</v>
      </c>
      <c r="N3663" s="25">
        <v>46213.509745370371</v>
      </c>
      <c r="O3663" s="14" t="str">
        <f>HYPERLINK("https://otsuka-europe-crm.veevavault.com/ui/#object/email_activity__v/V8C000000048186", "EN-002104603")</f>
        <v>EN-002104603</v>
      </c>
    </row>
    <row r="3664" spans="1:15" ht="16" x14ac:dyDescent="0.2">
      <c r="A3664" s="26"/>
      <c r="B3664" s="26"/>
      <c r="C3664" s="26"/>
      <c r="D3664" s="26"/>
      <c r="E3664" s="26"/>
      <c r="F3664" s="26"/>
      <c r="G3664" s="26"/>
      <c r="H3664" s="26"/>
      <c r="I3664" s="26"/>
      <c r="J3664" s="26"/>
      <c r="K3664" s="26"/>
      <c r="L3664" s="26"/>
      <c r="M3664" s="26"/>
      <c r="N3664" s="26"/>
      <c r="O3664" s="14" t="str">
        <f>HYPERLINK("https://otsuka-europe-crm.veevavault.com/ui/#object/email_activity__v/V8C000000049024", "EN-002104915")</f>
        <v>EN-002104915</v>
      </c>
    </row>
    <row r="3665" spans="1:15" ht="16" x14ac:dyDescent="0.2">
      <c r="A3665" s="19"/>
      <c r="B3665" s="19"/>
      <c r="C3665" s="19"/>
      <c r="D3665" s="19"/>
      <c r="E3665" s="19"/>
      <c r="F3665" s="19"/>
      <c r="G3665" s="19"/>
      <c r="H3665" s="19"/>
      <c r="I3665" s="19"/>
      <c r="J3665" s="19"/>
      <c r="K3665" s="19"/>
      <c r="L3665" s="19"/>
      <c r="M3665" s="19"/>
      <c r="N3665" s="19"/>
      <c r="O3665" s="14" t="str">
        <f>HYPERLINK("https://otsuka-europe-crm.veevavault.com/ui/#object/email_activity__v/V8C00000004A033", "EN-002104936")</f>
        <v>EN-002104936</v>
      </c>
    </row>
    <row r="3666" spans="1:15" ht="16" x14ac:dyDescent="0.2">
      <c r="A3666" s="18" t="str">
        <f>HYPERLINK("https://otsuka-europe-crm.veevavault.com/ui/#object/account__v/V4TZ04ASG8VE2NH", "MANUEL ABARCA COSTALAGO")</f>
        <v>MANUEL ABARCA COSTALAGO</v>
      </c>
      <c r="B3666" s="18" t="str">
        <f>HYPERLINK("https://otsuka-europe-crm.veevavault.com/ui/#object/vcountry__v/VENZ000004SONF5", "ES")</f>
        <v>ES</v>
      </c>
      <c r="C3666" s="20" t="s">
        <v>39</v>
      </c>
      <c r="D366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66" s="22" t="str">
        <f>HYPERLINK("https://otsuka-europe-crm.veevavault.com/ui/#object/sent_email__v/VBL000000035249", "SE-001443430")</f>
        <v>SE-001443430</v>
      </c>
      <c r="F3666" s="23"/>
      <c r="G3666" s="24">
        <v>0</v>
      </c>
      <c r="H3666" s="24">
        <v>0</v>
      </c>
      <c r="I3666" s="24">
        <v>0</v>
      </c>
      <c r="J3666" s="23"/>
      <c r="K3666" s="24">
        <v>0</v>
      </c>
      <c r="L366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66" s="22" t="str">
        <f>HYPERLINK("mailto:vvalladares@crm.otsuka-europe.com", "vvalladares@crm.otsuka-europe.com")</f>
        <v>vvalladares@crm.otsuka-europe.com</v>
      </c>
      <c r="N3666" s="25">
        <v>46213.509722222225</v>
      </c>
      <c r="O3666" s="14" t="str">
        <f>HYPERLINK("https://otsuka-europe-crm.veevavault.com/ui/#object/email_activity__v/V8C000000047269", "EN-002104618")</f>
        <v>EN-002104618</v>
      </c>
    </row>
    <row r="3667" spans="1:15" ht="16" x14ac:dyDescent="0.2">
      <c r="A3667" s="19"/>
      <c r="B3667" s="19"/>
      <c r="C3667" s="19"/>
      <c r="D3667" s="19"/>
      <c r="E3667" s="19"/>
      <c r="F3667" s="19"/>
      <c r="G3667" s="19"/>
      <c r="H3667" s="19"/>
      <c r="I3667" s="19"/>
      <c r="J3667" s="19"/>
      <c r="K3667" s="19"/>
      <c r="L3667" s="19"/>
      <c r="M3667" s="19"/>
      <c r="N3667" s="19"/>
      <c r="O3667" s="14" t="str">
        <f>HYPERLINK("https://otsuka-europe-crm.veevavault.com/ui/#object/email_activity__v/V8C000000049002", "EN-002104870")</f>
        <v>EN-002104870</v>
      </c>
    </row>
    <row r="3668" spans="1:15" ht="16" x14ac:dyDescent="0.2">
      <c r="A3668" s="18" t="str">
        <f>HYPERLINK("https://otsuka-europe-crm.veevavault.com/ui/#object/account__v/V4TZ04ASG9983AH", "ALBA RAMIREZ BUENO")</f>
        <v>ALBA RAMIREZ BUENO</v>
      </c>
      <c r="B3668" s="18" t="str">
        <f>HYPERLINK("https://otsuka-europe-crm.veevavault.com/ui/#object/vcountry__v/VENZ000004SONF5", "ES")</f>
        <v>ES</v>
      </c>
      <c r="C3668" s="20" t="s">
        <v>39</v>
      </c>
      <c r="D366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68" s="22" t="str">
        <f>HYPERLINK("https://otsuka-europe-crm.veevavault.com/ui/#object/sent_email__v/VBL000000035250", "SE-001443431")</f>
        <v>SE-001443431</v>
      </c>
      <c r="F3668" s="25">
        <v>46214.942476851851</v>
      </c>
      <c r="G3668" s="24">
        <v>1</v>
      </c>
      <c r="H3668" s="24">
        <v>1</v>
      </c>
      <c r="I3668" s="24">
        <v>0</v>
      </c>
      <c r="J3668" s="23"/>
      <c r="K3668" s="24">
        <v>0</v>
      </c>
      <c r="L366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68" s="22" t="str">
        <f>HYPERLINK("mailto:vvalladares@crm.otsuka-europe.com", "vvalladares@crm.otsuka-europe.com")</f>
        <v>vvalladares@crm.otsuka-europe.com</v>
      </c>
      <c r="N3668" s="25">
        <v>46213.509768518517</v>
      </c>
      <c r="O3668" s="14" t="str">
        <f>HYPERLINK("https://otsuka-europe-crm.veevavault.com/ui/#object/email_activity__v/V8C000000047259", "EN-002104608")</f>
        <v>EN-002104608</v>
      </c>
    </row>
    <row r="3669" spans="1:15" ht="16" x14ac:dyDescent="0.2">
      <c r="A3669" s="19"/>
      <c r="B3669" s="19"/>
      <c r="C3669" s="19"/>
      <c r="D3669" s="19"/>
      <c r="E3669" s="19"/>
      <c r="F3669" s="19"/>
      <c r="G3669" s="19"/>
      <c r="H3669" s="19"/>
      <c r="I3669" s="19"/>
      <c r="J3669" s="19"/>
      <c r="K3669" s="19"/>
      <c r="L3669" s="19"/>
      <c r="M3669" s="19"/>
      <c r="N3669" s="19"/>
      <c r="O3669" s="14" t="str">
        <f>HYPERLINK("https://otsuka-europe-crm.veevavault.com/ui/#object/email_activity__v/V8C000000049033", "EN-002104932")</f>
        <v>EN-002104932</v>
      </c>
    </row>
    <row r="3670" spans="1:15" ht="16" x14ac:dyDescent="0.2">
      <c r="A3670" s="18" t="str">
        <f>HYPERLINK("https://otsuka-europe-crm.veevavault.com/ui/#object/account__v/V4TZ04ASG9B3EW7", "MARIA ESTHER RUBIO ROLDAN")</f>
        <v>MARIA ESTHER RUBIO ROLDAN</v>
      </c>
      <c r="B3670" s="18" t="str">
        <f>HYPERLINK("https://otsuka-europe-crm.veevavault.com/ui/#object/vcountry__v/VENZ000004SONF5", "ES")</f>
        <v>ES</v>
      </c>
      <c r="C3670" s="20" t="s">
        <v>39</v>
      </c>
      <c r="D367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70" s="22" t="str">
        <f>HYPERLINK("https://otsuka-europe-crm.veevavault.com/ui/#object/sent_email__v/VBL000000035251", "SE-001443432")</f>
        <v>SE-001443432</v>
      </c>
      <c r="F3670" s="25">
        <v>46216.548981481479</v>
      </c>
      <c r="G3670" s="24">
        <v>1</v>
      </c>
      <c r="H3670" s="24">
        <v>5</v>
      </c>
      <c r="I3670" s="24">
        <v>0</v>
      </c>
      <c r="J3670" s="23"/>
      <c r="K3670" s="24">
        <v>0</v>
      </c>
      <c r="L367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70" s="22" t="str">
        <f>HYPERLINK("mailto:vvalladares@crm.otsuka-europe.com", "vvalladares@crm.otsuka-europe.com")</f>
        <v>vvalladares@crm.otsuka-europe.com</v>
      </c>
      <c r="N3670" s="25">
        <v>46213.509768518517</v>
      </c>
      <c r="O3670" s="14" t="str">
        <f>HYPERLINK("https://otsuka-europe-crm.veevavault.com/ui/#object/email_activity__v/V8C000000047272", "EN-002104624")</f>
        <v>EN-002104624</v>
      </c>
    </row>
    <row r="3671" spans="1:15" ht="16" x14ac:dyDescent="0.2">
      <c r="A3671" s="26"/>
      <c r="B3671" s="26"/>
      <c r="C3671" s="26"/>
      <c r="D3671" s="26"/>
      <c r="E3671" s="26"/>
      <c r="F3671" s="26"/>
      <c r="G3671" s="26"/>
      <c r="H3671" s="26"/>
      <c r="I3671" s="26"/>
      <c r="J3671" s="26"/>
      <c r="K3671" s="26"/>
      <c r="L3671" s="26"/>
      <c r="M3671" s="26"/>
      <c r="N3671" s="26"/>
      <c r="O3671" s="14" t="str">
        <f>HYPERLINK("https://otsuka-europe-crm.veevavault.com/ui/#object/email_activity__v/V8C000000049083", "EN-002105016")</f>
        <v>EN-002105016</v>
      </c>
    </row>
    <row r="3672" spans="1:15" ht="16" x14ac:dyDescent="0.2">
      <c r="A3672" s="26"/>
      <c r="B3672" s="26"/>
      <c r="C3672" s="26"/>
      <c r="D3672" s="26"/>
      <c r="E3672" s="26"/>
      <c r="F3672" s="26"/>
      <c r="G3672" s="26"/>
      <c r="H3672" s="26"/>
      <c r="I3672" s="26"/>
      <c r="J3672" s="26"/>
      <c r="K3672" s="26"/>
      <c r="L3672" s="26"/>
      <c r="M3672" s="26"/>
      <c r="N3672" s="26"/>
      <c r="O3672" s="14" t="str">
        <f>HYPERLINK("https://otsuka-europe-crm.veevavault.com/ui/#object/email_activity__v/V8C000000049084", "EN-002105018")</f>
        <v>EN-002105018</v>
      </c>
    </row>
    <row r="3673" spans="1:15" ht="16" x14ac:dyDescent="0.2">
      <c r="A3673" s="26"/>
      <c r="B3673" s="26"/>
      <c r="C3673" s="26"/>
      <c r="D3673" s="26"/>
      <c r="E3673" s="26"/>
      <c r="F3673" s="26"/>
      <c r="G3673" s="26"/>
      <c r="H3673" s="26"/>
      <c r="I3673" s="26"/>
      <c r="J3673" s="26"/>
      <c r="K3673" s="26"/>
      <c r="L3673" s="26"/>
      <c r="M3673" s="26"/>
      <c r="N3673" s="26"/>
      <c r="O3673" s="14" t="str">
        <f>HYPERLINK("https://otsuka-europe-crm.veevavault.com/ui/#object/email_activity__v/V8C00000004A066", "EN-002105017")</f>
        <v>EN-002105017</v>
      </c>
    </row>
    <row r="3674" spans="1:15" ht="16" x14ac:dyDescent="0.2">
      <c r="A3674" s="26"/>
      <c r="B3674" s="26"/>
      <c r="C3674" s="26"/>
      <c r="D3674" s="26"/>
      <c r="E3674" s="26"/>
      <c r="F3674" s="26"/>
      <c r="G3674" s="26"/>
      <c r="H3674" s="26"/>
      <c r="I3674" s="26"/>
      <c r="J3674" s="26"/>
      <c r="K3674" s="26"/>
      <c r="L3674" s="26"/>
      <c r="M3674" s="26"/>
      <c r="N3674" s="26"/>
      <c r="O3674" s="14" t="str">
        <f>HYPERLINK("https://otsuka-europe-crm.veevavault.com/ui/#object/email_activity__v/V8C00000004A067", "EN-002105019")</f>
        <v>EN-002105019</v>
      </c>
    </row>
    <row r="3675" spans="1:15" ht="16" x14ac:dyDescent="0.2">
      <c r="A3675" s="19"/>
      <c r="B3675" s="19"/>
      <c r="C3675" s="19"/>
      <c r="D3675" s="19"/>
      <c r="E3675" s="19"/>
      <c r="F3675" s="19"/>
      <c r="G3675" s="19"/>
      <c r="H3675" s="19"/>
      <c r="I3675" s="19"/>
      <c r="J3675" s="19"/>
      <c r="K3675" s="19"/>
      <c r="L3675" s="19"/>
      <c r="M3675" s="19"/>
      <c r="N3675" s="19"/>
      <c r="O3675" s="14" t="str">
        <f>HYPERLINK("https://otsuka-europe-crm.veevavault.com/ui/#object/email_activity__v/V8C00000004A288", "EN-002105509")</f>
        <v>EN-002105509</v>
      </c>
    </row>
    <row r="3676" spans="1:15" ht="16" x14ac:dyDescent="0.2">
      <c r="A3676" s="18" t="str">
        <f>HYPERLINK("https://otsuka-europe-crm.veevavault.com/ui/#object/account__v/V4TZ04ASGBC4F3S", "JUAN SALVATIERRA OSSORIO")</f>
        <v>JUAN SALVATIERRA OSSORIO</v>
      </c>
      <c r="B3676" s="18" t="str">
        <f>HYPERLINK("https://otsuka-europe-crm.veevavault.com/ui/#object/vcountry__v/VENZ000004SONF5", "ES")</f>
        <v>ES</v>
      </c>
      <c r="C3676" s="20" t="s">
        <v>39</v>
      </c>
      <c r="D367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76" s="22" t="str">
        <f>HYPERLINK("https://otsuka-europe-crm.veevavault.com/ui/#object/sent_email__v/VBL000000035252", "SE-001443433")</f>
        <v>SE-001443433</v>
      </c>
      <c r="F3676" s="25">
        <v>46216.254120370373</v>
      </c>
      <c r="G3676" s="24">
        <v>1</v>
      </c>
      <c r="H3676" s="24">
        <v>6</v>
      </c>
      <c r="I3676" s="24">
        <v>0</v>
      </c>
      <c r="J3676" s="23"/>
      <c r="K3676" s="24">
        <v>0</v>
      </c>
      <c r="L367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76" s="22" t="str">
        <f>HYPERLINK("mailto:vvalladares@crm.otsuka-europe.com", "vvalladares@crm.otsuka-europe.com")</f>
        <v>vvalladares@crm.otsuka-europe.com</v>
      </c>
      <c r="N3676" s="25">
        <v>46213.510266203702</v>
      </c>
      <c r="O3676" s="14" t="str">
        <f>HYPERLINK("https://otsuka-europe-crm.veevavault.com/ui/#object/email_activity__v/V8C000000047287", "EN-002104646")</f>
        <v>EN-002104646</v>
      </c>
    </row>
    <row r="3677" spans="1:15" ht="16" x14ac:dyDescent="0.2">
      <c r="A3677" s="26"/>
      <c r="B3677" s="26"/>
      <c r="C3677" s="26"/>
      <c r="D3677" s="26"/>
      <c r="E3677" s="26"/>
      <c r="F3677" s="26"/>
      <c r="G3677" s="26"/>
      <c r="H3677" s="26"/>
      <c r="I3677" s="26"/>
      <c r="J3677" s="26"/>
      <c r="K3677" s="26"/>
      <c r="L3677" s="26"/>
      <c r="M3677" s="26"/>
      <c r="N3677" s="26"/>
      <c r="O3677" s="14" t="str">
        <f>HYPERLINK("https://otsuka-europe-crm.veevavault.com/ui/#object/email_activity__v/V8C000000047368", "EN-002104811")</f>
        <v>EN-002104811</v>
      </c>
    </row>
    <row r="3678" spans="1:15" ht="16" x14ac:dyDescent="0.2">
      <c r="A3678" s="26"/>
      <c r="B3678" s="26"/>
      <c r="C3678" s="26"/>
      <c r="D3678" s="26"/>
      <c r="E3678" s="26"/>
      <c r="F3678" s="26"/>
      <c r="G3678" s="26"/>
      <c r="H3678" s="26"/>
      <c r="I3678" s="26"/>
      <c r="J3678" s="26"/>
      <c r="K3678" s="26"/>
      <c r="L3678" s="26"/>
      <c r="M3678" s="26"/>
      <c r="N3678" s="26"/>
      <c r="O3678" s="14" t="str">
        <f>HYPERLINK("https://otsuka-europe-crm.veevavault.com/ui/#object/email_activity__v/V8C000000048280", "EN-002104809")</f>
        <v>EN-002104809</v>
      </c>
    </row>
    <row r="3679" spans="1:15" ht="16" x14ac:dyDescent="0.2">
      <c r="A3679" s="26"/>
      <c r="B3679" s="26"/>
      <c r="C3679" s="26"/>
      <c r="D3679" s="26"/>
      <c r="E3679" s="26"/>
      <c r="F3679" s="26"/>
      <c r="G3679" s="26"/>
      <c r="H3679" s="26"/>
      <c r="I3679" s="26"/>
      <c r="J3679" s="26"/>
      <c r="K3679" s="26"/>
      <c r="L3679" s="26"/>
      <c r="M3679" s="26"/>
      <c r="N3679" s="26"/>
      <c r="O3679" s="14" t="str">
        <f>HYPERLINK("https://otsuka-europe-crm.veevavault.com/ui/#object/email_activity__v/V8C000000048281", "EN-002104810")</f>
        <v>EN-002104810</v>
      </c>
    </row>
    <row r="3680" spans="1:15" ht="16" x14ac:dyDescent="0.2">
      <c r="A3680" s="26"/>
      <c r="B3680" s="26"/>
      <c r="C3680" s="26"/>
      <c r="D3680" s="26"/>
      <c r="E3680" s="26"/>
      <c r="F3680" s="26"/>
      <c r="G3680" s="26"/>
      <c r="H3680" s="26"/>
      <c r="I3680" s="26"/>
      <c r="J3680" s="26"/>
      <c r="K3680" s="26"/>
      <c r="L3680" s="26"/>
      <c r="M3680" s="26"/>
      <c r="N3680" s="26"/>
      <c r="O3680" s="14" t="str">
        <f>HYPERLINK("https://otsuka-europe-crm.veevavault.com/ui/#object/email_activity__v/V8C000000049059", "EN-002104985")</f>
        <v>EN-002104985</v>
      </c>
    </row>
    <row r="3681" spans="1:15" ht="16" x14ac:dyDescent="0.2">
      <c r="A3681" s="26"/>
      <c r="B3681" s="26"/>
      <c r="C3681" s="26"/>
      <c r="D3681" s="26"/>
      <c r="E3681" s="26"/>
      <c r="F3681" s="26"/>
      <c r="G3681" s="26"/>
      <c r="H3681" s="26"/>
      <c r="I3681" s="26"/>
      <c r="J3681" s="26"/>
      <c r="K3681" s="26"/>
      <c r="L3681" s="26"/>
      <c r="M3681" s="26"/>
      <c r="N3681" s="26"/>
      <c r="O3681" s="14" t="str">
        <f>HYPERLINK("https://otsuka-europe-crm.veevavault.com/ui/#object/email_activity__v/V8C000000049088", "EN-002105025")</f>
        <v>EN-002105025</v>
      </c>
    </row>
    <row r="3682" spans="1:15" ht="16" x14ac:dyDescent="0.2">
      <c r="A3682" s="19"/>
      <c r="B3682" s="19"/>
      <c r="C3682" s="19"/>
      <c r="D3682" s="19"/>
      <c r="E3682" s="19"/>
      <c r="F3682" s="19"/>
      <c r="G3682" s="19"/>
      <c r="H3682" s="19"/>
      <c r="I3682" s="19"/>
      <c r="J3682" s="19"/>
      <c r="K3682" s="19"/>
      <c r="L3682" s="19"/>
      <c r="M3682" s="19"/>
      <c r="N3682" s="19"/>
      <c r="O3682" s="14" t="str">
        <f>HYPERLINK("https://otsuka-europe-crm.veevavault.com/ui/#object/email_activity__v/V8C00000004A053", "EN-002104975")</f>
        <v>EN-002104975</v>
      </c>
    </row>
    <row r="3683" spans="1:15" ht="64" x14ac:dyDescent="0.2">
      <c r="A3683" s="7" t="str">
        <f>HYPERLINK("https://otsuka-europe-crm.veevavault.com/ui/#object/account__v/V4TZ04ASG9MFKXW", "ROSA MARIA GARCIA PORTALES")</f>
        <v>ROSA MARIA GARCIA PORTALES</v>
      </c>
      <c r="B3683" s="7" t="str">
        <f>HYPERLINK("https://otsuka-europe-crm.veevavault.com/ui/#object/vcountry__v/VENZ000004SONF5", "ES")</f>
        <v>ES</v>
      </c>
      <c r="C3683" s="8" t="s">
        <v>39</v>
      </c>
      <c r="D368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83" s="10" t="str">
        <f>HYPERLINK("https://otsuka-europe-crm.veevavault.com/ui/#object/sent_email__v/VBL000000035253", "SE-001443434")</f>
        <v>SE-001443434</v>
      </c>
      <c r="F3683" s="11"/>
      <c r="G3683" s="12">
        <v>0</v>
      </c>
      <c r="H3683" s="12">
        <v>0</v>
      </c>
      <c r="I3683" s="12">
        <v>0</v>
      </c>
      <c r="J3683" s="11"/>
      <c r="K3683" s="12">
        <v>0</v>
      </c>
      <c r="L368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83" s="10" t="str">
        <f>HYPERLINK("mailto:vvalladares@crm.otsuka-europe.com", "vvalladares@crm.otsuka-europe.com")</f>
        <v>vvalladares@crm.otsuka-europe.com</v>
      </c>
      <c r="N3683" s="13">
        <v>46213.510266203702</v>
      </c>
      <c r="O3683" s="14" t="str">
        <f>HYPERLINK("https://otsuka-europe-crm.veevavault.com/ui/#object/email_activity__v/V8C000000048197", "EN-002104645")</f>
        <v>EN-002104645</v>
      </c>
    </row>
    <row r="3684" spans="1:15" ht="64" x14ac:dyDescent="0.2">
      <c r="A3684" s="7" t="str">
        <f>HYPERLINK("https://otsuka-europe-crm.veevavault.com/ui/#object/account__v/V4TZ04ASG9BBOZH", "MARTA HERNANDEZ DIAZ")</f>
        <v>MARTA HERNANDEZ DIAZ</v>
      </c>
      <c r="B3684" s="7" t="str">
        <f>HYPERLINK("https://otsuka-europe-crm.veevavault.com/ui/#object/vcountry__v/VENZ000004SONF5", "ES")</f>
        <v>ES</v>
      </c>
      <c r="C3684" s="8" t="s">
        <v>39</v>
      </c>
      <c r="D368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84" s="10" t="str">
        <f>HYPERLINK("https://otsuka-europe-crm.veevavault.com/ui/#object/sent_email__v/VBL000000035254", "SE-001443435")</f>
        <v>SE-001443435</v>
      </c>
      <c r="F3684" s="11"/>
      <c r="G3684" s="12">
        <v>0</v>
      </c>
      <c r="H3684" s="12">
        <v>0</v>
      </c>
      <c r="I3684" s="12">
        <v>0</v>
      </c>
      <c r="J3684" s="11"/>
      <c r="K3684" s="12">
        <v>0</v>
      </c>
      <c r="L368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84" s="10" t="str">
        <f>HYPERLINK("mailto:vvalladares@crm.otsuka-europe.com", "vvalladares@crm.otsuka-europe.com")</f>
        <v>vvalladares@crm.otsuka-europe.com</v>
      </c>
      <c r="N3684" s="13">
        <v>46213.510266203702</v>
      </c>
      <c r="O3684" s="14" t="str">
        <f>HYPERLINK("https://otsuka-europe-crm.veevavault.com/ui/#object/email_activity__v/V8C000000047279", "EN-002104631")</f>
        <v>EN-002104631</v>
      </c>
    </row>
    <row r="3685" spans="1:15" ht="16" x14ac:dyDescent="0.2">
      <c r="A3685" s="18" t="str">
        <f>HYPERLINK("https://otsuka-europe-crm.veevavault.com/ui/#object/account__v/V4TZ04ASG8VDPCW", "FRANCISCO JESUS RUBIÑO JUAREZ")</f>
        <v>FRANCISCO JESUS RUBIÑO JUAREZ</v>
      </c>
      <c r="B3685" s="18" t="str">
        <f>HYPERLINK("https://otsuka-europe-crm.veevavault.com/ui/#object/vcountry__v/VENZ000004SONF5", "ES")</f>
        <v>ES</v>
      </c>
      <c r="C3685" s="20" t="s">
        <v>39</v>
      </c>
      <c r="D368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85" s="22" t="str">
        <f>HYPERLINK("https://otsuka-europe-crm.veevavault.com/ui/#object/sent_email__v/VBL000000035255", "SE-001443436")</f>
        <v>SE-001443436</v>
      </c>
      <c r="F3685" s="25">
        <v>46213.577361111114</v>
      </c>
      <c r="G3685" s="24">
        <v>1</v>
      </c>
      <c r="H3685" s="24">
        <v>2</v>
      </c>
      <c r="I3685" s="24">
        <v>0</v>
      </c>
      <c r="J3685" s="23"/>
      <c r="K3685" s="24">
        <v>0</v>
      </c>
      <c r="L368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85" s="22" t="str">
        <f>HYPERLINK("mailto:vvalladares@crm.otsuka-europe.com", "vvalladares@crm.otsuka-europe.com")</f>
        <v>vvalladares@crm.otsuka-europe.com</v>
      </c>
      <c r="N3685" s="25">
        <v>46213.510312500002</v>
      </c>
      <c r="O3685" s="14" t="str">
        <f>HYPERLINK("https://otsuka-europe-crm.veevavault.com/ui/#object/email_activity__v/V8C000000047305", "EN-002104669")</f>
        <v>EN-002104669</v>
      </c>
    </row>
    <row r="3686" spans="1:15" ht="16" x14ac:dyDescent="0.2">
      <c r="A3686" s="26"/>
      <c r="B3686" s="26"/>
      <c r="C3686" s="26"/>
      <c r="D3686" s="26"/>
      <c r="E3686" s="26"/>
      <c r="F3686" s="26"/>
      <c r="G3686" s="26"/>
      <c r="H3686" s="26"/>
      <c r="I3686" s="26"/>
      <c r="J3686" s="26"/>
      <c r="K3686" s="26"/>
      <c r="L3686" s="26"/>
      <c r="M3686" s="26"/>
      <c r="N3686" s="26"/>
      <c r="O3686" s="14" t="str">
        <f>HYPERLINK("https://otsuka-europe-crm.veevavault.com/ui/#object/email_activity__v/V8C000000047344", "EN-002104759")</f>
        <v>EN-002104759</v>
      </c>
    </row>
    <row r="3687" spans="1:15" ht="16" x14ac:dyDescent="0.2">
      <c r="A3687" s="26"/>
      <c r="B3687" s="26"/>
      <c r="C3687" s="26"/>
      <c r="D3687" s="26"/>
      <c r="E3687" s="26"/>
      <c r="F3687" s="26"/>
      <c r="G3687" s="26"/>
      <c r="H3687" s="26"/>
      <c r="I3687" s="26"/>
      <c r="J3687" s="26"/>
      <c r="K3687" s="26"/>
      <c r="L3687" s="26"/>
      <c r="M3687" s="26"/>
      <c r="N3687" s="26"/>
      <c r="O3687" s="14" t="str">
        <f>HYPERLINK("https://otsuka-europe-crm.veevavault.com/ui/#object/email_activity__v/V8C000000048201", "EN-002104662")</f>
        <v>EN-002104662</v>
      </c>
    </row>
    <row r="3688" spans="1:15" ht="16" x14ac:dyDescent="0.2">
      <c r="A3688" s="19"/>
      <c r="B3688" s="19"/>
      <c r="C3688" s="19"/>
      <c r="D3688" s="19"/>
      <c r="E3688" s="19"/>
      <c r="F3688" s="19"/>
      <c r="G3688" s="19"/>
      <c r="H3688" s="19"/>
      <c r="I3688" s="19"/>
      <c r="J3688" s="19"/>
      <c r="K3688" s="19"/>
      <c r="L3688" s="19"/>
      <c r="M3688" s="19"/>
      <c r="N3688" s="19"/>
      <c r="O3688" s="14" t="str">
        <f>HYPERLINK("https://otsuka-europe-crm.veevavault.com/ui/#object/email_activity__v/V8C00000004A006", "EN-002104880")</f>
        <v>EN-002104880</v>
      </c>
    </row>
    <row r="3689" spans="1:15" ht="16" x14ac:dyDescent="0.2">
      <c r="A3689" s="18" t="str">
        <f>HYPERLINK("https://otsuka-europe-crm.veevavault.com/ui/#object/account__v/V4TZ04ASGABWAM3", "LORENA PEREZ ALBALADEJO")</f>
        <v>LORENA PEREZ ALBALADEJO</v>
      </c>
      <c r="B3689" s="18" t="str">
        <f>HYPERLINK("https://otsuka-europe-crm.veevavault.com/ui/#object/vcountry__v/VENZ000004SONF5", "ES")</f>
        <v>ES</v>
      </c>
      <c r="C3689" s="20" t="s">
        <v>39</v>
      </c>
      <c r="D368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89" s="22" t="str">
        <f>HYPERLINK("https://otsuka-europe-crm.veevavault.com/ui/#object/sent_email__v/VBL000000035256", "SE-001443437")</f>
        <v>SE-001443437</v>
      </c>
      <c r="F3689" s="23"/>
      <c r="G3689" s="24">
        <v>0</v>
      </c>
      <c r="H3689" s="24">
        <v>0</v>
      </c>
      <c r="I3689" s="24">
        <v>0</v>
      </c>
      <c r="J3689" s="23"/>
      <c r="K3689" s="24">
        <v>0</v>
      </c>
      <c r="L368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89" s="22" t="str">
        <f>HYPERLINK("mailto:vvalladares@crm.otsuka-europe.com", "vvalladares@crm.otsuka-europe.com")</f>
        <v>vvalladares@crm.otsuka-europe.com</v>
      </c>
      <c r="N3689" s="25">
        <v>46213.510312500002</v>
      </c>
      <c r="O3689" s="14" t="str">
        <f>HYPERLINK("https://otsuka-europe-crm.veevavault.com/ui/#object/email_activity__v/V8C000000048202", "EN-002104663")</f>
        <v>EN-002104663</v>
      </c>
    </row>
    <row r="3690" spans="1:15" ht="16" x14ac:dyDescent="0.2">
      <c r="A3690" s="19"/>
      <c r="B3690" s="19"/>
      <c r="C3690" s="19"/>
      <c r="D3690" s="19"/>
      <c r="E3690" s="19"/>
      <c r="F3690" s="19"/>
      <c r="G3690" s="19"/>
      <c r="H3690" s="19"/>
      <c r="I3690" s="19"/>
      <c r="J3690" s="19"/>
      <c r="K3690" s="19"/>
      <c r="L3690" s="19"/>
      <c r="M3690" s="19"/>
      <c r="N3690" s="19"/>
      <c r="O3690" s="14" t="str">
        <f>HYPERLINK("https://otsuka-europe-crm.veevavault.com/ui/#object/email_activity__v/V8C000000049010", "EN-002104886")</f>
        <v>EN-002104886</v>
      </c>
    </row>
    <row r="3691" spans="1:15" ht="16" x14ac:dyDescent="0.2">
      <c r="A3691" s="18" t="str">
        <f>HYPERLINK("https://otsuka-europe-crm.veevavault.com/ui/#object/account__v/V4TZ04ASG9HFBC5", "BEATRIZ GONZALEZ ALVAREZ")</f>
        <v>BEATRIZ GONZALEZ ALVAREZ</v>
      </c>
      <c r="B3691" s="18" t="str">
        <f>HYPERLINK("https://otsuka-europe-crm.veevavault.com/ui/#object/vcountry__v/VENZ000004SONF5", "ES")</f>
        <v>ES</v>
      </c>
      <c r="C3691" s="20" t="s">
        <v>39</v>
      </c>
      <c r="D369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91" s="22" t="str">
        <f>HYPERLINK("https://otsuka-europe-crm.veevavault.com/ui/#object/sent_email__v/VBL000000035257", "SE-001443438")</f>
        <v>SE-001443438</v>
      </c>
      <c r="F3691" s="25">
        <v>46213.510381944441</v>
      </c>
      <c r="G3691" s="24">
        <v>1</v>
      </c>
      <c r="H3691" s="24">
        <v>1</v>
      </c>
      <c r="I3691" s="24">
        <v>0</v>
      </c>
      <c r="J3691" s="23"/>
      <c r="K3691" s="24">
        <v>0</v>
      </c>
      <c r="L369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91" s="22" t="str">
        <f>HYPERLINK("mailto:vvalladares@crm.otsuka-europe.com", "vvalladares@crm.otsuka-europe.com")</f>
        <v>vvalladares@crm.otsuka-europe.com</v>
      </c>
      <c r="N3691" s="25">
        <v>46213.510266203702</v>
      </c>
      <c r="O3691" s="14" t="str">
        <f>HYPERLINK("https://otsuka-europe-crm.veevavault.com/ui/#object/email_activity__v/V8C000000047299", "EN-002104659")</f>
        <v>EN-002104659</v>
      </c>
    </row>
    <row r="3692" spans="1:15" ht="16" x14ac:dyDescent="0.2">
      <c r="A3692" s="19"/>
      <c r="B3692" s="19"/>
      <c r="C3692" s="19"/>
      <c r="D3692" s="19"/>
      <c r="E3692" s="19"/>
      <c r="F3692" s="19"/>
      <c r="G3692" s="19"/>
      <c r="H3692" s="19"/>
      <c r="I3692" s="19"/>
      <c r="J3692" s="19"/>
      <c r="K3692" s="19"/>
      <c r="L3692" s="19"/>
      <c r="M3692" s="19"/>
      <c r="N3692" s="19"/>
      <c r="O3692" s="14" t="str">
        <f>HYPERLINK("https://otsuka-europe-crm.veevavault.com/ui/#object/email_activity__v/V8C000000048194", "EN-002104642")</f>
        <v>EN-002104642</v>
      </c>
    </row>
    <row r="3693" spans="1:15" ht="16" x14ac:dyDescent="0.2">
      <c r="A3693" s="18" t="str">
        <f>HYPERLINK("https://otsuka-europe-crm.veevavault.com/ui/#object/account__v/V4TZ06G6OBIL31R", "IRENE ALTABAS GONZALEZ")</f>
        <v>IRENE ALTABAS GONZALEZ</v>
      </c>
      <c r="B3693" s="18" t="str">
        <f>HYPERLINK("https://otsuka-europe-crm.veevavault.com/ui/#object/vcountry__v/VENZ000004SONF5", "ES")</f>
        <v>ES</v>
      </c>
      <c r="C3693" s="20" t="s">
        <v>39</v>
      </c>
      <c r="D369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93" s="22" t="str">
        <f>HYPERLINK("https://otsuka-europe-crm.veevavault.com/ui/#object/sent_email__v/VBL000000035258", "SE-001443439")</f>
        <v>SE-001443439</v>
      </c>
      <c r="F3693" s="23"/>
      <c r="G3693" s="24">
        <v>0</v>
      </c>
      <c r="H3693" s="24">
        <v>0</v>
      </c>
      <c r="I3693" s="24">
        <v>0</v>
      </c>
      <c r="J3693" s="23"/>
      <c r="K3693" s="24">
        <v>0</v>
      </c>
      <c r="L369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93" s="22" t="str">
        <f>HYPERLINK("mailto:vvalladares@crm.otsuka-europe.com", "vvalladares@crm.otsuka-europe.com")</f>
        <v>vvalladares@crm.otsuka-europe.com</v>
      </c>
      <c r="N3693" s="25">
        <v>46213.510266203702</v>
      </c>
      <c r="O3693" s="14" t="str">
        <f>HYPERLINK("https://otsuka-europe-crm.veevavault.com/ui/#object/email_activity__v/V8C000000047283", "EN-002104635")</f>
        <v>EN-002104635</v>
      </c>
    </row>
    <row r="3694" spans="1:15" ht="16" x14ac:dyDescent="0.2">
      <c r="A3694" s="19"/>
      <c r="B3694" s="19"/>
      <c r="C3694" s="19"/>
      <c r="D3694" s="19"/>
      <c r="E3694" s="19"/>
      <c r="F3694" s="19"/>
      <c r="G3694" s="19"/>
      <c r="H3694" s="19"/>
      <c r="I3694" s="19"/>
      <c r="J3694" s="19"/>
      <c r="K3694" s="19"/>
      <c r="L3694" s="19"/>
      <c r="M3694" s="19"/>
      <c r="N3694" s="19"/>
      <c r="O3694" s="14" t="str">
        <f>HYPERLINK("https://otsuka-europe-crm.veevavault.com/ui/#object/email_activity__v/V8C000000047322", "EN-002104697")</f>
        <v>EN-002104697</v>
      </c>
    </row>
    <row r="3695" spans="1:15" ht="64" x14ac:dyDescent="0.2">
      <c r="A3695" s="7" t="str">
        <f>HYPERLINK("https://otsuka-europe-crm.veevavault.com/ui/#object/account__v/V4TZ04ASG9MFKXV", "MARIA CARMEN ORDOÑEZ CAÑIZARES")</f>
        <v>MARIA CARMEN ORDOÑEZ CAÑIZARES</v>
      </c>
      <c r="B3695" s="7" t="str">
        <f>HYPERLINK("https://otsuka-europe-crm.veevavault.com/ui/#object/vcountry__v/VENZ000004SONF5", "ES")</f>
        <v>ES</v>
      </c>
      <c r="C3695" s="8" t="s">
        <v>39</v>
      </c>
      <c r="D369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95" s="10" t="str">
        <f>HYPERLINK("https://otsuka-europe-crm.veevavault.com/ui/#object/sent_email__v/VBL000000035259", "SE-001443440")</f>
        <v>SE-001443440</v>
      </c>
      <c r="F3695" s="11"/>
      <c r="G3695" s="12">
        <v>0</v>
      </c>
      <c r="H3695" s="12">
        <v>0</v>
      </c>
      <c r="I3695" s="12">
        <v>0</v>
      </c>
      <c r="J3695" s="11"/>
      <c r="K3695" s="12">
        <v>0</v>
      </c>
      <c r="L369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95" s="10" t="str">
        <f>HYPERLINK("mailto:vvalladares@crm.otsuka-europe.com", "vvalladares@crm.otsuka-europe.com")</f>
        <v>vvalladares@crm.otsuka-europe.com</v>
      </c>
      <c r="N3695" s="13">
        <v>46213.510266203702</v>
      </c>
      <c r="O3695" s="14" t="str">
        <f>HYPERLINK("https://otsuka-europe-crm.veevavault.com/ui/#object/email_activity__v/V8C000000047294", "EN-002104653")</f>
        <v>EN-002104653</v>
      </c>
    </row>
    <row r="3696" spans="1:15" ht="64" x14ac:dyDescent="0.2">
      <c r="A3696" s="7" t="str">
        <f>HYPERLINK("https://otsuka-europe-crm.veevavault.com/ui/#object/account__v/V4TZ04ASGBJKSQ2", "NURIA BARROSO GARCIA")</f>
        <v>NURIA BARROSO GARCIA</v>
      </c>
      <c r="B3696" s="7" t="str">
        <f>HYPERLINK("https://otsuka-europe-crm.veevavault.com/ui/#object/vcountry__v/VENZ000004SONF5", "ES")</f>
        <v>ES</v>
      </c>
      <c r="C3696" s="8" t="s">
        <v>39</v>
      </c>
      <c r="D369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96" s="10" t="str">
        <f>HYPERLINK("https://otsuka-europe-crm.veevavault.com/ui/#object/sent_email__v/VBL000000035260", "SE-001443441")</f>
        <v>SE-001443441</v>
      </c>
      <c r="F3696" s="11"/>
      <c r="G3696" s="12">
        <v>0</v>
      </c>
      <c r="H3696" s="12">
        <v>0</v>
      </c>
      <c r="I3696" s="12">
        <v>0</v>
      </c>
      <c r="J3696" s="11"/>
      <c r="K3696" s="12">
        <v>0</v>
      </c>
      <c r="L369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96" s="10" t="str">
        <f>HYPERLINK("mailto:vvalladares@crm.otsuka-europe.com", "vvalladares@crm.otsuka-europe.com")</f>
        <v>vvalladares@crm.otsuka-europe.com</v>
      </c>
      <c r="N3696" s="13">
        <v>46213.510312500002</v>
      </c>
      <c r="O3696" s="14" t="str">
        <f>HYPERLINK("https://otsuka-europe-crm.veevavault.com/ui/#object/email_activity__v/V8C000000047293", "EN-002104652")</f>
        <v>EN-002104652</v>
      </c>
    </row>
    <row r="3697" spans="1:15" ht="16" x14ac:dyDescent="0.2">
      <c r="A3697" s="18" t="str">
        <f>HYPERLINK("https://otsuka-europe-crm.veevavault.com/ui/#object/account__v/V4TZ06G6O9VKN7I", "ANTONIO FERNANDEZ NEBRO")</f>
        <v>ANTONIO FERNANDEZ NEBRO</v>
      </c>
      <c r="B3697" s="18" t="str">
        <f>HYPERLINK("https://otsuka-europe-crm.veevavault.com/ui/#object/vcountry__v/VENZ000004SONF5", "ES")</f>
        <v>ES</v>
      </c>
      <c r="C3697" s="20" t="s">
        <v>39</v>
      </c>
      <c r="D369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97" s="22" t="str">
        <f>HYPERLINK("https://otsuka-europe-crm.veevavault.com/ui/#object/sent_email__v/VBL000000035261", "SE-001443442")</f>
        <v>SE-001443442</v>
      </c>
      <c r="F3697" s="25">
        <v>46213.546875</v>
      </c>
      <c r="G3697" s="24">
        <v>1</v>
      </c>
      <c r="H3697" s="24">
        <v>1</v>
      </c>
      <c r="I3697" s="24">
        <v>0</v>
      </c>
      <c r="J3697" s="23"/>
      <c r="K3697" s="24">
        <v>0</v>
      </c>
      <c r="L369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97" s="22" t="str">
        <f>HYPERLINK("mailto:vvalladares@crm.otsuka-europe.com", "vvalladares@crm.otsuka-europe.com")</f>
        <v>vvalladares@crm.otsuka-europe.com</v>
      </c>
      <c r="N3697" s="25">
        <v>46213.510312500002</v>
      </c>
      <c r="O3697" s="14" t="str">
        <f>HYPERLINK("https://otsuka-europe-crm.veevavault.com/ui/#object/email_activity__v/V8C000000047302", "EN-002104666")</f>
        <v>EN-002104666</v>
      </c>
    </row>
    <row r="3698" spans="1:15" ht="16" x14ac:dyDescent="0.2">
      <c r="A3698" s="19"/>
      <c r="B3698" s="19"/>
      <c r="C3698" s="19"/>
      <c r="D3698" s="19"/>
      <c r="E3698" s="19"/>
      <c r="F3698" s="19"/>
      <c r="G3698" s="19"/>
      <c r="H3698" s="19"/>
      <c r="I3698" s="19"/>
      <c r="J3698" s="19"/>
      <c r="K3698" s="19"/>
      <c r="L3698" s="19"/>
      <c r="M3698" s="19"/>
      <c r="N3698" s="19"/>
      <c r="O3698" s="14" t="str">
        <f>HYPERLINK("https://otsuka-europe-crm.veevavault.com/ui/#object/email_activity__v/V8C000000047332", "EN-002104733")</f>
        <v>EN-002104733</v>
      </c>
    </row>
    <row r="3699" spans="1:15" ht="16" x14ac:dyDescent="0.2">
      <c r="A3699" s="18" t="str">
        <f>HYPERLINK("https://otsuka-europe-crm.veevavault.com/ui/#object/account__v/V4TZ04ASG9RELLS", "MARIA VICTORIA IRIGOYEN OYARZABAL")</f>
        <v>MARIA VICTORIA IRIGOYEN OYARZABAL</v>
      </c>
      <c r="B3699" s="18" t="str">
        <f>HYPERLINK("https://otsuka-europe-crm.veevavault.com/ui/#object/vcountry__v/VENZ000004SONF5", "ES")</f>
        <v>ES</v>
      </c>
      <c r="C3699" s="20" t="s">
        <v>39</v>
      </c>
      <c r="D369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699" s="22" t="str">
        <f>HYPERLINK("https://otsuka-europe-crm.veevavault.com/ui/#object/sent_email__v/VBL000000035262", "SE-001443443")</f>
        <v>SE-001443443</v>
      </c>
      <c r="F3699" s="25">
        <v>46214.954293981478</v>
      </c>
      <c r="G3699" s="24">
        <v>1</v>
      </c>
      <c r="H3699" s="24">
        <v>2</v>
      </c>
      <c r="I3699" s="24">
        <v>0</v>
      </c>
      <c r="J3699" s="23"/>
      <c r="K3699" s="24">
        <v>0</v>
      </c>
      <c r="L369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699" s="22" t="str">
        <f>HYPERLINK("mailto:vvalladares@crm.otsuka-europe.com", "vvalladares@crm.otsuka-europe.com")</f>
        <v>vvalladares@crm.otsuka-europe.com</v>
      </c>
      <c r="N3699" s="25">
        <v>46213.510312500002</v>
      </c>
      <c r="O3699" s="14" t="str">
        <f>HYPERLINK("https://otsuka-europe-crm.veevavault.com/ui/#object/email_activity__v/V8C000000047286", "EN-002104638")</f>
        <v>EN-002104638</v>
      </c>
    </row>
    <row r="3700" spans="1:15" ht="16" x14ac:dyDescent="0.2">
      <c r="A3700" s="26"/>
      <c r="B3700" s="26"/>
      <c r="C3700" s="26"/>
      <c r="D3700" s="26"/>
      <c r="E3700" s="26"/>
      <c r="F3700" s="26"/>
      <c r="G3700" s="26"/>
      <c r="H3700" s="26"/>
      <c r="I3700" s="26"/>
      <c r="J3700" s="26"/>
      <c r="K3700" s="26"/>
      <c r="L3700" s="26"/>
      <c r="M3700" s="26"/>
      <c r="N3700" s="26"/>
      <c r="O3700" s="14" t="str">
        <f>HYPERLINK("https://otsuka-europe-crm.veevavault.com/ui/#object/email_activity__v/V8C000000047307", "EN-002104673")</f>
        <v>EN-002104673</v>
      </c>
    </row>
    <row r="3701" spans="1:15" ht="16" x14ac:dyDescent="0.2">
      <c r="A3701" s="19"/>
      <c r="B3701" s="19"/>
      <c r="C3701" s="19"/>
      <c r="D3701" s="19"/>
      <c r="E3701" s="19"/>
      <c r="F3701" s="19"/>
      <c r="G3701" s="19"/>
      <c r="H3701" s="19"/>
      <c r="I3701" s="19"/>
      <c r="J3701" s="19"/>
      <c r="K3701" s="19"/>
      <c r="L3701" s="19"/>
      <c r="M3701" s="19"/>
      <c r="N3701" s="19"/>
      <c r="O3701" s="14" t="str">
        <f>HYPERLINK("https://otsuka-europe-crm.veevavault.com/ui/#object/email_activity__v/V8C00000004A032", "EN-002104933")</f>
        <v>EN-002104933</v>
      </c>
    </row>
    <row r="3702" spans="1:15" ht="64" x14ac:dyDescent="0.2">
      <c r="A3702" s="7" t="str">
        <f>HYPERLINK("https://otsuka-europe-crm.veevavault.com/ui/#object/account__v/V4TZ04ASG9REL8S", "NATALIA MENA VAZQUEZ")</f>
        <v>NATALIA MENA VAZQUEZ</v>
      </c>
      <c r="B3702" s="7" t="str">
        <f>HYPERLINK("https://otsuka-europe-crm.veevavault.com/ui/#object/vcountry__v/VENZ000004SONF5", "ES")</f>
        <v>ES</v>
      </c>
      <c r="C3702" s="8" t="s">
        <v>39</v>
      </c>
      <c r="D370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02" s="10" t="str">
        <f>HYPERLINK("https://otsuka-europe-crm.veevavault.com/ui/#object/sent_email__v/VBL000000035263", "SE-001443444")</f>
        <v>SE-001443444</v>
      </c>
      <c r="F3702" s="11"/>
      <c r="G3702" s="12">
        <v>0</v>
      </c>
      <c r="H3702" s="12">
        <v>0</v>
      </c>
      <c r="I3702" s="12">
        <v>0</v>
      </c>
      <c r="J3702" s="11"/>
      <c r="K3702" s="12">
        <v>0</v>
      </c>
      <c r="L370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02" s="10" t="str">
        <f>HYPERLINK("mailto:vvalladares@crm.otsuka-europe.com", "vvalladares@crm.otsuka-europe.com")</f>
        <v>vvalladares@crm.otsuka-europe.com</v>
      </c>
      <c r="N3702" s="13">
        <v>46213.510312500002</v>
      </c>
      <c r="O3702" s="14" t="str">
        <f>HYPERLINK("https://otsuka-europe-crm.veevavault.com/ui/#object/email_activity__v/V8C000000047295", "EN-002104654")</f>
        <v>EN-002104654</v>
      </c>
    </row>
    <row r="3703" spans="1:15" ht="64" x14ac:dyDescent="0.2">
      <c r="A3703" s="7" t="str">
        <f>HYPERLINK("https://otsuka-europe-crm.veevavault.com/ui/#object/account__v/V4TZ04ASG9MR4YR", "LUIS SARABIA DE ARDANAZ")</f>
        <v>LUIS SARABIA DE ARDANAZ</v>
      </c>
      <c r="B3703" s="7" t="str">
        <f>HYPERLINK("https://otsuka-europe-crm.veevavault.com/ui/#object/vcountry__v/VENZ000004SONF5", "ES")</f>
        <v>ES</v>
      </c>
      <c r="C3703" s="8" t="s">
        <v>39</v>
      </c>
      <c r="D370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03" s="10" t="str">
        <f>HYPERLINK("https://otsuka-europe-crm.veevavault.com/ui/#object/sent_email__v/VBL000000035264", "SE-001443445")</f>
        <v>SE-001443445</v>
      </c>
      <c r="F3703" s="11"/>
      <c r="G3703" s="12">
        <v>0</v>
      </c>
      <c r="H3703" s="12">
        <v>0</v>
      </c>
      <c r="I3703" s="12">
        <v>0</v>
      </c>
      <c r="J3703" s="11"/>
      <c r="K3703" s="12">
        <v>0</v>
      </c>
      <c r="L370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03" s="10" t="str">
        <f>HYPERLINK("mailto:vvalladares@crm.otsuka-europe.com", "vvalladares@crm.otsuka-europe.com")</f>
        <v>vvalladares@crm.otsuka-europe.com</v>
      </c>
      <c r="N3703" s="13">
        <v>46213.510312500002</v>
      </c>
      <c r="O3703" s="14" t="str">
        <f>HYPERLINK("https://otsuka-europe-crm.veevavault.com/ui/#object/email_activity__v/V8C000000047292", "EN-002104651")</f>
        <v>EN-002104651</v>
      </c>
    </row>
    <row r="3704" spans="1:15" ht="16" x14ac:dyDescent="0.2">
      <c r="A3704" s="18" t="str">
        <f>HYPERLINK("https://otsuka-europe-crm.veevavault.com/ui/#object/account__v/V4TZ04ASG9ZSH2X", "ALBA PEREZ LINAZA")</f>
        <v>ALBA PEREZ LINAZA</v>
      </c>
      <c r="B3704" s="18" t="str">
        <f>HYPERLINK("https://otsuka-europe-crm.veevavault.com/ui/#object/vcountry__v/VENZ000004SONF5", "ES")</f>
        <v>ES</v>
      </c>
      <c r="C3704" s="20" t="s">
        <v>39</v>
      </c>
      <c r="D370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04" s="22" t="str">
        <f>HYPERLINK("https://otsuka-europe-crm.veevavault.com/ui/#object/sent_email__v/VBL000000035265", "SE-001443446")</f>
        <v>SE-001443446</v>
      </c>
      <c r="F3704" s="23"/>
      <c r="G3704" s="24">
        <v>0</v>
      </c>
      <c r="H3704" s="24">
        <v>0</v>
      </c>
      <c r="I3704" s="24">
        <v>0</v>
      </c>
      <c r="J3704" s="23"/>
      <c r="K3704" s="24">
        <v>0</v>
      </c>
      <c r="L370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04" s="22" t="str">
        <f>HYPERLINK("mailto:vvalladares@crm.otsuka-europe.com", "vvalladares@crm.otsuka-europe.com")</f>
        <v>vvalladares@crm.otsuka-europe.com</v>
      </c>
      <c r="N3704" s="25">
        <v>46213.510312500002</v>
      </c>
      <c r="O3704" s="14" t="str">
        <f>HYPERLINK("https://otsuka-europe-crm.veevavault.com/ui/#object/email_activity__v/V8C000000047291", "EN-002104650")</f>
        <v>EN-002104650</v>
      </c>
    </row>
    <row r="3705" spans="1:15" ht="16" x14ac:dyDescent="0.2">
      <c r="A3705" s="19"/>
      <c r="B3705" s="19"/>
      <c r="C3705" s="19"/>
      <c r="D3705" s="19"/>
      <c r="E3705" s="19"/>
      <c r="F3705" s="19"/>
      <c r="G3705" s="19"/>
      <c r="H3705" s="19"/>
      <c r="I3705" s="19"/>
      <c r="J3705" s="19"/>
      <c r="K3705" s="19"/>
      <c r="L3705" s="19"/>
      <c r="M3705" s="19"/>
      <c r="N3705" s="19"/>
      <c r="O3705" s="14" t="str">
        <f>HYPERLINK("https://otsuka-europe-crm.veevavault.com/ui/#object/email_activity__v/V8C00000004A042", "EN-002104953")</f>
        <v>EN-002104953</v>
      </c>
    </row>
    <row r="3706" spans="1:15" ht="64" x14ac:dyDescent="0.2">
      <c r="A3706" s="7" t="str">
        <f>HYPERLINK("https://otsuka-europe-crm.veevavault.com/ui/#object/account__v/V4TZ025E86T000Y", "MIRIAM NAVIDAD FUENTES")</f>
        <v>MIRIAM NAVIDAD FUENTES</v>
      </c>
      <c r="B3706" s="7" t="str">
        <f>HYPERLINK("https://otsuka-europe-crm.veevavault.com/ui/#object/vcountry__v/VENZ000004SONF5", "ES")</f>
        <v>ES</v>
      </c>
      <c r="C3706" s="8" t="s">
        <v>39</v>
      </c>
      <c r="D370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06" s="10" t="str">
        <f>HYPERLINK("https://otsuka-europe-crm.veevavault.com/ui/#object/sent_email__v/VBL000000035266", "SE-001443447")</f>
        <v>SE-001443447</v>
      </c>
      <c r="F3706" s="11"/>
      <c r="G3706" s="12">
        <v>0</v>
      </c>
      <c r="H3706" s="12">
        <v>0</v>
      </c>
      <c r="I3706" s="12">
        <v>0</v>
      </c>
      <c r="J3706" s="11"/>
      <c r="K3706" s="12">
        <v>0</v>
      </c>
      <c r="L370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06" s="10" t="str">
        <f>HYPERLINK("mailto:vvalladares@crm.otsuka-europe.com", "vvalladares@crm.otsuka-europe.com")</f>
        <v>vvalladares@crm.otsuka-europe.com</v>
      </c>
      <c r="N3706" s="13">
        <v>46213.510231481479</v>
      </c>
      <c r="O3706" s="14" t="str">
        <f>HYPERLINK("https://otsuka-europe-crm.veevavault.com/ui/#object/email_activity__v/V8C000000048198", "EN-002104656")</f>
        <v>EN-002104656</v>
      </c>
    </row>
    <row r="3707" spans="1:15" ht="16" x14ac:dyDescent="0.2">
      <c r="A3707" s="18" t="str">
        <f>HYPERLINK("https://otsuka-europe-crm.veevavault.com/ui/#object/account__v/V4TZ04ASG9AXIA8", "PAOLA COROMOTO LEON SUAREZ")</f>
        <v>PAOLA COROMOTO LEON SUAREZ</v>
      </c>
      <c r="B3707" s="18" t="str">
        <f>HYPERLINK("https://otsuka-europe-crm.veevavault.com/ui/#object/vcountry__v/VENZ000004SONF5", "ES")</f>
        <v>ES</v>
      </c>
      <c r="C3707" s="20" t="s">
        <v>39</v>
      </c>
      <c r="D370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07" s="22" t="str">
        <f>HYPERLINK("https://otsuka-europe-crm.veevavault.com/ui/#object/sent_email__v/VBL000000035267", "SE-001443448")</f>
        <v>SE-001443448</v>
      </c>
      <c r="F3707" s="23"/>
      <c r="G3707" s="24">
        <v>0</v>
      </c>
      <c r="H3707" s="24">
        <v>0</v>
      </c>
      <c r="I3707" s="24">
        <v>0</v>
      </c>
      <c r="J3707" s="23"/>
      <c r="K3707" s="24">
        <v>0</v>
      </c>
      <c r="L370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07" s="22" t="str">
        <f>HYPERLINK("mailto:vvalladares@crm.otsuka-europe.com", "vvalladares@crm.otsuka-europe.com")</f>
        <v>vvalladares@crm.otsuka-europe.com</v>
      </c>
      <c r="N3707" s="25">
        <v>46213.510231481479</v>
      </c>
      <c r="O3707" s="14" t="str">
        <f>HYPERLINK("https://otsuka-europe-crm.veevavault.com/ui/#object/email_activity__v/V8C000000047280", "EN-002104632")</f>
        <v>EN-002104632</v>
      </c>
    </row>
    <row r="3708" spans="1:15" ht="16" x14ac:dyDescent="0.2">
      <c r="A3708" s="19"/>
      <c r="B3708" s="19"/>
      <c r="C3708" s="19"/>
      <c r="D3708" s="19"/>
      <c r="E3708" s="19"/>
      <c r="F3708" s="19"/>
      <c r="G3708" s="19"/>
      <c r="H3708" s="19"/>
      <c r="I3708" s="19"/>
      <c r="J3708" s="19"/>
      <c r="K3708" s="19"/>
      <c r="L3708" s="19"/>
      <c r="M3708" s="19"/>
      <c r="N3708" s="19"/>
      <c r="O3708" s="14" t="str">
        <f>HYPERLINK("https://otsuka-europe-crm.veevavault.com/ui/#object/email_activity__v/V8C00000004A035", "EN-002104938")</f>
        <v>EN-002104938</v>
      </c>
    </row>
    <row r="3709" spans="1:15" ht="64" x14ac:dyDescent="0.2">
      <c r="A3709" s="7" t="str">
        <f>HYPERLINK("https://otsuka-europe-crm.veevavault.com/ui/#object/account__v/V4TZ04ASG9MQYEZ", "ISABEL AÑON OÑATE")</f>
        <v>ISABEL AÑON OÑATE</v>
      </c>
      <c r="B3709" s="7" t="str">
        <f>HYPERLINK("https://otsuka-europe-crm.veevavault.com/ui/#object/vcountry__v/VENZ000004SONF5", "ES")</f>
        <v>ES</v>
      </c>
      <c r="C3709" s="8" t="s">
        <v>39</v>
      </c>
      <c r="D370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09" s="10" t="str">
        <f>HYPERLINK("https://otsuka-europe-crm.veevavault.com/ui/#object/sent_email__v/VBL000000035268", "SE-001443449")</f>
        <v>SE-001443449</v>
      </c>
      <c r="F3709" s="11"/>
      <c r="G3709" s="12">
        <v>0</v>
      </c>
      <c r="H3709" s="12">
        <v>0</v>
      </c>
      <c r="I3709" s="12">
        <v>0</v>
      </c>
      <c r="J3709" s="11"/>
      <c r="K3709" s="12">
        <v>0</v>
      </c>
      <c r="L370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09" s="10" t="str">
        <f>HYPERLINK("mailto:vvalladares@crm.otsuka-europe.com", "vvalladares@crm.otsuka-europe.com")</f>
        <v>vvalladares@crm.otsuka-europe.com</v>
      </c>
      <c r="N3709" s="13">
        <v>46213.510231481479</v>
      </c>
      <c r="O3709" s="14" t="str">
        <f>HYPERLINK("https://otsuka-europe-crm.veevavault.com/ui/#object/email_activity__v/V8C000000047288", "EN-002104647")</f>
        <v>EN-002104647</v>
      </c>
    </row>
    <row r="3710" spans="1:15" ht="16" x14ac:dyDescent="0.2">
      <c r="A3710" s="18" t="str">
        <f>HYPERLINK("https://otsuka-europe-crm.veevavault.com/ui/#object/account__v/V4TZ025E82NV6MU", "HALBERT HERNANDEZ NEGRIN")</f>
        <v>HALBERT HERNANDEZ NEGRIN</v>
      </c>
      <c r="B3710" s="18" t="str">
        <f>HYPERLINK("https://otsuka-europe-crm.veevavault.com/ui/#object/vcountry__v/VENZ000004SONF5", "ES")</f>
        <v>ES</v>
      </c>
      <c r="C3710" s="20" t="s">
        <v>39</v>
      </c>
      <c r="D371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10" s="22" t="str">
        <f>HYPERLINK("https://otsuka-europe-crm.veevavault.com/ui/#object/sent_email__v/VBL000000035269", "SE-001443450")</f>
        <v>SE-001443450</v>
      </c>
      <c r="F3710" s="25">
        <v>46213.576782407406</v>
      </c>
      <c r="G3710" s="24">
        <v>1</v>
      </c>
      <c r="H3710" s="24">
        <v>2</v>
      </c>
      <c r="I3710" s="24">
        <v>0</v>
      </c>
      <c r="J3710" s="23"/>
      <c r="K3710" s="24">
        <v>0</v>
      </c>
      <c r="L371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10" s="22" t="str">
        <f>HYPERLINK("mailto:vvalladares@crm.otsuka-europe.com", "vvalladares@crm.otsuka-europe.com")</f>
        <v>vvalladares@crm.otsuka-europe.com</v>
      </c>
      <c r="N3710" s="25">
        <v>46213.510231481479</v>
      </c>
      <c r="O3710" s="14" t="str">
        <f>HYPERLINK("https://otsuka-europe-crm.veevavault.com/ui/#object/email_activity__v/V8C000000047277", "EN-002104629")</f>
        <v>EN-002104629</v>
      </c>
    </row>
    <row r="3711" spans="1:15" ht="16" x14ac:dyDescent="0.2">
      <c r="A3711" s="26"/>
      <c r="B3711" s="26"/>
      <c r="C3711" s="26"/>
      <c r="D3711" s="26"/>
      <c r="E3711" s="26"/>
      <c r="F3711" s="26"/>
      <c r="G3711" s="26"/>
      <c r="H3711" s="26"/>
      <c r="I3711" s="26"/>
      <c r="J3711" s="26"/>
      <c r="K3711" s="26"/>
      <c r="L3711" s="26"/>
      <c r="M3711" s="26"/>
      <c r="N3711" s="26"/>
      <c r="O3711" s="14" t="str">
        <f>HYPERLINK("https://otsuka-europe-crm.veevavault.com/ui/#object/email_activity__v/V8C000000047341", "EN-002104756")</f>
        <v>EN-002104756</v>
      </c>
    </row>
    <row r="3712" spans="1:15" ht="16" x14ac:dyDescent="0.2">
      <c r="A3712" s="19"/>
      <c r="B3712" s="19"/>
      <c r="C3712" s="19"/>
      <c r="D3712" s="19"/>
      <c r="E3712" s="19"/>
      <c r="F3712" s="19"/>
      <c r="G3712" s="19"/>
      <c r="H3712" s="19"/>
      <c r="I3712" s="19"/>
      <c r="J3712" s="19"/>
      <c r="K3712" s="19"/>
      <c r="L3712" s="19"/>
      <c r="M3712" s="19"/>
      <c r="N3712" s="19"/>
      <c r="O3712" s="14" t="str">
        <f>HYPERLINK("https://otsuka-europe-crm.veevavault.com/ui/#object/email_activity__v/V8C000000047342", "EN-002104757")</f>
        <v>EN-002104757</v>
      </c>
    </row>
    <row r="3713" spans="1:15" ht="64" x14ac:dyDescent="0.2">
      <c r="A3713" s="7" t="str">
        <f>HYPERLINK("https://otsuka-europe-crm.veevavault.com/ui/#object/account__v/V4TZ04ASG9REMVY", "ANA NIETO GONZALEZ")</f>
        <v>ANA NIETO GONZALEZ</v>
      </c>
      <c r="B3713" s="7" t="str">
        <f>HYPERLINK("https://otsuka-europe-crm.veevavault.com/ui/#object/vcountry__v/VENZ000004SONF5", "ES")</f>
        <v>ES</v>
      </c>
      <c r="C3713" s="8" t="s">
        <v>39</v>
      </c>
      <c r="D371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13" s="10" t="str">
        <f>HYPERLINK("https://otsuka-europe-crm.veevavault.com/ui/#object/sent_email__v/VBL000000035270", "SE-001443451")</f>
        <v>SE-001443451</v>
      </c>
      <c r="F3713" s="11"/>
      <c r="G3713" s="12">
        <v>0</v>
      </c>
      <c r="H3713" s="12">
        <v>0</v>
      </c>
      <c r="I3713" s="12">
        <v>0</v>
      </c>
      <c r="J3713" s="11"/>
      <c r="K3713" s="12">
        <v>0</v>
      </c>
      <c r="L371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13" s="10" t="str">
        <f>HYPERLINK("mailto:vvalladares@crm.otsuka-europe.com", "vvalladares@crm.otsuka-europe.com")</f>
        <v>vvalladares@crm.otsuka-europe.com</v>
      </c>
      <c r="N3713" s="13">
        <v>46213.510266203702</v>
      </c>
      <c r="O3713" s="14" t="str">
        <f>HYPERLINK("https://otsuka-europe-crm.veevavault.com/ui/#object/email_activity__v/V8C000000047289", "EN-002104648")</f>
        <v>EN-002104648</v>
      </c>
    </row>
    <row r="3714" spans="1:15" ht="16" x14ac:dyDescent="0.2">
      <c r="A3714" s="18" t="str">
        <f>HYPERLINK("https://otsuka-europe-crm.veevavault.com/ui/#object/account__v/V4TZ06G6ODNMYIU", "JOSE FEDERICO DIAZ GONZALEZ")</f>
        <v>JOSE FEDERICO DIAZ GONZALEZ</v>
      </c>
      <c r="B3714" s="18" t="str">
        <f>HYPERLINK("https://otsuka-europe-crm.veevavault.com/ui/#object/vcountry__v/VENZ000004SONF5", "ES")</f>
        <v>ES</v>
      </c>
      <c r="C3714" s="20" t="s">
        <v>39</v>
      </c>
      <c r="D371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14" s="22" t="str">
        <f>HYPERLINK("https://otsuka-europe-crm.veevavault.com/ui/#object/sent_email__v/VBL000000035271", "SE-001443452")</f>
        <v>SE-001443452</v>
      </c>
      <c r="F3714" s="23"/>
      <c r="G3714" s="24">
        <v>0</v>
      </c>
      <c r="H3714" s="24">
        <v>0</v>
      </c>
      <c r="I3714" s="24">
        <v>0</v>
      </c>
      <c r="J3714" s="23"/>
      <c r="K3714" s="24">
        <v>0</v>
      </c>
      <c r="L371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14" s="22" t="str">
        <f>HYPERLINK("mailto:vvalladares@crm.otsuka-europe.com", "vvalladares@crm.otsuka-europe.com")</f>
        <v>vvalladares@crm.otsuka-europe.com</v>
      </c>
      <c r="N3714" s="25">
        <v>46213.510266203702</v>
      </c>
      <c r="O3714" s="14" t="str">
        <f>HYPERLINK("https://otsuka-europe-crm.veevavault.com/ui/#object/email_activity__v/V8C000000047281", "EN-002104633")</f>
        <v>EN-002104633</v>
      </c>
    </row>
    <row r="3715" spans="1:15" ht="16" x14ac:dyDescent="0.2">
      <c r="A3715" s="19"/>
      <c r="B3715" s="19"/>
      <c r="C3715" s="19"/>
      <c r="D3715" s="19"/>
      <c r="E3715" s="19"/>
      <c r="F3715" s="19"/>
      <c r="G3715" s="19"/>
      <c r="H3715" s="19"/>
      <c r="I3715" s="19"/>
      <c r="J3715" s="19"/>
      <c r="K3715" s="19"/>
      <c r="L3715" s="19"/>
      <c r="M3715" s="19"/>
      <c r="N3715" s="19"/>
      <c r="O3715" s="14" t="str">
        <f>HYPERLINK("https://otsuka-europe-crm.veevavault.com/ui/#object/email_activity__v/V8C00000004A049", "EN-002104964")</f>
        <v>EN-002104964</v>
      </c>
    </row>
    <row r="3716" spans="1:15" ht="16" x14ac:dyDescent="0.2">
      <c r="A3716" s="18" t="str">
        <f>HYPERLINK("https://otsuka-europe-crm.veevavault.com/ui/#object/account__v/V4TZ04ASG9BAL1G", "MARIA JESUS MONTESA CABRERA")</f>
        <v>MARIA JESUS MONTESA CABRERA</v>
      </c>
      <c r="B3716" s="18" t="str">
        <f>HYPERLINK("https://otsuka-europe-crm.veevavault.com/ui/#object/vcountry__v/VENZ000004SONF5", "ES")</f>
        <v>ES</v>
      </c>
      <c r="C3716" s="20" t="s">
        <v>39</v>
      </c>
      <c r="D371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16" s="22" t="str">
        <f>HYPERLINK("https://otsuka-europe-crm.veevavault.com/ui/#object/sent_email__v/VBL000000035272", "SE-001443453")</f>
        <v>SE-001443453</v>
      </c>
      <c r="F3716" s="25">
        <v>46213.536724537036</v>
      </c>
      <c r="G3716" s="24">
        <v>1</v>
      </c>
      <c r="H3716" s="24">
        <v>2</v>
      </c>
      <c r="I3716" s="24">
        <v>1</v>
      </c>
      <c r="J3716" s="25">
        <v>46213.536805555559</v>
      </c>
      <c r="K3716" s="24">
        <v>1</v>
      </c>
      <c r="L371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16" s="22" t="str">
        <f>HYPERLINK("mailto:vvalladares@crm.otsuka-europe.com", "vvalladares@crm.otsuka-europe.com")</f>
        <v>vvalladares@crm.otsuka-europe.com</v>
      </c>
      <c r="N3716" s="25">
        <v>46213.510266203702</v>
      </c>
      <c r="O3716" s="14" t="str">
        <f>HYPERLINK("https://otsuka-europe-crm.veevavault.com/ui/#object/email_activity__v/V8C000000047319", "EN-002104692")</f>
        <v>EN-002104692</v>
      </c>
    </row>
    <row r="3717" spans="1:15" ht="16" x14ac:dyDescent="0.2">
      <c r="A3717" s="26"/>
      <c r="B3717" s="26"/>
      <c r="C3717" s="26"/>
      <c r="D3717" s="26"/>
      <c r="E3717" s="26"/>
      <c r="F3717" s="26"/>
      <c r="G3717" s="26"/>
      <c r="H3717" s="26"/>
      <c r="I3717" s="26"/>
      <c r="J3717" s="26"/>
      <c r="K3717" s="26"/>
      <c r="L3717" s="26"/>
      <c r="M3717" s="26"/>
      <c r="N3717" s="26"/>
      <c r="O3717" s="14" t="str">
        <f>HYPERLINK("https://otsuka-europe-crm.veevavault.com/ui/#object/email_activity__v/V8C000000047376", "EN-002104828")</f>
        <v>EN-002104828</v>
      </c>
    </row>
    <row r="3718" spans="1:15" ht="16" x14ac:dyDescent="0.2">
      <c r="A3718" s="26"/>
      <c r="B3718" s="26"/>
      <c r="C3718" s="26"/>
      <c r="D3718" s="26"/>
      <c r="E3718" s="26"/>
      <c r="F3718" s="26"/>
      <c r="G3718" s="26"/>
      <c r="H3718" s="26"/>
      <c r="I3718" s="26"/>
      <c r="J3718" s="26"/>
      <c r="K3718" s="26"/>
      <c r="L3718" s="26"/>
      <c r="M3718" s="26"/>
      <c r="N3718" s="26"/>
      <c r="O3718" s="14" t="str">
        <f>HYPERLINK("https://otsuka-europe-crm.veevavault.com/ui/#object/email_activity__v/V8C000000048193", "EN-002104641")</f>
        <v>EN-002104641</v>
      </c>
    </row>
    <row r="3719" spans="1:15" ht="16" x14ac:dyDescent="0.2">
      <c r="A3719" s="26"/>
      <c r="B3719" s="26"/>
      <c r="C3719" s="26"/>
      <c r="D3719" s="26"/>
      <c r="E3719" s="26"/>
      <c r="F3719" s="26"/>
      <c r="G3719" s="26"/>
      <c r="H3719" s="26"/>
      <c r="I3719" s="26"/>
      <c r="J3719" s="26"/>
      <c r="K3719" s="26"/>
      <c r="L3719" s="26"/>
      <c r="M3719" s="26"/>
      <c r="N3719" s="26"/>
      <c r="O3719" s="14" t="str">
        <f>HYPERLINK("https://otsuka-europe-crm.veevavault.com/ui/#object/email_activity__v/V8C000000048234", "EN-002104721")</f>
        <v>EN-002104721</v>
      </c>
    </row>
    <row r="3720" spans="1:15" ht="16" x14ac:dyDescent="0.2">
      <c r="A3720" s="26"/>
      <c r="B3720" s="26"/>
      <c r="C3720" s="26"/>
      <c r="D3720" s="26"/>
      <c r="E3720" s="26"/>
      <c r="F3720" s="26"/>
      <c r="G3720" s="26"/>
      <c r="H3720" s="26"/>
      <c r="I3720" s="26"/>
      <c r="J3720" s="26"/>
      <c r="K3720" s="26"/>
      <c r="L3720" s="26"/>
      <c r="M3720" s="26"/>
      <c r="N3720" s="26"/>
      <c r="O3720" s="14" t="str">
        <f>HYPERLINK("https://otsuka-europe-crm.veevavault.com/ui/#object/email_activity__v/V8C000000048235", "EN-002104722")</f>
        <v>EN-002104722</v>
      </c>
    </row>
    <row r="3721" spans="1:15" ht="16" x14ac:dyDescent="0.2">
      <c r="A3721" s="26"/>
      <c r="B3721" s="26"/>
      <c r="C3721" s="26"/>
      <c r="D3721" s="26"/>
      <c r="E3721" s="26"/>
      <c r="F3721" s="26"/>
      <c r="G3721" s="26"/>
      <c r="H3721" s="26"/>
      <c r="I3721" s="26"/>
      <c r="J3721" s="26"/>
      <c r="K3721" s="26"/>
      <c r="L3721" s="26"/>
      <c r="M3721" s="26"/>
      <c r="N3721" s="26"/>
      <c r="O3721" s="14" t="str">
        <f>HYPERLINK("https://otsuka-europe-crm.veevavault.com/ui/#object/email_activity__v/V8C00000004A057", "EN-002104983")</f>
        <v>EN-002104983</v>
      </c>
    </row>
    <row r="3722" spans="1:15" ht="16" x14ac:dyDescent="0.2">
      <c r="A3722" s="19"/>
      <c r="B3722" s="19"/>
      <c r="C3722" s="19"/>
      <c r="D3722" s="19"/>
      <c r="E3722" s="19"/>
      <c r="F3722" s="19"/>
      <c r="G3722" s="19"/>
      <c r="H3722" s="19"/>
      <c r="I3722" s="19"/>
      <c r="J3722" s="19"/>
      <c r="K3722" s="19"/>
      <c r="L3722" s="19"/>
      <c r="M3722" s="19"/>
      <c r="N3722" s="19"/>
      <c r="O3722" s="14" t="str">
        <f>HYPERLINK("https://otsuka-europe-crm.veevavault.com/ui/#object/email_activity__v/V8C00000004A058", "EN-002104984")</f>
        <v>EN-002104984</v>
      </c>
    </row>
    <row r="3723" spans="1:15" ht="16" x14ac:dyDescent="0.2">
      <c r="A3723" s="18" t="str">
        <f>HYPERLINK("https://otsuka-europe-crm.veevavault.com/ui/#object/account__v/V4TZ04ASG8VE2MD", "MANUEL DE HARO LIGER")</f>
        <v>MANUEL DE HARO LIGER</v>
      </c>
      <c r="B3723" s="18" t="str">
        <f>HYPERLINK("https://otsuka-europe-crm.veevavault.com/ui/#object/vcountry__v/VENZ000004SONF5", "ES")</f>
        <v>ES</v>
      </c>
      <c r="C3723" s="20" t="s">
        <v>39</v>
      </c>
      <c r="D372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23" s="22" t="str">
        <f>HYPERLINK("https://otsuka-europe-crm.veevavault.com/ui/#object/sent_email__v/VBL000000035273", "SE-001443454")</f>
        <v>SE-001443454</v>
      </c>
      <c r="F3723" s="25">
        <v>46216.963379629633</v>
      </c>
      <c r="G3723" s="24">
        <v>1</v>
      </c>
      <c r="H3723" s="24">
        <v>3</v>
      </c>
      <c r="I3723" s="24">
        <v>0</v>
      </c>
      <c r="J3723" s="23"/>
      <c r="K3723" s="24">
        <v>0</v>
      </c>
      <c r="L372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23" s="22" t="str">
        <f>HYPERLINK("mailto:vvalladares@crm.otsuka-europe.com", "vvalladares@crm.otsuka-europe.com")</f>
        <v>vvalladares@crm.otsuka-europe.com</v>
      </c>
      <c r="N3723" s="25">
        <v>46213.510266203702</v>
      </c>
      <c r="O3723" s="14" t="str">
        <f>HYPERLINK("https://otsuka-europe-crm.veevavault.com/ui/#object/email_activity__v/V8C000000048195", "EN-002104643")</f>
        <v>EN-002104643</v>
      </c>
    </row>
    <row r="3724" spans="1:15" ht="16" x14ac:dyDescent="0.2">
      <c r="A3724" s="26"/>
      <c r="B3724" s="26"/>
      <c r="C3724" s="26"/>
      <c r="D3724" s="26"/>
      <c r="E3724" s="26"/>
      <c r="F3724" s="26"/>
      <c r="G3724" s="26"/>
      <c r="H3724" s="26"/>
      <c r="I3724" s="26"/>
      <c r="J3724" s="26"/>
      <c r="K3724" s="26"/>
      <c r="L3724" s="26"/>
      <c r="M3724" s="26"/>
      <c r="N3724" s="26"/>
      <c r="O3724" s="14" t="str">
        <f>HYPERLINK("https://otsuka-europe-crm.veevavault.com/ui/#object/email_activity__v/V8C000000048293", "EN-002104847")</f>
        <v>EN-002104847</v>
      </c>
    </row>
    <row r="3725" spans="1:15" ht="16" x14ac:dyDescent="0.2">
      <c r="A3725" s="26"/>
      <c r="B3725" s="26"/>
      <c r="C3725" s="26"/>
      <c r="D3725" s="26"/>
      <c r="E3725" s="26"/>
      <c r="F3725" s="26"/>
      <c r="G3725" s="26"/>
      <c r="H3725" s="26"/>
      <c r="I3725" s="26"/>
      <c r="J3725" s="26"/>
      <c r="K3725" s="26"/>
      <c r="L3725" s="26"/>
      <c r="M3725" s="26"/>
      <c r="N3725" s="26"/>
      <c r="O3725" s="14" t="str">
        <f>HYPERLINK("https://otsuka-europe-crm.veevavault.com/ui/#object/email_activity__v/V8C00000004A399", "EN-002105731")</f>
        <v>EN-002105731</v>
      </c>
    </row>
    <row r="3726" spans="1:15" ht="16" x14ac:dyDescent="0.2">
      <c r="A3726" s="19"/>
      <c r="B3726" s="19"/>
      <c r="C3726" s="19"/>
      <c r="D3726" s="19"/>
      <c r="E3726" s="19"/>
      <c r="F3726" s="19"/>
      <c r="G3726" s="19"/>
      <c r="H3726" s="19"/>
      <c r="I3726" s="19"/>
      <c r="J3726" s="19"/>
      <c r="K3726" s="19"/>
      <c r="L3726" s="19"/>
      <c r="M3726" s="19"/>
      <c r="N3726" s="19"/>
      <c r="O3726" s="14" t="str">
        <f>HYPERLINK("https://otsuka-europe-crm.veevavault.com/ui/#object/email_activity__v/V8C00000004A400", "EN-002105732")</f>
        <v>EN-002105732</v>
      </c>
    </row>
    <row r="3727" spans="1:15" ht="64" x14ac:dyDescent="0.2">
      <c r="A3727" s="7" t="str">
        <f>HYPERLINK("https://otsuka-europe-crm.veevavault.com/ui/#object/account__v/V4TZ04ASG9ZQEUS", "MARITZA FLORES CORTES")</f>
        <v>MARITZA FLORES CORTES</v>
      </c>
      <c r="B3727" s="7" t="str">
        <f>HYPERLINK("https://otsuka-europe-crm.veevavault.com/ui/#object/vcountry__v/VENZ000004SONF5", "ES")</f>
        <v>ES</v>
      </c>
      <c r="C3727" s="8" t="s">
        <v>39</v>
      </c>
      <c r="D372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27" s="10" t="str">
        <f>HYPERLINK("https://otsuka-europe-crm.veevavault.com/ui/#object/sent_email__v/VBL000000035274", "SE-001443455")</f>
        <v>SE-001443455</v>
      </c>
      <c r="F3727" s="11"/>
      <c r="G3727" s="12">
        <v>0</v>
      </c>
      <c r="H3727" s="12">
        <v>0</v>
      </c>
      <c r="I3727" s="12">
        <v>0</v>
      </c>
      <c r="J3727" s="11"/>
      <c r="K3727" s="12">
        <v>0</v>
      </c>
      <c r="L372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27" s="10" t="str">
        <f>HYPERLINK("mailto:vvalladares@crm.otsuka-europe.com", "vvalladares@crm.otsuka-europe.com")</f>
        <v>vvalladares@crm.otsuka-europe.com</v>
      </c>
      <c r="N3727" s="13">
        <v>46213.510266203702</v>
      </c>
      <c r="O3727" s="14" t="str">
        <f>HYPERLINK("https://otsuka-europe-crm.veevavault.com/ui/#object/email_activity__v/V8C000000048196", "EN-002104644")</f>
        <v>EN-002104644</v>
      </c>
    </row>
    <row r="3728" spans="1:15" ht="16" x14ac:dyDescent="0.2">
      <c r="A3728" s="18" t="str">
        <f>HYPERLINK("https://otsuka-europe-crm.veevavault.com/ui/#object/account__v/V4TZ04ASGCYMFU5", "NOEMI PATRICIA GARRIDO PUÑAL")</f>
        <v>NOEMI PATRICIA GARRIDO PUÑAL</v>
      </c>
      <c r="B3728" s="18" t="str">
        <f>HYPERLINK("https://otsuka-europe-crm.veevavault.com/ui/#object/vcountry__v/VENZ000004SONF5", "ES")</f>
        <v>ES</v>
      </c>
      <c r="C3728" s="20" t="s">
        <v>39</v>
      </c>
      <c r="D372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28" s="22" t="str">
        <f>HYPERLINK("https://otsuka-europe-crm.veevavault.com/ui/#object/sent_email__v/VBL000000035275", "SE-001443456")</f>
        <v>SE-001443456</v>
      </c>
      <c r="F3728" s="25">
        <v>46213.96361111111</v>
      </c>
      <c r="G3728" s="24">
        <v>1</v>
      </c>
      <c r="H3728" s="24">
        <v>2</v>
      </c>
      <c r="I3728" s="24">
        <v>0</v>
      </c>
      <c r="J3728" s="23"/>
      <c r="K3728" s="24">
        <v>0</v>
      </c>
      <c r="L372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28" s="22" t="str">
        <f>HYPERLINK("mailto:vvalladares@crm.otsuka-europe.com", "vvalladares@crm.otsuka-europe.com")</f>
        <v>vvalladares@crm.otsuka-europe.com</v>
      </c>
      <c r="N3728" s="25">
        <v>46213.510266203702</v>
      </c>
      <c r="O3728" s="14" t="str">
        <f>HYPERLINK("https://otsuka-europe-crm.veevavault.com/ui/#object/email_activity__v/V8C000000047282", "EN-002104634")</f>
        <v>EN-002104634</v>
      </c>
    </row>
    <row r="3729" spans="1:15" ht="16" x14ac:dyDescent="0.2">
      <c r="A3729" s="26"/>
      <c r="B3729" s="26"/>
      <c r="C3729" s="26"/>
      <c r="D3729" s="26"/>
      <c r="E3729" s="26"/>
      <c r="F3729" s="26"/>
      <c r="G3729" s="26"/>
      <c r="H3729" s="26"/>
      <c r="I3729" s="26"/>
      <c r="J3729" s="26"/>
      <c r="K3729" s="26"/>
      <c r="L3729" s="26"/>
      <c r="M3729" s="26"/>
      <c r="N3729" s="26"/>
      <c r="O3729" s="14" t="str">
        <f>HYPERLINK("https://otsuka-europe-crm.veevavault.com/ui/#object/email_activity__v/V8C000000048305", "EN-002104864")</f>
        <v>EN-002104864</v>
      </c>
    </row>
    <row r="3730" spans="1:15" ht="16" x14ac:dyDescent="0.2">
      <c r="A3730" s="19"/>
      <c r="B3730" s="19"/>
      <c r="C3730" s="19"/>
      <c r="D3730" s="19"/>
      <c r="E3730" s="19"/>
      <c r="F3730" s="19"/>
      <c r="G3730" s="19"/>
      <c r="H3730" s="19"/>
      <c r="I3730" s="19"/>
      <c r="J3730" s="19"/>
      <c r="K3730" s="19"/>
      <c r="L3730" s="19"/>
      <c r="M3730" s="19"/>
      <c r="N3730" s="19"/>
      <c r="O3730" s="14" t="str">
        <f>HYPERLINK("https://otsuka-europe-crm.veevavault.com/ui/#object/email_activity__v/V8C000000048306", "EN-002104865")</f>
        <v>EN-002104865</v>
      </c>
    </row>
    <row r="3731" spans="1:15" ht="16" x14ac:dyDescent="0.2">
      <c r="A3731" s="18" t="str">
        <f>HYPERLINK("https://otsuka-europe-crm.veevavault.com/ui/#object/account__v/V4TZ04ASGDUAZA2", "CRISTINA RODRIGUEZ ALVEAR")</f>
        <v>CRISTINA RODRIGUEZ ALVEAR</v>
      </c>
      <c r="B3731" s="18" t="str">
        <f>HYPERLINK("https://otsuka-europe-crm.veevavault.com/ui/#object/vcountry__v/VENZ000004SONF5", "ES")</f>
        <v>ES</v>
      </c>
      <c r="C3731" s="20" t="s">
        <v>39</v>
      </c>
      <c r="D373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31" s="22" t="str">
        <f>HYPERLINK("https://otsuka-europe-crm.veevavault.com/ui/#object/sent_email__v/VBL000000035276", "SE-001443457")</f>
        <v>SE-001443457</v>
      </c>
      <c r="F3731" s="25">
        <v>46213.523240740738</v>
      </c>
      <c r="G3731" s="24">
        <v>1</v>
      </c>
      <c r="H3731" s="24">
        <v>1</v>
      </c>
      <c r="I3731" s="24">
        <v>0</v>
      </c>
      <c r="J3731" s="23"/>
      <c r="K3731" s="24">
        <v>0</v>
      </c>
      <c r="L373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31" s="22" t="str">
        <f>HYPERLINK("mailto:vvalladares@crm.otsuka-europe.com", "vvalladares@crm.otsuka-europe.com")</f>
        <v>vvalladares@crm.otsuka-europe.com</v>
      </c>
      <c r="N3731" s="25">
        <v>46213.510266203702</v>
      </c>
      <c r="O3731" s="14" t="str">
        <f>HYPERLINK("https://otsuka-europe-crm.veevavault.com/ui/#object/email_activity__v/V8C000000047316", "EN-002104687")</f>
        <v>EN-002104687</v>
      </c>
    </row>
    <row r="3732" spans="1:15" ht="16" x14ac:dyDescent="0.2">
      <c r="A3732" s="19"/>
      <c r="B3732" s="19"/>
      <c r="C3732" s="19"/>
      <c r="D3732" s="19"/>
      <c r="E3732" s="19"/>
      <c r="F3732" s="19"/>
      <c r="G3732" s="19"/>
      <c r="H3732" s="19"/>
      <c r="I3732" s="19"/>
      <c r="J3732" s="19"/>
      <c r="K3732" s="19"/>
      <c r="L3732" s="19"/>
      <c r="M3732" s="19"/>
      <c r="N3732" s="19"/>
      <c r="O3732" s="14" t="str">
        <f>HYPERLINK("https://otsuka-europe-crm.veevavault.com/ui/#object/email_activity__v/V8C000000048199", "EN-002104660")</f>
        <v>EN-002104660</v>
      </c>
    </row>
    <row r="3733" spans="1:15" ht="64" x14ac:dyDescent="0.2">
      <c r="A3733" s="7" t="str">
        <f>HYPERLINK("https://otsuka-europe-crm.veevavault.com/ui/#object/account__v/V4TZ04ASG92430O", "ELISA TRUJILLO MARTIN")</f>
        <v>ELISA TRUJILLO MARTIN</v>
      </c>
      <c r="B3733" s="7" t="str">
        <f>HYPERLINK("https://otsuka-europe-crm.veevavault.com/ui/#object/vcountry__v/VENZ000004SONF5", "ES")</f>
        <v>ES</v>
      </c>
      <c r="C3733" s="8" t="s">
        <v>39</v>
      </c>
      <c r="D373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33" s="10" t="str">
        <f>HYPERLINK("https://otsuka-europe-crm.veevavault.com/ui/#object/sent_email__v/VBL000000035277", "SE-001443458")</f>
        <v>SE-001443458</v>
      </c>
      <c r="F3733" s="11"/>
      <c r="G3733" s="12">
        <v>0</v>
      </c>
      <c r="H3733" s="12">
        <v>0</v>
      </c>
      <c r="I3733" s="12">
        <v>0</v>
      </c>
      <c r="J3733" s="11"/>
      <c r="K3733" s="12">
        <v>0</v>
      </c>
      <c r="L373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33" s="10" t="str">
        <f>HYPERLINK("mailto:vvalladares@crm.otsuka-europe.com", "vvalladares@crm.otsuka-europe.com")</f>
        <v>vvalladares@crm.otsuka-europe.com</v>
      </c>
      <c r="N3733" s="13">
        <v>46213.510312500002</v>
      </c>
      <c r="O3733" s="14" t="str">
        <f>HYPERLINK("https://otsuka-europe-crm.veevavault.com/ui/#object/email_activity__v/V8C000000048191", "EN-002104639")</f>
        <v>EN-002104639</v>
      </c>
    </row>
    <row r="3734" spans="1:15" ht="64" x14ac:dyDescent="0.2">
      <c r="A3734" s="7" t="str">
        <f>HYPERLINK("https://otsuka-europe-crm.veevavault.com/ui/#object/account__v/V4TZ025E84KHE6H", "SALMA AL FAZAZI")</f>
        <v>SALMA AL FAZAZI</v>
      </c>
      <c r="B3734" s="7" t="str">
        <f>HYPERLINK("https://otsuka-europe-crm.veevavault.com/ui/#object/vcountry__v/VENZ000004SONF5", "ES")</f>
        <v>ES</v>
      </c>
      <c r="C3734" s="8" t="s">
        <v>39</v>
      </c>
      <c r="D373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34" s="10" t="str">
        <f>HYPERLINK("https://otsuka-europe-crm.veevavault.com/ui/#object/sent_email__v/VBL000000035278", "SE-001443459")</f>
        <v>SE-001443459</v>
      </c>
      <c r="F3734" s="11"/>
      <c r="G3734" s="12">
        <v>0</v>
      </c>
      <c r="H3734" s="12">
        <v>0</v>
      </c>
      <c r="I3734" s="12">
        <v>0</v>
      </c>
      <c r="J3734" s="11"/>
      <c r="K3734" s="12">
        <v>0</v>
      </c>
      <c r="L373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34" s="10" t="str">
        <f>HYPERLINK("mailto:vvalladares@crm.otsuka-europe.com", "vvalladares@crm.otsuka-europe.com")</f>
        <v>vvalladares@crm.otsuka-europe.com</v>
      </c>
      <c r="N3734" s="13">
        <v>46213.510312500002</v>
      </c>
      <c r="O3734" s="14" t="str">
        <f>HYPERLINK("https://otsuka-europe-crm.veevavault.com/ui/#object/email_activity__v/V8C000000047296", "EN-002104655")</f>
        <v>EN-002104655</v>
      </c>
    </row>
    <row r="3735" spans="1:15" ht="16" x14ac:dyDescent="0.2">
      <c r="A3735" s="18" t="str">
        <f>HYPERLINK("https://otsuka-europe-crm.veevavault.com/ui/#object/account__v/V4TZ04ASGBJKHWZ", "FRANCESCO FULVIO BIZZARRI")</f>
        <v>FRANCESCO FULVIO BIZZARRI</v>
      </c>
      <c r="B3735" s="18" t="str">
        <f>HYPERLINK("https://otsuka-europe-crm.veevavault.com/ui/#object/vcountry__v/VENZ000004SONF5", "ES")</f>
        <v>ES</v>
      </c>
      <c r="C3735" s="20" t="s">
        <v>39</v>
      </c>
      <c r="D373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35" s="22" t="str">
        <f>HYPERLINK("https://otsuka-europe-crm.veevavault.com/ui/#object/sent_email__v/VBL000000035279", "SE-001443460")</f>
        <v>SE-001443460</v>
      </c>
      <c r="F3735" s="23"/>
      <c r="G3735" s="24">
        <v>0</v>
      </c>
      <c r="H3735" s="24">
        <v>0</v>
      </c>
      <c r="I3735" s="24">
        <v>0</v>
      </c>
      <c r="J3735" s="23"/>
      <c r="K3735" s="24">
        <v>0</v>
      </c>
      <c r="L373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35" s="22" t="str">
        <f>HYPERLINK("mailto:vvalladares@crm.otsuka-europe.com", "vvalladares@crm.otsuka-europe.com")</f>
        <v>vvalladares@crm.otsuka-europe.com</v>
      </c>
      <c r="N3735" s="25">
        <v>46213.510312500002</v>
      </c>
      <c r="O3735" s="14" t="str">
        <f>HYPERLINK("https://otsuka-europe-crm.veevavault.com/ui/#object/email_activity__v/V8C000000047298", "EN-002104658")</f>
        <v>EN-002104658</v>
      </c>
    </row>
    <row r="3736" spans="1:15" ht="16" x14ac:dyDescent="0.2">
      <c r="A3736" s="26"/>
      <c r="B3736" s="26"/>
      <c r="C3736" s="26"/>
      <c r="D3736" s="26"/>
      <c r="E3736" s="26"/>
      <c r="F3736" s="26"/>
      <c r="G3736" s="26"/>
      <c r="H3736" s="26"/>
      <c r="I3736" s="26"/>
      <c r="J3736" s="26"/>
      <c r="K3736" s="26"/>
      <c r="L3736" s="26"/>
      <c r="M3736" s="26"/>
      <c r="N3736" s="26"/>
      <c r="O3736" s="14" t="str">
        <f>HYPERLINK("https://otsuka-europe-crm.veevavault.com/ui/#object/email_activity__v/V8C00000004A060", "EN-002104991")</f>
        <v>EN-002104991</v>
      </c>
    </row>
    <row r="3737" spans="1:15" ht="16" x14ac:dyDescent="0.2">
      <c r="A3737" s="26"/>
      <c r="B3737" s="26"/>
      <c r="C3737" s="26"/>
      <c r="D3737" s="26"/>
      <c r="E3737" s="26"/>
      <c r="F3737" s="26"/>
      <c r="G3737" s="26"/>
      <c r="H3737" s="26"/>
      <c r="I3737" s="26"/>
      <c r="J3737" s="26"/>
      <c r="K3737" s="26"/>
      <c r="L3737" s="26"/>
      <c r="M3737" s="26"/>
      <c r="N3737" s="26"/>
      <c r="O3737" s="14" t="str">
        <f>HYPERLINK("https://otsuka-europe-crm.veevavault.com/ui/#object/email_activity__v/V8C00000004A284", "EN-002105498")</f>
        <v>EN-002105498</v>
      </c>
    </row>
    <row r="3738" spans="1:15" ht="16" x14ac:dyDescent="0.2">
      <c r="A3738" s="19"/>
      <c r="B3738" s="19"/>
      <c r="C3738" s="19"/>
      <c r="D3738" s="19"/>
      <c r="E3738" s="19"/>
      <c r="F3738" s="19"/>
      <c r="G3738" s="19"/>
      <c r="H3738" s="19"/>
      <c r="I3738" s="19"/>
      <c r="J3738" s="19"/>
      <c r="K3738" s="19"/>
      <c r="L3738" s="19"/>
      <c r="M3738" s="19"/>
      <c r="N3738" s="19"/>
      <c r="O3738" s="14" t="str">
        <f>HYPERLINK("https://otsuka-europe-crm.veevavault.com/ui/#object/email_activity__v/V8C00000004A610", "EN-002106125")</f>
        <v>EN-002106125</v>
      </c>
    </row>
    <row r="3739" spans="1:15" ht="64" x14ac:dyDescent="0.2">
      <c r="A3739" s="7" t="str">
        <f>HYPERLINK("https://otsuka-europe-crm.veevavault.com/ui/#object/account__v/V4TZ04ASGABZRMG", "MARTA MILAGROS LLANES GOMEZ")</f>
        <v>MARTA MILAGROS LLANES GOMEZ</v>
      </c>
      <c r="B3739" s="7" t="str">
        <f>HYPERLINK("https://otsuka-europe-crm.veevavault.com/ui/#object/vcountry__v/VENZ000004SONF5", "ES")</f>
        <v>ES</v>
      </c>
      <c r="C3739" s="8" t="s">
        <v>39</v>
      </c>
      <c r="D373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39" s="10" t="str">
        <f>HYPERLINK("https://otsuka-europe-crm.veevavault.com/ui/#object/sent_email__v/VBL000000035280", "SE-001443461")</f>
        <v>SE-001443461</v>
      </c>
      <c r="F3739" s="11"/>
      <c r="G3739" s="12">
        <v>0</v>
      </c>
      <c r="H3739" s="12">
        <v>0</v>
      </c>
      <c r="I3739" s="12">
        <v>0</v>
      </c>
      <c r="J3739" s="11"/>
      <c r="K3739" s="12">
        <v>0</v>
      </c>
      <c r="L373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39" s="10" t="str">
        <f>HYPERLINK("mailto:vvalladares@crm.otsuka-europe.com", "vvalladares@crm.otsuka-europe.com")</f>
        <v>vvalladares@crm.otsuka-europe.com</v>
      </c>
      <c r="N3739" s="13">
        <v>46213.510312500002</v>
      </c>
      <c r="O3739" s="14" t="str">
        <f>HYPERLINK("https://otsuka-europe-crm.veevavault.com/ui/#object/email_activity__v/V8C000000047297", "EN-002104657")</f>
        <v>EN-002104657</v>
      </c>
    </row>
    <row r="3740" spans="1:15" ht="16" x14ac:dyDescent="0.2">
      <c r="A3740" s="18" t="str">
        <f>HYPERLINK("https://otsuka-europe-crm.veevavault.com/ui/#object/account__v/V4TZ04ASGALU4FT", "ALBA MARIA CABEZAS LUCENA")</f>
        <v>ALBA MARIA CABEZAS LUCENA</v>
      </c>
      <c r="B3740" s="18" t="str">
        <f>HYPERLINK("https://otsuka-europe-crm.veevavault.com/ui/#object/vcountry__v/VENZ000004SONF5", "ES")</f>
        <v>ES</v>
      </c>
      <c r="C3740" s="20" t="s">
        <v>39</v>
      </c>
      <c r="D374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40" s="22" t="str">
        <f>HYPERLINK("https://otsuka-europe-crm.veevavault.com/ui/#object/sent_email__v/VBL000000035281", "SE-001443462")</f>
        <v>SE-001443462</v>
      </c>
      <c r="F3740" s="25">
        <v>46216.002106481479</v>
      </c>
      <c r="G3740" s="24">
        <v>1</v>
      </c>
      <c r="H3740" s="24">
        <v>4</v>
      </c>
      <c r="I3740" s="24">
        <v>0</v>
      </c>
      <c r="J3740" s="23"/>
      <c r="K3740" s="24">
        <v>0</v>
      </c>
      <c r="L374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40" s="22" t="str">
        <f>HYPERLINK("mailto:vvalladares@crm.otsuka-europe.com", "vvalladares@crm.otsuka-europe.com")</f>
        <v>vvalladares@crm.otsuka-europe.com</v>
      </c>
      <c r="N3740" s="25">
        <v>46213.510312500002</v>
      </c>
      <c r="O3740" s="14" t="str">
        <f>HYPERLINK("https://otsuka-europe-crm.veevavault.com/ui/#object/email_activity__v/V8C000000047301", "EN-002104665")</f>
        <v>EN-002104665</v>
      </c>
    </row>
    <row r="3741" spans="1:15" ht="16" x14ac:dyDescent="0.2">
      <c r="A3741" s="26"/>
      <c r="B3741" s="26"/>
      <c r="C3741" s="26"/>
      <c r="D3741" s="26"/>
      <c r="E3741" s="26"/>
      <c r="F3741" s="26"/>
      <c r="G3741" s="26"/>
      <c r="H3741" s="26"/>
      <c r="I3741" s="26"/>
      <c r="J3741" s="26"/>
      <c r="K3741" s="26"/>
      <c r="L3741" s="26"/>
      <c r="M3741" s="26"/>
      <c r="N3741" s="26"/>
      <c r="O3741" s="14" t="str">
        <f>HYPERLINK("https://otsuka-europe-crm.veevavault.com/ui/#object/email_activity__v/V8C000000047318", "EN-002104691")</f>
        <v>EN-002104691</v>
      </c>
    </row>
    <row r="3742" spans="1:15" ht="16" x14ac:dyDescent="0.2">
      <c r="A3742" s="26"/>
      <c r="B3742" s="26"/>
      <c r="C3742" s="26"/>
      <c r="D3742" s="26"/>
      <c r="E3742" s="26"/>
      <c r="F3742" s="26"/>
      <c r="G3742" s="26"/>
      <c r="H3742" s="26"/>
      <c r="I3742" s="26"/>
      <c r="J3742" s="26"/>
      <c r="K3742" s="26"/>
      <c r="L3742" s="26"/>
      <c r="M3742" s="26"/>
      <c r="N3742" s="26"/>
      <c r="O3742" s="14" t="str">
        <f>HYPERLINK("https://otsuka-europe-crm.veevavault.com/ui/#object/email_activity__v/V8C000000048252", "EN-002104754")</f>
        <v>EN-002104754</v>
      </c>
    </row>
    <row r="3743" spans="1:15" ht="16" x14ac:dyDescent="0.2">
      <c r="A3743" s="26"/>
      <c r="B3743" s="26"/>
      <c r="C3743" s="26"/>
      <c r="D3743" s="26"/>
      <c r="E3743" s="26"/>
      <c r="F3743" s="26"/>
      <c r="G3743" s="26"/>
      <c r="H3743" s="26"/>
      <c r="I3743" s="26"/>
      <c r="J3743" s="26"/>
      <c r="K3743" s="26"/>
      <c r="L3743" s="26"/>
      <c r="M3743" s="26"/>
      <c r="N3743" s="26"/>
      <c r="O3743" s="14" t="str">
        <f>HYPERLINK("https://otsuka-europe-crm.veevavault.com/ui/#object/email_activity__v/V8C000000049085", "EN-002105020")</f>
        <v>EN-002105020</v>
      </c>
    </row>
    <row r="3744" spans="1:15" ht="16" x14ac:dyDescent="0.2">
      <c r="A3744" s="19"/>
      <c r="B3744" s="19"/>
      <c r="C3744" s="19"/>
      <c r="D3744" s="19"/>
      <c r="E3744" s="19"/>
      <c r="F3744" s="19"/>
      <c r="G3744" s="19"/>
      <c r="H3744" s="19"/>
      <c r="I3744" s="19"/>
      <c r="J3744" s="19"/>
      <c r="K3744" s="19"/>
      <c r="L3744" s="19"/>
      <c r="M3744" s="19"/>
      <c r="N3744" s="19"/>
      <c r="O3744" s="14" t="str">
        <f>HYPERLINK("https://otsuka-europe-crm.veevavault.com/ui/#object/email_activity__v/V8C00000004A069", "EN-002105024")</f>
        <v>EN-002105024</v>
      </c>
    </row>
    <row r="3745" spans="1:15" ht="16" x14ac:dyDescent="0.2">
      <c r="A3745" s="18" t="str">
        <f>HYPERLINK("https://otsuka-europe-crm.veevavault.com/ui/#object/account__v/V4TZ04ASG9BBON5", "CRISTINA MARTINEZ GONZALEZ")</f>
        <v>CRISTINA MARTINEZ GONZALEZ</v>
      </c>
      <c r="B3745" s="18" t="str">
        <f>HYPERLINK("https://otsuka-europe-crm.veevavault.com/ui/#object/vcountry__v/VENZ000004SONF5", "ES")</f>
        <v>ES</v>
      </c>
      <c r="C3745" s="20" t="s">
        <v>39</v>
      </c>
      <c r="D374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45" s="22" t="str">
        <f>HYPERLINK("https://otsuka-europe-crm.veevavault.com/ui/#object/sent_email__v/VBL000000035282", "SE-001443463")</f>
        <v>SE-001443463</v>
      </c>
      <c r="F3745" s="25">
        <v>46213.514722222222</v>
      </c>
      <c r="G3745" s="24">
        <v>1</v>
      </c>
      <c r="H3745" s="24">
        <v>2</v>
      </c>
      <c r="I3745" s="24">
        <v>0</v>
      </c>
      <c r="J3745" s="23"/>
      <c r="K3745" s="24">
        <v>0</v>
      </c>
      <c r="L374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45" s="22" t="str">
        <f>HYPERLINK("mailto:vvalladares@crm.otsuka-europe.com", "vvalladares@crm.otsuka-europe.com")</f>
        <v>vvalladares@crm.otsuka-europe.com</v>
      </c>
      <c r="N3745" s="25">
        <v>46213.510312500002</v>
      </c>
      <c r="O3745" s="14" t="str">
        <f>HYPERLINK("https://otsuka-europe-crm.veevavault.com/ui/#object/email_activity__v/V8C000000047300", "EN-002104664")</f>
        <v>EN-002104664</v>
      </c>
    </row>
    <row r="3746" spans="1:15" ht="16" x14ac:dyDescent="0.2">
      <c r="A3746" s="26"/>
      <c r="B3746" s="26"/>
      <c r="C3746" s="26"/>
      <c r="D3746" s="26"/>
      <c r="E3746" s="26"/>
      <c r="F3746" s="26"/>
      <c r="G3746" s="26"/>
      <c r="H3746" s="26"/>
      <c r="I3746" s="26"/>
      <c r="J3746" s="26"/>
      <c r="K3746" s="26"/>
      <c r="L3746" s="26"/>
      <c r="M3746" s="26"/>
      <c r="N3746" s="26"/>
      <c r="O3746" s="14" t="str">
        <f>HYPERLINK("https://otsuka-europe-crm.veevavault.com/ui/#object/email_activity__v/V8C000000048203", "EN-002104671")</f>
        <v>EN-002104671</v>
      </c>
    </row>
    <row r="3747" spans="1:15" ht="16" x14ac:dyDescent="0.2">
      <c r="A3747" s="19"/>
      <c r="B3747" s="19"/>
      <c r="C3747" s="19"/>
      <c r="D3747" s="19"/>
      <c r="E3747" s="19"/>
      <c r="F3747" s="19"/>
      <c r="G3747" s="19"/>
      <c r="H3747" s="19"/>
      <c r="I3747" s="19"/>
      <c r="J3747" s="19"/>
      <c r="K3747" s="19"/>
      <c r="L3747" s="19"/>
      <c r="M3747" s="19"/>
      <c r="N3747" s="19"/>
      <c r="O3747" s="14" t="str">
        <f>HYPERLINK("https://otsuka-europe-crm.veevavault.com/ui/#object/email_activity__v/V8C000000048206", "EN-002104680")</f>
        <v>EN-002104680</v>
      </c>
    </row>
    <row r="3748" spans="1:15" ht="16" x14ac:dyDescent="0.2">
      <c r="A3748" s="18" t="str">
        <f>HYPERLINK("https://otsuka-europe-crm.veevavault.com/ui/#object/account__v/V4TZ04ASGALU49S", "ZAHRA ECHEREI FHAFAH")</f>
        <v>ZAHRA ECHEREI FHAFAH</v>
      </c>
      <c r="B3748" s="18" t="str">
        <f>HYPERLINK("https://otsuka-europe-crm.veevavault.com/ui/#object/vcountry__v/VENZ000004SONF5", "ES")</f>
        <v>ES</v>
      </c>
      <c r="C3748" s="20" t="s">
        <v>39</v>
      </c>
      <c r="D374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48" s="22" t="str">
        <f>HYPERLINK("https://otsuka-europe-crm.veevavault.com/ui/#object/sent_email__v/VBL000000035283", "SE-001443464")</f>
        <v>SE-001443464</v>
      </c>
      <c r="F3748" s="25">
        <v>46214.40730324074</v>
      </c>
      <c r="G3748" s="24">
        <v>1</v>
      </c>
      <c r="H3748" s="24">
        <v>1</v>
      </c>
      <c r="I3748" s="24">
        <v>0</v>
      </c>
      <c r="J3748" s="23"/>
      <c r="K3748" s="24">
        <v>0</v>
      </c>
      <c r="L374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48" s="22" t="str">
        <f>HYPERLINK("mailto:vvalladares@crm.otsuka-europe.com", "vvalladares@crm.otsuka-europe.com")</f>
        <v>vvalladares@crm.otsuka-europe.com</v>
      </c>
      <c r="N3748" s="25">
        <v>46213.510312500002</v>
      </c>
      <c r="O3748" s="14" t="str">
        <f>HYPERLINK("https://otsuka-europe-crm.veevavault.com/ui/#object/email_activity__v/V8C000000048200", "EN-002104661")</f>
        <v>EN-002104661</v>
      </c>
    </row>
    <row r="3749" spans="1:15" ht="16" x14ac:dyDescent="0.2">
      <c r="A3749" s="26"/>
      <c r="B3749" s="26"/>
      <c r="C3749" s="26"/>
      <c r="D3749" s="26"/>
      <c r="E3749" s="26"/>
      <c r="F3749" s="26"/>
      <c r="G3749" s="26"/>
      <c r="H3749" s="26"/>
      <c r="I3749" s="26"/>
      <c r="J3749" s="26"/>
      <c r="K3749" s="26"/>
      <c r="L3749" s="26"/>
      <c r="M3749" s="26"/>
      <c r="N3749" s="26"/>
      <c r="O3749" s="14" t="str">
        <f>HYPERLINK("https://otsuka-europe-crm.veevavault.com/ui/#object/email_activity__v/V8C000000049014", "EN-002104894")</f>
        <v>EN-002104894</v>
      </c>
    </row>
    <row r="3750" spans="1:15" ht="16" x14ac:dyDescent="0.2">
      <c r="A3750" s="19"/>
      <c r="B3750" s="19"/>
      <c r="C3750" s="19"/>
      <c r="D3750" s="19"/>
      <c r="E3750" s="19"/>
      <c r="F3750" s="19"/>
      <c r="G3750" s="19"/>
      <c r="H3750" s="19"/>
      <c r="I3750" s="19"/>
      <c r="J3750" s="19"/>
      <c r="K3750" s="19"/>
      <c r="L3750" s="19"/>
      <c r="M3750" s="19"/>
      <c r="N3750" s="19"/>
      <c r="O3750" s="14" t="str">
        <f>HYPERLINK("https://otsuka-europe-crm.veevavault.com/ui/#object/email_activity__v/V8C00000004H349", "EN-002111567")</f>
        <v>EN-002111567</v>
      </c>
    </row>
    <row r="3751" spans="1:15" ht="64" x14ac:dyDescent="0.2">
      <c r="A3751" s="7" t="str">
        <f>HYPERLINK("https://otsuka-europe-crm.veevavault.com/ui/#object/account__v/V4TZ04ASG9REL42", "SARA MANRIQUE ARIJA")</f>
        <v>SARA MANRIQUE ARIJA</v>
      </c>
      <c r="B3751" s="7" t="str">
        <f>HYPERLINK("https://otsuka-europe-crm.veevavault.com/ui/#object/vcountry__v/VENZ000004SONF5", "ES")</f>
        <v>ES</v>
      </c>
      <c r="C3751" s="8" t="s">
        <v>39</v>
      </c>
      <c r="D375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51" s="10" t="str">
        <f>HYPERLINK("https://otsuka-europe-crm.veevavault.com/ui/#object/sent_email__v/VBL000000035284", "SE-001443465")</f>
        <v>SE-001443465</v>
      </c>
      <c r="F3751" s="11"/>
      <c r="G3751" s="12">
        <v>0</v>
      </c>
      <c r="H3751" s="12">
        <v>0</v>
      </c>
      <c r="I3751" s="12">
        <v>0</v>
      </c>
      <c r="J3751" s="11"/>
      <c r="K3751" s="12">
        <v>0</v>
      </c>
      <c r="L375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51" s="10" t="str">
        <f>HYPERLINK("mailto:vvalladares@crm.otsuka-europe.com", "vvalladares@crm.otsuka-europe.com")</f>
        <v>vvalladares@crm.otsuka-europe.com</v>
      </c>
      <c r="N3751" s="13">
        <v>46213.510312500002</v>
      </c>
      <c r="O3751" s="14" t="str">
        <f>HYPERLINK("https://otsuka-europe-crm.veevavault.com/ui/#object/email_activity__v/V8C000000047304", "EN-002104668")</f>
        <v>EN-002104668</v>
      </c>
    </row>
    <row r="3752" spans="1:15" ht="64" x14ac:dyDescent="0.2">
      <c r="A3752" s="7" t="str">
        <f>HYPERLINK("https://otsuka-europe-crm.veevavault.com/ui/#object/account__v/V4TZ04ASG9BFDA3", "ANTONIO JENARO AZNAR ESQUIVEL")</f>
        <v>ANTONIO JENARO AZNAR ESQUIVEL</v>
      </c>
      <c r="B3752" s="7" t="str">
        <f>HYPERLINK("https://otsuka-europe-crm.veevavault.com/ui/#object/vcountry__v/VENZ000004SONF5", "ES")</f>
        <v>ES</v>
      </c>
      <c r="C3752" s="8" t="s">
        <v>39</v>
      </c>
      <c r="D375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52" s="10" t="str">
        <f>HYPERLINK("https://otsuka-europe-crm.veevavault.com/ui/#object/sent_email__v/VBL000000035285", "SE-001443466")</f>
        <v>SE-001443466</v>
      </c>
      <c r="F3752" s="11"/>
      <c r="G3752" s="12">
        <v>0</v>
      </c>
      <c r="H3752" s="12">
        <v>0</v>
      </c>
      <c r="I3752" s="12">
        <v>0</v>
      </c>
      <c r="J3752" s="11"/>
      <c r="K3752" s="12">
        <v>0</v>
      </c>
      <c r="L375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52" s="10" t="str">
        <f>HYPERLINK("mailto:vvalladares@crm.otsuka-europe.com", "vvalladares@crm.otsuka-europe.com")</f>
        <v>vvalladares@crm.otsuka-europe.com</v>
      </c>
      <c r="N3752" s="13">
        <v>46213.510312500002</v>
      </c>
      <c r="O3752" s="14" t="str">
        <f>HYPERLINK("https://otsuka-europe-crm.veevavault.com/ui/#object/email_activity__v/V8C000000047284", "EN-002104636")</f>
        <v>EN-002104636</v>
      </c>
    </row>
    <row r="3753" spans="1:15" ht="16" x14ac:dyDescent="0.2">
      <c r="A3753" s="18" t="str">
        <f>HYPERLINK("https://otsuka-europe-crm.veevavault.com/ui/#object/account__v/V4TZ04ASGABWAEG", "FRANCISCO JAVIER GODOY NAVARRETE")</f>
        <v>FRANCISCO JAVIER GODOY NAVARRETE</v>
      </c>
      <c r="B3753" s="18" t="str">
        <f>HYPERLINK("https://otsuka-europe-crm.veevavault.com/ui/#object/vcountry__v/VENZ000004SONF5", "ES")</f>
        <v>ES</v>
      </c>
      <c r="C3753" s="20" t="s">
        <v>39</v>
      </c>
      <c r="D375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53" s="22" t="str">
        <f>HYPERLINK("https://otsuka-europe-crm.veevavault.com/ui/#object/sent_email__v/VBL000000035286", "SE-001443467")</f>
        <v>SE-001443467</v>
      </c>
      <c r="F3753" s="25">
        <v>46213.512453703705</v>
      </c>
      <c r="G3753" s="24">
        <v>1</v>
      </c>
      <c r="H3753" s="24">
        <v>1</v>
      </c>
      <c r="I3753" s="24">
        <v>0</v>
      </c>
      <c r="J3753" s="23"/>
      <c r="K3753" s="24">
        <v>0</v>
      </c>
      <c r="L375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53" s="22" t="str">
        <f>HYPERLINK("mailto:vvalladares@crm.otsuka-europe.com", "vvalladares@crm.otsuka-europe.com")</f>
        <v>vvalladares@crm.otsuka-europe.com</v>
      </c>
      <c r="N3753" s="25">
        <v>46213.510312500002</v>
      </c>
      <c r="O3753" s="14" t="str">
        <f>HYPERLINK("https://otsuka-europe-crm.veevavault.com/ui/#object/email_activity__v/V8C000000047290", "EN-002104649")</f>
        <v>EN-002104649</v>
      </c>
    </row>
    <row r="3754" spans="1:15" ht="16" x14ac:dyDescent="0.2">
      <c r="A3754" s="19"/>
      <c r="B3754" s="19"/>
      <c r="C3754" s="19"/>
      <c r="D3754" s="19"/>
      <c r="E3754" s="19"/>
      <c r="F3754" s="19"/>
      <c r="G3754" s="19"/>
      <c r="H3754" s="19"/>
      <c r="I3754" s="19"/>
      <c r="J3754" s="19"/>
      <c r="K3754" s="19"/>
      <c r="L3754" s="19"/>
      <c r="M3754" s="19"/>
      <c r="N3754" s="19"/>
      <c r="O3754" s="14" t="str">
        <f>HYPERLINK("https://otsuka-europe-crm.veevavault.com/ui/#object/email_activity__v/V8C000000047309", "EN-002104676")</f>
        <v>EN-002104676</v>
      </c>
    </row>
    <row r="3755" spans="1:15" ht="16" x14ac:dyDescent="0.2">
      <c r="A3755" s="18" t="str">
        <f>HYPERLINK("https://otsuka-europe-crm.veevavault.com/ui/#object/account__v/V4TZ04ASG9MFL3E", "CARLOS RODRIGUEZ ESCALERA")</f>
        <v>CARLOS RODRIGUEZ ESCALERA</v>
      </c>
      <c r="B3755" s="18" t="str">
        <f>HYPERLINK("https://otsuka-europe-crm.veevavault.com/ui/#object/vcountry__v/VENZ000004SONF5", "ES")</f>
        <v>ES</v>
      </c>
      <c r="C3755" s="20" t="s">
        <v>39</v>
      </c>
      <c r="D375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55" s="22" t="str">
        <f>HYPERLINK("https://otsuka-europe-crm.veevavault.com/ui/#object/sent_email__v/VBL000000035287", "SE-001443468")</f>
        <v>SE-001443468</v>
      </c>
      <c r="F3755" s="25">
        <v>46216.646944444445</v>
      </c>
      <c r="G3755" s="24">
        <v>1</v>
      </c>
      <c r="H3755" s="24">
        <v>2</v>
      </c>
      <c r="I3755" s="24">
        <v>1</v>
      </c>
      <c r="J3755" s="25">
        <v>46216.647129629629</v>
      </c>
      <c r="K3755" s="24">
        <v>1</v>
      </c>
      <c r="L375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55" s="22" t="str">
        <f>HYPERLINK("mailto:vvalladares@crm.otsuka-europe.com", "vvalladares@crm.otsuka-europe.com")</f>
        <v>vvalladares@crm.otsuka-europe.com</v>
      </c>
      <c r="N3755" s="25">
        <v>46213.510312500002</v>
      </c>
      <c r="O3755" s="14" t="str">
        <f>HYPERLINK("https://otsuka-europe-crm.veevavault.com/ui/#object/email_activity__v/V8C000000047285", "EN-002104637")</f>
        <v>EN-002104637</v>
      </c>
    </row>
    <row r="3756" spans="1:15" ht="16" x14ac:dyDescent="0.2">
      <c r="A3756" s="26"/>
      <c r="B3756" s="26"/>
      <c r="C3756" s="26"/>
      <c r="D3756" s="26"/>
      <c r="E3756" s="26"/>
      <c r="F3756" s="26"/>
      <c r="G3756" s="26"/>
      <c r="H3756" s="26"/>
      <c r="I3756" s="26"/>
      <c r="J3756" s="26"/>
      <c r="K3756" s="26"/>
      <c r="L3756" s="26"/>
      <c r="M3756" s="26"/>
      <c r="N3756" s="26"/>
      <c r="O3756" s="14" t="str">
        <f>HYPERLINK("https://otsuka-europe-crm.veevavault.com/ui/#object/email_activity__v/V8C000000047335", "EN-002104740")</f>
        <v>EN-002104740</v>
      </c>
    </row>
    <row r="3757" spans="1:15" ht="16" x14ac:dyDescent="0.2">
      <c r="A3757" s="26"/>
      <c r="B3757" s="26"/>
      <c r="C3757" s="26"/>
      <c r="D3757" s="26"/>
      <c r="E3757" s="26"/>
      <c r="F3757" s="26"/>
      <c r="G3757" s="26"/>
      <c r="H3757" s="26"/>
      <c r="I3757" s="26"/>
      <c r="J3757" s="26"/>
      <c r="K3757" s="26"/>
      <c r="L3757" s="26"/>
      <c r="M3757" s="26"/>
      <c r="N3757" s="26"/>
      <c r="O3757" s="14" t="str">
        <f>HYPERLINK("https://otsuka-europe-crm.veevavault.com/ui/#object/email_activity__v/V8C000000047366", "EN-002104805")</f>
        <v>EN-002104805</v>
      </c>
    </row>
    <row r="3758" spans="1:15" ht="16" x14ac:dyDescent="0.2">
      <c r="A3758" s="26"/>
      <c r="B3758" s="26"/>
      <c r="C3758" s="26"/>
      <c r="D3758" s="26"/>
      <c r="E3758" s="26"/>
      <c r="F3758" s="26"/>
      <c r="G3758" s="26"/>
      <c r="H3758" s="26"/>
      <c r="I3758" s="26"/>
      <c r="J3758" s="26"/>
      <c r="K3758" s="26"/>
      <c r="L3758" s="26"/>
      <c r="M3758" s="26"/>
      <c r="N3758" s="26"/>
      <c r="O3758" s="14" t="str">
        <f>HYPERLINK("https://otsuka-europe-crm.veevavault.com/ui/#object/email_activity__v/V8C000000048278", "EN-002104806")</f>
        <v>EN-002104806</v>
      </c>
    </row>
    <row r="3759" spans="1:15" ht="16" x14ac:dyDescent="0.2">
      <c r="A3759" s="26"/>
      <c r="B3759" s="26"/>
      <c r="C3759" s="26"/>
      <c r="D3759" s="26"/>
      <c r="E3759" s="26"/>
      <c r="F3759" s="26"/>
      <c r="G3759" s="26"/>
      <c r="H3759" s="26"/>
      <c r="I3759" s="26"/>
      <c r="J3759" s="26"/>
      <c r="K3759" s="26"/>
      <c r="L3759" s="26"/>
      <c r="M3759" s="26"/>
      <c r="N3759" s="26"/>
      <c r="O3759" s="14" t="str">
        <f>HYPERLINK("https://otsuka-europe-crm.veevavault.com/ui/#object/email_activity__v/V8C000000049370", "EN-002105538")</f>
        <v>EN-002105538</v>
      </c>
    </row>
    <row r="3760" spans="1:15" ht="16" x14ac:dyDescent="0.2">
      <c r="A3760" s="19"/>
      <c r="B3760" s="19"/>
      <c r="C3760" s="19"/>
      <c r="D3760" s="19"/>
      <c r="E3760" s="19"/>
      <c r="F3760" s="19"/>
      <c r="G3760" s="19"/>
      <c r="H3760" s="19"/>
      <c r="I3760" s="19"/>
      <c r="J3760" s="19"/>
      <c r="K3760" s="19"/>
      <c r="L3760" s="19"/>
      <c r="M3760" s="19"/>
      <c r="N3760" s="19"/>
      <c r="O3760" s="14" t="str">
        <f>HYPERLINK("https://otsuka-europe-crm.veevavault.com/ui/#object/email_activity__v/V8C000000049371", "EN-002105539")</f>
        <v>EN-002105539</v>
      </c>
    </row>
    <row r="3761" spans="1:15" ht="64" x14ac:dyDescent="0.2">
      <c r="A3761" s="7" t="str">
        <f>HYPERLINK("https://otsuka-europe-crm.veevavault.com/ui/#object/account__v/V4TZ04ASG9MFHS3", "CARMEN MARIA ROMERO BARCO")</f>
        <v>CARMEN MARIA ROMERO BARCO</v>
      </c>
      <c r="B3761" s="7" t="str">
        <f>HYPERLINK("https://otsuka-europe-crm.veevavault.com/ui/#object/vcountry__v/VENZ000004SONF5", "ES")</f>
        <v>ES</v>
      </c>
      <c r="C3761" s="8" t="s">
        <v>39</v>
      </c>
      <c r="D376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3761" s="10" t="str">
        <f>HYPERLINK("https://otsuka-europe-crm.veevavault.com/ui/#object/sent_email__v/VBL000000035288", "SE-001443469")</f>
        <v>SE-001443469</v>
      </c>
      <c r="F3761" s="11"/>
      <c r="G3761" s="12">
        <v>0</v>
      </c>
      <c r="H3761" s="12">
        <v>0</v>
      </c>
      <c r="I3761" s="12">
        <v>0</v>
      </c>
      <c r="J3761" s="11"/>
      <c r="K3761" s="12">
        <v>0</v>
      </c>
      <c r="L376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3761" s="10" t="str">
        <f>HYPERLINK("mailto:vvalladares@crm.otsuka-europe.com", "vvalladares@crm.otsuka-europe.com")</f>
        <v>vvalladares@crm.otsuka-europe.com</v>
      </c>
      <c r="N3761" s="13">
        <v>46213.510231481479</v>
      </c>
      <c r="O3761" s="14" t="str">
        <f>HYPERLINK("https://otsuka-europe-crm.veevavault.com/ui/#object/email_activity__v/V8C000000048192", "EN-002104640")</f>
        <v>EN-002104640</v>
      </c>
    </row>
    <row r="3762" spans="1:15" ht="16" x14ac:dyDescent="0.2">
      <c r="A3762" s="18" t="str">
        <f>HYPERLINK("https://otsuka-europe-crm.veevavault.com/ui/#object/account__v/V4T00000002C002", "ERNESTO GALVEZ CARRASCO")</f>
        <v>ERNESTO GALVEZ CARRASCO</v>
      </c>
      <c r="B3762" s="18" t="str">
        <f>HYPERLINK("https://otsuka-europe-crm.veevavault.com/ui/#object/vcountry__v/VENZ000004SONF5", "ES")</f>
        <v>ES</v>
      </c>
      <c r="C3762" s="20" t="s">
        <v>39</v>
      </c>
      <c r="D3762" s="21" t="str">
        <f>HYPERLINK("https://otsuka-europe-crm.veevavault.com/ui/#object/approved_document__v/V5O00000000D100", "Spain - Consent Email 1 Aug 25")</f>
        <v>Spain - Consent Email 1 Aug 25</v>
      </c>
      <c r="E3762" s="22" t="str">
        <f>HYPERLINK("https://otsuka-europe-crm.veevavault.com/ui/#object/sent_email__v/VBL000000035289", "SE-001443470")</f>
        <v>SE-001443470</v>
      </c>
      <c r="F3762" s="25">
        <v>46215.808842592596</v>
      </c>
      <c r="G3762" s="24">
        <v>1</v>
      </c>
      <c r="H3762" s="24">
        <v>10</v>
      </c>
      <c r="I3762" s="24">
        <v>0</v>
      </c>
      <c r="J3762" s="23"/>
      <c r="K3762" s="24">
        <v>0</v>
      </c>
      <c r="L3762" s="22" t="str">
        <f>HYPERLINK("https://otsuka-europe-crm.veevavault.com/ui/#object/approved_document__v/V5O00000000D100", "Spain - Consent Email 1 Aug 25")</f>
        <v>Spain - Consent Email 1 Aug 25</v>
      </c>
      <c r="M3762" s="22" t="str">
        <f>HYPERLINK("mailto:mgravan@crm.otsuka-europe.com", "mgravan@crm.otsuka-europe.com")</f>
        <v>mgravan@crm.otsuka-europe.com</v>
      </c>
      <c r="N3762" s="25">
        <v>46213.529745370368</v>
      </c>
      <c r="O3762" s="14" t="str">
        <f>HYPERLINK("https://otsuka-europe-crm.veevavault.com/ui/#object/email_activity__v/V8C000000047324", "EN-002104699")</f>
        <v>EN-002104699</v>
      </c>
    </row>
    <row r="3763" spans="1:15" ht="16" x14ac:dyDescent="0.2">
      <c r="A3763" s="26"/>
      <c r="B3763" s="26"/>
      <c r="C3763" s="26"/>
      <c r="D3763" s="26"/>
      <c r="E3763" s="26"/>
      <c r="F3763" s="26"/>
      <c r="G3763" s="26"/>
      <c r="H3763" s="26"/>
      <c r="I3763" s="26"/>
      <c r="J3763" s="26"/>
      <c r="K3763" s="26"/>
      <c r="L3763" s="26"/>
      <c r="M3763" s="26"/>
      <c r="N3763" s="26"/>
      <c r="O3763" s="14" t="str">
        <f>HYPERLINK("https://otsuka-europe-crm.veevavault.com/ui/#object/email_activity__v/V8C000000048224", "EN-002104710")</f>
        <v>EN-002104710</v>
      </c>
    </row>
    <row r="3764" spans="1:15" ht="16" x14ac:dyDescent="0.2">
      <c r="A3764" s="26"/>
      <c r="B3764" s="26"/>
      <c r="C3764" s="26"/>
      <c r="D3764" s="26"/>
      <c r="E3764" s="26"/>
      <c r="F3764" s="26"/>
      <c r="G3764" s="26"/>
      <c r="H3764" s="26"/>
      <c r="I3764" s="26"/>
      <c r="J3764" s="26"/>
      <c r="K3764" s="26"/>
      <c r="L3764" s="26"/>
      <c r="M3764" s="26"/>
      <c r="N3764" s="26"/>
      <c r="O3764" s="14" t="str">
        <f>HYPERLINK("https://otsuka-europe-crm.veevavault.com/ui/#object/email_activity__v/V8C000000049051", "EN-002104970")</f>
        <v>EN-002104970</v>
      </c>
    </row>
    <row r="3765" spans="1:15" ht="16" x14ac:dyDescent="0.2">
      <c r="A3765" s="26"/>
      <c r="B3765" s="26"/>
      <c r="C3765" s="26"/>
      <c r="D3765" s="26"/>
      <c r="E3765" s="26"/>
      <c r="F3765" s="26"/>
      <c r="G3765" s="26"/>
      <c r="H3765" s="26"/>
      <c r="I3765" s="26"/>
      <c r="J3765" s="26"/>
      <c r="K3765" s="26"/>
      <c r="L3765" s="26"/>
      <c r="M3765" s="26"/>
      <c r="N3765" s="26"/>
      <c r="O3765" s="14" t="str">
        <f>HYPERLINK("https://otsuka-europe-crm.veevavault.com/ui/#object/email_activity__v/V8C000000049054", "EN-002104973")</f>
        <v>EN-002104973</v>
      </c>
    </row>
    <row r="3766" spans="1:15" ht="16" x14ac:dyDescent="0.2">
      <c r="A3766" s="26"/>
      <c r="B3766" s="26"/>
      <c r="C3766" s="26"/>
      <c r="D3766" s="26"/>
      <c r="E3766" s="26"/>
      <c r="F3766" s="26"/>
      <c r="G3766" s="26"/>
      <c r="H3766" s="26"/>
      <c r="I3766" s="26"/>
      <c r="J3766" s="26"/>
      <c r="K3766" s="26"/>
      <c r="L3766" s="26"/>
      <c r="M3766" s="26"/>
      <c r="N3766" s="26"/>
      <c r="O3766" s="14" t="str">
        <f>HYPERLINK("https://otsuka-europe-crm.veevavault.com/ui/#object/email_activity__v/V8C000000049066", "EN-002104995")</f>
        <v>EN-002104995</v>
      </c>
    </row>
    <row r="3767" spans="1:15" ht="16" x14ac:dyDescent="0.2">
      <c r="A3767" s="26"/>
      <c r="B3767" s="26"/>
      <c r="C3767" s="26"/>
      <c r="D3767" s="26"/>
      <c r="E3767" s="26"/>
      <c r="F3767" s="26"/>
      <c r="G3767" s="26"/>
      <c r="H3767" s="26"/>
      <c r="I3767" s="26"/>
      <c r="J3767" s="26"/>
      <c r="K3767" s="26"/>
      <c r="L3767" s="26"/>
      <c r="M3767" s="26"/>
      <c r="N3767" s="26"/>
      <c r="O3767" s="14" t="str">
        <f>HYPERLINK("https://otsuka-europe-crm.veevavault.com/ui/#object/email_activity__v/V8C000000049073", "EN-002105005")</f>
        <v>EN-002105005</v>
      </c>
    </row>
    <row r="3768" spans="1:15" ht="16" x14ac:dyDescent="0.2">
      <c r="A3768" s="26"/>
      <c r="B3768" s="26"/>
      <c r="C3768" s="26"/>
      <c r="D3768" s="26"/>
      <c r="E3768" s="26"/>
      <c r="F3768" s="26"/>
      <c r="G3768" s="26"/>
      <c r="H3768" s="26"/>
      <c r="I3768" s="26"/>
      <c r="J3768" s="26"/>
      <c r="K3768" s="26"/>
      <c r="L3768" s="26"/>
      <c r="M3768" s="26"/>
      <c r="N3768" s="26"/>
      <c r="O3768" s="14" t="str">
        <f>HYPERLINK("https://otsuka-europe-crm.veevavault.com/ui/#object/email_activity__v/V8C000000049077", "EN-002105009")</f>
        <v>EN-002105009</v>
      </c>
    </row>
    <row r="3769" spans="1:15" ht="16" x14ac:dyDescent="0.2">
      <c r="A3769" s="26"/>
      <c r="B3769" s="26"/>
      <c r="C3769" s="26"/>
      <c r="D3769" s="26"/>
      <c r="E3769" s="26"/>
      <c r="F3769" s="26"/>
      <c r="G3769" s="26"/>
      <c r="H3769" s="26"/>
      <c r="I3769" s="26"/>
      <c r="J3769" s="26"/>
      <c r="K3769" s="26"/>
      <c r="L3769" s="26"/>
      <c r="M3769" s="26"/>
      <c r="N3769" s="26"/>
      <c r="O3769" s="14" t="str">
        <f>HYPERLINK("https://otsuka-europe-crm.veevavault.com/ui/#object/email_activity__v/V8C00000004A019", "EN-002104906")</f>
        <v>EN-002104906</v>
      </c>
    </row>
    <row r="3770" spans="1:15" ht="16" x14ac:dyDescent="0.2">
      <c r="A3770" s="26"/>
      <c r="B3770" s="26"/>
      <c r="C3770" s="26"/>
      <c r="D3770" s="26"/>
      <c r="E3770" s="26"/>
      <c r="F3770" s="26"/>
      <c r="G3770" s="26"/>
      <c r="H3770" s="26"/>
      <c r="I3770" s="26"/>
      <c r="J3770" s="26"/>
      <c r="K3770" s="26"/>
      <c r="L3770" s="26"/>
      <c r="M3770" s="26"/>
      <c r="N3770" s="26"/>
      <c r="O3770" s="14" t="str">
        <f>HYPERLINK("https://otsuka-europe-crm.veevavault.com/ui/#object/email_activity__v/V8C00000004A047", "EN-002104960")</f>
        <v>EN-002104960</v>
      </c>
    </row>
    <row r="3771" spans="1:15" ht="16" x14ac:dyDescent="0.2">
      <c r="A3771" s="26"/>
      <c r="B3771" s="26"/>
      <c r="C3771" s="26"/>
      <c r="D3771" s="26"/>
      <c r="E3771" s="26"/>
      <c r="F3771" s="26"/>
      <c r="G3771" s="26"/>
      <c r="H3771" s="26"/>
      <c r="I3771" s="26"/>
      <c r="J3771" s="26"/>
      <c r="K3771" s="26"/>
      <c r="L3771" s="26"/>
      <c r="M3771" s="26"/>
      <c r="N3771" s="26"/>
      <c r="O3771" s="14" t="str">
        <f>HYPERLINK("https://otsuka-europe-crm.veevavault.com/ui/#object/email_activity__v/V8C00000004A061", "EN-002104994")</f>
        <v>EN-002104994</v>
      </c>
    </row>
    <row r="3772" spans="1:15" ht="16" x14ac:dyDescent="0.2">
      <c r="A3772" s="19"/>
      <c r="B3772" s="19"/>
      <c r="C3772" s="19"/>
      <c r="D3772" s="19"/>
      <c r="E3772" s="19"/>
      <c r="F3772" s="19"/>
      <c r="G3772" s="19"/>
      <c r="H3772" s="19"/>
      <c r="I3772" s="19"/>
      <c r="J3772" s="19"/>
      <c r="K3772" s="19"/>
      <c r="L3772" s="19"/>
      <c r="M3772" s="19"/>
      <c r="N3772" s="19"/>
      <c r="O3772" s="14" t="str">
        <f>HYPERLINK("https://otsuka-europe-crm.veevavault.com/ui/#object/email_activity__v/V8C00000004A064", "EN-002105003")</f>
        <v>EN-002105003</v>
      </c>
    </row>
    <row r="3773" spans="1:15" ht="16" x14ac:dyDescent="0.2">
      <c r="A3773" s="18" t="str">
        <f>HYPERLINK("https://otsuka-europe-crm.veevavault.com/ui/#object/account__v/V4TZ00000633RFH", "FLORENCE DUVIVIER")</f>
        <v>FLORENCE DUVIVIER</v>
      </c>
      <c r="B3773" s="18" t="str">
        <f>HYPERLINK("https://otsuka-europe-crm.veevavault.com/ui/#object/vcountry__v/VENZ000004SONFA", "FR")</f>
        <v>FR</v>
      </c>
      <c r="C3773" s="20" t="s">
        <v>40</v>
      </c>
      <c r="D3773" s="21" t="str">
        <f>HYPERLINK("https://otsuka-europe-crm.veevavault.com/ui/#object/approved_document__v/V5OZ04ASG4G02Y6", "INVITATION_VAD_2023")</f>
        <v>INVITATION_VAD_2023</v>
      </c>
      <c r="E3773" s="22" t="str">
        <f>HYPERLINK("https://otsuka-europe-crm.veevavault.com/ui/#object/sent_email__v/VBL000000036080", "SE-001443471")</f>
        <v>SE-001443471</v>
      </c>
      <c r="F3773" s="25">
        <v>46224.938622685186</v>
      </c>
      <c r="G3773" s="24">
        <v>1</v>
      </c>
      <c r="H3773" s="24">
        <v>4</v>
      </c>
      <c r="I3773" s="24">
        <v>0</v>
      </c>
      <c r="J3773" s="23"/>
      <c r="K3773" s="24">
        <v>0</v>
      </c>
      <c r="L3773" s="22" t="str">
        <f>HYPERLINK("https://otsuka-europe-crm.veevavault.com/ui/#object/approved_document__v/V5OZ04ASG4G02Y6", "INVITATION_VAD_2023")</f>
        <v>INVITATION_VAD_2023</v>
      </c>
      <c r="M3773" s="22" t="str">
        <f>HYPERLINK("mailto:cchevalliermiserole@crm.otsuka-europe.com", "cchevalliermiserole@crm.otsuka-europe.com")</f>
        <v>cchevalliermiserole@crm.otsuka-europe.com</v>
      </c>
      <c r="N3773" s="25">
        <v>46213.656226851854</v>
      </c>
      <c r="O3773" s="14" t="str">
        <f>HYPERLINK("https://otsuka-europe-crm.veevavault.com/ui/#object/email_activity__v/V8C000000048266", "EN-002104784")</f>
        <v>EN-002104784</v>
      </c>
    </row>
    <row r="3774" spans="1:15" ht="16" x14ac:dyDescent="0.2">
      <c r="A3774" s="26"/>
      <c r="B3774" s="26"/>
      <c r="C3774" s="26"/>
      <c r="D3774" s="26"/>
      <c r="E3774" s="26"/>
      <c r="F3774" s="26"/>
      <c r="G3774" s="26"/>
      <c r="H3774" s="26"/>
      <c r="I3774" s="26"/>
      <c r="J3774" s="26"/>
      <c r="K3774" s="26"/>
      <c r="L3774" s="26"/>
      <c r="M3774" s="26"/>
      <c r="N3774" s="26"/>
      <c r="O3774" s="14" t="str">
        <f>HYPERLINK("https://otsuka-europe-crm.veevavault.com/ui/#object/email_activity__v/V8C000000048269", "EN-002104787")</f>
        <v>EN-002104787</v>
      </c>
    </row>
    <row r="3775" spans="1:15" ht="16" x14ac:dyDescent="0.2">
      <c r="A3775" s="26"/>
      <c r="B3775" s="26"/>
      <c r="C3775" s="26"/>
      <c r="D3775" s="26"/>
      <c r="E3775" s="26"/>
      <c r="F3775" s="26"/>
      <c r="G3775" s="26"/>
      <c r="H3775" s="26"/>
      <c r="I3775" s="26"/>
      <c r="J3775" s="26"/>
      <c r="K3775" s="26"/>
      <c r="L3775" s="26"/>
      <c r="M3775" s="26"/>
      <c r="N3775" s="26"/>
      <c r="O3775" s="14" t="str">
        <f>HYPERLINK("https://otsuka-europe-crm.veevavault.com/ui/#object/email_activity__v/V8C000000049036", "EN-002104942")</f>
        <v>EN-002104942</v>
      </c>
    </row>
    <row r="3776" spans="1:15" ht="16" x14ac:dyDescent="0.2">
      <c r="A3776" s="26"/>
      <c r="B3776" s="26"/>
      <c r="C3776" s="26"/>
      <c r="D3776" s="26"/>
      <c r="E3776" s="26"/>
      <c r="F3776" s="26"/>
      <c r="G3776" s="26"/>
      <c r="H3776" s="26"/>
      <c r="I3776" s="26"/>
      <c r="J3776" s="26"/>
      <c r="K3776" s="26"/>
      <c r="L3776" s="26"/>
      <c r="M3776" s="26"/>
      <c r="N3776" s="26"/>
      <c r="O3776" s="14" t="str">
        <f>HYPERLINK("https://otsuka-europe-crm.veevavault.com/ui/#object/email_activity__v/V8C000000049691", "EN-002106201")</f>
        <v>EN-002106201</v>
      </c>
    </row>
    <row r="3777" spans="1:15" ht="16" x14ac:dyDescent="0.2">
      <c r="A3777" s="26"/>
      <c r="B3777" s="26"/>
      <c r="C3777" s="26"/>
      <c r="D3777" s="26"/>
      <c r="E3777" s="26"/>
      <c r="F3777" s="26"/>
      <c r="G3777" s="26"/>
      <c r="H3777" s="26"/>
      <c r="I3777" s="26"/>
      <c r="J3777" s="26"/>
      <c r="K3777" s="26"/>
      <c r="L3777" s="26"/>
      <c r="M3777" s="26"/>
      <c r="N3777" s="26"/>
      <c r="O3777" s="14" t="str">
        <f>HYPERLINK("https://otsuka-europe-crm.veevavault.com/ui/#object/email_activity__v/V8C00000004B093", "EN-002106890")</f>
        <v>EN-002106890</v>
      </c>
    </row>
    <row r="3778" spans="1:15" ht="16" x14ac:dyDescent="0.2">
      <c r="A3778" s="26"/>
      <c r="B3778" s="26"/>
      <c r="C3778" s="26"/>
      <c r="D3778" s="26"/>
      <c r="E3778" s="26"/>
      <c r="F3778" s="26"/>
      <c r="G3778" s="26"/>
      <c r="H3778" s="26"/>
      <c r="I3778" s="26"/>
      <c r="J3778" s="26"/>
      <c r="K3778" s="26"/>
      <c r="L3778" s="26"/>
      <c r="M3778" s="26"/>
      <c r="N3778" s="26"/>
      <c r="O3778" s="14" t="str">
        <f>HYPERLINK("https://otsuka-europe-crm.veevavault.com/ui/#object/email_activity__v/V8C00000004C188", "EN-002107184")</f>
        <v>EN-002107184</v>
      </c>
    </row>
    <row r="3779" spans="1:15" ht="16" x14ac:dyDescent="0.2">
      <c r="A3779" s="19"/>
      <c r="B3779" s="19"/>
      <c r="C3779" s="19"/>
      <c r="D3779" s="19"/>
      <c r="E3779" s="19"/>
      <c r="F3779" s="19"/>
      <c r="G3779" s="19"/>
      <c r="H3779" s="19"/>
      <c r="I3779" s="19"/>
      <c r="J3779" s="19"/>
      <c r="K3779" s="19"/>
      <c r="L3779" s="19"/>
      <c r="M3779" s="19"/>
      <c r="N3779" s="19"/>
      <c r="O3779" s="14" t="str">
        <f>HYPERLINK("https://otsuka-europe-crm.veevavault.com/ui/#object/email_activity__v/V8C00000004H126", "EN-002111171")</f>
        <v>EN-002111171</v>
      </c>
    </row>
    <row r="3780" spans="1:15" ht="16" x14ac:dyDescent="0.2">
      <c r="A3780" s="18" t="str">
        <f>HYPERLINK("https://otsuka-europe-crm.veevavault.com/ui/#object/account__v/V4TZ00000633V1P", "SOPHIE MAYEUR")</f>
        <v>SOPHIE MAYEUR</v>
      </c>
      <c r="B3780" s="18" t="str">
        <f>HYPERLINK("https://otsuka-europe-crm.veevavault.com/ui/#object/vcountry__v/VENZ000004SONFA", "FR")</f>
        <v>FR</v>
      </c>
      <c r="C3780" s="20" t="s">
        <v>40</v>
      </c>
      <c r="D3780" s="21" t="str">
        <f>HYPERLINK("https://otsuka-europe-crm.veevavault.com/ui/#object/approved_document__v/V5OZ04ASG4G02Y6", "INVITATION_VAD_2023")</f>
        <v>INVITATION_VAD_2023</v>
      </c>
      <c r="E3780" s="22" t="str">
        <f>HYPERLINK("https://otsuka-europe-crm.veevavault.com/ui/#object/sent_email__v/VBL000000036081", "SE-001443472")</f>
        <v>SE-001443472</v>
      </c>
      <c r="F3780" s="25">
        <v>46213.713530092595</v>
      </c>
      <c r="G3780" s="24">
        <v>1</v>
      </c>
      <c r="H3780" s="24">
        <v>1</v>
      </c>
      <c r="I3780" s="24">
        <v>0</v>
      </c>
      <c r="J3780" s="23"/>
      <c r="K3780" s="24">
        <v>0</v>
      </c>
      <c r="L3780" s="22" t="str">
        <f>HYPERLINK("https://otsuka-europe-crm.veevavault.com/ui/#object/approved_document__v/V5OZ04ASG4G02Y6", "INVITATION_VAD_2023")</f>
        <v>INVITATION_VAD_2023</v>
      </c>
      <c r="M3780" s="22" t="str">
        <f>HYPERLINK("mailto:cchevalliermiserole@crm.otsuka-europe.com", "cchevalliermiserole@crm.otsuka-europe.com")</f>
        <v>cchevalliermiserole@crm.otsuka-europe.com</v>
      </c>
      <c r="N3780" s="25">
        <v>46213.656284722223</v>
      </c>
      <c r="O3780" s="14" t="str">
        <f>HYPERLINK("https://otsuka-europe-crm.veevavault.com/ui/#object/email_activity__v/V8C000000048268", "EN-002104786")</f>
        <v>EN-002104786</v>
      </c>
    </row>
    <row r="3781" spans="1:15" ht="16" x14ac:dyDescent="0.2">
      <c r="A3781" s="19"/>
      <c r="B3781" s="19"/>
      <c r="C3781" s="19"/>
      <c r="D3781" s="19"/>
      <c r="E3781" s="19"/>
      <c r="F3781" s="19"/>
      <c r="G3781" s="19"/>
      <c r="H3781" s="19"/>
      <c r="I3781" s="19"/>
      <c r="J3781" s="19"/>
      <c r="K3781" s="19"/>
      <c r="L3781" s="19"/>
      <c r="M3781" s="19"/>
      <c r="N3781" s="19"/>
      <c r="O3781" s="14" t="str">
        <f>HYPERLINK("https://otsuka-europe-crm.veevavault.com/ui/#object/email_activity__v/V8C000000048283", "EN-002104814")</f>
        <v>EN-002104814</v>
      </c>
    </row>
    <row r="3782" spans="1:15" ht="16" x14ac:dyDescent="0.2">
      <c r="A3782" s="18" t="str">
        <f>HYPERLINK("https://otsuka-europe-crm.veevavault.com/ui/#object/account__v/V4TZ00000633KE1", "ALEXANDRE BOT")</f>
        <v>ALEXANDRE BOT</v>
      </c>
      <c r="B3782" s="18" t="str">
        <f>HYPERLINK("https://otsuka-europe-crm.veevavault.com/ui/#object/vcountry__v/VENZ000004SONFA", "FR")</f>
        <v>FR</v>
      </c>
      <c r="C3782" s="20" t="s">
        <v>40</v>
      </c>
      <c r="D3782" s="21" t="str">
        <f>HYPERLINK("https://otsuka-europe-crm.veevavault.com/ui/#object/approved_document__v/V5OZ04ASG4G02Y6", "INVITATION_VAD_2023")</f>
        <v>INVITATION_VAD_2023</v>
      </c>
      <c r="E3782" s="22" t="str">
        <f>HYPERLINK("https://otsuka-europe-crm.veevavault.com/ui/#object/sent_email__v/VBL000000036082", "SE-001443473")</f>
        <v>SE-001443473</v>
      </c>
      <c r="F3782" s="23"/>
      <c r="G3782" s="24">
        <v>0</v>
      </c>
      <c r="H3782" s="24">
        <v>0</v>
      </c>
      <c r="I3782" s="24">
        <v>0</v>
      </c>
      <c r="J3782" s="23"/>
      <c r="K3782" s="24">
        <v>0</v>
      </c>
      <c r="L3782" s="22" t="str">
        <f>HYPERLINK("https://otsuka-europe-crm.veevavault.com/ui/#object/approved_document__v/V5OZ04ASG4G02Y6", "INVITATION_VAD_2023")</f>
        <v>INVITATION_VAD_2023</v>
      </c>
      <c r="M3782" s="22" t="str">
        <f>HYPERLINK("mailto:cchevalliermiserole@crm.otsuka-europe.com", "cchevalliermiserole@crm.otsuka-europe.com")</f>
        <v>cchevalliermiserole@crm.otsuka-europe.com</v>
      </c>
      <c r="N3782" s="25">
        <v>46213.656712962962</v>
      </c>
      <c r="O3782" s="14" t="str">
        <f>HYPERLINK("https://otsuka-europe-crm.veevavault.com/ui/#object/email_activity__v/V8C000000047373", "EN-002104822")</f>
        <v>EN-002104822</v>
      </c>
    </row>
    <row r="3783" spans="1:15" ht="16" x14ac:dyDescent="0.2">
      <c r="A3783" s="26"/>
      <c r="B3783" s="26"/>
      <c r="C3783" s="26"/>
      <c r="D3783" s="26"/>
      <c r="E3783" s="26"/>
      <c r="F3783" s="26"/>
      <c r="G3783" s="26"/>
      <c r="H3783" s="26"/>
      <c r="I3783" s="26"/>
      <c r="J3783" s="26"/>
      <c r="K3783" s="26"/>
      <c r="L3783" s="26"/>
      <c r="M3783" s="26"/>
      <c r="N3783" s="26"/>
      <c r="O3783" s="14" t="str">
        <f>HYPERLINK("https://otsuka-europe-crm.veevavault.com/ui/#object/email_activity__v/V8C000000048270", "EN-002104788")</f>
        <v>EN-002104788</v>
      </c>
    </row>
    <row r="3784" spans="1:15" ht="16" x14ac:dyDescent="0.2">
      <c r="A3784" s="26"/>
      <c r="B3784" s="26"/>
      <c r="C3784" s="26"/>
      <c r="D3784" s="26"/>
      <c r="E3784" s="26"/>
      <c r="F3784" s="26"/>
      <c r="G3784" s="26"/>
      <c r="H3784" s="26"/>
      <c r="I3784" s="26"/>
      <c r="J3784" s="26"/>
      <c r="K3784" s="26"/>
      <c r="L3784" s="26"/>
      <c r="M3784" s="26"/>
      <c r="N3784" s="26"/>
      <c r="O3784" s="14" t="str">
        <f>HYPERLINK("https://otsuka-europe-crm.veevavault.com/ui/#object/email_activity__v/V8C00000004B183", "EN-002107028")</f>
        <v>EN-002107028</v>
      </c>
    </row>
    <row r="3785" spans="1:15" ht="16" x14ac:dyDescent="0.2">
      <c r="A3785" s="19"/>
      <c r="B3785" s="19"/>
      <c r="C3785" s="19"/>
      <c r="D3785" s="19"/>
      <c r="E3785" s="19"/>
      <c r="F3785" s="19"/>
      <c r="G3785" s="19"/>
      <c r="H3785" s="19"/>
      <c r="I3785" s="19"/>
      <c r="J3785" s="19"/>
      <c r="K3785" s="19"/>
      <c r="L3785" s="19"/>
      <c r="M3785" s="19"/>
      <c r="N3785" s="19"/>
      <c r="O3785" s="14" t="str">
        <f>HYPERLINK("https://otsuka-europe-crm.veevavault.com/ui/#object/email_activity__v/V8C00000004C212", "EN-002107225")</f>
        <v>EN-002107225</v>
      </c>
    </row>
    <row r="3786" spans="1:15" ht="16" x14ac:dyDescent="0.2">
      <c r="A3786" s="18" t="str">
        <f>HYPERLINK("https://otsuka-europe-crm.veevavault.com/ui/#object/account__v/V4TZ00000633KE1", "ALEXANDRE BOT")</f>
        <v>ALEXANDRE BOT</v>
      </c>
      <c r="B3786" s="18" t="str">
        <f>HYPERLINK("https://otsuka-europe-crm.veevavault.com/ui/#object/vcountry__v/VENZ000004SONFA", "FR")</f>
        <v>FR</v>
      </c>
      <c r="C3786" s="20" t="s">
        <v>40</v>
      </c>
      <c r="D3786" s="21" t="str">
        <f>HYPERLINK("https://otsuka-europe-crm.veevavault.com/ui/#object/approved_document__v/V5OZ04ASG4G02Y6", "INVITATION_VAD_2023")</f>
        <v>INVITATION_VAD_2023</v>
      </c>
      <c r="E3786" s="22" t="str">
        <f>HYPERLINK("https://otsuka-europe-crm.veevavault.com/ui/#object/sent_email__v/VBL000000036083", "SE-001443474")</f>
        <v>SE-001443474</v>
      </c>
      <c r="F3786" s="23"/>
      <c r="G3786" s="24">
        <v>0</v>
      </c>
      <c r="H3786" s="24">
        <v>0</v>
      </c>
      <c r="I3786" s="24">
        <v>0</v>
      </c>
      <c r="J3786" s="23"/>
      <c r="K3786" s="24">
        <v>0</v>
      </c>
      <c r="L3786" s="22" t="str">
        <f>HYPERLINK("https://otsuka-europe-crm.veevavault.com/ui/#object/approved_document__v/V5OZ04ASG4G02Y6", "INVITATION_VAD_2023")</f>
        <v>INVITATION_VAD_2023</v>
      </c>
      <c r="M3786" s="22" t="str">
        <f>HYPERLINK("mailto:cchevalliermiserole@crm.otsuka-europe.com", "cchevalliermiserole@crm.otsuka-europe.com")</f>
        <v>cchevalliermiserole@crm.otsuka-europe.com</v>
      </c>
      <c r="N3786" s="25">
        <v>46213.660046296296</v>
      </c>
      <c r="O3786" s="14" t="str">
        <f>HYPERLINK("https://otsuka-europe-crm.veevavault.com/ui/#object/email_activity__v/V8C000000047358", "EN-002104794")</f>
        <v>EN-002104794</v>
      </c>
    </row>
    <row r="3787" spans="1:15" ht="16" x14ac:dyDescent="0.2">
      <c r="A3787" s="26"/>
      <c r="B3787" s="26"/>
      <c r="C3787" s="26"/>
      <c r="D3787" s="26"/>
      <c r="E3787" s="26"/>
      <c r="F3787" s="26"/>
      <c r="G3787" s="26"/>
      <c r="H3787" s="26"/>
      <c r="I3787" s="26"/>
      <c r="J3787" s="26"/>
      <c r="K3787" s="26"/>
      <c r="L3787" s="26"/>
      <c r="M3787" s="26"/>
      <c r="N3787" s="26"/>
      <c r="O3787" s="14" t="str">
        <f>HYPERLINK("https://otsuka-europe-crm.veevavault.com/ui/#object/email_activity__v/V8C000000047374", "EN-002104823")</f>
        <v>EN-002104823</v>
      </c>
    </row>
    <row r="3788" spans="1:15" ht="16" x14ac:dyDescent="0.2">
      <c r="A3788" s="26"/>
      <c r="B3788" s="26"/>
      <c r="C3788" s="26"/>
      <c r="D3788" s="26"/>
      <c r="E3788" s="26"/>
      <c r="F3788" s="26"/>
      <c r="G3788" s="26"/>
      <c r="H3788" s="26"/>
      <c r="I3788" s="26"/>
      <c r="J3788" s="26"/>
      <c r="K3788" s="26"/>
      <c r="L3788" s="26"/>
      <c r="M3788" s="26"/>
      <c r="N3788" s="26"/>
      <c r="O3788" s="14" t="str">
        <f>HYPERLINK("https://otsuka-europe-crm.veevavault.com/ui/#object/email_activity__v/V8C00000004B182", "EN-002107027")</f>
        <v>EN-002107027</v>
      </c>
    </row>
    <row r="3789" spans="1:15" ht="16" x14ac:dyDescent="0.2">
      <c r="A3789" s="19"/>
      <c r="B3789" s="19"/>
      <c r="C3789" s="19"/>
      <c r="D3789" s="19"/>
      <c r="E3789" s="19"/>
      <c r="F3789" s="19"/>
      <c r="G3789" s="19"/>
      <c r="H3789" s="19"/>
      <c r="I3789" s="19"/>
      <c r="J3789" s="19"/>
      <c r="K3789" s="19"/>
      <c r="L3789" s="19"/>
      <c r="M3789" s="19"/>
      <c r="N3789" s="19"/>
      <c r="O3789" s="14" t="str">
        <f>HYPERLINK("https://otsuka-europe-crm.veevavault.com/ui/#object/email_activity__v/V8C00000004B280", "EN-002107202")</f>
        <v>EN-002107202</v>
      </c>
    </row>
    <row r="3790" spans="1:15" ht="32" x14ac:dyDescent="0.2">
      <c r="A3790" s="7" t="str">
        <f>HYPERLINK("https://otsuka-europe-crm.veevavault.com/ui/#object/account__v/V4TZ00000633UNS", "AURELIEN LAURENT")</f>
        <v>AURELIEN LAURENT</v>
      </c>
      <c r="B3790" s="7" t="str">
        <f>HYPERLINK("https://otsuka-europe-crm.veevavault.com/ui/#object/vcountry__v/VENZ000004SONFA", "FR")</f>
        <v>FR</v>
      </c>
      <c r="C3790" s="8" t="s">
        <v>40</v>
      </c>
      <c r="D3790" s="9" t="str">
        <f>HYPERLINK("https://otsuka-europe-crm.veevavault.com/ui/#object/approved_document__v/V5OZ04ASG4G02Y6", "INVITATION_VAD_2023")</f>
        <v>INVITATION_VAD_2023</v>
      </c>
      <c r="E3790" s="10" t="str">
        <f>HYPERLINK("https://otsuka-europe-crm.veevavault.com/ui/#object/sent_email__v/VBL000000035307", "SE-001443475")</f>
        <v>SE-001443475</v>
      </c>
      <c r="F3790" s="11"/>
      <c r="G3790" s="12">
        <v>0</v>
      </c>
      <c r="H3790" s="12">
        <v>0</v>
      </c>
      <c r="I3790" s="12">
        <v>0</v>
      </c>
      <c r="J3790" s="11"/>
      <c r="K3790" s="12">
        <v>0</v>
      </c>
      <c r="L3790" s="10" t="str">
        <f>HYPERLINK("https://otsuka-europe-crm.veevavault.com/ui/#object/approved_document__v/V5OZ04ASG4G02Y6", "INVITATION_VAD_2023")</f>
        <v>INVITATION_VAD_2023</v>
      </c>
      <c r="M3790" s="10" t="str">
        <f>HYPERLINK("mailto:cchevalliermiserole@crm.otsuka-europe.com", "cchevalliermiserole@crm.otsuka-europe.com")</f>
        <v>cchevalliermiserole@crm.otsuka-europe.com</v>
      </c>
      <c r="N3790" s="13">
        <v>46213.67832175926</v>
      </c>
      <c r="O3790" s="14" t="str">
        <f>HYPERLINK("https://otsuka-europe-crm.veevavault.com/ui/#object/email_activity__v/V8C000000048276", "EN-002104801")</f>
        <v>EN-002104801</v>
      </c>
    </row>
    <row r="3791" spans="1:15" ht="16" x14ac:dyDescent="0.2">
      <c r="A3791" s="18" t="str">
        <f>HYPERLINK("https://otsuka-europe-crm.veevavault.com/ui/#object/account__v/V4TZ025E83TBQYR", "MARIA LUISA CALABUIG MUÑOZ")</f>
        <v>MARIA LUISA CALABUIG MUÑOZ</v>
      </c>
      <c r="B3791" s="18" t="str">
        <f>HYPERLINK("https://otsuka-europe-crm.veevavault.com/ui/#object/vcountry__v/VENZ000004SONF5", "ES")</f>
        <v>ES</v>
      </c>
      <c r="C3791" s="20" t="s">
        <v>39</v>
      </c>
      <c r="D3791" s="21" t="str">
        <f>HYPERLINK("https://otsuka-europe-crm.veevavault.com/ui/#object/approved_document__v/V5OZ04ASG4FWKA9", "Documento Autorizaciขn Centro Empleador")</f>
        <v>Documento Autorizaciขn Centro Empleador</v>
      </c>
      <c r="E3791" s="22" t="str">
        <f>HYPERLINK("https://otsuka-europe-crm.veevavault.com/ui/#object/sent_email__v/VBL000000037001", "SE-001443490")</f>
        <v>SE-001443490</v>
      </c>
      <c r="F3791" s="25">
        <v>46218.905277777776</v>
      </c>
      <c r="G3791" s="24">
        <v>1</v>
      </c>
      <c r="H3791" s="24">
        <v>3</v>
      </c>
      <c r="I3791" s="24">
        <v>1</v>
      </c>
      <c r="J3791" s="25">
        <v>46218.90556712963</v>
      </c>
      <c r="K3791" s="24">
        <v>1</v>
      </c>
      <c r="L3791" s="22" t="str">
        <f>HYPERLINK("https://otsuka-europe-crm.veevavault.com/ui/#object/approved_document__v/V5OZ04ASG4FWKA9", "Documento Autorizaciขn Centro Empleador")</f>
        <v>Documento Autorizaciขn Centro Empleador</v>
      </c>
      <c r="M3791" s="22" t="str">
        <f>HYPERLINK("mailto:ccalero@crm.otsuka-europe.com", "ccalero@crm.otsuka-europe.com")</f>
        <v>ccalero@crm.otsuka-europe.com</v>
      </c>
      <c r="N3791" s="25">
        <v>46216.393611111111</v>
      </c>
      <c r="O3791" s="14" t="str">
        <f>HYPERLINK("https://otsuka-europe-crm.veevavault.com/ui/#object/email_activity__v/V8C000000049106", "EN-002105055")</f>
        <v>EN-002105055</v>
      </c>
    </row>
    <row r="3792" spans="1:15" ht="16" x14ac:dyDescent="0.2">
      <c r="A3792" s="26"/>
      <c r="B3792" s="26"/>
      <c r="C3792" s="26"/>
      <c r="D3792" s="26"/>
      <c r="E3792" s="26"/>
      <c r="F3792" s="26"/>
      <c r="G3792" s="26"/>
      <c r="H3792" s="26"/>
      <c r="I3792" s="26"/>
      <c r="J3792" s="26"/>
      <c r="K3792" s="26"/>
      <c r="L3792" s="26"/>
      <c r="M3792" s="26"/>
      <c r="N3792" s="26"/>
      <c r="O3792" s="14" t="str">
        <f>HYPERLINK("https://otsuka-europe-crm.veevavault.com/ui/#object/email_activity__v/V8C00000004A608", "EN-002106119")</f>
        <v>EN-002106119</v>
      </c>
    </row>
    <row r="3793" spans="1:15" ht="16" x14ac:dyDescent="0.2">
      <c r="A3793" s="26"/>
      <c r="B3793" s="26"/>
      <c r="C3793" s="26"/>
      <c r="D3793" s="26"/>
      <c r="E3793" s="26"/>
      <c r="F3793" s="26"/>
      <c r="G3793" s="26"/>
      <c r="H3793" s="26"/>
      <c r="I3793" s="26"/>
      <c r="J3793" s="26"/>
      <c r="K3793" s="26"/>
      <c r="L3793" s="26"/>
      <c r="M3793" s="26"/>
      <c r="N3793" s="26"/>
      <c r="O3793" s="14" t="str">
        <f>HYPERLINK("https://otsuka-europe-crm.veevavault.com/ui/#object/email_activity__v/V8C00000004A630", "EN-002106162")</f>
        <v>EN-002106162</v>
      </c>
    </row>
    <row r="3794" spans="1:15" ht="16" x14ac:dyDescent="0.2">
      <c r="A3794" s="26"/>
      <c r="B3794" s="26"/>
      <c r="C3794" s="26"/>
      <c r="D3794" s="26"/>
      <c r="E3794" s="26"/>
      <c r="F3794" s="26"/>
      <c r="G3794" s="26"/>
      <c r="H3794" s="26"/>
      <c r="I3794" s="26"/>
      <c r="J3794" s="26"/>
      <c r="K3794" s="26"/>
      <c r="L3794" s="26"/>
      <c r="M3794" s="26"/>
      <c r="N3794" s="26"/>
      <c r="O3794" s="14" t="str">
        <f>HYPERLINK("https://otsuka-europe-crm.veevavault.com/ui/#object/email_activity__v/V8C00000004A813", "EN-002106512")</f>
        <v>EN-002106512</v>
      </c>
    </row>
    <row r="3795" spans="1:15" ht="16" x14ac:dyDescent="0.2">
      <c r="A3795" s="19"/>
      <c r="B3795" s="19"/>
      <c r="C3795" s="19"/>
      <c r="D3795" s="19"/>
      <c r="E3795" s="19"/>
      <c r="F3795" s="19"/>
      <c r="G3795" s="19"/>
      <c r="H3795" s="19"/>
      <c r="I3795" s="19"/>
      <c r="J3795" s="19"/>
      <c r="K3795" s="19"/>
      <c r="L3795" s="19"/>
      <c r="M3795" s="19"/>
      <c r="N3795" s="19"/>
      <c r="O3795" s="14" t="str">
        <f>HYPERLINK("https://otsuka-europe-crm.veevavault.com/ui/#object/email_activity__v/V8C00000004A814", "EN-002106513")</f>
        <v>EN-002106513</v>
      </c>
    </row>
    <row r="3796" spans="1:15" ht="48" x14ac:dyDescent="0.2">
      <c r="A3796" s="7" t="str">
        <f>HYPERLINK("https://otsuka-europe-crm.veevavault.com/ui/#object/account__v/V4TZ025E83OAJYY", "EMILIA PARDAL DE LA MANO")</f>
        <v>EMILIA PARDAL DE LA MANO</v>
      </c>
      <c r="B3796" s="7" t="str">
        <f>HYPERLINK("https://otsuka-europe-crm.veevavault.com/ui/#object/vcountry__v/VENZ000004SONF5", "ES")</f>
        <v>ES</v>
      </c>
      <c r="C3796" s="8" t="s">
        <v>39</v>
      </c>
      <c r="D379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796" s="10" t="str">
        <f>HYPERLINK("https://otsuka-europe-crm.veevavault.com/ui/#object/sent_email__v/VBL000000037002", "SE-001443491")</f>
        <v>SE-001443491</v>
      </c>
      <c r="F3796" s="11"/>
      <c r="G3796" s="12">
        <v>0</v>
      </c>
      <c r="H3796" s="12">
        <v>0</v>
      </c>
      <c r="I3796" s="12">
        <v>0</v>
      </c>
      <c r="J3796" s="11"/>
      <c r="K3796" s="12">
        <v>0</v>
      </c>
      <c r="L379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796" s="10" t="str">
        <f>HYPERLINK("mailto:jguri@crm.otsuka-europe.com", "jguri@crm.otsuka-europe.com")</f>
        <v>jguri@crm.otsuka-europe.com</v>
      </c>
      <c r="N3796" s="13">
        <v>46216.403981481482</v>
      </c>
      <c r="O3796" s="14" t="str">
        <f>HYPERLINK("https://otsuka-europe-crm.veevavault.com/ui/#object/email_activity__v/V8C00000004A106", "EN-002105081")</f>
        <v>EN-002105081</v>
      </c>
    </row>
    <row r="3797" spans="1:15" ht="48" x14ac:dyDescent="0.2">
      <c r="A3797" s="7" t="str">
        <f>HYPERLINK("https://otsuka-europe-crm.veevavault.com/ui/#object/account__v/V4TZ025E84EDWK8", "CLARA ISABEL GONZALEZ SANTILLANA")</f>
        <v>CLARA ISABEL GONZALEZ SANTILLANA</v>
      </c>
      <c r="B3797" s="7" t="str">
        <f>HYPERLINK("https://otsuka-europe-crm.veevavault.com/ui/#object/vcountry__v/VENZ000004SONF5", "ES")</f>
        <v>ES</v>
      </c>
      <c r="C3797" s="8" t="s">
        <v>39</v>
      </c>
      <c r="D3797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797" s="10" t="str">
        <f>HYPERLINK("https://otsuka-europe-crm.veevavault.com/ui/#object/sent_email__v/VBL000000037003", "SE-001443492")</f>
        <v>SE-001443492</v>
      </c>
      <c r="F3797" s="11"/>
      <c r="G3797" s="12">
        <v>0</v>
      </c>
      <c r="H3797" s="12">
        <v>0</v>
      </c>
      <c r="I3797" s="12">
        <v>0</v>
      </c>
      <c r="J3797" s="11"/>
      <c r="K3797" s="12">
        <v>0</v>
      </c>
      <c r="L3797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797" s="10" t="str">
        <f>HYPERLINK("mailto:jguri@crm.otsuka-europe.com", "jguri@crm.otsuka-europe.com")</f>
        <v>jguri@crm.otsuka-europe.com</v>
      </c>
      <c r="N3797" s="13">
        <v>46216.403981481482</v>
      </c>
      <c r="O3797" s="14" t="str">
        <f>HYPERLINK("https://otsuka-europe-crm.veevavault.com/ui/#object/email_activity__v/V8C00000004A124", "EN-002105099")</f>
        <v>EN-002105099</v>
      </c>
    </row>
    <row r="3798" spans="1:15" ht="48" x14ac:dyDescent="0.2">
      <c r="A3798" s="7" t="str">
        <f>HYPERLINK("https://otsuka-europe-crm.veevavault.com/ui/#object/account__v/V4TZ025E87JDLR2", "JUAN CARLOS VALLEJO LLAMAS")</f>
        <v>JUAN CARLOS VALLEJO LLAMAS</v>
      </c>
      <c r="B3798" s="7" t="str">
        <f>HYPERLINK("https://otsuka-europe-crm.veevavault.com/ui/#object/vcountry__v/VENZ000004SONF5", "ES")</f>
        <v>ES</v>
      </c>
      <c r="C3798" s="8" t="s">
        <v>39</v>
      </c>
      <c r="D3798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798" s="10" t="str">
        <f>HYPERLINK("https://otsuka-europe-crm.veevavault.com/ui/#object/sent_email__v/VBL000000037004", "SE-001443493")</f>
        <v>SE-001443493</v>
      </c>
      <c r="F3798" s="11"/>
      <c r="G3798" s="12">
        <v>0</v>
      </c>
      <c r="H3798" s="12">
        <v>0</v>
      </c>
      <c r="I3798" s="12">
        <v>0</v>
      </c>
      <c r="J3798" s="11"/>
      <c r="K3798" s="12">
        <v>0</v>
      </c>
      <c r="L3798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798" s="10" t="str">
        <f>HYPERLINK("mailto:jguri@crm.otsuka-europe.com", "jguri@crm.otsuka-europe.com")</f>
        <v>jguri@crm.otsuka-europe.com</v>
      </c>
      <c r="N3798" s="13">
        <v>46216.403877314813</v>
      </c>
      <c r="O3798" s="14" t="str">
        <f>HYPERLINK("https://otsuka-europe-crm.veevavault.com/ui/#object/email_activity__v/V8C00000004A100", "EN-002105075")</f>
        <v>EN-002105075</v>
      </c>
    </row>
    <row r="3799" spans="1:15" ht="16" x14ac:dyDescent="0.2">
      <c r="A3799" s="18" t="str">
        <f>HYPERLINK("https://otsuka-europe-crm.veevavault.com/ui/#object/account__v/V4T00000001D066", "JAVIER ORTIZ MARTIN")</f>
        <v>JAVIER ORTIZ MARTIN</v>
      </c>
      <c r="B3799" s="18" t="str">
        <f>HYPERLINK("https://otsuka-europe-crm.veevavault.com/ui/#object/vcountry__v/VENZ000004SONF5", "ES")</f>
        <v>ES</v>
      </c>
      <c r="C3799" s="20" t="s">
        <v>39</v>
      </c>
      <c r="D3799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799" s="22" t="str">
        <f>HYPERLINK("https://otsuka-europe-crm.veevavault.com/ui/#object/sent_email__v/VBL000000037005", "SE-001443494")</f>
        <v>SE-001443494</v>
      </c>
      <c r="F3799" s="25">
        <v>46216.892696759256</v>
      </c>
      <c r="G3799" s="24">
        <v>1</v>
      </c>
      <c r="H3799" s="24">
        <v>2</v>
      </c>
      <c r="I3799" s="24">
        <v>1</v>
      </c>
      <c r="J3799" s="25">
        <v>46216.892696759256</v>
      </c>
      <c r="K3799" s="24">
        <v>1</v>
      </c>
      <c r="L3799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799" s="22" t="str">
        <f>HYPERLINK("mailto:jguri@crm.otsuka-europe.com", "jguri@crm.otsuka-europe.com")</f>
        <v>jguri@crm.otsuka-europe.com</v>
      </c>
      <c r="N3799" s="25">
        <v>46216.40388888889</v>
      </c>
      <c r="O3799" s="14" t="str">
        <f>HYPERLINK("https://otsuka-europe-crm.veevavault.com/ui/#object/email_activity__v/V8C000000049459", "EN-002105716")</f>
        <v>EN-002105716</v>
      </c>
    </row>
    <row r="3800" spans="1:15" ht="16" x14ac:dyDescent="0.2">
      <c r="A3800" s="26"/>
      <c r="B3800" s="26"/>
      <c r="C3800" s="26"/>
      <c r="D3800" s="26"/>
      <c r="E3800" s="26"/>
      <c r="F3800" s="26"/>
      <c r="G3800" s="26"/>
      <c r="H3800" s="26"/>
      <c r="I3800" s="26"/>
      <c r="J3800" s="26"/>
      <c r="K3800" s="26"/>
      <c r="L3800" s="26"/>
      <c r="M3800" s="26"/>
      <c r="N3800" s="26"/>
      <c r="O3800" s="14" t="str">
        <f>HYPERLINK("https://otsuka-europe-crm.veevavault.com/ui/#object/email_activity__v/V8C000000049460", "EN-002105715")</f>
        <v>EN-002105715</v>
      </c>
    </row>
    <row r="3801" spans="1:15" ht="16" x14ac:dyDescent="0.2">
      <c r="A3801" s="26"/>
      <c r="B3801" s="26"/>
      <c r="C3801" s="26"/>
      <c r="D3801" s="26"/>
      <c r="E3801" s="26"/>
      <c r="F3801" s="26"/>
      <c r="G3801" s="26"/>
      <c r="H3801" s="26"/>
      <c r="I3801" s="26"/>
      <c r="J3801" s="26"/>
      <c r="K3801" s="26"/>
      <c r="L3801" s="26"/>
      <c r="M3801" s="26"/>
      <c r="N3801" s="26"/>
      <c r="O3801" s="14" t="str">
        <f>HYPERLINK("https://otsuka-europe-crm.veevavault.com/ui/#object/email_activity__v/V8C000000049461", "EN-002105717")</f>
        <v>EN-002105717</v>
      </c>
    </row>
    <row r="3802" spans="1:15" ht="16" x14ac:dyDescent="0.2">
      <c r="A3802" s="19"/>
      <c r="B3802" s="19"/>
      <c r="C3802" s="19"/>
      <c r="D3802" s="19"/>
      <c r="E3802" s="19"/>
      <c r="F3802" s="19"/>
      <c r="G3802" s="19"/>
      <c r="H3802" s="19"/>
      <c r="I3802" s="19"/>
      <c r="J3802" s="19"/>
      <c r="K3802" s="19"/>
      <c r="L3802" s="19"/>
      <c r="M3802" s="19"/>
      <c r="N3802" s="19"/>
      <c r="O3802" s="14" t="str">
        <f>HYPERLINK("https://otsuka-europe-crm.veevavault.com/ui/#object/email_activity__v/V8C00000004A101", "EN-002105076")</f>
        <v>EN-002105076</v>
      </c>
    </row>
    <row r="3803" spans="1:15" ht="16" x14ac:dyDescent="0.2">
      <c r="A3803" s="18" t="str">
        <f>HYPERLINK("https://otsuka-europe-crm.veevavault.com/ui/#object/account__v/V4TZ025E85UNO04", "LUIS MIGUEL JUAREZ SALCEDO")</f>
        <v>LUIS MIGUEL JUAREZ SALCEDO</v>
      </c>
      <c r="B3803" s="18" t="str">
        <f>HYPERLINK("https://otsuka-europe-crm.veevavault.com/ui/#object/vcountry__v/VENZ000004SONF5", "ES")</f>
        <v>ES</v>
      </c>
      <c r="C3803" s="20" t="s">
        <v>39</v>
      </c>
      <c r="D3803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03" s="22" t="str">
        <f>HYPERLINK("https://otsuka-europe-crm.veevavault.com/ui/#object/sent_email__v/VBL000000037006", "SE-001443495")</f>
        <v>SE-001443495</v>
      </c>
      <c r="F3803" s="25">
        <v>46216.403981481482</v>
      </c>
      <c r="G3803" s="24">
        <v>1</v>
      </c>
      <c r="H3803" s="24">
        <v>3</v>
      </c>
      <c r="I3803" s="24">
        <v>0</v>
      </c>
      <c r="J3803" s="23"/>
      <c r="K3803" s="24">
        <v>0</v>
      </c>
      <c r="L3803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03" s="22" t="str">
        <f>HYPERLINK("mailto:jguri@crm.otsuka-europe.com", "jguri@crm.otsuka-europe.com")</f>
        <v>jguri@crm.otsuka-europe.com</v>
      </c>
      <c r="N3803" s="25">
        <v>46216.40388888889</v>
      </c>
      <c r="O3803" s="14" t="str">
        <f>HYPERLINK("https://otsuka-europe-crm.veevavault.com/ui/#object/email_activity__v/V8C000000049108", "EN-002105070")</f>
        <v>EN-002105070</v>
      </c>
    </row>
    <row r="3804" spans="1:15" ht="16" x14ac:dyDescent="0.2">
      <c r="A3804" s="26"/>
      <c r="B3804" s="26"/>
      <c r="C3804" s="26"/>
      <c r="D3804" s="26"/>
      <c r="E3804" s="26"/>
      <c r="F3804" s="26"/>
      <c r="G3804" s="26"/>
      <c r="H3804" s="26"/>
      <c r="I3804" s="26"/>
      <c r="J3804" s="26"/>
      <c r="K3804" s="26"/>
      <c r="L3804" s="26"/>
      <c r="M3804" s="26"/>
      <c r="N3804" s="26"/>
      <c r="O3804" s="14" t="str">
        <f>HYPERLINK("https://otsuka-europe-crm.veevavault.com/ui/#object/email_activity__v/V8C00000004A086", "EN-002105059")</f>
        <v>EN-002105059</v>
      </c>
    </row>
    <row r="3805" spans="1:15" ht="16" x14ac:dyDescent="0.2">
      <c r="A3805" s="26"/>
      <c r="B3805" s="26"/>
      <c r="C3805" s="26"/>
      <c r="D3805" s="26"/>
      <c r="E3805" s="26"/>
      <c r="F3805" s="26"/>
      <c r="G3805" s="26"/>
      <c r="H3805" s="26"/>
      <c r="I3805" s="26"/>
      <c r="J3805" s="26"/>
      <c r="K3805" s="26"/>
      <c r="L3805" s="26"/>
      <c r="M3805" s="26"/>
      <c r="N3805" s="26"/>
      <c r="O3805" s="14" t="str">
        <f>HYPERLINK("https://otsuka-europe-crm.veevavault.com/ui/#object/email_activity__v/V8C00000004A095", "EN-002105068")</f>
        <v>EN-002105068</v>
      </c>
    </row>
    <row r="3806" spans="1:15" ht="16" x14ac:dyDescent="0.2">
      <c r="A3806" s="19"/>
      <c r="B3806" s="19"/>
      <c r="C3806" s="19"/>
      <c r="D3806" s="19"/>
      <c r="E3806" s="19"/>
      <c r="F3806" s="19"/>
      <c r="G3806" s="19"/>
      <c r="H3806" s="19"/>
      <c r="I3806" s="19"/>
      <c r="J3806" s="19"/>
      <c r="K3806" s="19"/>
      <c r="L3806" s="19"/>
      <c r="M3806" s="19"/>
      <c r="N3806" s="19"/>
      <c r="O3806" s="14" t="str">
        <f>HYPERLINK("https://otsuka-europe-crm.veevavault.com/ui/#object/email_activity__v/V8C00000004B015", "EN-002106754")</f>
        <v>EN-002106754</v>
      </c>
    </row>
    <row r="3807" spans="1:15" ht="48" x14ac:dyDescent="0.2">
      <c r="A3807" s="7" t="str">
        <f>HYPERLINK("https://otsuka-europe-crm.veevavault.com/ui/#object/account__v/V4TZ025E86KXALE", "ANA SEBRANGO SADIA")</f>
        <v>ANA SEBRANGO SADIA</v>
      </c>
      <c r="B3807" s="7" t="str">
        <f>HYPERLINK("https://otsuka-europe-crm.veevavault.com/ui/#object/vcountry__v/VENZ000004SONF5", "ES")</f>
        <v>ES</v>
      </c>
      <c r="C3807" s="8" t="s">
        <v>39</v>
      </c>
      <c r="D3807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07" s="10" t="str">
        <f>HYPERLINK("https://otsuka-europe-crm.veevavault.com/ui/#object/sent_email__v/VBL000000037007", "SE-001443496")</f>
        <v>SE-001443496</v>
      </c>
      <c r="F3807" s="11"/>
      <c r="G3807" s="12">
        <v>0</v>
      </c>
      <c r="H3807" s="12">
        <v>0</v>
      </c>
      <c r="I3807" s="12">
        <v>0</v>
      </c>
      <c r="J3807" s="11"/>
      <c r="K3807" s="12">
        <v>0</v>
      </c>
      <c r="L3807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07" s="10" t="str">
        <f>HYPERLINK("mailto:jguri@crm.otsuka-europe.com", "jguri@crm.otsuka-europe.com")</f>
        <v>jguri@crm.otsuka-europe.com</v>
      </c>
      <c r="N3807" s="13">
        <v>46216.403981481482</v>
      </c>
      <c r="O3807" s="14" t="str">
        <f>HYPERLINK("https://otsuka-europe-crm.veevavault.com/ui/#object/email_activity__v/V8C00000004A121", "EN-002105096")</f>
        <v>EN-002105096</v>
      </c>
    </row>
    <row r="3808" spans="1:15" ht="16" x14ac:dyDescent="0.2">
      <c r="A3808" s="18" t="str">
        <f>HYPERLINK("https://otsuka-europe-crm.veevavault.com/ui/#object/account__v/V4TZ025E861OJ62", "AIDA CALO PEREZ")</f>
        <v>AIDA CALO PEREZ</v>
      </c>
      <c r="B3808" s="18" t="str">
        <f>HYPERLINK("https://otsuka-europe-crm.veevavault.com/ui/#object/vcountry__v/VENZ000004SONF5", "ES")</f>
        <v>ES</v>
      </c>
      <c r="C3808" s="20" t="s">
        <v>39</v>
      </c>
      <c r="D3808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08" s="22" t="str">
        <f>HYPERLINK("https://otsuka-europe-crm.veevavault.com/ui/#object/sent_email__v/VBL000000037008", "SE-001443497")</f>
        <v>SE-001443497</v>
      </c>
      <c r="F3808" s="25">
        <v>46216.405821759261</v>
      </c>
      <c r="G3808" s="24">
        <v>1</v>
      </c>
      <c r="H3808" s="24">
        <v>1</v>
      </c>
      <c r="I3808" s="24">
        <v>0</v>
      </c>
      <c r="J3808" s="23"/>
      <c r="K3808" s="24">
        <v>0</v>
      </c>
      <c r="L3808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08" s="22" t="str">
        <f>HYPERLINK("mailto:jguri@crm.otsuka-europe.com", "jguri@crm.otsuka-europe.com")</f>
        <v>jguri@crm.otsuka-europe.com</v>
      </c>
      <c r="N3808" s="25">
        <v>46216.403981481482</v>
      </c>
      <c r="O3808" s="14" t="str">
        <f>HYPERLINK("https://otsuka-europe-crm.veevavault.com/ui/#object/email_activity__v/V8C000000049110", "EN-002105113")</f>
        <v>EN-002105113</v>
      </c>
    </row>
    <row r="3809" spans="1:15" ht="16" x14ac:dyDescent="0.2">
      <c r="A3809" s="19"/>
      <c r="B3809" s="19"/>
      <c r="C3809" s="19"/>
      <c r="D3809" s="19"/>
      <c r="E3809" s="19"/>
      <c r="F3809" s="19"/>
      <c r="G3809" s="19"/>
      <c r="H3809" s="19"/>
      <c r="I3809" s="19"/>
      <c r="J3809" s="19"/>
      <c r="K3809" s="19"/>
      <c r="L3809" s="19"/>
      <c r="M3809" s="19"/>
      <c r="N3809" s="19"/>
      <c r="O3809" s="14" t="str">
        <f>HYPERLINK("https://otsuka-europe-crm.veevavault.com/ui/#object/email_activity__v/V8C00000004A131", "EN-002105106")</f>
        <v>EN-002105106</v>
      </c>
    </row>
    <row r="3810" spans="1:15" ht="48" x14ac:dyDescent="0.2">
      <c r="A3810" s="7" t="str">
        <f>HYPERLINK("https://otsuka-europe-crm.veevavault.com/ui/#object/account__v/V4TZ025E82D5OMH", "MARIA DIEZ CAMPELO")</f>
        <v>MARIA DIEZ CAMPELO</v>
      </c>
      <c r="B3810" s="7" t="str">
        <f>HYPERLINK("https://otsuka-europe-crm.veevavault.com/ui/#object/vcountry__v/VENZ000004SONF5", "ES")</f>
        <v>ES</v>
      </c>
      <c r="C3810" s="8" t="s">
        <v>39</v>
      </c>
      <c r="D3810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10" s="10" t="str">
        <f>HYPERLINK("https://otsuka-europe-crm.veevavault.com/ui/#object/sent_email__v/VBL000000037009", "SE-001443498")</f>
        <v>SE-001443498</v>
      </c>
      <c r="F3810" s="11"/>
      <c r="G3810" s="12">
        <v>0</v>
      </c>
      <c r="H3810" s="12">
        <v>0</v>
      </c>
      <c r="I3810" s="12">
        <v>0</v>
      </c>
      <c r="J3810" s="11"/>
      <c r="K3810" s="12">
        <v>0</v>
      </c>
      <c r="L3810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10" s="10" t="str">
        <f>HYPERLINK("mailto:jguri@crm.otsuka-europe.com", "jguri@crm.otsuka-europe.com")</f>
        <v>jguri@crm.otsuka-europe.com</v>
      </c>
      <c r="N3810" s="13">
        <v>46216.404016203705</v>
      </c>
      <c r="O3810" s="14" t="str">
        <f>HYPERLINK("https://otsuka-europe-crm.veevavault.com/ui/#object/email_activity__v/V8C00000004A094", "EN-002105067")</f>
        <v>EN-002105067</v>
      </c>
    </row>
    <row r="3811" spans="1:15" ht="48" x14ac:dyDescent="0.2">
      <c r="A3811" s="7" t="str">
        <f>HYPERLINK("https://otsuka-europe-crm.veevavault.com/ui/#object/account__v/V4TZ025E86WIBK1", "BLANCA VEGAS VILLALMANZO")</f>
        <v>BLANCA VEGAS VILLALMANZO</v>
      </c>
      <c r="B3811" s="7" t="str">
        <f>HYPERLINK("https://otsuka-europe-crm.veevavault.com/ui/#object/vcountry__v/VENZ000004SONF5", "ES")</f>
        <v>ES</v>
      </c>
      <c r="C3811" s="8" t="s">
        <v>39</v>
      </c>
      <c r="D381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11" s="10" t="str">
        <f>HYPERLINK("https://otsuka-europe-crm.veevavault.com/ui/#object/sent_email__v/VBL000000037010", "SE-001443499")</f>
        <v>SE-001443499</v>
      </c>
      <c r="F3811" s="11"/>
      <c r="G3811" s="12">
        <v>0</v>
      </c>
      <c r="H3811" s="12">
        <v>0</v>
      </c>
      <c r="I3811" s="12">
        <v>0</v>
      </c>
      <c r="J3811" s="11"/>
      <c r="K3811" s="12">
        <v>0</v>
      </c>
      <c r="L381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11" s="10" t="str">
        <f>HYPERLINK("mailto:jguri@crm.otsuka-europe.com", "jguri@crm.otsuka-europe.com")</f>
        <v>jguri@crm.otsuka-europe.com</v>
      </c>
      <c r="N3811" s="13">
        <v>46216.403981481482</v>
      </c>
      <c r="O3811" s="14" t="str">
        <f>HYPERLINK("https://otsuka-europe-crm.veevavault.com/ui/#object/email_activity__v/V8C00000004A096", "EN-002105069")</f>
        <v>EN-002105069</v>
      </c>
    </row>
    <row r="3812" spans="1:15" ht="48" x14ac:dyDescent="0.2">
      <c r="A3812" s="7" t="str">
        <f>HYPERLINK("https://otsuka-europe-crm.veevavault.com/ui/#object/account__v/V4T00000001X076", "ALVARO BIENERT GARCIA")</f>
        <v>ALVARO BIENERT GARCIA</v>
      </c>
      <c r="B3812" s="7" t="str">
        <f>HYPERLINK("https://otsuka-europe-crm.veevavault.com/ui/#object/vcountry__v/VENZ000004SONF5", "ES")</f>
        <v>ES</v>
      </c>
      <c r="C3812" s="8" t="s">
        <v>39</v>
      </c>
      <c r="D3812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12" s="10" t="str">
        <f>HYPERLINK("https://otsuka-europe-crm.veevavault.com/ui/#object/sent_email__v/VBL000000037011", "SE-001443500")</f>
        <v>SE-001443500</v>
      </c>
      <c r="F3812" s="11"/>
      <c r="G3812" s="12">
        <v>0</v>
      </c>
      <c r="H3812" s="12">
        <v>0</v>
      </c>
      <c r="I3812" s="12">
        <v>0</v>
      </c>
      <c r="J3812" s="11"/>
      <c r="K3812" s="12">
        <v>0</v>
      </c>
      <c r="L3812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12" s="10" t="str">
        <f>HYPERLINK("mailto:jguri@crm.otsuka-europe.com", "jguri@crm.otsuka-europe.com")</f>
        <v>jguri@crm.otsuka-europe.com</v>
      </c>
      <c r="N3812" s="13">
        <v>46216.403981481482</v>
      </c>
      <c r="O3812" s="14" t="str">
        <f>HYPERLINK("https://otsuka-europe-crm.veevavault.com/ui/#object/email_activity__v/V8C00000004A102", "EN-002105077")</f>
        <v>EN-002105077</v>
      </c>
    </row>
    <row r="3813" spans="1:15" ht="16" x14ac:dyDescent="0.2">
      <c r="A3813" s="18" t="str">
        <f>HYPERLINK("https://otsuka-europe-crm.veevavault.com/ui/#object/account__v/V4TZ025E84IKZIY", "CRISTIAN ESCOLANO ESCOBAR")</f>
        <v>CRISTIAN ESCOLANO ESCOBAR</v>
      </c>
      <c r="B3813" s="18" t="str">
        <f>HYPERLINK("https://otsuka-europe-crm.veevavault.com/ui/#object/vcountry__v/VENZ000004SONF5", "ES")</f>
        <v>ES</v>
      </c>
      <c r="C3813" s="20" t="s">
        <v>39</v>
      </c>
      <c r="D3813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13" s="22" t="str">
        <f>HYPERLINK("https://otsuka-europe-crm.veevavault.com/ui/#object/sent_email__v/VBL000000037012", "SE-001443501")</f>
        <v>SE-001443501</v>
      </c>
      <c r="F3813" s="25">
        <v>46216.405856481484</v>
      </c>
      <c r="G3813" s="24">
        <v>1</v>
      </c>
      <c r="H3813" s="24">
        <v>1</v>
      </c>
      <c r="I3813" s="24">
        <v>0</v>
      </c>
      <c r="J3813" s="23"/>
      <c r="K3813" s="24">
        <v>0</v>
      </c>
      <c r="L3813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13" s="22" t="str">
        <f>HYPERLINK("mailto:jguri@crm.otsuka-europe.com", "jguri@crm.otsuka-europe.com")</f>
        <v>jguri@crm.otsuka-europe.com</v>
      </c>
      <c r="N3813" s="25">
        <v>46216.403981481482</v>
      </c>
      <c r="O3813" s="14" t="str">
        <f>HYPERLINK("https://otsuka-europe-crm.veevavault.com/ui/#object/email_activity__v/V8C00000004A123", "EN-002105098")</f>
        <v>EN-002105098</v>
      </c>
    </row>
    <row r="3814" spans="1:15" ht="16" x14ac:dyDescent="0.2">
      <c r="A3814" s="19"/>
      <c r="B3814" s="19"/>
      <c r="C3814" s="19"/>
      <c r="D3814" s="19"/>
      <c r="E3814" s="19"/>
      <c r="F3814" s="19"/>
      <c r="G3814" s="19"/>
      <c r="H3814" s="19"/>
      <c r="I3814" s="19"/>
      <c r="J3814" s="19"/>
      <c r="K3814" s="19"/>
      <c r="L3814" s="19"/>
      <c r="M3814" s="19"/>
      <c r="N3814" s="19"/>
      <c r="O3814" s="14" t="str">
        <f>HYPERLINK("https://otsuka-europe-crm.veevavault.com/ui/#object/email_activity__v/V8C00000004A138", "EN-002105114")</f>
        <v>EN-002105114</v>
      </c>
    </row>
    <row r="3815" spans="1:15" ht="16" x14ac:dyDescent="0.2">
      <c r="A3815" s="18" t="str">
        <f>HYPERLINK("https://otsuka-europe-crm.veevavault.com/ui/#object/account__v/V4TZ025E87VHGCD", "RAQUEL DE PAZ ARIAS")</f>
        <v>RAQUEL DE PAZ ARIAS</v>
      </c>
      <c r="B3815" s="18" t="str">
        <f>HYPERLINK("https://otsuka-europe-crm.veevavault.com/ui/#object/vcountry__v/VENZ000004SONF5", "ES")</f>
        <v>ES</v>
      </c>
      <c r="C3815" s="20" t="s">
        <v>39</v>
      </c>
      <c r="D3815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15" s="22" t="str">
        <f>HYPERLINK("https://otsuka-europe-crm.veevavault.com/ui/#object/sent_email__v/VBL000000037013", "SE-001443502")</f>
        <v>SE-001443502</v>
      </c>
      <c r="F3815" s="25">
        <v>46216.415578703702</v>
      </c>
      <c r="G3815" s="24">
        <v>1</v>
      </c>
      <c r="H3815" s="24">
        <v>2</v>
      </c>
      <c r="I3815" s="24">
        <v>0</v>
      </c>
      <c r="J3815" s="23"/>
      <c r="K3815" s="24">
        <v>0</v>
      </c>
      <c r="L3815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15" s="22" t="str">
        <f>HYPERLINK("mailto:jguri@crm.otsuka-europe.com", "jguri@crm.otsuka-europe.com")</f>
        <v>jguri@crm.otsuka-europe.com</v>
      </c>
      <c r="N3815" s="25">
        <v>46216.403981481482</v>
      </c>
      <c r="O3815" s="14" t="str">
        <f>HYPERLINK("https://otsuka-europe-crm.veevavault.com/ui/#object/email_activity__v/V8C000000049114", "EN-002105123")</f>
        <v>EN-002105123</v>
      </c>
    </row>
    <row r="3816" spans="1:15" ht="16" x14ac:dyDescent="0.2">
      <c r="A3816" s="26"/>
      <c r="B3816" s="26"/>
      <c r="C3816" s="26"/>
      <c r="D3816" s="26"/>
      <c r="E3816" s="26"/>
      <c r="F3816" s="26"/>
      <c r="G3816" s="26"/>
      <c r="H3816" s="26"/>
      <c r="I3816" s="26"/>
      <c r="J3816" s="26"/>
      <c r="K3816" s="26"/>
      <c r="L3816" s="26"/>
      <c r="M3816" s="26"/>
      <c r="N3816" s="26"/>
      <c r="O3816" s="14" t="str">
        <f>HYPERLINK("https://otsuka-europe-crm.veevavault.com/ui/#object/email_activity__v/V8C000000049532", "EN-002105862")</f>
        <v>EN-002105862</v>
      </c>
    </row>
    <row r="3817" spans="1:15" ht="16" x14ac:dyDescent="0.2">
      <c r="A3817" s="26"/>
      <c r="B3817" s="26"/>
      <c r="C3817" s="26"/>
      <c r="D3817" s="26"/>
      <c r="E3817" s="26"/>
      <c r="F3817" s="26"/>
      <c r="G3817" s="26"/>
      <c r="H3817" s="26"/>
      <c r="I3817" s="26"/>
      <c r="J3817" s="26"/>
      <c r="K3817" s="26"/>
      <c r="L3817" s="26"/>
      <c r="M3817" s="26"/>
      <c r="N3817" s="26"/>
      <c r="O3817" s="14" t="str">
        <f>HYPERLINK("https://otsuka-europe-crm.veevavault.com/ui/#object/email_activity__v/V8C000000049533", "EN-002105863")</f>
        <v>EN-002105863</v>
      </c>
    </row>
    <row r="3818" spans="1:15" ht="16" x14ac:dyDescent="0.2">
      <c r="A3818" s="26"/>
      <c r="B3818" s="26"/>
      <c r="C3818" s="26"/>
      <c r="D3818" s="26"/>
      <c r="E3818" s="26"/>
      <c r="F3818" s="26"/>
      <c r="G3818" s="26"/>
      <c r="H3818" s="26"/>
      <c r="I3818" s="26"/>
      <c r="J3818" s="26"/>
      <c r="K3818" s="26"/>
      <c r="L3818" s="26"/>
      <c r="M3818" s="26"/>
      <c r="N3818" s="26"/>
      <c r="O3818" s="14" t="str">
        <f>HYPERLINK("https://otsuka-europe-crm.veevavault.com/ui/#object/email_activity__v/V8C00000004A107", "EN-002105082")</f>
        <v>EN-002105082</v>
      </c>
    </row>
    <row r="3819" spans="1:15" ht="16" x14ac:dyDescent="0.2">
      <c r="A3819" s="26"/>
      <c r="B3819" s="26"/>
      <c r="C3819" s="26"/>
      <c r="D3819" s="26"/>
      <c r="E3819" s="26"/>
      <c r="F3819" s="26"/>
      <c r="G3819" s="26"/>
      <c r="H3819" s="26"/>
      <c r="I3819" s="26"/>
      <c r="J3819" s="26"/>
      <c r="K3819" s="26"/>
      <c r="L3819" s="26"/>
      <c r="M3819" s="26"/>
      <c r="N3819" s="26"/>
      <c r="O3819" s="14" t="str">
        <f>HYPERLINK("https://otsuka-europe-crm.veevavault.com/ui/#object/email_activity__v/V8C00000004A125", "EN-002105100")</f>
        <v>EN-002105100</v>
      </c>
    </row>
    <row r="3820" spans="1:15" ht="16" x14ac:dyDescent="0.2">
      <c r="A3820" s="19"/>
      <c r="B3820" s="19"/>
      <c r="C3820" s="19"/>
      <c r="D3820" s="19"/>
      <c r="E3820" s="19"/>
      <c r="F3820" s="19"/>
      <c r="G3820" s="19"/>
      <c r="H3820" s="19"/>
      <c r="I3820" s="19"/>
      <c r="J3820" s="19"/>
      <c r="K3820" s="19"/>
      <c r="L3820" s="19"/>
      <c r="M3820" s="19"/>
      <c r="N3820" s="19"/>
      <c r="O3820" s="14" t="str">
        <f>HYPERLINK("https://otsuka-europe-crm.veevavault.com/ui/#object/email_activity__v/V8C00000004A759", "EN-002106406")</f>
        <v>EN-002106406</v>
      </c>
    </row>
    <row r="3821" spans="1:15" ht="48" x14ac:dyDescent="0.2">
      <c r="A3821" s="7" t="str">
        <f>HYPERLINK("https://otsuka-europe-crm.veevavault.com/ui/#object/account__v/V4TZ025E84EDD9T", "CECILIA HERAS BENITO")</f>
        <v>CECILIA HERAS BENITO</v>
      </c>
      <c r="B3821" s="7" t="str">
        <f>HYPERLINK("https://otsuka-europe-crm.veevavault.com/ui/#object/vcountry__v/VENZ000004SONF5", "ES")</f>
        <v>ES</v>
      </c>
      <c r="C3821" s="8" t="s">
        <v>39</v>
      </c>
      <c r="D3821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21" s="10" t="str">
        <f>HYPERLINK("https://otsuka-europe-crm.veevavault.com/ui/#object/sent_email__v/VBL000000037014", "SE-001443503")</f>
        <v>SE-001443503</v>
      </c>
      <c r="F3821" s="11"/>
      <c r="G3821" s="12">
        <v>0</v>
      </c>
      <c r="H3821" s="12">
        <v>0</v>
      </c>
      <c r="I3821" s="12">
        <v>0</v>
      </c>
      <c r="J3821" s="11"/>
      <c r="K3821" s="12">
        <v>0</v>
      </c>
      <c r="L3821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21" s="10" t="str">
        <f>HYPERLINK("mailto:jguri@crm.otsuka-europe.com", "jguri@crm.otsuka-europe.com")</f>
        <v>jguri@crm.otsuka-europe.com</v>
      </c>
      <c r="N3821" s="13">
        <v>46216.403981481482</v>
      </c>
      <c r="O3821" s="14" t="str">
        <f>HYPERLINK("https://otsuka-europe-crm.veevavault.com/ui/#object/email_activity__v/V8C00000004A120", "EN-002105095")</f>
        <v>EN-002105095</v>
      </c>
    </row>
    <row r="3822" spans="1:15" ht="16" x14ac:dyDescent="0.2">
      <c r="A3822" s="18" t="str">
        <f>HYPERLINK("https://otsuka-europe-crm.veevavault.com/ui/#object/account__v/V4TZ025E86OXDXZ", "ERIEL ALEXIS MARCHECO PUPO")</f>
        <v>ERIEL ALEXIS MARCHECO PUPO</v>
      </c>
      <c r="B3822" s="18" t="str">
        <f>HYPERLINK("https://otsuka-europe-crm.veevavault.com/ui/#object/vcountry__v/VENZ000004SONF5", "ES")</f>
        <v>ES</v>
      </c>
      <c r="C3822" s="20" t="s">
        <v>39</v>
      </c>
      <c r="D3822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22" s="22" t="str">
        <f>HYPERLINK("https://otsuka-europe-crm.veevavault.com/ui/#object/sent_email__v/VBL000000037015", "SE-001443504")</f>
        <v>SE-001443504</v>
      </c>
      <c r="F3822" s="23"/>
      <c r="G3822" s="24">
        <v>0</v>
      </c>
      <c r="H3822" s="24">
        <v>0</v>
      </c>
      <c r="I3822" s="24">
        <v>0</v>
      </c>
      <c r="J3822" s="23"/>
      <c r="K3822" s="24">
        <v>0</v>
      </c>
      <c r="L3822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22" s="22" t="str">
        <f>HYPERLINK("mailto:jguri@crm.otsuka-europe.com", "jguri@crm.otsuka-europe.com")</f>
        <v>jguri@crm.otsuka-europe.com</v>
      </c>
      <c r="N3822" s="25">
        <v>46216.403981481482</v>
      </c>
      <c r="O3822" s="14" t="str">
        <f>HYPERLINK("https://otsuka-europe-crm.veevavault.com/ui/#object/email_activity__v/V8C000000049678", "EN-002106179")</f>
        <v>EN-002106179</v>
      </c>
    </row>
    <row r="3823" spans="1:15" ht="16" x14ac:dyDescent="0.2">
      <c r="A3823" s="19"/>
      <c r="B3823" s="19"/>
      <c r="C3823" s="19"/>
      <c r="D3823" s="19"/>
      <c r="E3823" s="19"/>
      <c r="F3823" s="19"/>
      <c r="G3823" s="19"/>
      <c r="H3823" s="19"/>
      <c r="I3823" s="19"/>
      <c r="J3823" s="19"/>
      <c r="K3823" s="19"/>
      <c r="L3823" s="19"/>
      <c r="M3823" s="19"/>
      <c r="N3823" s="19"/>
      <c r="O3823" s="14" t="str">
        <f>HYPERLINK("https://otsuka-europe-crm.veevavault.com/ui/#object/email_activity__v/V8C00000004A118", "EN-002105093")</f>
        <v>EN-002105093</v>
      </c>
    </row>
    <row r="3824" spans="1:15" ht="48" x14ac:dyDescent="0.2">
      <c r="A3824" s="7" t="str">
        <f>HYPERLINK("https://otsuka-europe-crm.veevavault.com/ui/#object/account__v/V4TZ06G6O71T9CP", "JUAN MIGUEL BERGUA BURGUES")</f>
        <v>JUAN MIGUEL BERGUA BURGUES</v>
      </c>
      <c r="B3824" s="7" t="str">
        <f>HYPERLINK("https://otsuka-europe-crm.veevavault.com/ui/#object/vcountry__v/VENZ000004SONF5", "ES")</f>
        <v>ES</v>
      </c>
      <c r="C3824" s="8" t="s">
        <v>39</v>
      </c>
      <c r="D3824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24" s="10" t="str">
        <f>HYPERLINK("https://otsuka-europe-crm.veevavault.com/ui/#object/sent_email__v/VBL000000037016", "SE-001443505")</f>
        <v>SE-001443505</v>
      </c>
      <c r="F3824" s="11"/>
      <c r="G3824" s="12">
        <v>0</v>
      </c>
      <c r="H3824" s="12">
        <v>0</v>
      </c>
      <c r="I3824" s="12">
        <v>0</v>
      </c>
      <c r="J3824" s="11"/>
      <c r="K3824" s="12">
        <v>0</v>
      </c>
      <c r="L3824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24" s="10" t="str">
        <f>HYPERLINK("mailto:jguri@crm.otsuka-europe.com", "jguri@crm.otsuka-europe.com")</f>
        <v>jguri@crm.otsuka-europe.com</v>
      </c>
      <c r="N3824" s="13">
        <v>46216.403981481482</v>
      </c>
      <c r="O3824" s="14" t="str">
        <f>HYPERLINK("https://otsuka-europe-crm.veevavault.com/ui/#object/email_activity__v/V8C00000004A117", "EN-002105092")</f>
        <v>EN-002105092</v>
      </c>
    </row>
    <row r="3825" spans="1:15" ht="48" x14ac:dyDescent="0.2">
      <c r="A3825" s="7" t="str">
        <f>HYPERLINK("https://otsuka-europe-crm.veevavault.com/ui/#object/account__v/V4TZ025E84EDRUT", "MARIA PILAR BRAVO BARAHONA")</f>
        <v>MARIA PILAR BRAVO BARAHONA</v>
      </c>
      <c r="B3825" s="7" t="str">
        <f>HYPERLINK("https://otsuka-europe-crm.veevavault.com/ui/#object/vcountry__v/VENZ000004SONF5", "ES")</f>
        <v>ES</v>
      </c>
      <c r="C3825" s="8" t="s">
        <v>39</v>
      </c>
      <c r="D382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25" s="10" t="str">
        <f>HYPERLINK("https://otsuka-europe-crm.veevavault.com/ui/#object/sent_email__v/VBL000000037017", "SE-001443506")</f>
        <v>SE-001443506</v>
      </c>
      <c r="F3825" s="11"/>
      <c r="G3825" s="12">
        <v>0</v>
      </c>
      <c r="H3825" s="12">
        <v>0</v>
      </c>
      <c r="I3825" s="12">
        <v>0</v>
      </c>
      <c r="J3825" s="11"/>
      <c r="K3825" s="12">
        <v>0</v>
      </c>
      <c r="L382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25" s="10" t="str">
        <f>HYPERLINK("mailto:jguri@crm.otsuka-europe.com", "jguri@crm.otsuka-europe.com")</f>
        <v>jguri@crm.otsuka-europe.com</v>
      </c>
      <c r="N3825" s="13">
        <v>46216.403981481482</v>
      </c>
      <c r="O3825" s="14" t="str">
        <f>HYPERLINK("https://otsuka-europe-crm.veevavault.com/ui/#object/email_activity__v/V8C00000004A114", "EN-002105089")</f>
        <v>EN-002105089</v>
      </c>
    </row>
    <row r="3826" spans="1:15" ht="16" x14ac:dyDescent="0.2">
      <c r="A3826" s="18" t="str">
        <f>HYPERLINK("https://otsuka-europe-crm.veevavault.com/ui/#object/account__v/V4TZ025E83POZ65", "MARTA POLO ZARZUELA")</f>
        <v>MARTA POLO ZARZUELA</v>
      </c>
      <c r="B3826" s="18" t="str">
        <f>HYPERLINK("https://otsuka-europe-crm.veevavault.com/ui/#object/vcountry__v/VENZ000004SONF5", "ES")</f>
        <v>ES</v>
      </c>
      <c r="C3826" s="20" t="s">
        <v>39</v>
      </c>
      <c r="D382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26" s="22" t="str">
        <f>HYPERLINK("https://otsuka-europe-crm.veevavault.com/ui/#object/sent_email__v/VBL000000037018", "SE-001443507")</f>
        <v>SE-001443507</v>
      </c>
      <c r="F3826" s="25">
        <v>46226.768796296295</v>
      </c>
      <c r="G3826" s="24">
        <v>1</v>
      </c>
      <c r="H3826" s="24">
        <v>3</v>
      </c>
      <c r="I3826" s="24">
        <v>0</v>
      </c>
      <c r="J3826" s="23"/>
      <c r="K3826" s="24">
        <v>0</v>
      </c>
      <c r="L382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26" s="22" t="str">
        <f>HYPERLINK("mailto:jguri@crm.otsuka-europe.com", "jguri@crm.otsuka-europe.com")</f>
        <v>jguri@crm.otsuka-europe.com</v>
      </c>
      <c r="N3826" s="25">
        <v>46216.404016203705</v>
      </c>
      <c r="O3826" s="14" t="str">
        <f>HYPERLINK("https://otsuka-europe-crm.veevavault.com/ui/#object/email_activity__v/V8C00000004A093", "EN-002105066")</f>
        <v>EN-002105066</v>
      </c>
    </row>
    <row r="3827" spans="1:15" ht="16" x14ac:dyDescent="0.2">
      <c r="A3827" s="26"/>
      <c r="B3827" s="26"/>
      <c r="C3827" s="26"/>
      <c r="D3827" s="26"/>
      <c r="E3827" s="26"/>
      <c r="F3827" s="26"/>
      <c r="G3827" s="26"/>
      <c r="H3827" s="26"/>
      <c r="I3827" s="26"/>
      <c r="J3827" s="26"/>
      <c r="K3827" s="26"/>
      <c r="L3827" s="26"/>
      <c r="M3827" s="26"/>
      <c r="N3827" s="26"/>
      <c r="O3827" s="14" t="str">
        <f>HYPERLINK("https://otsuka-europe-crm.veevavault.com/ui/#object/email_activity__v/V8C00000004A421", "EN-002105773")</f>
        <v>EN-002105773</v>
      </c>
    </row>
    <row r="3828" spans="1:15" ht="16" x14ac:dyDescent="0.2">
      <c r="A3828" s="26"/>
      <c r="B3828" s="26"/>
      <c r="C3828" s="26"/>
      <c r="D3828" s="26"/>
      <c r="E3828" s="26"/>
      <c r="F3828" s="26"/>
      <c r="G3828" s="26"/>
      <c r="H3828" s="26"/>
      <c r="I3828" s="26"/>
      <c r="J3828" s="26"/>
      <c r="K3828" s="26"/>
      <c r="L3828" s="26"/>
      <c r="M3828" s="26"/>
      <c r="N3828" s="26"/>
      <c r="O3828" s="14" t="str">
        <f>HYPERLINK("https://otsuka-europe-crm.veevavault.com/ui/#object/email_activity__v/V8C00000004B008", "EN-002106743")</f>
        <v>EN-002106743</v>
      </c>
    </row>
    <row r="3829" spans="1:15" ht="16" x14ac:dyDescent="0.2">
      <c r="A3829" s="19"/>
      <c r="B3829" s="19"/>
      <c r="C3829" s="19"/>
      <c r="D3829" s="19"/>
      <c r="E3829" s="19"/>
      <c r="F3829" s="19"/>
      <c r="G3829" s="19"/>
      <c r="H3829" s="19"/>
      <c r="I3829" s="19"/>
      <c r="J3829" s="19"/>
      <c r="K3829" s="19"/>
      <c r="L3829" s="19"/>
      <c r="M3829" s="19"/>
      <c r="N3829" s="19"/>
      <c r="O3829" s="14" t="str">
        <f>HYPERLINK("https://otsuka-europe-crm.veevavault.com/ui/#object/email_activity__v/V8C00000004B901", "EN-002108218")</f>
        <v>EN-002108218</v>
      </c>
    </row>
    <row r="3830" spans="1:15" ht="48" x14ac:dyDescent="0.2">
      <c r="A3830" s="7" t="str">
        <f>HYPERLINK("https://otsuka-europe-crm.veevavault.com/ui/#object/account__v/V4TZ025E83OC4WX", "MARIA ANGELES FERNANDEZ GALAN")</f>
        <v>MARIA ANGELES FERNANDEZ GALAN</v>
      </c>
      <c r="B3830" s="7" t="str">
        <f t="shared" ref="B3830:B3836" si="164">HYPERLINK("https://otsuka-europe-crm.veevavault.com/ui/#object/vcountry__v/VENZ000004SONF5", "ES")</f>
        <v>ES</v>
      </c>
      <c r="C3830" s="8" t="s">
        <v>39</v>
      </c>
      <c r="D3830" s="9" t="str">
        <f t="shared" ref="D3830:D3836" si="165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30" s="10" t="str">
        <f>HYPERLINK("https://otsuka-europe-crm.veevavault.com/ui/#object/sent_email__v/VBL000000037019", "SE-001443508")</f>
        <v>SE-001443508</v>
      </c>
      <c r="F3830" s="11"/>
      <c r="G3830" s="12">
        <v>0</v>
      </c>
      <c r="H3830" s="12">
        <v>0</v>
      </c>
      <c r="I3830" s="12">
        <v>0</v>
      </c>
      <c r="J3830" s="11"/>
      <c r="K3830" s="12">
        <v>0</v>
      </c>
      <c r="L3830" s="10" t="str">
        <f t="shared" ref="L3830:L3836" si="166"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30" s="10" t="str">
        <f t="shared" ref="M3830:M3836" si="167">HYPERLINK("mailto:jguri@crm.otsuka-europe.com", "jguri@crm.otsuka-europe.com")</f>
        <v>jguri@crm.otsuka-europe.com</v>
      </c>
      <c r="N3830" s="13">
        <v>46216.403981481482</v>
      </c>
      <c r="O3830" s="14" t="str">
        <f>HYPERLINK("https://otsuka-europe-crm.veevavault.com/ui/#object/email_activity__v/V8C00000004A134", "EN-002105109")</f>
        <v>EN-002105109</v>
      </c>
    </row>
    <row r="3831" spans="1:15" ht="48" x14ac:dyDescent="0.2">
      <c r="A3831" s="7" t="str">
        <f>HYPERLINK("https://otsuka-europe-crm.veevavault.com/ui/#object/account__v/V4TZ025E84EEBU5", "ANA CAROLINA FRANCO VILLEGAS")</f>
        <v>ANA CAROLINA FRANCO VILLEGAS</v>
      </c>
      <c r="B3831" s="7" t="str">
        <f t="shared" si="164"/>
        <v>ES</v>
      </c>
      <c r="C3831" s="8" t="s">
        <v>39</v>
      </c>
      <c r="D3831" s="9" t="str">
        <f t="shared" si="165"/>
        <v>INA - VAE vídeos “Mejor en casa: el desafío del paciente unfit”</v>
      </c>
      <c r="E3831" s="10" t="str">
        <f>HYPERLINK("https://otsuka-europe-crm.veevavault.com/ui/#object/sent_email__v/VBL000000037020", "SE-001443509")</f>
        <v>SE-001443509</v>
      </c>
      <c r="F3831" s="11"/>
      <c r="G3831" s="12">
        <v>0</v>
      </c>
      <c r="H3831" s="12">
        <v>0</v>
      </c>
      <c r="I3831" s="12">
        <v>0</v>
      </c>
      <c r="J3831" s="11"/>
      <c r="K3831" s="12">
        <v>0</v>
      </c>
      <c r="L3831" s="10" t="str">
        <f t="shared" si="166"/>
        <v>INA - VAE vídeos “Mejor en casa: el desafío del paciente unfit”</v>
      </c>
      <c r="M3831" s="10" t="str">
        <f t="shared" si="167"/>
        <v>jguri@crm.otsuka-europe.com</v>
      </c>
      <c r="N3831" s="13">
        <v>46216.403981481482</v>
      </c>
      <c r="O3831" s="14" t="str">
        <f>HYPERLINK("https://otsuka-europe-crm.veevavault.com/ui/#object/email_activity__v/V8C00000004A110", "EN-002105085")</f>
        <v>EN-002105085</v>
      </c>
    </row>
    <row r="3832" spans="1:15" ht="48" x14ac:dyDescent="0.2">
      <c r="A3832" s="7" t="str">
        <f>HYPERLINK("https://otsuka-europe-crm.veevavault.com/ui/#object/account__v/V4TZ025E861Q6VX", "MARIA ANGELES MUÑOZ JAREÑO")</f>
        <v>MARIA ANGELES MUÑOZ JAREÑO</v>
      </c>
      <c r="B3832" s="7" t="str">
        <f t="shared" si="164"/>
        <v>ES</v>
      </c>
      <c r="C3832" s="8" t="s">
        <v>39</v>
      </c>
      <c r="D3832" s="9" t="str">
        <f t="shared" si="165"/>
        <v>INA - VAE vídeos “Mejor en casa: el desafío del paciente unfit”</v>
      </c>
      <c r="E3832" s="10" t="str">
        <f>HYPERLINK("https://otsuka-europe-crm.veevavault.com/ui/#object/sent_email__v/VBL000000037021", "SE-001443510")</f>
        <v>SE-001443510</v>
      </c>
      <c r="F3832" s="11"/>
      <c r="G3832" s="12">
        <v>0</v>
      </c>
      <c r="H3832" s="12">
        <v>0</v>
      </c>
      <c r="I3832" s="12">
        <v>0</v>
      </c>
      <c r="J3832" s="11"/>
      <c r="K3832" s="12">
        <v>0</v>
      </c>
      <c r="L3832" s="10" t="str">
        <f t="shared" si="166"/>
        <v>INA - VAE vídeos “Mejor en casa: el desafío del paciente unfit”</v>
      </c>
      <c r="M3832" s="10" t="str">
        <f t="shared" si="167"/>
        <v>jguri@crm.otsuka-europe.com</v>
      </c>
      <c r="N3832" s="13">
        <v>46216.403981481482</v>
      </c>
      <c r="O3832" s="14" t="str">
        <f>HYPERLINK("https://otsuka-europe-crm.veevavault.com/ui/#object/email_activity__v/V8C00000004A112", "EN-002105087")</f>
        <v>EN-002105087</v>
      </c>
    </row>
    <row r="3833" spans="1:15" ht="48" x14ac:dyDescent="0.2">
      <c r="A3833" s="7" t="str">
        <f>HYPERLINK("https://otsuka-europe-crm.veevavault.com/ui/#object/account__v/V4TZ025E84E72VU", "PAOLA SANDRA VILLAFUERTE GUTIERREZ")</f>
        <v>PAOLA SANDRA VILLAFUERTE GUTIERREZ</v>
      </c>
      <c r="B3833" s="7" t="str">
        <f t="shared" si="164"/>
        <v>ES</v>
      </c>
      <c r="C3833" s="8" t="s">
        <v>39</v>
      </c>
      <c r="D3833" s="9" t="str">
        <f t="shared" si="165"/>
        <v>INA - VAE vídeos “Mejor en casa: el desafío del paciente unfit”</v>
      </c>
      <c r="E3833" s="10" t="str">
        <f>HYPERLINK("https://otsuka-europe-crm.veevavault.com/ui/#object/sent_email__v/VBL000000037022", "SE-001443511")</f>
        <v>SE-001443511</v>
      </c>
      <c r="F3833" s="11"/>
      <c r="G3833" s="12">
        <v>0</v>
      </c>
      <c r="H3833" s="12">
        <v>0</v>
      </c>
      <c r="I3833" s="12">
        <v>0</v>
      </c>
      <c r="J3833" s="11"/>
      <c r="K3833" s="12">
        <v>0</v>
      </c>
      <c r="L3833" s="10" t="str">
        <f t="shared" si="166"/>
        <v>INA - VAE vídeos “Mejor en casa: el desafío del paciente unfit”</v>
      </c>
      <c r="M3833" s="10" t="str">
        <f t="shared" si="167"/>
        <v>jguri@crm.otsuka-europe.com</v>
      </c>
      <c r="N3833" s="13">
        <v>46216.403981481482</v>
      </c>
      <c r="O3833" s="14" t="str">
        <f>HYPERLINK("https://otsuka-europe-crm.veevavault.com/ui/#object/email_activity__v/V8C00000004A129", "EN-002105104")</f>
        <v>EN-002105104</v>
      </c>
    </row>
    <row r="3834" spans="1:15" ht="48" x14ac:dyDescent="0.2">
      <c r="A3834" s="7" t="str">
        <f>HYPERLINK("https://otsuka-europe-crm.veevavault.com/ui/#object/account__v/V4TZ025E861PASF", "FABIO AUGUSTO RUIZ GOMEZ")</f>
        <v>FABIO AUGUSTO RUIZ GOMEZ</v>
      </c>
      <c r="B3834" s="7" t="str">
        <f t="shared" si="164"/>
        <v>ES</v>
      </c>
      <c r="C3834" s="8" t="s">
        <v>39</v>
      </c>
      <c r="D3834" s="9" t="str">
        <f t="shared" si="165"/>
        <v>INA - VAE vídeos “Mejor en casa: el desafío del paciente unfit”</v>
      </c>
      <c r="E3834" s="10" t="str">
        <f>HYPERLINK("https://otsuka-europe-crm.veevavault.com/ui/#object/sent_email__v/VBL000000037023", "SE-001443512")</f>
        <v>SE-001443512</v>
      </c>
      <c r="F3834" s="11"/>
      <c r="G3834" s="12">
        <v>0</v>
      </c>
      <c r="H3834" s="12">
        <v>0</v>
      </c>
      <c r="I3834" s="12">
        <v>0</v>
      </c>
      <c r="J3834" s="11"/>
      <c r="K3834" s="12">
        <v>0</v>
      </c>
      <c r="L3834" s="10" t="str">
        <f t="shared" si="166"/>
        <v>INA - VAE vídeos “Mejor en casa: el desafío del paciente unfit”</v>
      </c>
      <c r="M3834" s="10" t="str">
        <f t="shared" si="167"/>
        <v>jguri@crm.otsuka-europe.com</v>
      </c>
      <c r="N3834" s="13">
        <v>46216.403981481482</v>
      </c>
      <c r="O3834" s="14" t="str">
        <f>HYPERLINK("https://otsuka-europe-crm.veevavault.com/ui/#object/email_activity__v/V8C00000004A128", "EN-002105103")</f>
        <v>EN-002105103</v>
      </c>
    </row>
    <row r="3835" spans="1:15" ht="48" x14ac:dyDescent="0.2">
      <c r="A3835" s="7" t="str">
        <f>HYPERLINK("https://otsuka-europe-crm.veevavault.com/ui/#object/account__v/V4TZ06G6O71T8BW", "JORGE SILVA RUIZ")</f>
        <v>JORGE SILVA RUIZ</v>
      </c>
      <c r="B3835" s="7" t="str">
        <f t="shared" si="164"/>
        <v>ES</v>
      </c>
      <c r="C3835" s="8" t="s">
        <v>39</v>
      </c>
      <c r="D3835" s="9" t="str">
        <f t="shared" si="165"/>
        <v>INA - VAE vídeos “Mejor en casa: el desafío del paciente unfit”</v>
      </c>
      <c r="E3835" s="10" t="str">
        <f>HYPERLINK("https://otsuka-europe-crm.veevavault.com/ui/#object/sent_email__v/VBL000000037024", "SE-001443513")</f>
        <v>SE-001443513</v>
      </c>
      <c r="F3835" s="11"/>
      <c r="G3835" s="12">
        <v>0</v>
      </c>
      <c r="H3835" s="12">
        <v>0</v>
      </c>
      <c r="I3835" s="12">
        <v>0</v>
      </c>
      <c r="J3835" s="11"/>
      <c r="K3835" s="12">
        <v>0</v>
      </c>
      <c r="L3835" s="10" t="str">
        <f t="shared" si="166"/>
        <v>INA - VAE vídeos “Mejor en casa: el desafío del paciente unfit”</v>
      </c>
      <c r="M3835" s="10" t="str">
        <f t="shared" si="167"/>
        <v>jguri@crm.otsuka-europe.com</v>
      </c>
      <c r="N3835" s="13">
        <v>46216.403981481482</v>
      </c>
      <c r="O3835" s="14" t="str">
        <f>HYPERLINK("https://otsuka-europe-crm.veevavault.com/ui/#object/email_activity__v/V8C00000004A104", "EN-002105079")</f>
        <v>EN-002105079</v>
      </c>
    </row>
    <row r="3836" spans="1:15" ht="16" x14ac:dyDescent="0.2">
      <c r="A3836" s="18" t="str">
        <f>HYPERLINK("https://otsuka-europe-crm.veevavault.com/ui/#object/account__v/V4TZ025E83POFNM", "CELINA MARIA BENAVENTE CUESTA")</f>
        <v>CELINA MARIA BENAVENTE CUESTA</v>
      </c>
      <c r="B3836" s="18" t="str">
        <f t="shared" si="164"/>
        <v>ES</v>
      </c>
      <c r="C3836" s="20" t="s">
        <v>39</v>
      </c>
      <c r="D3836" s="21" t="str">
        <f t="shared" si="165"/>
        <v>INA - VAE vídeos “Mejor en casa: el desafío del paciente unfit”</v>
      </c>
      <c r="E3836" s="22" t="str">
        <f>HYPERLINK("https://otsuka-europe-crm.veevavault.com/ui/#object/sent_email__v/VBL000000037025", "SE-001443514")</f>
        <v>SE-001443514</v>
      </c>
      <c r="F3836" s="23"/>
      <c r="G3836" s="24">
        <v>0</v>
      </c>
      <c r="H3836" s="24">
        <v>0</v>
      </c>
      <c r="I3836" s="24">
        <v>0</v>
      </c>
      <c r="J3836" s="23"/>
      <c r="K3836" s="24">
        <v>0</v>
      </c>
      <c r="L3836" s="22" t="str">
        <f t="shared" si="166"/>
        <v>INA - VAE vídeos “Mejor en casa: el desafío del paciente unfit”</v>
      </c>
      <c r="M3836" s="22" t="str">
        <f t="shared" si="167"/>
        <v>jguri@crm.otsuka-europe.com</v>
      </c>
      <c r="N3836" s="25">
        <v>46216.404016203705</v>
      </c>
      <c r="O3836" s="14" t="str">
        <f>HYPERLINK("https://otsuka-europe-crm.veevavault.com/ui/#object/email_activity__v/V8C000000049367", "EN-002105534")</f>
        <v>EN-002105534</v>
      </c>
    </row>
    <row r="3837" spans="1:15" ht="16" x14ac:dyDescent="0.2">
      <c r="A3837" s="19"/>
      <c r="B3837" s="19"/>
      <c r="C3837" s="19"/>
      <c r="D3837" s="19"/>
      <c r="E3837" s="19"/>
      <c r="F3837" s="19"/>
      <c r="G3837" s="19"/>
      <c r="H3837" s="19"/>
      <c r="I3837" s="19"/>
      <c r="J3837" s="19"/>
      <c r="K3837" s="19"/>
      <c r="L3837" s="19"/>
      <c r="M3837" s="19"/>
      <c r="N3837" s="19"/>
      <c r="O3837" s="14" t="str">
        <f>HYPERLINK("https://otsuka-europe-crm.veevavault.com/ui/#object/email_activity__v/V8C00000004A091", "EN-002105064")</f>
        <v>EN-002105064</v>
      </c>
    </row>
    <row r="3838" spans="1:15" ht="16" x14ac:dyDescent="0.2">
      <c r="A3838" s="18" t="str">
        <f>HYPERLINK("https://otsuka-europe-crm.veevavault.com/ui/#object/account__v/V4TZ06G6O71T8NZ", "JORGE BARTOLOME ARCILLA")</f>
        <v>JORGE BARTOLOME ARCILLA</v>
      </c>
      <c r="B3838" s="18" t="str">
        <f>HYPERLINK("https://otsuka-europe-crm.veevavault.com/ui/#object/vcountry__v/VENZ000004SONF5", "ES")</f>
        <v>ES</v>
      </c>
      <c r="C3838" s="20" t="s">
        <v>39</v>
      </c>
      <c r="D3838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38" s="22" t="str">
        <f>HYPERLINK("https://otsuka-europe-crm.veevavault.com/ui/#object/sent_email__v/VBL000000037026", "SE-001443515")</f>
        <v>SE-001443515</v>
      </c>
      <c r="F3838" s="25">
        <v>46216.445636574077</v>
      </c>
      <c r="G3838" s="24">
        <v>1</v>
      </c>
      <c r="H3838" s="24">
        <v>1</v>
      </c>
      <c r="I3838" s="24">
        <v>0</v>
      </c>
      <c r="J3838" s="23"/>
      <c r="K3838" s="24">
        <v>0</v>
      </c>
      <c r="L3838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38" s="22" t="str">
        <f>HYPERLINK("mailto:jguri@crm.otsuka-europe.com", "jguri@crm.otsuka-europe.com")</f>
        <v>jguri@crm.otsuka-europe.com</v>
      </c>
      <c r="N3838" s="25">
        <v>46216.403877314813</v>
      </c>
      <c r="O3838" s="14" t="str">
        <f>HYPERLINK("https://otsuka-europe-crm.veevavault.com/ui/#object/email_activity__v/V8C000000049324", "EN-002105452")</f>
        <v>EN-002105452</v>
      </c>
    </row>
    <row r="3839" spans="1:15" ht="16" x14ac:dyDescent="0.2">
      <c r="A3839" s="19"/>
      <c r="B3839" s="19"/>
      <c r="C3839" s="19"/>
      <c r="D3839" s="19"/>
      <c r="E3839" s="19"/>
      <c r="F3839" s="19"/>
      <c r="G3839" s="19"/>
      <c r="H3839" s="19"/>
      <c r="I3839" s="19"/>
      <c r="J3839" s="19"/>
      <c r="K3839" s="19"/>
      <c r="L3839" s="19"/>
      <c r="M3839" s="19"/>
      <c r="N3839" s="19"/>
      <c r="O3839" s="14" t="str">
        <f>HYPERLINK("https://otsuka-europe-crm.veevavault.com/ui/#object/email_activity__v/V8C00000004A099", "EN-002105074")</f>
        <v>EN-002105074</v>
      </c>
    </row>
    <row r="3840" spans="1:15" ht="16" x14ac:dyDescent="0.2">
      <c r="A3840" s="18" t="str">
        <f>HYPERLINK("https://otsuka-europe-crm.veevavault.com/ui/#object/account__v/V4TZ06G6O71T9E0", "ANA ISABEL BALLESTEROS GARCIA")</f>
        <v>ANA ISABEL BALLESTEROS GARCIA</v>
      </c>
      <c r="B3840" s="18" t="str">
        <f>HYPERLINK("https://otsuka-europe-crm.veevavault.com/ui/#object/vcountry__v/VENZ000004SONF5", "ES")</f>
        <v>ES</v>
      </c>
      <c r="C3840" s="20" t="s">
        <v>39</v>
      </c>
      <c r="D3840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40" s="22" t="str">
        <f>HYPERLINK("https://otsuka-europe-crm.veevavault.com/ui/#object/sent_email__v/VBL000000037027", "SE-001443516")</f>
        <v>SE-001443516</v>
      </c>
      <c r="F3840" s="25">
        <v>46216.771770833337</v>
      </c>
      <c r="G3840" s="24">
        <v>1</v>
      </c>
      <c r="H3840" s="24">
        <v>1</v>
      </c>
      <c r="I3840" s="24">
        <v>0</v>
      </c>
      <c r="J3840" s="23"/>
      <c r="K3840" s="24">
        <v>0</v>
      </c>
      <c r="L3840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40" s="22" t="str">
        <f>HYPERLINK("mailto:jguri@crm.otsuka-europe.com", "jguri@crm.otsuka-europe.com")</f>
        <v>jguri@crm.otsuka-europe.com</v>
      </c>
      <c r="N3840" s="25">
        <v>46216.40388888889</v>
      </c>
      <c r="O3840" s="14" t="str">
        <f>HYPERLINK("https://otsuka-europe-crm.veevavault.com/ui/#object/email_activity__v/V8C000000049439", "EN-002105676")</f>
        <v>EN-002105676</v>
      </c>
    </row>
    <row r="3841" spans="1:15" ht="16" x14ac:dyDescent="0.2">
      <c r="A3841" s="26"/>
      <c r="B3841" s="26"/>
      <c r="C3841" s="26"/>
      <c r="D3841" s="26"/>
      <c r="E3841" s="26"/>
      <c r="F3841" s="26"/>
      <c r="G3841" s="26"/>
      <c r="H3841" s="26"/>
      <c r="I3841" s="26"/>
      <c r="J3841" s="26"/>
      <c r="K3841" s="26"/>
      <c r="L3841" s="26"/>
      <c r="M3841" s="26"/>
      <c r="N3841" s="26"/>
      <c r="O3841" s="14" t="str">
        <f>HYPERLINK("https://otsuka-europe-crm.veevavault.com/ui/#object/email_activity__v/V8C000000049462", "EN-002105719")</f>
        <v>EN-002105719</v>
      </c>
    </row>
    <row r="3842" spans="1:15" ht="16" x14ac:dyDescent="0.2">
      <c r="A3842" s="19"/>
      <c r="B3842" s="19"/>
      <c r="C3842" s="19"/>
      <c r="D3842" s="19"/>
      <c r="E3842" s="19"/>
      <c r="F3842" s="19"/>
      <c r="G3842" s="19"/>
      <c r="H3842" s="19"/>
      <c r="I3842" s="19"/>
      <c r="J3842" s="19"/>
      <c r="K3842" s="19"/>
      <c r="L3842" s="19"/>
      <c r="M3842" s="19"/>
      <c r="N3842" s="19"/>
      <c r="O3842" s="14" t="str">
        <f>HYPERLINK("https://otsuka-europe-crm.veevavault.com/ui/#object/email_activity__v/V8C00000004A098", "EN-002105073")</f>
        <v>EN-002105073</v>
      </c>
    </row>
    <row r="3843" spans="1:15" ht="48" x14ac:dyDescent="0.2">
      <c r="A3843" s="7" t="str">
        <f>HYPERLINK("https://otsuka-europe-crm.veevavault.com/ui/#object/account__v/V4TZ06G6O71TCHJ", "MARIA BELEN VIDRIALES VICENTE")</f>
        <v>MARIA BELEN VIDRIALES VICENTE</v>
      </c>
      <c r="B3843" s="7" t="str">
        <f>HYPERLINK("https://otsuka-europe-crm.veevavault.com/ui/#object/vcountry__v/VENZ000004SONF5", "ES")</f>
        <v>ES</v>
      </c>
      <c r="C3843" s="8" t="s">
        <v>39</v>
      </c>
      <c r="D384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43" s="10" t="str">
        <f>HYPERLINK("https://otsuka-europe-crm.veevavault.com/ui/#object/sent_email__v/VBL000000037028", "SE-001443517")</f>
        <v>SE-001443517</v>
      </c>
      <c r="F3843" s="11"/>
      <c r="G3843" s="12">
        <v>0</v>
      </c>
      <c r="H3843" s="12">
        <v>0</v>
      </c>
      <c r="I3843" s="12">
        <v>0</v>
      </c>
      <c r="J3843" s="11"/>
      <c r="K3843" s="12">
        <v>0</v>
      </c>
      <c r="L384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43" s="10" t="str">
        <f>HYPERLINK("mailto:jguri@crm.otsuka-europe.com", "jguri@crm.otsuka-europe.com")</f>
        <v>jguri@crm.otsuka-europe.com</v>
      </c>
      <c r="N3843" s="13">
        <v>46216.403981481482</v>
      </c>
      <c r="O3843" s="14" t="str">
        <f>HYPERLINK("https://otsuka-europe-crm.veevavault.com/ui/#object/email_activity__v/V8C00000004A132", "EN-002105107")</f>
        <v>EN-002105107</v>
      </c>
    </row>
    <row r="3844" spans="1:15" ht="16" x14ac:dyDescent="0.2">
      <c r="A3844" s="18" t="str">
        <f>HYPERLINK("https://otsuka-europe-crm.veevavault.com/ui/#object/account__v/V4TZ025E877J2W1", "IRENE SANCHEZ VADILLO")</f>
        <v>IRENE SANCHEZ VADILLO</v>
      </c>
      <c r="B3844" s="18" t="str">
        <f>HYPERLINK("https://otsuka-europe-crm.veevavault.com/ui/#object/vcountry__v/VENZ000004SONF5", "ES")</f>
        <v>ES</v>
      </c>
      <c r="C3844" s="20" t="s">
        <v>39</v>
      </c>
      <c r="D384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44" s="22" t="str">
        <f>HYPERLINK("https://otsuka-europe-crm.veevavault.com/ui/#object/sent_email__v/VBL000000037029", "SE-001443518")</f>
        <v>SE-001443518</v>
      </c>
      <c r="F3844" s="25">
        <v>46216.789525462962</v>
      </c>
      <c r="G3844" s="24">
        <v>1</v>
      </c>
      <c r="H3844" s="24">
        <v>1</v>
      </c>
      <c r="I3844" s="24">
        <v>0</v>
      </c>
      <c r="J3844" s="23"/>
      <c r="K3844" s="24">
        <v>0</v>
      </c>
      <c r="L384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44" s="22" t="str">
        <f>HYPERLINK("mailto:jguri@crm.otsuka-europe.com", "jguri@crm.otsuka-europe.com")</f>
        <v>jguri@crm.otsuka-europe.com</v>
      </c>
      <c r="N3844" s="25">
        <v>46216.403981481482</v>
      </c>
      <c r="O3844" s="14" t="str">
        <f>HYPERLINK("https://otsuka-europe-crm.veevavault.com/ui/#object/email_activity__v/V8C000000049445", "EN-002105683")</f>
        <v>EN-002105683</v>
      </c>
    </row>
    <row r="3845" spans="1:15" ht="16" x14ac:dyDescent="0.2">
      <c r="A3845" s="19"/>
      <c r="B3845" s="19"/>
      <c r="C3845" s="19"/>
      <c r="D3845" s="19"/>
      <c r="E3845" s="19"/>
      <c r="F3845" s="19"/>
      <c r="G3845" s="19"/>
      <c r="H3845" s="19"/>
      <c r="I3845" s="19"/>
      <c r="J3845" s="19"/>
      <c r="K3845" s="19"/>
      <c r="L3845" s="19"/>
      <c r="M3845" s="19"/>
      <c r="N3845" s="19"/>
      <c r="O3845" s="14" t="str">
        <f>HYPERLINK("https://otsuka-europe-crm.veevavault.com/ui/#object/email_activity__v/V8C00000004A108", "EN-002105083")</f>
        <v>EN-002105083</v>
      </c>
    </row>
    <row r="3846" spans="1:15" ht="48" x14ac:dyDescent="0.2">
      <c r="A3846" s="7" t="str">
        <f>HYPERLINK("https://otsuka-europe-crm.veevavault.com/ui/#object/account__v/V4TZ025E88Y8G39", "MARIA VELASCO TROYANO")</f>
        <v>MARIA VELASCO TROYANO</v>
      </c>
      <c r="B3846" s="7" t="str">
        <f>HYPERLINK("https://otsuka-europe-crm.veevavault.com/ui/#object/vcountry__v/VENZ000004SONF5", "ES")</f>
        <v>ES</v>
      </c>
      <c r="C3846" s="8" t="s">
        <v>39</v>
      </c>
      <c r="D384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46" s="10" t="str">
        <f>HYPERLINK("https://otsuka-europe-crm.veevavault.com/ui/#object/sent_email__v/VBL000000037030", "SE-001443519")</f>
        <v>SE-001443519</v>
      </c>
      <c r="F3846" s="11"/>
      <c r="G3846" s="12">
        <v>0</v>
      </c>
      <c r="H3846" s="12">
        <v>0</v>
      </c>
      <c r="I3846" s="12">
        <v>0</v>
      </c>
      <c r="J3846" s="11"/>
      <c r="K3846" s="12">
        <v>0</v>
      </c>
      <c r="L384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46" s="10" t="str">
        <f>HYPERLINK("mailto:jguri@crm.otsuka-europe.com", "jguri@crm.otsuka-europe.com")</f>
        <v>jguri@crm.otsuka-europe.com</v>
      </c>
      <c r="N3846" s="13">
        <v>46216.403981481482</v>
      </c>
      <c r="O3846" s="14" t="str">
        <f>HYPERLINK("https://otsuka-europe-crm.veevavault.com/ui/#object/email_activity__v/V8C00000004A126", "EN-002105101")</f>
        <v>EN-002105101</v>
      </c>
    </row>
    <row r="3847" spans="1:15" ht="16" x14ac:dyDescent="0.2">
      <c r="A3847" s="18" t="str">
        <f>HYPERLINK("https://otsuka-europe-crm.veevavault.com/ui/#object/account__v/V4TZ025E87QDOCC", "MARIA JESUS RODRIGUEZ DOMINGUEZ")</f>
        <v>MARIA JESUS RODRIGUEZ DOMINGUEZ</v>
      </c>
      <c r="B3847" s="18" t="str">
        <f>HYPERLINK("https://otsuka-europe-crm.veevavault.com/ui/#object/vcountry__v/VENZ000004SONF5", "ES")</f>
        <v>ES</v>
      </c>
      <c r="C3847" s="20" t="s">
        <v>39</v>
      </c>
      <c r="D384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47" s="22" t="str">
        <f>HYPERLINK("https://otsuka-europe-crm.veevavault.com/ui/#object/sent_email__v/VBL000000037031", "SE-001443520")</f>
        <v>SE-001443520</v>
      </c>
      <c r="F3847" s="25">
        <v>46216.554178240738</v>
      </c>
      <c r="G3847" s="24">
        <v>1</v>
      </c>
      <c r="H3847" s="24">
        <v>3</v>
      </c>
      <c r="I3847" s="24">
        <v>0</v>
      </c>
      <c r="J3847" s="23"/>
      <c r="K3847" s="24">
        <v>0</v>
      </c>
      <c r="L384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47" s="22" t="str">
        <f>HYPERLINK("mailto:jguri@crm.otsuka-europe.com", "jguri@crm.otsuka-europe.com")</f>
        <v>jguri@crm.otsuka-europe.com</v>
      </c>
      <c r="N3847" s="25">
        <v>46216.403981481482</v>
      </c>
      <c r="O3847" s="14" t="str">
        <f>HYPERLINK("https://otsuka-europe-crm.veevavault.com/ui/#object/email_activity__v/V8C000000049286", "EN-002105390")</f>
        <v>EN-002105390</v>
      </c>
    </row>
    <row r="3848" spans="1:15" ht="16" x14ac:dyDescent="0.2">
      <c r="A3848" s="26"/>
      <c r="B3848" s="26"/>
      <c r="C3848" s="26"/>
      <c r="D3848" s="26"/>
      <c r="E3848" s="26"/>
      <c r="F3848" s="26"/>
      <c r="G3848" s="26"/>
      <c r="H3848" s="26"/>
      <c r="I3848" s="26"/>
      <c r="J3848" s="26"/>
      <c r="K3848" s="26"/>
      <c r="L3848" s="26"/>
      <c r="M3848" s="26"/>
      <c r="N3848" s="26"/>
      <c r="O3848" s="14" t="str">
        <f>HYPERLINK("https://otsuka-europe-crm.veevavault.com/ui/#object/email_activity__v/V8C000000049456", "EN-002105709")</f>
        <v>EN-002105709</v>
      </c>
    </row>
    <row r="3849" spans="1:15" ht="16" x14ac:dyDescent="0.2">
      <c r="A3849" s="26"/>
      <c r="B3849" s="26"/>
      <c r="C3849" s="26"/>
      <c r="D3849" s="26"/>
      <c r="E3849" s="26"/>
      <c r="F3849" s="26"/>
      <c r="G3849" s="26"/>
      <c r="H3849" s="26"/>
      <c r="I3849" s="26"/>
      <c r="J3849" s="26"/>
      <c r="K3849" s="26"/>
      <c r="L3849" s="26"/>
      <c r="M3849" s="26"/>
      <c r="N3849" s="26"/>
      <c r="O3849" s="14" t="str">
        <f>HYPERLINK("https://otsuka-europe-crm.veevavault.com/ui/#object/email_activity__v/V8C000000049468", "EN-002105737")</f>
        <v>EN-002105737</v>
      </c>
    </row>
    <row r="3850" spans="1:15" ht="16" x14ac:dyDescent="0.2">
      <c r="A3850" s="26"/>
      <c r="B3850" s="26"/>
      <c r="C3850" s="26"/>
      <c r="D3850" s="26"/>
      <c r="E3850" s="26"/>
      <c r="F3850" s="26"/>
      <c r="G3850" s="26"/>
      <c r="H3850" s="26"/>
      <c r="I3850" s="26"/>
      <c r="J3850" s="26"/>
      <c r="K3850" s="26"/>
      <c r="L3850" s="26"/>
      <c r="M3850" s="26"/>
      <c r="N3850" s="26"/>
      <c r="O3850" s="14" t="str">
        <f>HYPERLINK("https://otsuka-europe-crm.veevavault.com/ui/#object/email_activity__v/V8C00000004A127", "EN-002105102")</f>
        <v>EN-002105102</v>
      </c>
    </row>
    <row r="3851" spans="1:15" ht="16" x14ac:dyDescent="0.2">
      <c r="A3851" s="26"/>
      <c r="B3851" s="26"/>
      <c r="C3851" s="26"/>
      <c r="D3851" s="26"/>
      <c r="E3851" s="26"/>
      <c r="F3851" s="26"/>
      <c r="G3851" s="26"/>
      <c r="H3851" s="26"/>
      <c r="I3851" s="26"/>
      <c r="J3851" s="26"/>
      <c r="K3851" s="26"/>
      <c r="L3851" s="26"/>
      <c r="M3851" s="26"/>
      <c r="N3851" s="26"/>
      <c r="O3851" s="14" t="str">
        <f>HYPERLINK("https://otsuka-europe-crm.veevavault.com/ui/#object/email_activity__v/V8C00000004A243", "EN-002105401")</f>
        <v>EN-002105401</v>
      </c>
    </row>
    <row r="3852" spans="1:15" ht="16" x14ac:dyDescent="0.2">
      <c r="A3852" s="19"/>
      <c r="B3852" s="19"/>
      <c r="C3852" s="19"/>
      <c r="D3852" s="19"/>
      <c r="E3852" s="19"/>
      <c r="F3852" s="19"/>
      <c r="G3852" s="19"/>
      <c r="H3852" s="19"/>
      <c r="I3852" s="19"/>
      <c r="J3852" s="19"/>
      <c r="K3852" s="19"/>
      <c r="L3852" s="19"/>
      <c r="M3852" s="19"/>
      <c r="N3852" s="19"/>
      <c r="O3852" s="14" t="str">
        <f>HYPERLINK("https://otsuka-europe-crm.veevavault.com/ui/#object/email_activity__v/V8C00000004A289", "EN-002105510")</f>
        <v>EN-002105510</v>
      </c>
    </row>
    <row r="3853" spans="1:15" ht="48" x14ac:dyDescent="0.2">
      <c r="A3853" s="7" t="str">
        <f>HYPERLINK("https://otsuka-europe-crm.veevavault.com/ui/#object/account__v/V4T00000000O040", "JULIO GARCIA SUAREZ")</f>
        <v>JULIO GARCIA SUAREZ</v>
      </c>
      <c r="B3853" s="7" t="str">
        <f>HYPERLINK("https://otsuka-europe-crm.veevavault.com/ui/#object/vcountry__v/VENZ000004SONF5", "ES")</f>
        <v>ES</v>
      </c>
      <c r="C3853" s="8" t="s">
        <v>39</v>
      </c>
      <c r="D385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53" s="10" t="str">
        <f>HYPERLINK("https://otsuka-europe-crm.veevavault.com/ui/#object/sent_email__v/VBL000000037032", "SE-001443521")</f>
        <v>SE-001443521</v>
      </c>
      <c r="F3853" s="11"/>
      <c r="G3853" s="12">
        <v>0</v>
      </c>
      <c r="H3853" s="12">
        <v>0</v>
      </c>
      <c r="I3853" s="12">
        <v>0</v>
      </c>
      <c r="J3853" s="11"/>
      <c r="K3853" s="12">
        <v>0</v>
      </c>
      <c r="L385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53" s="10" t="str">
        <f>HYPERLINK("mailto:jguri@crm.otsuka-europe.com", "jguri@crm.otsuka-europe.com")</f>
        <v>jguri@crm.otsuka-europe.com</v>
      </c>
      <c r="N3853" s="13">
        <v>46216.403981481482</v>
      </c>
      <c r="O3853" s="14" t="str">
        <f>HYPERLINK("https://otsuka-europe-crm.veevavault.com/ui/#object/email_activity__v/V8C00000004A133", "EN-002105108")</f>
        <v>EN-002105108</v>
      </c>
    </row>
    <row r="3854" spans="1:15" ht="16" x14ac:dyDescent="0.2">
      <c r="A3854" s="18" t="str">
        <f>HYPERLINK("https://otsuka-europe-crm.veevavault.com/ui/#object/account__v/V4TZ025E834QQS2", "FRANCISCO JAVIER PEÑALVER PARRAGA")</f>
        <v>FRANCISCO JAVIER PEÑALVER PARRAGA</v>
      </c>
      <c r="B3854" s="18" t="str">
        <f>HYPERLINK("https://otsuka-europe-crm.veevavault.com/ui/#object/vcountry__v/VENZ000004SONF5", "ES")</f>
        <v>ES</v>
      </c>
      <c r="C3854" s="20" t="s">
        <v>39</v>
      </c>
      <c r="D385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54" s="22" t="str">
        <f>HYPERLINK("https://otsuka-europe-crm.veevavault.com/ui/#object/sent_email__v/VBL000000037033", "SE-001443522")</f>
        <v>SE-001443522</v>
      </c>
      <c r="F3854" s="25">
        <v>46216.722233796296</v>
      </c>
      <c r="G3854" s="24">
        <v>1</v>
      </c>
      <c r="H3854" s="24">
        <v>2</v>
      </c>
      <c r="I3854" s="24">
        <v>0</v>
      </c>
      <c r="J3854" s="23"/>
      <c r="K3854" s="24">
        <v>0</v>
      </c>
      <c r="L385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54" s="22" t="str">
        <f>HYPERLINK("mailto:jguri@crm.otsuka-europe.com", "jguri@crm.otsuka-europe.com")</f>
        <v>jguri@crm.otsuka-europe.com</v>
      </c>
      <c r="N3854" s="25">
        <v>46216.404016203705</v>
      </c>
      <c r="O3854" s="14" t="str">
        <f>HYPERLINK("https://otsuka-europe-crm.veevavault.com/ui/#object/email_activity__v/V8C000000049417", "EN-002105604")</f>
        <v>EN-002105604</v>
      </c>
    </row>
    <row r="3855" spans="1:15" ht="16" x14ac:dyDescent="0.2">
      <c r="A3855" s="26"/>
      <c r="B3855" s="26"/>
      <c r="C3855" s="26"/>
      <c r="D3855" s="26"/>
      <c r="E3855" s="26"/>
      <c r="F3855" s="26"/>
      <c r="G3855" s="26"/>
      <c r="H3855" s="26"/>
      <c r="I3855" s="26"/>
      <c r="J3855" s="26"/>
      <c r="K3855" s="26"/>
      <c r="L3855" s="26"/>
      <c r="M3855" s="26"/>
      <c r="N3855" s="26"/>
      <c r="O3855" s="14" t="str">
        <f>HYPERLINK("https://otsuka-europe-crm.veevavault.com/ui/#object/email_activity__v/V8C000000049418", "EN-002105605")</f>
        <v>EN-002105605</v>
      </c>
    </row>
    <row r="3856" spans="1:15" ht="16" x14ac:dyDescent="0.2">
      <c r="A3856" s="19"/>
      <c r="B3856" s="19"/>
      <c r="C3856" s="19"/>
      <c r="D3856" s="19"/>
      <c r="E3856" s="19"/>
      <c r="F3856" s="19"/>
      <c r="G3856" s="19"/>
      <c r="H3856" s="19"/>
      <c r="I3856" s="19"/>
      <c r="J3856" s="19"/>
      <c r="K3856" s="19"/>
      <c r="L3856" s="19"/>
      <c r="M3856" s="19"/>
      <c r="N3856" s="19"/>
      <c r="O3856" s="14" t="str">
        <f>HYPERLINK("https://otsuka-europe-crm.veevavault.com/ui/#object/email_activity__v/V8C00000004A090", "EN-002105063")</f>
        <v>EN-002105063</v>
      </c>
    </row>
    <row r="3857" spans="1:15" ht="16" x14ac:dyDescent="0.2">
      <c r="A3857" s="18" t="str">
        <f>HYPERLINK("https://otsuka-europe-crm.veevavault.com/ui/#object/account__v/V4TZ025E83PNUFI", "ROSA MARIA LOPEZ LOPEZ")</f>
        <v>ROSA MARIA LOPEZ LOPEZ</v>
      </c>
      <c r="B3857" s="18" t="str">
        <f>HYPERLINK("https://otsuka-europe-crm.veevavault.com/ui/#object/vcountry__v/VENZ000004SONF5", "ES")</f>
        <v>ES</v>
      </c>
      <c r="C3857" s="20" t="s">
        <v>39</v>
      </c>
      <c r="D3857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57" s="22" t="str">
        <f>HYPERLINK("https://otsuka-europe-crm.veevavault.com/ui/#object/sent_email__v/VBL000000037034", "SE-001443523")</f>
        <v>SE-001443523</v>
      </c>
      <c r="F3857" s="25">
        <v>46216.545173611114</v>
      </c>
      <c r="G3857" s="24">
        <v>1</v>
      </c>
      <c r="H3857" s="24">
        <v>2</v>
      </c>
      <c r="I3857" s="24">
        <v>0</v>
      </c>
      <c r="J3857" s="23"/>
      <c r="K3857" s="24">
        <v>0</v>
      </c>
      <c r="L3857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57" s="22" t="str">
        <f>HYPERLINK("mailto:jguri@crm.otsuka-europe.com", "jguri@crm.otsuka-europe.com")</f>
        <v>jguri@crm.otsuka-europe.com</v>
      </c>
      <c r="N3857" s="25">
        <v>46216.403981481482</v>
      </c>
      <c r="O3857" s="14" t="str">
        <f>HYPERLINK("https://otsuka-europe-crm.veevavault.com/ui/#object/email_activity__v/V8C000000049353", "EN-002105505")</f>
        <v>EN-002105505</v>
      </c>
    </row>
    <row r="3858" spans="1:15" ht="16" x14ac:dyDescent="0.2">
      <c r="A3858" s="26"/>
      <c r="B3858" s="26"/>
      <c r="C3858" s="26"/>
      <c r="D3858" s="26"/>
      <c r="E3858" s="26"/>
      <c r="F3858" s="26"/>
      <c r="G3858" s="26"/>
      <c r="H3858" s="26"/>
      <c r="I3858" s="26"/>
      <c r="J3858" s="26"/>
      <c r="K3858" s="26"/>
      <c r="L3858" s="26"/>
      <c r="M3858" s="26"/>
      <c r="N3858" s="26"/>
      <c r="O3858" s="14" t="str">
        <f>HYPERLINK("https://otsuka-europe-crm.veevavault.com/ui/#object/email_activity__v/V8C000000049354", "EN-002105506")</f>
        <v>EN-002105506</v>
      </c>
    </row>
    <row r="3859" spans="1:15" ht="16" x14ac:dyDescent="0.2">
      <c r="A3859" s="19"/>
      <c r="B3859" s="19"/>
      <c r="C3859" s="19"/>
      <c r="D3859" s="19"/>
      <c r="E3859" s="19"/>
      <c r="F3859" s="19"/>
      <c r="G3859" s="19"/>
      <c r="H3859" s="19"/>
      <c r="I3859" s="19"/>
      <c r="J3859" s="19"/>
      <c r="K3859" s="19"/>
      <c r="L3859" s="19"/>
      <c r="M3859" s="19"/>
      <c r="N3859" s="19"/>
      <c r="O3859" s="14" t="str">
        <f>HYPERLINK("https://otsuka-europe-crm.veevavault.com/ui/#object/email_activity__v/V8C00000004A136", "EN-002105111")</f>
        <v>EN-002105111</v>
      </c>
    </row>
    <row r="3860" spans="1:15" ht="16" x14ac:dyDescent="0.2">
      <c r="A3860" s="18" t="str">
        <f>HYPERLINK("https://otsuka-europe-crm.veevavault.com/ui/#object/account__v/V4TZ025E86P7SMP", "PERLA SALAMA BENDAYAN")</f>
        <v>PERLA SALAMA BENDAYAN</v>
      </c>
      <c r="B3860" s="18" t="str">
        <f>HYPERLINK("https://otsuka-europe-crm.veevavault.com/ui/#object/vcountry__v/VENZ000004SONF5", "ES")</f>
        <v>ES</v>
      </c>
      <c r="C3860" s="20" t="s">
        <v>39</v>
      </c>
      <c r="D3860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60" s="22" t="str">
        <f>HYPERLINK("https://otsuka-europe-crm.veevavault.com/ui/#object/sent_email__v/VBL000000037035", "SE-001443524")</f>
        <v>SE-001443524</v>
      </c>
      <c r="F3860" s="23"/>
      <c r="G3860" s="24">
        <v>0</v>
      </c>
      <c r="H3860" s="24">
        <v>0</v>
      </c>
      <c r="I3860" s="24">
        <v>0</v>
      </c>
      <c r="J3860" s="23"/>
      <c r="K3860" s="24">
        <v>0</v>
      </c>
      <c r="L3860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60" s="22" t="str">
        <f>HYPERLINK("mailto:jguri@crm.otsuka-europe.com", "jguri@crm.otsuka-europe.com")</f>
        <v>jguri@crm.otsuka-europe.com</v>
      </c>
      <c r="N3860" s="25">
        <v>46216.403981481482</v>
      </c>
      <c r="O3860" s="14" t="str">
        <f>HYPERLINK("https://otsuka-europe-crm.veevavault.com/ui/#object/email_activity__v/V8C00000004A122", "EN-002105097")</f>
        <v>EN-002105097</v>
      </c>
    </row>
    <row r="3861" spans="1:15" ht="16" x14ac:dyDescent="0.2">
      <c r="A3861" s="26"/>
      <c r="B3861" s="26"/>
      <c r="C3861" s="26"/>
      <c r="D3861" s="26"/>
      <c r="E3861" s="26"/>
      <c r="F3861" s="26"/>
      <c r="G3861" s="26"/>
      <c r="H3861" s="26"/>
      <c r="I3861" s="26"/>
      <c r="J3861" s="26"/>
      <c r="K3861" s="26"/>
      <c r="L3861" s="26"/>
      <c r="M3861" s="26"/>
      <c r="N3861" s="26"/>
      <c r="O3861" s="14" t="str">
        <f>HYPERLINK("https://otsuka-europe-crm.veevavault.com/ui/#object/email_activity__v/V8C00000004A281", "EN-002105491")</f>
        <v>EN-002105491</v>
      </c>
    </row>
    <row r="3862" spans="1:15" ht="16" x14ac:dyDescent="0.2">
      <c r="A3862" s="19"/>
      <c r="B3862" s="19"/>
      <c r="C3862" s="19"/>
      <c r="D3862" s="19"/>
      <c r="E3862" s="19"/>
      <c r="F3862" s="19"/>
      <c r="G3862" s="19"/>
      <c r="H3862" s="19"/>
      <c r="I3862" s="19"/>
      <c r="J3862" s="19"/>
      <c r="K3862" s="19"/>
      <c r="L3862" s="19"/>
      <c r="M3862" s="19"/>
      <c r="N3862" s="19"/>
      <c r="O3862" s="14" t="str">
        <f>HYPERLINK("https://otsuka-europe-crm.veevavault.com/ui/#object/email_activity__v/V8C00000004A373", "EN-002105684")</f>
        <v>EN-002105684</v>
      </c>
    </row>
    <row r="3863" spans="1:15" ht="48" x14ac:dyDescent="0.2">
      <c r="A3863" s="7" t="str">
        <f>HYPERLINK("https://otsuka-europe-crm.veevavault.com/ui/#object/account__v/V4TZ025E83OT2Y1", "SARA CACERES HERNANDEZ")</f>
        <v>SARA CACERES HERNANDEZ</v>
      </c>
      <c r="B3863" s="7" t="str">
        <f>HYPERLINK("https://otsuka-europe-crm.veevavault.com/ui/#object/vcountry__v/VENZ000004SONF5", "ES")</f>
        <v>ES</v>
      </c>
      <c r="C3863" s="8" t="s">
        <v>39</v>
      </c>
      <c r="D386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63" s="10" t="str">
        <f>HYPERLINK("https://otsuka-europe-crm.veevavault.com/ui/#object/sent_email__v/VBL000000037036", "SE-001443525")</f>
        <v>SE-001443525</v>
      </c>
      <c r="F3863" s="11"/>
      <c r="G3863" s="12">
        <v>0</v>
      </c>
      <c r="H3863" s="12">
        <v>0</v>
      </c>
      <c r="I3863" s="12">
        <v>0</v>
      </c>
      <c r="J3863" s="11"/>
      <c r="K3863" s="12">
        <v>0</v>
      </c>
      <c r="L386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63" s="10" t="str">
        <f>HYPERLINK("mailto:jguri@crm.otsuka-europe.com", "jguri@crm.otsuka-europe.com")</f>
        <v>jguri@crm.otsuka-europe.com</v>
      </c>
      <c r="N3863" s="13">
        <v>46216.403981481482</v>
      </c>
      <c r="O3863" s="14" t="str">
        <f>HYPERLINK("https://otsuka-europe-crm.veevavault.com/ui/#object/email_activity__v/V8C00000004A119", "EN-002105094")</f>
        <v>EN-002105094</v>
      </c>
    </row>
    <row r="3864" spans="1:15" ht="48" x14ac:dyDescent="0.2">
      <c r="A3864" s="7" t="str">
        <f>HYPERLINK("https://otsuka-europe-crm.veevavault.com/ui/#object/account__v/V4T000000010126", "SISSY FIORELLA MEDINA SALAZAR")</f>
        <v>SISSY FIORELLA MEDINA SALAZAR</v>
      </c>
      <c r="B3864" s="7" t="str">
        <f>HYPERLINK("https://otsuka-europe-crm.veevavault.com/ui/#object/vcountry__v/VENZ000004SONF5", "ES")</f>
        <v>ES</v>
      </c>
      <c r="C3864" s="8" t="s">
        <v>39</v>
      </c>
      <c r="D3864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64" s="10" t="str">
        <f>HYPERLINK("https://otsuka-europe-crm.veevavault.com/ui/#object/sent_email__v/VBL000000037037", "SE-001443526")</f>
        <v>SE-001443526</v>
      </c>
      <c r="F3864" s="11"/>
      <c r="G3864" s="12">
        <v>0</v>
      </c>
      <c r="H3864" s="12">
        <v>0</v>
      </c>
      <c r="I3864" s="12">
        <v>0</v>
      </c>
      <c r="J3864" s="11"/>
      <c r="K3864" s="12">
        <v>0</v>
      </c>
      <c r="L3864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64" s="10" t="str">
        <f>HYPERLINK("mailto:jguri@crm.otsuka-europe.com", "jguri@crm.otsuka-europe.com")</f>
        <v>jguri@crm.otsuka-europe.com</v>
      </c>
      <c r="N3864" s="13">
        <v>46216.403981481482</v>
      </c>
      <c r="O3864" s="14" t="str">
        <f>HYPERLINK("https://otsuka-europe-crm.veevavault.com/ui/#object/email_activity__v/V8C00000004A130", "EN-002105105")</f>
        <v>EN-002105105</v>
      </c>
    </row>
    <row r="3865" spans="1:15" ht="16" x14ac:dyDescent="0.2">
      <c r="A3865" s="18" t="str">
        <f>HYPERLINK("https://otsuka-europe-crm.veevavault.com/ui/#object/account__v/V4TZ025E861QDG1", "RAQUEL MARTINEZ FERNANDEZ")</f>
        <v>RAQUEL MARTINEZ FERNANDEZ</v>
      </c>
      <c r="B3865" s="18" t="str">
        <f>HYPERLINK("https://otsuka-europe-crm.veevavault.com/ui/#object/vcountry__v/VENZ000004SONF5", "ES")</f>
        <v>ES</v>
      </c>
      <c r="C3865" s="20" t="s">
        <v>39</v>
      </c>
      <c r="D3865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65" s="22" t="str">
        <f>HYPERLINK("https://otsuka-europe-crm.veevavault.com/ui/#object/sent_email__v/VBL000000037038", "SE-001443527")</f>
        <v>SE-001443527</v>
      </c>
      <c r="F3865" s="23"/>
      <c r="G3865" s="24">
        <v>0</v>
      </c>
      <c r="H3865" s="24">
        <v>0</v>
      </c>
      <c r="I3865" s="24">
        <v>0</v>
      </c>
      <c r="J3865" s="23"/>
      <c r="K3865" s="24">
        <v>0</v>
      </c>
      <c r="L3865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65" s="22" t="str">
        <f>HYPERLINK("mailto:jguri@crm.otsuka-europe.com", "jguri@crm.otsuka-europe.com")</f>
        <v>jguri@crm.otsuka-europe.com</v>
      </c>
      <c r="N3865" s="25">
        <v>46216.403981481482</v>
      </c>
      <c r="O3865" s="14" t="str">
        <f>HYPERLINK("https://otsuka-europe-crm.veevavault.com/ui/#object/email_activity__v/V8C000000049109", "EN-002105072")</f>
        <v>EN-002105072</v>
      </c>
    </row>
    <row r="3866" spans="1:15" ht="16" x14ac:dyDescent="0.2">
      <c r="A3866" s="26"/>
      <c r="B3866" s="26"/>
      <c r="C3866" s="26"/>
      <c r="D3866" s="26"/>
      <c r="E3866" s="26"/>
      <c r="F3866" s="26"/>
      <c r="G3866" s="26"/>
      <c r="H3866" s="26"/>
      <c r="I3866" s="26"/>
      <c r="J3866" s="26"/>
      <c r="K3866" s="26"/>
      <c r="L3866" s="26"/>
      <c r="M3866" s="26"/>
      <c r="N3866" s="26"/>
      <c r="O3866" s="14" t="str">
        <f>HYPERLINK("https://otsuka-europe-crm.veevavault.com/ui/#object/email_activity__v/V8C00000004A097", "EN-002105071")</f>
        <v>EN-002105071</v>
      </c>
    </row>
    <row r="3867" spans="1:15" ht="16" x14ac:dyDescent="0.2">
      <c r="A3867" s="26"/>
      <c r="B3867" s="26"/>
      <c r="C3867" s="26"/>
      <c r="D3867" s="26"/>
      <c r="E3867" s="26"/>
      <c r="F3867" s="26"/>
      <c r="G3867" s="26"/>
      <c r="H3867" s="26"/>
      <c r="I3867" s="26"/>
      <c r="J3867" s="26"/>
      <c r="K3867" s="26"/>
      <c r="L3867" s="26"/>
      <c r="M3867" s="26"/>
      <c r="N3867" s="26"/>
      <c r="O3867" s="14" t="str">
        <f>HYPERLINK("https://otsuka-europe-crm.veevavault.com/ui/#object/email_activity__v/V8C00000004B016", "EN-002106755")</f>
        <v>EN-002106755</v>
      </c>
    </row>
    <row r="3868" spans="1:15" ht="16" x14ac:dyDescent="0.2">
      <c r="A3868" s="19"/>
      <c r="B3868" s="19"/>
      <c r="C3868" s="19"/>
      <c r="D3868" s="19"/>
      <c r="E3868" s="19"/>
      <c r="F3868" s="19"/>
      <c r="G3868" s="19"/>
      <c r="H3868" s="19"/>
      <c r="I3868" s="19"/>
      <c r="J3868" s="19"/>
      <c r="K3868" s="19"/>
      <c r="L3868" s="19"/>
      <c r="M3868" s="19"/>
      <c r="N3868" s="19"/>
      <c r="O3868" s="14" t="str">
        <f>HYPERLINK("https://otsuka-europe-crm.veevavault.com/ui/#object/email_activity__v/V8C00000004D011", "EN-002108234")</f>
        <v>EN-002108234</v>
      </c>
    </row>
    <row r="3869" spans="1:15" ht="16" x14ac:dyDescent="0.2">
      <c r="A3869" s="18" t="str">
        <f>HYPERLINK("https://otsuka-europe-crm.veevavault.com/ui/#object/account__v/V4TZ025E83OC0A9", "DANYLO PALOMINO MENDOZA")</f>
        <v>DANYLO PALOMINO MENDOZA</v>
      </c>
      <c r="B3869" s="18" t="str">
        <f>HYPERLINK("https://otsuka-europe-crm.veevavault.com/ui/#object/vcountry__v/VENZ000004SONF5", "ES")</f>
        <v>ES</v>
      </c>
      <c r="C3869" s="20" t="s">
        <v>39</v>
      </c>
      <c r="D3869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69" s="22" t="str">
        <f>HYPERLINK("https://otsuka-europe-crm.veevavault.com/ui/#object/sent_email__v/VBL000000037039", "SE-001443528")</f>
        <v>SE-001443528</v>
      </c>
      <c r="F3869" s="25">
        <v>46217.421423611115</v>
      </c>
      <c r="G3869" s="24">
        <v>1</v>
      </c>
      <c r="H3869" s="24">
        <v>1</v>
      </c>
      <c r="I3869" s="24">
        <v>1</v>
      </c>
      <c r="J3869" s="25">
        <v>46217.421423611115</v>
      </c>
      <c r="K3869" s="24">
        <v>1</v>
      </c>
      <c r="L3869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69" s="22" t="str">
        <f>HYPERLINK("mailto:jguri@crm.otsuka-europe.com", "jguri@crm.otsuka-europe.com")</f>
        <v>jguri@crm.otsuka-europe.com</v>
      </c>
      <c r="N3869" s="25">
        <v>46216.403981481482</v>
      </c>
      <c r="O3869" s="14" t="str">
        <f>HYPERLINK("https://otsuka-europe-crm.veevavault.com/ui/#object/email_activity__v/V8C000000049536", "EN-002105867")</f>
        <v>EN-002105867</v>
      </c>
    </row>
    <row r="3870" spans="1:15" ht="16" x14ac:dyDescent="0.2">
      <c r="A3870" s="26"/>
      <c r="B3870" s="26"/>
      <c r="C3870" s="26"/>
      <c r="D3870" s="26"/>
      <c r="E3870" s="26"/>
      <c r="F3870" s="26"/>
      <c r="G3870" s="26"/>
      <c r="H3870" s="26"/>
      <c r="I3870" s="26"/>
      <c r="J3870" s="26"/>
      <c r="K3870" s="26"/>
      <c r="L3870" s="26"/>
      <c r="M3870" s="26"/>
      <c r="N3870" s="26"/>
      <c r="O3870" s="14" t="str">
        <f>HYPERLINK("https://otsuka-europe-crm.veevavault.com/ui/#object/email_activity__v/V8C000000049537", "EN-002105866")</f>
        <v>EN-002105866</v>
      </c>
    </row>
    <row r="3871" spans="1:15" ht="16" x14ac:dyDescent="0.2">
      <c r="A3871" s="19"/>
      <c r="B3871" s="19"/>
      <c r="C3871" s="19"/>
      <c r="D3871" s="19"/>
      <c r="E3871" s="19"/>
      <c r="F3871" s="19"/>
      <c r="G3871" s="19"/>
      <c r="H3871" s="19"/>
      <c r="I3871" s="19"/>
      <c r="J3871" s="19"/>
      <c r="K3871" s="19"/>
      <c r="L3871" s="19"/>
      <c r="M3871" s="19"/>
      <c r="N3871" s="19"/>
      <c r="O3871" s="14" t="str">
        <f>HYPERLINK("https://otsuka-europe-crm.veevavault.com/ui/#object/email_activity__v/V8C00000004A105", "EN-002105080")</f>
        <v>EN-002105080</v>
      </c>
    </row>
    <row r="3872" spans="1:15" ht="16" x14ac:dyDescent="0.2">
      <c r="A3872" s="18" t="str">
        <f>HYPERLINK("https://otsuka-europe-crm.veevavault.com/ui/#object/account__v/V4TZ06G6O71T83I", "PATRICIA GARCIA RAMIREZ")</f>
        <v>PATRICIA GARCIA RAMIREZ</v>
      </c>
      <c r="B3872" s="18" t="str">
        <f>HYPERLINK("https://otsuka-europe-crm.veevavault.com/ui/#object/vcountry__v/VENZ000004SONF5", "ES")</f>
        <v>ES</v>
      </c>
      <c r="C3872" s="20" t="s">
        <v>39</v>
      </c>
      <c r="D3872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72" s="22" t="str">
        <f>HYPERLINK("https://otsuka-europe-crm.veevavault.com/ui/#object/sent_email__v/VBL000000037040", "SE-001443529")</f>
        <v>SE-001443529</v>
      </c>
      <c r="F3872" s="25">
        <v>46216.517407407409</v>
      </c>
      <c r="G3872" s="24">
        <v>1</v>
      </c>
      <c r="H3872" s="24">
        <v>1</v>
      </c>
      <c r="I3872" s="24">
        <v>0</v>
      </c>
      <c r="J3872" s="23"/>
      <c r="K3872" s="24">
        <v>0</v>
      </c>
      <c r="L3872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72" s="22" t="str">
        <f>HYPERLINK("mailto:jguri@crm.otsuka-europe.com", "jguri@crm.otsuka-europe.com")</f>
        <v>jguri@crm.otsuka-europe.com</v>
      </c>
      <c r="N3872" s="25">
        <v>46216.403981481482</v>
      </c>
      <c r="O3872" s="14" t="str">
        <f>HYPERLINK("https://otsuka-europe-crm.veevavault.com/ui/#object/email_activity__v/V8C000000049347", "EN-002105496")</f>
        <v>EN-002105496</v>
      </c>
    </row>
    <row r="3873" spans="1:15" ht="16" x14ac:dyDescent="0.2">
      <c r="A3873" s="19"/>
      <c r="B3873" s="19"/>
      <c r="C3873" s="19"/>
      <c r="D3873" s="19"/>
      <c r="E3873" s="19"/>
      <c r="F3873" s="19"/>
      <c r="G3873" s="19"/>
      <c r="H3873" s="19"/>
      <c r="I3873" s="19"/>
      <c r="J3873" s="19"/>
      <c r="K3873" s="19"/>
      <c r="L3873" s="19"/>
      <c r="M3873" s="19"/>
      <c r="N3873" s="19"/>
      <c r="O3873" s="14" t="str">
        <f>HYPERLINK("https://otsuka-europe-crm.veevavault.com/ui/#object/email_activity__v/V8C00000004A113", "EN-002105088")</f>
        <v>EN-002105088</v>
      </c>
    </row>
    <row r="3874" spans="1:15" ht="16" x14ac:dyDescent="0.2">
      <c r="A3874" s="18" t="str">
        <f>HYPERLINK("https://otsuka-europe-crm.veevavault.com/ui/#object/account__v/V4TZ06G6O71T83Y", "JACOBO ROGADO REVUELTA")</f>
        <v>JACOBO ROGADO REVUELTA</v>
      </c>
      <c r="B3874" s="18" t="str">
        <f>HYPERLINK("https://otsuka-europe-crm.veevavault.com/ui/#object/vcountry__v/VENZ000004SONF5", "ES")</f>
        <v>ES</v>
      </c>
      <c r="C3874" s="20" t="s">
        <v>39</v>
      </c>
      <c r="D3874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74" s="22" t="str">
        <f>HYPERLINK("https://otsuka-europe-crm.veevavault.com/ui/#object/sent_email__v/VBL000000037041", "SE-001443530")</f>
        <v>SE-001443530</v>
      </c>
      <c r="F3874" s="25">
        <v>46216.406111111108</v>
      </c>
      <c r="G3874" s="24">
        <v>1</v>
      </c>
      <c r="H3874" s="24">
        <v>1</v>
      </c>
      <c r="I3874" s="24">
        <v>0</v>
      </c>
      <c r="J3874" s="23"/>
      <c r="K3874" s="24">
        <v>0</v>
      </c>
      <c r="L3874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74" s="22" t="str">
        <f>HYPERLINK("mailto:jguri@crm.otsuka-europe.com", "jguri@crm.otsuka-europe.com")</f>
        <v>jguri@crm.otsuka-europe.com</v>
      </c>
      <c r="N3874" s="25">
        <v>46216.403981481482</v>
      </c>
      <c r="O3874" s="14" t="str">
        <f>HYPERLINK("https://otsuka-europe-crm.veevavault.com/ui/#object/email_activity__v/V8C00000004A109", "EN-002105084")</f>
        <v>EN-002105084</v>
      </c>
    </row>
    <row r="3875" spans="1:15" ht="16" x14ac:dyDescent="0.2">
      <c r="A3875" s="19"/>
      <c r="B3875" s="19"/>
      <c r="C3875" s="19"/>
      <c r="D3875" s="19"/>
      <c r="E3875" s="19"/>
      <c r="F3875" s="19"/>
      <c r="G3875" s="19"/>
      <c r="H3875" s="19"/>
      <c r="I3875" s="19"/>
      <c r="J3875" s="19"/>
      <c r="K3875" s="19"/>
      <c r="L3875" s="19"/>
      <c r="M3875" s="19"/>
      <c r="N3875" s="19"/>
      <c r="O3875" s="14" t="str">
        <f>HYPERLINK("https://otsuka-europe-crm.veevavault.com/ui/#object/email_activity__v/V8C00000004A139", "EN-002105115")</f>
        <v>EN-002105115</v>
      </c>
    </row>
    <row r="3876" spans="1:15" ht="48" x14ac:dyDescent="0.2">
      <c r="A3876" s="7" t="str">
        <f>HYPERLINK("https://otsuka-europe-crm.veevavault.com/ui/#object/account__v/V4TZ025E86P31SS", "ESPERANZA ROMERO FERNANDEZ")</f>
        <v>ESPERANZA ROMERO FERNANDEZ</v>
      </c>
      <c r="B3876" s="7" t="str">
        <f>HYPERLINK("https://otsuka-europe-crm.veevavault.com/ui/#object/vcountry__v/VENZ000004SONF5", "ES")</f>
        <v>ES</v>
      </c>
      <c r="C3876" s="8" t="s">
        <v>39</v>
      </c>
      <c r="D3876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76" s="10" t="str">
        <f>HYPERLINK("https://otsuka-europe-crm.veevavault.com/ui/#object/sent_email__v/VBL000000037042", "SE-001443531")</f>
        <v>SE-001443531</v>
      </c>
      <c r="F3876" s="11"/>
      <c r="G3876" s="12">
        <v>0</v>
      </c>
      <c r="H3876" s="12">
        <v>0</v>
      </c>
      <c r="I3876" s="12">
        <v>0</v>
      </c>
      <c r="J3876" s="11"/>
      <c r="K3876" s="12">
        <v>0</v>
      </c>
      <c r="L3876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76" s="10" t="str">
        <f>HYPERLINK("mailto:jguri@crm.otsuka-europe.com", "jguri@crm.otsuka-europe.com")</f>
        <v>jguri@crm.otsuka-europe.com</v>
      </c>
      <c r="N3876" s="13">
        <v>46216.404016203705</v>
      </c>
      <c r="O3876" s="14" t="str">
        <f>HYPERLINK("https://otsuka-europe-crm.veevavault.com/ui/#object/email_activity__v/V8C00000004A092", "EN-002105065")</f>
        <v>EN-002105065</v>
      </c>
    </row>
    <row r="3877" spans="1:15" ht="48" x14ac:dyDescent="0.2">
      <c r="A3877" s="7" t="str">
        <f>HYPERLINK("https://otsuka-europe-crm.veevavault.com/ui/#object/account__v/V4TZ025E83OC2R5", "FRANCISCO FERNANDEZ MORENO")</f>
        <v>FRANCISCO FERNANDEZ MORENO</v>
      </c>
      <c r="B3877" s="7" t="str">
        <f>HYPERLINK("https://otsuka-europe-crm.veevavault.com/ui/#object/vcountry__v/VENZ000004SONF5", "ES")</f>
        <v>ES</v>
      </c>
      <c r="C3877" s="8" t="s">
        <v>39</v>
      </c>
      <c r="D3877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77" s="10" t="str">
        <f>HYPERLINK("https://otsuka-europe-crm.veevavault.com/ui/#object/sent_email__v/VBL000000037043", "SE-001443532")</f>
        <v>SE-001443532</v>
      </c>
      <c r="F3877" s="11"/>
      <c r="G3877" s="12">
        <v>0</v>
      </c>
      <c r="H3877" s="12">
        <v>0</v>
      </c>
      <c r="I3877" s="12">
        <v>0</v>
      </c>
      <c r="J3877" s="11"/>
      <c r="K3877" s="12">
        <v>0</v>
      </c>
      <c r="L3877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77" s="10" t="str">
        <f>HYPERLINK("mailto:jguri@crm.otsuka-europe.com", "jguri@crm.otsuka-europe.com")</f>
        <v>jguri@crm.otsuka-europe.com</v>
      </c>
      <c r="N3877" s="13">
        <v>46216.403981481482</v>
      </c>
      <c r="O3877" s="14" t="str">
        <f>HYPERLINK("https://otsuka-europe-crm.veevavault.com/ui/#object/email_activity__v/V8C00000004A103", "EN-002105078")</f>
        <v>EN-002105078</v>
      </c>
    </row>
    <row r="3878" spans="1:15" ht="16" x14ac:dyDescent="0.2">
      <c r="A3878" s="18" t="str">
        <f>HYPERLINK("https://otsuka-europe-crm.veevavault.com/ui/#object/account__v/V4TZ025E86HY9YZ", "VIRGINIA QUIROS REDONDO")</f>
        <v>VIRGINIA QUIROS REDONDO</v>
      </c>
      <c r="B3878" s="18" t="str">
        <f>HYPERLINK("https://otsuka-europe-crm.veevavault.com/ui/#object/vcountry__v/VENZ000004SONF5", "ES")</f>
        <v>ES</v>
      </c>
      <c r="C3878" s="20" t="s">
        <v>39</v>
      </c>
      <c r="D3878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78" s="22" t="str">
        <f>HYPERLINK("https://otsuka-europe-crm.veevavault.com/ui/#object/sent_email__v/VBL000000037044", "SE-001443533")</f>
        <v>SE-001443533</v>
      </c>
      <c r="F3878" s="25">
        <v>46232.531990740739</v>
      </c>
      <c r="G3878" s="24">
        <v>1</v>
      </c>
      <c r="H3878" s="24">
        <v>2</v>
      </c>
      <c r="I3878" s="24">
        <v>0</v>
      </c>
      <c r="J3878" s="23"/>
      <c r="K3878" s="24">
        <v>0</v>
      </c>
      <c r="L3878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78" s="22" t="str">
        <f>HYPERLINK("mailto:jguri@crm.otsuka-europe.com", "jguri@crm.otsuka-europe.com")</f>
        <v>jguri@crm.otsuka-europe.com</v>
      </c>
      <c r="N3878" s="25">
        <v>46216.403981481482</v>
      </c>
      <c r="O3878" s="14" t="str">
        <f>HYPERLINK("https://otsuka-europe-crm.veevavault.com/ui/#object/email_activity__v/V8C000000049673", "EN-002106174")</f>
        <v>EN-002106174</v>
      </c>
    </row>
    <row r="3879" spans="1:15" ht="16" x14ac:dyDescent="0.2">
      <c r="A3879" s="26"/>
      <c r="B3879" s="26"/>
      <c r="C3879" s="26"/>
      <c r="D3879" s="26"/>
      <c r="E3879" s="26"/>
      <c r="F3879" s="26"/>
      <c r="G3879" s="26"/>
      <c r="H3879" s="26"/>
      <c r="I3879" s="26"/>
      <c r="J3879" s="26"/>
      <c r="K3879" s="26"/>
      <c r="L3879" s="26"/>
      <c r="M3879" s="26"/>
      <c r="N3879" s="26"/>
      <c r="O3879" s="14" t="str">
        <f>HYPERLINK("https://otsuka-europe-crm.veevavault.com/ui/#object/email_activity__v/V8C00000004A115", "EN-002105090")</f>
        <v>EN-002105090</v>
      </c>
    </row>
    <row r="3880" spans="1:15" ht="16" x14ac:dyDescent="0.2">
      <c r="A3880" s="26"/>
      <c r="B3880" s="26"/>
      <c r="C3880" s="26"/>
      <c r="D3880" s="26"/>
      <c r="E3880" s="26"/>
      <c r="F3880" s="26"/>
      <c r="G3880" s="26"/>
      <c r="H3880" s="26"/>
      <c r="I3880" s="26"/>
      <c r="J3880" s="26"/>
      <c r="K3880" s="26"/>
      <c r="L3880" s="26"/>
      <c r="M3880" s="26"/>
      <c r="N3880" s="26"/>
      <c r="O3880" s="14" t="str">
        <f>HYPERLINK("https://otsuka-europe-crm.veevavault.com/ui/#object/email_activity__v/V8C00000004A275", "EN-002105471")</f>
        <v>EN-002105471</v>
      </c>
    </row>
    <row r="3881" spans="1:15" ht="16" x14ac:dyDescent="0.2">
      <c r="A3881" s="26"/>
      <c r="B3881" s="26"/>
      <c r="C3881" s="26"/>
      <c r="D3881" s="26"/>
      <c r="E3881" s="26"/>
      <c r="F3881" s="26"/>
      <c r="G3881" s="26"/>
      <c r="H3881" s="26"/>
      <c r="I3881" s="26"/>
      <c r="J3881" s="26"/>
      <c r="K3881" s="26"/>
      <c r="L3881" s="26"/>
      <c r="M3881" s="26"/>
      <c r="N3881" s="26"/>
      <c r="O3881" s="14" t="str">
        <f>HYPERLINK("https://otsuka-europe-crm.veevavault.com/ui/#object/email_activity__v/V8C00000004A390", "EN-002105714")</f>
        <v>EN-002105714</v>
      </c>
    </row>
    <row r="3882" spans="1:15" ht="16" x14ac:dyDescent="0.2">
      <c r="A3882" s="19"/>
      <c r="B3882" s="19"/>
      <c r="C3882" s="19"/>
      <c r="D3882" s="19"/>
      <c r="E3882" s="19"/>
      <c r="F3882" s="19"/>
      <c r="G3882" s="19"/>
      <c r="H3882" s="19"/>
      <c r="I3882" s="19"/>
      <c r="J3882" s="19"/>
      <c r="K3882" s="19"/>
      <c r="L3882" s="19"/>
      <c r="M3882" s="19"/>
      <c r="N3882" s="19"/>
      <c r="O3882" s="14" t="str">
        <f>HYPERLINK("https://otsuka-europe-crm.veevavault.com/ui/#object/email_activity__v/V8C00000004E622", "EN-002109576")</f>
        <v>EN-002109576</v>
      </c>
    </row>
    <row r="3883" spans="1:15" ht="48" x14ac:dyDescent="0.2">
      <c r="A3883" s="7" t="str">
        <f>HYPERLINK("https://otsuka-europe-crm.veevavault.com/ui/#object/account__v/V4TZ06G6O71TANF", "PARHAM KHOSRAVI SHAHI")</f>
        <v>PARHAM KHOSRAVI SHAHI</v>
      </c>
      <c r="B3883" s="7" t="str">
        <f>HYPERLINK("https://otsuka-europe-crm.veevavault.com/ui/#object/vcountry__v/VENZ000004SONF5", "ES")</f>
        <v>ES</v>
      </c>
      <c r="C3883" s="8" t="s">
        <v>39</v>
      </c>
      <c r="D3883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83" s="10" t="str">
        <f>HYPERLINK("https://otsuka-europe-crm.veevavault.com/ui/#object/sent_email__v/VBL000000037045", "SE-001443534")</f>
        <v>SE-001443534</v>
      </c>
      <c r="F3883" s="11"/>
      <c r="G3883" s="12">
        <v>0</v>
      </c>
      <c r="H3883" s="12">
        <v>0</v>
      </c>
      <c r="I3883" s="12">
        <v>0</v>
      </c>
      <c r="J3883" s="11"/>
      <c r="K3883" s="12">
        <v>0</v>
      </c>
      <c r="L3883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83" s="10" t="str">
        <f>HYPERLINK("mailto:jguri@crm.otsuka-europe.com", "jguri@crm.otsuka-europe.com")</f>
        <v>jguri@crm.otsuka-europe.com</v>
      </c>
      <c r="N3883" s="13">
        <v>46216.403981481482</v>
      </c>
      <c r="O3883" s="14" t="str">
        <f>HYPERLINK("https://otsuka-europe-crm.veevavault.com/ui/#object/email_activity__v/V8C00000004A111", "EN-002105086")</f>
        <v>EN-002105086</v>
      </c>
    </row>
    <row r="3884" spans="1:15" ht="48" x14ac:dyDescent="0.2">
      <c r="A3884" s="7" t="str">
        <f>HYPERLINK("https://otsuka-europe-crm.veevavault.com/ui/#object/account__v/V4TZ025E84E7679", "MARIA YOLANDA MARTIN GUERRERO")</f>
        <v>MARIA YOLANDA MARTIN GUERRERO</v>
      </c>
      <c r="B3884" s="7" t="str">
        <f>HYPERLINK("https://otsuka-europe-crm.veevavault.com/ui/#object/vcountry__v/VENZ000004SONF5", "ES")</f>
        <v>ES</v>
      </c>
      <c r="C3884" s="8" t="s">
        <v>39</v>
      </c>
      <c r="D3884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84" s="10" t="str">
        <f>HYPERLINK("https://otsuka-europe-crm.veevavault.com/ui/#object/sent_email__v/VBL000000037046", "SE-001443535")</f>
        <v>SE-001443535</v>
      </c>
      <c r="F3884" s="11"/>
      <c r="G3884" s="12">
        <v>0</v>
      </c>
      <c r="H3884" s="12">
        <v>0</v>
      </c>
      <c r="I3884" s="12">
        <v>0</v>
      </c>
      <c r="J3884" s="11"/>
      <c r="K3884" s="12">
        <v>0</v>
      </c>
      <c r="L3884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84" s="10" t="str">
        <f>HYPERLINK("mailto:jguri@crm.otsuka-europe.com", "jguri@crm.otsuka-europe.com")</f>
        <v>jguri@crm.otsuka-europe.com</v>
      </c>
      <c r="N3884" s="13">
        <v>46216.403981481482</v>
      </c>
      <c r="O3884" s="14" t="str">
        <f>HYPERLINK("https://otsuka-europe-crm.veevavault.com/ui/#object/email_activity__v/V8C00000004A135", "EN-002105110")</f>
        <v>EN-002105110</v>
      </c>
    </row>
    <row r="3885" spans="1:15" ht="48" x14ac:dyDescent="0.2">
      <c r="A3885" s="7" t="str">
        <f>HYPERLINK("https://otsuka-europe-crm.veevavault.com/ui/#object/account__v/V4TZ025E86KXDLR", "MIRIAN SANTERO GARCIA")</f>
        <v>MIRIAN SANTERO GARCIA</v>
      </c>
      <c r="B3885" s="7" t="str">
        <f>HYPERLINK("https://otsuka-europe-crm.veevavault.com/ui/#object/vcountry__v/VENZ000004SONF5", "ES")</f>
        <v>ES</v>
      </c>
      <c r="C3885" s="8" t="s">
        <v>39</v>
      </c>
      <c r="D3885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85" s="10" t="str">
        <f>HYPERLINK("https://otsuka-europe-crm.veevavault.com/ui/#object/sent_email__v/VBL000000037047", "SE-001443536")</f>
        <v>SE-001443536</v>
      </c>
      <c r="F3885" s="11"/>
      <c r="G3885" s="12">
        <v>0</v>
      </c>
      <c r="H3885" s="12">
        <v>0</v>
      </c>
      <c r="I3885" s="12">
        <v>0</v>
      </c>
      <c r="J3885" s="11"/>
      <c r="K3885" s="12">
        <v>0</v>
      </c>
      <c r="L3885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85" s="10" t="str">
        <f>HYPERLINK("mailto:jguri@crm.otsuka-europe.com", "jguri@crm.otsuka-europe.com")</f>
        <v>jguri@crm.otsuka-europe.com</v>
      </c>
      <c r="N3885" s="13">
        <v>46216.403981481482</v>
      </c>
      <c r="O3885" s="14" t="str">
        <f>HYPERLINK("https://otsuka-europe-crm.veevavault.com/ui/#object/email_activity__v/V8C00000004A137", "EN-002105112")</f>
        <v>EN-002105112</v>
      </c>
    </row>
    <row r="3886" spans="1:15" ht="16" x14ac:dyDescent="0.2">
      <c r="A3886" s="18" t="str">
        <f>HYPERLINK("https://otsuka-europe-crm.veevavault.com/ui/#object/account__v/V4TZ025E84JAOLP", "ANA MARIA GARCIA-NOBLEJAS MOYA")</f>
        <v>ANA MARIA GARCIA-NOBLEJAS MOYA</v>
      </c>
      <c r="B3886" s="18" t="str">
        <f>HYPERLINK("https://otsuka-europe-crm.veevavault.com/ui/#object/vcountry__v/VENZ000004SONF5", "ES")</f>
        <v>ES</v>
      </c>
      <c r="C3886" s="20" t="s">
        <v>39</v>
      </c>
      <c r="D3886" s="21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86" s="22" t="str">
        <f>HYPERLINK("https://otsuka-europe-crm.veevavault.com/ui/#object/sent_email__v/VBL000000037048", "SE-001443537")</f>
        <v>SE-001443537</v>
      </c>
      <c r="F3886" s="23"/>
      <c r="G3886" s="24">
        <v>0</v>
      </c>
      <c r="H3886" s="24">
        <v>0</v>
      </c>
      <c r="I3886" s="24">
        <v>1</v>
      </c>
      <c r="J3886" s="25">
        <v>46217.612835648149</v>
      </c>
      <c r="K3886" s="24">
        <v>1</v>
      </c>
      <c r="L3886" s="22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86" s="22" t="str">
        <f>HYPERLINK("mailto:jguri@crm.otsuka-europe.com", "jguri@crm.otsuka-europe.com")</f>
        <v>jguri@crm.otsuka-europe.com</v>
      </c>
      <c r="N3886" s="25">
        <v>46216.403877314813</v>
      </c>
      <c r="O3886" s="14" t="str">
        <f>HYPERLINK("https://otsuka-europe-crm.veevavault.com/ui/#object/email_activity__v/V8C000000049465", "EN-002105722")</f>
        <v>EN-002105722</v>
      </c>
    </row>
    <row r="3887" spans="1:15" ht="16" x14ac:dyDescent="0.2">
      <c r="A3887" s="26"/>
      <c r="B3887" s="26"/>
      <c r="C3887" s="26"/>
      <c r="D3887" s="26"/>
      <c r="E3887" s="26"/>
      <c r="F3887" s="26"/>
      <c r="G3887" s="26"/>
      <c r="H3887" s="26"/>
      <c r="I3887" s="26"/>
      <c r="J3887" s="26"/>
      <c r="K3887" s="26"/>
      <c r="L3887" s="26"/>
      <c r="M3887" s="26"/>
      <c r="N3887" s="26"/>
      <c r="O3887" s="14" t="str">
        <f>HYPERLINK("https://otsuka-europe-crm.veevavault.com/ui/#object/email_activity__v/V8C000000049576", "EN-002105970")</f>
        <v>EN-002105970</v>
      </c>
    </row>
    <row r="3888" spans="1:15" ht="16" x14ac:dyDescent="0.2">
      <c r="A3888" s="19"/>
      <c r="B3888" s="19"/>
      <c r="C3888" s="19"/>
      <c r="D3888" s="19"/>
      <c r="E3888" s="19"/>
      <c r="F3888" s="19"/>
      <c r="G3888" s="19"/>
      <c r="H3888" s="19"/>
      <c r="I3888" s="19"/>
      <c r="J3888" s="19"/>
      <c r="K3888" s="19"/>
      <c r="L3888" s="19"/>
      <c r="M3888" s="19"/>
      <c r="N3888" s="19"/>
      <c r="O3888" s="14" t="str">
        <f>HYPERLINK("https://otsuka-europe-crm.veevavault.com/ui/#object/email_activity__v/V8C00000004A087", "EN-002105060")</f>
        <v>EN-002105060</v>
      </c>
    </row>
    <row r="3889" spans="1:15" ht="48" x14ac:dyDescent="0.2">
      <c r="A3889" s="7" t="str">
        <f>HYPERLINK("https://otsuka-europe-crm.veevavault.com/ui/#object/account__v/V4TZ025E8791BFT", "MARIA MARTINEZ RODRIGUEZ")</f>
        <v>MARIA MARTINEZ RODRIGUEZ</v>
      </c>
      <c r="B3889" s="7" t="str">
        <f>HYPERLINK("https://otsuka-europe-crm.veevavault.com/ui/#object/vcountry__v/VENZ000004SONF5", "ES")</f>
        <v>ES</v>
      </c>
      <c r="C3889" s="8" t="s">
        <v>39</v>
      </c>
      <c r="D3889" s="9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E3889" s="10" t="str">
        <f>HYPERLINK("https://otsuka-europe-crm.veevavault.com/ui/#object/sent_email__v/VBL000000037049", "SE-001443538")</f>
        <v>SE-001443538</v>
      </c>
      <c r="F3889" s="11"/>
      <c r="G3889" s="12">
        <v>0</v>
      </c>
      <c r="H3889" s="12">
        <v>0</v>
      </c>
      <c r="I3889" s="12">
        <v>0</v>
      </c>
      <c r="J3889" s="11"/>
      <c r="K3889" s="12">
        <v>0</v>
      </c>
      <c r="L3889" s="10" t="str">
        <f>HYPERLINK("https://otsuka-europe-crm.veevavault.com/ui/#object/approved_document__v/V5O00000001J010", "INA - VAE vídeos “Mejor en casa: el desafío del paciente unfit”")</f>
        <v>INA - VAE vídeos “Mejor en casa: el desafío del paciente unfit”</v>
      </c>
      <c r="M3889" s="10" t="str">
        <f>HYPERLINK("mailto:jguri@crm.otsuka-europe.com", "jguri@crm.otsuka-europe.com")</f>
        <v>jguri@crm.otsuka-europe.com</v>
      </c>
      <c r="N3889" s="13">
        <v>46216.40388888889</v>
      </c>
      <c r="O3889" s="14" t="str">
        <f>HYPERLINK("https://otsuka-europe-crm.veevavault.com/ui/#object/email_activity__v/V8C00000004A116", "EN-002105091")</f>
        <v>EN-002105091</v>
      </c>
    </row>
    <row r="3890" spans="1:15" ht="64" x14ac:dyDescent="0.2">
      <c r="A3890" s="7" t="str">
        <f>HYPERLINK("https://otsuka-europe-crm.veevavault.com/ui/#object/account__v/V4TZ06G6O71T74S", "MANUEL AUGUSTO QUIROZ MORALES")</f>
        <v>MANUEL AUGUSTO QUIROZ MORALES</v>
      </c>
      <c r="B3890" s="7" t="str">
        <f>HYPERLINK("https://otsuka-europe-crm.veevavault.com/ui/#object/vcountry__v/VENZ000004SONF5", "ES")</f>
        <v>ES</v>
      </c>
      <c r="C3890" s="8" t="s">
        <v>39</v>
      </c>
      <c r="D389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890" s="10" t="str">
        <f>HYPERLINK("https://otsuka-europe-crm.veevavault.com/ui/#object/sent_email__v/VBL000000038001", "SE-001443539")</f>
        <v>SE-001443539</v>
      </c>
      <c r="F3890" s="11"/>
      <c r="G3890" s="12">
        <v>0</v>
      </c>
      <c r="H3890" s="12">
        <v>0</v>
      </c>
      <c r="I3890" s="12">
        <v>0</v>
      </c>
      <c r="J3890" s="11"/>
      <c r="K3890" s="12">
        <v>0</v>
      </c>
      <c r="L389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890" s="10" t="str">
        <f>HYPERLINK("mailto:gsammali@crm.otsuka-europe.com", "gsammali@crm.otsuka-europe.com")</f>
        <v>gsammali@crm.otsuka-europe.com</v>
      </c>
      <c r="N3890" s="13">
        <v>46216.430844907409</v>
      </c>
      <c r="O3890" s="14" t="str">
        <f>HYPERLINK("https://otsuka-europe-crm.veevavault.com/ui/#object/email_activity__v/V8C000000049155", "EN-002105164")</f>
        <v>EN-002105164</v>
      </c>
    </row>
    <row r="3891" spans="1:15" ht="64" x14ac:dyDescent="0.2">
      <c r="A3891" s="7" t="str">
        <f>HYPERLINK("https://otsuka-europe-crm.veevavault.com/ui/#object/account__v/V4TZ06G6O71TA98", "MERITXELL IBERNON VILARO")</f>
        <v>MERITXELL IBERNON VILARO</v>
      </c>
      <c r="B3891" s="7" t="str">
        <f>HYPERLINK("https://otsuka-europe-crm.veevavault.com/ui/#object/vcountry__v/VENZ000004SONF5", "ES")</f>
        <v>ES</v>
      </c>
      <c r="C3891" s="8" t="s">
        <v>39</v>
      </c>
      <c r="D389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891" s="10" t="str">
        <f>HYPERLINK("https://otsuka-europe-crm.veevavault.com/ui/#object/sent_email__v/VBL000000038002", "SE-001443540")</f>
        <v>SE-001443540</v>
      </c>
      <c r="F3891" s="11"/>
      <c r="G3891" s="12">
        <v>0</v>
      </c>
      <c r="H3891" s="12">
        <v>0</v>
      </c>
      <c r="I3891" s="12">
        <v>0</v>
      </c>
      <c r="J3891" s="11"/>
      <c r="K3891" s="12">
        <v>0</v>
      </c>
      <c r="L389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891" s="10" t="str">
        <f>HYPERLINK("mailto:gsammali@crm.otsuka-europe.com", "gsammali@crm.otsuka-europe.com")</f>
        <v>gsammali@crm.otsuka-europe.com</v>
      </c>
      <c r="N3891" s="13">
        <v>46216.430844907409</v>
      </c>
      <c r="O3891" s="14" t="str">
        <f>HYPERLINK("https://otsuka-europe-crm.veevavault.com/ui/#object/email_activity__v/V8C000000049161", "EN-002105170")</f>
        <v>EN-002105170</v>
      </c>
    </row>
    <row r="3892" spans="1:15" ht="64" x14ac:dyDescent="0.2">
      <c r="A3892" s="7" t="str">
        <f>HYPERLINK("https://otsuka-europe-crm.veevavault.com/ui/#object/account__v/V4TZ06G6O71T7QP", "CAROLA ARCAL CUNILLERA")</f>
        <v>CAROLA ARCAL CUNILLERA</v>
      </c>
      <c r="B3892" s="7" t="str">
        <f>HYPERLINK("https://otsuka-europe-crm.veevavault.com/ui/#object/vcountry__v/VENZ000004SONF5", "ES")</f>
        <v>ES</v>
      </c>
      <c r="C3892" s="8" t="s">
        <v>39</v>
      </c>
      <c r="D389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892" s="10" t="str">
        <f>HYPERLINK("https://otsuka-europe-crm.veevavault.com/ui/#object/sent_email__v/VBL000000038003", "SE-001443541")</f>
        <v>SE-001443541</v>
      </c>
      <c r="F3892" s="11"/>
      <c r="G3892" s="12">
        <v>0</v>
      </c>
      <c r="H3892" s="12">
        <v>0</v>
      </c>
      <c r="I3892" s="12">
        <v>0</v>
      </c>
      <c r="J3892" s="11"/>
      <c r="K3892" s="12">
        <v>0</v>
      </c>
      <c r="L389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892" s="10" t="str">
        <f>HYPERLINK("mailto:gsammali@crm.otsuka-europe.com", "gsammali@crm.otsuka-europe.com")</f>
        <v>gsammali@crm.otsuka-europe.com</v>
      </c>
      <c r="N3892" s="13">
        <v>46216.430844907409</v>
      </c>
      <c r="O3892" s="14" t="str">
        <f>HYPERLINK("https://otsuka-europe-crm.veevavault.com/ui/#object/email_activity__v/V8C000000049251", "EN-002105338")</f>
        <v>EN-002105338</v>
      </c>
    </row>
    <row r="3893" spans="1:15" ht="16" x14ac:dyDescent="0.2">
      <c r="A3893" s="18" t="str">
        <f>HYPERLINK("https://otsuka-europe-crm.veevavault.com/ui/#object/account__v/V4TZ025E86ZC14S", "MICHELE ALEJANDRA TOLEDO JARA")</f>
        <v>MICHELE ALEJANDRA TOLEDO JARA</v>
      </c>
      <c r="B3893" s="18" t="str">
        <f>HYPERLINK("https://otsuka-europe-crm.veevavault.com/ui/#object/vcountry__v/VENZ000004SONF5", "ES")</f>
        <v>ES</v>
      </c>
      <c r="C3893" s="20" t="s">
        <v>39</v>
      </c>
      <c r="D389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893" s="22" t="str">
        <f>HYPERLINK("https://otsuka-europe-crm.veevavault.com/ui/#object/sent_email__v/VBL000000038004", "SE-001443542")</f>
        <v>SE-001443542</v>
      </c>
      <c r="F3893" s="23"/>
      <c r="G3893" s="24">
        <v>0</v>
      </c>
      <c r="H3893" s="24">
        <v>0</v>
      </c>
      <c r="I3893" s="24">
        <v>0</v>
      </c>
      <c r="J3893" s="23"/>
      <c r="K3893" s="24">
        <v>0</v>
      </c>
      <c r="L389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893" s="22" t="str">
        <f>HYPERLINK("mailto:gsammali@crm.otsuka-europe.com", "gsammali@crm.otsuka-europe.com")</f>
        <v>gsammali@crm.otsuka-europe.com</v>
      </c>
      <c r="N3893" s="25">
        <v>46216.430844907409</v>
      </c>
      <c r="O3893" s="14" t="str">
        <f>HYPERLINK("https://otsuka-europe-crm.veevavault.com/ui/#object/email_activity__v/V8C000000049129", "EN-002105138")</f>
        <v>EN-002105138</v>
      </c>
    </row>
    <row r="3894" spans="1:15" ht="16" x14ac:dyDescent="0.2">
      <c r="A3894" s="19"/>
      <c r="B3894" s="19"/>
      <c r="C3894" s="19"/>
      <c r="D3894" s="19"/>
      <c r="E3894" s="19"/>
      <c r="F3894" s="19"/>
      <c r="G3894" s="19"/>
      <c r="H3894" s="19"/>
      <c r="I3894" s="19"/>
      <c r="J3894" s="19"/>
      <c r="K3894" s="19"/>
      <c r="L3894" s="19"/>
      <c r="M3894" s="19"/>
      <c r="N3894" s="19"/>
      <c r="O3894" s="14" t="str">
        <f>HYPERLINK("https://otsuka-europe-crm.veevavault.com/ui/#object/email_activity__v/V8C00000004A406", "EN-002105742")</f>
        <v>EN-002105742</v>
      </c>
    </row>
    <row r="3895" spans="1:15" ht="16" x14ac:dyDescent="0.2">
      <c r="A3895" s="18" t="str">
        <f>HYPERLINK("https://otsuka-europe-crm.veevavault.com/ui/#object/account__v/V4TZ025E88GBRZL", "LEYRE GARCIA CANTALEJO")</f>
        <v>LEYRE GARCIA CANTALEJO</v>
      </c>
      <c r="B3895" s="18" t="str">
        <f>HYPERLINK("https://otsuka-europe-crm.veevavault.com/ui/#object/vcountry__v/VENZ000004SONF5", "ES")</f>
        <v>ES</v>
      </c>
      <c r="C3895" s="20" t="s">
        <v>39</v>
      </c>
      <c r="D389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895" s="22" t="str">
        <f>HYPERLINK("https://otsuka-europe-crm.veevavault.com/ui/#object/sent_email__v/VBL000000038005", "SE-001443543")</f>
        <v>SE-001443543</v>
      </c>
      <c r="F3895" s="25">
        <v>46216.498263888891</v>
      </c>
      <c r="G3895" s="24">
        <v>1</v>
      </c>
      <c r="H3895" s="24">
        <v>1</v>
      </c>
      <c r="I3895" s="24">
        <v>0</v>
      </c>
      <c r="J3895" s="23"/>
      <c r="K3895" s="24">
        <v>0</v>
      </c>
      <c r="L389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895" s="22" t="str">
        <f>HYPERLINK("mailto:gsammali@crm.otsuka-europe.com", "gsammali@crm.otsuka-europe.com")</f>
        <v>gsammali@crm.otsuka-europe.com</v>
      </c>
      <c r="N3895" s="25">
        <v>46216.430844907409</v>
      </c>
      <c r="O3895" s="14" t="str">
        <f>HYPERLINK("https://otsuka-europe-crm.veevavault.com/ui/#object/email_activity__v/V8C000000049149", "EN-002105159")</f>
        <v>EN-002105159</v>
      </c>
    </row>
    <row r="3896" spans="1:15" ht="16" x14ac:dyDescent="0.2">
      <c r="A3896" s="19"/>
      <c r="B3896" s="19"/>
      <c r="C3896" s="19"/>
      <c r="D3896" s="19"/>
      <c r="E3896" s="19"/>
      <c r="F3896" s="19"/>
      <c r="G3896" s="19"/>
      <c r="H3896" s="19"/>
      <c r="I3896" s="19"/>
      <c r="J3896" s="19"/>
      <c r="K3896" s="19"/>
      <c r="L3896" s="19"/>
      <c r="M3896" s="19"/>
      <c r="N3896" s="19"/>
      <c r="O3896" s="14" t="str">
        <f>HYPERLINK("https://otsuka-europe-crm.veevavault.com/ui/#object/email_activity__v/V8C00000004A279", "EN-002105487")</f>
        <v>EN-002105487</v>
      </c>
    </row>
    <row r="3897" spans="1:15" ht="16" x14ac:dyDescent="0.2">
      <c r="A3897" s="18" t="str">
        <f>HYPERLINK("https://otsuka-europe-crm.veevavault.com/ui/#object/account__v/V4TZ06G6O71T8VC", "PAULA ANTON PAMPOLS")</f>
        <v>PAULA ANTON PAMPOLS</v>
      </c>
      <c r="B3897" s="18" t="str">
        <f>HYPERLINK("https://otsuka-europe-crm.veevavault.com/ui/#object/vcountry__v/VENZ000004SONF5", "ES")</f>
        <v>ES</v>
      </c>
      <c r="C3897" s="20" t="s">
        <v>39</v>
      </c>
      <c r="D389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897" s="22" t="str">
        <f>HYPERLINK("https://otsuka-europe-crm.veevavault.com/ui/#object/sent_email__v/VBL000000038006", "SE-001443544")</f>
        <v>SE-001443544</v>
      </c>
      <c r="F3897" s="25">
        <v>46216.747476851851</v>
      </c>
      <c r="G3897" s="24">
        <v>1</v>
      </c>
      <c r="H3897" s="24">
        <v>2</v>
      </c>
      <c r="I3897" s="24">
        <v>0</v>
      </c>
      <c r="J3897" s="23"/>
      <c r="K3897" s="24">
        <v>0</v>
      </c>
      <c r="L389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897" s="22" t="str">
        <f>HYPERLINK("mailto:gsammali@crm.otsuka-europe.com", "gsammali@crm.otsuka-europe.com")</f>
        <v>gsammali@crm.otsuka-europe.com</v>
      </c>
      <c r="N3897" s="25">
        <v>46216.430844907409</v>
      </c>
      <c r="O3897" s="14" t="str">
        <f>HYPERLINK("https://otsuka-europe-crm.veevavault.com/ui/#object/email_activity__v/V8C000000049118", "EN-002105127")</f>
        <v>EN-002105127</v>
      </c>
    </row>
    <row r="3898" spans="1:15" ht="16" x14ac:dyDescent="0.2">
      <c r="A3898" s="26"/>
      <c r="B3898" s="26"/>
      <c r="C3898" s="26"/>
      <c r="D3898" s="26"/>
      <c r="E3898" s="26"/>
      <c r="F3898" s="26"/>
      <c r="G3898" s="26"/>
      <c r="H3898" s="26"/>
      <c r="I3898" s="26"/>
      <c r="J3898" s="26"/>
      <c r="K3898" s="26"/>
      <c r="L3898" s="26"/>
      <c r="M3898" s="26"/>
      <c r="N3898" s="26"/>
      <c r="O3898" s="14" t="str">
        <f>HYPERLINK("https://otsuka-europe-crm.veevavault.com/ui/#object/email_activity__v/V8C00000004A339", "EN-002105641")</f>
        <v>EN-002105641</v>
      </c>
    </row>
    <row r="3899" spans="1:15" ht="16" x14ac:dyDescent="0.2">
      <c r="A3899" s="19"/>
      <c r="B3899" s="19"/>
      <c r="C3899" s="19"/>
      <c r="D3899" s="19"/>
      <c r="E3899" s="19"/>
      <c r="F3899" s="19"/>
      <c r="G3899" s="19"/>
      <c r="H3899" s="19"/>
      <c r="I3899" s="19"/>
      <c r="J3899" s="19"/>
      <c r="K3899" s="19"/>
      <c r="L3899" s="19"/>
      <c r="M3899" s="19"/>
      <c r="N3899" s="19"/>
      <c r="O3899" s="14" t="str">
        <f>HYPERLINK("https://otsuka-europe-crm.veevavault.com/ui/#object/email_activity__v/V8C00000004A342", "EN-002105644")</f>
        <v>EN-002105644</v>
      </c>
    </row>
    <row r="3900" spans="1:15" ht="16" x14ac:dyDescent="0.2">
      <c r="A3900" s="18" t="str">
        <f>HYPERLINK("https://otsuka-europe-crm.veevavault.com/ui/#object/account__v/V4TZ06G6O71TBU0", "MONICA POU POTAU")</f>
        <v>MONICA POU POTAU</v>
      </c>
      <c r="B3900" s="18" t="str">
        <f>HYPERLINK("https://otsuka-europe-crm.veevavault.com/ui/#object/vcountry__v/VENZ000004SONF5", "ES")</f>
        <v>ES</v>
      </c>
      <c r="C3900" s="20" t="s">
        <v>39</v>
      </c>
      <c r="D390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00" s="22" t="str">
        <f>HYPERLINK("https://otsuka-europe-crm.veevavault.com/ui/#object/sent_email__v/VBL000000038007", "SE-001443545")</f>
        <v>SE-001443545</v>
      </c>
      <c r="F3900" s="25">
        <v>46216.433483796296</v>
      </c>
      <c r="G3900" s="24">
        <v>1</v>
      </c>
      <c r="H3900" s="24">
        <v>1</v>
      </c>
      <c r="I3900" s="24">
        <v>0</v>
      </c>
      <c r="J3900" s="23"/>
      <c r="K3900" s="24">
        <v>0</v>
      </c>
      <c r="L390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00" s="22" t="str">
        <f>HYPERLINK("mailto:gsammali@crm.otsuka-europe.com", "gsammali@crm.otsuka-europe.com")</f>
        <v>gsammali@crm.otsuka-europe.com</v>
      </c>
      <c r="N3900" s="25">
        <v>46216.430879629632</v>
      </c>
      <c r="O3900" s="14" t="str">
        <f>HYPERLINK("https://otsuka-europe-crm.veevavault.com/ui/#object/email_activity__v/V8C000000049180", "EN-002105189")</f>
        <v>EN-002105189</v>
      </c>
    </row>
    <row r="3901" spans="1:15" ht="16" x14ac:dyDescent="0.2">
      <c r="A3901" s="19"/>
      <c r="B3901" s="19"/>
      <c r="C3901" s="19"/>
      <c r="D3901" s="19"/>
      <c r="E3901" s="19"/>
      <c r="F3901" s="19"/>
      <c r="G3901" s="19"/>
      <c r="H3901" s="19"/>
      <c r="I3901" s="19"/>
      <c r="J3901" s="19"/>
      <c r="K3901" s="19"/>
      <c r="L3901" s="19"/>
      <c r="M3901" s="19"/>
      <c r="N3901" s="19"/>
      <c r="O3901" s="14" t="str">
        <f>HYPERLINK("https://otsuka-europe-crm.veevavault.com/ui/#object/email_activity__v/V8C00000004A217", "EN-002105331")</f>
        <v>EN-002105331</v>
      </c>
    </row>
    <row r="3902" spans="1:15" ht="16" x14ac:dyDescent="0.2">
      <c r="A3902" s="18" t="str">
        <f>HYPERLINK("https://otsuka-europe-crm.veevavault.com/ui/#object/account__v/V4TZ06G6O71T8T2", "SANDY VALERIA PICO RUIZ")</f>
        <v>SANDY VALERIA PICO RUIZ</v>
      </c>
      <c r="B3902" s="18" t="str">
        <f>HYPERLINK("https://otsuka-europe-crm.veevavault.com/ui/#object/vcountry__v/VENZ000004SONF5", "ES")</f>
        <v>ES</v>
      </c>
      <c r="C3902" s="20" t="s">
        <v>39</v>
      </c>
      <c r="D390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02" s="22" t="str">
        <f>HYPERLINK("https://otsuka-europe-crm.veevavault.com/ui/#object/sent_email__v/VBL000000038008", "SE-001443546")</f>
        <v>SE-001443546</v>
      </c>
      <c r="F3902" s="25">
        <v>46216.431388888886</v>
      </c>
      <c r="G3902" s="24">
        <v>1</v>
      </c>
      <c r="H3902" s="24">
        <v>1</v>
      </c>
      <c r="I3902" s="24">
        <v>1</v>
      </c>
      <c r="J3902" s="25">
        <v>46216.442210648151</v>
      </c>
      <c r="K3902" s="24">
        <v>1</v>
      </c>
      <c r="L390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02" s="22" t="str">
        <f>HYPERLINK("mailto:gsammali@crm.otsuka-europe.com", "gsammali@crm.otsuka-europe.com")</f>
        <v>gsammali@crm.otsuka-europe.com</v>
      </c>
      <c r="N3902" s="25">
        <v>46216.430844907409</v>
      </c>
      <c r="O3902" s="14" t="str">
        <f>HYPERLINK("https://otsuka-europe-crm.veevavault.com/ui/#object/email_activity__v/V8C000000049141", "EN-002105150")</f>
        <v>EN-002105150</v>
      </c>
    </row>
    <row r="3903" spans="1:15" ht="16" x14ac:dyDescent="0.2">
      <c r="A3903" s="26"/>
      <c r="B3903" s="26"/>
      <c r="C3903" s="26"/>
      <c r="D3903" s="26"/>
      <c r="E3903" s="26"/>
      <c r="F3903" s="26"/>
      <c r="G3903" s="26"/>
      <c r="H3903" s="26"/>
      <c r="I3903" s="26"/>
      <c r="J3903" s="26"/>
      <c r="K3903" s="26"/>
      <c r="L3903" s="26"/>
      <c r="M3903" s="26"/>
      <c r="N3903" s="26"/>
      <c r="O3903" s="14" t="str">
        <f>HYPERLINK("https://otsuka-europe-crm.veevavault.com/ui/#object/email_activity__v/V8C000000049211", "EN-002105220")</f>
        <v>EN-002105220</v>
      </c>
    </row>
    <row r="3904" spans="1:15" ht="16" x14ac:dyDescent="0.2">
      <c r="A3904" s="19"/>
      <c r="B3904" s="19"/>
      <c r="C3904" s="19"/>
      <c r="D3904" s="19"/>
      <c r="E3904" s="19"/>
      <c r="F3904" s="19"/>
      <c r="G3904" s="19"/>
      <c r="H3904" s="19"/>
      <c r="I3904" s="19"/>
      <c r="J3904" s="19"/>
      <c r="K3904" s="19"/>
      <c r="L3904" s="19"/>
      <c r="M3904" s="19"/>
      <c r="N3904" s="19"/>
      <c r="O3904" s="14" t="str">
        <f>HYPERLINK("https://otsuka-europe-crm.veevavault.com/ui/#object/email_activity__v/V8C000000049322", "EN-002105447")</f>
        <v>EN-002105447</v>
      </c>
    </row>
    <row r="3905" spans="1:15" ht="16" x14ac:dyDescent="0.2">
      <c r="A3905" s="18" t="str">
        <f>HYPERLINK("https://otsuka-europe-crm.veevavault.com/ui/#object/account__v/V4TZ06G6O71T826", "JULIANA JARAMILLO VASQUEZ")</f>
        <v>JULIANA JARAMILLO VASQUEZ</v>
      </c>
      <c r="B3905" s="18" t="str">
        <f>HYPERLINK("https://otsuka-europe-crm.veevavault.com/ui/#object/vcountry__v/VENZ000004SONF5", "ES")</f>
        <v>ES</v>
      </c>
      <c r="C3905" s="20" t="s">
        <v>39</v>
      </c>
      <c r="D390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05" s="22" t="str">
        <f>HYPERLINK("https://otsuka-europe-crm.veevavault.com/ui/#object/sent_email__v/VBL000000038009", "SE-001443547")</f>
        <v>SE-001443547</v>
      </c>
      <c r="F3905" s="23"/>
      <c r="G3905" s="24">
        <v>0</v>
      </c>
      <c r="H3905" s="24">
        <v>0</v>
      </c>
      <c r="I3905" s="24">
        <v>0</v>
      </c>
      <c r="J3905" s="23"/>
      <c r="K3905" s="24">
        <v>0</v>
      </c>
      <c r="L390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05" s="22" t="str">
        <f>HYPERLINK("mailto:gsammali@crm.otsuka-europe.com", "gsammali@crm.otsuka-europe.com")</f>
        <v>gsammali@crm.otsuka-europe.com</v>
      </c>
      <c r="N3905" s="25">
        <v>46216.430844907409</v>
      </c>
      <c r="O3905" s="14" t="str">
        <f>HYPERLINK("https://otsuka-europe-crm.veevavault.com/ui/#object/email_activity__v/V8C000000049119", "EN-002105128")</f>
        <v>EN-002105128</v>
      </c>
    </row>
    <row r="3906" spans="1:15" ht="16" x14ac:dyDescent="0.2">
      <c r="A3906" s="19"/>
      <c r="B3906" s="19"/>
      <c r="C3906" s="19"/>
      <c r="D3906" s="19"/>
      <c r="E3906" s="19"/>
      <c r="F3906" s="19"/>
      <c r="G3906" s="19"/>
      <c r="H3906" s="19"/>
      <c r="I3906" s="19"/>
      <c r="J3906" s="19"/>
      <c r="K3906" s="19"/>
      <c r="L3906" s="19"/>
      <c r="M3906" s="19"/>
      <c r="N3906" s="19"/>
      <c r="O3906" s="14" t="str">
        <f>HYPERLINK("https://otsuka-europe-crm.veevavault.com/ui/#object/email_activity__v/V8C000000049325", "EN-002105456")</f>
        <v>EN-002105456</v>
      </c>
    </row>
    <row r="3907" spans="1:15" ht="64" x14ac:dyDescent="0.2">
      <c r="A3907" s="7" t="str">
        <f>HYPERLINK("https://otsuka-europe-crm.veevavault.com/ui/#object/account__v/V4TZ025E87C17M9", "OANA RAP COPINDEAN")</f>
        <v>OANA RAP COPINDEAN</v>
      </c>
      <c r="B3907" s="7" t="str">
        <f>HYPERLINK("https://otsuka-europe-crm.veevavault.com/ui/#object/vcountry__v/VENZ000004SONF5", "ES")</f>
        <v>ES</v>
      </c>
      <c r="C3907" s="8" t="s">
        <v>39</v>
      </c>
      <c r="D390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07" s="10" t="str">
        <f>HYPERLINK("https://otsuka-europe-crm.veevavault.com/ui/#object/sent_email__v/VBL000000038010", "SE-001443548")</f>
        <v>SE-001443548</v>
      </c>
      <c r="F3907" s="11"/>
      <c r="G3907" s="12">
        <v>0</v>
      </c>
      <c r="H3907" s="12">
        <v>0</v>
      </c>
      <c r="I3907" s="12">
        <v>0</v>
      </c>
      <c r="J3907" s="11"/>
      <c r="K3907" s="12">
        <v>0</v>
      </c>
      <c r="L390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07" s="10" t="str">
        <f>HYPERLINK("mailto:gsammali@crm.otsuka-europe.com", "gsammali@crm.otsuka-europe.com")</f>
        <v>gsammali@crm.otsuka-europe.com</v>
      </c>
      <c r="N3907" s="13">
        <v>46216.430844907409</v>
      </c>
      <c r="O3907" s="14" t="str">
        <f>HYPERLINK("https://otsuka-europe-crm.veevavault.com/ui/#object/email_activity__v/V8C000000049122", "EN-002105131")</f>
        <v>EN-002105131</v>
      </c>
    </row>
    <row r="3908" spans="1:15" ht="64" x14ac:dyDescent="0.2">
      <c r="A3908" s="7" t="str">
        <f>HYPERLINK("https://otsuka-europe-crm.veevavault.com/ui/#object/account__v/V4T00000000Z077", "LUZIA SESCUN LOPEZ ROYO")</f>
        <v>LUZIA SESCUN LOPEZ ROYO</v>
      </c>
      <c r="B3908" s="7" t="str">
        <f>HYPERLINK("https://otsuka-europe-crm.veevavault.com/ui/#object/vcountry__v/VENZ000004SONF5", "ES")</f>
        <v>ES</v>
      </c>
      <c r="C3908" s="8" t="s">
        <v>39</v>
      </c>
      <c r="D390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08" s="10" t="str">
        <f>HYPERLINK("https://otsuka-europe-crm.veevavault.com/ui/#object/sent_email__v/VBL000000038011", "SE-001443549")</f>
        <v>SE-001443549</v>
      </c>
      <c r="F3908" s="11"/>
      <c r="G3908" s="12">
        <v>0</v>
      </c>
      <c r="H3908" s="12">
        <v>0</v>
      </c>
      <c r="I3908" s="12">
        <v>0</v>
      </c>
      <c r="J3908" s="11"/>
      <c r="K3908" s="12">
        <v>0</v>
      </c>
      <c r="L390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08" s="10" t="str">
        <f>HYPERLINK("mailto:gsammali@crm.otsuka-europe.com", "gsammali@crm.otsuka-europe.com")</f>
        <v>gsammali@crm.otsuka-europe.com</v>
      </c>
      <c r="N3908" s="13">
        <v>46216.430844907409</v>
      </c>
      <c r="O3908" s="14" t="str">
        <f>HYPERLINK("https://otsuka-europe-crm.veevavault.com/ui/#object/email_activity__v/V8C000000049206", "EN-002105215")</f>
        <v>EN-002105215</v>
      </c>
    </row>
    <row r="3909" spans="1:15" ht="64" x14ac:dyDescent="0.2">
      <c r="A3909" s="7" t="str">
        <f>HYPERLINK("https://otsuka-europe-crm.veevavault.com/ui/#object/account__v/V4TZ025E82A4X47", "JULIO MARTIN DIAZ PERERA")</f>
        <v>JULIO MARTIN DIAZ PERERA</v>
      </c>
      <c r="B3909" s="7" t="str">
        <f>HYPERLINK("https://otsuka-europe-crm.veevavault.com/ui/#object/vcountry__v/VENZ000004SONF5", "ES")</f>
        <v>ES</v>
      </c>
      <c r="C3909" s="8" t="s">
        <v>39</v>
      </c>
      <c r="D390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09" s="10" t="str">
        <f>HYPERLINK("https://otsuka-europe-crm.veevavault.com/ui/#object/sent_email__v/VBL000000038012", "SE-001443550")</f>
        <v>SE-001443550</v>
      </c>
      <c r="F3909" s="11"/>
      <c r="G3909" s="12">
        <v>0</v>
      </c>
      <c r="H3909" s="12">
        <v>0</v>
      </c>
      <c r="I3909" s="12">
        <v>0</v>
      </c>
      <c r="J3909" s="11"/>
      <c r="K3909" s="12">
        <v>0</v>
      </c>
      <c r="L390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09" s="10" t="str">
        <f>HYPERLINK("mailto:gsammali@crm.otsuka-europe.com", "gsammali@crm.otsuka-europe.com")</f>
        <v>gsammali@crm.otsuka-europe.com</v>
      </c>
      <c r="N3909" s="13">
        <v>46216.430844907409</v>
      </c>
      <c r="O3909" s="14" t="str">
        <f>HYPERLINK("https://otsuka-europe-crm.veevavault.com/ui/#object/email_activity__v/V8C000000049184", "EN-002105193")</f>
        <v>EN-002105193</v>
      </c>
    </row>
    <row r="3910" spans="1:15" ht="16" x14ac:dyDescent="0.2">
      <c r="A3910" s="18" t="str">
        <f>HYPERLINK("https://otsuka-europe-crm.veevavault.com/ui/#object/account__v/V4TZ025E831DT5Y", "DANIELA GARCIA-AGREDA VACA")</f>
        <v>DANIELA GARCIA-AGREDA VACA</v>
      </c>
      <c r="B3910" s="18" t="str">
        <f>HYPERLINK("https://otsuka-europe-crm.veevavault.com/ui/#object/vcountry__v/VENZ000004SONF5", "ES")</f>
        <v>ES</v>
      </c>
      <c r="C3910" s="20" t="s">
        <v>39</v>
      </c>
      <c r="D391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10" s="22" t="str">
        <f>HYPERLINK("https://otsuka-europe-crm.veevavault.com/ui/#object/sent_email__v/VBL000000038013", "SE-001443551")</f>
        <v>SE-001443551</v>
      </c>
      <c r="F3910" s="25">
        <v>46216.431134259263</v>
      </c>
      <c r="G3910" s="24">
        <v>1</v>
      </c>
      <c r="H3910" s="24">
        <v>2</v>
      </c>
      <c r="I3910" s="24">
        <v>1</v>
      </c>
      <c r="J3910" s="25">
        <v>46216.431215277778</v>
      </c>
      <c r="K3910" s="24">
        <v>2</v>
      </c>
      <c r="L391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10" s="22" t="str">
        <f>HYPERLINK("mailto:gsammali@crm.otsuka-europe.com", "gsammali@crm.otsuka-europe.com")</f>
        <v>gsammali@crm.otsuka-europe.com</v>
      </c>
      <c r="N3910" s="25">
        <v>46216.430844907409</v>
      </c>
      <c r="O3910" s="14" t="str">
        <f>HYPERLINK("https://otsuka-europe-crm.veevavault.com/ui/#object/email_activity__v/V8C000000049144", "EN-002105153")</f>
        <v>EN-002105153</v>
      </c>
    </row>
    <row r="3911" spans="1:15" ht="16" x14ac:dyDescent="0.2">
      <c r="A3911" s="26"/>
      <c r="B3911" s="26"/>
      <c r="C3911" s="26"/>
      <c r="D3911" s="26"/>
      <c r="E3911" s="26"/>
      <c r="F3911" s="26"/>
      <c r="G3911" s="26"/>
      <c r="H3911" s="26"/>
      <c r="I3911" s="26"/>
      <c r="J3911" s="26"/>
      <c r="K3911" s="26"/>
      <c r="L3911" s="26"/>
      <c r="M3911" s="26"/>
      <c r="N3911" s="26"/>
      <c r="O3911" s="14" t="str">
        <f>HYPERLINK("https://otsuka-europe-crm.veevavault.com/ui/#object/email_activity__v/V8C000000049185", "EN-002105195")</f>
        <v>EN-002105195</v>
      </c>
    </row>
    <row r="3912" spans="1:15" ht="16" x14ac:dyDescent="0.2">
      <c r="A3912" s="26"/>
      <c r="B3912" s="26"/>
      <c r="C3912" s="26"/>
      <c r="D3912" s="26"/>
      <c r="E3912" s="26"/>
      <c r="F3912" s="26"/>
      <c r="G3912" s="26"/>
      <c r="H3912" s="26"/>
      <c r="I3912" s="26"/>
      <c r="J3912" s="26"/>
      <c r="K3912" s="26"/>
      <c r="L3912" s="26"/>
      <c r="M3912" s="26"/>
      <c r="N3912" s="26"/>
      <c r="O3912" s="14" t="str">
        <f>HYPERLINK("https://otsuka-europe-crm.veevavault.com/ui/#object/email_activity__v/V8C000000049186", "EN-002105194")</f>
        <v>EN-002105194</v>
      </c>
    </row>
    <row r="3913" spans="1:15" ht="16" x14ac:dyDescent="0.2">
      <c r="A3913" s="26"/>
      <c r="B3913" s="26"/>
      <c r="C3913" s="26"/>
      <c r="D3913" s="26"/>
      <c r="E3913" s="26"/>
      <c r="F3913" s="26"/>
      <c r="G3913" s="26"/>
      <c r="H3913" s="26"/>
      <c r="I3913" s="26"/>
      <c r="J3913" s="26"/>
      <c r="K3913" s="26"/>
      <c r="L3913" s="26"/>
      <c r="M3913" s="26"/>
      <c r="N3913" s="26"/>
      <c r="O3913" s="14" t="str">
        <f>HYPERLINK("https://otsuka-europe-crm.veevavault.com/ui/#object/email_activity__v/V8C000000049200", "EN-002105209")</f>
        <v>EN-002105209</v>
      </c>
    </row>
    <row r="3914" spans="1:15" ht="16" x14ac:dyDescent="0.2">
      <c r="A3914" s="19"/>
      <c r="B3914" s="19"/>
      <c r="C3914" s="19"/>
      <c r="D3914" s="19"/>
      <c r="E3914" s="19"/>
      <c r="F3914" s="19"/>
      <c r="G3914" s="19"/>
      <c r="H3914" s="19"/>
      <c r="I3914" s="19"/>
      <c r="J3914" s="19"/>
      <c r="K3914" s="19"/>
      <c r="L3914" s="19"/>
      <c r="M3914" s="19"/>
      <c r="N3914" s="19"/>
      <c r="O3914" s="14" t="str">
        <f>HYPERLINK("https://otsuka-europe-crm.veevavault.com/ui/#object/email_activity__v/V8C000000049207", "EN-002105216")</f>
        <v>EN-002105216</v>
      </c>
    </row>
    <row r="3915" spans="1:15" ht="64" x14ac:dyDescent="0.2">
      <c r="A3915" s="7" t="str">
        <f>HYPERLINK("https://otsuka-europe-crm.veevavault.com/ui/#object/account__v/V4TZ04ASG764013", "EULALIA SOLA PORTA")</f>
        <v>EULALIA SOLA PORTA</v>
      </c>
      <c r="B3915" s="7" t="str">
        <f>HYPERLINK("https://otsuka-europe-crm.veevavault.com/ui/#object/vcountry__v/VENZ000004SONF5", "ES")</f>
        <v>ES</v>
      </c>
      <c r="C3915" s="8" t="s">
        <v>39</v>
      </c>
      <c r="D391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15" s="10" t="str">
        <f>HYPERLINK("https://otsuka-europe-crm.veevavault.com/ui/#object/sent_email__v/VBL000000038014", "SE-001443552")</f>
        <v>SE-001443552</v>
      </c>
      <c r="F3915" s="11"/>
      <c r="G3915" s="12">
        <v>0</v>
      </c>
      <c r="H3915" s="12">
        <v>0</v>
      </c>
      <c r="I3915" s="12">
        <v>0</v>
      </c>
      <c r="J3915" s="11"/>
      <c r="K3915" s="12">
        <v>0</v>
      </c>
      <c r="L391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15" s="10" t="str">
        <f>HYPERLINK("mailto:gsammali@crm.otsuka-europe.com", "gsammali@crm.otsuka-europe.com")</f>
        <v>gsammali@crm.otsuka-europe.com</v>
      </c>
      <c r="N3915" s="13">
        <v>46216.430844907409</v>
      </c>
      <c r="O3915" s="14" t="str">
        <f>HYPERLINK("https://otsuka-europe-crm.veevavault.com/ui/#object/email_activity__v/V8C000000049201", "EN-002105210")</f>
        <v>EN-002105210</v>
      </c>
    </row>
    <row r="3916" spans="1:15" ht="16" x14ac:dyDescent="0.2">
      <c r="A3916" s="18" t="str">
        <f>HYPERLINK("https://otsuka-europe-crm.veevavault.com/ui/#object/account__v/V4TZ025E83NRYU2", "ELISABET MASSO JIMENEZ")</f>
        <v>ELISABET MASSO JIMENEZ</v>
      </c>
      <c r="B3916" s="18" t="str">
        <f>HYPERLINK("https://otsuka-europe-crm.veevavault.com/ui/#object/vcountry__v/VENZ000004SONF5", "ES")</f>
        <v>ES</v>
      </c>
      <c r="C3916" s="20" t="s">
        <v>39</v>
      </c>
      <c r="D391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16" s="22" t="str">
        <f>HYPERLINK("https://otsuka-europe-crm.veevavault.com/ui/#object/sent_email__v/VBL000000038015", "SE-001443553")</f>
        <v>SE-001443553</v>
      </c>
      <c r="F3916" s="25">
        <v>46216.542638888888</v>
      </c>
      <c r="G3916" s="24">
        <v>1</v>
      </c>
      <c r="H3916" s="24">
        <v>2</v>
      </c>
      <c r="I3916" s="24">
        <v>0</v>
      </c>
      <c r="J3916" s="23"/>
      <c r="K3916" s="24">
        <v>0</v>
      </c>
      <c r="L391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16" s="22" t="str">
        <f>HYPERLINK("mailto:gsammali@crm.otsuka-europe.com", "gsammali@crm.otsuka-europe.com")</f>
        <v>gsammali@crm.otsuka-europe.com</v>
      </c>
      <c r="N3916" s="25">
        <v>46216.430844907409</v>
      </c>
      <c r="O3916" s="14" t="str">
        <f>HYPERLINK("https://otsuka-europe-crm.veevavault.com/ui/#object/email_activity__v/V8C000000049167", "EN-002105176")</f>
        <v>EN-002105176</v>
      </c>
    </row>
    <row r="3917" spans="1:15" ht="16" x14ac:dyDescent="0.2">
      <c r="A3917" s="26"/>
      <c r="B3917" s="26"/>
      <c r="C3917" s="26"/>
      <c r="D3917" s="26"/>
      <c r="E3917" s="26"/>
      <c r="F3917" s="26"/>
      <c r="G3917" s="26"/>
      <c r="H3917" s="26"/>
      <c r="I3917" s="26"/>
      <c r="J3917" s="26"/>
      <c r="K3917" s="26"/>
      <c r="L3917" s="26"/>
      <c r="M3917" s="26"/>
      <c r="N3917" s="26"/>
      <c r="O3917" s="14" t="str">
        <f>HYPERLINK("https://otsuka-europe-crm.veevavault.com/ui/#object/email_activity__v/V8C000000049350", "EN-002105502")</f>
        <v>EN-002105502</v>
      </c>
    </row>
    <row r="3918" spans="1:15" ht="16" x14ac:dyDescent="0.2">
      <c r="A3918" s="19"/>
      <c r="B3918" s="19"/>
      <c r="C3918" s="19"/>
      <c r="D3918" s="19"/>
      <c r="E3918" s="19"/>
      <c r="F3918" s="19"/>
      <c r="G3918" s="19"/>
      <c r="H3918" s="19"/>
      <c r="I3918" s="19"/>
      <c r="J3918" s="19"/>
      <c r="K3918" s="19"/>
      <c r="L3918" s="19"/>
      <c r="M3918" s="19"/>
      <c r="N3918" s="19"/>
      <c r="O3918" s="14" t="str">
        <f>HYPERLINK("https://otsuka-europe-crm.veevavault.com/ui/#object/email_activity__v/V8C000000049352", "EN-002105504")</f>
        <v>EN-002105504</v>
      </c>
    </row>
    <row r="3919" spans="1:15" ht="64" x14ac:dyDescent="0.2">
      <c r="A3919" s="7" t="str">
        <f>HYPERLINK("https://otsuka-europe-crm.veevavault.com/ui/#object/account__v/V4TZ06G6O71T9S6", "MARC CUXART PEREZ")</f>
        <v>MARC CUXART PEREZ</v>
      </c>
      <c r="B3919" s="7" t="str">
        <f>HYPERLINK("https://otsuka-europe-crm.veevavault.com/ui/#object/vcountry__v/VENZ000004SONF5", "ES")</f>
        <v>ES</v>
      </c>
      <c r="C3919" s="8" t="s">
        <v>39</v>
      </c>
      <c r="D391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19" s="10" t="str">
        <f>HYPERLINK("https://otsuka-europe-crm.veevavault.com/ui/#object/sent_email__v/VBL000000038016", "SE-001443554")</f>
        <v>SE-001443554</v>
      </c>
      <c r="F3919" s="11"/>
      <c r="G3919" s="12">
        <v>0</v>
      </c>
      <c r="H3919" s="12">
        <v>0</v>
      </c>
      <c r="I3919" s="12">
        <v>0</v>
      </c>
      <c r="J3919" s="11"/>
      <c r="K3919" s="12">
        <v>0</v>
      </c>
      <c r="L391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19" s="10" t="str">
        <f>HYPERLINK("mailto:gsammali@crm.otsuka-europe.com", "gsammali@crm.otsuka-europe.com")</f>
        <v>gsammali@crm.otsuka-europe.com</v>
      </c>
      <c r="N3919" s="13">
        <v>46216.430648148147</v>
      </c>
      <c r="O3919" s="14" t="str">
        <f>HYPERLINK("https://otsuka-europe-crm.veevavault.com/ui/#object/email_activity__v/V8C000000049183", "EN-002105192")</f>
        <v>EN-002105192</v>
      </c>
    </row>
    <row r="3920" spans="1:15" ht="16" x14ac:dyDescent="0.2">
      <c r="A3920" s="18" t="str">
        <f>HYPERLINK("https://otsuka-europe-crm.veevavault.com/ui/#object/account__v/V4TZ025E878VC8H", "DIEGO NAVAZO SANTAMARIA")</f>
        <v>DIEGO NAVAZO SANTAMARIA</v>
      </c>
      <c r="B3920" s="18" t="str">
        <f>HYPERLINK("https://otsuka-europe-crm.veevavault.com/ui/#object/vcountry__v/VENZ000004SONF5", "ES")</f>
        <v>ES</v>
      </c>
      <c r="C3920" s="20" t="s">
        <v>39</v>
      </c>
      <c r="D392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20" s="22" t="str">
        <f>HYPERLINK("https://otsuka-europe-crm.veevavault.com/ui/#object/sent_email__v/VBL000000038017", "SE-001443555")</f>
        <v>SE-001443555</v>
      </c>
      <c r="F3920" s="25">
        <v>46216.430949074071</v>
      </c>
      <c r="G3920" s="24">
        <v>1</v>
      </c>
      <c r="H3920" s="24">
        <v>1</v>
      </c>
      <c r="I3920" s="24">
        <v>0</v>
      </c>
      <c r="J3920" s="23"/>
      <c r="K3920" s="24">
        <v>0</v>
      </c>
      <c r="L392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20" s="22" t="str">
        <f>HYPERLINK("mailto:gsammali@crm.otsuka-europe.com", "gsammali@crm.otsuka-europe.com")</f>
        <v>gsammali@crm.otsuka-europe.com</v>
      </c>
      <c r="N3920" s="25">
        <v>46216.430648148147</v>
      </c>
      <c r="O3920" s="14" t="str">
        <f>HYPERLINK("https://otsuka-europe-crm.veevavault.com/ui/#object/email_activity__v/V8C000000049154", "EN-002105163")</f>
        <v>EN-002105163</v>
      </c>
    </row>
    <row r="3921" spans="1:15" ht="16" x14ac:dyDescent="0.2">
      <c r="A3921" s="19"/>
      <c r="B3921" s="19"/>
      <c r="C3921" s="19"/>
      <c r="D3921" s="19"/>
      <c r="E3921" s="19"/>
      <c r="F3921" s="19"/>
      <c r="G3921" s="19"/>
      <c r="H3921" s="19"/>
      <c r="I3921" s="19"/>
      <c r="J3921" s="19"/>
      <c r="K3921" s="19"/>
      <c r="L3921" s="19"/>
      <c r="M3921" s="19"/>
      <c r="N3921" s="19"/>
      <c r="O3921" s="14" t="str">
        <f>HYPERLINK("https://otsuka-europe-crm.veevavault.com/ui/#object/email_activity__v/V8C000000049188", "EN-002105197")</f>
        <v>EN-002105197</v>
      </c>
    </row>
    <row r="3922" spans="1:15" ht="64" x14ac:dyDescent="0.2">
      <c r="A3922" s="7" t="str">
        <f>HYPERLINK("https://otsuka-europe-crm.veevavault.com/ui/#object/account__v/V4TZ06G6OA5RNTJ", "JORDI CALABIA MARTINEZ")</f>
        <v>JORDI CALABIA MARTINEZ</v>
      </c>
      <c r="B3922" s="7" t="str">
        <f>HYPERLINK("https://otsuka-europe-crm.veevavault.com/ui/#object/vcountry__v/VENZ000004SONF5", "ES")</f>
        <v>ES</v>
      </c>
      <c r="C3922" s="8" t="s">
        <v>39</v>
      </c>
      <c r="D392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22" s="10" t="str">
        <f>HYPERLINK("https://otsuka-europe-crm.veevavault.com/ui/#object/sent_email__v/VBL000000038018", "SE-001443556")</f>
        <v>SE-001443556</v>
      </c>
      <c r="F3922" s="11"/>
      <c r="G3922" s="12">
        <v>0</v>
      </c>
      <c r="H3922" s="12">
        <v>0</v>
      </c>
      <c r="I3922" s="12">
        <v>0</v>
      </c>
      <c r="J3922" s="11"/>
      <c r="K3922" s="12">
        <v>0</v>
      </c>
      <c r="L392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22" s="10" t="str">
        <f>HYPERLINK("mailto:gsammali@crm.otsuka-europe.com", "gsammali@crm.otsuka-europe.com")</f>
        <v>gsammali@crm.otsuka-europe.com</v>
      </c>
      <c r="N3922" s="13">
        <v>46216.43068287037</v>
      </c>
      <c r="O3922" s="14" t="str">
        <f>HYPERLINK("https://otsuka-europe-crm.veevavault.com/ui/#object/email_activity__v/V8C000000049175", "EN-002105184")</f>
        <v>EN-002105184</v>
      </c>
    </row>
    <row r="3923" spans="1:15" ht="16" x14ac:dyDescent="0.2">
      <c r="A3923" s="18" t="str">
        <f>HYPERLINK("https://otsuka-europe-crm.veevavault.com/ui/#object/account__v/V4TZ06G6O71TC6J", "ALFONSO SEGARRA MEDRANO")</f>
        <v>ALFONSO SEGARRA MEDRANO</v>
      </c>
      <c r="B3923" s="18" t="str">
        <f>HYPERLINK("https://otsuka-europe-crm.veevavault.com/ui/#object/vcountry__v/VENZ000004SONF5", "ES")</f>
        <v>ES</v>
      </c>
      <c r="C3923" s="20" t="s">
        <v>39</v>
      </c>
      <c r="D392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23" s="22" t="str">
        <f>HYPERLINK("https://otsuka-europe-crm.veevavault.com/ui/#object/sent_email__v/VBL000000038019", "SE-001443557")</f>
        <v>SE-001443557</v>
      </c>
      <c r="F3923" s="23"/>
      <c r="G3923" s="24">
        <v>0</v>
      </c>
      <c r="H3923" s="24">
        <v>0</v>
      </c>
      <c r="I3923" s="24">
        <v>0</v>
      </c>
      <c r="J3923" s="23"/>
      <c r="K3923" s="24">
        <v>0</v>
      </c>
      <c r="L392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23" s="22" t="str">
        <f>HYPERLINK("mailto:gsammali@crm.otsuka-europe.com", "gsammali@crm.otsuka-europe.com")</f>
        <v>gsammali@crm.otsuka-europe.com</v>
      </c>
      <c r="N3923" s="25">
        <v>46216.43068287037</v>
      </c>
      <c r="O3923" s="14" t="str">
        <f>HYPERLINK("https://otsuka-europe-crm.veevavault.com/ui/#object/email_activity__v/V8C000000049189", "EN-002105198")</f>
        <v>EN-002105198</v>
      </c>
    </row>
    <row r="3924" spans="1:15" ht="16" x14ac:dyDescent="0.2">
      <c r="A3924" s="26"/>
      <c r="B3924" s="26"/>
      <c r="C3924" s="26"/>
      <c r="D3924" s="26"/>
      <c r="E3924" s="26"/>
      <c r="F3924" s="26"/>
      <c r="G3924" s="26"/>
      <c r="H3924" s="26"/>
      <c r="I3924" s="26"/>
      <c r="J3924" s="26"/>
      <c r="K3924" s="26"/>
      <c r="L3924" s="26"/>
      <c r="M3924" s="26"/>
      <c r="N3924" s="26"/>
      <c r="O3924" s="14" t="str">
        <f>HYPERLINK("https://otsuka-europe-crm.veevavault.com/ui/#object/email_activity__v/V8C00000004A282", "EN-002105493")</f>
        <v>EN-002105493</v>
      </c>
    </row>
    <row r="3925" spans="1:15" ht="16" x14ac:dyDescent="0.2">
      <c r="A3925" s="19"/>
      <c r="B3925" s="19"/>
      <c r="C3925" s="19"/>
      <c r="D3925" s="19"/>
      <c r="E3925" s="19"/>
      <c r="F3925" s="19"/>
      <c r="G3925" s="19"/>
      <c r="H3925" s="19"/>
      <c r="I3925" s="19"/>
      <c r="J3925" s="19"/>
      <c r="K3925" s="19"/>
      <c r="L3925" s="19"/>
      <c r="M3925" s="19"/>
      <c r="N3925" s="19"/>
      <c r="O3925" s="14" t="str">
        <f>HYPERLINK("https://otsuka-europe-crm.veevavault.com/ui/#object/email_activity__v/V8C00000004B670", "EN-002107793")</f>
        <v>EN-002107793</v>
      </c>
    </row>
    <row r="3926" spans="1:15" ht="16" x14ac:dyDescent="0.2">
      <c r="A3926" s="18" t="str">
        <f>HYPERLINK("https://otsuka-europe-crm.veevavault.com/ui/#object/account__v/V4TZ06G6O71T7EC", "LAURA ARNAUDAS CASANOVA")</f>
        <v>LAURA ARNAUDAS CASANOVA</v>
      </c>
      <c r="B3926" s="18" t="str">
        <f>HYPERLINK("https://otsuka-europe-crm.veevavault.com/ui/#object/vcountry__v/VENZ000004SONF5", "ES")</f>
        <v>ES</v>
      </c>
      <c r="C3926" s="20" t="s">
        <v>39</v>
      </c>
      <c r="D392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26" s="22" t="str">
        <f>HYPERLINK("https://otsuka-europe-crm.veevavault.com/ui/#object/sent_email__v/VBL000000038020", "SE-001443558")</f>
        <v>SE-001443558</v>
      </c>
      <c r="F3926" s="23"/>
      <c r="G3926" s="24">
        <v>0</v>
      </c>
      <c r="H3926" s="24">
        <v>0</v>
      </c>
      <c r="I3926" s="24">
        <v>0</v>
      </c>
      <c r="J3926" s="23"/>
      <c r="K3926" s="24">
        <v>0</v>
      </c>
      <c r="L392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26" s="22" t="str">
        <f>HYPERLINK("mailto:gsammali@crm.otsuka-europe.com", "gsammali@crm.otsuka-europe.com")</f>
        <v>gsammali@crm.otsuka-europe.com</v>
      </c>
      <c r="N3926" s="25">
        <v>46216.43068287037</v>
      </c>
      <c r="O3926" s="14" t="str">
        <f>HYPERLINK("https://otsuka-europe-crm.veevavault.com/ui/#object/email_activity__v/V8C000000049177", "EN-002105186")</f>
        <v>EN-002105186</v>
      </c>
    </row>
    <row r="3927" spans="1:15" ht="16" x14ac:dyDescent="0.2">
      <c r="A3927" s="19"/>
      <c r="B3927" s="19"/>
      <c r="C3927" s="19"/>
      <c r="D3927" s="19"/>
      <c r="E3927" s="19"/>
      <c r="F3927" s="19"/>
      <c r="G3927" s="19"/>
      <c r="H3927" s="19"/>
      <c r="I3927" s="19"/>
      <c r="J3927" s="19"/>
      <c r="K3927" s="19"/>
      <c r="L3927" s="19"/>
      <c r="M3927" s="19"/>
      <c r="N3927" s="19"/>
      <c r="O3927" s="14" t="str">
        <f>HYPERLINK("https://otsuka-europe-crm.veevavault.com/ui/#object/email_activity__v/V8C000000049264", "EN-002105359")</f>
        <v>EN-002105359</v>
      </c>
    </row>
    <row r="3928" spans="1:15" ht="64" x14ac:dyDescent="0.2">
      <c r="A3928" s="7" t="str">
        <f>HYPERLINK("https://otsuka-europe-crm.veevavault.com/ui/#object/account__v/V4TZ04ASGGI61CG", "MARTA MARTINEZ CHILLARON")</f>
        <v>MARTA MARTINEZ CHILLARON</v>
      </c>
      <c r="B3928" s="7" t="str">
        <f>HYPERLINK("https://otsuka-europe-crm.veevavault.com/ui/#object/vcountry__v/VENZ000004SONF5", "ES")</f>
        <v>ES</v>
      </c>
      <c r="C3928" s="8" t="s">
        <v>39</v>
      </c>
      <c r="D392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28" s="10" t="str">
        <f>HYPERLINK("https://otsuka-europe-crm.veevavault.com/ui/#object/sent_email__v/VBL000000038021", "SE-001443559")</f>
        <v>SE-001443559</v>
      </c>
      <c r="F3928" s="11"/>
      <c r="G3928" s="12">
        <v>0</v>
      </c>
      <c r="H3928" s="12">
        <v>0</v>
      </c>
      <c r="I3928" s="12">
        <v>0</v>
      </c>
      <c r="J3928" s="11"/>
      <c r="K3928" s="12">
        <v>0</v>
      </c>
      <c r="L392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28" s="10" t="str">
        <f>HYPERLINK("mailto:gsammali@crm.otsuka-europe.com", "gsammali@crm.otsuka-europe.com")</f>
        <v>gsammali@crm.otsuka-europe.com</v>
      </c>
      <c r="N3928" s="13">
        <v>46216.43068287037</v>
      </c>
      <c r="O3928" s="14" t="str">
        <f>HYPERLINK("https://otsuka-europe-crm.veevavault.com/ui/#object/email_activity__v/V8C000000049139", "EN-002105148")</f>
        <v>EN-002105148</v>
      </c>
    </row>
    <row r="3929" spans="1:15" ht="16" x14ac:dyDescent="0.2">
      <c r="A3929" s="18" t="str">
        <f>HYPERLINK("https://otsuka-europe-crm.veevavault.com/ui/#object/account__v/V4T00000001H017", "CARLES CAÑAMERAS FUGASOT")</f>
        <v>CARLES CAÑAMERAS FUGASOT</v>
      </c>
      <c r="B3929" s="18" t="str">
        <f>HYPERLINK("https://otsuka-europe-crm.veevavault.com/ui/#object/vcountry__v/VENZ000004SONF5", "ES")</f>
        <v>ES</v>
      </c>
      <c r="C3929" s="20" t="s">
        <v>39</v>
      </c>
      <c r="D392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29" s="22" t="str">
        <f>HYPERLINK("https://otsuka-europe-crm.veevavault.com/ui/#object/sent_email__v/VBL000000038022", "SE-001443560")</f>
        <v>SE-001443560</v>
      </c>
      <c r="F3929" s="25">
        <v>46216.456087962964</v>
      </c>
      <c r="G3929" s="24">
        <v>1</v>
      </c>
      <c r="H3929" s="24">
        <v>2</v>
      </c>
      <c r="I3929" s="24">
        <v>1</v>
      </c>
      <c r="J3929" s="25">
        <v>46216.456412037034</v>
      </c>
      <c r="K3929" s="24">
        <v>1</v>
      </c>
      <c r="L392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29" s="22" t="str">
        <f>HYPERLINK("mailto:gsammali@crm.otsuka-europe.com", "gsammali@crm.otsuka-europe.com")</f>
        <v>gsammali@crm.otsuka-europe.com</v>
      </c>
      <c r="N3929" s="25">
        <v>46216.43068287037</v>
      </c>
      <c r="O3929" s="14" t="str">
        <f>HYPERLINK("https://otsuka-europe-crm.veevavault.com/ui/#object/email_activity__v/V8C000000049138", "EN-002105147")</f>
        <v>EN-002105147</v>
      </c>
    </row>
    <row r="3930" spans="1:15" ht="16" x14ac:dyDescent="0.2">
      <c r="A3930" s="26"/>
      <c r="B3930" s="26"/>
      <c r="C3930" s="26"/>
      <c r="D3930" s="26"/>
      <c r="E3930" s="26"/>
      <c r="F3930" s="26"/>
      <c r="G3930" s="26"/>
      <c r="H3930" s="26"/>
      <c r="I3930" s="26"/>
      <c r="J3930" s="26"/>
      <c r="K3930" s="26"/>
      <c r="L3930" s="26"/>
      <c r="M3930" s="26"/>
      <c r="N3930" s="26"/>
      <c r="O3930" s="14" t="str">
        <f>HYPERLINK("https://otsuka-europe-crm.veevavault.com/ui/#object/email_activity__v/V8C00000004A270", "EN-002105465")</f>
        <v>EN-002105465</v>
      </c>
    </row>
    <row r="3931" spans="1:15" ht="16" x14ac:dyDescent="0.2">
      <c r="A3931" s="26"/>
      <c r="B3931" s="26"/>
      <c r="C3931" s="26"/>
      <c r="D3931" s="26"/>
      <c r="E3931" s="26"/>
      <c r="F3931" s="26"/>
      <c r="G3931" s="26"/>
      <c r="H3931" s="26"/>
      <c r="I3931" s="26"/>
      <c r="J3931" s="26"/>
      <c r="K3931" s="26"/>
      <c r="L3931" s="26"/>
      <c r="M3931" s="26"/>
      <c r="N3931" s="26"/>
      <c r="O3931" s="14" t="str">
        <f>HYPERLINK("https://otsuka-europe-crm.veevavault.com/ui/#object/email_activity__v/V8C00000004A271", "EN-002105466")</f>
        <v>EN-002105466</v>
      </c>
    </row>
    <row r="3932" spans="1:15" ht="16" x14ac:dyDescent="0.2">
      <c r="A3932" s="19"/>
      <c r="B3932" s="19"/>
      <c r="C3932" s="19"/>
      <c r="D3932" s="19"/>
      <c r="E3932" s="19"/>
      <c r="F3932" s="19"/>
      <c r="G3932" s="19"/>
      <c r="H3932" s="19"/>
      <c r="I3932" s="19"/>
      <c r="J3932" s="19"/>
      <c r="K3932" s="19"/>
      <c r="L3932" s="19"/>
      <c r="M3932" s="19"/>
      <c r="N3932" s="19"/>
      <c r="O3932" s="14" t="str">
        <f>HYPERLINK("https://otsuka-europe-crm.veevavault.com/ui/#object/email_activity__v/V8C00000004A272", "EN-002105467")</f>
        <v>EN-002105467</v>
      </c>
    </row>
    <row r="3933" spans="1:15" ht="16" x14ac:dyDescent="0.2">
      <c r="A3933" s="18" t="str">
        <f>HYPERLINK("https://otsuka-europe-crm.veevavault.com/ui/#object/account__v/V4TZ06G6O71UQQS", "MARIA ESPERANZA MORAL BERRIO")</f>
        <v>MARIA ESPERANZA MORAL BERRIO</v>
      </c>
      <c r="B3933" s="18" t="str">
        <f>HYPERLINK("https://otsuka-europe-crm.veevavault.com/ui/#object/vcountry__v/VENZ000004SONF5", "ES")</f>
        <v>ES</v>
      </c>
      <c r="C3933" s="20" t="s">
        <v>39</v>
      </c>
      <c r="D393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33" s="22" t="str">
        <f>HYPERLINK("https://otsuka-europe-crm.veevavault.com/ui/#object/sent_email__v/VBL000000038023", "SE-001443561")</f>
        <v>SE-001443561</v>
      </c>
      <c r="F3933" s="25">
        <v>46216.433425925927</v>
      </c>
      <c r="G3933" s="24">
        <v>1</v>
      </c>
      <c r="H3933" s="24">
        <v>1</v>
      </c>
      <c r="I3933" s="24">
        <v>0</v>
      </c>
      <c r="J3933" s="23"/>
      <c r="K3933" s="24">
        <v>0</v>
      </c>
      <c r="L393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33" s="22" t="str">
        <f>HYPERLINK("mailto:gsammali@crm.otsuka-europe.com", "gsammali@crm.otsuka-europe.com")</f>
        <v>gsammali@crm.otsuka-europe.com</v>
      </c>
      <c r="N3933" s="25">
        <v>46216.43068287037</v>
      </c>
      <c r="O3933" s="14" t="str">
        <f>HYPERLINK("https://otsuka-europe-crm.veevavault.com/ui/#object/email_activity__v/V8C000000049173", "EN-002105182")</f>
        <v>EN-002105182</v>
      </c>
    </row>
    <row r="3934" spans="1:15" ht="16" x14ac:dyDescent="0.2">
      <c r="A3934" s="19"/>
      <c r="B3934" s="19"/>
      <c r="C3934" s="19"/>
      <c r="D3934" s="19"/>
      <c r="E3934" s="19"/>
      <c r="F3934" s="19"/>
      <c r="G3934" s="19"/>
      <c r="H3934" s="19"/>
      <c r="I3934" s="19"/>
      <c r="J3934" s="19"/>
      <c r="K3934" s="19"/>
      <c r="L3934" s="19"/>
      <c r="M3934" s="19"/>
      <c r="N3934" s="19"/>
      <c r="O3934" s="14" t="str">
        <f>HYPERLINK("https://otsuka-europe-crm.veevavault.com/ui/#object/email_activity__v/V8C000000049248", "EN-002105329")</f>
        <v>EN-002105329</v>
      </c>
    </row>
    <row r="3935" spans="1:15" ht="16" x14ac:dyDescent="0.2">
      <c r="A3935" s="18" t="str">
        <f>HYPERLINK("https://otsuka-europe-crm.veevavault.com/ui/#object/account__v/V4TZ06G6O71T9JW", "SARA BIELSA GRACIA")</f>
        <v>SARA BIELSA GRACIA</v>
      </c>
      <c r="B3935" s="18" t="str">
        <f>HYPERLINK("https://otsuka-europe-crm.veevavault.com/ui/#object/vcountry__v/VENZ000004SONF5", "ES")</f>
        <v>ES</v>
      </c>
      <c r="C3935" s="20" t="s">
        <v>39</v>
      </c>
      <c r="D39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35" s="22" t="str">
        <f>HYPERLINK("https://otsuka-europe-crm.veevavault.com/ui/#object/sent_email__v/VBL000000038024", "SE-001443562")</f>
        <v>SE-001443562</v>
      </c>
      <c r="F3935" s="25">
        <v>46217.325682870367</v>
      </c>
      <c r="G3935" s="24">
        <v>1</v>
      </c>
      <c r="H3935" s="24">
        <v>2</v>
      </c>
      <c r="I3935" s="24">
        <v>0</v>
      </c>
      <c r="J3935" s="23"/>
      <c r="K3935" s="24">
        <v>0</v>
      </c>
      <c r="L39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35" s="22" t="str">
        <f>HYPERLINK("mailto:gsammali@crm.otsuka-europe.com", "gsammali@crm.otsuka-europe.com")</f>
        <v>gsammali@crm.otsuka-europe.com</v>
      </c>
      <c r="N3935" s="25">
        <v>46216.43068287037</v>
      </c>
      <c r="O3935" s="14" t="str">
        <f>HYPERLINK("https://otsuka-europe-crm.veevavault.com/ui/#object/email_activity__v/V8C000000049115", "EN-002105124")</f>
        <v>EN-002105124</v>
      </c>
    </row>
    <row r="3936" spans="1:15" ht="16" x14ac:dyDescent="0.2">
      <c r="A3936" s="26"/>
      <c r="B3936" s="26"/>
      <c r="C3936" s="26"/>
      <c r="D3936" s="26"/>
      <c r="E3936" s="26"/>
      <c r="F3936" s="26"/>
      <c r="G3936" s="26"/>
      <c r="H3936" s="26"/>
      <c r="I3936" s="26"/>
      <c r="J3936" s="26"/>
      <c r="K3936" s="26"/>
      <c r="L3936" s="26"/>
      <c r="M3936" s="26"/>
      <c r="N3936" s="26"/>
      <c r="O3936" s="14" t="str">
        <f>HYPERLINK("https://otsuka-europe-crm.veevavault.com/ui/#object/email_activity__v/V8C000000049218", "EN-002105227")</f>
        <v>EN-002105227</v>
      </c>
    </row>
    <row r="3937" spans="1:15" ht="16" x14ac:dyDescent="0.2">
      <c r="A3937" s="19"/>
      <c r="B3937" s="19"/>
      <c r="C3937" s="19"/>
      <c r="D3937" s="19"/>
      <c r="E3937" s="19"/>
      <c r="F3937" s="19"/>
      <c r="G3937" s="19"/>
      <c r="H3937" s="19"/>
      <c r="I3937" s="19"/>
      <c r="J3937" s="19"/>
      <c r="K3937" s="19"/>
      <c r="L3937" s="19"/>
      <c r="M3937" s="19"/>
      <c r="N3937" s="19"/>
      <c r="O3937" s="14" t="str">
        <f>HYPERLINK("https://otsuka-europe-crm.veevavault.com/ui/#object/email_activity__v/V8C000000049488", "EN-002105774")</f>
        <v>EN-002105774</v>
      </c>
    </row>
    <row r="3938" spans="1:15" ht="16" x14ac:dyDescent="0.2">
      <c r="A3938" s="18" t="str">
        <f>HYPERLINK("https://otsuka-europe-crm.veevavault.com/ui/#object/account__v/V4TZ04ASG79T3MJ", "IARA KARLLA DA SILVA SANTOS")</f>
        <v>IARA KARLLA DA SILVA SANTOS</v>
      </c>
      <c r="B3938" s="18" t="str">
        <f>HYPERLINK("https://otsuka-europe-crm.veevavault.com/ui/#object/vcountry__v/VENZ000004SONF5", "ES")</f>
        <v>ES</v>
      </c>
      <c r="C3938" s="20" t="s">
        <v>39</v>
      </c>
      <c r="D393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38" s="22" t="str">
        <f>HYPERLINK("https://otsuka-europe-crm.veevavault.com/ui/#object/sent_email__v/VBL000000038025", "SE-001443563")</f>
        <v>SE-001443563</v>
      </c>
      <c r="F3938" s="25">
        <v>46216.447280092594</v>
      </c>
      <c r="G3938" s="24">
        <v>1</v>
      </c>
      <c r="H3938" s="24">
        <v>1</v>
      </c>
      <c r="I3938" s="24">
        <v>0</v>
      </c>
      <c r="J3938" s="23"/>
      <c r="K3938" s="24">
        <v>0</v>
      </c>
      <c r="L393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38" s="22" t="str">
        <f>HYPERLINK("mailto:gsammali@crm.otsuka-europe.com", "gsammali@crm.otsuka-europe.com")</f>
        <v>gsammali@crm.otsuka-europe.com</v>
      </c>
      <c r="N3938" s="25">
        <v>46216.430844907409</v>
      </c>
      <c r="O3938" s="14" t="str">
        <f>HYPERLINK("https://otsuka-europe-crm.veevavault.com/ui/#object/email_activity__v/V8C000000049136", "EN-002105145")</f>
        <v>EN-002105145</v>
      </c>
    </row>
    <row r="3939" spans="1:15" ht="16" x14ac:dyDescent="0.2">
      <c r="A3939" s="26"/>
      <c r="B3939" s="26"/>
      <c r="C3939" s="26"/>
      <c r="D3939" s="26"/>
      <c r="E3939" s="26"/>
      <c r="F3939" s="26"/>
      <c r="G3939" s="26"/>
      <c r="H3939" s="26"/>
      <c r="I3939" s="26"/>
      <c r="J3939" s="26"/>
      <c r="K3939" s="26"/>
      <c r="L3939" s="26"/>
      <c r="M3939" s="26"/>
      <c r="N3939" s="26"/>
      <c r="O3939" s="14" t="str">
        <f>HYPERLINK("https://otsuka-europe-crm.veevavault.com/ui/#object/email_activity__v/V8C000000049466", "EN-002105723")</f>
        <v>EN-002105723</v>
      </c>
    </row>
    <row r="3940" spans="1:15" ht="16" x14ac:dyDescent="0.2">
      <c r="A3940" s="19"/>
      <c r="B3940" s="19"/>
      <c r="C3940" s="19"/>
      <c r="D3940" s="19"/>
      <c r="E3940" s="19"/>
      <c r="F3940" s="19"/>
      <c r="G3940" s="19"/>
      <c r="H3940" s="19"/>
      <c r="I3940" s="19"/>
      <c r="J3940" s="19"/>
      <c r="K3940" s="19"/>
      <c r="L3940" s="19"/>
      <c r="M3940" s="19"/>
      <c r="N3940" s="19"/>
      <c r="O3940" s="14" t="str">
        <f>HYPERLINK("https://otsuka-europe-crm.veevavault.com/ui/#object/email_activity__v/V8C00000004A263", "EN-002105453")</f>
        <v>EN-002105453</v>
      </c>
    </row>
    <row r="3941" spans="1:15" ht="64" x14ac:dyDescent="0.2">
      <c r="A3941" s="7" t="str">
        <f>HYPERLINK("https://otsuka-europe-crm.veevavault.com/ui/#object/account__v/V4TZ04ASGALV52Y", "JEHIMY JEAN ALVAREZ SALTOS")</f>
        <v>JEHIMY JEAN ALVAREZ SALTOS</v>
      </c>
      <c r="B3941" s="7" t="str">
        <f>HYPERLINK("https://otsuka-europe-crm.veevavault.com/ui/#object/vcountry__v/VENZ000004SONF5", "ES")</f>
        <v>ES</v>
      </c>
      <c r="C3941" s="8" t="s">
        <v>39</v>
      </c>
      <c r="D394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41" s="10" t="str">
        <f>HYPERLINK("https://otsuka-europe-crm.veevavault.com/ui/#object/sent_email__v/VBL000000038026", "SE-001443564")</f>
        <v>SE-001443564</v>
      </c>
      <c r="F3941" s="11"/>
      <c r="G3941" s="12">
        <v>0</v>
      </c>
      <c r="H3941" s="12">
        <v>0</v>
      </c>
      <c r="I3941" s="12">
        <v>0</v>
      </c>
      <c r="J3941" s="11"/>
      <c r="K3941" s="12">
        <v>0</v>
      </c>
      <c r="L394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41" s="10" t="str">
        <f>HYPERLINK("mailto:gsammali@crm.otsuka-europe.com", "gsammali@crm.otsuka-europe.com")</f>
        <v>gsammali@crm.otsuka-europe.com</v>
      </c>
      <c r="N3941" s="13">
        <v>46216.43068287037</v>
      </c>
      <c r="O3941" s="14" t="str">
        <f>HYPERLINK("https://otsuka-europe-crm.veevavault.com/ui/#object/email_activity__v/V8C000000049174", "EN-002105183")</f>
        <v>EN-002105183</v>
      </c>
    </row>
    <row r="3942" spans="1:15" ht="64" x14ac:dyDescent="0.2">
      <c r="A3942" s="7" t="str">
        <f>HYPERLINK("https://otsuka-europe-crm.veevavault.com/ui/#object/account__v/V4TZ06G6O71T8W5", "FRANCISCO GOMEZ PRECIADO")</f>
        <v>FRANCISCO GOMEZ PRECIADO</v>
      </c>
      <c r="B3942" s="7" t="str">
        <f>HYPERLINK("https://otsuka-europe-crm.veevavault.com/ui/#object/vcountry__v/VENZ000004SONF5", "ES")</f>
        <v>ES</v>
      </c>
      <c r="C3942" s="8" t="s">
        <v>39</v>
      </c>
      <c r="D394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42" s="10" t="str">
        <f>HYPERLINK("https://otsuka-europe-crm.veevavault.com/ui/#object/sent_email__v/VBL000000038027", "SE-001443565")</f>
        <v>SE-001443565</v>
      </c>
      <c r="F3942" s="11"/>
      <c r="G3942" s="12">
        <v>0</v>
      </c>
      <c r="H3942" s="12">
        <v>0</v>
      </c>
      <c r="I3942" s="12">
        <v>0</v>
      </c>
      <c r="J3942" s="11"/>
      <c r="K3942" s="12">
        <v>0</v>
      </c>
      <c r="L394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42" s="10" t="str">
        <f>HYPERLINK("mailto:gsammali@crm.otsuka-europe.com", "gsammali@crm.otsuka-europe.com")</f>
        <v>gsammali@crm.otsuka-europe.com</v>
      </c>
      <c r="N3942" s="13">
        <v>46216.430844907409</v>
      </c>
      <c r="O3942" s="14" t="str">
        <f>HYPERLINK("https://otsuka-europe-crm.veevavault.com/ui/#object/email_activity__v/V8C000000049143", "EN-002105152")</f>
        <v>EN-002105152</v>
      </c>
    </row>
    <row r="3943" spans="1:15" ht="16" x14ac:dyDescent="0.2">
      <c r="A3943" s="18" t="str">
        <f>HYPERLINK("https://otsuka-europe-crm.veevavault.com/ui/#object/account__v/V4TZ06G6O71TAVT", "MARIA LUISA MARTIN CONDE")</f>
        <v>MARIA LUISA MARTIN CONDE</v>
      </c>
      <c r="B3943" s="18" t="str">
        <f>HYPERLINK("https://otsuka-europe-crm.veevavault.com/ui/#object/vcountry__v/VENZ000004SONF5", "ES")</f>
        <v>ES</v>
      </c>
      <c r="C3943" s="20" t="s">
        <v>39</v>
      </c>
      <c r="D394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43" s="22" t="str">
        <f>HYPERLINK("https://otsuka-europe-crm.veevavault.com/ui/#object/sent_email__v/VBL000000038028", "SE-001443566")</f>
        <v>SE-001443566</v>
      </c>
      <c r="F3943" s="23"/>
      <c r="G3943" s="24">
        <v>0</v>
      </c>
      <c r="H3943" s="24">
        <v>0</v>
      </c>
      <c r="I3943" s="24">
        <v>0</v>
      </c>
      <c r="J3943" s="23"/>
      <c r="K3943" s="24">
        <v>0</v>
      </c>
      <c r="L394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43" s="22" t="str">
        <f>HYPERLINK("mailto:gsammali@crm.otsuka-europe.com", "gsammali@crm.otsuka-europe.com")</f>
        <v>gsammali@crm.otsuka-europe.com</v>
      </c>
      <c r="N3943" s="25">
        <v>46216.430844907409</v>
      </c>
      <c r="O3943" s="14" t="str">
        <f>HYPERLINK("https://otsuka-europe-crm.veevavault.com/ui/#object/email_activity__v/V8C000000049130", "EN-002105139")</f>
        <v>EN-002105139</v>
      </c>
    </row>
    <row r="3944" spans="1:15" ht="16" x14ac:dyDescent="0.2">
      <c r="A3944" s="19"/>
      <c r="B3944" s="19"/>
      <c r="C3944" s="19"/>
      <c r="D3944" s="19"/>
      <c r="E3944" s="19"/>
      <c r="F3944" s="19"/>
      <c r="G3944" s="19"/>
      <c r="H3944" s="19"/>
      <c r="I3944" s="19"/>
      <c r="J3944" s="19"/>
      <c r="K3944" s="19"/>
      <c r="L3944" s="19"/>
      <c r="M3944" s="19"/>
      <c r="N3944" s="19"/>
      <c r="O3944" s="14" t="str">
        <f>HYPERLINK("https://otsuka-europe-crm.veevavault.com/ui/#object/email_activity__v/V8C00000004A312", "EN-002105580")</f>
        <v>EN-002105580</v>
      </c>
    </row>
    <row r="3945" spans="1:15" ht="16" x14ac:dyDescent="0.2">
      <c r="A3945" s="18" t="str">
        <f>HYPERLINK("https://otsuka-europe-crm.veevavault.com/ui/#object/account__v/V4TZ06G6O71TBGM", "EDUARDO PARRA MONCASI")</f>
        <v>EDUARDO PARRA MONCASI</v>
      </c>
      <c r="B3945" s="18" t="str">
        <f>HYPERLINK("https://otsuka-europe-crm.veevavault.com/ui/#object/vcountry__v/VENZ000004SONF5", "ES")</f>
        <v>ES</v>
      </c>
      <c r="C3945" s="20" t="s">
        <v>39</v>
      </c>
      <c r="D394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45" s="22" t="str">
        <f>HYPERLINK("https://otsuka-europe-crm.veevavault.com/ui/#object/sent_email__v/VBL000000038029", "SE-001443567")</f>
        <v>SE-001443567</v>
      </c>
      <c r="F3945" s="25">
        <v>46216.430925925924</v>
      </c>
      <c r="G3945" s="24">
        <v>1</v>
      </c>
      <c r="H3945" s="24">
        <v>1</v>
      </c>
      <c r="I3945" s="24">
        <v>0</v>
      </c>
      <c r="J3945" s="23"/>
      <c r="K3945" s="24">
        <v>0</v>
      </c>
      <c r="L394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45" s="22" t="str">
        <f>HYPERLINK("mailto:gsammali@crm.otsuka-europe.com", "gsammali@crm.otsuka-europe.com")</f>
        <v>gsammali@crm.otsuka-europe.com</v>
      </c>
      <c r="N3945" s="25">
        <v>46216.430844907409</v>
      </c>
      <c r="O3945" s="14" t="str">
        <f>HYPERLINK("https://otsuka-europe-crm.veevavault.com/ui/#object/email_activity__v/V8C000000049121", "EN-002105130")</f>
        <v>EN-002105130</v>
      </c>
    </row>
    <row r="3946" spans="1:15" ht="16" x14ac:dyDescent="0.2">
      <c r="A3946" s="26"/>
      <c r="B3946" s="26"/>
      <c r="C3946" s="26"/>
      <c r="D3946" s="26"/>
      <c r="E3946" s="26"/>
      <c r="F3946" s="26"/>
      <c r="G3946" s="26"/>
      <c r="H3946" s="26"/>
      <c r="I3946" s="26"/>
      <c r="J3946" s="26"/>
      <c r="K3946" s="26"/>
      <c r="L3946" s="26"/>
      <c r="M3946" s="26"/>
      <c r="N3946" s="26"/>
      <c r="O3946" s="14" t="str">
        <f>HYPERLINK("https://otsuka-europe-crm.veevavault.com/ui/#object/email_activity__v/V8C000000049162", "EN-002105171")</f>
        <v>EN-002105171</v>
      </c>
    </row>
    <row r="3947" spans="1:15" ht="16" x14ac:dyDescent="0.2">
      <c r="A3947" s="19"/>
      <c r="B3947" s="19"/>
      <c r="C3947" s="19"/>
      <c r="D3947" s="19"/>
      <c r="E3947" s="19"/>
      <c r="F3947" s="19"/>
      <c r="G3947" s="19"/>
      <c r="H3947" s="19"/>
      <c r="I3947" s="19"/>
      <c r="J3947" s="19"/>
      <c r="K3947" s="19"/>
      <c r="L3947" s="19"/>
      <c r="M3947" s="19"/>
      <c r="N3947" s="19"/>
      <c r="O3947" s="14" t="str">
        <f>HYPERLINK("https://otsuka-europe-crm.veevavault.com/ui/#object/email_activity__v/V8C000000049479", "EN-002105759")</f>
        <v>EN-002105759</v>
      </c>
    </row>
    <row r="3948" spans="1:15" ht="64" x14ac:dyDescent="0.2">
      <c r="A3948" s="7" t="str">
        <f>HYPERLINK("https://otsuka-europe-crm.veevavault.com/ui/#object/account__v/V4TZ025E87O28ID", "ANGELA ROCIO VALLEJOS NUÑEZ")</f>
        <v>ANGELA ROCIO VALLEJOS NUÑEZ</v>
      </c>
      <c r="B3948" s="7" t="str">
        <f>HYPERLINK("https://otsuka-europe-crm.veevavault.com/ui/#object/vcountry__v/VENZ000004SONF5", "ES")</f>
        <v>ES</v>
      </c>
      <c r="C3948" s="8" t="s">
        <v>39</v>
      </c>
      <c r="D394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48" s="10" t="str">
        <f>HYPERLINK("https://otsuka-europe-crm.veevavault.com/ui/#object/sent_email__v/VBL000000038030", "SE-001443568")</f>
        <v>SE-001443568</v>
      </c>
      <c r="F3948" s="11"/>
      <c r="G3948" s="12">
        <v>0</v>
      </c>
      <c r="H3948" s="12">
        <v>0</v>
      </c>
      <c r="I3948" s="12">
        <v>0</v>
      </c>
      <c r="J3948" s="11"/>
      <c r="K3948" s="12">
        <v>0</v>
      </c>
      <c r="L394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48" s="10" t="str">
        <f>HYPERLINK("mailto:gsammali@crm.otsuka-europe.com", "gsammali@crm.otsuka-europe.com")</f>
        <v>gsammali@crm.otsuka-europe.com</v>
      </c>
      <c r="N3948" s="13">
        <v>46216.430844907409</v>
      </c>
      <c r="O3948" s="14" t="str">
        <f>HYPERLINK("https://otsuka-europe-crm.veevavault.com/ui/#object/email_activity__v/V8C000000049127", "EN-002105136")</f>
        <v>EN-002105136</v>
      </c>
    </row>
    <row r="3949" spans="1:15" ht="64" x14ac:dyDescent="0.2">
      <c r="A3949" s="7" t="str">
        <f>HYPERLINK("https://otsuka-europe-crm.veevavault.com/ui/#object/account__v/V4TZ06G6O71T9DC", "INMACULADA CONCEPCION BUJONS NOGUERA")</f>
        <v>INMACULADA CONCEPCION BUJONS NOGUERA</v>
      </c>
      <c r="B3949" s="7" t="str">
        <f>HYPERLINK("https://otsuka-europe-crm.veevavault.com/ui/#object/vcountry__v/VENZ000004SONF5", "ES")</f>
        <v>ES</v>
      </c>
      <c r="C3949" s="8" t="s">
        <v>39</v>
      </c>
      <c r="D394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49" s="10" t="str">
        <f>HYPERLINK("https://otsuka-europe-crm.veevavault.com/ui/#object/sent_email__v/VBL000000038031", "SE-001443569")</f>
        <v>SE-001443569</v>
      </c>
      <c r="F3949" s="11"/>
      <c r="G3949" s="12">
        <v>0</v>
      </c>
      <c r="H3949" s="12">
        <v>0</v>
      </c>
      <c r="I3949" s="12">
        <v>0</v>
      </c>
      <c r="J3949" s="11"/>
      <c r="K3949" s="12">
        <v>0</v>
      </c>
      <c r="L394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49" s="10" t="str">
        <f>HYPERLINK("mailto:gsammali@crm.otsuka-europe.com", "gsammali@crm.otsuka-europe.com")</f>
        <v>gsammali@crm.otsuka-europe.com</v>
      </c>
      <c r="N3949" s="13">
        <v>46216.430844907409</v>
      </c>
      <c r="O3949" s="14" t="str">
        <f>HYPERLINK("https://otsuka-europe-crm.veevavault.com/ui/#object/email_activity__v/V8C000000049199", "EN-002105208")</f>
        <v>EN-002105208</v>
      </c>
    </row>
    <row r="3950" spans="1:15" ht="16" x14ac:dyDescent="0.2">
      <c r="A3950" s="18" t="str">
        <f>HYPERLINK("https://otsuka-europe-crm.veevavault.com/ui/#object/account__v/V4TZ06G6OBUCM7X", "MONICA ALEJANDRA MILLA CASTELLANOS")</f>
        <v>MONICA ALEJANDRA MILLA CASTELLANOS</v>
      </c>
      <c r="B3950" s="18" t="str">
        <f>HYPERLINK("https://otsuka-europe-crm.veevavault.com/ui/#object/vcountry__v/VENZ000004SONF5", "ES")</f>
        <v>ES</v>
      </c>
      <c r="C3950" s="20" t="s">
        <v>39</v>
      </c>
      <c r="D39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50" s="22" t="str">
        <f>HYPERLINK("https://otsuka-europe-crm.veevavault.com/ui/#object/sent_email__v/VBL000000038032", "SE-001443570")</f>
        <v>SE-001443570</v>
      </c>
      <c r="F3950" s="25">
        <v>46216.431469907409</v>
      </c>
      <c r="G3950" s="24">
        <v>1</v>
      </c>
      <c r="H3950" s="24">
        <v>1</v>
      </c>
      <c r="I3950" s="24">
        <v>0</v>
      </c>
      <c r="J3950" s="23"/>
      <c r="K3950" s="24">
        <v>0</v>
      </c>
      <c r="L39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50" s="22" t="str">
        <f>HYPERLINK("mailto:gsammali@crm.otsuka-europe.com", "gsammali@crm.otsuka-europe.com")</f>
        <v>gsammali@crm.otsuka-europe.com</v>
      </c>
      <c r="N3950" s="25">
        <v>46216.430844907409</v>
      </c>
      <c r="O3950" s="14" t="str">
        <f>HYPERLINK("https://otsuka-europe-crm.veevavault.com/ui/#object/email_activity__v/V8C000000049191", "EN-002105200")</f>
        <v>EN-002105200</v>
      </c>
    </row>
    <row r="3951" spans="1:15" ht="16" x14ac:dyDescent="0.2">
      <c r="A3951" s="26"/>
      <c r="B3951" s="26"/>
      <c r="C3951" s="26"/>
      <c r="D3951" s="26"/>
      <c r="E3951" s="26"/>
      <c r="F3951" s="26"/>
      <c r="G3951" s="26"/>
      <c r="H3951" s="26"/>
      <c r="I3951" s="26"/>
      <c r="J3951" s="26"/>
      <c r="K3951" s="26"/>
      <c r="L3951" s="26"/>
      <c r="M3951" s="26"/>
      <c r="N3951" s="26"/>
      <c r="O3951" s="14" t="str">
        <f>HYPERLINK("https://otsuka-europe-crm.veevavault.com/ui/#object/email_activity__v/V8C000000049213", "EN-002105222")</f>
        <v>EN-002105222</v>
      </c>
    </row>
    <row r="3952" spans="1:15" ht="16" x14ac:dyDescent="0.2">
      <c r="A3952" s="19"/>
      <c r="B3952" s="19"/>
      <c r="C3952" s="19"/>
      <c r="D3952" s="19"/>
      <c r="E3952" s="19"/>
      <c r="F3952" s="19"/>
      <c r="G3952" s="19"/>
      <c r="H3952" s="19"/>
      <c r="I3952" s="19"/>
      <c r="J3952" s="19"/>
      <c r="K3952" s="19"/>
      <c r="L3952" s="19"/>
      <c r="M3952" s="19"/>
      <c r="N3952" s="19"/>
      <c r="O3952" s="14" t="str">
        <f>HYPERLINK("https://otsuka-europe-crm.veevavault.com/ui/#object/email_activity__v/V8C00000004A221", "EN-002105335")</f>
        <v>EN-002105335</v>
      </c>
    </row>
    <row r="3953" spans="1:15" ht="64" x14ac:dyDescent="0.2">
      <c r="A3953" s="7" t="str">
        <f>HYPERLINK("https://otsuka-europe-crm.veevavault.com/ui/#object/account__v/V4TZ06G6O71TB37", "NADIA MARTIN ALEMANY")</f>
        <v>NADIA MARTIN ALEMANY</v>
      </c>
      <c r="B3953" s="7" t="str">
        <f>HYPERLINK("https://otsuka-europe-crm.veevavault.com/ui/#object/vcountry__v/VENZ000004SONF5", "ES")</f>
        <v>ES</v>
      </c>
      <c r="C3953" s="8" t="s">
        <v>39</v>
      </c>
      <c r="D395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53" s="10" t="str">
        <f>HYPERLINK("https://otsuka-europe-crm.veevavault.com/ui/#object/sent_email__v/VBL000000038033", "SE-001443571")</f>
        <v>SE-001443571</v>
      </c>
      <c r="F3953" s="11"/>
      <c r="G3953" s="12">
        <v>0</v>
      </c>
      <c r="H3953" s="12">
        <v>0</v>
      </c>
      <c r="I3953" s="12">
        <v>0</v>
      </c>
      <c r="J3953" s="11"/>
      <c r="K3953" s="12">
        <v>0</v>
      </c>
      <c r="L395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53" s="10" t="str">
        <f>HYPERLINK("mailto:gsammali@crm.otsuka-europe.com", "gsammali@crm.otsuka-europe.com")</f>
        <v>gsammali@crm.otsuka-europe.com</v>
      </c>
      <c r="N3953" s="13">
        <v>46216.430844907409</v>
      </c>
      <c r="O3953" s="14" t="str">
        <f>HYPERLINK("https://otsuka-europe-crm.veevavault.com/ui/#object/email_activity__v/V8C000000049134", "EN-002105143")</f>
        <v>EN-002105143</v>
      </c>
    </row>
    <row r="3954" spans="1:15" ht="16" x14ac:dyDescent="0.2">
      <c r="A3954" s="18" t="str">
        <f>HYPERLINK("https://otsuka-europe-crm.veevavault.com/ui/#object/account__v/V4TZ04ASG6ZSLXI", "SERGI CODINA SANCHEZ")</f>
        <v>SERGI CODINA SANCHEZ</v>
      </c>
      <c r="B3954" s="18" t="str">
        <f>HYPERLINK("https://otsuka-europe-crm.veevavault.com/ui/#object/vcountry__v/VENZ000004SONF5", "ES")</f>
        <v>ES</v>
      </c>
      <c r="C3954" s="20" t="s">
        <v>39</v>
      </c>
      <c r="D395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54" s="22" t="str">
        <f>HYPERLINK("https://otsuka-europe-crm.veevavault.com/ui/#object/sent_email__v/VBL000000038034", "SE-001443572")</f>
        <v>SE-001443572</v>
      </c>
      <c r="F3954" s="23"/>
      <c r="G3954" s="24">
        <v>0</v>
      </c>
      <c r="H3954" s="24">
        <v>0</v>
      </c>
      <c r="I3954" s="24">
        <v>0</v>
      </c>
      <c r="J3954" s="23"/>
      <c r="K3954" s="24">
        <v>0</v>
      </c>
      <c r="L395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54" s="22" t="str">
        <f>HYPERLINK("mailto:gsammali@crm.otsuka-europe.com", "gsammali@crm.otsuka-europe.com")</f>
        <v>gsammali@crm.otsuka-europe.com</v>
      </c>
      <c r="N3954" s="25">
        <v>46216.430844907409</v>
      </c>
      <c r="O3954" s="14" t="str">
        <f>HYPERLINK("https://otsuka-europe-crm.veevavault.com/ui/#object/email_activity__v/V8C000000049126", "EN-002105135")</f>
        <v>EN-002105135</v>
      </c>
    </row>
    <row r="3955" spans="1:15" ht="16" x14ac:dyDescent="0.2">
      <c r="A3955" s="26"/>
      <c r="B3955" s="26"/>
      <c r="C3955" s="26"/>
      <c r="D3955" s="26"/>
      <c r="E3955" s="26"/>
      <c r="F3955" s="26"/>
      <c r="G3955" s="26"/>
      <c r="H3955" s="26"/>
      <c r="I3955" s="26"/>
      <c r="J3955" s="26"/>
      <c r="K3955" s="26"/>
      <c r="L3955" s="26"/>
      <c r="M3955" s="26"/>
      <c r="N3955" s="26"/>
      <c r="O3955" s="14" t="str">
        <f>HYPERLINK("https://otsuka-europe-crm.veevavault.com/ui/#object/email_activity__v/V8C000000049355", "EN-002105507")</f>
        <v>EN-002105507</v>
      </c>
    </row>
    <row r="3956" spans="1:15" ht="16" x14ac:dyDescent="0.2">
      <c r="A3956" s="19"/>
      <c r="B3956" s="19"/>
      <c r="C3956" s="19"/>
      <c r="D3956" s="19"/>
      <c r="E3956" s="19"/>
      <c r="F3956" s="19"/>
      <c r="G3956" s="19"/>
      <c r="H3956" s="19"/>
      <c r="I3956" s="19"/>
      <c r="J3956" s="19"/>
      <c r="K3956" s="19"/>
      <c r="L3956" s="19"/>
      <c r="M3956" s="19"/>
      <c r="N3956" s="19"/>
      <c r="O3956" s="14" t="str">
        <f>HYPERLINK("https://otsuka-europe-crm.veevavault.com/ui/#object/email_activity__v/V8C000000049463", "EN-002105720")</f>
        <v>EN-002105720</v>
      </c>
    </row>
    <row r="3957" spans="1:15" ht="16" x14ac:dyDescent="0.2">
      <c r="A3957" s="18" t="str">
        <f>HYPERLINK("https://otsuka-europe-crm.veevavault.com/ui/#object/account__v/V4TZ06G6O71TBHT", "JOSE MARIA PEÑA PORTA")</f>
        <v>JOSE MARIA PEÑA PORTA</v>
      </c>
      <c r="B3957" s="18" t="str">
        <f>HYPERLINK("https://otsuka-europe-crm.veevavault.com/ui/#object/vcountry__v/VENZ000004SONF5", "ES")</f>
        <v>ES</v>
      </c>
      <c r="C3957" s="20" t="s">
        <v>39</v>
      </c>
      <c r="D395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57" s="22" t="str">
        <f>HYPERLINK("https://otsuka-europe-crm.veevavault.com/ui/#object/sent_email__v/VBL000000038035", "SE-001443573")</f>
        <v>SE-001443573</v>
      </c>
      <c r="F3957" s="25">
        <v>46216.775694444441</v>
      </c>
      <c r="G3957" s="24">
        <v>1</v>
      </c>
      <c r="H3957" s="24">
        <v>1</v>
      </c>
      <c r="I3957" s="24">
        <v>0</v>
      </c>
      <c r="J3957" s="23"/>
      <c r="K3957" s="24">
        <v>0</v>
      </c>
      <c r="L395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57" s="22" t="str">
        <f>HYPERLINK("mailto:gsammali@crm.otsuka-europe.com", "gsammali@crm.otsuka-europe.com")</f>
        <v>gsammali@crm.otsuka-europe.com</v>
      </c>
      <c r="N3957" s="25">
        <v>46216.430844907409</v>
      </c>
      <c r="O3957" s="14" t="str">
        <f>HYPERLINK("https://otsuka-europe-crm.veevavault.com/ui/#object/email_activity__v/V8C000000049135", "EN-002105144")</f>
        <v>EN-002105144</v>
      </c>
    </row>
    <row r="3958" spans="1:15" ht="16" x14ac:dyDescent="0.2">
      <c r="A3958" s="19"/>
      <c r="B3958" s="19"/>
      <c r="C3958" s="19"/>
      <c r="D3958" s="19"/>
      <c r="E3958" s="19"/>
      <c r="F3958" s="19"/>
      <c r="G3958" s="19"/>
      <c r="H3958" s="19"/>
      <c r="I3958" s="19"/>
      <c r="J3958" s="19"/>
      <c r="K3958" s="19"/>
      <c r="L3958" s="19"/>
      <c r="M3958" s="19"/>
      <c r="N3958" s="19"/>
      <c r="O3958" s="14" t="str">
        <f>HYPERLINK("https://otsuka-europe-crm.veevavault.com/ui/#object/email_activity__v/V8C000000049441", "EN-002105678")</f>
        <v>EN-002105678</v>
      </c>
    </row>
    <row r="3959" spans="1:15" ht="64" x14ac:dyDescent="0.2">
      <c r="A3959" s="7" t="str">
        <f>HYPERLINK("https://otsuka-europe-crm.veevavault.com/ui/#object/account__v/V4TZ025E87AAYME", "DAVID SALCEDO HERRERO")</f>
        <v>DAVID SALCEDO HERRERO</v>
      </c>
      <c r="B3959" s="7" t="str">
        <f>HYPERLINK("https://otsuka-europe-crm.veevavault.com/ui/#object/vcountry__v/VENZ000004SONF5", "ES")</f>
        <v>ES</v>
      </c>
      <c r="C3959" s="8" t="s">
        <v>39</v>
      </c>
      <c r="D395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59" s="10" t="str">
        <f>HYPERLINK("https://otsuka-europe-crm.veevavault.com/ui/#object/sent_email__v/VBL000000038036", "SE-001443574")</f>
        <v>SE-001443574</v>
      </c>
      <c r="F3959" s="11"/>
      <c r="G3959" s="12">
        <v>0</v>
      </c>
      <c r="H3959" s="12">
        <v>0</v>
      </c>
      <c r="I3959" s="12">
        <v>0</v>
      </c>
      <c r="J3959" s="11"/>
      <c r="K3959" s="12">
        <v>0</v>
      </c>
      <c r="L395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59" s="10" t="str">
        <f>HYPERLINK("mailto:gsammali@crm.otsuka-europe.com", "gsammali@crm.otsuka-europe.com")</f>
        <v>gsammali@crm.otsuka-europe.com</v>
      </c>
      <c r="N3959" s="13">
        <v>46216.430844907409</v>
      </c>
      <c r="O3959" s="14" t="str">
        <f>HYPERLINK("https://otsuka-europe-crm.veevavault.com/ui/#object/email_activity__v/V8C000000049181", "EN-002105190")</f>
        <v>EN-002105190</v>
      </c>
    </row>
    <row r="3960" spans="1:15" ht="64" x14ac:dyDescent="0.2">
      <c r="A3960" s="7" t="str">
        <f>HYPERLINK("https://otsuka-europe-crm.veevavault.com/ui/#object/account__v/V4TZ06G6O71T85C", "MARIA CUFI VALLMAJOR")</f>
        <v>MARIA CUFI VALLMAJOR</v>
      </c>
      <c r="B3960" s="7" t="str">
        <f>HYPERLINK("https://otsuka-europe-crm.veevavault.com/ui/#object/vcountry__v/VENZ000004SONF5", "ES")</f>
        <v>ES</v>
      </c>
      <c r="C3960" s="8" t="s">
        <v>39</v>
      </c>
      <c r="D396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0" s="10" t="str">
        <f>HYPERLINK("https://otsuka-europe-crm.veevavault.com/ui/#object/sent_email__v/VBL000000038037", "SE-001443575")</f>
        <v>SE-001443575</v>
      </c>
      <c r="F3960" s="11"/>
      <c r="G3960" s="12">
        <v>0</v>
      </c>
      <c r="H3960" s="12">
        <v>0</v>
      </c>
      <c r="I3960" s="12">
        <v>0</v>
      </c>
      <c r="J3960" s="11"/>
      <c r="K3960" s="12">
        <v>0</v>
      </c>
      <c r="L396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0" s="10" t="str">
        <f>HYPERLINK("mailto:gsammali@crm.otsuka-europe.com", "gsammali@crm.otsuka-europe.com")</f>
        <v>gsammali@crm.otsuka-europe.com</v>
      </c>
      <c r="N3960" s="13">
        <v>46216.430844907409</v>
      </c>
      <c r="O3960" s="14" t="str">
        <f>HYPERLINK("https://otsuka-europe-crm.veevavault.com/ui/#object/email_activity__v/V8C000000049164", "EN-002105173")</f>
        <v>EN-002105173</v>
      </c>
    </row>
    <row r="3961" spans="1:15" ht="64" x14ac:dyDescent="0.2">
      <c r="A3961" s="7" t="str">
        <f>HYPERLINK("https://otsuka-europe-crm.veevavault.com/ui/#object/account__v/V4TZ06G6O71T967", "ANNA PATRICIA BALIUS MATAS")</f>
        <v>ANNA PATRICIA BALIUS MATAS</v>
      </c>
      <c r="B3961" s="7" t="str">
        <f>HYPERLINK("https://otsuka-europe-crm.veevavault.com/ui/#object/vcountry__v/VENZ000004SONF5", "ES")</f>
        <v>ES</v>
      </c>
      <c r="C3961" s="8" t="s">
        <v>39</v>
      </c>
      <c r="D396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1" s="10" t="str">
        <f>HYPERLINK("https://otsuka-europe-crm.veevavault.com/ui/#object/sent_email__v/VBL000000038038", "SE-001443576")</f>
        <v>SE-001443576</v>
      </c>
      <c r="F3961" s="11"/>
      <c r="G3961" s="12">
        <v>0</v>
      </c>
      <c r="H3961" s="12">
        <v>0</v>
      </c>
      <c r="I3961" s="12">
        <v>0</v>
      </c>
      <c r="J3961" s="11"/>
      <c r="K3961" s="12">
        <v>0</v>
      </c>
      <c r="L396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1" s="10" t="str">
        <f>HYPERLINK("mailto:gsammali@crm.otsuka-europe.com", "gsammali@crm.otsuka-europe.com")</f>
        <v>gsammali@crm.otsuka-europe.com</v>
      </c>
      <c r="N3961" s="13">
        <v>46216.430844907409</v>
      </c>
      <c r="O3961" s="14" t="str">
        <f>HYPERLINK("https://otsuka-europe-crm.veevavault.com/ui/#object/email_activity__v/V8C000000049165", "EN-002105174")</f>
        <v>EN-002105174</v>
      </c>
    </row>
    <row r="3962" spans="1:15" ht="16" x14ac:dyDescent="0.2">
      <c r="A3962" s="18" t="str">
        <f>HYPERLINK("https://otsuka-europe-crm.veevavault.com/ui/#object/account__v/V4TZ06G6O71TCKP", "MARIA PAU VALENZUELA MUJICA")</f>
        <v>MARIA PAU VALENZUELA MUJICA</v>
      </c>
      <c r="B3962" s="18" t="str">
        <f>HYPERLINK("https://otsuka-europe-crm.veevavault.com/ui/#object/vcountry__v/VENZ000004SONF5", "ES")</f>
        <v>ES</v>
      </c>
      <c r="C3962" s="20" t="s">
        <v>39</v>
      </c>
      <c r="D396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2" s="22" t="str">
        <f>HYPERLINK("https://otsuka-europe-crm.veevavault.com/ui/#object/sent_email__v/VBL000000038039", "SE-001443577")</f>
        <v>SE-001443577</v>
      </c>
      <c r="F3962" s="25">
        <v>46216.431458333333</v>
      </c>
      <c r="G3962" s="24">
        <v>1</v>
      </c>
      <c r="H3962" s="24">
        <v>1</v>
      </c>
      <c r="I3962" s="24">
        <v>0</v>
      </c>
      <c r="J3962" s="23"/>
      <c r="K3962" s="24">
        <v>0</v>
      </c>
      <c r="L396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2" s="22" t="str">
        <f>HYPERLINK("mailto:gsammali@crm.otsuka-europe.com", "gsammali@crm.otsuka-europe.com")</f>
        <v>gsammali@crm.otsuka-europe.com</v>
      </c>
      <c r="N3962" s="25">
        <v>46216.430879629632</v>
      </c>
      <c r="O3962" s="14" t="str">
        <f>HYPERLINK("https://otsuka-europe-crm.veevavault.com/ui/#object/email_activity__v/V8C000000049178", "EN-002105187")</f>
        <v>EN-002105187</v>
      </c>
    </row>
    <row r="3963" spans="1:15" ht="16" x14ac:dyDescent="0.2">
      <c r="A3963" s="19"/>
      <c r="B3963" s="19"/>
      <c r="C3963" s="19"/>
      <c r="D3963" s="19"/>
      <c r="E3963" s="19"/>
      <c r="F3963" s="19"/>
      <c r="G3963" s="19"/>
      <c r="H3963" s="19"/>
      <c r="I3963" s="19"/>
      <c r="J3963" s="19"/>
      <c r="K3963" s="19"/>
      <c r="L3963" s="19"/>
      <c r="M3963" s="19"/>
      <c r="N3963" s="19"/>
      <c r="O3963" s="14" t="str">
        <f>HYPERLINK("https://otsuka-europe-crm.veevavault.com/ui/#object/email_activity__v/V8C000000049215", "EN-002105224")</f>
        <v>EN-002105224</v>
      </c>
    </row>
    <row r="3964" spans="1:15" ht="64" x14ac:dyDescent="0.2">
      <c r="A3964" s="7" t="str">
        <f>HYPERLINK("https://otsuka-europe-crm.veevavault.com/ui/#object/account__v/V4TZ06G6O71T8DS", "LAURA MARTINEZ VALENZUELA")</f>
        <v>LAURA MARTINEZ VALENZUELA</v>
      </c>
      <c r="B3964" s="7" t="str">
        <f>HYPERLINK("https://otsuka-europe-crm.veevavault.com/ui/#object/vcountry__v/VENZ000004SONF5", "ES")</f>
        <v>ES</v>
      </c>
      <c r="C3964" s="8" t="s">
        <v>39</v>
      </c>
      <c r="D396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4" s="10" t="str">
        <f>HYPERLINK("https://otsuka-europe-crm.veevavault.com/ui/#object/sent_email__v/VBL000000038040", "SE-001443578")</f>
        <v>SE-001443578</v>
      </c>
      <c r="F3964" s="11"/>
      <c r="G3964" s="12">
        <v>0</v>
      </c>
      <c r="H3964" s="12">
        <v>0</v>
      </c>
      <c r="I3964" s="12">
        <v>0</v>
      </c>
      <c r="J3964" s="11"/>
      <c r="K3964" s="12">
        <v>0</v>
      </c>
      <c r="L396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4" s="10" t="str">
        <f>HYPERLINK("mailto:gsammali@crm.otsuka-europe.com", "gsammali@crm.otsuka-europe.com")</f>
        <v>gsammali@crm.otsuka-europe.com</v>
      </c>
      <c r="N3964" s="13">
        <v>46216.430844907409</v>
      </c>
      <c r="O3964" s="14" t="str">
        <f>HYPERLINK("https://otsuka-europe-crm.veevavault.com/ui/#object/email_activity__v/V8C000000049168", "EN-002105177")</f>
        <v>EN-002105177</v>
      </c>
    </row>
    <row r="3965" spans="1:15" ht="64" x14ac:dyDescent="0.2">
      <c r="A3965" s="7" t="str">
        <f>HYPERLINK("https://otsuka-europe-crm.veevavault.com/ui/#object/account__v/V4TZ06G6O71TBYV", "NEUS RODRIGUEZ FARRE")</f>
        <v>NEUS RODRIGUEZ FARRE</v>
      </c>
      <c r="B3965" s="7" t="str">
        <f>HYPERLINK("https://otsuka-europe-crm.veevavault.com/ui/#object/vcountry__v/VENZ000004SONF5", "ES")</f>
        <v>ES</v>
      </c>
      <c r="C3965" s="8" t="s">
        <v>39</v>
      </c>
      <c r="D396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5" s="10" t="str">
        <f>HYPERLINK("https://otsuka-europe-crm.veevavault.com/ui/#object/sent_email__v/VBL000000038041", "SE-001443579")</f>
        <v>SE-001443579</v>
      </c>
      <c r="F3965" s="11"/>
      <c r="G3965" s="12">
        <v>0</v>
      </c>
      <c r="H3965" s="12">
        <v>0</v>
      </c>
      <c r="I3965" s="12">
        <v>0</v>
      </c>
      <c r="J3965" s="11"/>
      <c r="K3965" s="12">
        <v>0</v>
      </c>
      <c r="L396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5" s="10" t="str">
        <f>HYPERLINK("mailto:gsammali@crm.otsuka-europe.com", "gsammali@crm.otsuka-europe.com")</f>
        <v>gsammali@crm.otsuka-europe.com</v>
      </c>
      <c r="N3965" s="13">
        <v>46216.430844907409</v>
      </c>
      <c r="O3965" s="14" t="str">
        <f>HYPERLINK("https://otsuka-europe-crm.veevavault.com/ui/#object/email_activity__v/V8C000000049204", "EN-002105213")</f>
        <v>EN-002105213</v>
      </c>
    </row>
    <row r="3966" spans="1:15" ht="16" x14ac:dyDescent="0.2">
      <c r="A3966" s="18" t="str">
        <f>HYPERLINK("https://otsuka-europe-crm.veevavault.com/ui/#object/account__v/V4TZ06G6O71T7BZ", "MARIA LAURA SALVETTI FERNANDEZ")</f>
        <v>MARIA LAURA SALVETTI FERNANDEZ</v>
      </c>
      <c r="B3966" s="18" t="str">
        <f>HYPERLINK("https://otsuka-europe-crm.veevavault.com/ui/#object/vcountry__v/VENZ000004SONF5", "ES")</f>
        <v>ES</v>
      </c>
      <c r="C3966" s="20" t="s">
        <v>39</v>
      </c>
      <c r="D396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6" s="22" t="str">
        <f>HYPERLINK("https://otsuka-europe-crm.veevavault.com/ui/#object/sent_email__v/VBL000000038042", "SE-001443580")</f>
        <v>SE-001443580</v>
      </c>
      <c r="F3966" s="25">
        <v>46216.617696759262</v>
      </c>
      <c r="G3966" s="24">
        <v>1</v>
      </c>
      <c r="H3966" s="24">
        <v>2</v>
      </c>
      <c r="I3966" s="24">
        <v>0</v>
      </c>
      <c r="J3966" s="23"/>
      <c r="K3966" s="24">
        <v>0</v>
      </c>
      <c r="L396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6" s="22" t="str">
        <f>HYPERLINK("mailto:gsammali@crm.otsuka-europe.com", "gsammali@crm.otsuka-europe.com")</f>
        <v>gsammali@crm.otsuka-europe.com</v>
      </c>
      <c r="N3966" s="25">
        <v>46216.430844907409</v>
      </c>
      <c r="O3966" s="14" t="str">
        <f>HYPERLINK("https://otsuka-europe-crm.veevavault.com/ui/#object/email_activity__v/V8C000000049170", "EN-002105179")</f>
        <v>EN-002105179</v>
      </c>
    </row>
    <row r="3967" spans="1:15" ht="16" x14ac:dyDescent="0.2">
      <c r="A3967" s="26"/>
      <c r="B3967" s="26"/>
      <c r="C3967" s="26"/>
      <c r="D3967" s="26"/>
      <c r="E3967" s="26"/>
      <c r="F3967" s="26"/>
      <c r="G3967" s="26"/>
      <c r="H3967" s="26"/>
      <c r="I3967" s="26"/>
      <c r="J3967" s="26"/>
      <c r="K3967" s="26"/>
      <c r="L3967" s="26"/>
      <c r="M3967" s="26"/>
      <c r="N3967" s="26"/>
      <c r="O3967" s="14" t="str">
        <f>HYPERLINK("https://otsuka-europe-crm.veevavault.com/ui/#object/email_activity__v/V8C000000049364", "EN-002105530")</f>
        <v>EN-002105530</v>
      </c>
    </row>
    <row r="3968" spans="1:15" ht="16" x14ac:dyDescent="0.2">
      <c r="A3968" s="19"/>
      <c r="B3968" s="19"/>
      <c r="C3968" s="19"/>
      <c r="D3968" s="19"/>
      <c r="E3968" s="19"/>
      <c r="F3968" s="19"/>
      <c r="G3968" s="19"/>
      <c r="H3968" s="19"/>
      <c r="I3968" s="19"/>
      <c r="J3968" s="19"/>
      <c r="K3968" s="19"/>
      <c r="L3968" s="19"/>
      <c r="M3968" s="19"/>
      <c r="N3968" s="19"/>
      <c r="O3968" s="14" t="str">
        <f>HYPERLINK("https://otsuka-europe-crm.veevavault.com/ui/#object/email_activity__v/V8C000000049366", "EN-002105532")</f>
        <v>EN-002105532</v>
      </c>
    </row>
    <row r="3969" spans="1:15" ht="64" x14ac:dyDescent="0.2">
      <c r="A3969" s="7" t="str">
        <f>HYPERLINK("https://otsuka-europe-crm.veevavault.com/ui/#object/account__v/V4TZ04ASG7NXN62", "JUDIT CACHO ALONSO")</f>
        <v>JUDIT CACHO ALONSO</v>
      </c>
      <c r="B3969" s="7" t="str">
        <f>HYPERLINK("https://otsuka-europe-crm.veevavault.com/ui/#object/vcountry__v/VENZ000004SONF5", "ES")</f>
        <v>ES</v>
      </c>
      <c r="C3969" s="8" t="s">
        <v>39</v>
      </c>
      <c r="D396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69" s="10" t="str">
        <f>HYPERLINK("https://otsuka-europe-crm.veevavault.com/ui/#object/sent_email__v/VBL000000038043", "SE-001443581")</f>
        <v>SE-001443581</v>
      </c>
      <c r="F3969" s="11"/>
      <c r="G3969" s="12">
        <v>0</v>
      </c>
      <c r="H3969" s="12">
        <v>0</v>
      </c>
      <c r="I3969" s="12">
        <v>0</v>
      </c>
      <c r="J3969" s="11"/>
      <c r="K3969" s="12">
        <v>0</v>
      </c>
      <c r="L396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69" s="10" t="str">
        <f>HYPERLINK("mailto:gsammali@crm.otsuka-europe.com", "gsammali@crm.otsuka-europe.com")</f>
        <v>gsammali@crm.otsuka-europe.com</v>
      </c>
      <c r="N3969" s="13">
        <v>46216.430844907409</v>
      </c>
      <c r="O3969" s="14" t="str">
        <f>HYPERLINK("https://otsuka-europe-crm.veevavault.com/ui/#object/email_activity__v/V8C000000049140", "EN-002105149")</f>
        <v>EN-002105149</v>
      </c>
    </row>
    <row r="3970" spans="1:15" ht="16" x14ac:dyDescent="0.2">
      <c r="A3970" s="18" t="str">
        <f>HYPERLINK("https://otsuka-europe-crm.veevavault.com/ui/#object/account__v/V4TZ06G6O71TAVP", "MARIA PILAR MARTIN AZARA")</f>
        <v>MARIA PILAR MARTIN AZARA</v>
      </c>
      <c r="B3970" s="18" t="str">
        <f>HYPERLINK("https://otsuka-europe-crm.veevavault.com/ui/#object/vcountry__v/VENZ000004SONF5", "ES")</f>
        <v>ES</v>
      </c>
      <c r="C3970" s="20" t="s">
        <v>39</v>
      </c>
      <c r="D397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70" s="22" t="str">
        <f>HYPERLINK("https://otsuka-europe-crm.veevavault.com/ui/#object/sent_email__v/VBL000000038044", "SE-001443582")</f>
        <v>SE-001443582</v>
      </c>
      <c r="F3970" s="23"/>
      <c r="G3970" s="24">
        <v>0</v>
      </c>
      <c r="H3970" s="24">
        <v>0</v>
      </c>
      <c r="I3970" s="24">
        <v>0</v>
      </c>
      <c r="J3970" s="23"/>
      <c r="K3970" s="24">
        <v>0</v>
      </c>
      <c r="L397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70" s="22" t="str">
        <f>HYPERLINK("mailto:gsammali@crm.otsuka-europe.com", "gsammali@crm.otsuka-europe.com")</f>
        <v>gsammali@crm.otsuka-europe.com</v>
      </c>
      <c r="N3970" s="25">
        <v>46216.430844907409</v>
      </c>
      <c r="O3970" s="14" t="str">
        <f>HYPERLINK("https://otsuka-europe-crm.veevavault.com/ui/#object/email_activity__v/V8C000000049193", "EN-002105202")</f>
        <v>EN-002105202</v>
      </c>
    </row>
    <row r="3971" spans="1:15" ht="16" x14ac:dyDescent="0.2">
      <c r="A3971" s="19"/>
      <c r="B3971" s="19"/>
      <c r="C3971" s="19"/>
      <c r="D3971" s="19"/>
      <c r="E3971" s="19"/>
      <c r="F3971" s="19"/>
      <c r="G3971" s="19"/>
      <c r="H3971" s="19"/>
      <c r="I3971" s="19"/>
      <c r="J3971" s="19"/>
      <c r="K3971" s="19"/>
      <c r="L3971" s="19"/>
      <c r="M3971" s="19"/>
      <c r="N3971" s="19"/>
      <c r="O3971" s="14" t="str">
        <f>HYPERLINK("https://otsuka-europe-crm.veevavault.com/ui/#object/email_activity__v/V8C00000004A276", "EN-002105473")</f>
        <v>EN-002105473</v>
      </c>
    </row>
    <row r="3972" spans="1:15" ht="64" x14ac:dyDescent="0.2">
      <c r="A3972" s="7" t="str">
        <f>HYPERLINK("https://otsuka-europe-crm.veevavault.com/ui/#object/account__v/V4TZ025E85G7QK9", "KATHERYN ISABEL MEMBREÑO BLANDON")</f>
        <v>KATHERYN ISABEL MEMBREÑO BLANDON</v>
      </c>
      <c r="B3972" s="7" t="str">
        <f>HYPERLINK("https://otsuka-europe-crm.veevavault.com/ui/#object/vcountry__v/VENZ000004SONF5", "ES")</f>
        <v>ES</v>
      </c>
      <c r="C3972" s="8" t="s">
        <v>39</v>
      </c>
      <c r="D397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72" s="10" t="str">
        <f>HYPERLINK("https://otsuka-europe-crm.veevavault.com/ui/#object/sent_email__v/VBL000000038045", "SE-001443583")</f>
        <v>SE-001443583</v>
      </c>
      <c r="F3972" s="11"/>
      <c r="G3972" s="12">
        <v>0</v>
      </c>
      <c r="H3972" s="12">
        <v>0</v>
      </c>
      <c r="I3972" s="12">
        <v>0</v>
      </c>
      <c r="J3972" s="11"/>
      <c r="K3972" s="12">
        <v>0</v>
      </c>
      <c r="L397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72" s="10" t="str">
        <f>HYPERLINK("mailto:gsammali@crm.otsuka-europe.com", "gsammali@crm.otsuka-europe.com")</f>
        <v>gsammali@crm.otsuka-europe.com</v>
      </c>
      <c r="N3972" s="13">
        <v>46216.430844907409</v>
      </c>
      <c r="O3972" s="14" t="str">
        <f>HYPERLINK("https://otsuka-europe-crm.veevavault.com/ui/#object/email_activity__v/V8C000000049123", "EN-002105132")</f>
        <v>EN-002105132</v>
      </c>
    </row>
    <row r="3973" spans="1:15" ht="16" x14ac:dyDescent="0.2">
      <c r="A3973" s="18" t="str">
        <f>HYPERLINK("https://otsuka-europe-crm.veevavault.com/ui/#object/account__v/V4TZ06G6O71TATP", "LUIS MIGUEL LOU ARNAL")</f>
        <v>LUIS MIGUEL LOU ARNAL</v>
      </c>
      <c r="B3973" s="18" t="str">
        <f>HYPERLINK("https://otsuka-europe-crm.veevavault.com/ui/#object/vcountry__v/VENZ000004SONF5", "ES")</f>
        <v>ES</v>
      </c>
      <c r="C3973" s="20" t="s">
        <v>39</v>
      </c>
      <c r="D397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73" s="22" t="str">
        <f>HYPERLINK("https://otsuka-europe-crm.veevavault.com/ui/#object/sent_email__v/VBL000000038046", "SE-001443584")</f>
        <v>SE-001443584</v>
      </c>
      <c r="F3973" s="25">
        <v>46216.43141203704</v>
      </c>
      <c r="G3973" s="24">
        <v>1</v>
      </c>
      <c r="H3973" s="24">
        <v>1</v>
      </c>
      <c r="I3973" s="24">
        <v>0</v>
      </c>
      <c r="J3973" s="23"/>
      <c r="K3973" s="24">
        <v>0</v>
      </c>
      <c r="L397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73" s="22" t="str">
        <f>HYPERLINK("mailto:gsammali@crm.otsuka-europe.com", "gsammali@crm.otsuka-europe.com")</f>
        <v>gsammali@crm.otsuka-europe.com</v>
      </c>
      <c r="N3973" s="25">
        <v>46216.430844907409</v>
      </c>
      <c r="O3973" s="14" t="str">
        <f>HYPERLINK("https://otsuka-europe-crm.veevavault.com/ui/#object/email_activity__v/V8C000000049198", "EN-002105207")</f>
        <v>EN-002105207</v>
      </c>
    </row>
    <row r="3974" spans="1:15" ht="16" x14ac:dyDescent="0.2">
      <c r="A3974" s="19"/>
      <c r="B3974" s="19"/>
      <c r="C3974" s="19"/>
      <c r="D3974" s="19"/>
      <c r="E3974" s="19"/>
      <c r="F3974" s="19"/>
      <c r="G3974" s="19"/>
      <c r="H3974" s="19"/>
      <c r="I3974" s="19"/>
      <c r="J3974" s="19"/>
      <c r="K3974" s="19"/>
      <c r="L3974" s="19"/>
      <c r="M3974" s="19"/>
      <c r="N3974" s="19"/>
      <c r="O3974" s="14" t="str">
        <f>HYPERLINK("https://otsuka-europe-crm.veevavault.com/ui/#object/email_activity__v/V8C000000049212", "EN-002105221")</f>
        <v>EN-002105221</v>
      </c>
    </row>
    <row r="3975" spans="1:15" ht="16" x14ac:dyDescent="0.2">
      <c r="A3975" s="18" t="str">
        <f>HYPERLINK("https://otsuka-europe-crm.veevavault.com/ui/#object/account__v/V4TZ06G6O71TADO", "CRISTINA CABRERA LOPEZ")</f>
        <v>CRISTINA CABRERA LOPEZ</v>
      </c>
      <c r="B3975" s="18" t="str">
        <f>HYPERLINK("https://otsuka-europe-crm.veevavault.com/ui/#object/vcountry__v/VENZ000004SONF5", "ES")</f>
        <v>ES</v>
      </c>
      <c r="C3975" s="20" t="s">
        <v>39</v>
      </c>
      <c r="D39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75" s="22" t="str">
        <f>HYPERLINK("https://otsuka-europe-crm.veevavault.com/ui/#object/sent_email__v/VBL000000038047", "SE-001443585")</f>
        <v>SE-001443585</v>
      </c>
      <c r="F3975" s="23"/>
      <c r="G3975" s="24">
        <v>0</v>
      </c>
      <c r="H3975" s="24">
        <v>0</v>
      </c>
      <c r="I3975" s="24">
        <v>0</v>
      </c>
      <c r="J3975" s="23"/>
      <c r="K3975" s="24">
        <v>0</v>
      </c>
      <c r="L39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75" s="22" t="str">
        <f>HYPERLINK("mailto:gsammali@crm.otsuka-europe.com", "gsammali@crm.otsuka-europe.com")</f>
        <v>gsammali@crm.otsuka-europe.com</v>
      </c>
      <c r="N3975" s="25">
        <v>46216.430844907409</v>
      </c>
      <c r="O3975" s="14" t="str">
        <f>HYPERLINK("https://otsuka-europe-crm.veevavault.com/ui/#object/email_activity__v/V8C000000049148", "EN-002105158")</f>
        <v>EN-002105158</v>
      </c>
    </row>
    <row r="3976" spans="1:15" ht="16" x14ac:dyDescent="0.2">
      <c r="A3976" s="26"/>
      <c r="B3976" s="26"/>
      <c r="C3976" s="26"/>
      <c r="D3976" s="26"/>
      <c r="E3976" s="26"/>
      <c r="F3976" s="26"/>
      <c r="G3976" s="26"/>
      <c r="H3976" s="26"/>
      <c r="I3976" s="26"/>
      <c r="J3976" s="26"/>
      <c r="K3976" s="26"/>
      <c r="L3976" s="26"/>
      <c r="M3976" s="26"/>
      <c r="N3976" s="26"/>
      <c r="O3976" s="14" t="str">
        <f>HYPERLINK("https://otsuka-europe-crm.veevavault.com/ui/#object/email_activity__v/V8C00000004B296", "EN-002107247")</f>
        <v>EN-002107247</v>
      </c>
    </row>
    <row r="3977" spans="1:15" ht="16" x14ac:dyDescent="0.2">
      <c r="A3977" s="26"/>
      <c r="B3977" s="26"/>
      <c r="C3977" s="26"/>
      <c r="D3977" s="26"/>
      <c r="E3977" s="26"/>
      <c r="F3977" s="26"/>
      <c r="G3977" s="26"/>
      <c r="H3977" s="26"/>
      <c r="I3977" s="26"/>
      <c r="J3977" s="26"/>
      <c r="K3977" s="26"/>
      <c r="L3977" s="26"/>
      <c r="M3977" s="26"/>
      <c r="N3977" s="26"/>
      <c r="O3977" s="14" t="str">
        <f>HYPERLINK("https://otsuka-europe-crm.veevavault.com/ui/#object/email_activity__v/V8C00000004C223", "EN-002107246")</f>
        <v>EN-002107246</v>
      </c>
    </row>
    <row r="3978" spans="1:15" ht="16" x14ac:dyDescent="0.2">
      <c r="A3978" s="19"/>
      <c r="B3978" s="19"/>
      <c r="C3978" s="19"/>
      <c r="D3978" s="19"/>
      <c r="E3978" s="19"/>
      <c r="F3978" s="19"/>
      <c r="G3978" s="19"/>
      <c r="H3978" s="19"/>
      <c r="I3978" s="19"/>
      <c r="J3978" s="19"/>
      <c r="K3978" s="19"/>
      <c r="L3978" s="19"/>
      <c r="M3978" s="19"/>
      <c r="N3978" s="19"/>
      <c r="O3978" s="14" t="str">
        <f>HYPERLINK("https://otsuka-europe-crm.veevavault.com/ui/#object/email_activity__v/V8C00000004C224", "EN-002107248")</f>
        <v>EN-002107248</v>
      </c>
    </row>
    <row r="3979" spans="1:15" ht="16" x14ac:dyDescent="0.2">
      <c r="A3979" s="18" t="str">
        <f>HYPERLINK("https://otsuka-europe-crm.veevavault.com/ui/#object/account__v/V4TZ06G6O71T7DD", "FATIMA NINETH MORENO GUZMAN")</f>
        <v>FATIMA NINETH MORENO GUZMAN</v>
      </c>
      <c r="B3979" s="18" t="str">
        <f>HYPERLINK("https://otsuka-europe-crm.veevavault.com/ui/#object/vcountry__v/VENZ000004SONF5", "ES")</f>
        <v>ES</v>
      </c>
      <c r="C3979" s="20" t="s">
        <v>39</v>
      </c>
      <c r="D397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79" s="22" t="str">
        <f>HYPERLINK("https://otsuka-europe-crm.veevavault.com/ui/#object/sent_email__v/VBL000000038048", "SE-001443586")</f>
        <v>SE-001443586</v>
      </c>
      <c r="F3979" s="23"/>
      <c r="G3979" s="24">
        <v>0</v>
      </c>
      <c r="H3979" s="24">
        <v>0</v>
      </c>
      <c r="I3979" s="24">
        <v>0</v>
      </c>
      <c r="J3979" s="23"/>
      <c r="K3979" s="24">
        <v>0</v>
      </c>
      <c r="L397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79" s="22" t="str">
        <f>HYPERLINK("mailto:gsammali@crm.otsuka-europe.com", "gsammali@crm.otsuka-europe.com")</f>
        <v>gsammali@crm.otsuka-europe.com</v>
      </c>
      <c r="N3979" s="25">
        <v>46216.430844907409</v>
      </c>
      <c r="O3979" s="14" t="str">
        <f>HYPERLINK("https://otsuka-europe-crm.veevavault.com/ui/#object/email_activity__v/V8C000000049120", "EN-002105129")</f>
        <v>EN-002105129</v>
      </c>
    </row>
    <row r="3980" spans="1:15" ht="16" x14ac:dyDescent="0.2">
      <c r="A3980" s="19"/>
      <c r="B3980" s="19"/>
      <c r="C3980" s="19"/>
      <c r="D3980" s="19"/>
      <c r="E3980" s="19"/>
      <c r="F3980" s="19"/>
      <c r="G3980" s="19"/>
      <c r="H3980" s="19"/>
      <c r="I3980" s="19"/>
      <c r="J3980" s="19"/>
      <c r="K3980" s="19"/>
      <c r="L3980" s="19"/>
      <c r="M3980" s="19"/>
      <c r="N3980" s="19"/>
      <c r="O3980" s="14" t="str">
        <f>HYPERLINK("https://otsuka-europe-crm.veevavault.com/ui/#object/email_activity__v/V8C000000049327", "EN-002105460")</f>
        <v>EN-002105460</v>
      </c>
    </row>
    <row r="3981" spans="1:15" ht="64" x14ac:dyDescent="0.2">
      <c r="A3981" s="7" t="str">
        <f>HYPERLINK("https://otsuka-europe-crm.veevavault.com/ui/#object/account__v/V4TZ06G6O71TCEF", "ANNA SAURINA SOLE")</f>
        <v>ANNA SAURINA SOLE</v>
      </c>
      <c r="B3981" s="7" t="str">
        <f>HYPERLINK("https://otsuka-europe-crm.veevavault.com/ui/#object/vcountry__v/VENZ000004SONF5", "ES")</f>
        <v>ES</v>
      </c>
      <c r="C3981" s="8" t="s">
        <v>39</v>
      </c>
      <c r="D398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81" s="10" t="str">
        <f>HYPERLINK("https://otsuka-europe-crm.veevavault.com/ui/#object/sent_email__v/VBL000000038049", "SE-001443587")</f>
        <v>SE-001443587</v>
      </c>
      <c r="F3981" s="11"/>
      <c r="G3981" s="12">
        <v>0</v>
      </c>
      <c r="H3981" s="12">
        <v>0</v>
      </c>
      <c r="I3981" s="12">
        <v>0</v>
      </c>
      <c r="J3981" s="11"/>
      <c r="K3981" s="12">
        <v>0</v>
      </c>
      <c r="L398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81" s="10" t="str">
        <f>HYPERLINK("mailto:gsammali@crm.otsuka-europe.com", "gsammali@crm.otsuka-europe.com")</f>
        <v>gsammali@crm.otsuka-europe.com</v>
      </c>
      <c r="N3981" s="13">
        <v>46216.430844907409</v>
      </c>
      <c r="O3981" s="14" t="str">
        <f>HYPERLINK("https://otsuka-europe-crm.veevavault.com/ui/#object/email_activity__v/V8C000000049205", "EN-002105214")</f>
        <v>EN-002105214</v>
      </c>
    </row>
    <row r="3982" spans="1:15" ht="16" x14ac:dyDescent="0.2">
      <c r="A3982" s="18" t="str">
        <f>HYPERLINK("https://otsuka-europe-crm.veevavault.com/ui/#object/account__v/V4TZ025E82ISIXW", "DIANA SALOME OLEAS VEGA")</f>
        <v>DIANA SALOME OLEAS VEGA</v>
      </c>
      <c r="B3982" s="18" t="str">
        <f>HYPERLINK("https://otsuka-europe-crm.veevavault.com/ui/#object/vcountry__v/VENZ000004SONF5", "ES")</f>
        <v>ES</v>
      </c>
      <c r="C3982" s="20" t="s">
        <v>39</v>
      </c>
      <c r="D398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82" s="22" t="str">
        <f>HYPERLINK("https://otsuka-europe-crm.veevavault.com/ui/#object/sent_email__v/VBL000000038050", "SE-001443588")</f>
        <v>SE-001443588</v>
      </c>
      <c r="F3982" s="23"/>
      <c r="G3982" s="24">
        <v>0</v>
      </c>
      <c r="H3982" s="24">
        <v>0</v>
      </c>
      <c r="I3982" s="24">
        <v>0</v>
      </c>
      <c r="J3982" s="23"/>
      <c r="K3982" s="24">
        <v>0</v>
      </c>
      <c r="L398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82" s="22" t="str">
        <f>HYPERLINK("mailto:gsammali@crm.otsuka-europe.com", "gsammali@crm.otsuka-europe.com")</f>
        <v>gsammali@crm.otsuka-europe.com</v>
      </c>
      <c r="N3982" s="25">
        <v>46216.430844907409</v>
      </c>
      <c r="O3982" s="14" t="str">
        <f>HYPERLINK("https://otsuka-europe-crm.veevavault.com/ui/#object/email_activity__v/V8C000000049157", "EN-002105166")</f>
        <v>EN-002105166</v>
      </c>
    </row>
    <row r="3983" spans="1:15" ht="16" x14ac:dyDescent="0.2">
      <c r="A3983" s="19"/>
      <c r="B3983" s="19"/>
      <c r="C3983" s="19"/>
      <c r="D3983" s="19"/>
      <c r="E3983" s="19"/>
      <c r="F3983" s="19"/>
      <c r="G3983" s="19"/>
      <c r="H3983" s="19"/>
      <c r="I3983" s="19"/>
      <c r="J3983" s="19"/>
      <c r="K3983" s="19"/>
      <c r="L3983" s="19"/>
      <c r="M3983" s="19"/>
      <c r="N3983" s="19"/>
      <c r="O3983" s="14" t="str">
        <f>HYPERLINK("https://otsuka-europe-crm.veevavault.com/ui/#object/email_activity__v/V8C00000004A181", "EN-002105281")</f>
        <v>EN-002105281</v>
      </c>
    </row>
    <row r="3984" spans="1:15" ht="64" x14ac:dyDescent="0.2">
      <c r="A3984" s="7" t="str">
        <f>HYPERLINK("https://otsuka-europe-crm.veevavault.com/ui/#object/account__v/V4TZ025E82A4P65", "DAVID ANDRE AZUBELL")</f>
        <v>DAVID ANDRE AZUBELL</v>
      </c>
      <c r="B3984" s="7" t="str">
        <f>HYPERLINK("https://otsuka-europe-crm.veevavault.com/ui/#object/vcountry__v/VENZ000004SONF5", "ES")</f>
        <v>ES</v>
      </c>
      <c r="C3984" s="8" t="s">
        <v>39</v>
      </c>
      <c r="D398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84" s="10" t="str">
        <f>HYPERLINK("https://otsuka-europe-crm.veevavault.com/ui/#object/sent_email__v/VBL000000038051", "SE-001443589")</f>
        <v>SE-001443589</v>
      </c>
      <c r="F3984" s="11"/>
      <c r="G3984" s="12">
        <v>0</v>
      </c>
      <c r="H3984" s="12">
        <v>0</v>
      </c>
      <c r="I3984" s="12">
        <v>0</v>
      </c>
      <c r="J3984" s="11"/>
      <c r="K3984" s="12">
        <v>0</v>
      </c>
      <c r="L398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84" s="10" t="str">
        <f>HYPERLINK("mailto:gsammali@crm.otsuka-europe.com", "gsammali@crm.otsuka-europe.com")</f>
        <v>gsammali@crm.otsuka-europe.com</v>
      </c>
      <c r="N3984" s="13">
        <v>46216.430844907409</v>
      </c>
      <c r="O3984" s="14" t="str">
        <f>HYPERLINK("https://otsuka-europe-crm.veevavault.com/ui/#object/email_activity__v/V8C000000049146", "EN-002105156")</f>
        <v>EN-002105156</v>
      </c>
    </row>
    <row r="3985" spans="1:15" ht="16" x14ac:dyDescent="0.2">
      <c r="A3985" s="18" t="str">
        <f>HYPERLINK("https://otsuka-europe-crm.veevavault.com/ui/#object/account__v/V4TZ025E83A598Y", "ANTONIO MIGUEL GARCIA BUENO")</f>
        <v>ANTONIO MIGUEL GARCIA BUENO</v>
      </c>
      <c r="B3985" s="18" t="str">
        <f>HYPERLINK("https://otsuka-europe-crm.veevavault.com/ui/#object/vcountry__v/VENZ000004SONF5", "ES")</f>
        <v>ES</v>
      </c>
      <c r="C3985" s="20" t="s">
        <v>39</v>
      </c>
      <c r="D398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85" s="22" t="str">
        <f>HYPERLINK("https://otsuka-europe-crm.veevavault.com/ui/#object/sent_email__v/VBL000000038052", "SE-001443590")</f>
        <v>SE-001443590</v>
      </c>
      <c r="F3985" s="25">
        <v>46216.681527777779</v>
      </c>
      <c r="G3985" s="24">
        <v>1</v>
      </c>
      <c r="H3985" s="24">
        <v>4</v>
      </c>
      <c r="I3985" s="24">
        <v>1</v>
      </c>
      <c r="J3985" s="25">
        <v>46216.430995370371</v>
      </c>
      <c r="K3985" s="24">
        <v>2</v>
      </c>
      <c r="L398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85" s="22" t="str">
        <f>HYPERLINK("mailto:gsammali@crm.otsuka-europe.com", "gsammali@crm.otsuka-europe.com")</f>
        <v>gsammali@crm.otsuka-europe.com</v>
      </c>
      <c r="N3985" s="25">
        <v>46216.430844907409</v>
      </c>
      <c r="O3985" s="14" t="str">
        <f>HYPERLINK("https://otsuka-europe-crm.veevavault.com/ui/#object/email_activity__v/V8C000000049151", "EN-002105161")</f>
        <v>EN-002105161</v>
      </c>
    </row>
    <row r="3986" spans="1:15" ht="16" x14ac:dyDescent="0.2">
      <c r="A3986" s="26"/>
      <c r="B3986" s="26"/>
      <c r="C3986" s="26"/>
      <c r="D3986" s="26"/>
      <c r="E3986" s="26"/>
      <c r="F3986" s="26"/>
      <c r="G3986" s="26"/>
      <c r="H3986" s="26"/>
      <c r="I3986" s="26"/>
      <c r="J3986" s="26"/>
      <c r="K3986" s="26"/>
      <c r="L3986" s="26"/>
      <c r="M3986" s="26"/>
      <c r="N3986" s="26"/>
      <c r="O3986" s="14" t="str">
        <f>HYPERLINK("https://otsuka-europe-crm.veevavault.com/ui/#object/email_activity__v/V8C000000049152", "EN-002105155")</f>
        <v>EN-002105155</v>
      </c>
    </row>
    <row r="3987" spans="1:15" ht="16" x14ac:dyDescent="0.2">
      <c r="A3987" s="26"/>
      <c r="B3987" s="26"/>
      <c r="C3987" s="26"/>
      <c r="D3987" s="26"/>
      <c r="E3987" s="26"/>
      <c r="F3987" s="26"/>
      <c r="G3987" s="26"/>
      <c r="H3987" s="26"/>
      <c r="I3987" s="26"/>
      <c r="J3987" s="26"/>
      <c r="K3987" s="26"/>
      <c r="L3987" s="26"/>
      <c r="M3987" s="26"/>
      <c r="N3987" s="26"/>
      <c r="O3987" s="14" t="str">
        <f>HYPERLINK("https://otsuka-europe-crm.veevavault.com/ui/#object/email_activity__v/V8C000000049192", "EN-002105201")</f>
        <v>EN-002105201</v>
      </c>
    </row>
    <row r="3988" spans="1:15" ht="16" x14ac:dyDescent="0.2">
      <c r="A3988" s="26"/>
      <c r="B3988" s="26"/>
      <c r="C3988" s="26"/>
      <c r="D3988" s="26"/>
      <c r="E3988" s="26"/>
      <c r="F3988" s="26"/>
      <c r="G3988" s="26"/>
      <c r="H3988" s="26"/>
      <c r="I3988" s="26"/>
      <c r="J3988" s="26"/>
      <c r="K3988" s="26"/>
      <c r="L3988" s="26"/>
      <c r="M3988" s="26"/>
      <c r="N3988" s="26"/>
      <c r="O3988" s="14" t="str">
        <f>HYPERLINK("https://otsuka-europe-crm.veevavault.com/ui/#object/email_activity__v/V8C000000049197", "EN-002105206")</f>
        <v>EN-002105206</v>
      </c>
    </row>
    <row r="3989" spans="1:15" ht="16" x14ac:dyDescent="0.2">
      <c r="A3989" s="26"/>
      <c r="B3989" s="26"/>
      <c r="C3989" s="26"/>
      <c r="D3989" s="26"/>
      <c r="E3989" s="26"/>
      <c r="F3989" s="26"/>
      <c r="G3989" s="26"/>
      <c r="H3989" s="26"/>
      <c r="I3989" s="26"/>
      <c r="J3989" s="26"/>
      <c r="K3989" s="26"/>
      <c r="L3989" s="26"/>
      <c r="M3989" s="26"/>
      <c r="N3989" s="26"/>
      <c r="O3989" s="14" t="str">
        <f>HYPERLINK("https://otsuka-europe-crm.veevavault.com/ui/#object/email_activity__v/V8C000000049202", "EN-002105211")</f>
        <v>EN-002105211</v>
      </c>
    </row>
    <row r="3990" spans="1:15" ht="16" x14ac:dyDescent="0.2">
      <c r="A3990" s="26"/>
      <c r="B3990" s="26"/>
      <c r="C3990" s="26"/>
      <c r="D3990" s="26"/>
      <c r="E3990" s="26"/>
      <c r="F3990" s="26"/>
      <c r="G3990" s="26"/>
      <c r="H3990" s="26"/>
      <c r="I3990" s="26"/>
      <c r="J3990" s="26"/>
      <c r="K3990" s="26"/>
      <c r="L3990" s="26"/>
      <c r="M3990" s="26"/>
      <c r="N3990" s="26"/>
      <c r="O3990" s="14" t="str">
        <f>HYPERLINK("https://otsuka-europe-crm.veevavault.com/ui/#object/email_activity__v/V8C000000049208", "EN-002105217")</f>
        <v>EN-002105217</v>
      </c>
    </row>
    <row r="3991" spans="1:15" ht="16" x14ac:dyDescent="0.2">
      <c r="A3991" s="26"/>
      <c r="B3991" s="26"/>
      <c r="C3991" s="26"/>
      <c r="D3991" s="26"/>
      <c r="E3991" s="26"/>
      <c r="F3991" s="26"/>
      <c r="G3991" s="26"/>
      <c r="H3991" s="26"/>
      <c r="I3991" s="26"/>
      <c r="J3991" s="26"/>
      <c r="K3991" s="26"/>
      <c r="L3991" s="26"/>
      <c r="M3991" s="26"/>
      <c r="N3991" s="26"/>
      <c r="O3991" s="14" t="str">
        <f>HYPERLINK("https://otsuka-europe-crm.veevavault.com/ui/#object/email_activity__v/V8C000000049405", "EN-002105585")</f>
        <v>EN-002105585</v>
      </c>
    </row>
    <row r="3992" spans="1:15" ht="16" x14ac:dyDescent="0.2">
      <c r="A3992" s="19"/>
      <c r="B3992" s="19"/>
      <c r="C3992" s="19"/>
      <c r="D3992" s="19"/>
      <c r="E3992" s="19"/>
      <c r="F3992" s="19"/>
      <c r="G3992" s="19"/>
      <c r="H3992" s="19"/>
      <c r="I3992" s="19"/>
      <c r="J3992" s="19"/>
      <c r="K3992" s="19"/>
      <c r="L3992" s="19"/>
      <c r="M3992" s="19"/>
      <c r="N3992" s="19"/>
      <c r="O3992" s="14" t="str">
        <f>HYPERLINK("https://otsuka-europe-crm.veevavault.com/ui/#object/email_activity__v/V8C00000004A398", "EN-002105730")</f>
        <v>EN-002105730</v>
      </c>
    </row>
    <row r="3993" spans="1:15" ht="16" x14ac:dyDescent="0.2">
      <c r="A3993" s="18" t="str">
        <f>HYPERLINK("https://otsuka-europe-crm.veevavault.com/ui/#object/account__v/V4TZ025E85FYDU2", "ANGELA ERASO NAJERA")</f>
        <v>ANGELA ERASO NAJERA</v>
      </c>
      <c r="B3993" s="18" t="str">
        <f>HYPERLINK("https://otsuka-europe-crm.veevavault.com/ui/#object/vcountry__v/VENZ000004SONF5", "ES")</f>
        <v>ES</v>
      </c>
      <c r="C3993" s="20" t="s">
        <v>39</v>
      </c>
      <c r="D399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93" s="22" t="str">
        <f>HYPERLINK("https://otsuka-europe-crm.veevavault.com/ui/#object/sent_email__v/VBL000000038053", "SE-001443591")</f>
        <v>SE-001443591</v>
      </c>
      <c r="F3993" s="25">
        <v>46216.431944444441</v>
      </c>
      <c r="G3993" s="24">
        <v>1</v>
      </c>
      <c r="H3993" s="24">
        <v>2</v>
      </c>
      <c r="I3993" s="24">
        <v>0</v>
      </c>
      <c r="J3993" s="23"/>
      <c r="K3993" s="24">
        <v>0</v>
      </c>
      <c r="L399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93" s="22" t="str">
        <f>HYPERLINK("mailto:gsammali@crm.otsuka-europe.com", "gsammali@crm.otsuka-europe.com")</f>
        <v>gsammali@crm.otsuka-europe.com</v>
      </c>
      <c r="N3993" s="25">
        <v>46216.430844907409</v>
      </c>
      <c r="O3993" s="14" t="str">
        <f>HYPERLINK("https://otsuka-europe-crm.veevavault.com/ui/#object/email_activity__v/V8C000000049169", "EN-002105178")</f>
        <v>EN-002105178</v>
      </c>
    </row>
    <row r="3994" spans="1:15" ht="16" x14ac:dyDescent="0.2">
      <c r="A3994" s="26"/>
      <c r="B3994" s="26"/>
      <c r="C3994" s="26"/>
      <c r="D3994" s="26"/>
      <c r="E3994" s="26"/>
      <c r="F3994" s="26"/>
      <c r="G3994" s="26"/>
      <c r="H3994" s="26"/>
      <c r="I3994" s="26"/>
      <c r="J3994" s="26"/>
      <c r="K3994" s="26"/>
      <c r="L3994" s="26"/>
      <c r="M3994" s="26"/>
      <c r="N3994" s="26"/>
      <c r="O3994" s="14" t="str">
        <f>HYPERLINK("https://otsuka-europe-crm.veevavault.com/ui/#object/email_activity__v/V8C000000049210", "EN-002105219")</f>
        <v>EN-002105219</v>
      </c>
    </row>
    <row r="3995" spans="1:15" ht="16" x14ac:dyDescent="0.2">
      <c r="A3995" s="19"/>
      <c r="B3995" s="19"/>
      <c r="C3995" s="19"/>
      <c r="D3995" s="19"/>
      <c r="E3995" s="19"/>
      <c r="F3995" s="19"/>
      <c r="G3995" s="19"/>
      <c r="H3995" s="19"/>
      <c r="I3995" s="19"/>
      <c r="J3995" s="19"/>
      <c r="K3995" s="19"/>
      <c r="L3995" s="19"/>
      <c r="M3995" s="19"/>
      <c r="N3995" s="19"/>
      <c r="O3995" s="14" t="str">
        <f>HYPERLINK("https://otsuka-europe-crm.veevavault.com/ui/#object/email_activity__v/V8C000000049219", "EN-002105228")</f>
        <v>EN-002105228</v>
      </c>
    </row>
    <row r="3996" spans="1:15" ht="16" x14ac:dyDescent="0.2">
      <c r="A3996" s="18" t="str">
        <f>HYPERLINK("https://otsuka-europe-crm.veevavault.com/ui/#object/account__v/V4TZ06G6O71TCND", "MIGUEL HUESO VAL")</f>
        <v>MIGUEL HUESO VAL</v>
      </c>
      <c r="B3996" s="18" t="str">
        <f>HYPERLINK("https://otsuka-europe-crm.veevavault.com/ui/#object/vcountry__v/VENZ000004SONF5", "ES")</f>
        <v>ES</v>
      </c>
      <c r="C3996" s="20" t="s">
        <v>39</v>
      </c>
      <c r="D399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96" s="22" t="str">
        <f>HYPERLINK("https://otsuka-europe-crm.veevavault.com/ui/#object/sent_email__v/VBL000000038054", "SE-001443592")</f>
        <v>SE-001443592</v>
      </c>
      <c r="F3996" s="25">
        <v>46216.431481481479</v>
      </c>
      <c r="G3996" s="24">
        <v>1</v>
      </c>
      <c r="H3996" s="24">
        <v>1</v>
      </c>
      <c r="I3996" s="24">
        <v>0</v>
      </c>
      <c r="J3996" s="23"/>
      <c r="K3996" s="24">
        <v>0</v>
      </c>
      <c r="L399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96" s="22" t="str">
        <f>HYPERLINK("mailto:gsammali@crm.otsuka-europe.com", "gsammali@crm.otsuka-europe.com")</f>
        <v>gsammali@crm.otsuka-europe.com</v>
      </c>
      <c r="N3996" s="25">
        <v>46216.430844907409</v>
      </c>
      <c r="O3996" s="14" t="str">
        <f>HYPERLINK("https://otsuka-europe-crm.veevavault.com/ui/#object/email_activity__v/V8C000000049142", "EN-002105151")</f>
        <v>EN-002105151</v>
      </c>
    </row>
    <row r="3997" spans="1:15" ht="16" x14ac:dyDescent="0.2">
      <c r="A3997" s="19"/>
      <c r="B3997" s="19"/>
      <c r="C3997" s="19"/>
      <c r="D3997" s="19"/>
      <c r="E3997" s="19"/>
      <c r="F3997" s="19"/>
      <c r="G3997" s="19"/>
      <c r="H3997" s="19"/>
      <c r="I3997" s="19"/>
      <c r="J3997" s="19"/>
      <c r="K3997" s="19"/>
      <c r="L3997" s="19"/>
      <c r="M3997" s="19"/>
      <c r="N3997" s="19"/>
      <c r="O3997" s="14" t="str">
        <f>HYPERLINK("https://otsuka-europe-crm.veevavault.com/ui/#object/email_activity__v/V8C000000049216", "EN-002105225")</f>
        <v>EN-002105225</v>
      </c>
    </row>
    <row r="3998" spans="1:15" ht="16" x14ac:dyDescent="0.2">
      <c r="A3998" s="18" t="str">
        <f>HYPERLINK("https://otsuka-europe-crm.veevavault.com/ui/#object/account__v/V4TZ06G6O71T7OB", "ELIAS ALEJANDRO JATEM ESCALANTE")</f>
        <v>ELIAS ALEJANDRO JATEM ESCALANTE</v>
      </c>
      <c r="B3998" s="18" t="str">
        <f>HYPERLINK("https://otsuka-europe-crm.veevavault.com/ui/#object/vcountry__v/VENZ000004SONF5", "ES")</f>
        <v>ES</v>
      </c>
      <c r="C3998" s="20" t="s">
        <v>39</v>
      </c>
      <c r="D399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3998" s="22" t="str">
        <f>HYPERLINK("https://otsuka-europe-crm.veevavault.com/ui/#object/sent_email__v/VBL000000038055", "SE-001443593")</f>
        <v>SE-001443593</v>
      </c>
      <c r="F3998" s="25">
        <v>46216.430972222224</v>
      </c>
      <c r="G3998" s="24">
        <v>1</v>
      </c>
      <c r="H3998" s="24">
        <v>1</v>
      </c>
      <c r="I3998" s="24">
        <v>0</v>
      </c>
      <c r="J3998" s="23"/>
      <c r="K3998" s="24">
        <v>0</v>
      </c>
      <c r="L399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3998" s="22" t="str">
        <f>HYPERLINK("mailto:gsammali@crm.otsuka-europe.com", "gsammali@crm.otsuka-europe.com")</f>
        <v>gsammali@crm.otsuka-europe.com</v>
      </c>
      <c r="N3998" s="25">
        <v>46216.430844907409</v>
      </c>
      <c r="O3998" s="14" t="str">
        <f>HYPERLINK("https://otsuka-europe-crm.veevavault.com/ui/#object/email_activity__v/V8C000000049128", "EN-002105137")</f>
        <v>EN-002105137</v>
      </c>
    </row>
    <row r="3999" spans="1:15" ht="16" x14ac:dyDescent="0.2">
      <c r="A3999" s="19"/>
      <c r="B3999" s="19"/>
      <c r="C3999" s="19"/>
      <c r="D3999" s="19"/>
      <c r="E3999" s="19"/>
      <c r="F3999" s="19"/>
      <c r="G3999" s="19"/>
      <c r="H3999" s="19"/>
      <c r="I3999" s="19"/>
      <c r="J3999" s="19"/>
      <c r="K3999" s="19"/>
      <c r="L3999" s="19"/>
      <c r="M3999" s="19"/>
      <c r="N3999" s="19"/>
      <c r="O3999" s="14" t="str">
        <f>HYPERLINK("https://otsuka-europe-crm.veevavault.com/ui/#object/email_activity__v/V8C000000049196", "EN-002105205")</f>
        <v>EN-002105205</v>
      </c>
    </row>
    <row r="4000" spans="1:15" ht="64" x14ac:dyDescent="0.2">
      <c r="A4000" s="7" t="str">
        <f>HYPERLINK("https://otsuka-europe-crm.veevavault.com/ui/#object/account__v/V4TZ04ASGBNMVRN", "YANEL ADRIANA ACOSTA BAPTISTA")</f>
        <v>YANEL ADRIANA ACOSTA BAPTISTA</v>
      </c>
      <c r="B4000" s="7" t="str">
        <f>HYPERLINK("https://otsuka-europe-crm.veevavault.com/ui/#object/vcountry__v/VENZ000004SONF5", "ES")</f>
        <v>ES</v>
      </c>
      <c r="C4000" s="8" t="s">
        <v>39</v>
      </c>
      <c r="D400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00" s="10" t="str">
        <f>HYPERLINK("https://otsuka-europe-crm.veevavault.com/ui/#object/sent_email__v/VBL000000038056", "SE-001443594")</f>
        <v>SE-001443594</v>
      </c>
      <c r="F4000" s="11"/>
      <c r="G4000" s="12">
        <v>0</v>
      </c>
      <c r="H4000" s="12">
        <v>0</v>
      </c>
      <c r="I4000" s="12">
        <v>0</v>
      </c>
      <c r="J4000" s="11"/>
      <c r="K4000" s="12">
        <v>0</v>
      </c>
      <c r="L400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00" s="10" t="str">
        <f>HYPERLINK("mailto:gsammali@crm.otsuka-europe.com", "gsammali@crm.otsuka-europe.com")</f>
        <v>gsammali@crm.otsuka-europe.com</v>
      </c>
      <c r="N4000" s="13">
        <v>46216.430844907409</v>
      </c>
      <c r="O4000" s="14" t="str">
        <f>HYPERLINK("https://otsuka-europe-crm.veevavault.com/ui/#object/email_activity__v/V8C000000049159", "EN-002105168")</f>
        <v>EN-002105168</v>
      </c>
    </row>
    <row r="4001" spans="1:15" ht="16" x14ac:dyDescent="0.2">
      <c r="A4001" s="18" t="str">
        <f>HYPERLINK("https://otsuka-europe-crm.veevavault.com/ui/#object/account__v/V4TZ06G6O71TA49", "JORDINA GORRO CAELLES")</f>
        <v>JORDINA GORRO CAELLES</v>
      </c>
      <c r="B4001" s="18" t="str">
        <f>HYPERLINK("https://otsuka-europe-crm.veevavault.com/ui/#object/vcountry__v/VENZ000004SONF5", "ES")</f>
        <v>ES</v>
      </c>
      <c r="C4001" s="20" t="s">
        <v>39</v>
      </c>
      <c r="D400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01" s="22" t="str">
        <f>HYPERLINK("https://otsuka-europe-crm.veevavault.com/ui/#object/sent_email__v/VBL000000038057", "SE-001443595")</f>
        <v>SE-001443595</v>
      </c>
      <c r="F4001" s="25">
        <v>46216.438020833331</v>
      </c>
      <c r="G4001" s="24">
        <v>1</v>
      </c>
      <c r="H4001" s="24">
        <v>1</v>
      </c>
      <c r="I4001" s="24">
        <v>0</v>
      </c>
      <c r="J4001" s="23"/>
      <c r="K4001" s="24">
        <v>0</v>
      </c>
      <c r="L400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01" s="22" t="str">
        <f>HYPERLINK("mailto:gsammali@crm.otsuka-europe.com", "gsammali@crm.otsuka-europe.com")</f>
        <v>gsammali@crm.otsuka-europe.com</v>
      </c>
      <c r="N4001" s="25">
        <v>46216.430844907409</v>
      </c>
      <c r="O4001" s="14" t="str">
        <f>HYPERLINK("https://otsuka-europe-crm.veevavault.com/ui/#object/email_activity__v/V8C000000049250", "EN-002105337")</f>
        <v>EN-002105337</v>
      </c>
    </row>
    <row r="4002" spans="1:15" ht="16" x14ac:dyDescent="0.2">
      <c r="A4002" s="19"/>
      <c r="B4002" s="19"/>
      <c r="C4002" s="19"/>
      <c r="D4002" s="19"/>
      <c r="E4002" s="19"/>
      <c r="F4002" s="19"/>
      <c r="G4002" s="19"/>
      <c r="H4002" s="19"/>
      <c r="I4002" s="19"/>
      <c r="J4002" s="19"/>
      <c r="K4002" s="19"/>
      <c r="L4002" s="19"/>
      <c r="M4002" s="19"/>
      <c r="N4002" s="19"/>
      <c r="O4002" s="14" t="str">
        <f>HYPERLINK("https://otsuka-europe-crm.veevavault.com/ui/#object/email_activity__v/V8C000000049252", "EN-002105339")</f>
        <v>EN-002105339</v>
      </c>
    </row>
    <row r="4003" spans="1:15" ht="16" x14ac:dyDescent="0.2">
      <c r="A4003" s="18" t="str">
        <f>HYPERLINK("https://otsuka-europe-crm.veevavault.com/ui/#object/account__v/V4TZ04ASGB4VU2I", "ROXANA PAOLA BURY MACIAS")</f>
        <v>ROXANA PAOLA BURY MACIAS</v>
      </c>
      <c r="B4003" s="18" t="str">
        <f>HYPERLINK("https://otsuka-europe-crm.veevavault.com/ui/#object/vcountry__v/VENZ000004SONF5", "ES")</f>
        <v>ES</v>
      </c>
      <c r="C4003" s="20" t="s">
        <v>39</v>
      </c>
      <c r="D400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03" s="22" t="str">
        <f>HYPERLINK("https://otsuka-europe-crm.veevavault.com/ui/#object/sent_email__v/VBL000000038058", "SE-001443596")</f>
        <v>SE-001443596</v>
      </c>
      <c r="F4003" s="25">
        <v>46217.72084490741</v>
      </c>
      <c r="G4003" s="24">
        <v>1</v>
      </c>
      <c r="H4003" s="24">
        <v>4</v>
      </c>
      <c r="I4003" s="24">
        <v>0</v>
      </c>
      <c r="J4003" s="23"/>
      <c r="K4003" s="24">
        <v>0</v>
      </c>
      <c r="L400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03" s="22" t="str">
        <f>HYPERLINK("mailto:gsammali@crm.otsuka-europe.com", "gsammali@crm.otsuka-europe.com")</f>
        <v>gsammali@crm.otsuka-europe.com</v>
      </c>
      <c r="N4003" s="25">
        <v>46216.430844907409</v>
      </c>
      <c r="O4003" s="14" t="str">
        <f>HYPERLINK("https://otsuka-europe-crm.veevavault.com/ui/#object/email_activity__v/V8C000000049131", "EN-002105140")</f>
        <v>EN-002105140</v>
      </c>
    </row>
    <row r="4004" spans="1:15" ht="16" x14ac:dyDescent="0.2">
      <c r="A4004" s="26"/>
      <c r="B4004" s="26"/>
      <c r="C4004" s="26"/>
      <c r="D4004" s="26"/>
      <c r="E4004" s="26"/>
      <c r="F4004" s="26"/>
      <c r="G4004" s="26"/>
      <c r="H4004" s="26"/>
      <c r="I4004" s="26"/>
      <c r="J4004" s="26"/>
      <c r="K4004" s="26"/>
      <c r="L4004" s="26"/>
      <c r="M4004" s="26"/>
      <c r="N4004" s="26"/>
      <c r="O4004" s="14" t="str">
        <f>HYPERLINK("https://otsuka-europe-crm.veevavault.com/ui/#object/email_activity__v/V8C000000049656", "EN-002106138")</f>
        <v>EN-002106138</v>
      </c>
    </row>
    <row r="4005" spans="1:15" ht="16" x14ac:dyDescent="0.2">
      <c r="A4005" s="26"/>
      <c r="B4005" s="26"/>
      <c r="C4005" s="26"/>
      <c r="D4005" s="26"/>
      <c r="E4005" s="26"/>
      <c r="F4005" s="26"/>
      <c r="G4005" s="26"/>
      <c r="H4005" s="26"/>
      <c r="I4005" s="26"/>
      <c r="J4005" s="26"/>
      <c r="K4005" s="26"/>
      <c r="L4005" s="26"/>
      <c r="M4005" s="26"/>
      <c r="N4005" s="26"/>
      <c r="O4005" s="14" t="str">
        <f>HYPERLINK("https://otsuka-europe-crm.veevavault.com/ui/#object/email_activity__v/V8C000000049659", "EN-002106141")</f>
        <v>EN-002106141</v>
      </c>
    </row>
    <row r="4006" spans="1:15" ht="16" x14ac:dyDescent="0.2">
      <c r="A4006" s="26"/>
      <c r="B4006" s="26"/>
      <c r="C4006" s="26"/>
      <c r="D4006" s="26"/>
      <c r="E4006" s="26"/>
      <c r="F4006" s="26"/>
      <c r="G4006" s="26"/>
      <c r="H4006" s="26"/>
      <c r="I4006" s="26"/>
      <c r="J4006" s="26"/>
      <c r="K4006" s="26"/>
      <c r="L4006" s="26"/>
      <c r="M4006" s="26"/>
      <c r="N4006" s="26"/>
      <c r="O4006" s="14" t="str">
        <f>HYPERLINK("https://otsuka-europe-crm.veevavault.com/ui/#object/email_activity__v/V8C00000004A375", "EN-002105689")</f>
        <v>EN-002105689</v>
      </c>
    </row>
    <row r="4007" spans="1:15" ht="16" x14ac:dyDescent="0.2">
      <c r="A4007" s="19"/>
      <c r="B4007" s="19"/>
      <c r="C4007" s="19"/>
      <c r="D4007" s="19"/>
      <c r="E4007" s="19"/>
      <c r="F4007" s="19"/>
      <c r="G4007" s="19"/>
      <c r="H4007" s="19"/>
      <c r="I4007" s="19"/>
      <c r="J4007" s="19"/>
      <c r="K4007" s="19"/>
      <c r="L4007" s="19"/>
      <c r="M4007" s="19"/>
      <c r="N4007" s="19"/>
      <c r="O4007" s="14" t="str">
        <f>HYPERLINK("https://otsuka-europe-crm.veevavault.com/ui/#object/email_activity__v/V8C00000004A523", "EN-002105964")</f>
        <v>EN-002105964</v>
      </c>
    </row>
    <row r="4008" spans="1:15" ht="64" x14ac:dyDescent="0.2">
      <c r="A4008" s="7" t="str">
        <f>HYPERLINK("https://otsuka-europe-crm.veevavault.com/ui/#object/account__v/V4TZ06G6O71TA85", "ROSA GARCIA OSUNA")</f>
        <v>ROSA GARCIA OSUNA</v>
      </c>
      <c r="B4008" s="7" t="str">
        <f>HYPERLINK("https://otsuka-europe-crm.veevavault.com/ui/#object/vcountry__v/VENZ000004SONF5", "ES")</f>
        <v>ES</v>
      </c>
      <c r="C4008" s="8" t="s">
        <v>39</v>
      </c>
      <c r="D400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08" s="10" t="str">
        <f>HYPERLINK("https://otsuka-europe-crm.veevavault.com/ui/#object/sent_email__v/VBL000000038059", "SE-001443597")</f>
        <v>SE-001443597</v>
      </c>
      <c r="F4008" s="11"/>
      <c r="G4008" s="12">
        <v>0</v>
      </c>
      <c r="H4008" s="12">
        <v>0</v>
      </c>
      <c r="I4008" s="12">
        <v>0</v>
      </c>
      <c r="J4008" s="11"/>
      <c r="K4008" s="12">
        <v>0</v>
      </c>
      <c r="L400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08" s="10" t="str">
        <f>HYPERLINK("mailto:gsammali@crm.otsuka-europe.com", "gsammali@crm.otsuka-europe.com")</f>
        <v>gsammali@crm.otsuka-europe.com</v>
      </c>
      <c r="N4008" s="13">
        <v>46216.430844907409</v>
      </c>
      <c r="O4008" s="14" t="str">
        <f>HYPERLINK("https://otsuka-europe-crm.veevavault.com/ui/#object/email_activity__v/V8C000000049124", "EN-002105133")</f>
        <v>EN-002105133</v>
      </c>
    </row>
    <row r="4009" spans="1:15" ht="64" x14ac:dyDescent="0.2">
      <c r="A4009" s="7" t="str">
        <f>HYPERLINK("https://otsuka-europe-crm.veevavault.com/ui/#object/account__v/V4TZ025E82A5RFW", "CRISTINA AMOROS ROBLES")</f>
        <v>CRISTINA AMOROS ROBLES</v>
      </c>
      <c r="B4009" s="7" t="str">
        <f>HYPERLINK("https://otsuka-europe-crm.veevavault.com/ui/#object/vcountry__v/VENZ000004SONF5", "ES")</f>
        <v>ES</v>
      </c>
      <c r="C4009" s="8" t="s">
        <v>39</v>
      </c>
      <c r="D400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09" s="10" t="str">
        <f>HYPERLINK("https://otsuka-europe-crm.veevavault.com/ui/#object/sent_email__v/VBL000000038060", "SE-001443598")</f>
        <v>SE-001443598</v>
      </c>
      <c r="F4009" s="11"/>
      <c r="G4009" s="12">
        <v>0</v>
      </c>
      <c r="H4009" s="12">
        <v>0</v>
      </c>
      <c r="I4009" s="12">
        <v>0</v>
      </c>
      <c r="J4009" s="11"/>
      <c r="K4009" s="12">
        <v>0</v>
      </c>
      <c r="L400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09" s="10" t="str">
        <f>HYPERLINK("mailto:gsammali@crm.otsuka-europe.com", "gsammali@crm.otsuka-europe.com")</f>
        <v>gsammali@crm.otsuka-europe.com</v>
      </c>
      <c r="N4009" s="13">
        <v>46216.430844907409</v>
      </c>
      <c r="O4009" s="14" t="str">
        <f>HYPERLINK("https://otsuka-europe-crm.veevavault.com/ui/#object/email_activity__v/V8C000000049158", "EN-002105167")</f>
        <v>EN-002105167</v>
      </c>
    </row>
    <row r="4010" spans="1:15" ht="64" x14ac:dyDescent="0.2">
      <c r="A4010" s="7" t="str">
        <f>HYPERLINK("https://otsuka-europe-crm.veevavault.com/ui/#object/account__v/V4TZ06G6OCBHSFO", "JORDI BOVER SANJUAN")</f>
        <v>JORDI BOVER SANJUAN</v>
      </c>
      <c r="B4010" s="7" t="str">
        <f>HYPERLINK("https://otsuka-europe-crm.veevavault.com/ui/#object/vcountry__v/VENZ000004SONF5", "ES")</f>
        <v>ES</v>
      </c>
      <c r="C4010" s="8" t="s">
        <v>39</v>
      </c>
      <c r="D401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10" s="10" t="str">
        <f>HYPERLINK("https://otsuka-europe-crm.veevavault.com/ui/#object/sent_email__v/VBL000000038061", "SE-001443599")</f>
        <v>SE-001443599</v>
      </c>
      <c r="F4010" s="11"/>
      <c r="G4010" s="12">
        <v>0</v>
      </c>
      <c r="H4010" s="12">
        <v>0</v>
      </c>
      <c r="I4010" s="12">
        <v>0</v>
      </c>
      <c r="J4010" s="11"/>
      <c r="K4010" s="12">
        <v>0</v>
      </c>
      <c r="L401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10" s="10" t="str">
        <f>HYPERLINK("mailto:gsammali@crm.otsuka-europe.com", "gsammali@crm.otsuka-europe.com")</f>
        <v>gsammali@crm.otsuka-europe.com</v>
      </c>
      <c r="N4010" s="13">
        <v>46216.430844907409</v>
      </c>
      <c r="O4010" s="14" t="str">
        <f>HYPERLINK("https://otsuka-europe-crm.veevavault.com/ui/#object/email_activity__v/V8C000000049145", "EN-002105154")</f>
        <v>EN-002105154</v>
      </c>
    </row>
    <row r="4011" spans="1:15" ht="16" x14ac:dyDescent="0.2">
      <c r="A4011" s="18" t="str">
        <f>HYPERLINK("https://otsuka-europe-crm.veevavault.com/ui/#object/account__v/V4TZ04ASGAGIU4J", "JUAN CARLOS GONZALEZ OLIVA")</f>
        <v>JUAN CARLOS GONZALEZ OLIVA</v>
      </c>
      <c r="B4011" s="18" t="str">
        <f>HYPERLINK("https://otsuka-europe-crm.veevavault.com/ui/#object/vcountry__v/VENZ000004SONF5", "ES")</f>
        <v>ES</v>
      </c>
      <c r="C4011" s="20" t="s">
        <v>39</v>
      </c>
      <c r="D401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11" s="22" t="str">
        <f>HYPERLINK("https://otsuka-europe-crm.veevavault.com/ui/#object/sent_email__v/VBL000000038062", "SE-001443600")</f>
        <v>SE-001443600</v>
      </c>
      <c r="F4011" s="25">
        <v>46217.666805555556</v>
      </c>
      <c r="G4011" s="24">
        <v>1</v>
      </c>
      <c r="H4011" s="24">
        <v>4</v>
      </c>
      <c r="I4011" s="24">
        <v>0</v>
      </c>
      <c r="J4011" s="23"/>
      <c r="K4011" s="24">
        <v>0</v>
      </c>
      <c r="L401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11" s="22" t="str">
        <f>HYPERLINK("mailto:gsammali@crm.otsuka-europe.com", "gsammali@crm.otsuka-europe.com")</f>
        <v>gsammali@crm.otsuka-europe.com</v>
      </c>
      <c r="N4011" s="25">
        <v>46216.430844907409</v>
      </c>
      <c r="O4011" s="14" t="str">
        <f>HYPERLINK("https://otsuka-europe-crm.veevavault.com/ui/#object/email_activity__v/V8C000000049150", "EN-002105160")</f>
        <v>EN-002105160</v>
      </c>
    </row>
    <row r="4012" spans="1:15" ht="16" x14ac:dyDescent="0.2">
      <c r="A4012" s="26"/>
      <c r="B4012" s="26"/>
      <c r="C4012" s="26"/>
      <c r="D4012" s="26"/>
      <c r="E4012" s="26"/>
      <c r="F4012" s="26"/>
      <c r="G4012" s="26"/>
      <c r="H4012" s="26"/>
      <c r="I4012" s="26"/>
      <c r="J4012" s="26"/>
      <c r="K4012" s="26"/>
      <c r="L4012" s="26"/>
      <c r="M4012" s="26"/>
      <c r="N4012" s="26"/>
      <c r="O4012" s="14" t="str">
        <f>HYPERLINK("https://otsuka-europe-crm.veevavault.com/ui/#object/email_activity__v/V8C000000049360", "EN-002105525")</f>
        <v>EN-002105525</v>
      </c>
    </row>
    <row r="4013" spans="1:15" ht="16" x14ac:dyDescent="0.2">
      <c r="A4013" s="26"/>
      <c r="B4013" s="26"/>
      <c r="C4013" s="26"/>
      <c r="D4013" s="26"/>
      <c r="E4013" s="26"/>
      <c r="F4013" s="26"/>
      <c r="G4013" s="26"/>
      <c r="H4013" s="26"/>
      <c r="I4013" s="26"/>
      <c r="J4013" s="26"/>
      <c r="K4013" s="26"/>
      <c r="L4013" s="26"/>
      <c r="M4013" s="26"/>
      <c r="N4013" s="26"/>
      <c r="O4013" s="14" t="str">
        <f>HYPERLINK("https://otsuka-europe-crm.veevavault.com/ui/#object/email_activity__v/V8C00000004A291", "EN-002105512")</f>
        <v>EN-002105512</v>
      </c>
    </row>
    <row r="4014" spans="1:15" ht="16" x14ac:dyDescent="0.2">
      <c r="A4014" s="26"/>
      <c r="B4014" s="26"/>
      <c r="C4014" s="26"/>
      <c r="D4014" s="26"/>
      <c r="E4014" s="26"/>
      <c r="F4014" s="26"/>
      <c r="G4014" s="26"/>
      <c r="H4014" s="26"/>
      <c r="I4014" s="26"/>
      <c r="J4014" s="26"/>
      <c r="K4014" s="26"/>
      <c r="L4014" s="26"/>
      <c r="M4014" s="26"/>
      <c r="N4014" s="26"/>
      <c r="O4014" s="14" t="str">
        <f>HYPERLINK("https://otsuka-europe-crm.veevavault.com/ui/#object/email_activity__v/V8C00000004A300", "EN-002105526")</f>
        <v>EN-002105526</v>
      </c>
    </row>
    <row r="4015" spans="1:15" ht="16" x14ac:dyDescent="0.2">
      <c r="A4015" s="19"/>
      <c r="B4015" s="19"/>
      <c r="C4015" s="19"/>
      <c r="D4015" s="19"/>
      <c r="E4015" s="19"/>
      <c r="F4015" s="19"/>
      <c r="G4015" s="19"/>
      <c r="H4015" s="19"/>
      <c r="I4015" s="19"/>
      <c r="J4015" s="19"/>
      <c r="K4015" s="19"/>
      <c r="L4015" s="19"/>
      <c r="M4015" s="19"/>
      <c r="N4015" s="19"/>
      <c r="O4015" s="14" t="str">
        <f>HYPERLINK("https://otsuka-europe-crm.veevavault.com/ui/#object/email_activity__v/V8C00000004A577", "EN-002106071")</f>
        <v>EN-002106071</v>
      </c>
    </row>
    <row r="4016" spans="1:15" ht="16" x14ac:dyDescent="0.2">
      <c r="A4016" s="18" t="str">
        <f>HYPERLINK("https://otsuka-europe-crm.veevavault.com/ui/#object/account__v/V4TZ06G6O71TA7G", "JORGE GONZALEZ RODRIGUEZ")</f>
        <v>JORGE GONZALEZ RODRIGUEZ</v>
      </c>
      <c r="B4016" s="18" t="str">
        <f>HYPERLINK("https://otsuka-europe-crm.veevavault.com/ui/#object/vcountry__v/VENZ000004SONF5", "ES")</f>
        <v>ES</v>
      </c>
      <c r="C4016" s="20" t="s">
        <v>39</v>
      </c>
      <c r="D401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16" s="22" t="str">
        <f>HYPERLINK("https://otsuka-europe-crm.veevavault.com/ui/#object/sent_email__v/VBL000000038063", "SE-001443601")</f>
        <v>SE-001443601</v>
      </c>
      <c r="F4016" s="25">
        <v>46216.431493055556</v>
      </c>
      <c r="G4016" s="24">
        <v>1</v>
      </c>
      <c r="H4016" s="24">
        <v>1</v>
      </c>
      <c r="I4016" s="24">
        <v>1</v>
      </c>
      <c r="J4016" s="25">
        <v>46238.575439814813</v>
      </c>
      <c r="K4016" s="24">
        <v>1</v>
      </c>
      <c r="L401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16" s="22" t="str">
        <f>HYPERLINK("mailto:gsammali@crm.otsuka-europe.com", "gsammali@crm.otsuka-europe.com")</f>
        <v>gsammali@crm.otsuka-europe.com</v>
      </c>
      <c r="N4016" s="25">
        <v>46216.43068287037</v>
      </c>
      <c r="O4016" s="14" t="str">
        <f>HYPERLINK("https://otsuka-europe-crm.veevavault.com/ui/#object/email_activity__v/V8C000000049116", "EN-002105125")</f>
        <v>EN-002105125</v>
      </c>
    </row>
    <row r="4017" spans="1:15" ht="16" x14ac:dyDescent="0.2">
      <c r="A4017" s="26"/>
      <c r="B4017" s="26"/>
      <c r="C4017" s="26"/>
      <c r="D4017" s="26"/>
      <c r="E4017" s="26"/>
      <c r="F4017" s="26"/>
      <c r="G4017" s="26"/>
      <c r="H4017" s="26"/>
      <c r="I4017" s="26"/>
      <c r="J4017" s="26"/>
      <c r="K4017" s="26"/>
      <c r="L4017" s="26"/>
      <c r="M4017" s="26"/>
      <c r="N4017" s="26"/>
      <c r="O4017" s="14" t="str">
        <f>HYPERLINK("https://otsuka-europe-crm.veevavault.com/ui/#object/email_activity__v/V8C000000049214", "EN-002105223")</f>
        <v>EN-002105223</v>
      </c>
    </row>
    <row r="4018" spans="1:15" ht="16" x14ac:dyDescent="0.2">
      <c r="A4018" s="19"/>
      <c r="B4018" s="19"/>
      <c r="C4018" s="19"/>
      <c r="D4018" s="19"/>
      <c r="E4018" s="19"/>
      <c r="F4018" s="19"/>
      <c r="G4018" s="19"/>
      <c r="H4018" s="19"/>
      <c r="I4018" s="19"/>
      <c r="J4018" s="19"/>
      <c r="K4018" s="19"/>
      <c r="L4018" s="19"/>
      <c r="M4018" s="19"/>
      <c r="N4018" s="19"/>
      <c r="O4018" s="14" t="str">
        <f>HYPERLINK("https://otsuka-europe-crm.veevavault.com/ui/#object/email_activity__v/V8C00000004H313", "EN-002111505")</f>
        <v>EN-002111505</v>
      </c>
    </row>
    <row r="4019" spans="1:15" ht="64" x14ac:dyDescent="0.2">
      <c r="A4019" s="7" t="str">
        <f>HYPERLINK("https://otsuka-europe-crm.veevavault.com/ui/#object/account__v/V4TZ06G6O71T86L", "PATRICIA CARMEN DEL LESCANO GARCIA")</f>
        <v>PATRICIA CARMEN DEL LESCANO GARCIA</v>
      </c>
      <c r="B4019" s="7" t="str">
        <f t="shared" ref="B4019:B4024" si="168">HYPERLINK("https://otsuka-europe-crm.veevavault.com/ui/#object/vcountry__v/VENZ000004SONF5", "ES")</f>
        <v>ES</v>
      </c>
      <c r="C4019" s="8" t="s">
        <v>39</v>
      </c>
      <c r="D4019" s="9" t="str">
        <f t="shared" ref="D4019:D4024" si="169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19" s="10" t="str">
        <f>HYPERLINK("https://otsuka-europe-crm.veevavault.com/ui/#object/sent_email__v/VBL000000038064", "SE-001443602")</f>
        <v>SE-001443602</v>
      </c>
      <c r="F4019" s="11"/>
      <c r="G4019" s="12">
        <v>0</v>
      </c>
      <c r="H4019" s="12">
        <v>0</v>
      </c>
      <c r="I4019" s="12">
        <v>0</v>
      </c>
      <c r="J4019" s="11"/>
      <c r="K4019" s="12">
        <v>0</v>
      </c>
      <c r="L4019" s="10" t="str">
        <f t="shared" ref="L4019:L4024" si="170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19" s="10" t="str">
        <f t="shared" ref="M4019:M4024" si="171">HYPERLINK("mailto:gsammali@crm.otsuka-europe.com", "gsammali@crm.otsuka-europe.com")</f>
        <v>gsammali@crm.otsuka-europe.com</v>
      </c>
      <c r="N4019" s="13">
        <v>46216.43068287037</v>
      </c>
      <c r="O4019" s="14" t="str">
        <f>HYPERLINK("https://otsuka-europe-crm.veevavault.com/ui/#object/email_activity__v/V8C000000049190", "EN-002105199")</f>
        <v>EN-002105199</v>
      </c>
    </row>
    <row r="4020" spans="1:15" ht="64" x14ac:dyDescent="0.2">
      <c r="A4020" s="7" t="str">
        <f>HYPERLINK("https://otsuka-europe-crm.veevavault.com/ui/#object/account__v/V4TZ06G6O71TCEQ", "CARLOS ANTONIO SOTO MONTAÑEZ")</f>
        <v>CARLOS ANTONIO SOTO MONTAÑEZ</v>
      </c>
      <c r="B4020" s="7" t="str">
        <f t="shared" si="168"/>
        <v>ES</v>
      </c>
      <c r="C4020" s="8" t="s">
        <v>39</v>
      </c>
      <c r="D4020" s="9" t="str">
        <f t="shared" si="169"/>
        <v>LUP - VAE Webinar “Lupkynis▼ en la práctica clínica real: más allá de la respuesta renal” - Nefro</v>
      </c>
      <c r="E4020" s="10" t="str">
        <f>HYPERLINK("https://otsuka-europe-crm.veevavault.com/ui/#object/sent_email__v/VBL000000038065", "SE-001443603")</f>
        <v>SE-001443603</v>
      </c>
      <c r="F4020" s="11"/>
      <c r="G4020" s="12">
        <v>0</v>
      </c>
      <c r="H4020" s="12">
        <v>0</v>
      </c>
      <c r="I4020" s="12">
        <v>0</v>
      </c>
      <c r="J4020" s="11"/>
      <c r="K4020" s="12">
        <v>0</v>
      </c>
      <c r="L4020" s="10" t="str">
        <f t="shared" si="170"/>
        <v>LUP - VAE Webinar “Lupkynis▼ en la práctica clínica real: más allá de la respuesta renal” - Nefro</v>
      </c>
      <c r="M4020" s="10" t="str">
        <f t="shared" si="171"/>
        <v>gsammali@crm.otsuka-europe.com</v>
      </c>
      <c r="N4020" s="13">
        <v>46216.43068287037</v>
      </c>
      <c r="O4020" s="14" t="str">
        <f>HYPERLINK("https://otsuka-europe-crm.veevavault.com/ui/#object/email_activity__v/V8C000000049153", "EN-002105162")</f>
        <v>EN-002105162</v>
      </c>
    </row>
    <row r="4021" spans="1:15" ht="64" x14ac:dyDescent="0.2">
      <c r="A4021" s="7" t="str">
        <f>HYPERLINK("https://otsuka-europe-crm.veevavault.com/ui/#object/account__v/V4TZ06G6O71TA3W", "JOSEP MARIA GALCERAN GUI")</f>
        <v>JOSEP MARIA GALCERAN GUI</v>
      </c>
      <c r="B4021" s="7" t="str">
        <f t="shared" si="168"/>
        <v>ES</v>
      </c>
      <c r="C4021" s="8" t="s">
        <v>39</v>
      </c>
      <c r="D4021" s="9" t="str">
        <f t="shared" si="169"/>
        <v>LUP - VAE Webinar “Lupkynis▼ en la práctica clínica real: más allá de la respuesta renal” - Nefro</v>
      </c>
      <c r="E4021" s="10" t="str">
        <f>HYPERLINK("https://otsuka-europe-crm.veevavault.com/ui/#object/sent_email__v/VBL000000038066", "SE-001443604")</f>
        <v>SE-001443604</v>
      </c>
      <c r="F4021" s="11"/>
      <c r="G4021" s="12">
        <v>0</v>
      </c>
      <c r="H4021" s="12">
        <v>0</v>
      </c>
      <c r="I4021" s="12">
        <v>0</v>
      </c>
      <c r="J4021" s="11"/>
      <c r="K4021" s="12">
        <v>0</v>
      </c>
      <c r="L4021" s="10" t="str">
        <f t="shared" si="170"/>
        <v>LUP - VAE Webinar “Lupkynis▼ en la práctica clínica real: más allá de la respuesta renal” - Nefro</v>
      </c>
      <c r="M4021" s="10" t="str">
        <f t="shared" si="171"/>
        <v>gsammali@crm.otsuka-europe.com</v>
      </c>
      <c r="N4021" s="13">
        <v>46216.43068287037</v>
      </c>
      <c r="O4021" s="14" t="str">
        <f>HYPERLINK("https://otsuka-europe-crm.veevavault.com/ui/#object/email_activity__v/V8C000000049209", "EN-002105218")</f>
        <v>EN-002105218</v>
      </c>
    </row>
    <row r="4022" spans="1:15" ht="64" x14ac:dyDescent="0.2">
      <c r="A4022" s="7" t="str">
        <f>HYPERLINK("https://otsuka-europe-crm.veevavault.com/ui/#object/account__v/V4TZ04ASGDP8IP4", "YURI YESEIDA RUIZ DURAN")</f>
        <v>YURI YESEIDA RUIZ DURAN</v>
      </c>
      <c r="B4022" s="7" t="str">
        <f t="shared" si="168"/>
        <v>ES</v>
      </c>
      <c r="C4022" s="8" t="s">
        <v>39</v>
      </c>
      <c r="D4022" s="9" t="str">
        <f t="shared" si="169"/>
        <v>LUP - VAE Webinar “Lupkynis▼ en la práctica clínica real: más allá de la respuesta renal” - Nefro</v>
      </c>
      <c r="E4022" s="10" t="str">
        <f>HYPERLINK("https://otsuka-europe-crm.veevavault.com/ui/#object/sent_email__v/VBL000000038067", "SE-001443605")</f>
        <v>SE-001443605</v>
      </c>
      <c r="F4022" s="11"/>
      <c r="G4022" s="12">
        <v>0</v>
      </c>
      <c r="H4022" s="12">
        <v>0</v>
      </c>
      <c r="I4022" s="12">
        <v>0</v>
      </c>
      <c r="J4022" s="11"/>
      <c r="K4022" s="12">
        <v>0</v>
      </c>
      <c r="L4022" s="10" t="str">
        <f t="shared" si="170"/>
        <v>LUP - VAE Webinar “Lupkynis▼ en la práctica clínica real: más allá de la respuesta renal” - Nefro</v>
      </c>
      <c r="M4022" s="10" t="str">
        <f t="shared" si="171"/>
        <v>gsammali@crm.otsuka-europe.com</v>
      </c>
      <c r="N4022" s="13">
        <v>46216.43068287037</v>
      </c>
      <c r="O4022" s="14" t="str">
        <f>HYPERLINK("https://otsuka-europe-crm.veevavault.com/ui/#object/email_activity__v/V8C000000049176", "EN-002105185")</f>
        <v>EN-002105185</v>
      </c>
    </row>
    <row r="4023" spans="1:15" ht="64" x14ac:dyDescent="0.2">
      <c r="A4023" s="7" t="str">
        <f>HYPERLINK("https://otsuka-europe-crm.veevavault.com/ui/#object/account__v/V4TZ06G6O71TBF5", "MARUJA ISABEL NAVARRO DIAZ")</f>
        <v>MARUJA ISABEL NAVARRO DIAZ</v>
      </c>
      <c r="B4023" s="7" t="str">
        <f t="shared" si="168"/>
        <v>ES</v>
      </c>
      <c r="C4023" s="8" t="s">
        <v>39</v>
      </c>
      <c r="D4023" s="9" t="str">
        <f t="shared" si="169"/>
        <v>LUP - VAE Webinar “Lupkynis▼ en la práctica clínica real: más allá de la respuesta renal” - Nefro</v>
      </c>
      <c r="E4023" s="10" t="str">
        <f>HYPERLINK("https://otsuka-europe-crm.veevavault.com/ui/#object/sent_email__v/VBL000000038068", "SE-001443606")</f>
        <v>SE-001443606</v>
      </c>
      <c r="F4023" s="11"/>
      <c r="G4023" s="12">
        <v>0</v>
      </c>
      <c r="H4023" s="12">
        <v>0</v>
      </c>
      <c r="I4023" s="12">
        <v>0</v>
      </c>
      <c r="J4023" s="11"/>
      <c r="K4023" s="12">
        <v>0</v>
      </c>
      <c r="L4023" s="10" t="str">
        <f t="shared" si="170"/>
        <v>LUP - VAE Webinar “Lupkynis▼ en la práctica clínica real: más allá de la respuesta renal” - Nefro</v>
      </c>
      <c r="M4023" s="10" t="str">
        <f t="shared" si="171"/>
        <v>gsammali@crm.otsuka-europe.com</v>
      </c>
      <c r="N4023" s="13">
        <v>46216.43068287037</v>
      </c>
      <c r="O4023" s="14" t="str">
        <f>HYPERLINK("https://otsuka-europe-crm.veevavault.com/ui/#object/email_activity__v/V8C000000049117", "EN-002105126")</f>
        <v>EN-002105126</v>
      </c>
    </row>
    <row r="4024" spans="1:15" ht="16" x14ac:dyDescent="0.2">
      <c r="A4024" s="18" t="str">
        <f>HYPERLINK("https://otsuka-europe-crm.veevavault.com/ui/#object/account__v/V4TZ06G6O8KXB3I", "OLGA GRACIA GARCIA")</f>
        <v>OLGA GRACIA GARCIA</v>
      </c>
      <c r="B4024" s="18" t="str">
        <f t="shared" si="168"/>
        <v>ES</v>
      </c>
      <c r="C4024" s="20" t="s">
        <v>39</v>
      </c>
      <c r="D4024" s="21" t="str">
        <f t="shared" si="169"/>
        <v>LUP - VAE Webinar “Lupkynis▼ en la práctica clínica real: más allá de la respuesta renal” - Nefro</v>
      </c>
      <c r="E4024" s="22" t="str">
        <f>HYPERLINK("https://otsuka-europe-crm.veevavault.com/ui/#object/sent_email__v/VBL000000038069", "SE-001443607")</f>
        <v>SE-001443607</v>
      </c>
      <c r="F4024" s="25">
        <v>46216.431481481479</v>
      </c>
      <c r="G4024" s="24">
        <v>1</v>
      </c>
      <c r="H4024" s="24">
        <v>1</v>
      </c>
      <c r="I4024" s="24">
        <v>0</v>
      </c>
      <c r="J4024" s="23"/>
      <c r="K4024" s="24">
        <v>0</v>
      </c>
      <c r="L4024" s="22" t="str">
        <f t="shared" si="170"/>
        <v>LUP - VAE Webinar “Lupkynis▼ en la práctica clínica real: más allá de la respuesta renal” - Nefro</v>
      </c>
      <c r="M4024" s="22" t="str">
        <f t="shared" si="171"/>
        <v>gsammali@crm.otsuka-europe.com</v>
      </c>
      <c r="N4024" s="25">
        <v>46216.430844907409</v>
      </c>
      <c r="O4024" s="14" t="str">
        <f>HYPERLINK("https://otsuka-europe-crm.veevavault.com/ui/#object/email_activity__v/V8C000000049203", "EN-002105212")</f>
        <v>EN-002105212</v>
      </c>
    </row>
    <row r="4025" spans="1:15" ht="16" x14ac:dyDescent="0.2">
      <c r="A4025" s="19"/>
      <c r="B4025" s="19"/>
      <c r="C4025" s="19"/>
      <c r="D4025" s="19"/>
      <c r="E4025" s="19"/>
      <c r="F4025" s="19"/>
      <c r="G4025" s="19"/>
      <c r="H4025" s="19"/>
      <c r="I4025" s="19"/>
      <c r="J4025" s="19"/>
      <c r="K4025" s="19"/>
      <c r="L4025" s="19"/>
      <c r="M4025" s="19"/>
      <c r="N4025" s="19"/>
      <c r="O4025" s="14" t="str">
        <f>HYPERLINK("https://otsuka-europe-crm.veevavault.com/ui/#object/email_activity__v/V8C000000049217", "EN-002105226")</f>
        <v>EN-002105226</v>
      </c>
    </row>
    <row r="4026" spans="1:15" ht="64" x14ac:dyDescent="0.2">
      <c r="A4026" s="7" t="str">
        <f>HYPERLINK("https://otsuka-europe-crm.veevavault.com/ui/#object/account__v/V4TZ06G6O71TBPV", "MANUEL RAMIREZ DE ARELLANO SERNA")</f>
        <v>MANUEL RAMIREZ DE ARELLANO SERNA</v>
      </c>
      <c r="B4026" s="7" t="str">
        <f>HYPERLINK("https://otsuka-europe-crm.veevavault.com/ui/#object/vcountry__v/VENZ000004SONF5", "ES")</f>
        <v>ES</v>
      </c>
      <c r="C4026" s="8" t="s">
        <v>39</v>
      </c>
      <c r="D402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26" s="10" t="str">
        <f>HYPERLINK("https://otsuka-europe-crm.veevavault.com/ui/#object/sent_email__v/VBL000000038070", "SE-001443608")</f>
        <v>SE-001443608</v>
      </c>
      <c r="F4026" s="11"/>
      <c r="G4026" s="12">
        <v>0</v>
      </c>
      <c r="H4026" s="12">
        <v>0</v>
      </c>
      <c r="I4026" s="12">
        <v>0</v>
      </c>
      <c r="J4026" s="11"/>
      <c r="K4026" s="12">
        <v>0</v>
      </c>
      <c r="L402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26" s="10" t="str">
        <f>HYPERLINK("mailto:gsammali@crm.otsuka-europe.com", "gsammali@crm.otsuka-europe.com")</f>
        <v>gsammali@crm.otsuka-europe.com</v>
      </c>
      <c r="N4026" s="13">
        <v>46216.430879629632</v>
      </c>
      <c r="O4026" s="14" t="str">
        <f>HYPERLINK("https://otsuka-europe-crm.veevavault.com/ui/#object/email_activity__v/V8C000000049179", "EN-002105188")</f>
        <v>EN-002105188</v>
      </c>
    </row>
    <row r="4027" spans="1:15" ht="16" x14ac:dyDescent="0.2">
      <c r="A4027" s="18" t="str">
        <f>HYPERLINK("https://otsuka-europe-crm.veevavault.com/ui/#object/account__v/V4TZ06G6O71T8HA", "ANA MERINO RIBAS")</f>
        <v>ANA MERINO RIBAS</v>
      </c>
      <c r="B4027" s="18" t="str">
        <f>HYPERLINK("https://otsuka-europe-crm.veevavault.com/ui/#object/vcountry__v/VENZ000004SONF5", "ES")</f>
        <v>ES</v>
      </c>
      <c r="C4027" s="20" t="s">
        <v>39</v>
      </c>
      <c r="D402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27" s="22" t="str">
        <f>HYPERLINK("https://otsuka-europe-crm.veevavault.com/ui/#object/sent_email__v/VBL000000038071", "SE-001443609")</f>
        <v>SE-001443609</v>
      </c>
      <c r="F4027" s="25">
        <v>46216.51666666667</v>
      </c>
      <c r="G4027" s="24">
        <v>1</v>
      </c>
      <c r="H4027" s="24">
        <v>1</v>
      </c>
      <c r="I4027" s="24">
        <v>0</v>
      </c>
      <c r="J4027" s="23"/>
      <c r="K4027" s="24">
        <v>0</v>
      </c>
      <c r="L402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27" s="22" t="str">
        <f>HYPERLINK("mailto:gsammali@crm.otsuka-europe.com", "gsammali@crm.otsuka-europe.com")</f>
        <v>gsammali@crm.otsuka-europe.com</v>
      </c>
      <c r="N4027" s="25">
        <v>46216.430856481478</v>
      </c>
      <c r="O4027" s="14" t="str">
        <f>HYPERLINK("https://otsuka-europe-crm.veevavault.com/ui/#object/email_activity__v/V8C000000049171", "EN-002105180")</f>
        <v>EN-002105180</v>
      </c>
    </row>
    <row r="4028" spans="1:15" ht="16" x14ac:dyDescent="0.2">
      <c r="A4028" s="26"/>
      <c r="B4028" s="26"/>
      <c r="C4028" s="26"/>
      <c r="D4028" s="26"/>
      <c r="E4028" s="26"/>
      <c r="F4028" s="26"/>
      <c r="G4028" s="26"/>
      <c r="H4028" s="26"/>
      <c r="I4028" s="26"/>
      <c r="J4028" s="26"/>
      <c r="K4028" s="26"/>
      <c r="L4028" s="26"/>
      <c r="M4028" s="26"/>
      <c r="N4028" s="26"/>
      <c r="O4028" s="14" t="str">
        <f>HYPERLINK("https://otsuka-europe-crm.veevavault.com/ui/#object/email_activity__v/V8C00000004A283", "EN-002105494")</f>
        <v>EN-002105494</v>
      </c>
    </row>
    <row r="4029" spans="1:15" ht="16" x14ac:dyDescent="0.2">
      <c r="A4029" s="19"/>
      <c r="B4029" s="19"/>
      <c r="C4029" s="19"/>
      <c r="D4029" s="19"/>
      <c r="E4029" s="19"/>
      <c r="F4029" s="19"/>
      <c r="G4029" s="19"/>
      <c r="H4029" s="19"/>
      <c r="I4029" s="19"/>
      <c r="J4029" s="19"/>
      <c r="K4029" s="19"/>
      <c r="L4029" s="19"/>
      <c r="M4029" s="19"/>
      <c r="N4029" s="19"/>
      <c r="O4029" s="14" t="str">
        <f>HYPERLINK("https://otsuka-europe-crm.veevavault.com/ui/#object/email_activity__v/V8C00000004D529", "EN-002109142")</f>
        <v>EN-002109142</v>
      </c>
    </row>
    <row r="4030" spans="1:15" ht="16" x14ac:dyDescent="0.2">
      <c r="A4030" s="18" t="str">
        <f>HYPERLINK("https://otsuka-europe-crm.veevavault.com/ui/#object/account__v/V4TZ06G6O71TAO7", "JOSE MARIA CRUZADO GARRIT")</f>
        <v>JOSE MARIA CRUZADO GARRIT</v>
      </c>
      <c r="B4030" s="18" t="str">
        <f>HYPERLINK("https://otsuka-europe-crm.veevavault.com/ui/#object/vcountry__v/VENZ000004SONF5", "ES")</f>
        <v>ES</v>
      </c>
      <c r="C4030" s="20" t="s">
        <v>39</v>
      </c>
      <c r="D403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30" s="22" t="str">
        <f>HYPERLINK("https://otsuka-europe-crm.veevavault.com/ui/#object/sent_email__v/VBL000000038072", "SE-001443610")</f>
        <v>SE-001443610</v>
      </c>
      <c r="F4030" s="23"/>
      <c r="G4030" s="24">
        <v>0</v>
      </c>
      <c r="H4030" s="24">
        <v>0</v>
      </c>
      <c r="I4030" s="24">
        <v>0</v>
      </c>
      <c r="J4030" s="23"/>
      <c r="K4030" s="24">
        <v>0</v>
      </c>
      <c r="L403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30" s="22" t="str">
        <f>HYPERLINK("mailto:gsammali@crm.otsuka-europe.com", "gsammali@crm.otsuka-europe.com")</f>
        <v>gsammali@crm.otsuka-europe.com</v>
      </c>
      <c r="N4030" s="25">
        <v>46216.430844907409</v>
      </c>
      <c r="O4030" s="14" t="str">
        <f>HYPERLINK("https://otsuka-europe-crm.veevavault.com/ui/#object/email_activity__v/V8C000000049160", "EN-002105169")</f>
        <v>EN-002105169</v>
      </c>
    </row>
    <row r="4031" spans="1:15" ht="16" x14ac:dyDescent="0.2">
      <c r="A4031" s="19"/>
      <c r="B4031" s="19"/>
      <c r="C4031" s="19"/>
      <c r="D4031" s="19"/>
      <c r="E4031" s="19"/>
      <c r="F4031" s="19"/>
      <c r="G4031" s="19"/>
      <c r="H4031" s="19"/>
      <c r="I4031" s="19"/>
      <c r="J4031" s="19"/>
      <c r="K4031" s="19"/>
      <c r="L4031" s="19"/>
      <c r="M4031" s="19"/>
      <c r="N4031" s="19"/>
      <c r="O4031" s="14" t="str">
        <f>HYPERLINK("https://otsuka-europe-crm.veevavault.com/ui/#object/email_activity__v/V8C00000004A530", "EN-002105972")</f>
        <v>EN-002105972</v>
      </c>
    </row>
    <row r="4032" spans="1:15" ht="64" x14ac:dyDescent="0.2">
      <c r="A4032" s="7" t="str">
        <f>HYPERLINK("https://otsuka-europe-crm.veevavault.com/ui/#object/account__v/V4T00000001H018", "SILVIA VEGA GONZALEZ")</f>
        <v>SILVIA VEGA GONZALEZ</v>
      </c>
      <c r="B4032" s="7" t="str">
        <f t="shared" ref="B4032:B4038" si="172">HYPERLINK("https://otsuka-europe-crm.veevavault.com/ui/#object/vcountry__v/VENZ000004SONF5", "ES")</f>
        <v>ES</v>
      </c>
      <c r="C4032" s="8" t="s">
        <v>39</v>
      </c>
      <c r="D4032" s="9" t="str">
        <f t="shared" ref="D4032:D4038" si="173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32" s="10" t="str">
        <f>HYPERLINK("https://otsuka-europe-crm.veevavault.com/ui/#object/sent_email__v/VBL000000038073", "SE-001443611")</f>
        <v>SE-001443611</v>
      </c>
      <c r="F4032" s="11"/>
      <c r="G4032" s="12">
        <v>0</v>
      </c>
      <c r="H4032" s="12">
        <v>0</v>
      </c>
      <c r="I4032" s="12">
        <v>0</v>
      </c>
      <c r="J4032" s="11"/>
      <c r="K4032" s="12">
        <v>0</v>
      </c>
      <c r="L4032" s="10" t="str">
        <f t="shared" ref="L4032:L4038" si="174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32" s="10" t="str">
        <f t="shared" ref="M4032:M4038" si="175">HYPERLINK("mailto:gsammali@crm.otsuka-europe.com", "gsammali@crm.otsuka-europe.com")</f>
        <v>gsammali@crm.otsuka-europe.com</v>
      </c>
      <c r="N4032" s="13">
        <v>46216.430844907409</v>
      </c>
      <c r="O4032" s="14" t="str">
        <f>HYPERLINK("https://otsuka-europe-crm.veevavault.com/ui/#object/email_activity__v/V8C000000049137", "EN-002105146")</f>
        <v>EN-002105146</v>
      </c>
    </row>
    <row r="4033" spans="1:15" ht="64" x14ac:dyDescent="0.2">
      <c r="A4033" s="7" t="str">
        <f>HYPERLINK("https://otsuka-europe-crm.veevavault.com/ui/#object/account__v/V4TZ04ASGGI5W3I", "MARIA VERONICA COLL BRITO")</f>
        <v>MARIA VERONICA COLL BRITO</v>
      </c>
      <c r="B4033" s="7" t="str">
        <f t="shared" si="172"/>
        <v>ES</v>
      </c>
      <c r="C4033" s="8" t="s">
        <v>39</v>
      </c>
      <c r="D4033" s="9" t="str">
        <f t="shared" si="173"/>
        <v>LUP - VAE Webinar “Lupkynis▼ en la práctica clínica real: más allá de la respuesta renal” - Nefro</v>
      </c>
      <c r="E4033" s="10" t="str">
        <f>HYPERLINK("https://otsuka-europe-crm.veevavault.com/ui/#object/sent_email__v/VBL000000038074", "SE-001443612")</f>
        <v>SE-001443612</v>
      </c>
      <c r="F4033" s="11"/>
      <c r="G4033" s="12">
        <v>0</v>
      </c>
      <c r="H4033" s="12">
        <v>0</v>
      </c>
      <c r="I4033" s="12">
        <v>0</v>
      </c>
      <c r="J4033" s="11"/>
      <c r="K4033" s="12">
        <v>0</v>
      </c>
      <c r="L4033" s="10" t="str">
        <f t="shared" si="174"/>
        <v>LUP - VAE Webinar “Lupkynis▼ en la práctica clínica real: más allá de la respuesta renal” - Nefro</v>
      </c>
      <c r="M4033" s="10" t="str">
        <f t="shared" si="175"/>
        <v>gsammali@crm.otsuka-europe.com</v>
      </c>
      <c r="N4033" s="13">
        <v>46216.430844907409</v>
      </c>
      <c r="O4033" s="14" t="str">
        <f>HYPERLINK("https://otsuka-europe-crm.veevavault.com/ui/#object/email_activity__v/V8C000000049166", "EN-002105175")</f>
        <v>EN-002105175</v>
      </c>
    </row>
    <row r="4034" spans="1:15" ht="64" x14ac:dyDescent="0.2">
      <c r="A4034" s="7" t="str">
        <f>HYPERLINK("https://otsuka-europe-crm.veevavault.com/ui/#object/account__v/V4TZ06G6O71T7ZJ", "JORDI SOLER MAJORAL")</f>
        <v>JORDI SOLER MAJORAL</v>
      </c>
      <c r="B4034" s="7" t="str">
        <f t="shared" si="172"/>
        <v>ES</v>
      </c>
      <c r="C4034" s="8" t="s">
        <v>39</v>
      </c>
      <c r="D4034" s="9" t="str">
        <f t="shared" si="173"/>
        <v>LUP - VAE Webinar “Lupkynis▼ en la práctica clínica real: más allá de la respuesta renal” - Nefro</v>
      </c>
      <c r="E4034" s="10" t="str">
        <f>HYPERLINK("https://otsuka-europe-crm.veevavault.com/ui/#object/sent_email__v/VBL000000038075", "SE-001443613")</f>
        <v>SE-001443613</v>
      </c>
      <c r="F4034" s="11"/>
      <c r="G4034" s="12">
        <v>0</v>
      </c>
      <c r="H4034" s="12">
        <v>0</v>
      </c>
      <c r="I4034" s="12">
        <v>0</v>
      </c>
      <c r="J4034" s="11"/>
      <c r="K4034" s="12">
        <v>0</v>
      </c>
      <c r="L4034" s="10" t="str">
        <f t="shared" si="174"/>
        <v>LUP - VAE Webinar “Lupkynis▼ en la práctica clínica real: más allá de la respuesta renal” - Nefro</v>
      </c>
      <c r="M4034" s="10" t="str">
        <f t="shared" si="175"/>
        <v>gsammali@crm.otsuka-europe.com</v>
      </c>
      <c r="N4034" s="13">
        <v>46216.430856481478</v>
      </c>
      <c r="O4034" s="14" t="str">
        <f>HYPERLINK("https://otsuka-europe-crm.veevavault.com/ui/#object/email_activity__v/V8C000000049182", "EN-002105191")</f>
        <v>EN-002105191</v>
      </c>
    </row>
    <row r="4035" spans="1:15" ht="64" x14ac:dyDescent="0.2">
      <c r="A4035" s="7" t="str">
        <f>HYPERLINK("https://otsuka-europe-crm.veevavault.com/ui/#object/account__v/V4TZ06G6O71TAJT", "PABLO JAVIER IÑIGO GIL")</f>
        <v>PABLO JAVIER IÑIGO GIL</v>
      </c>
      <c r="B4035" s="7" t="str">
        <f t="shared" si="172"/>
        <v>ES</v>
      </c>
      <c r="C4035" s="8" t="s">
        <v>39</v>
      </c>
      <c r="D4035" s="9" t="str">
        <f t="shared" si="173"/>
        <v>LUP - VAE Webinar “Lupkynis▼ en la práctica clínica real: más allá de la respuesta renal” - Nefro</v>
      </c>
      <c r="E4035" s="10" t="str">
        <f>HYPERLINK("https://otsuka-europe-crm.veevavault.com/ui/#object/sent_email__v/VBL000000038076", "SE-001443614")</f>
        <v>SE-001443614</v>
      </c>
      <c r="F4035" s="11"/>
      <c r="G4035" s="12">
        <v>0</v>
      </c>
      <c r="H4035" s="12">
        <v>0</v>
      </c>
      <c r="I4035" s="12">
        <v>0</v>
      </c>
      <c r="J4035" s="11"/>
      <c r="K4035" s="12">
        <v>0</v>
      </c>
      <c r="L4035" s="10" t="str">
        <f t="shared" si="174"/>
        <v>LUP - VAE Webinar “Lupkynis▼ en la práctica clínica real: más allá de la respuesta renal” - Nefro</v>
      </c>
      <c r="M4035" s="10" t="str">
        <f t="shared" si="175"/>
        <v>gsammali@crm.otsuka-europe.com</v>
      </c>
      <c r="N4035" s="13">
        <v>46216.430844907409</v>
      </c>
      <c r="O4035" s="14" t="str">
        <f>HYPERLINK("https://otsuka-europe-crm.veevavault.com/ui/#object/email_activity__v/V8C000000049194", "EN-002105203")</f>
        <v>EN-002105203</v>
      </c>
    </row>
    <row r="4036" spans="1:15" ht="64" x14ac:dyDescent="0.2">
      <c r="A4036" s="7" t="str">
        <f>HYPERLINK("https://otsuka-europe-crm.veevavault.com/ui/#object/account__v/V4TZ06G6O71T9ZF", "ROSA MARIA GARCIA CAMIN")</f>
        <v>ROSA MARIA GARCIA CAMIN</v>
      </c>
      <c r="B4036" s="7" t="str">
        <f t="shared" si="172"/>
        <v>ES</v>
      </c>
      <c r="C4036" s="8" t="s">
        <v>39</v>
      </c>
      <c r="D4036" s="9" t="str">
        <f t="shared" si="173"/>
        <v>LUP - VAE Webinar “Lupkynis▼ en la práctica clínica real: más allá de la respuesta renal” - Nefro</v>
      </c>
      <c r="E4036" s="10" t="str">
        <f>HYPERLINK("https://otsuka-europe-crm.veevavault.com/ui/#object/sent_email__v/VBL000000038077", "SE-001443615")</f>
        <v>SE-001443615</v>
      </c>
      <c r="F4036" s="11"/>
      <c r="G4036" s="12">
        <v>0</v>
      </c>
      <c r="H4036" s="12">
        <v>0</v>
      </c>
      <c r="I4036" s="12">
        <v>0</v>
      </c>
      <c r="J4036" s="11"/>
      <c r="K4036" s="12">
        <v>0</v>
      </c>
      <c r="L4036" s="10" t="str">
        <f t="shared" si="174"/>
        <v>LUP - VAE Webinar “Lupkynis▼ en la práctica clínica real: más allá de la respuesta renal” - Nefro</v>
      </c>
      <c r="M4036" s="10" t="str">
        <f t="shared" si="175"/>
        <v>gsammali@crm.otsuka-europe.com</v>
      </c>
      <c r="N4036" s="13">
        <v>46216.430844907409</v>
      </c>
      <c r="O4036" s="14" t="str">
        <f>HYPERLINK("https://otsuka-europe-crm.veevavault.com/ui/#object/email_activity__v/V8C000000049163", "EN-002105172")</f>
        <v>EN-002105172</v>
      </c>
    </row>
    <row r="4037" spans="1:15" ht="64" x14ac:dyDescent="0.2">
      <c r="A4037" s="7" t="str">
        <f>HYPERLINK("https://otsuka-europe-crm.veevavault.com/ui/#object/account__v/V4TZ06G6O71T8PH", "CARINA RODRIGUEZ LUQUE")</f>
        <v>CARINA RODRIGUEZ LUQUE</v>
      </c>
      <c r="B4037" s="7" t="str">
        <f t="shared" si="172"/>
        <v>ES</v>
      </c>
      <c r="C4037" s="8" t="s">
        <v>39</v>
      </c>
      <c r="D4037" s="9" t="str">
        <f t="shared" si="173"/>
        <v>LUP - VAE Webinar “Lupkynis▼ en la práctica clínica real: más allá de la respuesta renal” - Nefro</v>
      </c>
      <c r="E4037" s="10" t="str">
        <f>HYPERLINK("https://otsuka-europe-crm.veevavault.com/ui/#object/sent_email__v/VBL000000038078", "SE-001443616")</f>
        <v>SE-001443616</v>
      </c>
      <c r="F4037" s="11"/>
      <c r="G4037" s="12">
        <v>0</v>
      </c>
      <c r="H4037" s="12">
        <v>0</v>
      </c>
      <c r="I4037" s="12">
        <v>0</v>
      </c>
      <c r="J4037" s="11"/>
      <c r="K4037" s="12">
        <v>0</v>
      </c>
      <c r="L4037" s="10" t="str">
        <f t="shared" si="174"/>
        <v>LUP - VAE Webinar “Lupkynis▼ en la práctica clínica real: más allá de la respuesta renal” - Nefro</v>
      </c>
      <c r="M4037" s="10" t="str">
        <f t="shared" si="175"/>
        <v>gsammali@crm.otsuka-europe.com</v>
      </c>
      <c r="N4037" s="13">
        <v>46216.430844907409</v>
      </c>
      <c r="O4037" s="14" t="str">
        <f>HYPERLINK("https://otsuka-europe-crm.veevavault.com/ui/#object/email_activity__v/V8C000000049147", "EN-002105157")</f>
        <v>EN-002105157</v>
      </c>
    </row>
    <row r="4038" spans="1:15" ht="16" x14ac:dyDescent="0.2">
      <c r="A4038" s="18" t="str">
        <f>HYPERLINK("https://otsuka-europe-crm.veevavault.com/ui/#object/account__v/V4TZ025E85M0UKL", "JOSE ANTONIO FERRERAS GASCO")</f>
        <v>JOSE ANTONIO FERRERAS GASCO</v>
      </c>
      <c r="B4038" s="18" t="str">
        <f t="shared" si="172"/>
        <v>ES</v>
      </c>
      <c r="C4038" s="20" t="s">
        <v>39</v>
      </c>
      <c r="D4038" s="21" t="str">
        <f t="shared" si="173"/>
        <v>LUP - VAE Webinar “Lupkynis▼ en la práctica clínica real: más allá de la respuesta renal” - Nefro</v>
      </c>
      <c r="E4038" s="22" t="str">
        <f>HYPERLINK("https://otsuka-europe-crm.veevavault.com/ui/#object/sent_email__v/VBL000000038079", "SE-001443617")</f>
        <v>SE-001443617</v>
      </c>
      <c r="F4038" s="23"/>
      <c r="G4038" s="24">
        <v>0</v>
      </c>
      <c r="H4038" s="24">
        <v>0</v>
      </c>
      <c r="I4038" s="24">
        <v>0</v>
      </c>
      <c r="J4038" s="23"/>
      <c r="K4038" s="24">
        <v>0</v>
      </c>
      <c r="L4038" s="22" t="str">
        <f t="shared" si="174"/>
        <v>LUP - VAE Webinar “Lupkynis▼ en la práctica clínica real: más allá de la respuesta renal” - Nefro</v>
      </c>
      <c r="M4038" s="22" t="str">
        <f t="shared" si="175"/>
        <v>gsammali@crm.otsuka-europe.com</v>
      </c>
      <c r="N4038" s="25">
        <v>46216.430844907409</v>
      </c>
      <c r="O4038" s="14" t="str">
        <f>HYPERLINK("https://otsuka-europe-crm.veevavault.com/ui/#object/email_activity__v/V8C000000049133", "EN-002105142")</f>
        <v>EN-002105142</v>
      </c>
    </row>
    <row r="4039" spans="1:15" ht="16" x14ac:dyDescent="0.2">
      <c r="A4039" s="19"/>
      <c r="B4039" s="19"/>
      <c r="C4039" s="19"/>
      <c r="D4039" s="19"/>
      <c r="E4039" s="19"/>
      <c r="F4039" s="19"/>
      <c r="G4039" s="19"/>
      <c r="H4039" s="19"/>
      <c r="I4039" s="19"/>
      <c r="J4039" s="19"/>
      <c r="K4039" s="19"/>
      <c r="L4039" s="19"/>
      <c r="M4039" s="19"/>
      <c r="N4039" s="19"/>
      <c r="O4039" s="14" t="str">
        <f>HYPERLINK("https://otsuka-europe-crm.veevavault.com/ui/#object/email_activity__v/V8C00000004A402", "EN-002105734")</f>
        <v>EN-002105734</v>
      </c>
    </row>
    <row r="4040" spans="1:15" ht="16" x14ac:dyDescent="0.2">
      <c r="A4040" s="18" t="str">
        <f>HYPERLINK("https://otsuka-europe-crm.veevavault.com/ui/#object/account__v/V4TZ06G6O71T7JO", "JULIANA BORDIGNON DRAIBE")</f>
        <v>JULIANA BORDIGNON DRAIBE</v>
      </c>
      <c r="B4040" s="18" t="str">
        <f>HYPERLINK("https://otsuka-europe-crm.veevavault.com/ui/#object/vcountry__v/VENZ000004SONF5", "ES")</f>
        <v>ES</v>
      </c>
      <c r="C4040" s="20" t="s">
        <v>39</v>
      </c>
      <c r="D404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0" s="22" t="str">
        <f>HYPERLINK("https://otsuka-europe-crm.veevavault.com/ui/#object/sent_email__v/VBL000000038080", "SE-001443618")</f>
        <v>SE-001443618</v>
      </c>
      <c r="F4040" s="23"/>
      <c r="G4040" s="24">
        <v>0</v>
      </c>
      <c r="H4040" s="24">
        <v>0</v>
      </c>
      <c r="I4040" s="24">
        <v>0</v>
      </c>
      <c r="J4040" s="23"/>
      <c r="K4040" s="24">
        <v>0</v>
      </c>
      <c r="L404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0" s="22" t="str">
        <f>HYPERLINK("mailto:gsammali@crm.otsuka-europe.com", "gsammali@crm.otsuka-europe.com")</f>
        <v>gsammali@crm.otsuka-europe.com</v>
      </c>
      <c r="N4040" s="25">
        <v>46216.430844907409</v>
      </c>
      <c r="O4040" s="14" t="str">
        <f>HYPERLINK("https://otsuka-europe-crm.veevavault.com/ui/#object/email_activity__v/V8C000000049125", "EN-002105134")</f>
        <v>EN-002105134</v>
      </c>
    </row>
    <row r="4041" spans="1:15" ht="16" x14ac:dyDescent="0.2">
      <c r="A4041" s="19"/>
      <c r="B4041" s="19"/>
      <c r="C4041" s="19"/>
      <c r="D4041" s="19"/>
      <c r="E4041" s="19"/>
      <c r="F4041" s="19"/>
      <c r="G4041" s="19"/>
      <c r="H4041" s="19"/>
      <c r="I4041" s="19"/>
      <c r="J4041" s="19"/>
      <c r="K4041" s="19"/>
      <c r="L4041" s="19"/>
      <c r="M4041" s="19"/>
      <c r="N4041" s="19"/>
      <c r="O4041" s="14" t="str">
        <f>HYPERLINK("https://otsuka-europe-crm.veevavault.com/ui/#object/email_activity__v/V8C000000049341", "EN-002105483")</f>
        <v>EN-002105483</v>
      </c>
    </row>
    <row r="4042" spans="1:15" ht="64" x14ac:dyDescent="0.2">
      <c r="A4042" s="7" t="str">
        <f>HYPERLINK("https://otsuka-europe-crm.veevavault.com/ui/#object/account__v/V4TZ06G6O71T8OU", "RAUL SANCHEZ MARIN")</f>
        <v>RAUL SANCHEZ MARIN</v>
      </c>
      <c r="B4042" s="7" t="str">
        <f>HYPERLINK("https://otsuka-europe-crm.veevavault.com/ui/#object/vcountry__v/VENZ000004SONF5", "ES")</f>
        <v>ES</v>
      </c>
      <c r="C4042" s="8" t="s">
        <v>39</v>
      </c>
      <c r="D404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2" s="10" t="str">
        <f>HYPERLINK("https://otsuka-europe-crm.veevavault.com/ui/#object/sent_email__v/VBL000000038081", "SE-001443619")</f>
        <v>SE-001443619</v>
      </c>
      <c r="F4042" s="11"/>
      <c r="G4042" s="12">
        <v>0</v>
      </c>
      <c r="H4042" s="12">
        <v>0</v>
      </c>
      <c r="I4042" s="12">
        <v>0</v>
      </c>
      <c r="J4042" s="11"/>
      <c r="K4042" s="12">
        <v>0</v>
      </c>
      <c r="L404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2" s="10" t="str">
        <f>HYPERLINK("mailto:gsammali@crm.otsuka-europe.com", "gsammali@crm.otsuka-europe.com")</f>
        <v>gsammali@crm.otsuka-europe.com</v>
      </c>
      <c r="N4042" s="13">
        <v>46216.430844907409</v>
      </c>
      <c r="O4042" s="14" t="str">
        <f>HYPERLINK("https://otsuka-europe-crm.veevavault.com/ui/#object/email_activity__v/V8C000000049132", "EN-002105141")</f>
        <v>EN-002105141</v>
      </c>
    </row>
    <row r="4043" spans="1:15" ht="16" x14ac:dyDescent="0.2">
      <c r="A4043" s="18" t="str">
        <f>HYPERLINK("https://otsuka-europe-crm.veevavault.com/ui/#object/account__v/V4TZ04ASG7RX91O", "NANCY DANIELA VALENCIA MORALES")</f>
        <v>NANCY DANIELA VALENCIA MORALES</v>
      </c>
      <c r="B4043" s="18" t="str">
        <f>HYPERLINK("https://otsuka-europe-crm.veevavault.com/ui/#object/vcountry__v/VENZ000004SONF5", "ES")</f>
        <v>ES</v>
      </c>
      <c r="C4043" s="20" t="s">
        <v>39</v>
      </c>
      <c r="D404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3" s="22" t="str">
        <f>HYPERLINK("https://otsuka-europe-crm.veevavault.com/ui/#object/sent_email__v/VBL000000038082", "SE-001443620")</f>
        <v>SE-001443620</v>
      </c>
      <c r="F4043" s="23"/>
      <c r="G4043" s="24">
        <v>0</v>
      </c>
      <c r="H4043" s="24">
        <v>0</v>
      </c>
      <c r="I4043" s="24">
        <v>0</v>
      </c>
      <c r="J4043" s="23"/>
      <c r="K4043" s="24">
        <v>0</v>
      </c>
      <c r="L404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3" s="22" t="str">
        <f>HYPERLINK("mailto:gsammali@crm.otsuka-europe.com", "gsammali@crm.otsuka-europe.com")</f>
        <v>gsammali@crm.otsuka-europe.com</v>
      </c>
      <c r="N4043" s="25">
        <v>46216.430856481478</v>
      </c>
      <c r="O4043" s="14" t="str">
        <f>HYPERLINK("https://otsuka-europe-crm.veevavault.com/ui/#object/email_activity__v/V8C000000049172", "EN-002105181")</f>
        <v>EN-002105181</v>
      </c>
    </row>
    <row r="4044" spans="1:15" ht="16" x14ac:dyDescent="0.2">
      <c r="A4044" s="19"/>
      <c r="B4044" s="19"/>
      <c r="C4044" s="19"/>
      <c r="D4044" s="19"/>
      <c r="E4044" s="19"/>
      <c r="F4044" s="19"/>
      <c r="G4044" s="19"/>
      <c r="H4044" s="19"/>
      <c r="I4044" s="19"/>
      <c r="J4044" s="19"/>
      <c r="K4044" s="19"/>
      <c r="L4044" s="19"/>
      <c r="M4044" s="19"/>
      <c r="N4044" s="19"/>
      <c r="O4044" s="14" t="str">
        <f>HYPERLINK("https://otsuka-europe-crm.veevavault.com/ui/#object/email_activity__v/V8C000000049541", "EN-002105880")</f>
        <v>EN-002105880</v>
      </c>
    </row>
    <row r="4045" spans="1:15" ht="64" x14ac:dyDescent="0.2">
      <c r="A4045" s="7" t="str">
        <f>HYPERLINK("https://otsuka-europe-crm.veevavault.com/ui/#object/account__v/V4TZ06G6O71TBF9", "ITZIAR NIEVES NAVARRO ZORITA")</f>
        <v>ITZIAR NIEVES NAVARRO ZORITA</v>
      </c>
      <c r="B4045" s="7" t="str">
        <f t="shared" ref="B4045:B4051" si="176">HYPERLINK("https://otsuka-europe-crm.veevavault.com/ui/#object/vcountry__v/VENZ000004SONF5", "ES")</f>
        <v>ES</v>
      </c>
      <c r="C4045" s="8" t="s">
        <v>39</v>
      </c>
      <c r="D404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5" s="10" t="str">
        <f>HYPERLINK("https://otsuka-europe-crm.veevavault.com/ui/#object/sent_email__v/VBL000000038083", "SE-001443621")</f>
        <v>SE-001443621</v>
      </c>
      <c r="F4045" s="11"/>
      <c r="G4045" s="12">
        <v>0</v>
      </c>
      <c r="H4045" s="12">
        <v>0</v>
      </c>
      <c r="I4045" s="12">
        <v>0</v>
      </c>
      <c r="J4045" s="11"/>
      <c r="K4045" s="12">
        <v>0</v>
      </c>
      <c r="L404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5" s="10" t="str">
        <f t="shared" ref="M4045:M4051" si="177">HYPERLINK("mailto:gsammali@crm.otsuka-europe.com", "gsammali@crm.otsuka-europe.com")</f>
        <v>gsammali@crm.otsuka-europe.com</v>
      </c>
      <c r="N4045" s="13">
        <v>46216.430844907409</v>
      </c>
      <c r="O4045" s="14" t="str">
        <f>HYPERLINK("https://otsuka-europe-crm.veevavault.com/ui/#object/email_activity__v/V8C000000049195", "EN-002105204")</f>
        <v>EN-002105204</v>
      </c>
    </row>
    <row r="4046" spans="1:15" ht="64" x14ac:dyDescent="0.2">
      <c r="A4046" s="7" t="str">
        <f>HYPERLINK("https://otsuka-europe-crm.veevavault.com/ui/#object/account__v/V4TZ06G6O71T9UY", "XAVIER FULLADOSA OLIVERAS")</f>
        <v>XAVIER FULLADOSA OLIVERAS</v>
      </c>
      <c r="B4046" s="7" t="str">
        <f t="shared" si="176"/>
        <v>ES</v>
      </c>
      <c r="C4046" s="8" t="s">
        <v>39</v>
      </c>
      <c r="D40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6" s="10" t="str">
        <f>HYPERLINK("https://otsuka-europe-crm.veevavault.com/ui/#object/sent_email__v/VBL000000038084", "SE-001443622")</f>
        <v>SE-001443622</v>
      </c>
      <c r="F4046" s="11"/>
      <c r="G4046" s="12">
        <v>0</v>
      </c>
      <c r="H4046" s="12">
        <v>0</v>
      </c>
      <c r="I4046" s="12">
        <v>0</v>
      </c>
      <c r="J4046" s="11"/>
      <c r="K4046" s="12">
        <v>0</v>
      </c>
      <c r="L40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6" s="10" t="str">
        <f t="shared" si="177"/>
        <v>gsammali@crm.otsuka-europe.com</v>
      </c>
      <c r="N4046" s="13">
        <v>46216.430844907409</v>
      </c>
      <c r="O4046" s="14" t="str">
        <f>HYPERLINK("https://otsuka-europe-crm.veevavault.com/ui/#object/email_activity__v/V8C000000049156", "EN-002105165")</f>
        <v>EN-002105165</v>
      </c>
    </row>
    <row r="4047" spans="1:15" ht="64" x14ac:dyDescent="0.2">
      <c r="A4047" s="7" t="str">
        <f>HYPERLINK("https://otsuka-europe-crm.veevavault.com/ui/#object/account__v/V4TZ06G6O71TBSC", "JOSEP RIBA POLA")</f>
        <v>JOSEP RIBA POLA</v>
      </c>
      <c r="B4047" s="7" t="str">
        <f t="shared" si="176"/>
        <v>ES</v>
      </c>
      <c r="C4047" s="8" t="s">
        <v>39</v>
      </c>
      <c r="D404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7" s="10" t="str">
        <f>HYPERLINK("https://otsuka-europe-crm.veevavault.com/ui/#object/sent_email__v/VBL000000038085", "SE-001443623")</f>
        <v>SE-001443623</v>
      </c>
      <c r="F4047" s="11"/>
      <c r="G4047" s="12">
        <v>0</v>
      </c>
      <c r="H4047" s="12">
        <v>0</v>
      </c>
      <c r="I4047" s="12">
        <v>0</v>
      </c>
      <c r="J4047" s="11"/>
      <c r="K4047" s="12">
        <v>0</v>
      </c>
      <c r="L404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7" s="10" t="str">
        <f t="shared" si="177"/>
        <v>gsammali@crm.otsuka-europe.com</v>
      </c>
      <c r="N4047" s="13">
        <v>46216.430844907409</v>
      </c>
      <c r="O4047" s="14" t="str">
        <f>HYPERLINK("https://otsuka-europe-crm.veevavault.com/ui/#object/email_activity__v/V8C00000004A262", "EN-002105450")</f>
        <v>EN-002105450</v>
      </c>
    </row>
    <row r="4048" spans="1:15" ht="64" x14ac:dyDescent="0.2">
      <c r="A4048" s="7" t="str">
        <f>HYPERLINK("https://otsuka-europe-crm.veevavault.com/ui/#object/account__v/V4TZ06G6O71TBQD", "MONTSERRAT PICAZO SANCHEZ")</f>
        <v>MONTSERRAT PICAZO SANCHEZ</v>
      </c>
      <c r="B4048" s="7" t="str">
        <f t="shared" si="176"/>
        <v>ES</v>
      </c>
      <c r="C4048" s="8" t="s">
        <v>39</v>
      </c>
      <c r="D404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048" s="10" t="str">
        <f>HYPERLINK("https://otsuka-europe-crm.veevavault.com/ui/#object/sent_email__v/VBL000000038086", "SE-001443624")</f>
        <v>SE-001443624</v>
      </c>
      <c r="F4048" s="11"/>
      <c r="G4048" s="12">
        <v>0</v>
      </c>
      <c r="H4048" s="12">
        <v>0</v>
      </c>
      <c r="I4048" s="12">
        <v>0</v>
      </c>
      <c r="J4048" s="11"/>
      <c r="K4048" s="12">
        <v>0</v>
      </c>
      <c r="L404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048" s="10" t="str">
        <f t="shared" si="177"/>
        <v>gsammali@crm.otsuka-europe.com</v>
      </c>
      <c r="N4048" s="13">
        <v>46216.430844907409</v>
      </c>
      <c r="O4048" s="14" t="str">
        <f>HYPERLINK("https://otsuka-europe-crm.veevavault.com/ui/#object/email_activity__v/V8C000000049187", "EN-002105196")</f>
        <v>EN-002105196</v>
      </c>
    </row>
    <row r="4049" spans="1:15" ht="32" x14ac:dyDescent="0.2">
      <c r="A4049" s="7" t="str">
        <f>HYPERLINK("https://otsuka-europe-crm.veevavault.com/ui/#object/account__v/V4TZ025E88GBRZL", "LEYRE GARCIA CANTALEJO")</f>
        <v>LEYRE GARCIA CANTALEJO</v>
      </c>
      <c r="B4049" s="7" t="str">
        <f t="shared" si="176"/>
        <v>ES</v>
      </c>
      <c r="C4049" s="8" t="s">
        <v>39</v>
      </c>
      <c r="D4049" s="9" t="str">
        <f>HYPERLINK("https://otsuka-europe-crm.veevavault.com/ui/#object/approved_document__v/V5O00000001A037", "LUP - VAE Póster Adelphi - Nefro")</f>
        <v>LUP - VAE Póster Adelphi - Nefro</v>
      </c>
      <c r="E4049" s="10" t="str">
        <f>HYPERLINK("https://otsuka-europe-crm.veevavault.com/ui/#object/sent_email__v/VBL000000037050", "SE-001443625")</f>
        <v>SE-001443625</v>
      </c>
      <c r="F4049" s="11"/>
      <c r="G4049" s="12">
        <v>0</v>
      </c>
      <c r="H4049" s="12">
        <v>0</v>
      </c>
      <c r="I4049" s="12">
        <v>0</v>
      </c>
      <c r="J4049" s="11"/>
      <c r="K4049" s="12">
        <v>0</v>
      </c>
      <c r="L4049" s="10" t="str">
        <f>HYPERLINK("https://otsuka-europe-crm.veevavault.com/ui/#object/approved_document__v/V5O00000001A037", "LUP - VAE Póster Adelphi - Nefro")</f>
        <v>LUP - VAE Póster Adelphi - Nefro</v>
      </c>
      <c r="M4049" s="10" t="str">
        <f t="shared" si="177"/>
        <v>gsammali@crm.otsuka-europe.com</v>
      </c>
      <c r="N4049" s="13">
        <v>46216.433136574073</v>
      </c>
      <c r="O4049" s="14" t="str">
        <f>HYPERLINK("https://otsuka-europe-crm.veevavault.com/ui/#object/email_activity__v/V8C00000004A151", "EN-002105245")</f>
        <v>EN-002105245</v>
      </c>
    </row>
    <row r="4050" spans="1:15" ht="32" x14ac:dyDescent="0.2">
      <c r="A4050" s="7" t="str">
        <f>HYPERLINK("https://otsuka-europe-crm.veevavault.com/ui/#object/account__v/V4TZ06G6O71TA85", "ROSA GARCIA OSUNA")</f>
        <v>ROSA GARCIA OSUNA</v>
      </c>
      <c r="B4050" s="7" t="str">
        <f t="shared" si="176"/>
        <v>ES</v>
      </c>
      <c r="C4050" s="8" t="s">
        <v>39</v>
      </c>
      <c r="D4050" s="9" t="str">
        <f>HYPERLINK("https://otsuka-europe-crm.veevavault.com/ui/#object/approved_document__v/V5O00000001A037", "LUP - VAE Póster Adelphi - Nefro")</f>
        <v>LUP - VAE Póster Adelphi - Nefro</v>
      </c>
      <c r="E4050" s="10" t="str">
        <f>HYPERLINK("https://otsuka-europe-crm.veevavault.com/ui/#object/sent_email__v/VBL000000037051", "SE-001443626")</f>
        <v>SE-001443626</v>
      </c>
      <c r="F4050" s="11"/>
      <c r="G4050" s="12">
        <v>0</v>
      </c>
      <c r="H4050" s="12">
        <v>0</v>
      </c>
      <c r="I4050" s="12">
        <v>0</v>
      </c>
      <c r="J4050" s="11"/>
      <c r="K4050" s="12">
        <v>0</v>
      </c>
      <c r="L4050" s="10" t="str">
        <f>HYPERLINK("https://otsuka-europe-crm.veevavault.com/ui/#object/approved_document__v/V5O00000001A037", "LUP - VAE Póster Adelphi - Nefro")</f>
        <v>LUP - VAE Póster Adelphi - Nefro</v>
      </c>
      <c r="M4050" s="10" t="str">
        <f t="shared" si="177"/>
        <v>gsammali@crm.otsuka-europe.com</v>
      </c>
      <c r="N4050" s="13">
        <v>46216.433113425926</v>
      </c>
      <c r="O4050" s="14" t="str">
        <f>HYPERLINK("https://otsuka-europe-crm.veevavault.com/ui/#object/email_activity__v/V8C000000049230", "EN-002105258")</f>
        <v>EN-002105258</v>
      </c>
    </row>
    <row r="4051" spans="1:15" ht="16" x14ac:dyDescent="0.2">
      <c r="A4051" s="18" t="str">
        <f>HYPERLINK("https://otsuka-europe-crm.veevavault.com/ui/#object/account__v/V4TZ06G6O71T7BZ", "MARIA LAURA SALVETTI FERNANDEZ")</f>
        <v>MARIA LAURA SALVETTI FERNANDEZ</v>
      </c>
      <c r="B4051" s="18" t="str">
        <f t="shared" si="176"/>
        <v>ES</v>
      </c>
      <c r="C4051" s="20" t="s">
        <v>39</v>
      </c>
      <c r="D4051" s="21" t="str">
        <f>HYPERLINK("https://otsuka-europe-crm.veevavault.com/ui/#object/approved_document__v/V5O00000001A037", "LUP - VAE Póster Adelphi - Nefro")</f>
        <v>LUP - VAE Póster Adelphi - Nefro</v>
      </c>
      <c r="E4051" s="22" t="str">
        <f>HYPERLINK("https://otsuka-europe-crm.veevavault.com/ui/#object/sent_email__v/VBL000000037052", "SE-001443627")</f>
        <v>SE-001443627</v>
      </c>
      <c r="F4051" s="25">
        <v>46216.617268518516</v>
      </c>
      <c r="G4051" s="24">
        <v>1</v>
      </c>
      <c r="H4051" s="24">
        <v>2</v>
      </c>
      <c r="I4051" s="24">
        <v>0</v>
      </c>
      <c r="J4051" s="23"/>
      <c r="K4051" s="24">
        <v>0</v>
      </c>
      <c r="L4051" s="22" t="str">
        <f>HYPERLINK("https://otsuka-europe-crm.veevavault.com/ui/#object/approved_document__v/V5O00000001A037", "LUP - VAE Póster Adelphi - Nefro")</f>
        <v>LUP - VAE Póster Adelphi - Nefro</v>
      </c>
      <c r="M4051" s="22" t="str">
        <f t="shared" si="177"/>
        <v>gsammali@crm.otsuka-europe.com</v>
      </c>
      <c r="N4051" s="25">
        <v>46216.433113425926</v>
      </c>
      <c r="O4051" s="14" t="str">
        <f>HYPERLINK("https://otsuka-europe-crm.veevavault.com/ui/#object/email_activity__v/V8C000000049237", "EN-002105315")</f>
        <v>EN-002105315</v>
      </c>
    </row>
    <row r="4052" spans="1:15" ht="16" x14ac:dyDescent="0.2">
      <c r="A4052" s="26"/>
      <c r="B4052" s="26"/>
      <c r="C4052" s="26"/>
      <c r="D4052" s="26"/>
      <c r="E4052" s="26"/>
      <c r="F4052" s="26"/>
      <c r="G4052" s="26"/>
      <c r="H4052" s="26"/>
      <c r="I4052" s="26"/>
      <c r="J4052" s="26"/>
      <c r="K4052" s="26"/>
      <c r="L4052" s="26"/>
      <c r="M4052" s="26"/>
      <c r="N4052" s="26"/>
      <c r="O4052" s="14" t="str">
        <f>HYPERLINK("https://otsuka-europe-crm.veevavault.com/ui/#object/email_activity__v/V8C000000049363", "EN-002105529")</f>
        <v>EN-002105529</v>
      </c>
    </row>
    <row r="4053" spans="1:15" ht="16" x14ac:dyDescent="0.2">
      <c r="A4053" s="19"/>
      <c r="B4053" s="19"/>
      <c r="C4053" s="19"/>
      <c r="D4053" s="19"/>
      <c r="E4053" s="19"/>
      <c r="F4053" s="19"/>
      <c r="G4053" s="19"/>
      <c r="H4053" s="19"/>
      <c r="I4053" s="19"/>
      <c r="J4053" s="19"/>
      <c r="K4053" s="19"/>
      <c r="L4053" s="19"/>
      <c r="M4053" s="19"/>
      <c r="N4053" s="19"/>
      <c r="O4053" s="14" t="str">
        <f>HYPERLINK("https://otsuka-europe-crm.veevavault.com/ui/#object/email_activity__v/V8C000000049365", "EN-002105531")</f>
        <v>EN-002105531</v>
      </c>
    </row>
    <row r="4054" spans="1:15" ht="16" x14ac:dyDescent="0.2">
      <c r="A4054" s="18" t="str">
        <f>HYPERLINK("https://otsuka-europe-crm.veevavault.com/ui/#object/account__v/V4TZ025E83NRYU2", "ELISABET MASSO JIMENEZ")</f>
        <v>ELISABET MASSO JIMENEZ</v>
      </c>
      <c r="B4054" s="18" t="str">
        <f>HYPERLINK("https://otsuka-europe-crm.veevavault.com/ui/#object/vcountry__v/VENZ000004SONF5", "ES")</f>
        <v>ES</v>
      </c>
      <c r="C4054" s="20" t="s">
        <v>39</v>
      </c>
      <c r="D4054" s="21" t="str">
        <f>HYPERLINK("https://otsuka-europe-crm.veevavault.com/ui/#object/approved_document__v/V5O00000001A037", "LUP - VAE Póster Adelphi - Nefro")</f>
        <v>LUP - VAE Póster Adelphi - Nefro</v>
      </c>
      <c r="E4054" s="22" t="str">
        <f>HYPERLINK("https://otsuka-europe-crm.veevavault.com/ui/#object/sent_email__v/VBL000000037053", "SE-001443628")</f>
        <v>SE-001443628</v>
      </c>
      <c r="F4054" s="25">
        <v>46216.542592592596</v>
      </c>
      <c r="G4054" s="24">
        <v>1</v>
      </c>
      <c r="H4054" s="24">
        <v>2</v>
      </c>
      <c r="I4054" s="24">
        <v>0</v>
      </c>
      <c r="J4054" s="23"/>
      <c r="K4054" s="24">
        <v>0</v>
      </c>
      <c r="L4054" s="22" t="str">
        <f>HYPERLINK("https://otsuka-europe-crm.veevavault.com/ui/#object/approved_document__v/V5O00000001A037", "LUP - VAE Póster Adelphi - Nefro")</f>
        <v>LUP - VAE Póster Adelphi - Nefro</v>
      </c>
      <c r="M4054" s="22" t="str">
        <f>HYPERLINK("mailto:gsammali@crm.otsuka-europe.com", "gsammali@crm.otsuka-europe.com")</f>
        <v>gsammali@crm.otsuka-europe.com</v>
      </c>
      <c r="N4054" s="25">
        <v>46216.433113425926</v>
      </c>
      <c r="O4054" s="14" t="str">
        <f>HYPERLINK("https://otsuka-europe-crm.veevavault.com/ui/#object/email_activity__v/V8C000000049349", "EN-002105501")</f>
        <v>EN-002105501</v>
      </c>
    </row>
    <row r="4055" spans="1:15" ht="16" x14ac:dyDescent="0.2">
      <c r="A4055" s="26"/>
      <c r="B4055" s="26"/>
      <c r="C4055" s="26"/>
      <c r="D4055" s="26"/>
      <c r="E4055" s="26"/>
      <c r="F4055" s="26"/>
      <c r="G4055" s="26"/>
      <c r="H4055" s="26"/>
      <c r="I4055" s="26"/>
      <c r="J4055" s="26"/>
      <c r="K4055" s="26"/>
      <c r="L4055" s="26"/>
      <c r="M4055" s="26"/>
      <c r="N4055" s="26"/>
      <c r="O4055" s="14" t="str">
        <f>HYPERLINK("https://otsuka-europe-crm.veevavault.com/ui/#object/email_activity__v/V8C000000049351", "EN-002105503")</f>
        <v>EN-002105503</v>
      </c>
    </row>
    <row r="4056" spans="1:15" ht="16" x14ac:dyDescent="0.2">
      <c r="A4056" s="19"/>
      <c r="B4056" s="19"/>
      <c r="C4056" s="19"/>
      <c r="D4056" s="19"/>
      <c r="E4056" s="19"/>
      <c r="F4056" s="19"/>
      <c r="G4056" s="19"/>
      <c r="H4056" s="19"/>
      <c r="I4056" s="19"/>
      <c r="J4056" s="19"/>
      <c r="K4056" s="19"/>
      <c r="L4056" s="19"/>
      <c r="M4056" s="19"/>
      <c r="N4056" s="19"/>
      <c r="O4056" s="14" t="str">
        <f>HYPERLINK("https://otsuka-europe-crm.veevavault.com/ui/#object/email_activity__v/V8C00000004A195", "EN-002105295")</f>
        <v>EN-002105295</v>
      </c>
    </row>
    <row r="4057" spans="1:15" ht="16" x14ac:dyDescent="0.2">
      <c r="A4057" s="18" t="str">
        <f>HYPERLINK("https://otsuka-europe-crm.veevavault.com/ui/#object/account__v/V4TZ06G6O71TBU0", "MONICA POU POTAU")</f>
        <v>MONICA POU POTAU</v>
      </c>
      <c r="B4057" s="18" t="str">
        <f>HYPERLINK("https://otsuka-europe-crm.veevavault.com/ui/#object/vcountry__v/VENZ000004SONF5", "ES")</f>
        <v>ES</v>
      </c>
      <c r="C4057" s="20" t="s">
        <v>39</v>
      </c>
      <c r="D4057" s="21" t="str">
        <f>HYPERLINK("https://otsuka-europe-crm.veevavault.com/ui/#object/approved_document__v/V5O00000001A037", "LUP - VAE Póster Adelphi - Nefro")</f>
        <v>LUP - VAE Póster Adelphi - Nefro</v>
      </c>
      <c r="E4057" s="22" t="str">
        <f>HYPERLINK("https://otsuka-europe-crm.veevavault.com/ui/#object/sent_email__v/VBL000000037054", "SE-001443629")</f>
        <v>SE-001443629</v>
      </c>
      <c r="F4057" s="25">
        <v>46218.631099537037</v>
      </c>
      <c r="G4057" s="24">
        <v>1</v>
      </c>
      <c r="H4057" s="24">
        <v>2</v>
      </c>
      <c r="I4057" s="24">
        <v>1</v>
      </c>
      <c r="J4057" s="25">
        <v>46218.63009259259</v>
      </c>
      <c r="K4057" s="24">
        <v>1</v>
      </c>
      <c r="L4057" s="22" t="str">
        <f>HYPERLINK("https://otsuka-europe-crm.veevavault.com/ui/#object/approved_document__v/V5O00000001A037", "LUP - VAE Póster Adelphi - Nefro")</f>
        <v>LUP - VAE Póster Adelphi - Nefro</v>
      </c>
      <c r="M4057" s="22" t="str">
        <f>HYPERLINK("mailto:gsammali@crm.otsuka-europe.com", "gsammali@crm.otsuka-europe.com")</f>
        <v>gsammali@crm.otsuka-europe.com</v>
      </c>
      <c r="N4057" s="25">
        <v>46216.433113425926</v>
      </c>
      <c r="O4057" s="14" t="str">
        <f>HYPERLINK("https://otsuka-europe-crm.veevavault.com/ui/#object/email_activity__v/V8C000000049816", "EN-002106469")</f>
        <v>EN-002106469</v>
      </c>
    </row>
    <row r="4058" spans="1:15" ht="16" x14ac:dyDescent="0.2">
      <c r="A4058" s="26"/>
      <c r="B4058" s="26"/>
      <c r="C4058" s="26"/>
      <c r="D4058" s="26"/>
      <c r="E4058" s="26"/>
      <c r="F4058" s="26"/>
      <c r="G4058" s="26"/>
      <c r="H4058" s="26"/>
      <c r="I4058" s="26"/>
      <c r="J4058" s="26"/>
      <c r="K4058" s="26"/>
      <c r="L4058" s="26"/>
      <c r="M4058" s="26"/>
      <c r="N4058" s="26"/>
      <c r="O4058" s="14" t="str">
        <f>HYPERLINK("https://otsuka-europe-crm.veevavault.com/ui/#object/email_activity__v/V8C000000049817", "EN-002106470")</f>
        <v>EN-002106470</v>
      </c>
    </row>
    <row r="4059" spans="1:15" ht="16" x14ac:dyDescent="0.2">
      <c r="A4059" s="26"/>
      <c r="B4059" s="26"/>
      <c r="C4059" s="26"/>
      <c r="D4059" s="26"/>
      <c r="E4059" s="26"/>
      <c r="F4059" s="26"/>
      <c r="G4059" s="26"/>
      <c r="H4059" s="26"/>
      <c r="I4059" s="26"/>
      <c r="J4059" s="26"/>
      <c r="K4059" s="26"/>
      <c r="L4059" s="26"/>
      <c r="M4059" s="26"/>
      <c r="N4059" s="26"/>
      <c r="O4059" s="14" t="str">
        <f>HYPERLINK("https://otsuka-europe-crm.veevavault.com/ui/#object/email_activity__v/V8C00000004A184", "EN-002105284")</f>
        <v>EN-002105284</v>
      </c>
    </row>
    <row r="4060" spans="1:15" ht="16" x14ac:dyDescent="0.2">
      <c r="A4060" s="26"/>
      <c r="B4060" s="26"/>
      <c r="C4060" s="26"/>
      <c r="D4060" s="26"/>
      <c r="E4060" s="26"/>
      <c r="F4060" s="26"/>
      <c r="G4060" s="26"/>
      <c r="H4060" s="26"/>
      <c r="I4060" s="26"/>
      <c r="J4060" s="26"/>
      <c r="K4060" s="26"/>
      <c r="L4060" s="26"/>
      <c r="M4060" s="26"/>
      <c r="N4060" s="26"/>
      <c r="O4060" s="14" t="str">
        <f>HYPERLINK("https://otsuka-europe-crm.veevavault.com/ui/#object/email_activity__v/V8C00000004A220", "EN-002105334")</f>
        <v>EN-002105334</v>
      </c>
    </row>
    <row r="4061" spans="1:15" ht="16" x14ac:dyDescent="0.2">
      <c r="A4061" s="19"/>
      <c r="B4061" s="19"/>
      <c r="C4061" s="19"/>
      <c r="D4061" s="19"/>
      <c r="E4061" s="19"/>
      <c r="F4061" s="19"/>
      <c r="G4061" s="19"/>
      <c r="H4061" s="19"/>
      <c r="I4061" s="19"/>
      <c r="J4061" s="19"/>
      <c r="K4061" s="19"/>
      <c r="L4061" s="19"/>
      <c r="M4061" s="19"/>
      <c r="N4061" s="19"/>
      <c r="O4061" s="14" t="str">
        <f>HYPERLINK("https://otsuka-europe-crm.veevavault.com/ui/#object/email_activity__v/V8C00000004A788", "EN-002106471")</f>
        <v>EN-002106471</v>
      </c>
    </row>
    <row r="4062" spans="1:15" ht="16" x14ac:dyDescent="0.2">
      <c r="A4062" s="18" t="str">
        <f>HYPERLINK("https://otsuka-europe-crm.veevavault.com/ui/#object/account__v/V4TZ06G6O71TBHT", "JOSE MARIA PEÑA PORTA")</f>
        <v>JOSE MARIA PEÑA PORTA</v>
      </c>
      <c r="B4062" s="18" t="str">
        <f>HYPERLINK("https://otsuka-europe-crm.veevavault.com/ui/#object/vcountry__v/VENZ000004SONF5", "ES")</f>
        <v>ES</v>
      </c>
      <c r="C4062" s="20" t="s">
        <v>39</v>
      </c>
      <c r="D4062" s="21" t="str">
        <f>HYPERLINK("https://otsuka-europe-crm.veevavault.com/ui/#object/approved_document__v/V5O00000001A037", "LUP - VAE Póster Adelphi - Nefro")</f>
        <v>LUP - VAE Póster Adelphi - Nefro</v>
      </c>
      <c r="E4062" s="22" t="str">
        <f>HYPERLINK("https://otsuka-europe-crm.veevavault.com/ui/#object/sent_email__v/VBL000000037055", "SE-001443630")</f>
        <v>SE-001443630</v>
      </c>
      <c r="F4062" s="25">
        <v>46216.475671296299</v>
      </c>
      <c r="G4062" s="24">
        <v>1</v>
      </c>
      <c r="H4062" s="24">
        <v>1</v>
      </c>
      <c r="I4062" s="24">
        <v>0</v>
      </c>
      <c r="J4062" s="23"/>
      <c r="K4062" s="24">
        <v>0</v>
      </c>
      <c r="L4062" s="22" t="str">
        <f>HYPERLINK("https://otsuka-europe-crm.veevavault.com/ui/#object/approved_document__v/V5O00000001A037", "LUP - VAE Póster Adelphi - Nefro")</f>
        <v>LUP - VAE Póster Adelphi - Nefro</v>
      </c>
      <c r="M4062" s="22" t="str">
        <f>HYPERLINK("mailto:gsammali@crm.otsuka-europe.com", "gsammali@crm.otsuka-europe.com")</f>
        <v>gsammali@crm.otsuka-europe.com</v>
      </c>
      <c r="N4062" s="25">
        <v>46216.433113425926</v>
      </c>
      <c r="O4062" s="14" t="str">
        <f>HYPERLINK("https://otsuka-europe-crm.veevavault.com/ui/#object/email_activity__v/V8C000000049340", "EN-002105482")</f>
        <v>EN-002105482</v>
      </c>
    </row>
    <row r="4063" spans="1:15" ht="16" x14ac:dyDescent="0.2">
      <c r="A4063" s="19"/>
      <c r="B4063" s="19"/>
      <c r="C4063" s="19"/>
      <c r="D4063" s="19"/>
      <c r="E4063" s="19"/>
      <c r="F4063" s="19"/>
      <c r="G4063" s="19"/>
      <c r="H4063" s="19"/>
      <c r="I4063" s="19"/>
      <c r="J4063" s="19"/>
      <c r="K4063" s="19"/>
      <c r="L4063" s="19"/>
      <c r="M4063" s="19"/>
      <c r="N4063" s="19"/>
      <c r="O4063" s="14" t="str">
        <f>HYPERLINK("https://otsuka-europe-crm.veevavault.com/ui/#object/email_activity__v/V8C00000004A171", "EN-002105271")</f>
        <v>EN-002105271</v>
      </c>
    </row>
    <row r="4064" spans="1:15" ht="16" x14ac:dyDescent="0.2">
      <c r="A4064" s="18" t="str">
        <f>HYPERLINK("https://otsuka-europe-crm.veevavault.com/ui/#object/account__v/V4T00000001H017", "CARLES CAÑAMERAS FUGASOT")</f>
        <v>CARLES CAÑAMERAS FUGASOT</v>
      </c>
      <c r="B4064" s="18" t="str">
        <f>HYPERLINK("https://otsuka-europe-crm.veevavault.com/ui/#object/vcountry__v/VENZ000004SONF5", "ES")</f>
        <v>ES</v>
      </c>
      <c r="C4064" s="20" t="s">
        <v>39</v>
      </c>
      <c r="D4064" s="21" t="str">
        <f>HYPERLINK("https://otsuka-europe-crm.veevavault.com/ui/#object/approved_document__v/V5O00000001A037", "LUP - VAE Póster Adelphi - Nefro")</f>
        <v>LUP - VAE Póster Adelphi - Nefro</v>
      </c>
      <c r="E4064" s="22" t="str">
        <f>HYPERLINK("https://otsuka-europe-crm.veevavault.com/ui/#object/sent_email__v/VBL000000037056", "SE-001443631")</f>
        <v>SE-001443631</v>
      </c>
      <c r="F4064" s="25">
        <v>46216.456678240742</v>
      </c>
      <c r="G4064" s="24">
        <v>1</v>
      </c>
      <c r="H4064" s="24">
        <v>2</v>
      </c>
      <c r="I4064" s="24">
        <v>1</v>
      </c>
      <c r="J4064" s="25">
        <v>46216.456805555557</v>
      </c>
      <c r="K4064" s="24">
        <v>1</v>
      </c>
      <c r="L4064" s="22" t="str">
        <f>HYPERLINK("https://otsuka-europe-crm.veevavault.com/ui/#object/approved_document__v/V5O00000001A037", "LUP - VAE Póster Adelphi - Nefro")</f>
        <v>LUP - VAE Póster Adelphi - Nefro</v>
      </c>
      <c r="M4064" s="22" t="str">
        <f>HYPERLINK("mailto:gsammali@crm.otsuka-europe.com", "gsammali@crm.otsuka-europe.com")</f>
        <v>gsammali@crm.otsuka-europe.com</v>
      </c>
      <c r="N4064" s="25">
        <v>46216.433113425926</v>
      </c>
      <c r="O4064" s="14" t="str">
        <f>HYPERLINK("https://otsuka-europe-crm.veevavault.com/ui/#object/email_activity__v/V8C000000049330", "EN-002105468")</f>
        <v>EN-002105468</v>
      </c>
    </row>
    <row r="4065" spans="1:15" ht="16" x14ac:dyDescent="0.2">
      <c r="A4065" s="26"/>
      <c r="B4065" s="26"/>
      <c r="C4065" s="26"/>
      <c r="D4065" s="26"/>
      <c r="E4065" s="26"/>
      <c r="F4065" s="26"/>
      <c r="G4065" s="26"/>
      <c r="H4065" s="26"/>
      <c r="I4065" s="26"/>
      <c r="J4065" s="26"/>
      <c r="K4065" s="26"/>
      <c r="L4065" s="26"/>
      <c r="M4065" s="26"/>
      <c r="N4065" s="26"/>
      <c r="O4065" s="14" t="str">
        <f>HYPERLINK("https://otsuka-europe-crm.veevavault.com/ui/#object/email_activity__v/V8C000000049335", "EN-002105477")</f>
        <v>EN-002105477</v>
      </c>
    </row>
    <row r="4066" spans="1:15" ht="16" x14ac:dyDescent="0.2">
      <c r="A4066" s="26"/>
      <c r="B4066" s="26"/>
      <c r="C4066" s="26"/>
      <c r="D4066" s="26"/>
      <c r="E4066" s="26"/>
      <c r="F4066" s="26"/>
      <c r="G4066" s="26"/>
      <c r="H4066" s="26"/>
      <c r="I4066" s="26"/>
      <c r="J4066" s="26"/>
      <c r="K4066" s="26"/>
      <c r="L4066" s="26"/>
      <c r="M4066" s="26"/>
      <c r="N4066" s="26"/>
      <c r="O4066" s="14" t="str">
        <f>HYPERLINK("https://otsuka-europe-crm.veevavault.com/ui/#object/email_activity__v/V8C00000004A174", "EN-002105274")</f>
        <v>EN-002105274</v>
      </c>
    </row>
    <row r="4067" spans="1:15" ht="16" x14ac:dyDescent="0.2">
      <c r="A4067" s="26"/>
      <c r="B4067" s="26"/>
      <c r="C4067" s="26"/>
      <c r="D4067" s="26"/>
      <c r="E4067" s="26"/>
      <c r="F4067" s="26"/>
      <c r="G4067" s="26"/>
      <c r="H4067" s="26"/>
      <c r="I4067" s="26"/>
      <c r="J4067" s="26"/>
      <c r="K4067" s="26"/>
      <c r="L4067" s="26"/>
      <c r="M4067" s="26"/>
      <c r="N4067" s="26"/>
      <c r="O4067" s="14" t="str">
        <f>HYPERLINK("https://otsuka-europe-crm.veevavault.com/ui/#object/email_activity__v/V8C00000004A273", "EN-002105469")</f>
        <v>EN-002105469</v>
      </c>
    </row>
    <row r="4068" spans="1:15" ht="16" x14ac:dyDescent="0.2">
      <c r="A4068" s="19"/>
      <c r="B4068" s="19"/>
      <c r="C4068" s="19"/>
      <c r="D4068" s="19"/>
      <c r="E4068" s="19"/>
      <c r="F4068" s="19"/>
      <c r="G4068" s="19"/>
      <c r="H4068" s="19"/>
      <c r="I4068" s="19"/>
      <c r="J4068" s="19"/>
      <c r="K4068" s="19"/>
      <c r="L4068" s="19"/>
      <c r="M4068" s="19"/>
      <c r="N4068" s="19"/>
      <c r="O4068" s="14" t="str">
        <f>HYPERLINK("https://otsuka-europe-crm.veevavault.com/ui/#object/email_activity__v/V8C00000004A274", "EN-002105470")</f>
        <v>EN-002105470</v>
      </c>
    </row>
    <row r="4069" spans="1:15" ht="32" x14ac:dyDescent="0.2">
      <c r="A4069" s="7" t="str">
        <f>HYPERLINK("https://otsuka-europe-crm.veevavault.com/ui/#object/account__v/V4TZ06G6O71TBF9", "ITZIAR NIEVES NAVARRO ZORITA")</f>
        <v>ITZIAR NIEVES NAVARRO ZORITA</v>
      </c>
      <c r="B4069" s="7" t="str">
        <f>HYPERLINK("https://otsuka-europe-crm.veevavault.com/ui/#object/vcountry__v/VENZ000004SONF5", "ES")</f>
        <v>ES</v>
      </c>
      <c r="C4069" s="8" t="s">
        <v>39</v>
      </c>
      <c r="D4069" s="9" t="str">
        <f>HYPERLINK("https://otsuka-europe-crm.veevavault.com/ui/#object/approved_document__v/V5O00000001A037", "LUP - VAE Póster Adelphi - Nefro")</f>
        <v>LUP - VAE Póster Adelphi - Nefro</v>
      </c>
      <c r="E4069" s="10" t="str">
        <f>HYPERLINK("https://otsuka-europe-crm.veevavault.com/ui/#object/sent_email__v/VBL000000037057", "SE-001443632")</f>
        <v>SE-001443632</v>
      </c>
      <c r="F4069" s="11"/>
      <c r="G4069" s="12">
        <v>0</v>
      </c>
      <c r="H4069" s="12">
        <v>0</v>
      </c>
      <c r="I4069" s="12">
        <v>0</v>
      </c>
      <c r="J4069" s="11"/>
      <c r="K4069" s="12">
        <v>0</v>
      </c>
      <c r="L4069" s="10" t="str">
        <f>HYPERLINK("https://otsuka-europe-crm.veevavault.com/ui/#object/approved_document__v/V5O00000001A037", "LUP - VAE Póster Adelphi - Nefro")</f>
        <v>LUP - VAE Póster Adelphi - Nefro</v>
      </c>
      <c r="M4069" s="10" t="str">
        <f>HYPERLINK("mailto:gsammali@crm.otsuka-europe.com", "gsammali@crm.otsuka-europe.com")</f>
        <v>gsammali@crm.otsuka-europe.com</v>
      </c>
      <c r="N4069" s="13">
        <v>46216.433113425926</v>
      </c>
      <c r="O4069" s="14" t="str">
        <f>HYPERLINK("https://otsuka-europe-crm.veevavault.com/ui/#object/email_activity__v/V8C00000004A180", "EN-002105280")</f>
        <v>EN-002105280</v>
      </c>
    </row>
    <row r="4070" spans="1:15" ht="16" x14ac:dyDescent="0.2">
      <c r="A4070" s="18" t="str">
        <f>HYPERLINK("https://otsuka-europe-crm.veevavault.com/ui/#object/account__v/V4TZ04ASG79T3MJ", "IARA KARLLA DA SILVA SANTOS")</f>
        <v>IARA KARLLA DA SILVA SANTOS</v>
      </c>
      <c r="B4070" s="18" t="str">
        <f>HYPERLINK("https://otsuka-europe-crm.veevavault.com/ui/#object/vcountry__v/VENZ000004SONF5", "ES")</f>
        <v>ES</v>
      </c>
      <c r="C4070" s="20" t="s">
        <v>39</v>
      </c>
      <c r="D4070" s="21" t="str">
        <f>HYPERLINK("https://otsuka-europe-crm.veevavault.com/ui/#object/approved_document__v/V5O00000001A037", "LUP - VAE Póster Adelphi - Nefro")</f>
        <v>LUP - VAE Póster Adelphi - Nefro</v>
      </c>
      <c r="E4070" s="22" t="str">
        <f>HYPERLINK("https://otsuka-europe-crm.veevavault.com/ui/#object/sent_email__v/VBL000000037058", "SE-001443633")</f>
        <v>SE-001443633</v>
      </c>
      <c r="F4070" s="25">
        <v>46216.44809027778</v>
      </c>
      <c r="G4070" s="24">
        <v>1</v>
      </c>
      <c r="H4070" s="24">
        <v>1</v>
      </c>
      <c r="I4070" s="24">
        <v>1</v>
      </c>
      <c r="J4070" s="25">
        <v>46216.448252314818</v>
      </c>
      <c r="K4070" s="24">
        <v>1</v>
      </c>
      <c r="L4070" s="22" t="str">
        <f>HYPERLINK("https://otsuka-europe-crm.veevavault.com/ui/#object/approved_document__v/V5O00000001A037", "LUP - VAE Póster Adelphi - Nefro")</f>
        <v>LUP - VAE Póster Adelphi - Nefro</v>
      </c>
      <c r="M4070" s="22" t="str">
        <f>HYPERLINK("mailto:gsammali@crm.otsuka-europe.com", "gsammali@crm.otsuka-europe.com")</f>
        <v>gsammali@crm.otsuka-europe.com</v>
      </c>
      <c r="N4070" s="25">
        <v>46216.433113425926</v>
      </c>
      <c r="O4070" s="14" t="str">
        <f>HYPERLINK("https://otsuka-europe-crm.veevavault.com/ui/#object/email_activity__v/V8C000000049336", "EN-002105478")</f>
        <v>EN-002105478</v>
      </c>
    </row>
    <row r="4071" spans="1:15" ht="16" x14ac:dyDescent="0.2">
      <c r="A4071" s="26"/>
      <c r="B4071" s="26"/>
      <c r="C4071" s="26"/>
      <c r="D4071" s="26"/>
      <c r="E4071" s="26"/>
      <c r="F4071" s="26"/>
      <c r="G4071" s="26"/>
      <c r="H4071" s="26"/>
      <c r="I4071" s="26"/>
      <c r="J4071" s="26"/>
      <c r="K4071" s="26"/>
      <c r="L4071" s="26"/>
      <c r="M4071" s="26"/>
      <c r="N4071" s="26"/>
      <c r="O4071" s="14" t="str">
        <f>HYPERLINK("https://otsuka-europe-crm.veevavault.com/ui/#object/email_activity__v/V8C00000004A159", "EN-002105253")</f>
        <v>EN-002105253</v>
      </c>
    </row>
    <row r="4072" spans="1:15" ht="16" x14ac:dyDescent="0.2">
      <c r="A4072" s="26"/>
      <c r="B4072" s="26"/>
      <c r="C4072" s="26"/>
      <c r="D4072" s="26"/>
      <c r="E4072" s="26"/>
      <c r="F4072" s="26"/>
      <c r="G4072" s="26"/>
      <c r="H4072" s="26"/>
      <c r="I4072" s="26"/>
      <c r="J4072" s="26"/>
      <c r="K4072" s="26"/>
      <c r="L4072" s="26"/>
      <c r="M4072" s="26"/>
      <c r="N4072" s="26"/>
      <c r="O4072" s="14" t="str">
        <f>HYPERLINK("https://otsuka-europe-crm.veevavault.com/ui/#object/email_activity__v/V8C00000004A264", "EN-002105454")</f>
        <v>EN-002105454</v>
      </c>
    </row>
    <row r="4073" spans="1:15" ht="16" x14ac:dyDescent="0.2">
      <c r="A4073" s="26"/>
      <c r="B4073" s="26"/>
      <c r="C4073" s="26"/>
      <c r="D4073" s="26"/>
      <c r="E4073" s="26"/>
      <c r="F4073" s="26"/>
      <c r="G4073" s="26"/>
      <c r="H4073" s="26"/>
      <c r="I4073" s="26"/>
      <c r="J4073" s="26"/>
      <c r="K4073" s="26"/>
      <c r="L4073" s="26"/>
      <c r="M4073" s="26"/>
      <c r="N4073" s="26"/>
      <c r="O4073" s="14" t="str">
        <f>HYPERLINK("https://otsuka-europe-crm.veevavault.com/ui/#object/email_activity__v/V8C00000004A265", "EN-002105455")</f>
        <v>EN-002105455</v>
      </c>
    </row>
    <row r="4074" spans="1:15" ht="16" x14ac:dyDescent="0.2">
      <c r="A4074" s="19"/>
      <c r="B4074" s="19"/>
      <c r="C4074" s="19"/>
      <c r="D4074" s="19"/>
      <c r="E4074" s="19"/>
      <c r="F4074" s="19"/>
      <c r="G4074" s="19"/>
      <c r="H4074" s="19"/>
      <c r="I4074" s="19"/>
      <c r="J4074" s="19"/>
      <c r="K4074" s="19"/>
      <c r="L4074" s="19"/>
      <c r="M4074" s="19"/>
      <c r="N4074" s="19"/>
      <c r="O4074" s="14" t="str">
        <f>HYPERLINK("https://otsuka-europe-crm.veevavault.com/ui/#object/email_activity__v/V8C00000004A392", "EN-002105724")</f>
        <v>EN-002105724</v>
      </c>
    </row>
    <row r="4075" spans="1:15" ht="16" x14ac:dyDescent="0.2">
      <c r="A4075" s="18" t="str">
        <f>HYPERLINK("https://otsuka-europe-crm.veevavault.com/ui/#object/account__v/V4TZ06G6O71UQQS", "MARIA ESPERANZA MORAL BERRIO")</f>
        <v>MARIA ESPERANZA MORAL BERRIO</v>
      </c>
      <c r="B4075" s="18" t="str">
        <f>HYPERLINK("https://otsuka-europe-crm.veevavault.com/ui/#object/vcountry__v/VENZ000004SONF5", "ES")</f>
        <v>ES</v>
      </c>
      <c r="C4075" s="20" t="s">
        <v>39</v>
      </c>
      <c r="D4075" s="21" t="str">
        <f>HYPERLINK("https://otsuka-europe-crm.veevavault.com/ui/#object/approved_document__v/V5O00000001A037", "LUP - VAE Póster Adelphi - Nefro")</f>
        <v>LUP - VAE Póster Adelphi - Nefro</v>
      </c>
      <c r="E4075" s="22" t="str">
        <f>HYPERLINK("https://otsuka-europe-crm.veevavault.com/ui/#object/sent_email__v/VBL000000037059", "SE-001443634")</f>
        <v>SE-001443634</v>
      </c>
      <c r="F4075" s="25">
        <v>46216.43341435185</v>
      </c>
      <c r="G4075" s="24">
        <v>1</v>
      </c>
      <c r="H4075" s="24">
        <v>1</v>
      </c>
      <c r="I4075" s="24">
        <v>0</v>
      </c>
      <c r="J4075" s="23"/>
      <c r="K4075" s="24">
        <v>0</v>
      </c>
      <c r="L4075" s="22" t="str">
        <f>HYPERLINK("https://otsuka-europe-crm.veevavault.com/ui/#object/approved_document__v/V5O00000001A037", "LUP - VAE Póster Adelphi - Nefro")</f>
        <v>LUP - VAE Póster Adelphi - Nefro</v>
      </c>
      <c r="M4075" s="22" t="str">
        <f>HYPERLINK("mailto:gsammali@crm.otsuka-europe.com", "gsammali@crm.otsuka-europe.com")</f>
        <v>gsammali@crm.otsuka-europe.com</v>
      </c>
      <c r="N4075" s="25">
        <v>46216.433113425926</v>
      </c>
      <c r="O4075" s="14" t="str">
        <f>HYPERLINK("https://otsuka-europe-crm.veevavault.com/ui/#object/email_activity__v/V8C000000049247", "EN-002105328")</f>
        <v>EN-002105328</v>
      </c>
    </row>
    <row r="4076" spans="1:15" ht="16" x14ac:dyDescent="0.2">
      <c r="A4076" s="19"/>
      <c r="B4076" s="19"/>
      <c r="C4076" s="19"/>
      <c r="D4076" s="19"/>
      <c r="E4076" s="19"/>
      <c r="F4076" s="19"/>
      <c r="G4076" s="19"/>
      <c r="H4076" s="19"/>
      <c r="I4076" s="19"/>
      <c r="J4076" s="19"/>
      <c r="K4076" s="19"/>
      <c r="L4076" s="19"/>
      <c r="M4076" s="19"/>
      <c r="N4076" s="19"/>
      <c r="O4076" s="14" t="str">
        <f>HYPERLINK("https://otsuka-europe-crm.veevavault.com/ui/#object/email_activity__v/V8C00000004A182", "EN-002105282")</f>
        <v>EN-002105282</v>
      </c>
    </row>
    <row r="4077" spans="1:15" ht="16" x14ac:dyDescent="0.2">
      <c r="A4077" s="18" t="str">
        <f>HYPERLINK("https://otsuka-europe-crm.veevavault.com/ui/#object/account__v/V4TZ06G6O71T9JW", "SARA BIELSA GRACIA")</f>
        <v>SARA BIELSA GRACIA</v>
      </c>
      <c r="B4077" s="18" t="str">
        <f>HYPERLINK("https://otsuka-europe-crm.veevavault.com/ui/#object/vcountry__v/VENZ000004SONF5", "ES")</f>
        <v>ES</v>
      </c>
      <c r="C4077" s="20" t="s">
        <v>39</v>
      </c>
      <c r="D4077" s="21" t="str">
        <f>HYPERLINK("https://otsuka-europe-crm.veevavault.com/ui/#object/approved_document__v/V5O00000001A037", "LUP - VAE Póster Adelphi - Nefro")</f>
        <v>LUP - VAE Póster Adelphi - Nefro</v>
      </c>
      <c r="E4077" s="22" t="str">
        <f>HYPERLINK("https://otsuka-europe-crm.veevavault.com/ui/#object/sent_email__v/VBL000000037060", "SE-001443635")</f>
        <v>SE-001443635</v>
      </c>
      <c r="F4077" s="25">
        <v>46217.325601851851</v>
      </c>
      <c r="G4077" s="24">
        <v>1</v>
      </c>
      <c r="H4077" s="24">
        <v>1</v>
      </c>
      <c r="I4077" s="24">
        <v>0</v>
      </c>
      <c r="J4077" s="23"/>
      <c r="K4077" s="24">
        <v>0</v>
      </c>
      <c r="L4077" s="22" t="str">
        <f>HYPERLINK("https://otsuka-europe-crm.veevavault.com/ui/#object/approved_document__v/V5O00000001A037", "LUP - VAE Póster Adelphi - Nefro")</f>
        <v>LUP - VAE Póster Adelphi - Nefro</v>
      </c>
      <c r="M4077" s="22" t="str">
        <f>HYPERLINK("mailto:gsammali@crm.otsuka-europe.com", "gsammali@crm.otsuka-europe.com")</f>
        <v>gsammali@crm.otsuka-europe.com</v>
      </c>
      <c r="N4077" s="25">
        <v>46216.433113425926</v>
      </c>
      <c r="O4077" s="14" t="str">
        <f>HYPERLINK("https://otsuka-europe-crm.veevavault.com/ui/#object/email_activity__v/V8C000000049487", "EN-002105775")</f>
        <v>EN-002105775</v>
      </c>
    </row>
    <row r="4078" spans="1:15" ht="16" x14ac:dyDescent="0.2">
      <c r="A4078" s="19"/>
      <c r="B4078" s="19"/>
      <c r="C4078" s="19"/>
      <c r="D4078" s="19"/>
      <c r="E4078" s="19"/>
      <c r="F4078" s="19"/>
      <c r="G4078" s="19"/>
      <c r="H4078" s="19"/>
      <c r="I4078" s="19"/>
      <c r="J4078" s="19"/>
      <c r="K4078" s="19"/>
      <c r="L4078" s="19"/>
      <c r="M4078" s="19"/>
      <c r="N4078" s="19"/>
      <c r="O4078" s="14" t="str">
        <f>HYPERLINK("https://otsuka-europe-crm.veevavault.com/ui/#object/email_activity__v/V8C00000004A162", "EN-002105256")</f>
        <v>EN-002105256</v>
      </c>
    </row>
    <row r="4079" spans="1:15" ht="32" x14ac:dyDescent="0.2">
      <c r="A4079" s="7" t="str">
        <f>HYPERLINK("https://otsuka-europe-crm.veevavault.com/ui/#object/account__v/V4TZ06G6O71T8T2", "SANDY VALERIA PICO RUIZ")</f>
        <v>SANDY VALERIA PICO RUIZ</v>
      </c>
      <c r="B4079" s="7" t="str">
        <f>HYPERLINK("https://otsuka-europe-crm.veevavault.com/ui/#object/vcountry__v/VENZ000004SONF5", "ES")</f>
        <v>ES</v>
      </c>
      <c r="C4079" s="8" t="s">
        <v>39</v>
      </c>
      <c r="D4079" s="9" t="str">
        <f>HYPERLINK("https://otsuka-europe-crm.veevavault.com/ui/#object/approved_document__v/V5O00000001A037", "LUP - VAE Póster Adelphi - Nefro")</f>
        <v>LUP - VAE Póster Adelphi - Nefro</v>
      </c>
      <c r="E4079" s="10" t="str">
        <f>HYPERLINK("https://otsuka-europe-crm.veevavault.com/ui/#object/sent_email__v/VBL000000037061", "SE-001443636")</f>
        <v>SE-001443636</v>
      </c>
      <c r="F4079" s="11"/>
      <c r="G4079" s="12">
        <v>0</v>
      </c>
      <c r="H4079" s="12">
        <v>0</v>
      </c>
      <c r="I4079" s="12">
        <v>0</v>
      </c>
      <c r="J4079" s="11"/>
      <c r="K4079" s="12">
        <v>0</v>
      </c>
      <c r="L4079" s="10" t="str">
        <f>HYPERLINK("https://otsuka-europe-crm.veevavault.com/ui/#object/approved_document__v/V5O00000001A037", "LUP - VAE Póster Adelphi - Nefro")</f>
        <v>LUP - VAE Póster Adelphi - Nefro</v>
      </c>
      <c r="M4079" s="10" t="str">
        <f>HYPERLINK("mailto:gsammali@crm.otsuka-europe.com", "gsammali@crm.otsuka-europe.com")</f>
        <v>gsammali@crm.otsuka-europe.com</v>
      </c>
      <c r="N4079" s="13">
        <v>46216.433113425926</v>
      </c>
      <c r="O4079" s="14" t="str">
        <f>HYPERLINK("https://otsuka-europe-crm.veevavault.com/ui/#object/email_activity__v/V8C00000004A167", "EN-002105267")</f>
        <v>EN-002105267</v>
      </c>
    </row>
    <row r="4080" spans="1:15" ht="16" x14ac:dyDescent="0.2">
      <c r="A4080" s="18" t="str">
        <f>HYPERLINK("https://otsuka-europe-crm.veevavault.com/ui/#object/account__v/V4TZ06G6O71TA49", "JORDINA GORRO CAELLES")</f>
        <v>JORDINA GORRO CAELLES</v>
      </c>
      <c r="B4080" s="18" t="str">
        <f>HYPERLINK("https://otsuka-europe-crm.veevavault.com/ui/#object/vcountry__v/VENZ000004SONF5", "ES")</f>
        <v>ES</v>
      </c>
      <c r="C4080" s="20" t="s">
        <v>39</v>
      </c>
      <c r="D4080" s="21" t="str">
        <f>HYPERLINK("https://otsuka-europe-crm.veevavault.com/ui/#object/approved_document__v/V5O00000001A037", "LUP - VAE Póster Adelphi - Nefro")</f>
        <v>LUP - VAE Póster Adelphi - Nefro</v>
      </c>
      <c r="E4080" s="22" t="str">
        <f>HYPERLINK("https://otsuka-europe-crm.veevavault.com/ui/#object/sent_email__v/VBL000000037062", "SE-001443637")</f>
        <v>SE-001443637</v>
      </c>
      <c r="F4080" s="25">
        <v>46216.433599537035</v>
      </c>
      <c r="G4080" s="24">
        <v>1</v>
      </c>
      <c r="H4080" s="24">
        <v>1</v>
      </c>
      <c r="I4080" s="24">
        <v>0</v>
      </c>
      <c r="J4080" s="23"/>
      <c r="K4080" s="24">
        <v>0</v>
      </c>
      <c r="L4080" s="22" t="str">
        <f>HYPERLINK("https://otsuka-europe-crm.veevavault.com/ui/#object/approved_document__v/V5O00000001A037", "LUP - VAE Póster Adelphi - Nefro")</f>
        <v>LUP - VAE Póster Adelphi - Nefro</v>
      </c>
      <c r="M4080" s="22" t="str">
        <f>HYPERLINK("mailto:gsammali@crm.otsuka-europe.com", "gsammali@crm.otsuka-europe.com")</f>
        <v>gsammali@crm.otsuka-europe.com</v>
      </c>
      <c r="N4080" s="25">
        <v>46216.433113425926</v>
      </c>
      <c r="O4080" s="14" t="str">
        <f>HYPERLINK("https://otsuka-europe-crm.veevavault.com/ui/#object/email_activity__v/V8C000000049233", "EN-002105261")</f>
        <v>EN-002105261</v>
      </c>
    </row>
    <row r="4081" spans="1:15" ht="16" x14ac:dyDescent="0.2">
      <c r="A4081" s="19"/>
      <c r="B4081" s="19"/>
      <c r="C4081" s="19"/>
      <c r="D4081" s="19"/>
      <c r="E4081" s="19"/>
      <c r="F4081" s="19"/>
      <c r="G4081" s="19"/>
      <c r="H4081" s="19"/>
      <c r="I4081" s="19"/>
      <c r="J4081" s="19"/>
      <c r="K4081" s="19"/>
      <c r="L4081" s="19"/>
      <c r="M4081" s="19"/>
      <c r="N4081" s="19"/>
      <c r="O4081" s="14" t="str">
        <f>HYPERLINK("https://otsuka-europe-crm.veevavault.com/ui/#object/email_activity__v/V8C00000004A219", "EN-002105333")</f>
        <v>EN-002105333</v>
      </c>
    </row>
    <row r="4082" spans="1:15" ht="16" x14ac:dyDescent="0.2">
      <c r="A4082" s="18" t="str">
        <f>HYPERLINK("https://otsuka-europe-crm.veevavault.com/ui/#object/account__v/V4TZ06G6O71T826", "JULIANA JARAMILLO VASQUEZ")</f>
        <v>JULIANA JARAMILLO VASQUEZ</v>
      </c>
      <c r="B4082" s="18" t="str">
        <f>HYPERLINK("https://otsuka-europe-crm.veevavault.com/ui/#object/vcountry__v/VENZ000004SONF5", "ES")</f>
        <v>ES</v>
      </c>
      <c r="C4082" s="20" t="s">
        <v>39</v>
      </c>
      <c r="D4082" s="21" t="str">
        <f>HYPERLINK("https://otsuka-europe-crm.veevavault.com/ui/#object/approved_document__v/V5O00000001A037", "LUP - VAE Póster Adelphi - Nefro")</f>
        <v>LUP - VAE Póster Adelphi - Nefro</v>
      </c>
      <c r="E4082" s="22" t="str">
        <f>HYPERLINK("https://otsuka-europe-crm.veevavault.com/ui/#object/sent_email__v/VBL000000037063", "SE-001443638")</f>
        <v>SE-001443638</v>
      </c>
      <c r="F4082" s="23"/>
      <c r="G4082" s="24">
        <v>0</v>
      </c>
      <c r="H4082" s="24">
        <v>0</v>
      </c>
      <c r="I4082" s="24">
        <v>0</v>
      </c>
      <c r="J4082" s="23"/>
      <c r="K4082" s="24">
        <v>0</v>
      </c>
      <c r="L4082" s="22" t="str">
        <f>HYPERLINK("https://otsuka-europe-crm.veevavault.com/ui/#object/approved_document__v/V5O00000001A037", "LUP - VAE Póster Adelphi - Nefro")</f>
        <v>LUP - VAE Póster Adelphi - Nefro</v>
      </c>
      <c r="M4082" s="22" t="str">
        <f>HYPERLINK("mailto:gsammali@crm.otsuka-europe.com", "gsammali@crm.otsuka-europe.com")</f>
        <v>gsammali@crm.otsuka-europe.com</v>
      </c>
      <c r="N4082" s="25">
        <v>46216.433113425926</v>
      </c>
      <c r="O4082" s="14" t="str">
        <f>HYPERLINK("https://otsuka-europe-crm.veevavault.com/ui/#object/email_activity__v/V8C000000049323", "EN-002105451")</f>
        <v>EN-002105451</v>
      </c>
    </row>
    <row r="4083" spans="1:15" ht="16" x14ac:dyDescent="0.2">
      <c r="A4083" s="19"/>
      <c r="B4083" s="19"/>
      <c r="C4083" s="19"/>
      <c r="D4083" s="19"/>
      <c r="E4083" s="19"/>
      <c r="F4083" s="19"/>
      <c r="G4083" s="19"/>
      <c r="H4083" s="19"/>
      <c r="I4083" s="19"/>
      <c r="J4083" s="19"/>
      <c r="K4083" s="19"/>
      <c r="L4083" s="19"/>
      <c r="M4083" s="19"/>
      <c r="N4083" s="19"/>
      <c r="O4083" s="14" t="str">
        <f>HYPERLINK("https://otsuka-europe-crm.veevavault.com/ui/#object/email_activity__v/V8C00000004A197", "EN-002105297")</f>
        <v>EN-002105297</v>
      </c>
    </row>
    <row r="4084" spans="1:15" ht="32" x14ac:dyDescent="0.2">
      <c r="A4084" s="7" t="str">
        <f>HYPERLINK("https://otsuka-europe-crm.veevavault.com/ui/#object/account__v/V4TZ06G6O71TCND", "MIGUEL HUESO VAL")</f>
        <v>MIGUEL HUESO VAL</v>
      </c>
      <c r="B4084" s="7" t="str">
        <f>HYPERLINK("https://otsuka-europe-crm.veevavault.com/ui/#object/vcountry__v/VENZ000004SONF5", "ES")</f>
        <v>ES</v>
      </c>
      <c r="C4084" s="8" t="s">
        <v>39</v>
      </c>
      <c r="D4084" s="9" t="str">
        <f>HYPERLINK("https://otsuka-europe-crm.veevavault.com/ui/#object/approved_document__v/V5O00000001A037", "LUP - VAE Póster Adelphi - Nefro")</f>
        <v>LUP - VAE Póster Adelphi - Nefro</v>
      </c>
      <c r="E4084" s="10" t="str">
        <f>HYPERLINK("https://otsuka-europe-crm.veevavault.com/ui/#object/sent_email__v/VBL000000037064", "SE-001443639")</f>
        <v>SE-001443639</v>
      </c>
      <c r="F4084" s="11"/>
      <c r="G4084" s="12">
        <v>0</v>
      </c>
      <c r="H4084" s="12">
        <v>0</v>
      </c>
      <c r="I4084" s="12">
        <v>0</v>
      </c>
      <c r="J4084" s="11"/>
      <c r="K4084" s="12">
        <v>0</v>
      </c>
      <c r="L4084" s="10" t="str">
        <f>HYPERLINK("https://otsuka-europe-crm.veevavault.com/ui/#object/approved_document__v/V5O00000001A037", "LUP - VAE Póster Adelphi - Nefro")</f>
        <v>LUP - VAE Póster Adelphi - Nefro</v>
      </c>
      <c r="M4084" s="10" t="str">
        <f>HYPERLINK("mailto:gsammali@crm.otsuka-europe.com", "gsammali@crm.otsuka-europe.com")</f>
        <v>gsammali@crm.otsuka-europe.com</v>
      </c>
      <c r="N4084" s="13">
        <v>46216.433113425926</v>
      </c>
      <c r="O4084" s="14" t="str">
        <f>HYPERLINK("https://otsuka-europe-crm.veevavault.com/ui/#object/email_activity__v/V8C00000004A169", "EN-002105269")</f>
        <v>EN-002105269</v>
      </c>
    </row>
    <row r="4085" spans="1:15" ht="32" x14ac:dyDescent="0.2">
      <c r="A4085" s="7" t="str">
        <f>HYPERLINK("https://otsuka-europe-crm.veevavault.com/ui/#object/account__v/V4TZ06G6OA5RNTJ", "JORDI CALABIA MARTINEZ")</f>
        <v>JORDI CALABIA MARTINEZ</v>
      </c>
      <c r="B4085" s="7" t="str">
        <f>HYPERLINK("https://otsuka-europe-crm.veevavault.com/ui/#object/vcountry__v/VENZ000004SONF5", "ES")</f>
        <v>ES</v>
      </c>
      <c r="C4085" s="8" t="s">
        <v>39</v>
      </c>
      <c r="D4085" s="9" t="str">
        <f>HYPERLINK("https://otsuka-europe-crm.veevavault.com/ui/#object/approved_document__v/V5O00000001A037", "LUP - VAE Póster Adelphi - Nefro")</f>
        <v>LUP - VAE Póster Adelphi - Nefro</v>
      </c>
      <c r="E4085" s="10" t="str">
        <f>HYPERLINK("https://otsuka-europe-crm.veevavault.com/ui/#object/sent_email__v/VBL000000037065", "SE-001443640")</f>
        <v>SE-001443640</v>
      </c>
      <c r="F4085" s="11"/>
      <c r="G4085" s="12">
        <v>0</v>
      </c>
      <c r="H4085" s="12">
        <v>0</v>
      </c>
      <c r="I4085" s="12">
        <v>0</v>
      </c>
      <c r="J4085" s="11"/>
      <c r="K4085" s="12">
        <v>0</v>
      </c>
      <c r="L4085" s="10" t="str">
        <f>HYPERLINK("https://otsuka-europe-crm.veevavault.com/ui/#object/approved_document__v/V5O00000001A037", "LUP - VAE Póster Adelphi - Nefro")</f>
        <v>LUP - VAE Póster Adelphi - Nefro</v>
      </c>
      <c r="M4085" s="10" t="str">
        <f>HYPERLINK("mailto:gsammali@crm.otsuka-europe.com", "gsammali@crm.otsuka-europe.com")</f>
        <v>gsammali@crm.otsuka-europe.com</v>
      </c>
      <c r="N4085" s="13">
        <v>46216.433113425926</v>
      </c>
      <c r="O4085" s="14" t="str">
        <f>HYPERLINK("https://otsuka-europe-crm.veevavault.com/ui/#object/email_activity__v/V8C00000004A190", "EN-002105292")</f>
        <v>EN-002105292</v>
      </c>
    </row>
    <row r="4086" spans="1:15" ht="16" x14ac:dyDescent="0.2">
      <c r="A4086" s="18" t="str">
        <f>HYPERLINK("https://otsuka-europe-crm.veevavault.com/ui/#object/account__v/V4TZ06G6O71TATP", "LUIS MIGUEL LOU ARNAL")</f>
        <v>LUIS MIGUEL LOU ARNAL</v>
      </c>
      <c r="B4086" s="18" t="str">
        <f>HYPERLINK("https://otsuka-europe-crm.veevavault.com/ui/#object/vcountry__v/VENZ000004SONF5", "ES")</f>
        <v>ES</v>
      </c>
      <c r="C4086" s="20" t="s">
        <v>39</v>
      </c>
      <c r="D4086" s="21" t="str">
        <f>HYPERLINK("https://otsuka-europe-crm.veevavault.com/ui/#object/approved_document__v/V5O00000001A037", "LUP - VAE Póster Adelphi - Nefro")</f>
        <v>LUP - VAE Póster Adelphi - Nefro</v>
      </c>
      <c r="E4086" s="22" t="str">
        <f>HYPERLINK("https://otsuka-europe-crm.veevavault.com/ui/#object/sent_email__v/VBL000000037066", "SE-001443641")</f>
        <v>SE-001443641</v>
      </c>
      <c r="F4086" s="25">
        <v>46216.433217592596</v>
      </c>
      <c r="G4086" s="24">
        <v>1</v>
      </c>
      <c r="H4086" s="24">
        <v>1</v>
      </c>
      <c r="I4086" s="24">
        <v>0</v>
      </c>
      <c r="J4086" s="23"/>
      <c r="K4086" s="24">
        <v>0</v>
      </c>
      <c r="L4086" s="22" t="str">
        <f>HYPERLINK("https://otsuka-europe-crm.veevavault.com/ui/#object/approved_document__v/V5O00000001A037", "LUP - VAE Póster Adelphi - Nefro")</f>
        <v>LUP - VAE Póster Adelphi - Nefro</v>
      </c>
      <c r="M4086" s="22" t="str">
        <f>HYPERLINK("mailto:gsammali@crm.otsuka-europe.com", "gsammali@crm.otsuka-europe.com")</f>
        <v>gsammali@crm.otsuka-europe.com</v>
      </c>
      <c r="N4086" s="25">
        <v>46216.433113425926</v>
      </c>
      <c r="O4086" s="14" t="str">
        <f>HYPERLINK("https://otsuka-europe-crm.veevavault.com/ui/#object/email_activity__v/V8C00000004A165", "EN-002105265")</f>
        <v>EN-002105265</v>
      </c>
    </row>
    <row r="4087" spans="1:15" ht="16" x14ac:dyDescent="0.2">
      <c r="A4087" s="19"/>
      <c r="B4087" s="19"/>
      <c r="C4087" s="19"/>
      <c r="D4087" s="19"/>
      <c r="E4087" s="19"/>
      <c r="F4087" s="19"/>
      <c r="G4087" s="19"/>
      <c r="H4087" s="19"/>
      <c r="I4087" s="19"/>
      <c r="J4087" s="19"/>
      <c r="K4087" s="19"/>
      <c r="L4087" s="19"/>
      <c r="M4087" s="19"/>
      <c r="N4087" s="19"/>
      <c r="O4087" s="14" t="str">
        <f>HYPERLINK("https://otsuka-europe-crm.veevavault.com/ui/#object/email_activity__v/V8C00000004A196", "EN-002105296")</f>
        <v>EN-002105296</v>
      </c>
    </row>
    <row r="4088" spans="1:15" ht="32" x14ac:dyDescent="0.2">
      <c r="A4088" s="7" t="str">
        <f>HYPERLINK("https://otsuka-europe-crm.veevavault.com/ui/#object/account__v/V4TZ025E82A4X47", "JULIO MARTIN DIAZ PERERA")</f>
        <v>JULIO MARTIN DIAZ PERERA</v>
      </c>
      <c r="B4088" s="7" t="str">
        <f>HYPERLINK("https://otsuka-europe-crm.veevavault.com/ui/#object/vcountry__v/VENZ000004SONF5", "ES")</f>
        <v>ES</v>
      </c>
      <c r="C4088" s="8" t="s">
        <v>39</v>
      </c>
      <c r="D4088" s="9" t="str">
        <f>HYPERLINK("https://otsuka-europe-crm.veevavault.com/ui/#object/approved_document__v/V5O00000001A037", "LUP - VAE Póster Adelphi - Nefro")</f>
        <v>LUP - VAE Póster Adelphi - Nefro</v>
      </c>
      <c r="E4088" s="10" t="str">
        <f>HYPERLINK("https://otsuka-europe-crm.veevavault.com/ui/#object/sent_email__v/VBL000000037067", "SE-001443642")</f>
        <v>SE-001443642</v>
      </c>
      <c r="F4088" s="11"/>
      <c r="G4088" s="12">
        <v>0</v>
      </c>
      <c r="H4088" s="12">
        <v>0</v>
      </c>
      <c r="I4088" s="12">
        <v>0</v>
      </c>
      <c r="J4088" s="11"/>
      <c r="K4088" s="12">
        <v>0</v>
      </c>
      <c r="L4088" s="10" t="str">
        <f>HYPERLINK("https://otsuka-europe-crm.veevavault.com/ui/#object/approved_document__v/V5O00000001A037", "LUP - VAE Póster Adelphi - Nefro")</f>
        <v>LUP - VAE Póster Adelphi - Nefro</v>
      </c>
      <c r="M4088" s="10" t="str">
        <f>HYPERLINK("mailto:gsammali@crm.otsuka-europe.com", "gsammali@crm.otsuka-europe.com")</f>
        <v>gsammali@crm.otsuka-europe.com</v>
      </c>
      <c r="N4088" s="13">
        <v>46216.433125000003</v>
      </c>
      <c r="O4088" s="14" t="str">
        <f>HYPERLINK("https://otsuka-europe-crm.veevavault.com/ui/#object/email_activity__v/V8C000000049224", "EN-002105237")</f>
        <v>EN-002105237</v>
      </c>
    </row>
    <row r="4089" spans="1:15" ht="16" x14ac:dyDescent="0.2">
      <c r="A4089" s="18" t="str">
        <f>HYPERLINK("https://otsuka-europe-crm.veevavault.com/ui/#object/account__v/V4TZ06G6O71TCKP", "MARIA PAU VALENZUELA MUJICA")</f>
        <v>MARIA PAU VALENZUELA MUJICA</v>
      </c>
      <c r="B4089" s="18" t="str">
        <f>HYPERLINK("https://otsuka-europe-crm.veevavault.com/ui/#object/vcountry__v/VENZ000004SONF5", "ES")</f>
        <v>ES</v>
      </c>
      <c r="C4089" s="20" t="s">
        <v>39</v>
      </c>
      <c r="D4089" s="21" t="str">
        <f>HYPERLINK("https://otsuka-europe-crm.veevavault.com/ui/#object/approved_document__v/V5O00000001A037", "LUP - VAE Póster Adelphi - Nefro")</f>
        <v>LUP - VAE Póster Adelphi - Nefro</v>
      </c>
      <c r="E4089" s="22" t="str">
        <f>HYPERLINK("https://otsuka-europe-crm.veevavault.com/ui/#object/sent_email__v/VBL000000037068", "SE-001443643")</f>
        <v>SE-001443643</v>
      </c>
      <c r="F4089" s="25">
        <v>46216.433275462965</v>
      </c>
      <c r="G4089" s="24">
        <v>1</v>
      </c>
      <c r="H4089" s="24">
        <v>2</v>
      </c>
      <c r="I4089" s="24">
        <v>1</v>
      </c>
      <c r="J4089" s="25">
        <v>46216.433368055557</v>
      </c>
      <c r="K4089" s="24">
        <v>2</v>
      </c>
      <c r="L4089" s="22" t="str">
        <f>HYPERLINK("https://otsuka-europe-crm.veevavault.com/ui/#object/approved_document__v/V5O00000001A037", "LUP - VAE Póster Adelphi - Nefro")</f>
        <v>LUP - VAE Póster Adelphi - Nefro</v>
      </c>
      <c r="M4089" s="22" t="str">
        <f>HYPERLINK("mailto:gsammali@crm.otsuka-europe.com", "gsammali@crm.otsuka-europe.com")</f>
        <v>gsammali@crm.otsuka-europe.com</v>
      </c>
      <c r="N4089" s="25">
        <v>46216.433113425926</v>
      </c>
      <c r="O4089" s="14" t="str">
        <f>HYPERLINK("https://otsuka-europe-crm.veevavault.com/ui/#object/email_activity__v/V8C000000049231", "EN-002105259")</f>
        <v>EN-002105259</v>
      </c>
    </row>
    <row r="4090" spans="1:15" ht="16" x14ac:dyDescent="0.2">
      <c r="A4090" s="26"/>
      <c r="B4090" s="26"/>
      <c r="C4090" s="26"/>
      <c r="D4090" s="26"/>
      <c r="E4090" s="26"/>
      <c r="F4090" s="26"/>
      <c r="G4090" s="26"/>
      <c r="H4090" s="26"/>
      <c r="I4090" s="26"/>
      <c r="J4090" s="26"/>
      <c r="K4090" s="26"/>
      <c r="L4090" s="26"/>
      <c r="M4090" s="26"/>
      <c r="N4090" s="26"/>
      <c r="O4090" s="14" t="str">
        <f>HYPERLINK("https://otsuka-europe-crm.veevavault.com/ui/#object/email_activity__v/V8C000000049235", "EN-002105313")</f>
        <v>EN-002105313</v>
      </c>
    </row>
    <row r="4091" spans="1:15" ht="16" x14ac:dyDescent="0.2">
      <c r="A4091" s="26"/>
      <c r="B4091" s="26"/>
      <c r="C4091" s="26"/>
      <c r="D4091" s="26"/>
      <c r="E4091" s="26"/>
      <c r="F4091" s="26"/>
      <c r="G4091" s="26"/>
      <c r="H4091" s="26"/>
      <c r="I4091" s="26"/>
      <c r="J4091" s="26"/>
      <c r="K4091" s="26"/>
      <c r="L4091" s="26"/>
      <c r="M4091" s="26"/>
      <c r="N4091" s="26"/>
      <c r="O4091" s="14" t="str">
        <f>HYPERLINK("https://otsuka-europe-crm.veevavault.com/ui/#object/email_activity__v/V8C000000049238", "EN-002105306")</f>
        <v>EN-002105306</v>
      </c>
    </row>
    <row r="4092" spans="1:15" ht="16" x14ac:dyDescent="0.2">
      <c r="A4092" s="26"/>
      <c r="B4092" s="26"/>
      <c r="C4092" s="26"/>
      <c r="D4092" s="26"/>
      <c r="E4092" s="26"/>
      <c r="F4092" s="26"/>
      <c r="G4092" s="26"/>
      <c r="H4092" s="26"/>
      <c r="I4092" s="26"/>
      <c r="J4092" s="26"/>
      <c r="K4092" s="26"/>
      <c r="L4092" s="26"/>
      <c r="M4092" s="26"/>
      <c r="N4092" s="26"/>
      <c r="O4092" s="14" t="str">
        <f>HYPERLINK("https://otsuka-europe-crm.veevavault.com/ui/#object/email_activity__v/V8C000000049334", "EN-002105476")</f>
        <v>EN-002105476</v>
      </c>
    </row>
    <row r="4093" spans="1:15" ht="16" x14ac:dyDescent="0.2">
      <c r="A4093" s="26"/>
      <c r="B4093" s="26"/>
      <c r="C4093" s="26"/>
      <c r="D4093" s="26"/>
      <c r="E4093" s="26"/>
      <c r="F4093" s="26"/>
      <c r="G4093" s="26"/>
      <c r="H4093" s="26"/>
      <c r="I4093" s="26"/>
      <c r="J4093" s="26"/>
      <c r="K4093" s="26"/>
      <c r="L4093" s="26"/>
      <c r="M4093" s="26"/>
      <c r="N4093" s="26"/>
      <c r="O4093" s="14" t="str">
        <f>HYPERLINK("https://otsuka-europe-crm.veevavault.com/ui/#object/email_activity__v/V8C00000004A212", "EN-002105324")</f>
        <v>EN-002105324</v>
      </c>
    </row>
    <row r="4094" spans="1:15" ht="16" x14ac:dyDescent="0.2">
      <c r="A4094" s="19"/>
      <c r="B4094" s="19"/>
      <c r="C4094" s="19"/>
      <c r="D4094" s="19"/>
      <c r="E4094" s="19"/>
      <c r="F4094" s="19"/>
      <c r="G4094" s="19"/>
      <c r="H4094" s="19"/>
      <c r="I4094" s="19"/>
      <c r="J4094" s="19"/>
      <c r="K4094" s="19"/>
      <c r="L4094" s="19"/>
      <c r="M4094" s="19"/>
      <c r="N4094" s="19"/>
      <c r="O4094" s="14" t="str">
        <f>HYPERLINK("https://otsuka-europe-crm.veevavault.com/ui/#object/email_activity__v/V8C00000004A216", "EN-002105330")</f>
        <v>EN-002105330</v>
      </c>
    </row>
    <row r="4095" spans="1:15" ht="16" x14ac:dyDescent="0.2">
      <c r="A4095" s="18" t="str">
        <f>HYPERLINK("https://otsuka-europe-crm.veevavault.com/ui/#object/account__v/V4TZ06G6O71T7EC", "LAURA ARNAUDAS CASANOVA")</f>
        <v>LAURA ARNAUDAS CASANOVA</v>
      </c>
      <c r="B4095" s="18" t="str">
        <f>HYPERLINK("https://otsuka-europe-crm.veevavault.com/ui/#object/vcountry__v/VENZ000004SONF5", "ES")</f>
        <v>ES</v>
      </c>
      <c r="C4095" s="20" t="s">
        <v>39</v>
      </c>
      <c r="D4095" s="21" t="str">
        <f>HYPERLINK("https://otsuka-europe-crm.veevavault.com/ui/#object/approved_document__v/V5O00000001A037", "LUP - VAE Póster Adelphi - Nefro")</f>
        <v>LUP - VAE Póster Adelphi - Nefro</v>
      </c>
      <c r="E4095" s="22" t="str">
        <f>HYPERLINK("https://otsuka-europe-crm.veevavault.com/ui/#object/sent_email__v/VBL000000037069", "SE-001443644")</f>
        <v>SE-001443644</v>
      </c>
      <c r="F4095" s="23"/>
      <c r="G4095" s="24">
        <v>0</v>
      </c>
      <c r="H4095" s="24">
        <v>0</v>
      </c>
      <c r="I4095" s="24">
        <v>0</v>
      </c>
      <c r="J4095" s="23"/>
      <c r="K4095" s="24">
        <v>0</v>
      </c>
      <c r="L4095" s="22" t="str">
        <f>HYPERLINK("https://otsuka-europe-crm.veevavault.com/ui/#object/approved_document__v/V5O00000001A037", "LUP - VAE Póster Adelphi - Nefro")</f>
        <v>LUP - VAE Póster Adelphi - Nefro</v>
      </c>
      <c r="M4095" s="22" t="str">
        <f>HYPERLINK("mailto:gsammali@crm.otsuka-europe.com", "gsammali@crm.otsuka-europe.com")</f>
        <v>gsammali@crm.otsuka-europe.com</v>
      </c>
      <c r="N4095" s="25">
        <v>46216.433136574073</v>
      </c>
      <c r="O4095" s="14" t="str">
        <f>HYPERLINK("https://otsuka-europe-crm.veevavault.com/ui/#object/email_activity__v/V8C00000004A153", "EN-002105247")</f>
        <v>EN-002105247</v>
      </c>
    </row>
    <row r="4096" spans="1:15" ht="16" x14ac:dyDescent="0.2">
      <c r="A4096" s="19"/>
      <c r="B4096" s="19"/>
      <c r="C4096" s="19"/>
      <c r="D4096" s="19"/>
      <c r="E4096" s="19"/>
      <c r="F4096" s="19"/>
      <c r="G4096" s="19"/>
      <c r="H4096" s="19"/>
      <c r="I4096" s="19"/>
      <c r="J4096" s="19"/>
      <c r="K4096" s="19"/>
      <c r="L4096" s="19"/>
      <c r="M4096" s="19"/>
      <c r="N4096" s="19"/>
      <c r="O4096" s="14" t="str">
        <f>HYPERLINK("https://otsuka-europe-crm.veevavault.com/ui/#object/email_activity__v/V8C00000004A224", "EN-002105344")</f>
        <v>EN-002105344</v>
      </c>
    </row>
    <row r="4097" spans="1:15" ht="32" x14ac:dyDescent="0.2">
      <c r="A4097" s="7" t="str">
        <f>HYPERLINK("https://otsuka-europe-crm.veevavault.com/ui/#object/account__v/V4TZ025E878VC8H", "DIEGO NAVAZO SANTAMARIA")</f>
        <v>DIEGO NAVAZO SANTAMARIA</v>
      </c>
      <c r="B4097" s="7" t="str">
        <f>HYPERLINK("https://otsuka-europe-crm.veevavault.com/ui/#object/vcountry__v/VENZ000004SONF5", "ES")</f>
        <v>ES</v>
      </c>
      <c r="C4097" s="8" t="s">
        <v>39</v>
      </c>
      <c r="D4097" s="9" t="str">
        <f>HYPERLINK("https://otsuka-europe-crm.veevavault.com/ui/#object/approved_document__v/V5O00000001A037", "LUP - VAE Póster Adelphi - Nefro")</f>
        <v>LUP - VAE Póster Adelphi - Nefro</v>
      </c>
      <c r="E4097" s="10" t="str">
        <f>HYPERLINK("https://otsuka-europe-crm.veevavault.com/ui/#object/sent_email__v/VBL000000037070", "SE-001443645")</f>
        <v>SE-001443645</v>
      </c>
      <c r="F4097" s="11"/>
      <c r="G4097" s="12">
        <v>0</v>
      </c>
      <c r="H4097" s="12">
        <v>0</v>
      </c>
      <c r="I4097" s="12">
        <v>0</v>
      </c>
      <c r="J4097" s="11"/>
      <c r="K4097" s="12">
        <v>0</v>
      </c>
      <c r="L4097" s="10" t="str">
        <f>HYPERLINK("https://otsuka-europe-crm.veevavault.com/ui/#object/approved_document__v/V5O00000001A037", "LUP - VAE Póster Adelphi - Nefro")</f>
        <v>LUP - VAE Póster Adelphi - Nefro</v>
      </c>
      <c r="M4097" s="10" t="str">
        <f>HYPERLINK("mailto:gsammali@crm.otsuka-europe.com", "gsammali@crm.otsuka-europe.com")</f>
        <v>gsammali@crm.otsuka-europe.com</v>
      </c>
      <c r="N4097" s="13">
        <v>46216.433113425926</v>
      </c>
      <c r="O4097" s="14" t="str">
        <f>HYPERLINK("https://otsuka-europe-crm.veevavault.com/ui/#object/email_activity__v/V8C00000004A166", "EN-002105266")</f>
        <v>EN-002105266</v>
      </c>
    </row>
    <row r="4098" spans="1:15" ht="16" x14ac:dyDescent="0.2">
      <c r="A4098" s="18" t="str">
        <f>HYPERLINK("https://otsuka-europe-crm.veevavault.com/ui/#object/account__v/V4TZ06G6O71TAVP", "MARIA PILAR MARTIN AZARA")</f>
        <v>MARIA PILAR MARTIN AZARA</v>
      </c>
      <c r="B4098" s="18" t="str">
        <f>HYPERLINK("https://otsuka-europe-crm.veevavault.com/ui/#object/vcountry__v/VENZ000004SONF5", "ES")</f>
        <v>ES</v>
      </c>
      <c r="C4098" s="20" t="s">
        <v>39</v>
      </c>
      <c r="D4098" s="21" t="str">
        <f>HYPERLINK("https://otsuka-europe-crm.veevavault.com/ui/#object/approved_document__v/V5O00000001A037", "LUP - VAE Póster Adelphi - Nefro")</f>
        <v>LUP - VAE Póster Adelphi - Nefro</v>
      </c>
      <c r="E4098" s="22" t="str">
        <f>HYPERLINK("https://otsuka-europe-crm.veevavault.com/ui/#object/sent_email__v/VBL000000037071", "SE-001443646")</f>
        <v>SE-001443646</v>
      </c>
      <c r="F4098" s="23"/>
      <c r="G4098" s="24">
        <v>0</v>
      </c>
      <c r="H4098" s="24">
        <v>0</v>
      </c>
      <c r="I4098" s="24">
        <v>1</v>
      </c>
      <c r="J4098" s="25">
        <v>46216.839375000003</v>
      </c>
      <c r="K4098" s="24">
        <v>1</v>
      </c>
      <c r="L4098" s="22" t="str">
        <f>HYPERLINK("https://otsuka-europe-crm.veevavault.com/ui/#object/approved_document__v/V5O00000001A037", "LUP - VAE Póster Adelphi - Nefro")</f>
        <v>LUP - VAE Póster Adelphi - Nefro</v>
      </c>
      <c r="M4098" s="22" t="str">
        <f>HYPERLINK("mailto:gsammali@crm.otsuka-europe.com", "gsammali@crm.otsuka-europe.com")</f>
        <v>gsammali@crm.otsuka-europe.com</v>
      </c>
      <c r="N4098" s="25">
        <v>46216.433113425926</v>
      </c>
      <c r="O4098" s="14" t="str">
        <f>HYPERLINK("https://otsuka-europe-crm.veevavault.com/ui/#object/email_activity__v/V8C000000049234", "EN-002105262")</f>
        <v>EN-002105262</v>
      </c>
    </row>
    <row r="4099" spans="1:15" ht="16" x14ac:dyDescent="0.2">
      <c r="A4099" s="26"/>
      <c r="B4099" s="26"/>
      <c r="C4099" s="26"/>
      <c r="D4099" s="26"/>
      <c r="E4099" s="26"/>
      <c r="F4099" s="26"/>
      <c r="G4099" s="26"/>
      <c r="H4099" s="26"/>
      <c r="I4099" s="26"/>
      <c r="J4099" s="26"/>
      <c r="K4099" s="26"/>
      <c r="L4099" s="26"/>
      <c r="M4099" s="26"/>
      <c r="N4099" s="26"/>
      <c r="O4099" s="14" t="str">
        <f>HYPERLINK("https://otsuka-europe-crm.veevavault.com/ui/#object/email_activity__v/V8C000000049331", "EN-002105472")</f>
        <v>EN-002105472</v>
      </c>
    </row>
    <row r="4100" spans="1:15" ht="16" x14ac:dyDescent="0.2">
      <c r="A4100" s="26"/>
      <c r="B4100" s="26"/>
      <c r="C4100" s="26"/>
      <c r="D4100" s="26"/>
      <c r="E4100" s="26"/>
      <c r="F4100" s="26"/>
      <c r="G4100" s="26"/>
      <c r="H4100" s="26"/>
      <c r="I4100" s="26"/>
      <c r="J4100" s="26"/>
      <c r="K4100" s="26"/>
      <c r="L4100" s="26"/>
      <c r="M4100" s="26"/>
      <c r="N4100" s="26"/>
      <c r="O4100" s="14" t="str">
        <f>HYPERLINK("https://otsuka-europe-crm.veevavault.com/ui/#object/email_activity__v/V8C00000004A379", "EN-002105696")</f>
        <v>EN-002105696</v>
      </c>
    </row>
    <row r="4101" spans="1:15" ht="16" x14ac:dyDescent="0.2">
      <c r="A4101" s="19"/>
      <c r="B4101" s="19"/>
      <c r="C4101" s="19"/>
      <c r="D4101" s="19"/>
      <c r="E4101" s="19"/>
      <c r="F4101" s="19"/>
      <c r="G4101" s="19"/>
      <c r="H4101" s="19"/>
      <c r="I4101" s="19"/>
      <c r="J4101" s="19"/>
      <c r="K4101" s="19"/>
      <c r="L4101" s="19"/>
      <c r="M4101" s="19"/>
      <c r="N4101" s="19"/>
      <c r="O4101" s="14" t="str">
        <f>HYPERLINK("https://otsuka-europe-crm.veevavault.com/ui/#object/email_activity__v/V8C00000004A380", "EN-002105697")</f>
        <v>EN-002105697</v>
      </c>
    </row>
    <row r="4102" spans="1:15" ht="32" x14ac:dyDescent="0.2">
      <c r="A4102" s="7" t="str">
        <f>HYPERLINK("https://otsuka-europe-crm.veevavault.com/ui/#object/account__v/V4TZ06G6O71T8DS", "LAURA MARTINEZ VALENZUELA")</f>
        <v>LAURA MARTINEZ VALENZUELA</v>
      </c>
      <c r="B4102" s="7" t="str">
        <f>HYPERLINK("https://otsuka-europe-crm.veevavault.com/ui/#object/vcountry__v/VENZ000004SONF5", "ES")</f>
        <v>ES</v>
      </c>
      <c r="C4102" s="8" t="s">
        <v>39</v>
      </c>
      <c r="D4102" s="9" t="str">
        <f>HYPERLINK("https://otsuka-europe-crm.veevavault.com/ui/#object/approved_document__v/V5O00000001A037", "LUP - VAE Póster Adelphi - Nefro")</f>
        <v>LUP - VAE Póster Adelphi - Nefro</v>
      </c>
      <c r="E4102" s="10" t="str">
        <f>HYPERLINK("https://otsuka-europe-crm.veevavault.com/ui/#object/sent_email__v/VBL000000037072", "SE-001443647")</f>
        <v>SE-001443647</v>
      </c>
      <c r="F4102" s="11"/>
      <c r="G4102" s="12">
        <v>0</v>
      </c>
      <c r="H4102" s="12">
        <v>0</v>
      </c>
      <c r="I4102" s="12">
        <v>0</v>
      </c>
      <c r="J4102" s="11"/>
      <c r="K4102" s="12">
        <v>0</v>
      </c>
      <c r="L4102" s="10" t="str">
        <f>HYPERLINK("https://otsuka-europe-crm.veevavault.com/ui/#object/approved_document__v/V5O00000001A037", "LUP - VAE Póster Adelphi - Nefro")</f>
        <v>LUP - VAE Póster Adelphi - Nefro</v>
      </c>
      <c r="M4102" s="10" t="str">
        <f>HYPERLINK("mailto:gsammali@crm.otsuka-europe.com", "gsammali@crm.otsuka-europe.com")</f>
        <v>gsammali@crm.otsuka-europe.com</v>
      </c>
      <c r="N4102" s="13">
        <v>46216.433113425926</v>
      </c>
      <c r="O4102" s="14" t="str">
        <f>HYPERLINK("https://otsuka-europe-crm.veevavault.com/ui/#object/email_activity__v/V8C00000004A185", "EN-002105285")</f>
        <v>EN-002105285</v>
      </c>
    </row>
    <row r="4103" spans="1:15" ht="16" x14ac:dyDescent="0.2">
      <c r="A4103" s="18" t="str">
        <f>HYPERLINK("https://otsuka-europe-crm.veevavault.com/ui/#object/account__v/V4TZ06G6O71TADO", "CRISTINA CABRERA LOPEZ")</f>
        <v>CRISTINA CABRERA LOPEZ</v>
      </c>
      <c r="B4103" s="18" t="str">
        <f>HYPERLINK("https://otsuka-europe-crm.veevavault.com/ui/#object/vcountry__v/VENZ000004SONF5", "ES")</f>
        <v>ES</v>
      </c>
      <c r="C4103" s="20" t="s">
        <v>39</v>
      </c>
      <c r="D4103" s="21" t="str">
        <f>HYPERLINK("https://otsuka-europe-crm.veevavault.com/ui/#object/approved_document__v/V5O00000001A037", "LUP - VAE Póster Adelphi - Nefro")</f>
        <v>LUP - VAE Póster Adelphi - Nefro</v>
      </c>
      <c r="E4103" s="22" t="str">
        <f>HYPERLINK("https://otsuka-europe-crm.veevavault.com/ui/#object/sent_email__v/VBL000000037073", "SE-001443648")</f>
        <v>SE-001443648</v>
      </c>
      <c r="F4103" s="23"/>
      <c r="G4103" s="24">
        <v>0</v>
      </c>
      <c r="H4103" s="24">
        <v>0</v>
      </c>
      <c r="I4103" s="24">
        <v>0</v>
      </c>
      <c r="J4103" s="23"/>
      <c r="K4103" s="24">
        <v>0</v>
      </c>
      <c r="L4103" s="22" t="str">
        <f>HYPERLINK("https://otsuka-europe-crm.veevavault.com/ui/#object/approved_document__v/V5O00000001A037", "LUP - VAE Póster Adelphi - Nefro")</f>
        <v>LUP - VAE Póster Adelphi - Nefro</v>
      </c>
      <c r="M4103" s="22" t="str">
        <f>HYPERLINK("mailto:gsammali@crm.otsuka-europe.com", "gsammali@crm.otsuka-europe.com")</f>
        <v>gsammali@crm.otsuka-europe.com</v>
      </c>
      <c r="N4103" s="25">
        <v>46216.433113425926</v>
      </c>
      <c r="O4103" s="14" t="str">
        <f>HYPERLINK("https://otsuka-europe-crm.veevavault.com/ui/#object/email_activity__v/V8C000000049829", "EN-002106503")</f>
        <v>EN-002106503</v>
      </c>
    </row>
    <row r="4104" spans="1:15" ht="16" x14ac:dyDescent="0.2">
      <c r="A4104" s="19"/>
      <c r="B4104" s="19"/>
      <c r="C4104" s="19"/>
      <c r="D4104" s="19"/>
      <c r="E4104" s="19"/>
      <c r="F4104" s="19"/>
      <c r="G4104" s="19"/>
      <c r="H4104" s="19"/>
      <c r="I4104" s="19"/>
      <c r="J4104" s="19"/>
      <c r="K4104" s="19"/>
      <c r="L4104" s="19"/>
      <c r="M4104" s="19"/>
      <c r="N4104" s="19"/>
      <c r="O4104" s="14" t="str">
        <f>HYPERLINK("https://otsuka-europe-crm.veevavault.com/ui/#object/email_activity__v/V8C00000004A172", "EN-002105272")</f>
        <v>EN-002105272</v>
      </c>
    </row>
    <row r="4105" spans="1:15" ht="32" x14ac:dyDescent="0.2">
      <c r="A4105" s="7" t="str">
        <f>HYPERLINK("https://otsuka-europe-crm.veevavault.com/ui/#object/account__v/V4TZ06G6O71TB37", "NADIA MARTIN ALEMANY")</f>
        <v>NADIA MARTIN ALEMANY</v>
      </c>
      <c r="B4105" s="7" t="str">
        <f>HYPERLINK("https://otsuka-europe-crm.veevavault.com/ui/#object/vcountry__v/VENZ000004SONF5", "ES")</f>
        <v>ES</v>
      </c>
      <c r="C4105" s="8" t="s">
        <v>39</v>
      </c>
      <c r="D4105" s="9" t="str">
        <f>HYPERLINK("https://otsuka-europe-crm.veevavault.com/ui/#object/approved_document__v/V5O00000001A037", "LUP - VAE Póster Adelphi - Nefro")</f>
        <v>LUP - VAE Póster Adelphi - Nefro</v>
      </c>
      <c r="E4105" s="10" t="str">
        <f>HYPERLINK("https://otsuka-europe-crm.veevavault.com/ui/#object/sent_email__v/VBL000000037074", "SE-001443649")</f>
        <v>SE-001443649</v>
      </c>
      <c r="F4105" s="11"/>
      <c r="G4105" s="12">
        <v>0</v>
      </c>
      <c r="H4105" s="12">
        <v>0</v>
      </c>
      <c r="I4105" s="12">
        <v>0</v>
      </c>
      <c r="J4105" s="11"/>
      <c r="K4105" s="12">
        <v>0</v>
      </c>
      <c r="L4105" s="10" t="str">
        <f>HYPERLINK("https://otsuka-europe-crm.veevavault.com/ui/#object/approved_document__v/V5O00000001A037", "LUP - VAE Póster Adelphi - Nefro")</f>
        <v>LUP - VAE Póster Adelphi - Nefro</v>
      </c>
      <c r="M4105" s="10" t="str">
        <f>HYPERLINK("mailto:gsammali@crm.otsuka-europe.com", "gsammali@crm.otsuka-europe.com")</f>
        <v>gsammali@crm.otsuka-europe.com</v>
      </c>
      <c r="N4105" s="13">
        <v>46216.433148148149</v>
      </c>
      <c r="O4105" s="14" t="str">
        <f>HYPERLINK("https://otsuka-europe-crm.veevavault.com/ui/#object/email_activity__v/V8C000000049228", "EN-002105241")</f>
        <v>EN-002105241</v>
      </c>
    </row>
    <row r="4106" spans="1:15" ht="32" x14ac:dyDescent="0.2">
      <c r="A4106" s="7" t="str">
        <f>HYPERLINK("https://otsuka-europe-crm.veevavault.com/ui/#object/account__v/V4TZ04ASGGI61CG", "MARTA MARTINEZ CHILLARON")</f>
        <v>MARTA MARTINEZ CHILLARON</v>
      </c>
      <c r="B4106" s="7" t="str">
        <f>HYPERLINK("https://otsuka-europe-crm.veevavault.com/ui/#object/vcountry__v/VENZ000004SONF5", "ES")</f>
        <v>ES</v>
      </c>
      <c r="C4106" s="8" t="s">
        <v>39</v>
      </c>
      <c r="D4106" s="9" t="str">
        <f>HYPERLINK("https://otsuka-europe-crm.veevavault.com/ui/#object/approved_document__v/V5O00000001A037", "LUP - VAE Póster Adelphi - Nefro")</f>
        <v>LUP - VAE Póster Adelphi - Nefro</v>
      </c>
      <c r="E4106" s="10" t="str">
        <f>HYPERLINK("https://otsuka-europe-crm.veevavault.com/ui/#object/sent_email__v/VBL000000037075", "SE-001443650")</f>
        <v>SE-001443650</v>
      </c>
      <c r="F4106" s="11"/>
      <c r="G4106" s="12">
        <v>0</v>
      </c>
      <c r="H4106" s="12">
        <v>0</v>
      </c>
      <c r="I4106" s="12">
        <v>0</v>
      </c>
      <c r="J4106" s="11"/>
      <c r="K4106" s="12">
        <v>0</v>
      </c>
      <c r="L4106" s="10" t="str">
        <f>HYPERLINK("https://otsuka-europe-crm.veevavault.com/ui/#object/approved_document__v/V5O00000001A037", "LUP - VAE Póster Adelphi - Nefro")</f>
        <v>LUP - VAE Póster Adelphi - Nefro</v>
      </c>
      <c r="M4106" s="10" t="str">
        <f>HYPERLINK("mailto:gsammali@crm.otsuka-europe.com", "gsammali@crm.otsuka-europe.com")</f>
        <v>gsammali@crm.otsuka-europe.com</v>
      </c>
      <c r="N4106" s="13">
        <v>46216.433113425926</v>
      </c>
      <c r="O4106" s="14" t="str">
        <f>HYPERLINK("https://otsuka-europe-crm.veevavault.com/ui/#object/email_activity__v/V8C00000004A193", "EN-002105294")</f>
        <v>EN-002105294</v>
      </c>
    </row>
    <row r="4107" spans="1:15" ht="32" x14ac:dyDescent="0.2">
      <c r="A4107" s="7" t="str">
        <f>HYPERLINK("https://otsuka-europe-crm.veevavault.com/ui/#object/account__v/V4TZ06G6O71T9DC", "INMACULADA CONCEPCION BUJONS NOGUERA")</f>
        <v>INMACULADA CONCEPCION BUJONS NOGUERA</v>
      </c>
      <c r="B4107" s="7" t="str">
        <f>HYPERLINK("https://otsuka-europe-crm.veevavault.com/ui/#object/vcountry__v/VENZ000004SONF5", "ES")</f>
        <v>ES</v>
      </c>
      <c r="C4107" s="8" t="s">
        <v>39</v>
      </c>
      <c r="D4107" s="9" t="str">
        <f>HYPERLINK("https://otsuka-europe-crm.veevavault.com/ui/#object/approved_document__v/V5O00000001A037", "LUP - VAE Póster Adelphi - Nefro")</f>
        <v>LUP - VAE Póster Adelphi - Nefro</v>
      </c>
      <c r="E4107" s="10" t="str">
        <f>HYPERLINK("https://otsuka-europe-crm.veevavault.com/ui/#object/sent_email__v/VBL000000037076", "SE-001443651")</f>
        <v>SE-001443651</v>
      </c>
      <c r="F4107" s="11"/>
      <c r="G4107" s="12">
        <v>0</v>
      </c>
      <c r="H4107" s="12">
        <v>0</v>
      </c>
      <c r="I4107" s="12">
        <v>0</v>
      </c>
      <c r="J4107" s="11"/>
      <c r="K4107" s="12">
        <v>0</v>
      </c>
      <c r="L4107" s="10" t="str">
        <f>HYPERLINK("https://otsuka-europe-crm.veevavault.com/ui/#object/approved_document__v/V5O00000001A037", "LUP - VAE Póster Adelphi - Nefro")</f>
        <v>LUP - VAE Póster Adelphi - Nefro</v>
      </c>
      <c r="M4107" s="10" t="str">
        <f>HYPERLINK("mailto:gsammali@crm.otsuka-europe.com", "gsammali@crm.otsuka-europe.com")</f>
        <v>gsammali@crm.otsuka-europe.com</v>
      </c>
      <c r="N4107" s="13">
        <v>46216.433136574073</v>
      </c>
      <c r="O4107" s="14" t="str">
        <f>HYPERLINK("https://otsuka-europe-crm.veevavault.com/ui/#object/email_activity__v/V8C00000004A152", "EN-002105246")</f>
        <v>EN-002105246</v>
      </c>
    </row>
    <row r="4108" spans="1:15" ht="16" x14ac:dyDescent="0.2">
      <c r="A4108" s="18" t="str">
        <f>HYPERLINK("https://otsuka-europe-crm.veevavault.com/ui/#object/account__v/V4TZ04ASGB4VU2I", "ROXANA PAOLA BURY MACIAS")</f>
        <v>ROXANA PAOLA BURY MACIAS</v>
      </c>
      <c r="B4108" s="18" t="str">
        <f>HYPERLINK("https://otsuka-europe-crm.veevavault.com/ui/#object/vcountry__v/VENZ000004SONF5", "ES")</f>
        <v>ES</v>
      </c>
      <c r="C4108" s="20" t="s">
        <v>39</v>
      </c>
      <c r="D4108" s="21" t="str">
        <f>HYPERLINK("https://otsuka-europe-crm.veevavault.com/ui/#object/approved_document__v/V5O00000001A037", "LUP - VAE Póster Adelphi - Nefro")</f>
        <v>LUP - VAE Póster Adelphi - Nefro</v>
      </c>
      <c r="E4108" s="22" t="str">
        <f>HYPERLINK("https://otsuka-europe-crm.veevavault.com/ui/#object/sent_email__v/VBL000000037077", "SE-001443652")</f>
        <v>SE-001443652</v>
      </c>
      <c r="F4108" s="25">
        <v>46217.72084490741</v>
      </c>
      <c r="G4108" s="24">
        <v>1</v>
      </c>
      <c r="H4108" s="24">
        <v>4</v>
      </c>
      <c r="I4108" s="24">
        <v>0</v>
      </c>
      <c r="J4108" s="23"/>
      <c r="K4108" s="24">
        <v>0</v>
      </c>
      <c r="L4108" s="22" t="str">
        <f>HYPERLINK("https://otsuka-europe-crm.veevavault.com/ui/#object/approved_document__v/V5O00000001A037", "LUP - VAE Póster Adelphi - Nefro")</f>
        <v>LUP - VAE Póster Adelphi - Nefro</v>
      </c>
      <c r="M4108" s="22" t="str">
        <f>HYPERLINK("mailto:gsammali@crm.otsuka-europe.com", "gsammali@crm.otsuka-europe.com")</f>
        <v>gsammali@crm.otsuka-europe.com</v>
      </c>
      <c r="N4108" s="25">
        <v>46216.433113425926</v>
      </c>
      <c r="O4108" s="14" t="str">
        <f>HYPERLINK("https://otsuka-europe-crm.veevavault.com/ui/#object/email_activity__v/V8C000000049657", "EN-002106139")</f>
        <v>EN-002106139</v>
      </c>
    </row>
    <row r="4109" spans="1:15" ht="16" x14ac:dyDescent="0.2">
      <c r="A4109" s="26"/>
      <c r="B4109" s="26"/>
      <c r="C4109" s="26"/>
      <c r="D4109" s="26"/>
      <c r="E4109" s="26"/>
      <c r="F4109" s="26"/>
      <c r="G4109" s="26"/>
      <c r="H4109" s="26"/>
      <c r="I4109" s="26"/>
      <c r="J4109" s="26"/>
      <c r="K4109" s="26"/>
      <c r="L4109" s="26"/>
      <c r="M4109" s="26"/>
      <c r="N4109" s="26"/>
      <c r="O4109" s="14" t="str">
        <f>HYPERLINK("https://otsuka-europe-crm.veevavault.com/ui/#object/email_activity__v/V8C000000049658", "EN-002106140")</f>
        <v>EN-002106140</v>
      </c>
    </row>
    <row r="4110" spans="1:15" ht="16" x14ac:dyDescent="0.2">
      <c r="A4110" s="26"/>
      <c r="B4110" s="26"/>
      <c r="C4110" s="26"/>
      <c r="D4110" s="26"/>
      <c r="E4110" s="26"/>
      <c r="F4110" s="26"/>
      <c r="G4110" s="26"/>
      <c r="H4110" s="26"/>
      <c r="I4110" s="26"/>
      <c r="J4110" s="26"/>
      <c r="K4110" s="26"/>
      <c r="L4110" s="26"/>
      <c r="M4110" s="26"/>
      <c r="N4110" s="26"/>
      <c r="O4110" s="14" t="str">
        <f>HYPERLINK("https://otsuka-europe-crm.veevavault.com/ui/#object/email_activity__v/V8C00000004A199", "EN-002105299")</f>
        <v>EN-002105299</v>
      </c>
    </row>
    <row r="4111" spans="1:15" ht="16" x14ac:dyDescent="0.2">
      <c r="A4111" s="26"/>
      <c r="B4111" s="26"/>
      <c r="C4111" s="26"/>
      <c r="D4111" s="26"/>
      <c r="E4111" s="26"/>
      <c r="F4111" s="26"/>
      <c r="G4111" s="26"/>
      <c r="H4111" s="26"/>
      <c r="I4111" s="26"/>
      <c r="J4111" s="26"/>
      <c r="K4111" s="26"/>
      <c r="L4111" s="26"/>
      <c r="M4111" s="26"/>
      <c r="N4111" s="26"/>
      <c r="O4111" s="14" t="str">
        <f>HYPERLINK("https://otsuka-europe-crm.veevavault.com/ui/#object/email_activity__v/V8C00000004A376", "EN-002105690")</f>
        <v>EN-002105690</v>
      </c>
    </row>
    <row r="4112" spans="1:15" ht="16" x14ac:dyDescent="0.2">
      <c r="A4112" s="19"/>
      <c r="B4112" s="19"/>
      <c r="C4112" s="19"/>
      <c r="D4112" s="19"/>
      <c r="E4112" s="19"/>
      <c r="F4112" s="19"/>
      <c r="G4112" s="19"/>
      <c r="H4112" s="19"/>
      <c r="I4112" s="19"/>
      <c r="J4112" s="19"/>
      <c r="K4112" s="19"/>
      <c r="L4112" s="19"/>
      <c r="M4112" s="19"/>
      <c r="N4112" s="19"/>
      <c r="O4112" s="14" t="str">
        <f>HYPERLINK("https://otsuka-europe-crm.veevavault.com/ui/#object/email_activity__v/V8C00000004A524", "EN-002105965")</f>
        <v>EN-002105965</v>
      </c>
    </row>
    <row r="4113" spans="1:15" ht="32" x14ac:dyDescent="0.2">
      <c r="A4113" s="7" t="str">
        <f>HYPERLINK("https://otsuka-europe-crm.veevavault.com/ui/#object/account__v/V4TZ04ASG764013", "EULALIA SOLA PORTA")</f>
        <v>EULALIA SOLA PORTA</v>
      </c>
      <c r="B4113" s="7" t="str">
        <f t="shared" ref="B4113:B4120" si="178">HYPERLINK("https://otsuka-europe-crm.veevavault.com/ui/#object/vcountry__v/VENZ000004SONF5", "ES")</f>
        <v>ES</v>
      </c>
      <c r="C4113" s="8" t="s">
        <v>39</v>
      </c>
      <c r="D4113" s="9" t="str">
        <f t="shared" ref="D4113:D4120" si="179">HYPERLINK("https://otsuka-europe-crm.veevavault.com/ui/#object/approved_document__v/V5O00000001A037", "LUP - VAE Póster Adelphi - Nefro")</f>
        <v>LUP - VAE Póster Adelphi - Nefro</v>
      </c>
      <c r="E4113" s="10" t="str">
        <f>HYPERLINK("https://otsuka-europe-crm.veevavault.com/ui/#object/sent_email__v/VBL000000037078", "SE-001443653")</f>
        <v>SE-001443653</v>
      </c>
      <c r="F4113" s="11"/>
      <c r="G4113" s="12">
        <v>0</v>
      </c>
      <c r="H4113" s="12">
        <v>0</v>
      </c>
      <c r="I4113" s="12">
        <v>0</v>
      </c>
      <c r="J4113" s="11"/>
      <c r="K4113" s="12">
        <v>0</v>
      </c>
      <c r="L4113" s="10" t="str">
        <f t="shared" ref="L4113:L4120" si="180">HYPERLINK("https://otsuka-europe-crm.veevavault.com/ui/#object/approved_document__v/V5O00000001A037", "LUP - VAE Póster Adelphi - Nefro")</f>
        <v>LUP - VAE Póster Adelphi - Nefro</v>
      </c>
      <c r="M4113" s="10" t="str">
        <f t="shared" ref="M4113:M4120" si="181">HYPERLINK("mailto:gsammali@crm.otsuka-europe.com", "gsammali@crm.otsuka-europe.com")</f>
        <v>gsammali@crm.otsuka-europe.com</v>
      </c>
      <c r="N4113" s="13">
        <v>46216.433113425926</v>
      </c>
      <c r="O4113" s="14" t="str">
        <f>HYPERLINK("https://otsuka-europe-crm.veevavault.com/ui/#object/email_activity__v/V8C00000004A194", "EN-002105290")</f>
        <v>EN-002105290</v>
      </c>
    </row>
    <row r="4114" spans="1:15" ht="32" x14ac:dyDescent="0.2">
      <c r="A4114" s="7" t="str">
        <f>HYPERLINK("https://otsuka-europe-crm.veevavault.com/ui/#object/account__v/V4TZ04ASGAGIU4J", "JUAN CARLOS GONZALEZ OLIVA")</f>
        <v>JUAN CARLOS GONZALEZ OLIVA</v>
      </c>
      <c r="B4114" s="7" t="str">
        <f t="shared" si="178"/>
        <v>ES</v>
      </c>
      <c r="C4114" s="8" t="s">
        <v>39</v>
      </c>
      <c r="D4114" s="9" t="str">
        <f t="shared" si="179"/>
        <v>LUP - VAE Póster Adelphi - Nefro</v>
      </c>
      <c r="E4114" s="10" t="str">
        <f>HYPERLINK("https://otsuka-europe-crm.veevavault.com/ui/#object/sent_email__v/VBL000000037079", "SE-001443654")</f>
        <v>SE-001443654</v>
      </c>
      <c r="F4114" s="11"/>
      <c r="G4114" s="12">
        <v>0</v>
      </c>
      <c r="H4114" s="12">
        <v>0</v>
      </c>
      <c r="I4114" s="12">
        <v>0</v>
      </c>
      <c r="J4114" s="11"/>
      <c r="K4114" s="12">
        <v>0</v>
      </c>
      <c r="L4114" s="10" t="str">
        <f t="shared" si="180"/>
        <v>LUP - VAE Póster Adelphi - Nefro</v>
      </c>
      <c r="M4114" s="10" t="str">
        <f t="shared" si="181"/>
        <v>gsammali@crm.otsuka-europe.com</v>
      </c>
      <c r="N4114" s="13">
        <v>46216.433125000003</v>
      </c>
      <c r="O4114" s="14" t="str">
        <f>HYPERLINK("https://otsuka-europe-crm.veevavault.com/ui/#object/email_activity__v/V8C000000049222", "EN-002105235")</f>
        <v>EN-002105235</v>
      </c>
    </row>
    <row r="4115" spans="1:15" ht="32" x14ac:dyDescent="0.2">
      <c r="A4115" s="7" t="str">
        <f>HYPERLINK("https://otsuka-europe-crm.veevavault.com/ui/#object/account__v/V4TZ025E82A5RFW", "CRISTINA AMOROS ROBLES")</f>
        <v>CRISTINA AMOROS ROBLES</v>
      </c>
      <c r="B4115" s="7" t="str">
        <f t="shared" si="178"/>
        <v>ES</v>
      </c>
      <c r="C4115" s="8" t="s">
        <v>39</v>
      </c>
      <c r="D4115" s="9" t="str">
        <f t="shared" si="179"/>
        <v>LUP - VAE Póster Adelphi - Nefro</v>
      </c>
      <c r="E4115" s="10" t="str">
        <f>HYPERLINK("https://otsuka-europe-crm.veevavault.com/ui/#object/sent_email__v/VBL000000037080", "SE-001443655")</f>
        <v>SE-001443655</v>
      </c>
      <c r="F4115" s="11"/>
      <c r="G4115" s="12">
        <v>0</v>
      </c>
      <c r="H4115" s="12">
        <v>0</v>
      </c>
      <c r="I4115" s="12">
        <v>0</v>
      </c>
      <c r="J4115" s="11"/>
      <c r="K4115" s="12">
        <v>0</v>
      </c>
      <c r="L4115" s="10" t="str">
        <f t="shared" si="180"/>
        <v>LUP - VAE Póster Adelphi - Nefro</v>
      </c>
      <c r="M4115" s="10" t="str">
        <f t="shared" si="181"/>
        <v>gsammali@crm.otsuka-europe.com</v>
      </c>
      <c r="N4115" s="13">
        <v>46216.433113425926</v>
      </c>
      <c r="O4115" s="14" t="str">
        <f>HYPERLINK("https://otsuka-europe-crm.veevavault.com/ui/#object/email_activity__v/V8C00000004A163", "EN-002105263")</f>
        <v>EN-002105263</v>
      </c>
    </row>
    <row r="4116" spans="1:15" ht="32" x14ac:dyDescent="0.2">
      <c r="A4116" s="7" t="str">
        <f>HYPERLINK("https://otsuka-europe-crm.veevavault.com/ui/#object/account__v/V4TZ04ASG7RX91O", "NANCY DANIELA VALENCIA MORALES")</f>
        <v>NANCY DANIELA VALENCIA MORALES</v>
      </c>
      <c r="B4116" s="7" t="str">
        <f t="shared" si="178"/>
        <v>ES</v>
      </c>
      <c r="C4116" s="8" t="s">
        <v>39</v>
      </c>
      <c r="D4116" s="9" t="str">
        <f t="shared" si="179"/>
        <v>LUP - VAE Póster Adelphi - Nefro</v>
      </c>
      <c r="E4116" s="10" t="str">
        <f>HYPERLINK("https://otsuka-europe-crm.veevavault.com/ui/#object/sent_email__v/VBL000000037081", "SE-001443656")</f>
        <v>SE-001443656</v>
      </c>
      <c r="F4116" s="11"/>
      <c r="G4116" s="12">
        <v>0</v>
      </c>
      <c r="H4116" s="12">
        <v>0</v>
      </c>
      <c r="I4116" s="12">
        <v>0</v>
      </c>
      <c r="J4116" s="11"/>
      <c r="K4116" s="12">
        <v>0</v>
      </c>
      <c r="L4116" s="10" t="str">
        <f t="shared" si="180"/>
        <v>LUP - VAE Póster Adelphi - Nefro</v>
      </c>
      <c r="M4116" s="10" t="str">
        <f t="shared" si="181"/>
        <v>gsammali@crm.otsuka-europe.com</v>
      </c>
      <c r="N4116" s="13">
        <v>46216.433136574073</v>
      </c>
      <c r="O4116" s="14" t="str">
        <f>HYPERLINK("https://otsuka-europe-crm.veevavault.com/ui/#object/email_activity__v/V8C00000004A154", "EN-002105248")</f>
        <v>EN-002105248</v>
      </c>
    </row>
    <row r="4117" spans="1:15" ht="32" x14ac:dyDescent="0.2">
      <c r="A4117" s="7" t="str">
        <f>HYPERLINK("https://otsuka-europe-crm.veevavault.com/ui/#object/account__v/V4TZ06G6O71T8OU", "RAUL SANCHEZ MARIN")</f>
        <v>RAUL SANCHEZ MARIN</v>
      </c>
      <c r="B4117" s="7" t="str">
        <f t="shared" si="178"/>
        <v>ES</v>
      </c>
      <c r="C4117" s="8" t="s">
        <v>39</v>
      </c>
      <c r="D4117" s="9" t="str">
        <f t="shared" si="179"/>
        <v>LUP - VAE Póster Adelphi - Nefro</v>
      </c>
      <c r="E4117" s="10" t="str">
        <f>HYPERLINK("https://otsuka-europe-crm.veevavault.com/ui/#object/sent_email__v/VBL000000037082", "SE-001443657")</f>
        <v>SE-001443657</v>
      </c>
      <c r="F4117" s="11"/>
      <c r="G4117" s="12">
        <v>0</v>
      </c>
      <c r="H4117" s="12">
        <v>0</v>
      </c>
      <c r="I4117" s="12">
        <v>0</v>
      </c>
      <c r="J4117" s="11"/>
      <c r="K4117" s="12">
        <v>0</v>
      </c>
      <c r="L4117" s="10" t="str">
        <f t="shared" si="180"/>
        <v>LUP - VAE Póster Adelphi - Nefro</v>
      </c>
      <c r="M4117" s="10" t="str">
        <f t="shared" si="181"/>
        <v>gsammali@crm.otsuka-europe.com</v>
      </c>
      <c r="N4117" s="13">
        <v>46216.433148148149</v>
      </c>
      <c r="O4117" s="14" t="str">
        <f>HYPERLINK("https://otsuka-europe-crm.veevavault.com/ui/#object/email_activity__v/V8C00000004A156", "EN-002105250")</f>
        <v>EN-002105250</v>
      </c>
    </row>
    <row r="4118" spans="1:15" ht="32" x14ac:dyDescent="0.2">
      <c r="A4118" s="7" t="str">
        <f>HYPERLINK("https://otsuka-europe-crm.veevavault.com/ui/#object/account__v/V4TZ025E87AAYME", "DAVID SALCEDO HERRERO")</f>
        <v>DAVID SALCEDO HERRERO</v>
      </c>
      <c r="B4118" s="7" t="str">
        <f t="shared" si="178"/>
        <v>ES</v>
      </c>
      <c r="C4118" s="8" t="s">
        <v>39</v>
      </c>
      <c r="D4118" s="9" t="str">
        <f t="shared" si="179"/>
        <v>LUP - VAE Póster Adelphi - Nefro</v>
      </c>
      <c r="E4118" s="10" t="str">
        <f>HYPERLINK("https://otsuka-europe-crm.veevavault.com/ui/#object/sent_email__v/VBL000000037083", "SE-001443658")</f>
        <v>SE-001443658</v>
      </c>
      <c r="F4118" s="11"/>
      <c r="G4118" s="12">
        <v>0</v>
      </c>
      <c r="H4118" s="12">
        <v>0</v>
      </c>
      <c r="I4118" s="12">
        <v>0</v>
      </c>
      <c r="J4118" s="11"/>
      <c r="K4118" s="12">
        <v>0</v>
      </c>
      <c r="L4118" s="10" t="str">
        <f t="shared" si="180"/>
        <v>LUP - VAE Póster Adelphi - Nefro</v>
      </c>
      <c r="M4118" s="10" t="str">
        <f t="shared" si="181"/>
        <v>gsammali@crm.otsuka-europe.com</v>
      </c>
      <c r="N4118" s="13">
        <v>46216.433125000003</v>
      </c>
      <c r="O4118" s="14" t="str">
        <f>HYPERLINK("https://otsuka-europe-crm.veevavault.com/ui/#object/email_activity__v/V8C000000049223", "EN-002105236")</f>
        <v>EN-002105236</v>
      </c>
    </row>
    <row r="4119" spans="1:15" ht="32" x14ac:dyDescent="0.2">
      <c r="A4119" s="7" t="str">
        <f>HYPERLINK("https://otsuka-europe-crm.veevavault.com/ui/#object/account__v/V4TZ06G6O71T967", "ANNA PATRICIA BALIUS MATAS")</f>
        <v>ANNA PATRICIA BALIUS MATAS</v>
      </c>
      <c r="B4119" s="7" t="str">
        <f t="shared" si="178"/>
        <v>ES</v>
      </c>
      <c r="C4119" s="8" t="s">
        <v>39</v>
      </c>
      <c r="D4119" s="9" t="str">
        <f t="shared" si="179"/>
        <v>LUP - VAE Póster Adelphi - Nefro</v>
      </c>
      <c r="E4119" s="10" t="str">
        <f>HYPERLINK("https://otsuka-europe-crm.veevavault.com/ui/#object/sent_email__v/VBL000000037084", "SE-001443659")</f>
        <v>SE-001443659</v>
      </c>
      <c r="F4119" s="11"/>
      <c r="G4119" s="12">
        <v>0</v>
      </c>
      <c r="H4119" s="12">
        <v>0</v>
      </c>
      <c r="I4119" s="12">
        <v>0</v>
      </c>
      <c r="J4119" s="11"/>
      <c r="K4119" s="12">
        <v>0</v>
      </c>
      <c r="L4119" s="10" t="str">
        <f t="shared" si="180"/>
        <v>LUP - VAE Póster Adelphi - Nefro</v>
      </c>
      <c r="M4119" s="10" t="str">
        <f t="shared" si="181"/>
        <v>gsammali@crm.otsuka-europe.com</v>
      </c>
      <c r="N4119" s="13">
        <v>46216.433113425926</v>
      </c>
      <c r="O4119" s="14" t="str">
        <f>HYPERLINK("https://otsuka-europe-crm.veevavault.com/ui/#object/email_activity__v/V8C000000049246", "EN-002105323")</f>
        <v>EN-002105323</v>
      </c>
    </row>
    <row r="4120" spans="1:15" ht="16" x14ac:dyDescent="0.2">
      <c r="A4120" s="18" t="str">
        <f>HYPERLINK("https://otsuka-europe-crm.veevavault.com/ui/#object/account__v/V4TZ06G6OBUCM7X", "MONICA ALEJANDRA MILLA CASTELLANOS")</f>
        <v>MONICA ALEJANDRA MILLA CASTELLANOS</v>
      </c>
      <c r="B4120" s="18" t="str">
        <f t="shared" si="178"/>
        <v>ES</v>
      </c>
      <c r="C4120" s="20" t="s">
        <v>39</v>
      </c>
      <c r="D4120" s="21" t="str">
        <f t="shared" si="179"/>
        <v>LUP - VAE Póster Adelphi - Nefro</v>
      </c>
      <c r="E4120" s="22" t="str">
        <f>HYPERLINK("https://otsuka-europe-crm.veevavault.com/ui/#object/sent_email__v/VBL000000037085", "SE-001443660")</f>
        <v>SE-001443660</v>
      </c>
      <c r="F4120" s="23"/>
      <c r="G4120" s="24">
        <v>0</v>
      </c>
      <c r="H4120" s="24">
        <v>0</v>
      </c>
      <c r="I4120" s="24">
        <v>0</v>
      </c>
      <c r="J4120" s="23"/>
      <c r="K4120" s="24">
        <v>0</v>
      </c>
      <c r="L4120" s="22" t="str">
        <f t="shared" si="180"/>
        <v>LUP - VAE Póster Adelphi - Nefro</v>
      </c>
      <c r="M4120" s="22" t="str">
        <f t="shared" si="181"/>
        <v>gsammali@crm.otsuka-europe.com</v>
      </c>
      <c r="N4120" s="25">
        <v>46216.433113425926</v>
      </c>
      <c r="O4120" s="14" t="str">
        <f>HYPERLINK("https://otsuka-europe-crm.veevavault.com/ui/#object/email_activity__v/V8C000000049229", "EN-002105257")</f>
        <v>EN-002105257</v>
      </c>
    </row>
    <row r="4121" spans="1:15" ht="16" x14ac:dyDescent="0.2">
      <c r="A4121" s="19"/>
      <c r="B4121" s="19"/>
      <c r="C4121" s="19"/>
      <c r="D4121" s="19"/>
      <c r="E4121" s="19"/>
      <c r="F4121" s="19"/>
      <c r="G4121" s="19"/>
      <c r="H4121" s="19"/>
      <c r="I4121" s="19"/>
      <c r="J4121" s="19"/>
      <c r="K4121" s="19"/>
      <c r="L4121" s="19"/>
      <c r="M4121" s="19"/>
      <c r="N4121" s="19"/>
      <c r="O4121" s="14" t="str">
        <f>HYPERLINK("https://otsuka-europe-crm.veevavault.com/ui/#object/email_activity__v/V8C000000049249", "EN-002105336")</f>
        <v>EN-002105336</v>
      </c>
    </row>
    <row r="4122" spans="1:15" ht="32" x14ac:dyDescent="0.2">
      <c r="A4122" s="7" t="str">
        <f>HYPERLINK("https://otsuka-europe-crm.veevavault.com/ui/#object/account__v/V4TZ025E85G7QK9", "KATHERYN ISABEL MEMBREÑO BLANDON")</f>
        <v>KATHERYN ISABEL MEMBREÑO BLANDON</v>
      </c>
      <c r="B4122" s="7" t="str">
        <f>HYPERLINK("https://otsuka-europe-crm.veevavault.com/ui/#object/vcountry__v/VENZ000004SONF5", "ES")</f>
        <v>ES</v>
      </c>
      <c r="C4122" s="8" t="s">
        <v>39</v>
      </c>
      <c r="D4122" s="9" t="str">
        <f>HYPERLINK("https://otsuka-europe-crm.veevavault.com/ui/#object/approved_document__v/V5O00000001A037", "LUP - VAE Póster Adelphi - Nefro")</f>
        <v>LUP - VAE Póster Adelphi - Nefro</v>
      </c>
      <c r="E4122" s="10" t="str">
        <f>HYPERLINK("https://otsuka-europe-crm.veevavault.com/ui/#object/sent_email__v/VBL000000037086", "SE-001443661")</f>
        <v>SE-001443661</v>
      </c>
      <c r="F4122" s="11"/>
      <c r="G4122" s="12">
        <v>0</v>
      </c>
      <c r="H4122" s="12">
        <v>0</v>
      </c>
      <c r="I4122" s="12">
        <v>0</v>
      </c>
      <c r="J4122" s="11"/>
      <c r="K4122" s="12">
        <v>0</v>
      </c>
      <c r="L4122" s="10" t="str">
        <f>HYPERLINK("https://otsuka-europe-crm.veevavault.com/ui/#object/approved_document__v/V5O00000001A037", "LUP - VAE Póster Adelphi - Nefro")</f>
        <v>LUP - VAE Póster Adelphi - Nefro</v>
      </c>
      <c r="M4122" s="10" t="str">
        <f>HYPERLINK("mailto:gsammali@crm.otsuka-europe.com", "gsammali@crm.otsuka-europe.com")</f>
        <v>gsammali@crm.otsuka-europe.com</v>
      </c>
      <c r="N4122" s="13">
        <v>46216.433113425926</v>
      </c>
      <c r="O4122" s="14" t="str">
        <f>HYPERLINK("https://otsuka-europe-crm.veevavault.com/ui/#object/email_activity__v/V8C00000004A189", "EN-002105288")</f>
        <v>EN-002105288</v>
      </c>
    </row>
    <row r="4123" spans="1:15" ht="32" x14ac:dyDescent="0.2">
      <c r="A4123" s="7" t="str">
        <f>HYPERLINK("https://otsuka-europe-crm.veevavault.com/ui/#object/account__v/V4TZ04ASGGI5W3I", "MARIA VERONICA COLL BRITO")</f>
        <v>MARIA VERONICA COLL BRITO</v>
      </c>
      <c r="B4123" s="7" t="str">
        <f>HYPERLINK("https://otsuka-europe-crm.veevavault.com/ui/#object/vcountry__v/VENZ000004SONF5", "ES")</f>
        <v>ES</v>
      </c>
      <c r="C4123" s="8" t="s">
        <v>39</v>
      </c>
      <c r="D4123" s="9" t="str">
        <f>HYPERLINK("https://otsuka-europe-crm.veevavault.com/ui/#object/approved_document__v/V5O00000001A037", "LUP - VAE Póster Adelphi - Nefro")</f>
        <v>LUP - VAE Póster Adelphi - Nefro</v>
      </c>
      <c r="E4123" s="10" t="str">
        <f>HYPERLINK("https://otsuka-europe-crm.veevavault.com/ui/#object/sent_email__v/VBL000000037087", "SE-001443662")</f>
        <v>SE-001443662</v>
      </c>
      <c r="F4123" s="11"/>
      <c r="G4123" s="12">
        <v>0</v>
      </c>
      <c r="H4123" s="12">
        <v>0</v>
      </c>
      <c r="I4123" s="12">
        <v>0</v>
      </c>
      <c r="J4123" s="11"/>
      <c r="K4123" s="12">
        <v>0</v>
      </c>
      <c r="L4123" s="10" t="str">
        <f>HYPERLINK("https://otsuka-europe-crm.veevavault.com/ui/#object/approved_document__v/V5O00000001A037", "LUP - VAE Póster Adelphi - Nefro")</f>
        <v>LUP - VAE Póster Adelphi - Nefro</v>
      </c>
      <c r="M4123" s="10" t="str">
        <f>HYPERLINK("mailto:gsammali@crm.otsuka-europe.com", "gsammali@crm.otsuka-europe.com")</f>
        <v>gsammali@crm.otsuka-europe.com</v>
      </c>
      <c r="N4123" s="13">
        <v>46216.433113425926</v>
      </c>
      <c r="O4123" s="14" t="str">
        <f>HYPERLINK("https://otsuka-europe-crm.veevavault.com/ui/#object/email_activity__v/V8C00000004A178", "EN-002105278")</f>
        <v>EN-002105278</v>
      </c>
    </row>
    <row r="4124" spans="1:15" ht="16" x14ac:dyDescent="0.2">
      <c r="A4124" s="18" t="str">
        <f>HYPERLINK("https://otsuka-europe-crm.veevavault.com/ui/#object/account__v/V4TZ06G6O71T7OB", "ELIAS ALEJANDRO JATEM ESCALANTE")</f>
        <v>ELIAS ALEJANDRO JATEM ESCALANTE</v>
      </c>
      <c r="B4124" s="18" t="str">
        <f>HYPERLINK("https://otsuka-europe-crm.veevavault.com/ui/#object/vcountry__v/VENZ000004SONF5", "ES")</f>
        <v>ES</v>
      </c>
      <c r="C4124" s="20" t="s">
        <v>39</v>
      </c>
      <c r="D4124" s="21" t="str">
        <f>HYPERLINK("https://otsuka-europe-crm.veevavault.com/ui/#object/approved_document__v/V5O00000001A037", "LUP - VAE Póster Adelphi - Nefro")</f>
        <v>LUP - VAE Póster Adelphi - Nefro</v>
      </c>
      <c r="E4124" s="22" t="str">
        <f>HYPERLINK("https://otsuka-europe-crm.veevavault.com/ui/#object/sent_email__v/VBL000000037088", "SE-001443663")</f>
        <v>SE-001443663</v>
      </c>
      <c r="F4124" s="25">
        <v>46216.433217592596</v>
      </c>
      <c r="G4124" s="24">
        <v>1</v>
      </c>
      <c r="H4124" s="24">
        <v>1</v>
      </c>
      <c r="I4124" s="24">
        <v>0</v>
      </c>
      <c r="J4124" s="23"/>
      <c r="K4124" s="24">
        <v>0</v>
      </c>
      <c r="L4124" s="22" t="str">
        <f>HYPERLINK("https://otsuka-europe-crm.veevavault.com/ui/#object/approved_document__v/V5O00000001A037", "LUP - VAE Póster Adelphi - Nefro")</f>
        <v>LUP - VAE Póster Adelphi - Nefro</v>
      </c>
      <c r="M4124" s="22" t="str">
        <f>HYPERLINK("mailto:gsammali@crm.otsuka-europe.com", "gsammali@crm.otsuka-europe.com")</f>
        <v>gsammali@crm.otsuka-europe.com</v>
      </c>
      <c r="N4124" s="25">
        <v>46216.433136574073</v>
      </c>
      <c r="O4124" s="14" t="str">
        <f>HYPERLINK("https://otsuka-europe-crm.veevavault.com/ui/#object/email_activity__v/V8C00000004A148", "EN-002105242")</f>
        <v>EN-002105242</v>
      </c>
    </row>
    <row r="4125" spans="1:15" ht="16" x14ac:dyDescent="0.2">
      <c r="A4125" s="19"/>
      <c r="B4125" s="19"/>
      <c r="C4125" s="19"/>
      <c r="D4125" s="19"/>
      <c r="E4125" s="19"/>
      <c r="F4125" s="19"/>
      <c r="G4125" s="19"/>
      <c r="H4125" s="19"/>
      <c r="I4125" s="19"/>
      <c r="J4125" s="19"/>
      <c r="K4125" s="19"/>
      <c r="L4125" s="19"/>
      <c r="M4125" s="19"/>
      <c r="N4125" s="19"/>
      <c r="O4125" s="14" t="str">
        <f>HYPERLINK("https://otsuka-europe-crm.veevavault.com/ui/#object/email_activity__v/V8C00000004A179", "EN-002105279")</f>
        <v>EN-002105279</v>
      </c>
    </row>
    <row r="4126" spans="1:15" ht="32" x14ac:dyDescent="0.2">
      <c r="A4126" s="7" t="str">
        <f>HYPERLINK("https://otsuka-europe-crm.veevavault.com/ui/#object/account__v/V4TZ06G6O8KXB3I", "OLGA GRACIA GARCIA")</f>
        <v>OLGA GRACIA GARCIA</v>
      </c>
      <c r="B4126" s="7" t="str">
        <f>HYPERLINK("https://otsuka-europe-crm.veevavault.com/ui/#object/vcountry__v/VENZ000004SONF5", "ES")</f>
        <v>ES</v>
      </c>
      <c r="C4126" s="8" t="s">
        <v>39</v>
      </c>
      <c r="D4126" s="9" t="str">
        <f>HYPERLINK("https://otsuka-europe-crm.veevavault.com/ui/#object/approved_document__v/V5O00000001A037", "LUP - VAE Póster Adelphi - Nefro")</f>
        <v>LUP - VAE Póster Adelphi - Nefro</v>
      </c>
      <c r="E4126" s="10" t="str">
        <f>HYPERLINK("https://otsuka-europe-crm.veevavault.com/ui/#object/sent_email__v/VBL000000037089", "SE-001443664")</f>
        <v>SE-001443664</v>
      </c>
      <c r="F4126" s="11"/>
      <c r="G4126" s="12">
        <v>0</v>
      </c>
      <c r="H4126" s="12">
        <v>0</v>
      </c>
      <c r="I4126" s="12">
        <v>0</v>
      </c>
      <c r="J4126" s="11"/>
      <c r="K4126" s="12">
        <v>0</v>
      </c>
      <c r="L4126" s="10" t="str">
        <f>HYPERLINK("https://otsuka-europe-crm.veevavault.com/ui/#object/approved_document__v/V5O00000001A037", "LUP - VAE Póster Adelphi - Nefro")</f>
        <v>LUP - VAE Póster Adelphi - Nefro</v>
      </c>
      <c r="M4126" s="10" t="str">
        <f>HYPERLINK("mailto:gsammali@crm.otsuka-europe.com", "gsammali@crm.otsuka-europe.com")</f>
        <v>gsammali@crm.otsuka-europe.com</v>
      </c>
      <c r="N4126" s="13">
        <v>46216.433113425926</v>
      </c>
      <c r="O4126" s="14" t="str">
        <f>HYPERLINK("https://otsuka-europe-crm.veevavault.com/ui/#object/email_activity__v/V8C00000004A201", "EN-002105301")</f>
        <v>EN-002105301</v>
      </c>
    </row>
    <row r="4127" spans="1:15" ht="16" x14ac:dyDescent="0.2">
      <c r="A4127" s="18" t="str">
        <f>HYPERLINK("https://otsuka-europe-crm.veevavault.com/ui/#object/account__v/V4TZ025E83A598Y", "ANTONIO MIGUEL GARCIA BUENO")</f>
        <v>ANTONIO MIGUEL GARCIA BUENO</v>
      </c>
      <c r="B4127" s="18" t="str">
        <f>HYPERLINK("https://otsuka-europe-crm.veevavault.com/ui/#object/vcountry__v/VENZ000004SONF5", "ES")</f>
        <v>ES</v>
      </c>
      <c r="C4127" s="20" t="s">
        <v>39</v>
      </c>
      <c r="D4127" s="21" t="str">
        <f>HYPERLINK("https://otsuka-europe-crm.veevavault.com/ui/#object/approved_document__v/V5O00000001A037", "LUP - VAE Póster Adelphi - Nefro")</f>
        <v>LUP - VAE Póster Adelphi - Nefro</v>
      </c>
      <c r="E4127" s="22" t="str">
        <f>HYPERLINK("https://otsuka-europe-crm.veevavault.com/ui/#object/sent_email__v/VBL000000037090", "SE-001443665")</f>
        <v>SE-001443665</v>
      </c>
      <c r="F4127" s="25">
        <v>46216.681527777779</v>
      </c>
      <c r="G4127" s="24">
        <v>1</v>
      </c>
      <c r="H4127" s="24">
        <v>4</v>
      </c>
      <c r="I4127" s="24">
        <v>1</v>
      </c>
      <c r="J4127" s="25">
        <v>46216.433275462965</v>
      </c>
      <c r="K4127" s="24">
        <v>2</v>
      </c>
      <c r="L4127" s="22" t="str">
        <f>HYPERLINK("https://otsuka-europe-crm.veevavault.com/ui/#object/approved_document__v/V5O00000001A037", "LUP - VAE Póster Adelphi - Nefro")</f>
        <v>LUP - VAE Póster Adelphi - Nefro</v>
      </c>
      <c r="M4127" s="22" t="str">
        <f>HYPERLINK("mailto:gsammali@crm.otsuka-europe.com", "gsammali@crm.otsuka-europe.com")</f>
        <v>gsammali@crm.otsuka-europe.com</v>
      </c>
      <c r="N4127" s="25">
        <v>46216.433113425926</v>
      </c>
      <c r="O4127" s="14" t="str">
        <f>HYPERLINK("https://otsuka-europe-crm.veevavault.com/ui/#object/email_activity__v/V8C000000049241", "EN-002105319")</f>
        <v>EN-002105319</v>
      </c>
    </row>
    <row r="4128" spans="1:15" ht="16" x14ac:dyDescent="0.2">
      <c r="A4128" s="26"/>
      <c r="B4128" s="26"/>
      <c r="C4128" s="26"/>
      <c r="D4128" s="26"/>
      <c r="E4128" s="26"/>
      <c r="F4128" s="26"/>
      <c r="G4128" s="26"/>
      <c r="H4128" s="26"/>
      <c r="I4128" s="26"/>
      <c r="J4128" s="26"/>
      <c r="K4128" s="26"/>
      <c r="L4128" s="26"/>
      <c r="M4128" s="26"/>
      <c r="N4128" s="26"/>
      <c r="O4128" s="14" t="str">
        <f>HYPERLINK("https://otsuka-europe-crm.veevavault.com/ui/#object/email_activity__v/V8C000000049242", "EN-002105316")</f>
        <v>EN-002105316</v>
      </c>
    </row>
    <row r="4129" spans="1:15" ht="16" x14ac:dyDescent="0.2">
      <c r="A4129" s="26"/>
      <c r="B4129" s="26"/>
      <c r="C4129" s="26"/>
      <c r="D4129" s="26"/>
      <c r="E4129" s="26"/>
      <c r="F4129" s="26"/>
      <c r="G4129" s="26"/>
      <c r="H4129" s="26"/>
      <c r="I4129" s="26"/>
      <c r="J4129" s="26"/>
      <c r="K4129" s="26"/>
      <c r="L4129" s="26"/>
      <c r="M4129" s="26"/>
      <c r="N4129" s="26"/>
      <c r="O4129" s="14" t="str">
        <f>HYPERLINK("https://otsuka-europe-crm.veevavault.com/ui/#object/email_activity__v/V8C000000049243", "EN-002105320")</f>
        <v>EN-002105320</v>
      </c>
    </row>
    <row r="4130" spans="1:15" ht="16" x14ac:dyDescent="0.2">
      <c r="A4130" s="26"/>
      <c r="B4130" s="26"/>
      <c r="C4130" s="26"/>
      <c r="D4130" s="26"/>
      <c r="E4130" s="26"/>
      <c r="F4130" s="26"/>
      <c r="G4130" s="26"/>
      <c r="H4130" s="26"/>
      <c r="I4130" s="26"/>
      <c r="J4130" s="26"/>
      <c r="K4130" s="26"/>
      <c r="L4130" s="26"/>
      <c r="M4130" s="26"/>
      <c r="N4130" s="26"/>
      <c r="O4130" s="14" t="str">
        <f>HYPERLINK("https://otsuka-europe-crm.veevavault.com/ui/#object/email_activity__v/V8C000000049245", "EN-002105322")</f>
        <v>EN-002105322</v>
      </c>
    </row>
    <row r="4131" spans="1:15" ht="16" x14ac:dyDescent="0.2">
      <c r="A4131" s="26"/>
      <c r="B4131" s="26"/>
      <c r="C4131" s="26"/>
      <c r="D4131" s="26"/>
      <c r="E4131" s="26"/>
      <c r="F4131" s="26"/>
      <c r="G4131" s="26"/>
      <c r="H4131" s="26"/>
      <c r="I4131" s="26"/>
      <c r="J4131" s="26"/>
      <c r="K4131" s="26"/>
      <c r="L4131" s="26"/>
      <c r="M4131" s="26"/>
      <c r="N4131" s="26"/>
      <c r="O4131" s="14" t="str">
        <f>HYPERLINK("https://otsuka-europe-crm.veevavault.com/ui/#object/email_activity__v/V8C000000049338", "EN-002105480")</f>
        <v>EN-002105480</v>
      </c>
    </row>
    <row r="4132" spans="1:15" ht="16" x14ac:dyDescent="0.2">
      <c r="A4132" s="26"/>
      <c r="B4132" s="26"/>
      <c r="C4132" s="26"/>
      <c r="D4132" s="26"/>
      <c r="E4132" s="26"/>
      <c r="F4132" s="26"/>
      <c r="G4132" s="26"/>
      <c r="H4132" s="26"/>
      <c r="I4132" s="26"/>
      <c r="J4132" s="26"/>
      <c r="K4132" s="26"/>
      <c r="L4132" s="26"/>
      <c r="M4132" s="26"/>
      <c r="N4132" s="26"/>
      <c r="O4132" s="14" t="str">
        <f>HYPERLINK("https://otsuka-europe-crm.veevavault.com/ui/#object/email_activity__v/V8C000000049406", "EN-002105586")</f>
        <v>EN-002105586</v>
      </c>
    </row>
    <row r="4133" spans="1:15" ht="16" x14ac:dyDescent="0.2">
      <c r="A4133" s="26"/>
      <c r="B4133" s="26"/>
      <c r="C4133" s="26"/>
      <c r="D4133" s="26"/>
      <c r="E4133" s="26"/>
      <c r="F4133" s="26"/>
      <c r="G4133" s="26"/>
      <c r="H4133" s="26"/>
      <c r="I4133" s="26"/>
      <c r="J4133" s="26"/>
      <c r="K4133" s="26"/>
      <c r="L4133" s="26"/>
      <c r="M4133" s="26"/>
      <c r="N4133" s="26"/>
      <c r="O4133" s="14" t="str">
        <f>HYPERLINK("https://otsuka-europe-crm.veevavault.com/ui/#object/email_activity__v/V8C00000004A210", "EN-002105311")</f>
        <v>EN-002105311</v>
      </c>
    </row>
    <row r="4134" spans="1:15" ht="16" x14ac:dyDescent="0.2">
      <c r="A4134" s="26"/>
      <c r="B4134" s="26"/>
      <c r="C4134" s="26"/>
      <c r="D4134" s="26"/>
      <c r="E4134" s="26"/>
      <c r="F4134" s="26"/>
      <c r="G4134" s="26"/>
      <c r="H4134" s="26"/>
      <c r="I4134" s="26"/>
      <c r="J4134" s="26"/>
      <c r="K4134" s="26"/>
      <c r="L4134" s="26"/>
      <c r="M4134" s="26"/>
      <c r="N4134" s="26"/>
      <c r="O4134" s="14" t="str">
        <f>HYPERLINK("https://otsuka-europe-crm.veevavault.com/ui/#object/email_activity__v/V8C00000004A215", "EN-002105327")</f>
        <v>EN-002105327</v>
      </c>
    </row>
    <row r="4135" spans="1:15" ht="16" x14ac:dyDescent="0.2">
      <c r="A4135" s="19"/>
      <c r="B4135" s="19"/>
      <c r="C4135" s="19"/>
      <c r="D4135" s="19"/>
      <c r="E4135" s="19"/>
      <c r="F4135" s="19"/>
      <c r="G4135" s="19"/>
      <c r="H4135" s="19"/>
      <c r="I4135" s="19"/>
      <c r="J4135" s="19"/>
      <c r="K4135" s="19"/>
      <c r="L4135" s="19"/>
      <c r="M4135" s="19"/>
      <c r="N4135" s="19"/>
      <c r="O4135" s="14" t="str">
        <f>HYPERLINK("https://otsuka-europe-crm.veevavault.com/ui/#object/email_activity__v/V8C00000004A397", "EN-002105729")</f>
        <v>EN-002105729</v>
      </c>
    </row>
    <row r="4136" spans="1:15" ht="16" x14ac:dyDescent="0.2">
      <c r="A4136" s="18" t="str">
        <f>HYPERLINK("https://otsuka-europe-crm.veevavault.com/ui/#object/account__v/V4TZ025E86ZC14S", "MICHELE ALEJANDRA TOLEDO JARA")</f>
        <v>MICHELE ALEJANDRA TOLEDO JARA</v>
      </c>
      <c r="B4136" s="18" t="str">
        <f>HYPERLINK("https://otsuka-europe-crm.veevavault.com/ui/#object/vcountry__v/VENZ000004SONF5", "ES")</f>
        <v>ES</v>
      </c>
      <c r="C4136" s="20" t="s">
        <v>39</v>
      </c>
      <c r="D4136" s="21" t="str">
        <f>HYPERLINK("https://otsuka-europe-crm.veevavault.com/ui/#object/approved_document__v/V5O00000001A037", "LUP - VAE Póster Adelphi - Nefro")</f>
        <v>LUP - VAE Póster Adelphi - Nefro</v>
      </c>
      <c r="E4136" s="22" t="str">
        <f>HYPERLINK("https://otsuka-europe-crm.veevavault.com/ui/#object/sent_email__v/VBL000000037091", "SE-001443666")</f>
        <v>SE-001443666</v>
      </c>
      <c r="F4136" s="23"/>
      <c r="G4136" s="24">
        <v>0</v>
      </c>
      <c r="H4136" s="24">
        <v>0</v>
      </c>
      <c r="I4136" s="24">
        <v>0</v>
      </c>
      <c r="J4136" s="23"/>
      <c r="K4136" s="24">
        <v>0</v>
      </c>
      <c r="L4136" s="22" t="str">
        <f>HYPERLINK("https://otsuka-europe-crm.veevavault.com/ui/#object/approved_document__v/V5O00000001A037", "LUP - VAE Póster Adelphi - Nefro")</f>
        <v>LUP - VAE Póster Adelphi - Nefro</v>
      </c>
      <c r="M4136" s="22" t="str">
        <f>HYPERLINK("mailto:gsammali@crm.otsuka-europe.com", "gsammali@crm.otsuka-europe.com")</f>
        <v>gsammali@crm.otsuka-europe.com</v>
      </c>
      <c r="N4136" s="25">
        <v>46216.433125000003</v>
      </c>
      <c r="O4136" s="14" t="str">
        <f>HYPERLINK("https://otsuka-europe-crm.veevavault.com/ui/#object/email_activity__v/V8C000000049221", "EN-002105234")</f>
        <v>EN-002105234</v>
      </c>
    </row>
    <row r="4137" spans="1:15" ht="16" x14ac:dyDescent="0.2">
      <c r="A4137" s="19"/>
      <c r="B4137" s="19"/>
      <c r="C4137" s="19"/>
      <c r="D4137" s="19"/>
      <c r="E4137" s="19"/>
      <c r="F4137" s="19"/>
      <c r="G4137" s="19"/>
      <c r="H4137" s="19"/>
      <c r="I4137" s="19"/>
      <c r="J4137" s="19"/>
      <c r="K4137" s="19"/>
      <c r="L4137" s="19"/>
      <c r="M4137" s="19"/>
      <c r="N4137" s="19"/>
      <c r="O4137" s="14" t="str">
        <f>HYPERLINK("https://otsuka-europe-crm.veevavault.com/ui/#object/email_activity__v/V8C00000004A405", "EN-002105741")</f>
        <v>EN-002105741</v>
      </c>
    </row>
    <row r="4138" spans="1:15" ht="32" x14ac:dyDescent="0.2">
      <c r="A4138" s="7" t="str">
        <f>HYPERLINK("https://otsuka-europe-crm.veevavault.com/ui/#object/account__v/V4TZ04ASGBNMVRN", "YANEL ADRIANA ACOSTA BAPTISTA")</f>
        <v>YANEL ADRIANA ACOSTA BAPTISTA</v>
      </c>
      <c r="B4138" s="7" t="str">
        <f>HYPERLINK("https://otsuka-europe-crm.veevavault.com/ui/#object/vcountry__v/VENZ000004SONF5", "ES")</f>
        <v>ES</v>
      </c>
      <c r="C4138" s="8" t="s">
        <v>39</v>
      </c>
      <c r="D4138" s="9" t="str">
        <f>HYPERLINK("https://otsuka-europe-crm.veevavault.com/ui/#object/approved_document__v/V5O00000001A037", "LUP - VAE Póster Adelphi - Nefro")</f>
        <v>LUP - VAE Póster Adelphi - Nefro</v>
      </c>
      <c r="E4138" s="10" t="str">
        <f>HYPERLINK("https://otsuka-europe-crm.veevavault.com/ui/#object/sent_email__v/VBL000000037092", "SE-001443667")</f>
        <v>SE-001443667</v>
      </c>
      <c r="F4138" s="11"/>
      <c r="G4138" s="12">
        <v>0</v>
      </c>
      <c r="H4138" s="12">
        <v>0</v>
      </c>
      <c r="I4138" s="12">
        <v>0</v>
      </c>
      <c r="J4138" s="11"/>
      <c r="K4138" s="12">
        <v>0</v>
      </c>
      <c r="L4138" s="10" t="str">
        <f>HYPERLINK("https://otsuka-europe-crm.veevavault.com/ui/#object/approved_document__v/V5O00000001A037", "LUP - VAE Póster Adelphi - Nefro")</f>
        <v>LUP - VAE Póster Adelphi - Nefro</v>
      </c>
      <c r="M4138" s="10" t="str">
        <f>HYPERLINK("mailto:gsammali@crm.otsuka-europe.com", "gsammali@crm.otsuka-europe.com")</f>
        <v>gsammali@crm.otsuka-europe.com</v>
      </c>
      <c r="N4138" s="13">
        <v>46216.433148148149</v>
      </c>
      <c r="O4138" s="14" t="str">
        <f>HYPERLINK("https://otsuka-europe-crm.veevavault.com/ui/#object/email_activity__v/V8C00000004A157", "EN-002105251")</f>
        <v>EN-002105251</v>
      </c>
    </row>
    <row r="4139" spans="1:15" ht="32" x14ac:dyDescent="0.2">
      <c r="A4139" s="7" t="str">
        <f>HYPERLINK("https://otsuka-europe-crm.veevavault.com/ui/#object/account__v/V4TZ06G6O71TBPV", "MANUEL RAMIREZ DE ARELLANO SERNA")</f>
        <v>MANUEL RAMIREZ DE ARELLANO SERNA</v>
      </c>
      <c r="B4139" s="7" t="str">
        <f>HYPERLINK("https://otsuka-europe-crm.veevavault.com/ui/#object/vcountry__v/VENZ000004SONF5", "ES")</f>
        <v>ES</v>
      </c>
      <c r="C4139" s="8" t="s">
        <v>39</v>
      </c>
      <c r="D4139" s="9" t="str">
        <f>HYPERLINK("https://otsuka-europe-crm.veevavault.com/ui/#object/approved_document__v/V5O00000001A037", "LUP - VAE Póster Adelphi - Nefro")</f>
        <v>LUP - VAE Póster Adelphi - Nefro</v>
      </c>
      <c r="E4139" s="10" t="str">
        <f>HYPERLINK("https://otsuka-europe-crm.veevavault.com/ui/#object/sent_email__v/VBL000000037093", "SE-001443668")</f>
        <v>SE-001443668</v>
      </c>
      <c r="F4139" s="11"/>
      <c r="G4139" s="12">
        <v>0</v>
      </c>
      <c r="H4139" s="12">
        <v>0</v>
      </c>
      <c r="I4139" s="12">
        <v>0</v>
      </c>
      <c r="J4139" s="11"/>
      <c r="K4139" s="12">
        <v>0</v>
      </c>
      <c r="L4139" s="10" t="str">
        <f>HYPERLINK("https://otsuka-europe-crm.veevavault.com/ui/#object/approved_document__v/V5O00000001A037", "LUP - VAE Póster Adelphi - Nefro")</f>
        <v>LUP - VAE Póster Adelphi - Nefro</v>
      </c>
      <c r="M4139" s="10" t="str">
        <f>HYPERLINK("mailto:gsammali@crm.otsuka-europe.com", "gsammali@crm.otsuka-europe.com")</f>
        <v>gsammali@crm.otsuka-europe.com</v>
      </c>
      <c r="N4139" s="13">
        <v>46216.433113425926</v>
      </c>
      <c r="O4139" s="14" t="str">
        <f>HYPERLINK("https://otsuka-europe-crm.veevavault.com/ui/#object/email_activity__v/V8C00000004A188", "EN-002105287")</f>
        <v>EN-002105287</v>
      </c>
    </row>
    <row r="4140" spans="1:15" ht="16" x14ac:dyDescent="0.2">
      <c r="A4140" s="18" t="str">
        <f>HYPERLINK("https://otsuka-europe-crm.veevavault.com/ui/#object/account__v/V4TZ06G6O71T86L", "PATRICIA CARMEN DEL LESCANO GARCIA")</f>
        <v>PATRICIA CARMEN DEL LESCANO GARCIA</v>
      </c>
      <c r="B4140" s="18" t="str">
        <f>HYPERLINK("https://otsuka-europe-crm.veevavault.com/ui/#object/vcountry__v/VENZ000004SONF5", "ES")</f>
        <v>ES</v>
      </c>
      <c r="C4140" s="20" t="s">
        <v>39</v>
      </c>
      <c r="D4140" s="21" t="str">
        <f>HYPERLINK("https://otsuka-europe-crm.veevavault.com/ui/#object/approved_document__v/V5O00000001A037", "LUP - VAE Póster Adelphi - Nefro")</f>
        <v>LUP - VAE Póster Adelphi - Nefro</v>
      </c>
      <c r="E4140" s="22" t="str">
        <f>HYPERLINK("https://otsuka-europe-crm.veevavault.com/ui/#object/sent_email__v/VBL000000037094", "SE-001443669")</f>
        <v>SE-001443669</v>
      </c>
      <c r="F4140" s="25">
        <v>46217.875671296293</v>
      </c>
      <c r="G4140" s="24">
        <v>1</v>
      </c>
      <c r="H4140" s="24">
        <v>1</v>
      </c>
      <c r="I4140" s="24">
        <v>0</v>
      </c>
      <c r="J4140" s="23"/>
      <c r="K4140" s="24">
        <v>0</v>
      </c>
      <c r="L4140" s="22" t="str">
        <f>HYPERLINK("https://otsuka-europe-crm.veevavault.com/ui/#object/approved_document__v/V5O00000001A037", "LUP - VAE Póster Adelphi - Nefro")</f>
        <v>LUP - VAE Póster Adelphi - Nefro</v>
      </c>
      <c r="M4140" s="22" t="str">
        <f>HYPERLINK("mailto:gsammali@crm.otsuka-europe.com", "gsammali@crm.otsuka-europe.com")</f>
        <v>gsammali@crm.otsuka-europe.com</v>
      </c>
      <c r="N4140" s="25">
        <v>46216.433113425926</v>
      </c>
      <c r="O4140" s="14" t="str">
        <f>HYPERLINK("https://otsuka-europe-crm.veevavault.com/ui/#object/email_activity__v/V8C00000004A204", "EN-002105304")</f>
        <v>EN-002105304</v>
      </c>
    </row>
    <row r="4141" spans="1:15" ht="16" x14ac:dyDescent="0.2">
      <c r="A4141" s="19"/>
      <c r="B4141" s="19"/>
      <c r="C4141" s="19"/>
      <c r="D4141" s="19"/>
      <c r="E4141" s="19"/>
      <c r="F4141" s="19"/>
      <c r="G4141" s="19"/>
      <c r="H4141" s="19"/>
      <c r="I4141" s="19"/>
      <c r="J4141" s="19"/>
      <c r="K4141" s="19"/>
      <c r="L4141" s="19"/>
      <c r="M4141" s="19"/>
      <c r="N4141" s="19"/>
      <c r="O4141" s="14" t="str">
        <f>HYPERLINK("https://otsuka-europe-crm.veevavault.com/ui/#object/email_activity__v/V8C00000004A632", "EN-002106167")</f>
        <v>EN-002106167</v>
      </c>
    </row>
    <row r="4142" spans="1:15" ht="32" x14ac:dyDescent="0.2">
      <c r="A4142" s="7" t="str">
        <f>HYPERLINK("https://otsuka-europe-crm.veevavault.com/ui/#object/account__v/V4TZ06G6O71T9ZF", "ROSA MARIA GARCIA CAMIN")</f>
        <v>ROSA MARIA GARCIA CAMIN</v>
      </c>
      <c r="B4142" s="7" t="str">
        <f t="shared" ref="B4142:B4149" si="182">HYPERLINK("https://otsuka-europe-crm.veevavault.com/ui/#object/vcountry__v/VENZ000004SONF5", "ES")</f>
        <v>ES</v>
      </c>
      <c r="C4142" s="8" t="s">
        <v>39</v>
      </c>
      <c r="D4142" s="9" t="str">
        <f t="shared" ref="D4142:D4149" si="183">HYPERLINK("https://otsuka-europe-crm.veevavault.com/ui/#object/approved_document__v/V5O00000001A037", "LUP - VAE Póster Adelphi - Nefro")</f>
        <v>LUP - VAE Póster Adelphi - Nefro</v>
      </c>
      <c r="E4142" s="10" t="str">
        <f>HYPERLINK("https://otsuka-europe-crm.veevavault.com/ui/#object/sent_email__v/VBL000000037095", "SE-001443670")</f>
        <v>SE-001443670</v>
      </c>
      <c r="F4142" s="11"/>
      <c r="G4142" s="12">
        <v>0</v>
      </c>
      <c r="H4142" s="12">
        <v>0</v>
      </c>
      <c r="I4142" s="12">
        <v>0</v>
      </c>
      <c r="J4142" s="11"/>
      <c r="K4142" s="12">
        <v>0</v>
      </c>
      <c r="L4142" s="10" t="str">
        <f t="shared" ref="L4142:L4149" si="184">HYPERLINK("https://otsuka-europe-crm.veevavault.com/ui/#object/approved_document__v/V5O00000001A037", "LUP - VAE Póster Adelphi - Nefro")</f>
        <v>LUP - VAE Póster Adelphi - Nefro</v>
      </c>
      <c r="M4142" s="10" t="str">
        <f t="shared" ref="M4142:M4149" si="185">HYPERLINK("mailto:gsammali@crm.otsuka-europe.com", "gsammali@crm.otsuka-europe.com")</f>
        <v>gsammali@crm.otsuka-europe.com</v>
      </c>
      <c r="N4142" s="13">
        <v>46216.433113425926</v>
      </c>
      <c r="O4142" s="14" t="str">
        <f>HYPERLINK("https://otsuka-europe-crm.veevavault.com/ui/#object/email_activity__v/V8C000000049239", "EN-002105317")</f>
        <v>EN-002105317</v>
      </c>
    </row>
    <row r="4143" spans="1:15" ht="32" x14ac:dyDescent="0.2">
      <c r="A4143" s="7" t="str">
        <f>HYPERLINK("https://otsuka-europe-crm.veevavault.com/ui/#object/account__v/V4TZ025E87C17M9", "OANA RAP COPINDEAN")</f>
        <v>OANA RAP COPINDEAN</v>
      </c>
      <c r="B4143" s="7" t="str">
        <f t="shared" si="182"/>
        <v>ES</v>
      </c>
      <c r="C4143" s="8" t="s">
        <v>39</v>
      </c>
      <c r="D4143" s="9" t="str">
        <f t="shared" si="183"/>
        <v>LUP - VAE Póster Adelphi - Nefro</v>
      </c>
      <c r="E4143" s="10" t="str">
        <f>HYPERLINK("https://otsuka-europe-crm.veevavault.com/ui/#object/sent_email__v/VBL000000037096", "SE-001443671")</f>
        <v>SE-001443671</v>
      </c>
      <c r="F4143" s="11"/>
      <c r="G4143" s="12">
        <v>0</v>
      </c>
      <c r="H4143" s="12">
        <v>0</v>
      </c>
      <c r="I4143" s="12">
        <v>0</v>
      </c>
      <c r="J4143" s="11"/>
      <c r="K4143" s="12">
        <v>0</v>
      </c>
      <c r="L4143" s="10" t="str">
        <f t="shared" si="184"/>
        <v>LUP - VAE Póster Adelphi - Nefro</v>
      </c>
      <c r="M4143" s="10" t="str">
        <f t="shared" si="185"/>
        <v>gsammali@crm.otsuka-europe.com</v>
      </c>
      <c r="N4143" s="13">
        <v>46216.433113425926</v>
      </c>
      <c r="O4143" s="14" t="str">
        <f>HYPERLINK("https://otsuka-europe-crm.veevavault.com/ui/#object/email_activity__v/V8C00000004A192", "EN-002105293")</f>
        <v>EN-002105293</v>
      </c>
    </row>
    <row r="4144" spans="1:15" ht="32" x14ac:dyDescent="0.2">
      <c r="A4144" s="7" t="str">
        <f>HYPERLINK("https://otsuka-europe-crm.veevavault.com/ui/#object/account__v/V4TZ06G6O71T74S", "MANUEL AUGUSTO QUIROZ MORALES")</f>
        <v>MANUEL AUGUSTO QUIROZ MORALES</v>
      </c>
      <c r="B4144" s="7" t="str">
        <f t="shared" si="182"/>
        <v>ES</v>
      </c>
      <c r="C4144" s="8" t="s">
        <v>39</v>
      </c>
      <c r="D4144" s="9" t="str">
        <f t="shared" si="183"/>
        <v>LUP - VAE Póster Adelphi - Nefro</v>
      </c>
      <c r="E4144" s="10" t="str">
        <f>HYPERLINK("https://otsuka-europe-crm.veevavault.com/ui/#object/sent_email__v/VBL000000037097", "SE-001443672")</f>
        <v>SE-001443672</v>
      </c>
      <c r="F4144" s="11"/>
      <c r="G4144" s="12">
        <v>0</v>
      </c>
      <c r="H4144" s="12">
        <v>0</v>
      </c>
      <c r="I4144" s="12">
        <v>0</v>
      </c>
      <c r="J4144" s="11"/>
      <c r="K4144" s="12">
        <v>0</v>
      </c>
      <c r="L4144" s="10" t="str">
        <f t="shared" si="184"/>
        <v>LUP - VAE Póster Adelphi - Nefro</v>
      </c>
      <c r="M4144" s="10" t="str">
        <f t="shared" si="185"/>
        <v>gsammali@crm.otsuka-europe.com</v>
      </c>
      <c r="N4144" s="13">
        <v>46216.433113425926</v>
      </c>
      <c r="O4144" s="14" t="str">
        <f>HYPERLINK("https://otsuka-europe-crm.veevavault.com/ui/#object/email_activity__v/V8C00000004A211", "EN-002105312")</f>
        <v>EN-002105312</v>
      </c>
    </row>
    <row r="4145" spans="1:15" ht="32" x14ac:dyDescent="0.2">
      <c r="A4145" s="7" t="str">
        <f>HYPERLINK("https://otsuka-europe-crm.veevavault.com/ui/#object/account__v/V4TZ04ASGALV52Y", "JEHIMY JEAN ALVAREZ SALTOS")</f>
        <v>JEHIMY JEAN ALVAREZ SALTOS</v>
      </c>
      <c r="B4145" s="7" t="str">
        <f t="shared" si="182"/>
        <v>ES</v>
      </c>
      <c r="C4145" s="8" t="s">
        <v>39</v>
      </c>
      <c r="D4145" s="9" t="str">
        <f t="shared" si="183"/>
        <v>LUP - VAE Póster Adelphi - Nefro</v>
      </c>
      <c r="E4145" s="10" t="str">
        <f>HYPERLINK("https://otsuka-europe-crm.veevavault.com/ui/#object/sent_email__v/VBL000000037098", "SE-001443673")</f>
        <v>SE-001443673</v>
      </c>
      <c r="F4145" s="11"/>
      <c r="G4145" s="12">
        <v>0</v>
      </c>
      <c r="H4145" s="12">
        <v>0</v>
      </c>
      <c r="I4145" s="12">
        <v>0</v>
      </c>
      <c r="J4145" s="11"/>
      <c r="K4145" s="12">
        <v>0</v>
      </c>
      <c r="L4145" s="10" t="str">
        <f t="shared" si="184"/>
        <v>LUP - VAE Póster Adelphi - Nefro</v>
      </c>
      <c r="M4145" s="10" t="str">
        <f t="shared" si="185"/>
        <v>gsammali@crm.otsuka-europe.com</v>
      </c>
      <c r="N4145" s="13">
        <v>46216.433136574073</v>
      </c>
      <c r="O4145" s="14" t="str">
        <f>HYPERLINK("https://otsuka-europe-crm.veevavault.com/ui/#object/email_activity__v/V8C000000049225", "EN-002105238")</f>
        <v>EN-002105238</v>
      </c>
    </row>
    <row r="4146" spans="1:15" ht="32" x14ac:dyDescent="0.2">
      <c r="A4146" s="7" t="str">
        <f>HYPERLINK("https://otsuka-europe-crm.veevavault.com/ui/#object/account__v/V4TZ06G6O71TA3W", "JOSEP MARIA GALCERAN GUI")</f>
        <v>JOSEP MARIA GALCERAN GUI</v>
      </c>
      <c r="B4146" s="7" t="str">
        <f t="shared" si="182"/>
        <v>ES</v>
      </c>
      <c r="C4146" s="8" t="s">
        <v>39</v>
      </c>
      <c r="D4146" s="9" t="str">
        <f t="shared" si="183"/>
        <v>LUP - VAE Póster Adelphi - Nefro</v>
      </c>
      <c r="E4146" s="10" t="str">
        <f>HYPERLINK("https://otsuka-europe-crm.veevavault.com/ui/#object/sent_email__v/VBL000000037099", "SE-001443674")</f>
        <v>SE-001443674</v>
      </c>
      <c r="F4146" s="11"/>
      <c r="G4146" s="12">
        <v>0</v>
      </c>
      <c r="H4146" s="12">
        <v>0</v>
      </c>
      <c r="I4146" s="12">
        <v>0</v>
      </c>
      <c r="J4146" s="11"/>
      <c r="K4146" s="12">
        <v>0</v>
      </c>
      <c r="L4146" s="10" t="str">
        <f t="shared" si="184"/>
        <v>LUP - VAE Póster Adelphi - Nefro</v>
      </c>
      <c r="M4146" s="10" t="str">
        <f t="shared" si="185"/>
        <v>gsammali@crm.otsuka-europe.com</v>
      </c>
      <c r="N4146" s="13">
        <v>46216.433113425926</v>
      </c>
      <c r="O4146" s="14" t="str">
        <f>HYPERLINK("https://otsuka-europe-crm.veevavault.com/ui/#object/email_activity__v/V8C00000004A205", "EN-002105305")</f>
        <v>EN-002105305</v>
      </c>
    </row>
    <row r="4147" spans="1:15" ht="32" x14ac:dyDescent="0.2">
      <c r="A4147" s="7" t="str">
        <f>HYPERLINK("https://otsuka-europe-crm.veevavault.com/ui/#object/account__v/V4TZ04ASG7NXN62", "JUDIT CACHO ALONSO")</f>
        <v>JUDIT CACHO ALONSO</v>
      </c>
      <c r="B4147" s="7" t="str">
        <f t="shared" si="182"/>
        <v>ES</v>
      </c>
      <c r="C4147" s="8" t="s">
        <v>39</v>
      </c>
      <c r="D4147" s="9" t="str">
        <f t="shared" si="183"/>
        <v>LUP - VAE Póster Adelphi - Nefro</v>
      </c>
      <c r="E4147" s="10" t="str">
        <f>HYPERLINK("https://otsuka-europe-crm.veevavault.com/ui/#object/sent_email__v/VBL000000037100", "SE-001443675")</f>
        <v>SE-001443675</v>
      </c>
      <c r="F4147" s="11"/>
      <c r="G4147" s="12">
        <v>0</v>
      </c>
      <c r="H4147" s="12">
        <v>0</v>
      </c>
      <c r="I4147" s="12">
        <v>0</v>
      </c>
      <c r="J4147" s="11"/>
      <c r="K4147" s="12">
        <v>0</v>
      </c>
      <c r="L4147" s="10" t="str">
        <f t="shared" si="184"/>
        <v>LUP - VAE Póster Adelphi - Nefro</v>
      </c>
      <c r="M4147" s="10" t="str">
        <f t="shared" si="185"/>
        <v>gsammali@crm.otsuka-europe.com</v>
      </c>
      <c r="N4147" s="13">
        <v>46216.433113425926</v>
      </c>
      <c r="O4147" s="14" t="str">
        <f>HYPERLINK("https://otsuka-europe-crm.veevavault.com/ui/#object/email_activity__v/V8C00000004A177", "EN-002105277")</f>
        <v>EN-002105277</v>
      </c>
    </row>
    <row r="4148" spans="1:15" ht="32" x14ac:dyDescent="0.2">
      <c r="A4148" s="7" t="str">
        <f>HYPERLINK("https://otsuka-europe-crm.veevavault.com/ui/#object/account__v/V4TZ06G6O71TBYV", "NEUS RODRIGUEZ FARRE")</f>
        <v>NEUS RODRIGUEZ FARRE</v>
      </c>
      <c r="B4148" s="7" t="str">
        <f t="shared" si="182"/>
        <v>ES</v>
      </c>
      <c r="C4148" s="8" t="s">
        <v>39</v>
      </c>
      <c r="D4148" s="9" t="str">
        <f t="shared" si="183"/>
        <v>LUP - VAE Póster Adelphi - Nefro</v>
      </c>
      <c r="E4148" s="10" t="str">
        <f>HYPERLINK("https://otsuka-europe-crm.veevavault.com/ui/#object/sent_email__v/VBL000000037101", "SE-001443676")</f>
        <v>SE-001443676</v>
      </c>
      <c r="F4148" s="11"/>
      <c r="G4148" s="12">
        <v>0</v>
      </c>
      <c r="H4148" s="12">
        <v>0</v>
      </c>
      <c r="I4148" s="12">
        <v>0</v>
      </c>
      <c r="J4148" s="11"/>
      <c r="K4148" s="12">
        <v>0</v>
      </c>
      <c r="L4148" s="10" t="str">
        <f t="shared" si="184"/>
        <v>LUP - VAE Póster Adelphi - Nefro</v>
      </c>
      <c r="M4148" s="10" t="str">
        <f t="shared" si="185"/>
        <v>gsammali@crm.otsuka-europe.com</v>
      </c>
      <c r="N4148" s="13">
        <v>46216.433148148149</v>
      </c>
      <c r="O4148" s="14" t="str">
        <f>HYPERLINK("https://otsuka-europe-crm.veevavault.com/ui/#object/email_activity__v/V8C000000049226", "EN-002105239")</f>
        <v>EN-002105239</v>
      </c>
    </row>
    <row r="4149" spans="1:15" ht="16" x14ac:dyDescent="0.2">
      <c r="A4149" s="18" t="str">
        <f>HYPERLINK("https://otsuka-europe-crm.veevavault.com/ui/#object/account__v/V4TZ06G6O71T7JO", "JULIANA BORDIGNON DRAIBE")</f>
        <v>JULIANA BORDIGNON DRAIBE</v>
      </c>
      <c r="B4149" s="18" t="str">
        <f t="shared" si="182"/>
        <v>ES</v>
      </c>
      <c r="C4149" s="20" t="s">
        <v>39</v>
      </c>
      <c r="D4149" s="21" t="str">
        <f t="shared" si="183"/>
        <v>LUP - VAE Póster Adelphi - Nefro</v>
      </c>
      <c r="E4149" s="22" t="str">
        <f>HYPERLINK("https://otsuka-europe-crm.veevavault.com/ui/#object/sent_email__v/VBL000000037102", "SE-001443677")</f>
        <v>SE-001443677</v>
      </c>
      <c r="F4149" s="23"/>
      <c r="G4149" s="24">
        <v>0</v>
      </c>
      <c r="H4149" s="24">
        <v>0</v>
      </c>
      <c r="I4149" s="24">
        <v>0</v>
      </c>
      <c r="J4149" s="23"/>
      <c r="K4149" s="24">
        <v>0</v>
      </c>
      <c r="L4149" s="22" t="str">
        <f t="shared" si="184"/>
        <v>LUP - VAE Póster Adelphi - Nefro</v>
      </c>
      <c r="M4149" s="22" t="str">
        <f t="shared" si="185"/>
        <v>gsammali@crm.otsuka-europe.com</v>
      </c>
      <c r="N4149" s="25">
        <v>46216.433113425926</v>
      </c>
      <c r="O4149" s="14" t="str">
        <f>HYPERLINK("https://otsuka-europe-crm.veevavault.com/ui/#object/email_activity__v/V8C000000049344", "EN-002105490")</f>
        <v>EN-002105490</v>
      </c>
    </row>
    <row r="4150" spans="1:15" ht="16" x14ac:dyDescent="0.2">
      <c r="A4150" s="19"/>
      <c r="B4150" s="19"/>
      <c r="C4150" s="19"/>
      <c r="D4150" s="19"/>
      <c r="E4150" s="19"/>
      <c r="F4150" s="19"/>
      <c r="G4150" s="19"/>
      <c r="H4150" s="19"/>
      <c r="I4150" s="19"/>
      <c r="J4150" s="19"/>
      <c r="K4150" s="19"/>
      <c r="L4150" s="19"/>
      <c r="M4150" s="19"/>
      <c r="N4150" s="19"/>
      <c r="O4150" s="14" t="str">
        <f>HYPERLINK("https://otsuka-europe-crm.veevavault.com/ui/#object/email_activity__v/V8C00000004A164", "EN-002105264")</f>
        <v>EN-002105264</v>
      </c>
    </row>
    <row r="4151" spans="1:15" ht="32" x14ac:dyDescent="0.2">
      <c r="A4151" s="7" t="str">
        <f>HYPERLINK("https://otsuka-europe-crm.veevavault.com/ui/#object/account__v/V4T00000000Z077", "LUZIA SESCUN LOPEZ ROYO")</f>
        <v>LUZIA SESCUN LOPEZ ROYO</v>
      </c>
      <c r="B4151" s="7" t="str">
        <f>HYPERLINK("https://otsuka-europe-crm.veevavault.com/ui/#object/vcountry__v/VENZ000004SONF5", "ES")</f>
        <v>ES</v>
      </c>
      <c r="C4151" s="8" t="s">
        <v>39</v>
      </c>
      <c r="D4151" s="9" t="str">
        <f>HYPERLINK("https://otsuka-europe-crm.veevavault.com/ui/#object/approved_document__v/V5O00000001A037", "LUP - VAE Póster Adelphi - Nefro")</f>
        <v>LUP - VAE Póster Adelphi - Nefro</v>
      </c>
      <c r="E4151" s="10" t="str">
        <f>HYPERLINK("https://otsuka-europe-crm.veevavault.com/ui/#object/sent_email__v/VBL000000037103", "SE-001443678")</f>
        <v>SE-001443678</v>
      </c>
      <c r="F4151" s="11"/>
      <c r="G4151" s="12">
        <v>0</v>
      </c>
      <c r="H4151" s="12">
        <v>0</v>
      </c>
      <c r="I4151" s="12">
        <v>0</v>
      </c>
      <c r="J4151" s="11"/>
      <c r="K4151" s="12">
        <v>0</v>
      </c>
      <c r="L4151" s="10" t="str">
        <f>HYPERLINK("https://otsuka-europe-crm.veevavault.com/ui/#object/approved_document__v/V5O00000001A037", "LUP - VAE Póster Adelphi - Nefro")</f>
        <v>LUP - VAE Póster Adelphi - Nefro</v>
      </c>
      <c r="M4151" s="10" t="str">
        <f>HYPERLINK("mailto:gsammali@crm.otsuka-europe.com", "gsammali@crm.otsuka-europe.com")</f>
        <v>gsammali@crm.otsuka-europe.com</v>
      </c>
      <c r="N4151" s="13">
        <v>46216.433136574073</v>
      </c>
      <c r="O4151" s="14" t="str">
        <f>HYPERLINK("https://otsuka-europe-crm.veevavault.com/ui/#object/email_activity__v/V8C00000004A155", "EN-002105249")</f>
        <v>EN-002105249</v>
      </c>
    </row>
    <row r="4152" spans="1:15" ht="16" x14ac:dyDescent="0.2">
      <c r="A4152" s="18" t="str">
        <f>HYPERLINK("https://otsuka-europe-crm.veevavault.com/ui/#object/account__v/V4TZ06G6O71TAO7", "JOSE MARIA CRUZADO GARRIT")</f>
        <v>JOSE MARIA CRUZADO GARRIT</v>
      </c>
      <c r="B4152" s="18" t="str">
        <f>HYPERLINK("https://otsuka-europe-crm.veevavault.com/ui/#object/vcountry__v/VENZ000004SONF5", "ES")</f>
        <v>ES</v>
      </c>
      <c r="C4152" s="20" t="s">
        <v>39</v>
      </c>
      <c r="D4152" s="21" t="str">
        <f>HYPERLINK("https://otsuka-europe-crm.veevavault.com/ui/#object/approved_document__v/V5O00000001A037", "LUP - VAE Póster Adelphi - Nefro")</f>
        <v>LUP - VAE Póster Adelphi - Nefro</v>
      </c>
      <c r="E4152" s="22" t="str">
        <f>HYPERLINK("https://otsuka-europe-crm.veevavault.com/ui/#object/sent_email__v/VBL000000037104", "SE-001443679")</f>
        <v>SE-001443679</v>
      </c>
      <c r="F4152" s="23"/>
      <c r="G4152" s="24">
        <v>0</v>
      </c>
      <c r="H4152" s="24">
        <v>0</v>
      </c>
      <c r="I4152" s="24">
        <v>0</v>
      </c>
      <c r="J4152" s="23"/>
      <c r="K4152" s="24">
        <v>0</v>
      </c>
      <c r="L4152" s="22" t="str">
        <f>HYPERLINK("https://otsuka-europe-crm.veevavault.com/ui/#object/approved_document__v/V5O00000001A037", "LUP - VAE Póster Adelphi - Nefro")</f>
        <v>LUP - VAE Póster Adelphi - Nefro</v>
      </c>
      <c r="M4152" s="22" t="str">
        <f>HYPERLINK("mailto:gsammali@crm.otsuka-europe.com", "gsammali@crm.otsuka-europe.com")</f>
        <v>gsammali@crm.otsuka-europe.com</v>
      </c>
      <c r="N4152" s="25">
        <v>46216.433113425926</v>
      </c>
      <c r="O4152" s="14" t="str">
        <f>HYPERLINK("https://otsuka-europe-crm.veevavault.com/ui/#object/email_activity__v/V8C00000004A168", "EN-002105268")</f>
        <v>EN-002105268</v>
      </c>
    </row>
    <row r="4153" spans="1:15" ht="16" x14ac:dyDescent="0.2">
      <c r="A4153" s="19"/>
      <c r="B4153" s="19"/>
      <c r="C4153" s="19"/>
      <c r="D4153" s="19"/>
      <c r="E4153" s="19"/>
      <c r="F4153" s="19"/>
      <c r="G4153" s="19"/>
      <c r="H4153" s="19"/>
      <c r="I4153" s="19"/>
      <c r="J4153" s="19"/>
      <c r="K4153" s="19"/>
      <c r="L4153" s="19"/>
      <c r="M4153" s="19"/>
      <c r="N4153" s="19"/>
      <c r="O4153" s="14" t="str">
        <f>HYPERLINK("https://otsuka-europe-crm.veevavault.com/ui/#object/email_activity__v/V8C00000004A531", "EN-002105973")</f>
        <v>EN-002105973</v>
      </c>
    </row>
    <row r="4154" spans="1:15" ht="16" x14ac:dyDescent="0.2">
      <c r="A4154" s="18" t="str">
        <f>HYPERLINK("https://otsuka-europe-crm.veevavault.com/ui/#object/account__v/V4TZ06G6O71TAVT", "MARIA LUISA MARTIN CONDE")</f>
        <v>MARIA LUISA MARTIN CONDE</v>
      </c>
      <c r="B4154" s="18" t="str">
        <f>HYPERLINK("https://otsuka-europe-crm.veevavault.com/ui/#object/vcountry__v/VENZ000004SONF5", "ES")</f>
        <v>ES</v>
      </c>
      <c r="C4154" s="20" t="s">
        <v>39</v>
      </c>
      <c r="D4154" s="21" t="str">
        <f>HYPERLINK("https://otsuka-europe-crm.veevavault.com/ui/#object/approved_document__v/V5O00000001A037", "LUP - VAE Póster Adelphi - Nefro")</f>
        <v>LUP - VAE Póster Adelphi - Nefro</v>
      </c>
      <c r="E4154" s="22" t="str">
        <f>HYPERLINK("https://otsuka-europe-crm.veevavault.com/ui/#object/sent_email__v/VBL000000037105", "SE-001443680")</f>
        <v>SE-001443680</v>
      </c>
      <c r="F4154" s="23"/>
      <c r="G4154" s="24">
        <v>0</v>
      </c>
      <c r="H4154" s="24">
        <v>0</v>
      </c>
      <c r="I4154" s="24">
        <v>0</v>
      </c>
      <c r="J4154" s="23"/>
      <c r="K4154" s="24">
        <v>0</v>
      </c>
      <c r="L4154" s="22" t="str">
        <f>HYPERLINK("https://otsuka-europe-crm.veevavault.com/ui/#object/approved_document__v/V5O00000001A037", "LUP - VAE Póster Adelphi - Nefro")</f>
        <v>LUP - VAE Póster Adelphi - Nefro</v>
      </c>
      <c r="M4154" s="22" t="str">
        <f>HYPERLINK("mailto:gsammali@crm.otsuka-europe.com", "gsammali@crm.otsuka-europe.com")</f>
        <v>gsammali@crm.otsuka-europe.com</v>
      </c>
      <c r="N4154" s="25">
        <v>46216.433136574073</v>
      </c>
      <c r="O4154" s="14" t="str">
        <f>HYPERLINK("https://otsuka-europe-crm.veevavault.com/ui/#object/email_activity__v/V8C000000049451", "EN-002105694")</f>
        <v>EN-002105694</v>
      </c>
    </row>
    <row r="4155" spans="1:15" ht="16" x14ac:dyDescent="0.2">
      <c r="A4155" s="19"/>
      <c r="B4155" s="19"/>
      <c r="C4155" s="19"/>
      <c r="D4155" s="19"/>
      <c r="E4155" s="19"/>
      <c r="F4155" s="19"/>
      <c r="G4155" s="19"/>
      <c r="H4155" s="19"/>
      <c r="I4155" s="19"/>
      <c r="J4155" s="19"/>
      <c r="K4155" s="19"/>
      <c r="L4155" s="19"/>
      <c r="M4155" s="19"/>
      <c r="N4155" s="19"/>
      <c r="O4155" s="14" t="str">
        <f>HYPERLINK("https://otsuka-europe-crm.veevavault.com/ui/#object/email_activity__v/V8C00000004A149", "EN-002105243")</f>
        <v>EN-002105243</v>
      </c>
    </row>
    <row r="4156" spans="1:15" ht="16" x14ac:dyDescent="0.2">
      <c r="A4156" s="18" t="str">
        <f>HYPERLINK("https://otsuka-europe-crm.veevavault.com/ui/#object/account__v/V4TZ025E82ISIXW", "DIANA SALOME OLEAS VEGA")</f>
        <v>DIANA SALOME OLEAS VEGA</v>
      </c>
      <c r="B4156" s="18" t="str">
        <f>HYPERLINK("https://otsuka-europe-crm.veevavault.com/ui/#object/vcountry__v/VENZ000004SONF5", "ES")</f>
        <v>ES</v>
      </c>
      <c r="C4156" s="20" t="s">
        <v>39</v>
      </c>
      <c r="D4156" s="21" t="str">
        <f>HYPERLINK("https://otsuka-europe-crm.veevavault.com/ui/#object/approved_document__v/V5O00000001A037", "LUP - VAE Póster Adelphi - Nefro")</f>
        <v>LUP - VAE Póster Adelphi - Nefro</v>
      </c>
      <c r="E4156" s="22" t="str">
        <f>HYPERLINK("https://otsuka-europe-crm.veevavault.com/ui/#object/sent_email__v/VBL000000037106", "SE-001443681")</f>
        <v>SE-001443681</v>
      </c>
      <c r="F4156" s="23"/>
      <c r="G4156" s="24">
        <v>0</v>
      </c>
      <c r="H4156" s="24">
        <v>0</v>
      </c>
      <c r="I4156" s="24">
        <v>0</v>
      </c>
      <c r="J4156" s="23"/>
      <c r="K4156" s="24">
        <v>0</v>
      </c>
      <c r="L4156" s="22" t="str">
        <f>HYPERLINK("https://otsuka-europe-crm.veevavault.com/ui/#object/approved_document__v/V5O00000001A037", "LUP - VAE Póster Adelphi - Nefro")</f>
        <v>LUP - VAE Póster Adelphi - Nefro</v>
      </c>
      <c r="M4156" s="22" t="str">
        <f>HYPERLINK("mailto:gsammali@crm.otsuka-europe.com", "gsammali@crm.otsuka-europe.com")</f>
        <v>gsammali@crm.otsuka-europe.com</v>
      </c>
      <c r="N4156" s="25">
        <v>46216.433113425926</v>
      </c>
      <c r="O4156" s="14" t="str">
        <f>HYPERLINK("https://otsuka-europe-crm.veevavault.com/ui/#object/email_activity__v/V8C00000004A202", "EN-002105302")</f>
        <v>EN-002105302</v>
      </c>
    </row>
    <row r="4157" spans="1:15" ht="16" x14ac:dyDescent="0.2">
      <c r="A4157" s="19"/>
      <c r="B4157" s="19"/>
      <c r="C4157" s="19"/>
      <c r="D4157" s="19"/>
      <c r="E4157" s="19"/>
      <c r="F4157" s="19"/>
      <c r="G4157" s="19"/>
      <c r="H4157" s="19"/>
      <c r="I4157" s="19"/>
      <c r="J4157" s="19"/>
      <c r="K4157" s="19"/>
      <c r="L4157" s="19"/>
      <c r="M4157" s="19"/>
      <c r="N4157" s="19"/>
      <c r="O4157" s="14" t="str">
        <f>HYPERLINK("https://otsuka-europe-crm.veevavault.com/ui/#object/email_activity__v/V8C00000004A214", "EN-002105326")</f>
        <v>EN-002105326</v>
      </c>
    </row>
    <row r="4158" spans="1:15" ht="32" x14ac:dyDescent="0.2">
      <c r="A4158" s="7" t="str">
        <f>HYPERLINK("https://otsuka-europe-crm.veevavault.com/ui/#object/account__v/V4TZ06G6OCBHSFO", "JORDI BOVER SANJUAN")</f>
        <v>JORDI BOVER SANJUAN</v>
      </c>
      <c r="B4158" s="7" t="str">
        <f>HYPERLINK("https://otsuka-europe-crm.veevavault.com/ui/#object/vcountry__v/VENZ000004SONF5", "ES")</f>
        <v>ES</v>
      </c>
      <c r="C4158" s="8" t="s">
        <v>39</v>
      </c>
      <c r="D4158" s="9" t="str">
        <f>HYPERLINK("https://otsuka-europe-crm.veevavault.com/ui/#object/approved_document__v/V5O00000001A037", "LUP - VAE Póster Adelphi - Nefro")</f>
        <v>LUP - VAE Póster Adelphi - Nefro</v>
      </c>
      <c r="E4158" s="10" t="str">
        <f>HYPERLINK("https://otsuka-europe-crm.veevavault.com/ui/#object/sent_email__v/VBL000000037107", "SE-001443682")</f>
        <v>SE-001443682</v>
      </c>
      <c r="F4158" s="11"/>
      <c r="G4158" s="12">
        <v>0</v>
      </c>
      <c r="H4158" s="12">
        <v>0</v>
      </c>
      <c r="I4158" s="12">
        <v>0</v>
      </c>
      <c r="J4158" s="11"/>
      <c r="K4158" s="12">
        <v>0</v>
      </c>
      <c r="L4158" s="10" t="str">
        <f>HYPERLINK("https://otsuka-europe-crm.veevavault.com/ui/#object/approved_document__v/V5O00000001A037", "LUP - VAE Póster Adelphi - Nefro")</f>
        <v>LUP - VAE Póster Adelphi - Nefro</v>
      </c>
      <c r="M4158" s="10" t="str">
        <f>HYPERLINK("mailto:gsammali@crm.otsuka-europe.com", "gsammali@crm.otsuka-europe.com")</f>
        <v>gsammali@crm.otsuka-europe.com</v>
      </c>
      <c r="N4158" s="13">
        <v>46216.433113425926</v>
      </c>
      <c r="O4158" s="14" t="str">
        <f>HYPERLINK("https://otsuka-europe-crm.veevavault.com/ui/#object/email_activity__v/V8C00000004A186", "EN-002105291")</f>
        <v>EN-002105291</v>
      </c>
    </row>
    <row r="4159" spans="1:15" ht="32" x14ac:dyDescent="0.2">
      <c r="A4159" s="7" t="str">
        <f>HYPERLINK("https://otsuka-europe-crm.veevavault.com/ui/#object/account__v/V4TZ06G6O71TA98", "MERITXELL IBERNON VILARO")</f>
        <v>MERITXELL IBERNON VILARO</v>
      </c>
      <c r="B4159" s="7" t="str">
        <f>HYPERLINK("https://otsuka-europe-crm.veevavault.com/ui/#object/vcountry__v/VENZ000004SONF5", "ES")</f>
        <v>ES</v>
      </c>
      <c r="C4159" s="8" t="s">
        <v>39</v>
      </c>
      <c r="D4159" s="9" t="str">
        <f>HYPERLINK("https://otsuka-europe-crm.veevavault.com/ui/#object/approved_document__v/V5O00000001A037", "LUP - VAE Póster Adelphi - Nefro")</f>
        <v>LUP - VAE Póster Adelphi - Nefro</v>
      </c>
      <c r="E4159" s="10" t="str">
        <f>HYPERLINK("https://otsuka-europe-crm.veevavault.com/ui/#object/sent_email__v/VBL000000037108", "SE-001443683")</f>
        <v>SE-001443683</v>
      </c>
      <c r="F4159" s="11"/>
      <c r="G4159" s="12">
        <v>0</v>
      </c>
      <c r="H4159" s="12">
        <v>0</v>
      </c>
      <c r="I4159" s="12">
        <v>0</v>
      </c>
      <c r="J4159" s="11"/>
      <c r="K4159" s="12">
        <v>0</v>
      </c>
      <c r="L4159" s="10" t="str">
        <f>HYPERLINK("https://otsuka-europe-crm.veevavault.com/ui/#object/approved_document__v/V5O00000001A037", "LUP - VAE Póster Adelphi - Nefro")</f>
        <v>LUP - VAE Póster Adelphi - Nefro</v>
      </c>
      <c r="M4159" s="10" t="str">
        <f>HYPERLINK("mailto:gsammali@crm.otsuka-europe.com", "gsammali@crm.otsuka-europe.com")</f>
        <v>gsammali@crm.otsuka-europe.com</v>
      </c>
      <c r="N4159" s="13">
        <v>46216.433113425926</v>
      </c>
      <c r="O4159" s="14" t="str">
        <f>HYPERLINK("https://otsuka-europe-crm.veevavault.com/ui/#object/email_activity__v/V8C00000004A208", "EN-002105309")</f>
        <v>EN-002105309</v>
      </c>
    </row>
    <row r="4160" spans="1:15" ht="32" x14ac:dyDescent="0.2">
      <c r="A4160" s="7" t="str">
        <f>HYPERLINK("https://otsuka-europe-crm.veevavault.com/ui/#object/account__v/V4TZ04ASGDP8IP4", "YURI YESEIDA RUIZ DURAN")</f>
        <v>YURI YESEIDA RUIZ DURAN</v>
      </c>
      <c r="B4160" s="7" t="str">
        <f>HYPERLINK("https://otsuka-europe-crm.veevavault.com/ui/#object/vcountry__v/VENZ000004SONF5", "ES")</f>
        <v>ES</v>
      </c>
      <c r="C4160" s="8" t="s">
        <v>39</v>
      </c>
      <c r="D4160" s="9" t="str">
        <f>HYPERLINK("https://otsuka-europe-crm.veevavault.com/ui/#object/approved_document__v/V5O00000001A037", "LUP - VAE Póster Adelphi - Nefro")</f>
        <v>LUP - VAE Póster Adelphi - Nefro</v>
      </c>
      <c r="E4160" s="10" t="str">
        <f>HYPERLINK("https://otsuka-europe-crm.veevavault.com/ui/#object/sent_email__v/VBL000000037109", "SE-001443684")</f>
        <v>SE-001443684</v>
      </c>
      <c r="F4160" s="11"/>
      <c r="G4160" s="12">
        <v>0</v>
      </c>
      <c r="H4160" s="12">
        <v>0</v>
      </c>
      <c r="I4160" s="12">
        <v>0</v>
      </c>
      <c r="J4160" s="11"/>
      <c r="K4160" s="12">
        <v>0</v>
      </c>
      <c r="L4160" s="10" t="str">
        <f>HYPERLINK("https://otsuka-europe-crm.veevavault.com/ui/#object/approved_document__v/V5O00000001A037", "LUP - VAE Póster Adelphi - Nefro")</f>
        <v>LUP - VAE Póster Adelphi - Nefro</v>
      </c>
      <c r="M4160" s="10" t="str">
        <f>HYPERLINK("mailto:gsammali@crm.otsuka-europe.com", "gsammali@crm.otsuka-europe.com")</f>
        <v>gsammali@crm.otsuka-europe.com</v>
      </c>
      <c r="N4160" s="13">
        <v>46216.433113425926</v>
      </c>
      <c r="O4160" s="14" t="str">
        <f>HYPERLINK("https://otsuka-europe-crm.veevavault.com/ui/#object/email_activity__v/V8C00000004A206", "EN-002105307")</f>
        <v>EN-002105307</v>
      </c>
    </row>
    <row r="4161" spans="1:15" ht="16" x14ac:dyDescent="0.2">
      <c r="A4161" s="18" t="str">
        <f>HYPERLINK("https://otsuka-europe-crm.veevavault.com/ui/#object/account__v/V4TZ06G6O71TC6J", "ALFONSO SEGARRA MEDRANO")</f>
        <v>ALFONSO SEGARRA MEDRANO</v>
      </c>
      <c r="B4161" s="18" t="str">
        <f>HYPERLINK("https://otsuka-europe-crm.veevavault.com/ui/#object/vcountry__v/VENZ000004SONF5", "ES")</f>
        <v>ES</v>
      </c>
      <c r="C4161" s="20" t="s">
        <v>39</v>
      </c>
      <c r="D4161" s="21" t="str">
        <f>HYPERLINK("https://otsuka-europe-crm.veevavault.com/ui/#object/approved_document__v/V5O00000001A037", "LUP - VAE Póster Adelphi - Nefro")</f>
        <v>LUP - VAE Póster Adelphi - Nefro</v>
      </c>
      <c r="E4161" s="22" t="str">
        <f>HYPERLINK("https://otsuka-europe-crm.veevavault.com/ui/#object/sent_email__v/VBL000000037110", "SE-001443685")</f>
        <v>SE-001443685</v>
      </c>
      <c r="F4161" s="25">
        <v>46216.882777777777</v>
      </c>
      <c r="G4161" s="24">
        <v>1</v>
      </c>
      <c r="H4161" s="24">
        <v>1</v>
      </c>
      <c r="I4161" s="24">
        <v>0</v>
      </c>
      <c r="J4161" s="23"/>
      <c r="K4161" s="24">
        <v>0</v>
      </c>
      <c r="L4161" s="22" t="str">
        <f>HYPERLINK("https://otsuka-europe-crm.veevavault.com/ui/#object/approved_document__v/V5O00000001A037", "LUP - VAE Póster Adelphi - Nefro")</f>
        <v>LUP - VAE Póster Adelphi - Nefro</v>
      </c>
      <c r="M4161" s="22" t="str">
        <f>HYPERLINK("mailto:gsammali@crm.otsuka-europe.com", "gsammali@crm.otsuka-europe.com")</f>
        <v>gsammali@crm.otsuka-europe.com</v>
      </c>
      <c r="N4161" s="25">
        <v>46216.433113425926</v>
      </c>
      <c r="O4161" s="14" t="str">
        <f>HYPERLINK("https://otsuka-europe-crm.veevavault.com/ui/#object/email_activity__v/V8C000000049345", "EN-002105492")</f>
        <v>EN-002105492</v>
      </c>
    </row>
    <row r="4162" spans="1:15" ht="16" x14ac:dyDescent="0.2">
      <c r="A4162" s="26"/>
      <c r="B4162" s="26"/>
      <c r="C4162" s="26"/>
      <c r="D4162" s="26"/>
      <c r="E4162" s="26"/>
      <c r="F4162" s="26"/>
      <c r="G4162" s="26"/>
      <c r="H4162" s="26"/>
      <c r="I4162" s="26"/>
      <c r="J4162" s="26"/>
      <c r="K4162" s="26"/>
      <c r="L4162" s="26"/>
      <c r="M4162" s="26"/>
      <c r="N4162" s="26"/>
      <c r="O4162" s="14" t="str">
        <f>HYPERLINK("https://otsuka-europe-crm.veevavault.com/ui/#object/email_activity__v/V8C000000049457", "EN-002105711")</f>
        <v>EN-002105711</v>
      </c>
    </row>
    <row r="4163" spans="1:15" ht="16" x14ac:dyDescent="0.2">
      <c r="A4163" s="26"/>
      <c r="B4163" s="26"/>
      <c r="C4163" s="26"/>
      <c r="D4163" s="26"/>
      <c r="E4163" s="26"/>
      <c r="F4163" s="26"/>
      <c r="G4163" s="26"/>
      <c r="H4163" s="26"/>
      <c r="I4163" s="26"/>
      <c r="J4163" s="26"/>
      <c r="K4163" s="26"/>
      <c r="L4163" s="26"/>
      <c r="M4163" s="26"/>
      <c r="N4163" s="26"/>
      <c r="O4163" s="14" t="str">
        <f>HYPERLINK("https://otsuka-europe-crm.veevavault.com/ui/#object/email_activity__v/V8C00000004A170", "EN-002105270")</f>
        <v>EN-002105270</v>
      </c>
    </row>
    <row r="4164" spans="1:15" ht="16" x14ac:dyDescent="0.2">
      <c r="A4164" s="19"/>
      <c r="B4164" s="19"/>
      <c r="C4164" s="19"/>
      <c r="D4164" s="19"/>
      <c r="E4164" s="19"/>
      <c r="F4164" s="19"/>
      <c r="G4164" s="19"/>
      <c r="H4164" s="19"/>
      <c r="I4164" s="19"/>
      <c r="J4164" s="19"/>
      <c r="K4164" s="19"/>
      <c r="L4164" s="19"/>
      <c r="M4164" s="19"/>
      <c r="N4164" s="19"/>
      <c r="O4164" s="14" t="str">
        <f>HYPERLINK("https://otsuka-europe-crm.veevavault.com/ui/#object/email_activity__v/V8C00000004C425", "EN-002107867")</f>
        <v>EN-002107867</v>
      </c>
    </row>
    <row r="4165" spans="1:15" ht="16" x14ac:dyDescent="0.2">
      <c r="A4165" s="18" t="str">
        <f>HYPERLINK("https://otsuka-europe-crm.veevavault.com/ui/#object/account__v/V4TZ025E87O28ID", "ANGELA ROCIO VALLEJOS NUÑEZ")</f>
        <v>ANGELA ROCIO VALLEJOS NUÑEZ</v>
      </c>
      <c r="B4165" s="18" t="str">
        <f>HYPERLINK("https://otsuka-europe-crm.veevavault.com/ui/#object/vcountry__v/VENZ000004SONF5", "ES")</f>
        <v>ES</v>
      </c>
      <c r="C4165" s="20" t="s">
        <v>39</v>
      </c>
      <c r="D4165" s="21" t="str">
        <f>HYPERLINK("https://otsuka-europe-crm.veevavault.com/ui/#object/approved_document__v/V5O00000001A037", "LUP - VAE Póster Adelphi - Nefro")</f>
        <v>LUP - VAE Póster Adelphi - Nefro</v>
      </c>
      <c r="E4165" s="22" t="str">
        <f>HYPERLINK("https://otsuka-europe-crm.veevavault.com/ui/#object/sent_email__v/VBL000000037111", "SE-001443686")</f>
        <v>SE-001443686</v>
      </c>
      <c r="F4165" s="25">
        <v>46217.205543981479</v>
      </c>
      <c r="G4165" s="24">
        <v>1</v>
      </c>
      <c r="H4165" s="24">
        <v>4</v>
      </c>
      <c r="I4165" s="24">
        <v>1</v>
      </c>
      <c r="J4165" s="25">
        <v>46217.205659722225</v>
      </c>
      <c r="K4165" s="24">
        <v>1</v>
      </c>
      <c r="L4165" s="22" t="str">
        <f>HYPERLINK("https://otsuka-europe-crm.veevavault.com/ui/#object/approved_document__v/V5O00000001A037", "LUP - VAE Póster Adelphi - Nefro")</f>
        <v>LUP - VAE Póster Adelphi - Nefro</v>
      </c>
      <c r="M4165" s="22" t="str">
        <f>HYPERLINK("mailto:gsammali@crm.otsuka-europe.com", "gsammali@crm.otsuka-europe.com")</f>
        <v>gsammali@crm.otsuka-europe.com</v>
      </c>
      <c r="N4165" s="25">
        <v>46216.433113425926</v>
      </c>
      <c r="O4165" s="14" t="str">
        <f>HYPERLINK("https://otsuka-europe-crm.veevavault.com/ui/#object/email_activity__v/V8C000000049408", "EN-002105589")</f>
        <v>EN-002105589</v>
      </c>
    </row>
    <row r="4166" spans="1:15" ht="16" x14ac:dyDescent="0.2">
      <c r="A4166" s="26"/>
      <c r="B4166" s="26"/>
      <c r="C4166" s="26"/>
      <c r="D4166" s="26"/>
      <c r="E4166" s="26"/>
      <c r="F4166" s="26"/>
      <c r="G4166" s="26"/>
      <c r="H4166" s="26"/>
      <c r="I4166" s="26"/>
      <c r="J4166" s="26"/>
      <c r="K4166" s="26"/>
      <c r="L4166" s="26"/>
      <c r="M4166" s="26"/>
      <c r="N4166" s="26"/>
      <c r="O4166" s="14" t="str">
        <f>HYPERLINK("https://otsuka-europe-crm.veevavault.com/ui/#object/email_activity__v/V8C000000049474", "EN-002105750")</f>
        <v>EN-002105750</v>
      </c>
    </row>
    <row r="4167" spans="1:15" ht="16" x14ac:dyDescent="0.2">
      <c r="A4167" s="26"/>
      <c r="B4167" s="26"/>
      <c r="C4167" s="26"/>
      <c r="D4167" s="26"/>
      <c r="E4167" s="26"/>
      <c r="F4167" s="26"/>
      <c r="G4167" s="26"/>
      <c r="H4167" s="26"/>
      <c r="I4167" s="26"/>
      <c r="J4167" s="26"/>
      <c r="K4167" s="26"/>
      <c r="L4167" s="26"/>
      <c r="M4167" s="26"/>
      <c r="N4167" s="26"/>
      <c r="O4167" s="14" t="str">
        <f>HYPERLINK("https://otsuka-europe-crm.veevavault.com/ui/#object/email_activity__v/V8C000000049475", "EN-002105751")</f>
        <v>EN-002105751</v>
      </c>
    </row>
    <row r="4168" spans="1:15" ht="16" x14ac:dyDescent="0.2">
      <c r="A4168" s="26"/>
      <c r="B4168" s="26"/>
      <c r="C4168" s="26"/>
      <c r="D4168" s="26"/>
      <c r="E4168" s="26"/>
      <c r="F4168" s="26"/>
      <c r="G4168" s="26"/>
      <c r="H4168" s="26"/>
      <c r="I4168" s="26"/>
      <c r="J4168" s="26"/>
      <c r="K4168" s="26"/>
      <c r="L4168" s="26"/>
      <c r="M4168" s="26"/>
      <c r="N4168" s="26"/>
      <c r="O4168" s="14" t="str">
        <f>HYPERLINK("https://otsuka-europe-crm.veevavault.com/ui/#object/email_activity__v/V8C000000049476", "EN-002105752")</f>
        <v>EN-002105752</v>
      </c>
    </row>
    <row r="4169" spans="1:15" ht="16" x14ac:dyDescent="0.2">
      <c r="A4169" s="26"/>
      <c r="B4169" s="26"/>
      <c r="C4169" s="26"/>
      <c r="D4169" s="26"/>
      <c r="E4169" s="26"/>
      <c r="F4169" s="26"/>
      <c r="G4169" s="26"/>
      <c r="H4169" s="26"/>
      <c r="I4169" s="26"/>
      <c r="J4169" s="26"/>
      <c r="K4169" s="26"/>
      <c r="L4169" s="26"/>
      <c r="M4169" s="26"/>
      <c r="N4169" s="26"/>
      <c r="O4169" s="14" t="str">
        <f>HYPERLINK("https://otsuka-europe-crm.veevavault.com/ui/#object/email_activity__v/V8C000000049477", "EN-002105753")</f>
        <v>EN-002105753</v>
      </c>
    </row>
    <row r="4170" spans="1:15" ht="16" x14ac:dyDescent="0.2">
      <c r="A4170" s="26"/>
      <c r="B4170" s="26"/>
      <c r="C4170" s="26"/>
      <c r="D4170" s="26"/>
      <c r="E4170" s="26"/>
      <c r="F4170" s="26"/>
      <c r="G4170" s="26"/>
      <c r="H4170" s="26"/>
      <c r="I4170" s="26"/>
      <c r="J4170" s="26"/>
      <c r="K4170" s="26"/>
      <c r="L4170" s="26"/>
      <c r="M4170" s="26"/>
      <c r="N4170" s="26"/>
      <c r="O4170" s="14" t="str">
        <f>HYPERLINK("https://otsuka-europe-crm.veevavault.com/ui/#object/email_activity__v/V8C00000004A198", "EN-002105298")</f>
        <v>EN-002105298</v>
      </c>
    </row>
    <row r="4171" spans="1:15" ht="16" x14ac:dyDescent="0.2">
      <c r="A4171" s="26"/>
      <c r="B4171" s="26"/>
      <c r="C4171" s="26"/>
      <c r="D4171" s="26"/>
      <c r="E4171" s="26"/>
      <c r="F4171" s="26"/>
      <c r="G4171" s="26"/>
      <c r="H4171" s="26"/>
      <c r="I4171" s="26"/>
      <c r="J4171" s="26"/>
      <c r="K4171" s="26"/>
      <c r="L4171" s="26"/>
      <c r="M4171" s="26"/>
      <c r="N4171" s="26"/>
      <c r="O4171" s="14" t="str">
        <f>HYPERLINK("https://otsuka-europe-crm.veevavault.com/ui/#object/email_activity__v/V8C00000004A411", "EN-002105754")</f>
        <v>EN-002105754</v>
      </c>
    </row>
    <row r="4172" spans="1:15" ht="16" x14ac:dyDescent="0.2">
      <c r="A4172" s="26"/>
      <c r="B4172" s="26"/>
      <c r="C4172" s="26"/>
      <c r="D4172" s="26"/>
      <c r="E4172" s="26"/>
      <c r="F4172" s="26"/>
      <c r="G4172" s="26"/>
      <c r="H4172" s="26"/>
      <c r="I4172" s="26"/>
      <c r="J4172" s="26"/>
      <c r="K4172" s="26"/>
      <c r="L4172" s="26"/>
      <c r="M4172" s="26"/>
      <c r="N4172" s="26"/>
      <c r="O4172" s="14" t="str">
        <f>HYPERLINK("https://otsuka-europe-crm.veevavault.com/ui/#object/email_activity__v/V8C00000004A412", "EN-002105755")</f>
        <v>EN-002105755</v>
      </c>
    </row>
    <row r="4173" spans="1:15" ht="16" x14ac:dyDescent="0.2">
      <c r="A4173" s="26"/>
      <c r="B4173" s="26"/>
      <c r="C4173" s="26"/>
      <c r="D4173" s="26"/>
      <c r="E4173" s="26"/>
      <c r="F4173" s="26"/>
      <c r="G4173" s="26"/>
      <c r="H4173" s="26"/>
      <c r="I4173" s="26"/>
      <c r="J4173" s="26"/>
      <c r="K4173" s="26"/>
      <c r="L4173" s="26"/>
      <c r="M4173" s="26"/>
      <c r="N4173" s="26"/>
      <c r="O4173" s="14" t="str">
        <f>HYPERLINK("https://otsuka-europe-crm.veevavault.com/ui/#object/email_activity__v/V8C00000004A413", "EN-002105756")</f>
        <v>EN-002105756</v>
      </c>
    </row>
    <row r="4174" spans="1:15" ht="16" x14ac:dyDescent="0.2">
      <c r="A4174" s="19"/>
      <c r="B4174" s="19"/>
      <c r="C4174" s="19"/>
      <c r="D4174" s="19"/>
      <c r="E4174" s="19"/>
      <c r="F4174" s="19"/>
      <c r="G4174" s="19"/>
      <c r="H4174" s="19"/>
      <c r="I4174" s="19"/>
      <c r="J4174" s="19"/>
      <c r="K4174" s="19"/>
      <c r="L4174" s="19"/>
      <c r="M4174" s="19"/>
      <c r="N4174" s="19"/>
      <c r="O4174" s="14" t="str">
        <f>HYPERLINK("https://otsuka-europe-crm.veevavault.com/ui/#object/email_activity__v/V8C00000004A414", "EN-002105757")</f>
        <v>EN-002105757</v>
      </c>
    </row>
    <row r="4175" spans="1:15" ht="16" x14ac:dyDescent="0.2">
      <c r="A4175" s="18" t="str">
        <f>HYPERLINK("https://otsuka-europe-crm.veevavault.com/ui/#object/account__v/V4TZ06G6O71T8VC", "PAULA ANTON PAMPOLS")</f>
        <v>PAULA ANTON PAMPOLS</v>
      </c>
      <c r="B4175" s="18" t="str">
        <f>HYPERLINK("https://otsuka-europe-crm.veevavault.com/ui/#object/vcountry__v/VENZ000004SONF5", "ES")</f>
        <v>ES</v>
      </c>
      <c r="C4175" s="20" t="s">
        <v>39</v>
      </c>
      <c r="D4175" s="21" t="str">
        <f>HYPERLINK("https://otsuka-europe-crm.veevavault.com/ui/#object/approved_document__v/V5O00000001A037", "LUP - VAE Póster Adelphi - Nefro")</f>
        <v>LUP - VAE Póster Adelphi - Nefro</v>
      </c>
      <c r="E4175" s="22" t="str">
        <f>HYPERLINK("https://otsuka-europe-crm.veevavault.com/ui/#object/sent_email__v/VBL000000037112", "SE-001443687")</f>
        <v>SE-001443687</v>
      </c>
      <c r="F4175" s="25">
        <v>46217.065486111111</v>
      </c>
      <c r="G4175" s="24">
        <v>1</v>
      </c>
      <c r="H4175" s="24">
        <v>3</v>
      </c>
      <c r="I4175" s="24">
        <v>0</v>
      </c>
      <c r="J4175" s="23"/>
      <c r="K4175" s="24">
        <v>0</v>
      </c>
      <c r="L4175" s="22" t="str">
        <f>HYPERLINK("https://otsuka-europe-crm.veevavault.com/ui/#object/approved_document__v/V5O00000001A037", "LUP - VAE Póster Adelphi - Nefro")</f>
        <v>LUP - VAE Póster Adelphi - Nefro</v>
      </c>
      <c r="M4175" s="22" t="str">
        <f>HYPERLINK("mailto:gsammali@crm.otsuka-europe.com", "gsammali@crm.otsuka-europe.com")</f>
        <v>gsammali@crm.otsuka-europe.com</v>
      </c>
      <c r="N4175" s="25">
        <v>46216.433113425926</v>
      </c>
      <c r="O4175" s="14" t="str">
        <f>HYPERLINK("https://otsuka-europe-crm.veevavault.com/ui/#object/email_activity__v/V8C00000004A183", "EN-002105283")</f>
        <v>EN-002105283</v>
      </c>
    </row>
    <row r="4176" spans="1:15" ht="16" x14ac:dyDescent="0.2">
      <c r="A4176" s="26"/>
      <c r="B4176" s="26"/>
      <c r="C4176" s="26"/>
      <c r="D4176" s="26"/>
      <c r="E4176" s="26"/>
      <c r="F4176" s="26"/>
      <c r="G4176" s="26"/>
      <c r="H4176" s="26"/>
      <c r="I4176" s="26"/>
      <c r="J4176" s="26"/>
      <c r="K4176" s="26"/>
      <c r="L4176" s="26"/>
      <c r="M4176" s="26"/>
      <c r="N4176" s="26"/>
      <c r="O4176" s="14" t="str">
        <f>HYPERLINK("https://otsuka-europe-crm.veevavault.com/ui/#object/email_activity__v/V8C00000004A338", "EN-002105640")</f>
        <v>EN-002105640</v>
      </c>
    </row>
    <row r="4177" spans="1:15" ht="16" x14ac:dyDescent="0.2">
      <c r="A4177" s="26"/>
      <c r="B4177" s="26"/>
      <c r="C4177" s="26"/>
      <c r="D4177" s="26"/>
      <c r="E4177" s="26"/>
      <c r="F4177" s="26"/>
      <c r="G4177" s="26"/>
      <c r="H4177" s="26"/>
      <c r="I4177" s="26"/>
      <c r="J4177" s="26"/>
      <c r="K4177" s="26"/>
      <c r="L4177" s="26"/>
      <c r="M4177" s="26"/>
      <c r="N4177" s="26"/>
      <c r="O4177" s="14" t="str">
        <f>HYPERLINK("https://otsuka-europe-crm.veevavault.com/ui/#object/email_activity__v/V8C00000004A340", "EN-002105642")</f>
        <v>EN-002105642</v>
      </c>
    </row>
    <row r="4178" spans="1:15" ht="16" x14ac:dyDescent="0.2">
      <c r="A4178" s="19"/>
      <c r="B4178" s="19"/>
      <c r="C4178" s="19"/>
      <c r="D4178" s="19"/>
      <c r="E4178" s="19"/>
      <c r="F4178" s="19"/>
      <c r="G4178" s="19"/>
      <c r="H4178" s="19"/>
      <c r="I4178" s="19"/>
      <c r="J4178" s="19"/>
      <c r="K4178" s="19"/>
      <c r="L4178" s="19"/>
      <c r="M4178" s="19"/>
      <c r="N4178" s="19"/>
      <c r="O4178" s="14" t="str">
        <f>HYPERLINK("https://otsuka-europe-crm.veevavault.com/ui/#object/email_activity__v/V8C00000004A409", "EN-002105748")</f>
        <v>EN-002105748</v>
      </c>
    </row>
    <row r="4179" spans="1:15" ht="16" x14ac:dyDescent="0.2">
      <c r="A4179" s="18" t="str">
        <f>HYPERLINK("https://otsuka-europe-crm.veevavault.com/ui/#object/account__v/V4TZ06G6O71TA7G", "JORGE GONZALEZ RODRIGUEZ")</f>
        <v>JORGE GONZALEZ RODRIGUEZ</v>
      </c>
      <c r="B4179" s="18" t="str">
        <f>HYPERLINK("https://otsuka-europe-crm.veevavault.com/ui/#object/vcountry__v/VENZ000004SONF5", "ES")</f>
        <v>ES</v>
      </c>
      <c r="C4179" s="20" t="s">
        <v>39</v>
      </c>
      <c r="D4179" s="21" t="str">
        <f>HYPERLINK("https://otsuka-europe-crm.veevavault.com/ui/#object/approved_document__v/V5O00000001A037", "LUP - VAE Póster Adelphi - Nefro")</f>
        <v>LUP - VAE Póster Adelphi - Nefro</v>
      </c>
      <c r="E4179" s="22" t="str">
        <f>HYPERLINK("https://otsuka-europe-crm.veevavault.com/ui/#object/sent_email__v/VBL000000037113", "SE-001443688")</f>
        <v>SE-001443688</v>
      </c>
      <c r="F4179" s="25">
        <v>46238.573460648149</v>
      </c>
      <c r="G4179" s="24">
        <v>1</v>
      </c>
      <c r="H4179" s="24">
        <v>1</v>
      </c>
      <c r="I4179" s="24">
        <v>1</v>
      </c>
      <c r="J4179" s="25">
        <v>46238.573460648149</v>
      </c>
      <c r="K4179" s="24">
        <v>1</v>
      </c>
      <c r="L4179" s="22" t="str">
        <f>HYPERLINK("https://otsuka-europe-crm.veevavault.com/ui/#object/approved_document__v/V5O00000001A037", "LUP - VAE Póster Adelphi - Nefro")</f>
        <v>LUP - VAE Póster Adelphi - Nefro</v>
      </c>
      <c r="M4179" s="22" t="str">
        <f>HYPERLINK("mailto:gsammali@crm.otsuka-europe.com", "gsammali@crm.otsuka-europe.com")</f>
        <v>gsammali@crm.otsuka-europe.com</v>
      </c>
      <c r="N4179" s="25">
        <v>46216.433148148149</v>
      </c>
      <c r="O4179" s="14" t="str">
        <f>HYPERLINK("https://otsuka-europe-crm.veevavault.com/ui/#object/email_activity__v/V8C000000049227", "EN-002105240")</f>
        <v>EN-002105240</v>
      </c>
    </row>
    <row r="4180" spans="1:15" ht="16" x14ac:dyDescent="0.2">
      <c r="A4180" s="26"/>
      <c r="B4180" s="26"/>
      <c r="C4180" s="26"/>
      <c r="D4180" s="26"/>
      <c r="E4180" s="26"/>
      <c r="F4180" s="26"/>
      <c r="G4180" s="26"/>
      <c r="H4180" s="26"/>
      <c r="I4180" s="26"/>
      <c r="J4180" s="26"/>
      <c r="K4180" s="26"/>
      <c r="L4180" s="26"/>
      <c r="M4180" s="26"/>
      <c r="N4180" s="26"/>
      <c r="O4180" s="14" t="str">
        <f>HYPERLINK("https://otsuka-europe-crm.veevavault.com/ui/#object/email_activity__v/V8C00000004I241", "EN-002111504")</f>
        <v>EN-002111504</v>
      </c>
    </row>
    <row r="4181" spans="1:15" ht="16" x14ac:dyDescent="0.2">
      <c r="A4181" s="26"/>
      <c r="B4181" s="26"/>
      <c r="C4181" s="26"/>
      <c r="D4181" s="26"/>
      <c r="E4181" s="26"/>
      <c r="F4181" s="26"/>
      <c r="G4181" s="26"/>
      <c r="H4181" s="26"/>
      <c r="I4181" s="26"/>
      <c r="J4181" s="26"/>
      <c r="K4181" s="26"/>
      <c r="L4181" s="26"/>
      <c r="M4181" s="26"/>
      <c r="N4181" s="26"/>
      <c r="O4181" s="14" t="str">
        <f>HYPERLINK("https://otsuka-europe-crm.veevavault.com/ui/#object/email_activity__v/V8C00000004I242", "EN-002111503")</f>
        <v>EN-002111503</v>
      </c>
    </row>
    <row r="4182" spans="1:15" ht="16" x14ac:dyDescent="0.2">
      <c r="A4182" s="19"/>
      <c r="B4182" s="19"/>
      <c r="C4182" s="19"/>
      <c r="D4182" s="19"/>
      <c r="E4182" s="19"/>
      <c r="F4182" s="19"/>
      <c r="G4182" s="19"/>
      <c r="H4182" s="19"/>
      <c r="I4182" s="19"/>
      <c r="J4182" s="19"/>
      <c r="K4182" s="19"/>
      <c r="L4182" s="19"/>
      <c r="M4182" s="19"/>
      <c r="N4182" s="19"/>
      <c r="O4182" s="14" t="str">
        <f>HYPERLINK("https://otsuka-europe-crm.veevavault.com/ui/#object/email_activity__v/V8C00000004I243", "EN-002111506")</f>
        <v>EN-002111506</v>
      </c>
    </row>
    <row r="4183" spans="1:15" ht="16" x14ac:dyDescent="0.2">
      <c r="A4183" s="18" t="str">
        <f>HYPERLINK("https://otsuka-europe-crm.veevavault.com/ui/#object/account__v/V4TZ06G6O71T8W5", "FRANCISCO GOMEZ PRECIADO")</f>
        <v>FRANCISCO GOMEZ PRECIADO</v>
      </c>
      <c r="B4183" s="18" t="str">
        <f>HYPERLINK("https://otsuka-europe-crm.veevavault.com/ui/#object/vcountry__v/VENZ000004SONF5", "ES")</f>
        <v>ES</v>
      </c>
      <c r="C4183" s="20" t="s">
        <v>39</v>
      </c>
      <c r="D4183" s="21" t="str">
        <f>HYPERLINK("https://otsuka-europe-crm.veevavault.com/ui/#object/approved_document__v/V5O00000001A037", "LUP - VAE Póster Adelphi - Nefro")</f>
        <v>LUP - VAE Póster Adelphi - Nefro</v>
      </c>
      <c r="E4183" s="22" t="str">
        <f>HYPERLINK("https://otsuka-europe-crm.veevavault.com/ui/#object/sent_email__v/VBL000000037114", "SE-001443689")</f>
        <v>SE-001443689</v>
      </c>
      <c r="F4183" s="25">
        <v>46216.681122685186</v>
      </c>
      <c r="G4183" s="24">
        <v>1</v>
      </c>
      <c r="H4183" s="24">
        <v>1</v>
      </c>
      <c r="I4183" s="24">
        <v>0</v>
      </c>
      <c r="J4183" s="23"/>
      <c r="K4183" s="24">
        <v>0</v>
      </c>
      <c r="L4183" s="22" t="str">
        <f>HYPERLINK("https://otsuka-europe-crm.veevavault.com/ui/#object/approved_document__v/V5O00000001A037", "LUP - VAE Póster Adelphi - Nefro")</f>
        <v>LUP - VAE Póster Adelphi - Nefro</v>
      </c>
      <c r="M4183" s="22" t="str">
        <f>HYPERLINK("mailto:gsammali@crm.otsuka-europe.com", "gsammali@crm.otsuka-europe.com")</f>
        <v>gsammali@crm.otsuka-europe.com</v>
      </c>
      <c r="N4183" s="25">
        <v>46216.433113425926</v>
      </c>
      <c r="O4183" s="14" t="str">
        <f>HYPERLINK("https://otsuka-europe-crm.veevavault.com/ui/#object/email_activity__v/V8C00000004A187", "EN-002105286")</f>
        <v>EN-002105286</v>
      </c>
    </row>
    <row r="4184" spans="1:15" ht="16" x14ac:dyDescent="0.2">
      <c r="A4184" s="19"/>
      <c r="B4184" s="19"/>
      <c r="C4184" s="19"/>
      <c r="D4184" s="19"/>
      <c r="E4184" s="19"/>
      <c r="F4184" s="19"/>
      <c r="G4184" s="19"/>
      <c r="H4184" s="19"/>
      <c r="I4184" s="19"/>
      <c r="J4184" s="19"/>
      <c r="K4184" s="19"/>
      <c r="L4184" s="19"/>
      <c r="M4184" s="19"/>
      <c r="N4184" s="19"/>
      <c r="O4184" s="14" t="str">
        <f>HYPERLINK("https://otsuka-europe-crm.veevavault.com/ui/#object/email_activity__v/V8C00000004A314", "EN-002105584")</f>
        <v>EN-002105584</v>
      </c>
    </row>
    <row r="4185" spans="1:15" ht="32" x14ac:dyDescent="0.2">
      <c r="A4185" s="7" t="str">
        <f>HYPERLINK("https://otsuka-europe-crm.veevavault.com/ui/#object/account__v/V4TZ06G6O71T9S6", "MARC CUXART PEREZ")</f>
        <v>MARC CUXART PEREZ</v>
      </c>
      <c r="B4185" s="7" t="str">
        <f>HYPERLINK("https://otsuka-europe-crm.veevavault.com/ui/#object/vcountry__v/VENZ000004SONF5", "ES")</f>
        <v>ES</v>
      </c>
      <c r="C4185" s="8" t="s">
        <v>39</v>
      </c>
      <c r="D4185" s="9" t="str">
        <f>HYPERLINK("https://otsuka-europe-crm.veevavault.com/ui/#object/approved_document__v/V5O00000001A037", "LUP - VAE Póster Adelphi - Nefro")</f>
        <v>LUP - VAE Póster Adelphi - Nefro</v>
      </c>
      <c r="E4185" s="10" t="str">
        <f>HYPERLINK("https://otsuka-europe-crm.veevavault.com/ui/#object/sent_email__v/VBL000000037115", "SE-001443690")</f>
        <v>SE-001443690</v>
      </c>
      <c r="F4185" s="11"/>
      <c r="G4185" s="12">
        <v>0</v>
      </c>
      <c r="H4185" s="12">
        <v>0</v>
      </c>
      <c r="I4185" s="12">
        <v>0</v>
      </c>
      <c r="J4185" s="11"/>
      <c r="K4185" s="12">
        <v>0</v>
      </c>
      <c r="L4185" s="10" t="str">
        <f>HYPERLINK("https://otsuka-europe-crm.veevavault.com/ui/#object/approved_document__v/V5O00000001A037", "LUP - VAE Póster Adelphi - Nefro")</f>
        <v>LUP - VAE Póster Adelphi - Nefro</v>
      </c>
      <c r="M4185" s="10" t="str">
        <f>HYPERLINK("mailto:gsammali@crm.otsuka-europe.com", "gsammali@crm.otsuka-europe.com")</f>
        <v>gsammali@crm.otsuka-europe.com</v>
      </c>
      <c r="N4185" s="13">
        <v>46216.433113425926</v>
      </c>
      <c r="O4185" s="14" t="str">
        <f>HYPERLINK("https://otsuka-europe-crm.veevavault.com/ui/#object/email_activity__v/V8C000000049236", "EN-002105314")</f>
        <v>EN-002105314</v>
      </c>
    </row>
    <row r="4186" spans="1:15" ht="16" x14ac:dyDescent="0.2">
      <c r="A4186" s="18" t="str">
        <f>HYPERLINK("https://otsuka-europe-crm.veevavault.com/ui/#object/account__v/V4TZ06G6O71T7DD", "FATIMA NINETH MORENO GUZMAN")</f>
        <v>FATIMA NINETH MORENO GUZMAN</v>
      </c>
      <c r="B4186" s="18" t="str">
        <f>HYPERLINK("https://otsuka-europe-crm.veevavault.com/ui/#object/vcountry__v/VENZ000004SONF5", "ES")</f>
        <v>ES</v>
      </c>
      <c r="C4186" s="20" t="s">
        <v>39</v>
      </c>
      <c r="D4186" s="21" t="str">
        <f>HYPERLINK("https://otsuka-europe-crm.veevavault.com/ui/#object/approved_document__v/V5O00000001A037", "LUP - VAE Póster Adelphi - Nefro")</f>
        <v>LUP - VAE Póster Adelphi - Nefro</v>
      </c>
      <c r="E4186" s="22" t="str">
        <f>HYPERLINK("https://otsuka-europe-crm.veevavault.com/ui/#object/sent_email__v/VBL000000037116", "SE-001443691")</f>
        <v>SE-001443691</v>
      </c>
      <c r="F4186" s="25">
        <v>46216.433217592596</v>
      </c>
      <c r="G4186" s="24">
        <v>1</v>
      </c>
      <c r="H4186" s="24">
        <v>1</v>
      </c>
      <c r="I4186" s="24">
        <v>0</v>
      </c>
      <c r="J4186" s="23"/>
      <c r="K4186" s="24">
        <v>0</v>
      </c>
      <c r="L4186" s="22" t="str">
        <f>HYPERLINK("https://otsuka-europe-crm.veevavault.com/ui/#object/approved_document__v/V5O00000001A037", "LUP - VAE Póster Adelphi - Nefro")</f>
        <v>LUP - VAE Póster Adelphi - Nefro</v>
      </c>
      <c r="M4186" s="22" t="str">
        <f>HYPERLINK("mailto:gsammali@crm.otsuka-europe.com", "gsammali@crm.otsuka-europe.com")</f>
        <v>gsammali@crm.otsuka-europe.com</v>
      </c>
      <c r="N4186" s="25">
        <v>46216.433136574073</v>
      </c>
      <c r="O4186" s="14" t="str">
        <f>HYPERLINK("https://otsuka-europe-crm.veevavault.com/ui/#object/email_activity__v/V8C00000004A150", "EN-002105244")</f>
        <v>EN-002105244</v>
      </c>
    </row>
    <row r="4187" spans="1:15" ht="16" x14ac:dyDescent="0.2">
      <c r="A4187" s="26"/>
      <c r="B4187" s="26"/>
      <c r="C4187" s="26"/>
      <c r="D4187" s="26"/>
      <c r="E4187" s="26"/>
      <c r="F4187" s="26"/>
      <c r="G4187" s="26"/>
      <c r="H4187" s="26"/>
      <c r="I4187" s="26"/>
      <c r="J4187" s="26"/>
      <c r="K4187" s="26"/>
      <c r="L4187" s="26"/>
      <c r="M4187" s="26"/>
      <c r="N4187" s="26"/>
      <c r="O4187" s="14" t="str">
        <f>HYPERLINK("https://otsuka-europe-crm.veevavault.com/ui/#object/email_activity__v/V8C00000004A191", "EN-002105289")</f>
        <v>EN-002105289</v>
      </c>
    </row>
    <row r="4188" spans="1:15" ht="16" x14ac:dyDescent="0.2">
      <c r="A4188" s="19"/>
      <c r="B4188" s="19"/>
      <c r="C4188" s="19"/>
      <c r="D4188" s="19"/>
      <c r="E4188" s="19"/>
      <c r="F4188" s="19"/>
      <c r="G4188" s="19"/>
      <c r="H4188" s="19"/>
      <c r="I4188" s="19"/>
      <c r="J4188" s="19"/>
      <c r="K4188" s="19"/>
      <c r="L4188" s="19"/>
      <c r="M4188" s="19"/>
      <c r="N4188" s="19"/>
      <c r="O4188" s="14" t="str">
        <f>HYPERLINK("https://otsuka-europe-crm.veevavault.com/ui/#object/email_activity__v/V8C00000004A268", "EN-002105461")</f>
        <v>EN-002105461</v>
      </c>
    </row>
    <row r="4189" spans="1:15" ht="32" x14ac:dyDescent="0.2">
      <c r="A4189" s="7" t="str">
        <f>HYPERLINK("https://otsuka-europe-crm.veevavault.com/ui/#object/account__v/V4TZ025E82A4P65", "DAVID ANDRE AZUBELL")</f>
        <v>DAVID ANDRE AZUBELL</v>
      </c>
      <c r="B4189" s="7" t="str">
        <f>HYPERLINK("https://otsuka-europe-crm.veevavault.com/ui/#object/vcountry__v/VENZ000004SONF5", "ES")</f>
        <v>ES</v>
      </c>
      <c r="C4189" s="8" t="s">
        <v>39</v>
      </c>
      <c r="D4189" s="9" t="str">
        <f>HYPERLINK("https://otsuka-europe-crm.veevavault.com/ui/#object/approved_document__v/V5O00000001A037", "LUP - VAE Póster Adelphi - Nefro")</f>
        <v>LUP - VAE Póster Adelphi - Nefro</v>
      </c>
      <c r="E4189" s="10" t="str">
        <f>HYPERLINK("https://otsuka-europe-crm.veevavault.com/ui/#object/sent_email__v/VBL000000037117", "SE-001443692")</f>
        <v>SE-001443692</v>
      </c>
      <c r="F4189" s="11"/>
      <c r="G4189" s="12">
        <v>0</v>
      </c>
      <c r="H4189" s="12">
        <v>0</v>
      </c>
      <c r="I4189" s="12">
        <v>0</v>
      </c>
      <c r="J4189" s="11"/>
      <c r="K4189" s="12">
        <v>0</v>
      </c>
      <c r="L4189" s="10" t="str">
        <f>HYPERLINK("https://otsuka-europe-crm.veevavault.com/ui/#object/approved_document__v/V5O00000001A037", "LUP - VAE Póster Adelphi - Nefro")</f>
        <v>LUP - VAE Póster Adelphi - Nefro</v>
      </c>
      <c r="M4189" s="10" t="str">
        <f>HYPERLINK("mailto:gsammali@crm.otsuka-europe.com", "gsammali@crm.otsuka-europe.com")</f>
        <v>gsammali@crm.otsuka-europe.com</v>
      </c>
      <c r="N4189" s="13">
        <v>46216.433113425926</v>
      </c>
      <c r="O4189" s="14" t="str">
        <f>HYPERLINK("https://otsuka-europe-crm.veevavault.com/ui/#object/email_activity__v/V8C00000004A173", "EN-002105273")</f>
        <v>EN-002105273</v>
      </c>
    </row>
    <row r="4190" spans="1:15" ht="16" x14ac:dyDescent="0.2">
      <c r="A4190" s="18" t="str">
        <f>HYPERLINK("https://otsuka-europe-crm.veevavault.com/ui/#object/account__v/V4TZ025E85FYDU2", "ANGELA ERASO NAJERA")</f>
        <v>ANGELA ERASO NAJERA</v>
      </c>
      <c r="B4190" s="18" t="str">
        <f>HYPERLINK("https://otsuka-europe-crm.veevavault.com/ui/#object/vcountry__v/VENZ000004SONF5", "ES")</f>
        <v>ES</v>
      </c>
      <c r="C4190" s="20" t="s">
        <v>39</v>
      </c>
      <c r="D4190" s="21" t="str">
        <f>HYPERLINK("https://otsuka-europe-crm.veevavault.com/ui/#object/approved_document__v/V5O00000001A037", "LUP - VAE Póster Adelphi - Nefro")</f>
        <v>LUP - VAE Póster Adelphi - Nefro</v>
      </c>
      <c r="E4190" s="22" t="str">
        <f>HYPERLINK("https://otsuka-europe-crm.veevavault.com/ui/#object/sent_email__v/VBL000000037118", "SE-001443693")</f>
        <v>SE-001443693</v>
      </c>
      <c r="F4190" s="25">
        <v>46216.433715277781</v>
      </c>
      <c r="G4190" s="24">
        <v>1</v>
      </c>
      <c r="H4190" s="24">
        <v>1</v>
      </c>
      <c r="I4190" s="24">
        <v>0</v>
      </c>
      <c r="J4190" s="23"/>
      <c r="K4190" s="24">
        <v>0</v>
      </c>
      <c r="L4190" s="22" t="str">
        <f>HYPERLINK("https://otsuka-europe-crm.veevavault.com/ui/#object/approved_document__v/V5O00000001A037", "LUP - VAE Póster Adelphi - Nefro")</f>
        <v>LUP - VAE Póster Adelphi - Nefro</v>
      </c>
      <c r="M4190" s="22" t="str">
        <f>HYPERLINK("mailto:gsammali@crm.otsuka-europe.com", "gsammali@crm.otsuka-europe.com")</f>
        <v>gsammali@crm.otsuka-europe.com</v>
      </c>
      <c r="N4190" s="25">
        <v>46216.433113425926</v>
      </c>
      <c r="O4190" s="14" t="str">
        <f>HYPERLINK("https://otsuka-europe-crm.veevavault.com/ui/#object/email_activity__v/V8C00000004A209", "EN-002105310")</f>
        <v>EN-002105310</v>
      </c>
    </row>
    <row r="4191" spans="1:15" ht="16" x14ac:dyDescent="0.2">
      <c r="A4191" s="19"/>
      <c r="B4191" s="19"/>
      <c r="C4191" s="19"/>
      <c r="D4191" s="19"/>
      <c r="E4191" s="19"/>
      <c r="F4191" s="19"/>
      <c r="G4191" s="19"/>
      <c r="H4191" s="19"/>
      <c r="I4191" s="19"/>
      <c r="J4191" s="19"/>
      <c r="K4191" s="19"/>
      <c r="L4191" s="19"/>
      <c r="M4191" s="19"/>
      <c r="N4191" s="19"/>
      <c r="O4191" s="14" t="str">
        <f>HYPERLINK("https://otsuka-europe-crm.veevavault.com/ui/#object/email_activity__v/V8C00000004A218", "EN-002105332")</f>
        <v>EN-002105332</v>
      </c>
    </row>
    <row r="4192" spans="1:15" ht="32" x14ac:dyDescent="0.2">
      <c r="A4192" s="7" t="str">
        <f>HYPERLINK("https://otsuka-europe-crm.veevavault.com/ui/#object/account__v/V4T00000001H018", "SILVIA VEGA GONZALEZ")</f>
        <v>SILVIA VEGA GONZALEZ</v>
      </c>
      <c r="B4192" s="7" t="str">
        <f t="shared" ref="B4192:B4197" si="186">HYPERLINK("https://otsuka-europe-crm.veevavault.com/ui/#object/vcountry__v/VENZ000004SONF5", "ES")</f>
        <v>ES</v>
      </c>
      <c r="C4192" s="8" t="s">
        <v>39</v>
      </c>
      <c r="D4192" s="9" t="str">
        <f t="shared" ref="D4192:D4197" si="187">HYPERLINK("https://otsuka-europe-crm.veevavault.com/ui/#object/approved_document__v/V5O00000001A037", "LUP - VAE Póster Adelphi - Nefro")</f>
        <v>LUP - VAE Póster Adelphi - Nefro</v>
      </c>
      <c r="E4192" s="10" t="str">
        <f>HYPERLINK("https://otsuka-europe-crm.veevavault.com/ui/#object/sent_email__v/VBL000000037119", "SE-001443694")</f>
        <v>SE-001443694</v>
      </c>
      <c r="F4192" s="11"/>
      <c r="G4192" s="12">
        <v>0</v>
      </c>
      <c r="H4192" s="12">
        <v>0</v>
      </c>
      <c r="I4192" s="12">
        <v>0</v>
      </c>
      <c r="J4192" s="11"/>
      <c r="K4192" s="12">
        <v>0</v>
      </c>
      <c r="L4192" s="10" t="str">
        <f t="shared" ref="L4192:L4197" si="188">HYPERLINK("https://otsuka-europe-crm.veevavault.com/ui/#object/approved_document__v/V5O00000001A037", "LUP - VAE Póster Adelphi - Nefro")</f>
        <v>LUP - VAE Póster Adelphi - Nefro</v>
      </c>
      <c r="M4192" s="10" t="str">
        <f t="shared" ref="M4192:M4197" si="189">HYPERLINK("mailto:gsammali@crm.otsuka-europe.com", "gsammali@crm.otsuka-europe.com")</f>
        <v>gsammali@crm.otsuka-europe.com</v>
      </c>
      <c r="N4192" s="13">
        <v>46216.433113425926</v>
      </c>
      <c r="O4192" s="14" t="str">
        <f>HYPERLINK("https://otsuka-europe-crm.veevavault.com/ui/#object/email_activity__v/V8C00000004A200", "EN-002105300")</f>
        <v>EN-002105300</v>
      </c>
    </row>
    <row r="4193" spans="1:15" ht="32" x14ac:dyDescent="0.2">
      <c r="A4193" s="7" t="str">
        <f>HYPERLINK("https://otsuka-europe-crm.veevavault.com/ui/#object/account__v/V4TZ06G6O71TBQD", "MONTSERRAT PICAZO SANCHEZ")</f>
        <v>MONTSERRAT PICAZO SANCHEZ</v>
      </c>
      <c r="B4193" s="7" t="str">
        <f t="shared" si="186"/>
        <v>ES</v>
      </c>
      <c r="C4193" s="8" t="s">
        <v>39</v>
      </c>
      <c r="D4193" s="9" t="str">
        <f t="shared" si="187"/>
        <v>LUP - VAE Póster Adelphi - Nefro</v>
      </c>
      <c r="E4193" s="10" t="str">
        <f>HYPERLINK("https://otsuka-europe-crm.veevavault.com/ui/#object/sent_email__v/VBL000000037120", "SE-001443695")</f>
        <v>SE-001443695</v>
      </c>
      <c r="F4193" s="11"/>
      <c r="G4193" s="12">
        <v>0</v>
      </c>
      <c r="H4193" s="12">
        <v>0</v>
      </c>
      <c r="I4193" s="12">
        <v>0</v>
      </c>
      <c r="J4193" s="11"/>
      <c r="K4193" s="12">
        <v>0</v>
      </c>
      <c r="L4193" s="10" t="str">
        <f t="shared" si="188"/>
        <v>LUP - VAE Póster Adelphi - Nefro</v>
      </c>
      <c r="M4193" s="10" t="str">
        <f t="shared" si="189"/>
        <v>gsammali@crm.otsuka-europe.com</v>
      </c>
      <c r="N4193" s="13">
        <v>46216.433113425926</v>
      </c>
      <c r="O4193" s="14" t="str">
        <f>HYPERLINK("https://otsuka-europe-crm.veevavault.com/ui/#object/email_activity__v/V8C000000049244", "EN-002105321")</f>
        <v>EN-002105321</v>
      </c>
    </row>
    <row r="4194" spans="1:15" ht="32" x14ac:dyDescent="0.2">
      <c r="A4194" s="7" t="str">
        <f>HYPERLINK("https://otsuka-europe-crm.veevavault.com/ui/#object/account__v/V4TZ06G6O71TCEQ", "CARLOS ANTONIO SOTO MONTAÑEZ")</f>
        <v>CARLOS ANTONIO SOTO MONTAÑEZ</v>
      </c>
      <c r="B4194" s="7" t="str">
        <f t="shared" si="186"/>
        <v>ES</v>
      </c>
      <c r="C4194" s="8" t="s">
        <v>39</v>
      </c>
      <c r="D4194" s="9" t="str">
        <f t="shared" si="187"/>
        <v>LUP - VAE Póster Adelphi - Nefro</v>
      </c>
      <c r="E4194" s="10" t="str">
        <f>HYPERLINK("https://otsuka-europe-crm.veevavault.com/ui/#object/sent_email__v/VBL000000037121", "SE-001443696")</f>
        <v>SE-001443696</v>
      </c>
      <c r="F4194" s="11"/>
      <c r="G4194" s="12">
        <v>0</v>
      </c>
      <c r="H4194" s="12">
        <v>0</v>
      </c>
      <c r="I4194" s="12">
        <v>0</v>
      </c>
      <c r="J4194" s="11"/>
      <c r="K4194" s="12">
        <v>0</v>
      </c>
      <c r="L4194" s="10" t="str">
        <f t="shared" si="188"/>
        <v>LUP - VAE Póster Adelphi - Nefro</v>
      </c>
      <c r="M4194" s="10" t="str">
        <f t="shared" si="189"/>
        <v>gsammali@crm.otsuka-europe.com</v>
      </c>
      <c r="N4194" s="13">
        <v>46216.433113425926</v>
      </c>
      <c r="O4194" s="14" t="str">
        <f>HYPERLINK("https://otsuka-europe-crm.veevavault.com/ui/#object/email_activity__v/V8C000000049240", "EN-002105318")</f>
        <v>EN-002105318</v>
      </c>
    </row>
    <row r="4195" spans="1:15" ht="32" x14ac:dyDescent="0.2">
      <c r="A4195" s="7" t="str">
        <f>HYPERLINK("https://otsuka-europe-crm.veevavault.com/ui/#object/account__v/V4TZ06G6O71T7ZJ", "JORDI SOLER MAJORAL")</f>
        <v>JORDI SOLER MAJORAL</v>
      </c>
      <c r="B4195" s="7" t="str">
        <f t="shared" si="186"/>
        <v>ES</v>
      </c>
      <c r="C4195" s="8" t="s">
        <v>39</v>
      </c>
      <c r="D4195" s="9" t="str">
        <f t="shared" si="187"/>
        <v>LUP - VAE Póster Adelphi - Nefro</v>
      </c>
      <c r="E4195" s="10" t="str">
        <f>HYPERLINK("https://otsuka-europe-crm.veevavault.com/ui/#object/sent_email__v/VBL000000037122", "SE-001443697")</f>
        <v>SE-001443697</v>
      </c>
      <c r="F4195" s="11"/>
      <c r="G4195" s="12">
        <v>0</v>
      </c>
      <c r="H4195" s="12">
        <v>0</v>
      </c>
      <c r="I4195" s="12">
        <v>0</v>
      </c>
      <c r="J4195" s="11"/>
      <c r="K4195" s="12">
        <v>0</v>
      </c>
      <c r="L4195" s="10" t="str">
        <f t="shared" si="188"/>
        <v>LUP - VAE Póster Adelphi - Nefro</v>
      </c>
      <c r="M4195" s="10" t="str">
        <f t="shared" si="189"/>
        <v>gsammali@crm.otsuka-europe.com</v>
      </c>
      <c r="N4195" s="13">
        <v>46216.433113425926</v>
      </c>
      <c r="O4195" s="14" t="str">
        <f>HYPERLINK("https://otsuka-europe-crm.veevavault.com/ui/#object/email_activity__v/V8C00000004A160", "EN-002105254")</f>
        <v>EN-002105254</v>
      </c>
    </row>
    <row r="4196" spans="1:15" ht="32" x14ac:dyDescent="0.2">
      <c r="A4196" s="7" t="str">
        <f>HYPERLINK("https://otsuka-europe-crm.veevavault.com/ui/#object/account__v/V4TZ025E831DT5Y", "DANIELA GARCIA-AGREDA VACA")</f>
        <v>DANIELA GARCIA-AGREDA VACA</v>
      </c>
      <c r="B4196" s="7" t="str">
        <f t="shared" si="186"/>
        <v>ES</v>
      </c>
      <c r="C4196" s="8" t="s">
        <v>39</v>
      </c>
      <c r="D4196" s="9" t="str">
        <f t="shared" si="187"/>
        <v>LUP - VAE Póster Adelphi - Nefro</v>
      </c>
      <c r="E4196" s="10" t="str">
        <f>HYPERLINK("https://otsuka-europe-crm.veevavault.com/ui/#object/sent_email__v/VBL000000037123", "SE-001443698")</f>
        <v>SE-001443698</v>
      </c>
      <c r="F4196" s="11"/>
      <c r="G4196" s="12">
        <v>0</v>
      </c>
      <c r="H4196" s="12">
        <v>0</v>
      </c>
      <c r="I4196" s="12">
        <v>0</v>
      </c>
      <c r="J4196" s="11"/>
      <c r="K4196" s="12">
        <v>0</v>
      </c>
      <c r="L4196" s="10" t="str">
        <f t="shared" si="188"/>
        <v>LUP - VAE Póster Adelphi - Nefro</v>
      </c>
      <c r="M4196" s="10" t="str">
        <f t="shared" si="189"/>
        <v>gsammali@crm.otsuka-europe.com</v>
      </c>
      <c r="N4196" s="13">
        <v>46216.433113425926</v>
      </c>
      <c r="O4196" s="14" t="str">
        <f>HYPERLINK("https://otsuka-europe-crm.veevavault.com/ui/#object/email_activity__v/V8C000000049232", "EN-002105260")</f>
        <v>EN-002105260</v>
      </c>
    </row>
    <row r="4197" spans="1:15" ht="16" x14ac:dyDescent="0.2">
      <c r="A4197" s="18" t="str">
        <f>HYPERLINK("https://otsuka-europe-crm.veevavault.com/ui/#object/account__v/V4TZ06G6O71TCEF", "ANNA SAURINA SOLE")</f>
        <v>ANNA SAURINA SOLE</v>
      </c>
      <c r="B4197" s="18" t="str">
        <f t="shared" si="186"/>
        <v>ES</v>
      </c>
      <c r="C4197" s="20" t="s">
        <v>39</v>
      </c>
      <c r="D4197" s="21" t="str">
        <f t="shared" si="187"/>
        <v>LUP - VAE Póster Adelphi - Nefro</v>
      </c>
      <c r="E4197" s="22" t="str">
        <f>HYPERLINK("https://otsuka-europe-crm.veevavault.com/ui/#object/sent_email__v/VBL000000037124", "SE-001443699")</f>
        <v>SE-001443699</v>
      </c>
      <c r="F4197" s="25">
        <v>46217.704606481479</v>
      </c>
      <c r="G4197" s="24">
        <v>1</v>
      </c>
      <c r="H4197" s="24">
        <v>1</v>
      </c>
      <c r="I4197" s="24">
        <v>0</v>
      </c>
      <c r="J4197" s="23"/>
      <c r="K4197" s="24">
        <v>0</v>
      </c>
      <c r="L4197" s="22" t="str">
        <f t="shared" si="188"/>
        <v>LUP - VAE Póster Adelphi - Nefro</v>
      </c>
      <c r="M4197" s="22" t="str">
        <f t="shared" si="189"/>
        <v>gsammali@crm.otsuka-europe.com</v>
      </c>
      <c r="N4197" s="25">
        <v>46216.433113425926</v>
      </c>
      <c r="O4197" s="14" t="str">
        <f>HYPERLINK("https://otsuka-europe-crm.veevavault.com/ui/#object/email_activity__v/V8C000000049649", "EN-002106123")</f>
        <v>EN-002106123</v>
      </c>
    </row>
    <row r="4198" spans="1:15" ht="16" x14ac:dyDescent="0.2">
      <c r="A4198" s="19"/>
      <c r="B4198" s="19"/>
      <c r="C4198" s="19"/>
      <c r="D4198" s="19"/>
      <c r="E4198" s="19"/>
      <c r="F4198" s="19"/>
      <c r="G4198" s="19"/>
      <c r="H4198" s="19"/>
      <c r="I4198" s="19"/>
      <c r="J4198" s="19"/>
      <c r="K4198" s="19"/>
      <c r="L4198" s="19"/>
      <c r="M4198" s="19"/>
      <c r="N4198" s="19"/>
      <c r="O4198" s="14" t="str">
        <f>HYPERLINK("https://otsuka-europe-crm.veevavault.com/ui/#object/email_activity__v/V8C00000004A175", "EN-002105275")</f>
        <v>EN-002105275</v>
      </c>
    </row>
    <row r="4199" spans="1:15" ht="16" x14ac:dyDescent="0.2">
      <c r="A4199" s="18" t="str">
        <f>HYPERLINK("https://otsuka-europe-crm.veevavault.com/ui/#object/account__v/V4TZ04ASG6ZSLXI", "SERGI CODINA SANCHEZ")</f>
        <v>SERGI CODINA SANCHEZ</v>
      </c>
      <c r="B4199" s="18" t="str">
        <f>HYPERLINK("https://otsuka-europe-crm.veevavault.com/ui/#object/vcountry__v/VENZ000004SONF5", "ES")</f>
        <v>ES</v>
      </c>
      <c r="C4199" s="20" t="s">
        <v>39</v>
      </c>
      <c r="D4199" s="21" t="str">
        <f>HYPERLINK("https://otsuka-europe-crm.veevavault.com/ui/#object/approved_document__v/V5O00000001A037", "LUP - VAE Póster Adelphi - Nefro")</f>
        <v>LUP - VAE Póster Adelphi - Nefro</v>
      </c>
      <c r="E4199" s="22" t="str">
        <f>HYPERLINK("https://otsuka-europe-crm.veevavault.com/ui/#object/sent_email__v/VBL000000037125", "SE-001443700")</f>
        <v>SE-001443700</v>
      </c>
      <c r="F4199" s="23"/>
      <c r="G4199" s="24">
        <v>0</v>
      </c>
      <c r="H4199" s="24">
        <v>0</v>
      </c>
      <c r="I4199" s="24">
        <v>0</v>
      </c>
      <c r="J4199" s="23"/>
      <c r="K4199" s="24">
        <v>0</v>
      </c>
      <c r="L4199" s="22" t="str">
        <f>HYPERLINK("https://otsuka-europe-crm.veevavault.com/ui/#object/approved_document__v/V5O00000001A037", "LUP - VAE Póster Adelphi - Nefro")</f>
        <v>LUP - VAE Póster Adelphi - Nefro</v>
      </c>
      <c r="M4199" s="22" t="str">
        <f>HYPERLINK("mailto:gsammali@crm.otsuka-europe.com", "gsammali@crm.otsuka-europe.com")</f>
        <v>gsammali@crm.otsuka-europe.com</v>
      </c>
      <c r="N4199" s="25">
        <v>46216.432916666665</v>
      </c>
      <c r="O4199" s="14" t="str">
        <f>HYPERLINK("https://otsuka-europe-crm.veevavault.com/ui/#object/email_activity__v/V8C000000049356", "EN-002105513")</f>
        <v>EN-002105513</v>
      </c>
    </row>
    <row r="4200" spans="1:15" ht="16" x14ac:dyDescent="0.2">
      <c r="A4200" s="26"/>
      <c r="B4200" s="26"/>
      <c r="C4200" s="26"/>
      <c r="D4200" s="26"/>
      <c r="E4200" s="26"/>
      <c r="F4200" s="26"/>
      <c r="G4200" s="26"/>
      <c r="H4200" s="26"/>
      <c r="I4200" s="26"/>
      <c r="J4200" s="26"/>
      <c r="K4200" s="26"/>
      <c r="L4200" s="26"/>
      <c r="M4200" s="26"/>
      <c r="N4200" s="26"/>
      <c r="O4200" s="14" t="str">
        <f>HYPERLINK("https://otsuka-europe-crm.veevavault.com/ui/#object/email_activity__v/V8C000000049464", "EN-002105721")</f>
        <v>EN-002105721</v>
      </c>
    </row>
    <row r="4201" spans="1:15" ht="16" x14ac:dyDescent="0.2">
      <c r="A4201" s="19"/>
      <c r="B4201" s="19"/>
      <c r="C4201" s="19"/>
      <c r="D4201" s="19"/>
      <c r="E4201" s="19"/>
      <c r="F4201" s="19"/>
      <c r="G4201" s="19"/>
      <c r="H4201" s="19"/>
      <c r="I4201" s="19"/>
      <c r="J4201" s="19"/>
      <c r="K4201" s="19"/>
      <c r="L4201" s="19"/>
      <c r="M4201" s="19"/>
      <c r="N4201" s="19"/>
      <c r="O4201" s="14" t="str">
        <f>HYPERLINK("https://otsuka-europe-crm.veevavault.com/ui/#object/email_activity__v/V8C00000004A147", "EN-002105232")</f>
        <v>EN-002105232</v>
      </c>
    </row>
    <row r="4202" spans="1:15" ht="32" x14ac:dyDescent="0.2">
      <c r="A4202" s="7" t="str">
        <f>HYPERLINK("https://otsuka-europe-crm.veevavault.com/ui/#object/account__v/V4TZ06G6O71TBSC", "JOSEP RIBA POLA")</f>
        <v>JOSEP RIBA POLA</v>
      </c>
      <c r="B4202" s="7" t="str">
        <f>HYPERLINK("https://otsuka-europe-crm.veevavault.com/ui/#object/vcountry__v/VENZ000004SONF5", "ES")</f>
        <v>ES</v>
      </c>
      <c r="C4202" s="8" t="s">
        <v>39</v>
      </c>
      <c r="D4202" s="9" t="str">
        <f>HYPERLINK("https://otsuka-europe-crm.veevavault.com/ui/#object/approved_document__v/V5O00000001A037", "LUP - VAE Póster Adelphi - Nefro")</f>
        <v>LUP - VAE Póster Adelphi - Nefro</v>
      </c>
      <c r="E4202" s="10" t="str">
        <f>HYPERLINK("https://otsuka-europe-crm.veevavault.com/ui/#object/sent_email__v/VBL000000037126", "SE-001443701")</f>
        <v>SE-001443701</v>
      </c>
      <c r="F4202" s="11"/>
      <c r="G4202" s="12">
        <v>0</v>
      </c>
      <c r="H4202" s="12">
        <v>0</v>
      </c>
      <c r="I4202" s="12">
        <v>0</v>
      </c>
      <c r="J4202" s="11"/>
      <c r="K4202" s="12">
        <v>0</v>
      </c>
      <c r="L4202" s="10" t="str">
        <f>HYPERLINK("https://otsuka-europe-crm.veevavault.com/ui/#object/approved_document__v/V5O00000001A037", "LUP - VAE Póster Adelphi - Nefro")</f>
        <v>LUP - VAE Póster Adelphi - Nefro</v>
      </c>
      <c r="M4202" s="10" t="str">
        <f>HYPERLINK("mailto:gsammali@crm.otsuka-europe.com", "gsammali@crm.otsuka-europe.com")</f>
        <v>gsammali@crm.otsuka-europe.com</v>
      </c>
      <c r="N4202" s="13">
        <v>46216.432916666665</v>
      </c>
      <c r="O4202" s="14" t="str">
        <f>HYPERLINK("https://otsuka-europe-crm.veevavault.com/ui/#object/email_activity__v/V8C00000004A145", "EN-002105230")</f>
        <v>EN-002105230</v>
      </c>
    </row>
    <row r="4203" spans="1:15" ht="16" x14ac:dyDescent="0.2">
      <c r="A4203" s="18" t="str">
        <f>HYPERLINK("https://otsuka-europe-crm.veevavault.com/ui/#object/account__v/V4TZ025E85M0UKL", "JOSE ANTONIO FERRERAS GASCO")</f>
        <v>JOSE ANTONIO FERRERAS GASCO</v>
      </c>
      <c r="B4203" s="18" t="str">
        <f>HYPERLINK("https://otsuka-europe-crm.veevavault.com/ui/#object/vcountry__v/VENZ000004SONF5", "ES")</f>
        <v>ES</v>
      </c>
      <c r="C4203" s="20" t="s">
        <v>39</v>
      </c>
      <c r="D4203" s="21" t="str">
        <f>HYPERLINK("https://otsuka-europe-crm.veevavault.com/ui/#object/approved_document__v/V5O00000001A037", "LUP - VAE Póster Adelphi - Nefro")</f>
        <v>LUP - VAE Póster Adelphi - Nefro</v>
      </c>
      <c r="E4203" s="22" t="str">
        <f>HYPERLINK("https://otsuka-europe-crm.veevavault.com/ui/#object/sent_email__v/VBL000000037127", "SE-001443702")</f>
        <v>SE-001443702</v>
      </c>
      <c r="F4203" s="23"/>
      <c r="G4203" s="24">
        <v>0</v>
      </c>
      <c r="H4203" s="24">
        <v>0</v>
      </c>
      <c r="I4203" s="24">
        <v>0</v>
      </c>
      <c r="J4203" s="23"/>
      <c r="K4203" s="24">
        <v>0</v>
      </c>
      <c r="L4203" s="22" t="str">
        <f>HYPERLINK("https://otsuka-europe-crm.veevavault.com/ui/#object/approved_document__v/V5O00000001A037", "LUP - VAE Póster Adelphi - Nefro")</f>
        <v>LUP - VAE Póster Adelphi - Nefro</v>
      </c>
      <c r="M4203" s="22" t="str">
        <f>HYPERLINK("mailto:gsammali@crm.otsuka-europe.com", "gsammali@crm.otsuka-europe.com")</f>
        <v>gsammali@crm.otsuka-europe.com</v>
      </c>
      <c r="N4203" s="25">
        <v>46216.432916666665</v>
      </c>
      <c r="O4203" s="14" t="str">
        <f>HYPERLINK("https://otsuka-europe-crm.veevavault.com/ui/#object/email_activity__v/V8C00000004A144", "EN-002105229")</f>
        <v>EN-002105229</v>
      </c>
    </row>
    <row r="4204" spans="1:15" ht="16" x14ac:dyDescent="0.2">
      <c r="A4204" s="19"/>
      <c r="B4204" s="19"/>
      <c r="C4204" s="19"/>
      <c r="D4204" s="19"/>
      <c r="E4204" s="19"/>
      <c r="F4204" s="19"/>
      <c r="G4204" s="19"/>
      <c r="H4204" s="19"/>
      <c r="I4204" s="19"/>
      <c r="J4204" s="19"/>
      <c r="K4204" s="19"/>
      <c r="L4204" s="19"/>
      <c r="M4204" s="19"/>
      <c r="N4204" s="19"/>
      <c r="O4204" s="14" t="str">
        <f>HYPERLINK("https://otsuka-europe-crm.veevavault.com/ui/#object/email_activity__v/V8C00000004A401", "EN-002105733")</f>
        <v>EN-002105733</v>
      </c>
    </row>
    <row r="4205" spans="1:15" ht="16" x14ac:dyDescent="0.2">
      <c r="A4205" s="18" t="str">
        <f>HYPERLINK("https://otsuka-europe-crm.veevavault.com/ui/#object/account__v/V4TZ06G6O71TBGM", "EDUARDO PARRA MONCASI")</f>
        <v>EDUARDO PARRA MONCASI</v>
      </c>
      <c r="B4205" s="18" t="str">
        <f>HYPERLINK("https://otsuka-europe-crm.veevavault.com/ui/#object/vcountry__v/VENZ000004SONF5", "ES")</f>
        <v>ES</v>
      </c>
      <c r="C4205" s="20" t="s">
        <v>39</v>
      </c>
      <c r="D4205" s="21" t="str">
        <f>HYPERLINK("https://otsuka-europe-crm.veevavault.com/ui/#object/approved_document__v/V5O00000001A037", "LUP - VAE Póster Adelphi - Nefro")</f>
        <v>LUP - VAE Póster Adelphi - Nefro</v>
      </c>
      <c r="E4205" s="22" t="str">
        <f>HYPERLINK("https://otsuka-europe-crm.veevavault.com/ui/#object/sent_email__v/VBL000000037128", "SE-001443703")</f>
        <v>SE-001443703</v>
      </c>
      <c r="F4205" s="25">
        <v>46216.432986111111</v>
      </c>
      <c r="G4205" s="24">
        <v>1</v>
      </c>
      <c r="H4205" s="24">
        <v>1</v>
      </c>
      <c r="I4205" s="24">
        <v>0</v>
      </c>
      <c r="J4205" s="23"/>
      <c r="K4205" s="24">
        <v>0</v>
      </c>
      <c r="L4205" s="22" t="str">
        <f>HYPERLINK("https://otsuka-europe-crm.veevavault.com/ui/#object/approved_document__v/V5O00000001A037", "LUP - VAE Póster Adelphi - Nefro")</f>
        <v>LUP - VAE Póster Adelphi - Nefro</v>
      </c>
      <c r="M4205" s="22" t="str">
        <f>HYPERLINK("mailto:gsammali@crm.otsuka-europe.com", "gsammali@crm.otsuka-europe.com")</f>
        <v>gsammali@crm.otsuka-europe.com</v>
      </c>
      <c r="N4205" s="25">
        <v>46216.432928240742</v>
      </c>
      <c r="O4205" s="14" t="str">
        <f>HYPERLINK("https://otsuka-europe-crm.veevavault.com/ui/#object/email_activity__v/V8C000000049220", "EN-002105233")</f>
        <v>EN-002105233</v>
      </c>
    </row>
    <row r="4206" spans="1:15" ht="16" x14ac:dyDescent="0.2">
      <c r="A4206" s="26"/>
      <c r="B4206" s="26"/>
      <c r="C4206" s="26"/>
      <c r="D4206" s="26"/>
      <c r="E4206" s="26"/>
      <c r="F4206" s="26"/>
      <c r="G4206" s="26"/>
      <c r="H4206" s="26"/>
      <c r="I4206" s="26"/>
      <c r="J4206" s="26"/>
      <c r="K4206" s="26"/>
      <c r="L4206" s="26"/>
      <c r="M4206" s="26"/>
      <c r="N4206" s="26"/>
      <c r="O4206" s="14" t="str">
        <f>HYPERLINK("https://otsuka-europe-crm.veevavault.com/ui/#object/email_activity__v/V8C000000049478", "EN-002105758")</f>
        <v>EN-002105758</v>
      </c>
    </row>
    <row r="4207" spans="1:15" ht="16" x14ac:dyDescent="0.2">
      <c r="A4207" s="19"/>
      <c r="B4207" s="19"/>
      <c r="C4207" s="19"/>
      <c r="D4207" s="19"/>
      <c r="E4207" s="19"/>
      <c r="F4207" s="19"/>
      <c r="G4207" s="19"/>
      <c r="H4207" s="19"/>
      <c r="I4207" s="19"/>
      <c r="J4207" s="19"/>
      <c r="K4207" s="19"/>
      <c r="L4207" s="19"/>
      <c r="M4207" s="19"/>
      <c r="N4207" s="19"/>
      <c r="O4207" s="14" t="str">
        <f>HYPERLINK("https://otsuka-europe-crm.veevavault.com/ui/#object/email_activity__v/V8C00000004A146", "EN-002105231")</f>
        <v>EN-002105231</v>
      </c>
    </row>
    <row r="4208" spans="1:15" ht="16" x14ac:dyDescent="0.2">
      <c r="A4208" s="18" t="str">
        <f>HYPERLINK("https://otsuka-europe-crm.veevavault.com/ui/#object/account__v/V4TZ06G6O71T8HA", "ANA MERINO RIBAS")</f>
        <v>ANA MERINO RIBAS</v>
      </c>
      <c r="B4208" s="18" t="str">
        <f>HYPERLINK("https://otsuka-europe-crm.veevavault.com/ui/#object/vcountry__v/VENZ000004SONF5", "ES")</f>
        <v>ES</v>
      </c>
      <c r="C4208" s="20" t="s">
        <v>39</v>
      </c>
      <c r="D4208" s="21" t="str">
        <f>HYPERLINK("https://otsuka-europe-crm.veevavault.com/ui/#object/approved_document__v/V5O00000001A037", "LUP - VAE Póster Adelphi - Nefro")</f>
        <v>LUP - VAE Póster Adelphi - Nefro</v>
      </c>
      <c r="E4208" s="22" t="str">
        <f>HYPERLINK("https://otsuka-europe-crm.veevavault.com/ui/#object/sent_email__v/VBL000000037129", "SE-001443704")</f>
        <v>SE-001443704</v>
      </c>
      <c r="F4208" s="25">
        <v>46223.473541666666</v>
      </c>
      <c r="G4208" s="24">
        <v>1</v>
      </c>
      <c r="H4208" s="24">
        <v>2</v>
      </c>
      <c r="I4208" s="24">
        <v>0</v>
      </c>
      <c r="J4208" s="23"/>
      <c r="K4208" s="24">
        <v>0</v>
      </c>
      <c r="L4208" s="22" t="str">
        <f>HYPERLINK("https://otsuka-europe-crm.veevavault.com/ui/#object/approved_document__v/V5O00000001A037", "LUP - VAE Póster Adelphi - Nefro")</f>
        <v>LUP - VAE Póster Adelphi - Nefro</v>
      </c>
      <c r="M4208" s="22" t="str">
        <f>HYPERLINK("mailto:gsammali@crm.otsuka-europe.com", "gsammali@crm.otsuka-europe.com")</f>
        <v>gsammali@crm.otsuka-europe.com</v>
      </c>
      <c r="N4208" s="25">
        <v>46216.433113425926</v>
      </c>
      <c r="O4208" s="14" t="str">
        <f>HYPERLINK("https://otsuka-europe-crm.veevavault.com/ui/#object/email_activity__v/V8C000000049346", "EN-002105495")</f>
        <v>EN-002105495</v>
      </c>
    </row>
    <row r="4209" spans="1:15" ht="16" x14ac:dyDescent="0.2">
      <c r="A4209" s="26"/>
      <c r="B4209" s="26"/>
      <c r="C4209" s="26"/>
      <c r="D4209" s="26"/>
      <c r="E4209" s="26"/>
      <c r="F4209" s="26"/>
      <c r="G4209" s="26"/>
      <c r="H4209" s="26"/>
      <c r="I4209" s="26"/>
      <c r="J4209" s="26"/>
      <c r="K4209" s="26"/>
      <c r="L4209" s="26"/>
      <c r="M4209" s="26"/>
      <c r="N4209" s="26"/>
      <c r="O4209" s="14" t="str">
        <f>HYPERLINK("https://otsuka-europe-crm.veevavault.com/ui/#object/email_activity__v/V8C00000004A158", "EN-002105252")</f>
        <v>EN-002105252</v>
      </c>
    </row>
    <row r="4210" spans="1:15" ht="16" x14ac:dyDescent="0.2">
      <c r="A4210" s="26"/>
      <c r="B4210" s="26"/>
      <c r="C4210" s="26"/>
      <c r="D4210" s="26"/>
      <c r="E4210" s="26"/>
      <c r="F4210" s="26"/>
      <c r="G4210" s="26"/>
      <c r="H4210" s="26"/>
      <c r="I4210" s="26"/>
      <c r="J4210" s="26"/>
      <c r="K4210" s="26"/>
      <c r="L4210" s="26"/>
      <c r="M4210" s="26"/>
      <c r="N4210" s="26"/>
      <c r="O4210" s="14" t="str">
        <f>HYPERLINK("https://otsuka-europe-crm.veevavault.com/ui/#object/email_activity__v/V8C00000004B271", "EN-002107189")</f>
        <v>EN-002107189</v>
      </c>
    </row>
    <row r="4211" spans="1:15" ht="16" x14ac:dyDescent="0.2">
      <c r="A4211" s="19"/>
      <c r="B4211" s="19"/>
      <c r="C4211" s="19"/>
      <c r="D4211" s="19"/>
      <c r="E4211" s="19"/>
      <c r="F4211" s="19"/>
      <c r="G4211" s="19"/>
      <c r="H4211" s="19"/>
      <c r="I4211" s="19"/>
      <c r="J4211" s="19"/>
      <c r="K4211" s="19"/>
      <c r="L4211" s="19"/>
      <c r="M4211" s="19"/>
      <c r="N4211" s="19"/>
      <c r="O4211" s="14" t="str">
        <f>HYPERLINK("https://otsuka-europe-crm.veevavault.com/ui/#object/email_activity__v/V8C00000004C133", "EN-002107070")</f>
        <v>EN-002107070</v>
      </c>
    </row>
    <row r="4212" spans="1:15" ht="32" x14ac:dyDescent="0.2">
      <c r="A4212" s="7" t="str">
        <f>HYPERLINK("https://otsuka-europe-crm.veevavault.com/ui/#object/account__v/V4TZ06G6O71T85C", "MARIA CUFI VALLMAJOR")</f>
        <v>MARIA CUFI VALLMAJOR</v>
      </c>
      <c r="B4212" s="7" t="str">
        <f t="shared" ref="B4212:B4217" si="190">HYPERLINK("https://otsuka-europe-crm.veevavault.com/ui/#object/vcountry__v/VENZ000004SONF5", "ES")</f>
        <v>ES</v>
      </c>
      <c r="C4212" s="8" t="s">
        <v>39</v>
      </c>
      <c r="D4212" s="9" t="str">
        <f t="shared" ref="D4212:D4217" si="191">HYPERLINK("https://otsuka-europe-crm.veevavault.com/ui/#object/approved_document__v/V5O00000001A037", "LUP - VAE Póster Adelphi - Nefro")</f>
        <v>LUP - VAE Póster Adelphi - Nefro</v>
      </c>
      <c r="E4212" s="10" t="str">
        <f>HYPERLINK("https://otsuka-europe-crm.veevavault.com/ui/#object/sent_email__v/VBL000000037130", "SE-001443705")</f>
        <v>SE-001443705</v>
      </c>
      <c r="F4212" s="11"/>
      <c r="G4212" s="12">
        <v>0</v>
      </c>
      <c r="H4212" s="12">
        <v>0</v>
      </c>
      <c r="I4212" s="12">
        <v>0</v>
      </c>
      <c r="J4212" s="11"/>
      <c r="K4212" s="12">
        <v>0</v>
      </c>
      <c r="L4212" s="10" t="str">
        <f t="shared" ref="L4212:L4217" si="192">HYPERLINK("https://otsuka-europe-crm.veevavault.com/ui/#object/approved_document__v/V5O00000001A037", "LUP - VAE Póster Adelphi - Nefro")</f>
        <v>LUP - VAE Póster Adelphi - Nefro</v>
      </c>
      <c r="M4212" s="10" t="str">
        <f t="shared" ref="M4212:M4217" si="193">HYPERLINK("mailto:gsammali@crm.otsuka-europe.com", "gsammali@crm.otsuka-europe.com")</f>
        <v>gsammali@crm.otsuka-europe.com</v>
      </c>
      <c r="N4212" s="13">
        <v>46216.433113425926</v>
      </c>
      <c r="O4212" s="14" t="str">
        <f>HYPERLINK("https://otsuka-europe-crm.veevavault.com/ui/#object/email_activity__v/V8C00000004A213", "EN-002105325")</f>
        <v>EN-002105325</v>
      </c>
    </row>
    <row r="4213" spans="1:15" ht="32" x14ac:dyDescent="0.2">
      <c r="A4213" s="7" t="str">
        <f>HYPERLINK("https://otsuka-europe-crm.veevavault.com/ui/#object/account__v/V4TZ06G6O71TBF5", "MARUJA ISABEL NAVARRO DIAZ")</f>
        <v>MARUJA ISABEL NAVARRO DIAZ</v>
      </c>
      <c r="B4213" s="7" t="str">
        <f t="shared" si="190"/>
        <v>ES</v>
      </c>
      <c r="C4213" s="8" t="s">
        <v>39</v>
      </c>
      <c r="D4213" s="9" t="str">
        <f t="shared" si="191"/>
        <v>LUP - VAE Póster Adelphi - Nefro</v>
      </c>
      <c r="E4213" s="10" t="str">
        <f>HYPERLINK("https://otsuka-europe-crm.veevavault.com/ui/#object/sent_email__v/VBL000000037131", "SE-001443706")</f>
        <v>SE-001443706</v>
      </c>
      <c r="F4213" s="11"/>
      <c r="G4213" s="12">
        <v>0</v>
      </c>
      <c r="H4213" s="12">
        <v>0</v>
      </c>
      <c r="I4213" s="12">
        <v>0</v>
      </c>
      <c r="J4213" s="11"/>
      <c r="K4213" s="12">
        <v>0</v>
      </c>
      <c r="L4213" s="10" t="str">
        <f t="shared" si="192"/>
        <v>LUP - VAE Póster Adelphi - Nefro</v>
      </c>
      <c r="M4213" s="10" t="str">
        <f t="shared" si="193"/>
        <v>gsammali@crm.otsuka-europe.com</v>
      </c>
      <c r="N4213" s="13">
        <v>46216.433113425926</v>
      </c>
      <c r="O4213" s="14" t="str">
        <f>HYPERLINK("https://otsuka-europe-crm.veevavault.com/ui/#object/email_activity__v/V8C00000004A207", "EN-002105308")</f>
        <v>EN-002105308</v>
      </c>
    </row>
    <row r="4214" spans="1:15" ht="32" x14ac:dyDescent="0.2">
      <c r="A4214" s="7" t="str">
        <f>HYPERLINK("https://otsuka-europe-crm.veevavault.com/ui/#object/account__v/V4TZ06G6O71TAJT", "PABLO JAVIER IÑIGO GIL")</f>
        <v>PABLO JAVIER IÑIGO GIL</v>
      </c>
      <c r="B4214" s="7" t="str">
        <f t="shared" si="190"/>
        <v>ES</v>
      </c>
      <c r="C4214" s="8" t="s">
        <v>39</v>
      </c>
      <c r="D4214" s="9" t="str">
        <f t="shared" si="191"/>
        <v>LUP - VAE Póster Adelphi - Nefro</v>
      </c>
      <c r="E4214" s="10" t="str">
        <f>HYPERLINK("https://otsuka-europe-crm.veevavault.com/ui/#object/sent_email__v/VBL000000037132", "SE-001443707")</f>
        <v>SE-001443707</v>
      </c>
      <c r="F4214" s="11"/>
      <c r="G4214" s="12">
        <v>0</v>
      </c>
      <c r="H4214" s="12">
        <v>0</v>
      </c>
      <c r="I4214" s="12">
        <v>0</v>
      </c>
      <c r="J4214" s="11"/>
      <c r="K4214" s="12">
        <v>0</v>
      </c>
      <c r="L4214" s="10" t="str">
        <f t="shared" si="192"/>
        <v>LUP - VAE Póster Adelphi - Nefro</v>
      </c>
      <c r="M4214" s="10" t="str">
        <f t="shared" si="193"/>
        <v>gsammali@crm.otsuka-europe.com</v>
      </c>
      <c r="N4214" s="13">
        <v>46216.433113425926</v>
      </c>
      <c r="O4214" s="14" t="str">
        <f>HYPERLINK("https://otsuka-europe-crm.veevavault.com/ui/#object/email_activity__v/V8C00000004A203", "EN-002105303")</f>
        <v>EN-002105303</v>
      </c>
    </row>
    <row r="4215" spans="1:15" ht="32" x14ac:dyDescent="0.2">
      <c r="A4215" s="7" t="str">
        <f>HYPERLINK("https://otsuka-europe-crm.veevavault.com/ui/#object/account__v/V4TZ06G6O71T9UY", "XAVIER FULLADOSA OLIVERAS")</f>
        <v>XAVIER FULLADOSA OLIVERAS</v>
      </c>
      <c r="B4215" s="7" t="str">
        <f t="shared" si="190"/>
        <v>ES</v>
      </c>
      <c r="C4215" s="8" t="s">
        <v>39</v>
      </c>
      <c r="D4215" s="9" t="str">
        <f t="shared" si="191"/>
        <v>LUP - VAE Póster Adelphi - Nefro</v>
      </c>
      <c r="E4215" s="10" t="str">
        <f>HYPERLINK("https://otsuka-europe-crm.veevavault.com/ui/#object/sent_email__v/VBL000000037133", "SE-001443708")</f>
        <v>SE-001443708</v>
      </c>
      <c r="F4215" s="11"/>
      <c r="G4215" s="12">
        <v>0</v>
      </c>
      <c r="H4215" s="12">
        <v>0</v>
      </c>
      <c r="I4215" s="12">
        <v>0</v>
      </c>
      <c r="J4215" s="11"/>
      <c r="K4215" s="12">
        <v>0</v>
      </c>
      <c r="L4215" s="10" t="str">
        <f t="shared" si="192"/>
        <v>LUP - VAE Póster Adelphi - Nefro</v>
      </c>
      <c r="M4215" s="10" t="str">
        <f t="shared" si="193"/>
        <v>gsammali@crm.otsuka-europe.com</v>
      </c>
      <c r="N4215" s="13">
        <v>46216.433113425926</v>
      </c>
      <c r="O4215" s="14" t="str">
        <f>HYPERLINK("https://otsuka-europe-crm.veevavault.com/ui/#object/email_activity__v/V8C00000004A176", "EN-002105276")</f>
        <v>EN-002105276</v>
      </c>
    </row>
    <row r="4216" spans="1:15" ht="32" x14ac:dyDescent="0.2">
      <c r="A4216" s="7" t="str">
        <f>HYPERLINK("https://otsuka-europe-crm.veevavault.com/ui/#object/account__v/V4TZ06G6O71T8PH", "CARINA RODRIGUEZ LUQUE")</f>
        <v>CARINA RODRIGUEZ LUQUE</v>
      </c>
      <c r="B4216" s="7" t="str">
        <f t="shared" si="190"/>
        <v>ES</v>
      </c>
      <c r="C4216" s="8" t="s">
        <v>39</v>
      </c>
      <c r="D4216" s="9" t="str">
        <f t="shared" si="191"/>
        <v>LUP - VAE Póster Adelphi - Nefro</v>
      </c>
      <c r="E4216" s="10" t="str">
        <f>HYPERLINK("https://otsuka-europe-crm.veevavault.com/ui/#object/sent_email__v/VBL000000037134", "SE-001443709")</f>
        <v>SE-001443709</v>
      </c>
      <c r="F4216" s="11"/>
      <c r="G4216" s="12">
        <v>0</v>
      </c>
      <c r="H4216" s="12">
        <v>0</v>
      </c>
      <c r="I4216" s="12">
        <v>0</v>
      </c>
      <c r="J4216" s="11"/>
      <c r="K4216" s="12">
        <v>0</v>
      </c>
      <c r="L4216" s="10" t="str">
        <f t="shared" si="192"/>
        <v>LUP - VAE Póster Adelphi - Nefro</v>
      </c>
      <c r="M4216" s="10" t="str">
        <f t="shared" si="193"/>
        <v>gsammali@crm.otsuka-europe.com</v>
      </c>
      <c r="N4216" s="13">
        <v>46216.433113425926</v>
      </c>
      <c r="O4216" s="14" t="str">
        <f>HYPERLINK("https://otsuka-europe-crm.veevavault.com/ui/#object/email_activity__v/V8C00000004A161", "EN-002105255")</f>
        <v>EN-002105255</v>
      </c>
    </row>
    <row r="4217" spans="1:15" ht="16" x14ac:dyDescent="0.2">
      <c r="A4217" s="18" t="str">
        <f>HYPERLINK("https://otsuka-europe-crm.veevavault.com/ui/#object/account__v/V4TZ06G6O71T7QP", "CAROLA ARCAL CUNILLERA")</f>
        <v>CAROLA ARCAL CUNILLERA</v>
      </c>
      <c r="B4217" s="18" t="str">
        <f t="shared" si="190"/>
        <v>ES</v>
      </c>
      <c r="C4217" s="20" t="s">
        <v>39</v>
      </c>
      <c r="D4217" s="21" t="str">
        <f t="shared" si="191"/>
        <v>LUP - VAE Póster Adelphi - Nefro</v>
      </c>
      <c r="E4217" s="22" t="str">
        <f>HYPERLINK("https://otsuka-europe-crm.veevavault.com/ui/#object/sent_email__v/VBL000000037135", "SE-001443710")</f>
        <v>SE-001443710</v>
      </c>
      <c r="F4217" s="25">
        <v>46216.440185185187</v>
      </c>
      <c r="G4217" s="24">
        <v>1</v>
      </c>
      <c r="H4217" s="24">
        <v>1</v>
      </c>
      <c r="I4217" s="24">
        <v>1</v>
      </c>
      <c r="J4217" s="25">
        <v>46216.440196759257</v>
      </c>
      <c r="K4217" s="24">
        <v>2</v>
      </c>
      <c r="L4217" s="22" t="str">
        <f t="shared" si="192"/>
        <v>LUP - VAE Póster Adelphi - Nefro</v>
      </c>
      <c r="M4217" s="22" t="str">
        <f t="shared" si="193"/>
        <v>gsammali@crm.otsuka-europe.com</v>
      </c>
      <c r="N4217" s="25">
        <v>46216.433113425926</v>
      </c>
      <c r="O4217" s="14" t="str">
        <f>HYPERLINK("https://otsuka-europe-crm.veevavault.com/ui/#object/email_activity__v/V8C000000049254", "EN-002105341")</f>
        <v>EN-002105341</v>
      </c>
    </row>
    <row r="4218" spans="1:15" ht="16" x14ac:dyDescent="0.2">
      <c r="A4218" s="26"/>
      <c r="B4218" s="26"/>
      <c r="C4218" s="26"/>
      <c r="D4218" s="26"/>
      <c r="E4218" s="26"/>
      <c r="F4218" s="26"/>
      <c r="G4218" s="26"/>
      <c r="H4218" s="26"/>
      <c r="I4218" s="26"/>
      <c r="J4218" s="26"/>
      <c r="K4218" s="26"/>
      <c r="L4218" s="26"/>
      <c r="M4218" s="26"/>
      <c r="N4218" s="26"/>
      <c r="O4218" s="14" t="str">
        <f>HYPERLINK("https://otsuka-europe-crm.veevavault.com/ui/#object/email_activity__v/V8C000000049263", "EN-002105358")</f>
        <v>EN-002105358</v>
      </c>
    </row>
    <row r="4219" spans="1:15" ht="16" x14ac:dyDescent="0.2">
      <c r="A4219" s="26"/>
      <c r="B4219" s="26"/>
      <c r="C4219" s="26"/>
      <c r="D4219" s="26"/>
      <c r="E4219" s="26"/>
      <c r="F4219" s="26"/>
      <c r="G4219" s="26"/>
      <c r="H4219" s="26"/>
      <c r="I4219" s="26"/>
      <c r="J4219" s="26"/>
      <c r="K4219" s="26"/>
      <c r="L4219" s="26"/>
      <c r="M4219" s="26"/>
      <c r="N4219" s="26"/>
      <c r="O4219" s="14" t="str">
        <f>HYPERLINK("https://otsuka-europe-crm.veevavault.com/ui/#object/email_activity__v/V8C00000004A222", "EN-002105343")</f>
        <v>EN-002105343</v>
      </c>
    </row>
    <row r="4220" spans="1:15" ht="16" x14ac:dyDescent="0.2">
      <c r="A4220" s="19"/>
      <c r="B4220" s="19"/>
      <c r="C4220" s="19"/>
      <c r="D4220" s="19"/>
      <c r="E4220" s="19"/>
      <c r="F4220" s="19"/>
      <c r="G4220" s="19"/>
      <c r="H4220" s="19"/>
      <c r="I4220" s="19"/>
      <c r="J4220" s="19"/>
      <c r="K4220" s="19"/>
      <c r="L4220" s="19"/>
      <c r="M4220" s="19"/>
      <c r="N4220" s="19"/>
      <c r="O4220" s="14" t="str">
        <f>HYPERLINK("https://otsuka-europe-crm.veevavault.com/ui/#object/email_activity__v/V8C00000004A223", "EN-002105342")</f>
        <v>EN-002105342</v>
      </c>
    </row>
    <row r="4221" spans="1:15" ht="16" x14ac:dyDescent="0.2">
      <c r="A4221" s="18" t="str">
        <f>HYPERLINK("https://otsuka-europe-crm.veevavault.com/ui/#object/account__v/V4TZ04ASGABZIUJ", "MERITXELL SALLES LIZARZABURU")</f>
        <v>MERITXELL SALLES LIZARZABURU</v>
      </c>
      <c r="B4221" s="18" t="str">
        <f>HYPERLINK("https://otsuka-europe-crm.veevavault.com/ui/#object/vcountry__v/VENZ000004SONF5", "ES")</f>
        <v>ES</v>
      </c>
      <c r="C4221" s="20" t="s">
        <v>39</v>
      </c>
      <c r="D4221" s="21" t="str">
        <f>HYPERLINK("https://otsuka-europe-crm.veevavault.com/ui/#object/approved_document__v/V5O00000001B037", "LUP - VAE Póster Adelphi - Reuma")</f>
        <v>LUP - VAE Póster Adelphi - Reuma</v>
      </c>
      <c r="E4221" s="22" t="str">
        <f>HYPERLINK("https://otsuka-europe-crm.veevavault.com/ui/#object/sent_email__v/VBL000000038087", "SE-001443711")</f>
        <v>SE-001443711</v>
      </c>
      <c r="F4221" s="23"/>
      <c r="G4221" s="24">
        <v>0</v>
      </c>
      <c r="H4221" s="24">
        <v>0</v>
      </c>
      <c r="I4221" s="24">
        <v>0</v>
      </c>
      <c r="J4221" s="23"/>
      <c r="K4221" s="24">
        <v>0</v>
      </c>
      <c r="L4221" s="22" t="str">
        <f>HYPERLINK("https://otsuka-europe-crm.veevavault.com/ui/#object/approved_document__v/V5O00000001B037", "LUP - VAE Póster Adelphi - Reuma")</f>
        <v>LUP - VAE Póster Adelphi - Reuma</v>
      </c>
      <c r="M4221" s="22" t="str">
        <f>HYPERLINK("mailto:gsammali@crm.otsuka-europe.com", "gsammali@crm.otsuka-europe.com")</f>
        <v>gsammali@crm.otsuka-europe.com</v>
      </c>
      <c r="N4221" s="25">
        <v>46216.440289351849</v>
      </c>
      <c r="O4221" s="14" t="str">
        <f>HYPERLINK("https://otsuka-europe-crm.veevavault.com/ui/#object/email_activity__v/V8C000000049261", "EN-002105356")</f>
        <v>EN-002105356</v>
      </c>
    </row>
    <row r="4222" spans="1:15" ht="16" x14ac:dyDescent="0.2">
      <c r="A4222" s="19"/>
      <c r="B4222" s="19"/>
      <c r="C4222" s="19"/>
      <c r="D4222" s="19"/>
      <c r="E4222" s="19"/>
      <c r="F4222" s="19"/>
      <c r="G4222" s="19"/>
      <c r="H4222" s="19"/>
      <c r="I4222" s="19"/>
      <c r="J4222" s="19"/>
      <c r="K4222" s="19"/>
      <c r="L4222" s="19"/>
      <c r="M4222" s="19"/>
      <c r="N4222" s="19"/>
      <c r="O4222" s="14" t="str">
        <f>HYPERLINK("https://otsuka-europe-crm.veevavault.com/ui/#object/email_activity__v/V8C00000004A394", "EN-002105726")</f>
        <v>EN-002105726</v>
      </c>
    </row>
    <row r="4223" spans="1:15" ht="16" x14ac:dyDescent="0.2">
      <c r="A4223" s="18" t="str">
        <f>HYPERLINK("https://otsuka-europe-crm.veevavault.com/ui/#object/account__v/V4TZ04ASGCDJBDQ", "ELENA LEONOR SIRVENT ALIERTA")</f>
        <v>ELENA LEONOR SIRVENT ALIERTA</v>
      </c>
      <c r="B4223" s="18" t="str">
        <f>HYPERLINK("https://otsuka-europe-crm.veevavault.com/ui/#object/vcountry__v/VENZ000004SONF5", "ES")</f>
        <v>ES</v>
      </c>
      <c r="C4223" s="20" t="s">
        <v>39</v>
      </c>
      <c r="D4223" s="21" t="str">
        <f>HYPERLINK("https://otsuka-europe-crm.veevavault.com/ui/#object/approved_document__v/V5O00000001B037", "LUP - VAE Póster Adelphi - Reuma")</f>
        <v>LUP - VAE Póster Adelphi - Reuma</v>
      </c>
      <c r="E4223" s="22" t="str">
        <f>HYPERLINK("https://otsuka-europe-crm.veevavault.com/ui/#object/sent_email__v/VBL000000038088", "SE-001443712")</f>
        <v>SE-001443712</v>
      </c>
      <c r="F4223" s="25">
        <v>46216.440497685187</v>
      </c>
      <c r="G4223" s="24">
        <v>1</v>
      </c>
      <c r="H4223" s="24">
        <v>1</v>
      </c>
      <c r="I4223" s="24">
        <v>0</v>
      </c>
      <c r="J4223" s="23"/>
      <c r="K4223" s="24">
        <v>0</v>
      </c>
      <c r="L4223" s="22" t="str">
        <f>HYPERLINK("https://otsuka-europe-crm.veevavault.com/ui/#object/approved_document__v/V5O00000001B037", "LUP - VAE Póster Adelphi - Reuma")</f>
        <v>LUP - VAE Póster Adelphi - Reuma</v>
      </c>
      <c r="M4223" s="22" t="str">
        <f>HYPERLINK("mailto:gsammali@crm.otsuka-europe.com", "gsammali@crm.otsuka-europe.com")</f>
        <v>gsammali@crm.otsuka-europe.com</v>
      </c>
      <c r="N4223" s="25">
        <v>46216.440266203703</v>
      </c>
      <c r="O4223" s="14" t="str">
        <f>HYPERLINK("https://otsuka-europe-crm.veevavault.com/ui/#object/email_activity__v/V8C000000049262", "EN-002105357")</f>
        <v>EN-002105357</v>
      </c>
    </row>
    <row r="4224" spans="1:15" ht="16" x14ac:dyDescent="0.2">
      <c r="A4224" s="19"/>
      <c r="B4224" s="19"/>
      <c r="C4224" s="19"/>
      <c r="D4224" s="19"/>
      <c r="E4224" s="19"/>
      <c r="F4224" s="19"/>
      <c r="G4224" s="19"/>
      <c r="H4224" s="19"/>
      <c r="I4224" s="19"/>
      <c r="J4224" s="19"/>
      <c r="K4224" s="19"/>
      <c r="L4224" s="19"/>
      <c r="M4224" s="19"/>
      <c r="N4224" s="19"/>
      <c r="O4224" s="14" t="str">
        <f>HYPERLINK("https://otsuka-europe-crm.veevavault.com/ui/#object/email_activity__v/V8C000000049304", "EN-002105414")</f>
        <v>EN-002105414</v>
      </c>
    </row>
    <row r="4225" spans="1:15" ht="16" x14ac:dyDescent="0.2">
      <c r="A4225" s="18" t="str">
        <f>HYPERLINK("https://otsuka-europe-crm.veevavault.com/ui/#object/account__v/V4TZ06G6OB4F1KD", "FRANCISCO JAVIER NARVAEZ GARCIA")</f>
        <v>FRANCISCO JAVIER NARVAEZ GARCIA</v>
      </c>
      <c r="B4225" s="18" t="str">
        <f>HYPERLINK("https://otsuka-europe-crm.veevavault.com/ui/#object/vcountry__v/VENZ000004SONF5", "ES")</f>
        <v>ES</v>
      </c>
      <c r="C4225" s="20" t="s">
        <v>39</v>
      </c>
      <c r="D4225" s="21" t="str">
        <f>HYPERLINK("https://otsuka-europe-crm.veevavault.com/ui/#object/approved_document__v/V5O00000001B037", "LUP - VAE Póster Adelphi - Reuma")</f>
        <v>LUP - VAE Póster Adelphi - Reuma</v>
      </c>
      <c r="E4225" s="22" t="str">
        <f>HYPERLINK("https://otsuka-europe-crm.veevavault.com/ui/#object/sent_email__v/VBL000000038089", "SE-001443713")</f>
        <v>SE-001443713</v>
      </c>
      <c r="F4225" s="25">
        <v>46216.444571759261</v>
      </c>
      <c r="G4225" s="24">
        <v>1</v>
      </c>
      <c r="H4225" s="24">
        <v>1</v>
      </c>
      <c r="I4225" s="24">
        <v>1</v>
      </c>
      <c r="J4225" s="25">
        <v>46216.444571759261</v>
      </c>
      <c r="K4225" s="24">
        <v>1</v>
      </c>
      <c r="L4225" s="22" t="str">
        <f>HYPERLINK("https://otsuka-europe-crm.veevavault.com/ui/#object/approved_document__v/V5O00000001B037", "LUP - VAE Póster Adelphi - Reuma")</f>
        <v>LUP - VAE Póster Adelphi - Reuma</v>
      </c>
      <c r="M4225" s="22" t="str">
        <f>HYPERLINK("mailto:gsammali@crm.otsuka-europe.com", "gsammali@crm.otsuka-europe.com")</f>
        <v>gsammali@crm.otsuka-europe.com</v>
      </c>
      <c r="N4225" s="25">
        <v>46216.44023148148</v>
      </c>
      <c r="O4225" s="14" t="str">
        <f>HYPERLINK("https://otsuka-europe-crm.veevavault.com/ui/#object/email_activity__v/V8C000000049280", "EN-002105381")</f>
        <v>EN-002105381</v>
      </c>
    </row>
    <row r="4226" spans="1:15" ht="16" x14ac:dyDescent="0.2">
      <c r="A4226" s="26"/>
      <c r="B4226" s="26"/>
      <c r="C4226" s="26"/>
      <c r="D4226" s="26"/>
      <c r="E4226" s="26"/>
      <c r="F4226" s="26"/>
      <c r="G4226" s="26"/>
      <c r="H4226" s="26"/>
      <c r="I4226" s="26"/>
      <c r="J4226" s="26"/>
      <c r="K4226" s="26"/>
      <c r="L4226" s="26"/>
      <c r="M4226" s="26"/>
      <c r="N4226" s="26"/>
      <c r="O4226" s="14" t="str">
        <f>HYPERLINK("https://otsuka-europe-crm.veevavault.com/ui/#object/email_activity__v/V8C000000049332", "EN-002105474")</f>
        <v>EN-002105474</v>
      </c>
    </row>
    <row r="4227" spans="1:15" ht="16" x14ac:dyDescent="0.2">
      <c r="A4227" s="26"/>
      <c r="B4227" s="26"/>
      <c r="C4227" s="26"/>
      <c r="D4227" s="26"/>
      <c r="E4227" s="26"/>
      <c r="F4227" s="26"/>
      <c r="G4227" s="26"/>
      <c r="H4227" s="26"/>
      <c r="I4227" s="26"/>
      <c r="J4227" s="26"/>
      <c r="K4227" s="26"/>
      <c r="L4227" s="26"/>
      <c r="M4227" s="26"/>
      <c r="N4227" s="26"/>
      <c r="O4227" s="14" t="str">
        <f>HYPERLINK("https://otsuka-europe-crm.veevavault.com/ui/#object/email_activity__v/V8C000000049333", "EN-002105475")</f>
        <v>EN-002105475</v>
      </c>
    </row>
    <row r="4228" spans="1:15" ht="16" x14ac:dyDescent="0.2">
      <c r="A4228" s="26"/>
      <c r="B4228" s="26"/>
      <c r="C4228" s="26"/>
      <c r="D4228" s="26"/>
      <c r="E4228" s="26"/>
      <c r="F4228" s="26"/>
      <c r="G4228" s="26"/>
      <c r="H4228" s="26"/>
      <c r="I4228" s="26"/>
      <c r="J4228" s="26"/>
      <c r="K4228" s="26"/>
      <c r="L4228" s="26"/>
      <c r="M4228" s="26"/>
      <c r="N4228" s="26"/>
      <c r="O4228" s="14" t="str">
        <f>HYPERLINK("https://otsuka-europe-crm.veevavault.com/ui/#object/email_activity__v/V8C000000049337", "EN-002105479")</f>
        <v>EN-002105479</v>
      </c>
    </row>
    <row r="4229" spans="1:15" ht="16" x14ac:dyDescent="0.2">
      <c r="A4229" s="26"/>
      <c r="B4229" s="26"/>
      <c r="C4229" s="26"/>
      <c r="D4229" s="26"/>
      <c r="E4229" s="26"/>
      <c r="F4229" s="26"/>
      <c r="G4229" s="26"/>
      <c r="H4229" s="26"/>
      <c r="I4229" s="26"/>
      <c r="J4229" s="26"/>
      <c r="K4229" s="26"/>
      <c r="L4229" s="26"/>
      <c r="M4229" s="26"/>
      <c r="N4229" s="26"/>
      <c r="O4229" s="14" t="str">
        <f>HYPERLINK("https://otsuka-europe-crm.veevavault.com/ui/#object/email_activity__v/V8C00000004A260", "EN-002105449")</f>
        <v>EN-002105449</v>
      </c>
    </row>
    <row r="4230" spans="1:15" ht="16" x14ac:dyDescent="0.2">
      <c r="A4230" s="19"/>
      <c r="B4230" s="19"/>
      <c r="C4230" s="19"/>
      <c r="D4230" s="19"/>
      <c r="E4230" s="19"/>
      <c r="F4230" s="19"/>
      <c r="G4230" s="19"/>
      <c r="H4230" s="19"/>
      <c r="I4230" s="19"/>
      <c r="J4230" s="19"/>
      <c r="K4230" s="19"/>
      <c r="L4230" s="19"/>
      <c r="M4230" s="19"/>
      <c r="N4230" s="19"/>
      <c r="O4230" s="14" t="str">
        <f>HYPERLINK("https://otsuka-europe-crm.veevavault.com/ui/#object/email_activity__v/V8C00000004A261", "EN-002105448")</f>
        <v>EN-002105448</v>
      </c>
    </row>
    <row r="4231" spans="1:15" ht="32" x14ac:dyDescent="0.2">
      <c r="A4231" s="7" t="str">
        <f>HYPERLINK("https://otsuka-europe-crm.veevavault.com/ui/#object/account__v/V4TZ04ASG9MC2VK", "DELIA REINA SANZ")</f>
        <v>DELIA REINA SANZ</v>
      </c>
      <c r="B4231" s="7" t="str">
        <f>HYPERLINK("https://otsuka-europe-crm.veevavault.com/ui/#object/vcountry__v/VENZ000004SONF5", "ES")</f>
        <v>ES</v>
      </c>
      <c r="C4231" s="8" t="s">
        <v>39</v>
      </c>
      <c r="D4231" s="9" t="str">
        <f>HYPERLINK("https://otsuka-europe-crm.veevavault.com/ui/#object/approved_document__v/V5O00000001B037", "LUP - VAE Póster Adelphi - Reuma")</f>
        <v>LUP - VAE Póster Adelphi - Reuma</v>
      </c>
      <c r="E4231" s="10" t="str">
        <f>HYPERLINK("https://otsuka-europe-crm.veevavault.com/ui/#object/sent_email__v/VBL000000038090", "SE-001443714")</f>
        <v>SE-001443714</v>
      </c>
      <c r="F4231" s="11"/>
      <c r="G4231" s="12">
        <v>0</v>
      </c>
      <c r="H4231" s="12">
        <v>0</v>
      </c>
      <c r="I4231" s="12">
        <v>0</v>
      </c>
      <c r="J4231" s="11"/>
      <c r="K4231" s="12">
        <v>0</v>
      </c>
      <c r="L4231" s="10" t="str">
        <f>HYPERLINK("https://otsuka-europe-crm.veevavault.com/ui/#object/approved_document__v/V5O00000001B037", "LUP - VAE Póster Adelphi - Reuma")</f>
        <v>LUP - VAE Póster Adelphi - Reuma</v>
      </c>
      <c r="M4231" s="10" t="str">
        <f>HYPERLINK("mailto:gsammali@crm.otsuka-europe.com", "gsammali@crm.otsuka-europe.com")</f>
        <v>gsammali@crm.otsuka-europe.com</v>
      </c>
      <c r="N4231" s="13">
        <v>46216.440289351849</v>
      </c>
      <c r="O4231" s="14" t="str">
        <f>HYPERLINK("https://otsuka-europe-crm.veevavault.com/ui/#object/email_activity__v/V8C000000049266", "EN-002105365")</f>
        <v>EN-002105365</v>
      </c>
    </row>
    <row r="4232" spans="1:15" ht="32" x14ac:dyDescent="0.2">
      <c r="A4232" s="7" t="str">
        <f>HYPERLINK("https://otsuka-europe-crm.veevavault.com/ui/#object/account__v/V4TZ04ASG9M8EXK", "JUDIT FONT URGELLES")</f>
        <v>JUDIT FONT URGELLES</v>
      </c>
      <c r="B4232" s="7" t="str">
        <f>HYPERLINK("https://otsuka-europe-crm.veevavault.com/ui/#object/vcountry__v/VENZ000004SONF5", "ES")</f>
        <v>ES</v>
      </c>
      <c r="C4232" s="8" t="s">
        <v>39</v>
      </c>
      <c r="D4232" s="9" t="str">
        <f>HYPERLINK("https://otsuka-europe-crm.veevavault.com/ui/#object/approved_document__v/V5O00000001B037", "LUP - VAE Póster Adelphi - Reuma")</f>
        <v>LUP - VAE Póster Adelphi - Reuma</v>
      </c>
      <c r="E4232" s="10" t="str">
        <f>HYPERLINK("https://otsuka-europe-crm.veevavault.com/ui/#object/sent_email__v/VBL000000038091", "SE-001443715")</f>
        <v>SE-001443715</v>
      </c>
      <c r="F4232" s="11"/>
      <c r="G4232" s="12">
        <v>0</v>
      </c>
      <c r="H4232" s="12">
        <v>0</v>
      </c>
      <c r="I4232" s="12">
        <v>0</v>
      </c>
      <c r="J4232" s="11"/>
      <c r="K4232" s="12">
        <v>0</v>
      </c>
      <c r="L4232" s="10" t="str">
        <f>HYPERLINK("https://otsuka-europe-crm.veevavault.com/ui/#object/approved_document__v/V5O00000001B037", "LUP - VAE Póster Adelphi - Reuma")</f>
        <v>LUP - VAE Póster Adelphi - Reuma</v>
      </c>
      <c r="M4232" s="10" t="str">
        <f>HYPERLINK("mailto:gsammali@crm.otsuka-europe.com", "gsammali@crm.otsuka-europe.com")</f>
        <v>gsammali@crm.otsuka-europe.com</v>
      </c>
      <c r="N4232" s="13">
        <v>46216.440289351849</v>
      </c>
      <c r="O4232" s="14" t="str">
        <f>HYPERLINK("https://otsuka-europe-crm.veevavault.com/ui/#object/email_activity__v/V8C00000004A234", "EN-002105379")</f>
        <v>EN-002105379</v>
      </c>
    </row>
    <row r="4233" spans="1:15" ht="32" x14ac:dyDescent="0.2">
      <c r="A4233" s="7" t="str">
        <f>HYPERLINK("https://otsuka-europe-crm.veevavault.com/ui/#object/account__v/V4TZ04ASG9M8EVR", "IVETTE CASAFONT SOLE")</f>
        <v>IVETTE CASAFONT SOLE</v>
      </c>
      <c r="B4233" s="7" t="str">
        <f>HYPERLINK("https://otsuka-europe-crm.veevavault.com/ui/#object/vcountry__v/VENZ000004SONF5", "ES")</f>
        <v>ES</v>
      </c>
      <c r="C4233" s="8" t="s">
        <v>39</v>
      </c>
      <c r="D4233" s="9" t="str">
        <f>HYPERLINK("https://otsuka-europe-crm.veevavault.com/ui/#object/approved_document__v/V5O00000001B037", "LUP - VAE Póster Adelphi - Reuma")</f>
        <v>LUP - VAE Póster Adelphi - Reuma</v>
      </c>
      <c r="E4233" s="10" t="str">
        <f>HYPERLINK("https://otsuka-europe-crm.veevavault.com/ui/#object/sent_email__v/VBL000000038092", "SE-001443716")</f>
        <v>SE-001443716</v>
      </c>
      <c r="F4233" s="11"/>
      <c r="G4233" s="12">
        <v>0</v>
      </c>
      <c r="H4233" s="12">
        <v>0</v>
      </c>
      <c r="I4233" s="12">
        <v>0</v>
      </c>
      <c r="J4233" s="11"/>
      <c r="K4233" s="12">
        <v>0</v>
      </c>
      <c r="L4233" s="10" t="str">
        <f>HYPERLINK("https://otsuka-europe-crm.veevavault.com/ui/#object/approved_document__v/V5O00000001B037", "LUP - VAE Póster Adelphi - Reuma")</f>
        <v>LUP - VAE Póster Adelphi - Reuma</v>
      </c>
      <c r="M4233" s="10" t="str">
        <f>HYPERLINK("mailto:gsammali@crm.otsuka-europe.com", "gsammali@crm.otsuka-europe.com")</f>
        <v>gsammali@crm.otsuka-europe.com</v>
      </c>
      <c r="N4233" s="13">
        <v>46216.440289351849</v>
      </c>
      <c r="O4233" s="14" t="str">
        <f>HYPERLINK("https://otsuka-europe-crm.veevavault.com/ui/#object/email_activity__v/V8C00000004A235", "EN-002105380")</f>
        <v>EN-002105380</v>
      </c>
    </row>
    <row r="4234" spans="1:15" ht="16" x14ac:dyDescent="0.2">
      <c r="A4234" s="18" t="str">
        <f>HYPERLINK("https://otsuka-europe-crm.veevavault.com/ui/#object/account__v/V4TZ04ASGCDJCG0", "MARIA PILAR SANTO PANERO")</f>
        <v>MARIA PILAR SANTO PANERO</v>
      </c>
      <c r="B4234" s="18" t="str">
        <f>HYPERLINK("https://otsuka-europe-crm.veevavault.com/ui/#object/vcountry__v/VENZ000004SONF5", "ES")</f>
        <v>ES</v>
      </c>
      <c r="C4234" s="20" t="s">
        <v>39</v>
      </c>
      <c r="D4234" s="21" t="str">
        <f>HYPERLINK("https://otsuka-europe-crm.veevavault.com/ui/#object/approved_document__v/V5O00000001B037", "LUP - VAE Póster Adelphi - Reuma")</f>
        <v>LUP - VAE Póster Adelphi - Reuma</v>
      </c>
      <c r="E4234" s="22" t="str">
        <f>HYPERLINK("https://otsuka-europe-crm.veevavault.com/ui/#object/sent_email__v/VBL000000038093", "SE-001443717")</f>
        <v>SE-001443717</v>
      </c>
      <c r="F4234" s="25">
        <v>46216.449641203704</v>
      </c>
      <c r="G4234" s="24">
        <v>1</v>
      </c>
      <c r="H4234" s="24">
        <v>2</v>
      </c>
      <c r="I4234" s="24">
        <v>0</v>
      </c>
      <c r="J4234" s="23"/>
      <c r="K4234" s="24">
        <v>0</v>
      </c>
      <c r="L4234" s="22" t="str">
        <f>HYPERLINK("https://otsuka-europe-crm.veevavault.com/ui/#object/approved_document__v/V5O00000001B037", "LUP - VAE Póster Adelphi - Reuma")</f>
        <v>LUP - VAE Póster Adelphi - Reuma</v>
      </c>
      <c r="M4234" s="22" t="str">
        <f>HYPERLINK("mailto:gsammali@crm.otsuka-europe.com", "gsammali@crm.otsuka-europe.com")</f>
        <v>gsammali@crm.otsuka-europe.com</v>
      </c>
      <c r="N4234" s="25">
        <v>46216.440289351849</v>
      </c>
      <c r="O4234" s="14" t="str">
        <f>HYPERLINK("https://otsuka-europe-crm.veevavault.com/ui/#object/email_activity__v/V8C00000004A242", "EN-002105394")</f>
        <v>EN-002105394</v>
      </c>
    </row>
    <row r="4235" spans="1:15" ht="16" x14ac:dyDescent="0.2">
      <c r="A4235" s="26"/>
      <c r="B4235" s="26"/>
      <c r="C4235" s="26"/>
      <c r="D4235" s="26"/>
      <c r="E4235" s="26"/>
      <c r="F4235" s="26"/>
      <c r="G4235" s="26"/>
      <c r="H4235" s="26"/>
      <c r="I4235" s="26"/>
      <c r="J4235" s="26"/>
      <c r="K4235" s="26"/>
      <c r="L4235" s="26"/>
      <c r="M4235" s="26"/>
      <c r="N4235" s="26"/>
      <c r="O4235" s="14" t="str">
        <f>HYPERLINK("https://otsuka-europe-crm.veevavault.com/ui/#object/email_activity__v/V8C00000004A246", "EN-002105421")</f>
        <v>EN-002105421</v>
      </c>
    </row>
    <row r="4236" spans="1:15" ht="16" x14ac:dyDescent="0.2">
      <c r="A4236" s="19"/>
      <c r="B4236" s="19"/>
      <c r="C4236" s="19"/>
      <c r="D4236" s="19"/>
      <c r="E4236" s="19"/>
      <c r="F4236" s="19"/>
      <c r="G4236" s="19"/>
      <c r="H4236" s="19"/>
      <c r="I4236" s="19"/>
      <c r="J4236" s="19"/>
      <c r="K4236" s="19"/>
      <c r="L4236" s="19"/>
      <c r="M4236" s="19"/>
      <c r="N4236" s="19"/>
      <c r="O4236" s="14" t="str">
        <f>HYPERLINK("https://otsuka-europe-crm.veevavault.com/ui/#object/email_activity__v/V8C00000004A266", "EN-002105458")</f>
        <v>EN-002105458</v>
      </c>
    </row>
    <row r="4237" spans="1:15" ht="32" x14ac:dyDescent="0.2">
      <c r="A4237" s="7" t="str">
        <f>HYPERLINK("https://otsuka-europe-crm.veevavault.com/ui/#object/account__v/V4TZ04ASG9MH6QM", "LAURA FARRAN ORTEGA")</f>
        <v>LAURA FARRAN ORTEGA</v>
      </c>
      <c r="B4237" s="7" t="str">
        <f t="shared" ref="B4237:B4242" si="194">HYPERLINK("https://otsuka-europe-crm.veevavault.com/ui/#object/vcountry__v/VENZ000004SONF5", "ES")</f>
        <v>ES</v>
      </c>
      <c r="C4237" s="8" t="s">
        <v>39</v>
      </c>
      <c r="D4237" s="9" t="str">
        <f t="shared" ref="D4237:D4242" si="195">HYPERLINK("https://otsuka-europe-crm.veevavault.com/ui/#object/approved_document__v/V5O00000001B037", "LUP - VAE Póster Adelphi - Reuma")</f>
        <v>LUP - VAE Póster Adelphi - Reuma</v>
      </c>
      <c r="E4237" s="10" t="str">
        <f>HYPERLINK("https://otsuka-europe-crm.veevavault.com/ui/#object/sent_email__v/VBL000000038094", "SE-001443718")</f>
        <v>SE-001443718</v>
      </c>
      <c r="F4237" s="11"/>
      <c r="G4237" s="12">
        <v>0</v>
      </c>
      <c r="H4237" s="12">
        <v>0</v>
      </c>
      <c r="I4237" s="12">
        <v>0</v>
      </c>
      <c r="J4237" s="11"/>
      <c r="K4237" s="12">
        <v>0</v>
      </c>
      <c r="L4237" s="10" t="str">
        <f t="shared" ref="L4237:L4242" si="196">HYPERLINK("https://otsuka-europe-crm.veevavault.com/ui/#object/approved_document__v/V5O00000001B037", "LUP - VAE Póster Adelphi - Reuma")</f>
        <v>LUP - VAE Póster Adelphi - Reuma</v>
      </c>
      <c r="M4237" s="10" t="str">
        <f t="shared" ref="M4237:M4242" si="197">HYPERLINK("mailto:gsammali@crm.otsuka-europe.com", "gsammali@crm.otsuka-europe.com")</f>
        <v>gsammali@crm.otsuka-europe.com</v>
      </c>
      <c r="N4237" s="13">
        <v>46216.440289351849</v>
      </c>
      <c r="O4237" s="14" t="str">
        <f>HYPERLINK("https://otsuka-europe-crm.veevavault.com/ui/#object/email_activity__v/V8C000000049283", "EN-002105387")</f>
        <v>EN-002105387</v>
      </c>
    </row>
    <row r="4238" spans="1:15" ht="32" x14ac:dyDescent="0.2">
      <c r="A4238" s="7" t="str">
        <f>HYPERLINK("https://otsuka-europe-crm.veevavault.com/ui/#object/account__v/V4TZ04ASGAP2D65", "MARIA MARTA BIANCHI")</f>
        <v>MARIA MARTA BIANCHI</v>
      </c>
      <c r="B4238" s="7" t="str">
        <f t="shared" si="194"/>
        <v>ES</v>
      </c>
      <c r="C4238" s="8" t="s">
        <v>39</v>
      </c>
      <c r="D4238" s="9" t="str">
        <f t="shared" si="195"/>
        <v>LUP - VAE Póster Adelphi - Reuma</v>
      </c>
      <c r="E4238" s="10" t="str">
        <f>HYPERLINK("https://otsuka-europe-crm.veevavault.com/ui/#object/sent_email__v/VBL000000038095", "SE-001443719")</f>
        <v>SE-001443719</v>
      </c>
      <c r="F4238" s="11"/>
      <c r="G4238" s="12">
        <v>0</v>
      </c>
      <c r="H4238" s="12">
        <v>0</v>
      </c>
      <c r="I4238" s="12">
        <v>0</v>
      </c>
      <c r="J4238" s="11"/>
      <c r="K4238" s="12">
        <v>0</v>
      </c>
      <c r="L4238" s="10" t="str">
        <f t="shared" si="196"/>
        <v>LUP - VAE Póster Adelphi - Reuma</v>
      </c>
      <c r="M4238" s="10" t="str">
        <f t="shared" si="197"/>
        <v>gsammali@crm.otsuka-europe.com</v>
      </c>
      <c r="N4238" s="13">
        <v>46216.440289351849</v>
      </c>
      <c r="O4238" s="14" t="str">
        <f>HYPERLINK("https://otsuka-europe-crm.veevavault.com/ui/#object/email_activity__v/V8C00000004A239", "EN-002105391")</f>
        <v>EN-002105391</v>
      </c>
    </row>
    <row r="4239" spans="1:15" ht="32" x14ac:dyDescent="0.2">
      <c r="A4239" s="7" t="str">
        <f>HYPERLINK("https://otsuka-europe-crm.veevavault.com/ui/#object/account__v/V4TZ06G6O9VLJHY", "ANNE MARGARET RIVEROS FRUTOS")</f>
        <v>ANNE MARGARET RIVEROS FRUTOS</v>
      </c>
      <c r="B4239" s="7" t="str">
        <f t="shared" si="194"/>
        <v>ES</v>
      </c>
      <c r="C4239" s="8" t="s">
        <v>39</v>
      </c>
      <c r="D4239" s="9" t="str">
        <f t="shared" si="195"/>
        <v>LUP - VAE Póster Adelphi - Reuma</v>
      </c>
      <c r="E4239" s="10" t="str">
        <f>HYPERLINK("https://otsuka-europe-crm.veevavault.com/ui/#object/sent_email__v/VBL000000038096", "SE-001443720")</f>
        <v>SE-001443720</v>
      </c>
      <c r="F4239" s="11"/>
      <c r="G4239" s="12">
        <v>0</v>
      </c>
      <c r="H4239" s="12">
        <v>0</v>
      </c>
      <c r="I4239" s="12">
        <v>0</v>
      </c>
      <c r="J4239" s="11"/>
      <c r="K4239" s="12">
        <v>0</v>
      </c>
      <c r="L4239" s="10" t="str">
        <f t="shared" si="196"/>
        <v>LUP - VAE Póster Adelphi - Reuma</v>
      </c>
      <c r="M4239" s="10" t="str">
        <f t="shared" si="197"/>
        <v>gsammali@crm.otsuka-europe.com</v>
      </c>
      <c r="N4239" s="13">
        <v>46216.440266203703</v>
      </c>
      <c r="O4239" s="14" t="str">
        <f>HYPERLINK("https://otsuka-europe-crm.veevavault.com/ui/#object/email_activity__v/V8C00000004A227", "EN-002105347")</f>
        <v>EN-002105347</v>
      </c>
    </row>
    <row r="4240" spans="1:15" ht="32" x14ac:dyDescent="0.2">
      <c r="A4240" s="7" t="str">
        <f>HYPERLINK("https://otsuka-europe-crm.veevavault.com/ui/#object/account__v/V4TZ04ASG79T6ME", "LOURDES MATEO SORIA")</f>
        <v>LOURDES MATEO SORIA</v>
      </c>
      <c r="B4240" s="7" t="str">
        <f t="shared" si="194"/>
        <v>ES</v>
      </c>
      <c r="C4240" s="8" t="s">
        <v>39</v>
      </c>
      <c r="D4240" s="9" t="str">
        <f t="shared" si="195"/>
        <v>LUP - VAE Póster Adelphi - Reuma</v>
      </c>
      <c r="E4240" s="10" t="str">
        <f>HYPERLINK("https://otsuka-europe-crm.veevavault.com/ui/#object/sent_email__v/VBL000000038097", "SE-001443721")</f>
        <v>SE-001443721</v>
      </c>
      <c r="F4240" s="11"/>
      <c r="G4240" s="12">
        <v>0</v>
      </c>
      <c r="H4240" s="12">
        <v>0</v>
      </c>
      <c r="I4240" s="12">
        <v>0</v>
      </c>
      <c r="J4240" s="11"/>
      <c r="K4240" s="12">
        <v>0</v>
      </c>
      <c r="L4240" s="10" t="str">
        <f t="shared" si="196"/>
        <v>LUP - VAE Póster Adelphi - Reuma</v>
      </c>
      <c r="M4240" s="10" t="str">
        <f t="shared" si="197"/>
        <v>gsammali@crm.otsuka-europe.com</v>
      </c>
      <c r="N4240" s="13">
        <v>46216.440266203703</v>
      </c>
      <c r="O4240" s="14" t="str">
        <f>HYPERLINK("https://otsuka-europe-crm.veevavault.com/ui/#object/email_activity__v/V8C00000004A228", "EN-002105348")</f>
        <v>EN-002105348</v>
      </c>
    </row>
    <row r="4241" spans="1:15" ht="32" x14ac:dyDescent="0.2">
      <c r="A4241" s="7" t="str">
        <f>HYPERLINK("https://otsuka-europe-crm.veevavault.com/ui/#object/account__v/V4TZ04ASGB9IGTL", "JORDI GRATACOS MASMITJA")</f>
        <v>JORDI GRATACOS MASMITJA</v>
      </c>
      <c r="B4241" s="7" t="str">
        <f t="shared" si="194"/>
        <v>ES</v>
      </c>
      <c r="C4241" s="8" t="s">
        <v>39</v>
      </c>
      <c r="D4241" s="9" t="str">
        <f t="shared" si="195"/>
        <v>LUP - VAE Póster Adelphi - Reuma</v>
      </c>
      <c r="E4241" s="10" t="str">
        <f>HYPERLINK("https://otsuka-europe-crm.veevavault.com/ui/#object/sent_email__v/VBL000000038098", "SE-001443722")</f>
        <v>SE-001443722</v>
      </c>
      <c r="F4241" s="11"/>
      <c r="G4241" s="12">
        <v>0</v>
      </c>
      <c r="H4241" s="12">
        <v>0</v>
      </c>
      <c r="I4241" s="12">
        <v>0</v>
      </c>
      <c r="J4241" s="11"/>
      <c r="K4241" s="12">
        <v>0</v>
      </c>
      <c r="L4241" s="10" t="str">
        <f t="shared" si="196"/>
        <v>LUP - VAE Póster Adelphi - Reuma</v>
      </c>
      <c r="M4241" s="10" t="str">
        <f t="shared" si="197"/>
        <v>gsammali@crm.otsuka-europe.com</v>
      </c>
      <c r="N4241" s="13">
        <v>46216.440289351849</v>
      </c>
      <c r="O4241" s="14" t="str">
        <f>HYPERLINK("https://otsuka-europe-crm.veevavault.com/ui/#object/email_activity__v/V8C000000049257", "EN-002105352")</f>
        <v>EN-002105352</v>
      </c>
    </row>
    <row r="4242" spans="1:15" ht="16" x14ac:dyDescent="0.2">
      <c r="A4242" s="18" t="str">
        <f>HYPERLINK("https://otsuka-europe-crm.veevavault.com/ui/#object/account__v/V4TZ025E84CL45I", "SERGIO ORDOÑEZ PALAU")</f>
        <v>SERGIO ORDOÑEZ PALAU</v>
      </c>
      <c r="B4242" s="18" t="str">
        <f t="shared" si="194"/>
        <v>ES</v>
      </c>
      <c r="C4242" s="20" t="s">
        <v>39</v>
      </c>
      <c r="D4242" s="21" t="str">
        <f t="shared" si="195"/>
        <v>LUP - VAE Póster Adelphi - Reuma</v>
      </c>
      <c r="E4242" s="22" t="str">
        <f>HYPERLINK("https://otsuka-europe-crm.veevavault.com/ui/#object/sent_email__v/VBL000000038099", "SE-001443723")</f>
        <v>SE-001443723</v>
      </c>
      <c r="F4242" s="23"/>
      <c r="G4242" s="24">
        <v>0</v>
      </c>
      <c r="H4242" s="24">
        <v>0</v>
      </c>
      <c r="I4242" s="24">
        <v>0</v>
      </c>
      <c r="J4242" s="23"/>
      <c r="K4242" s="24">
        <v>0</v>
      </c>
      <c r="L4242" s="22" t="str">
        <f t="shared" si="196"/>
        <v>LUP - VAE Póster Adelphi - Reuma</v>
      </c>
      <c r="M4242" s="22" t="str">
        <f t="shared" si="197"/>
        <v>gsammali@crm.otsuka-europe.com</v>
      </c>
      <c r="N4242" s="25">
        <v>46216.44027777778</v>
      </c>
      <c r="O4242" s="14" t="str">
        <f>HYPERLINK("https://otsuka-europe-crm.veevavault.com/ui/#object/email_activity__v/V8C000000049259", "EN-002105354")</f>
        <v>EN-002105354</v>
      </c>
    </row>
    <row r="4243" spans="1:15" ht="16" x14ac:dyDescent="0.2">
      <c r="A4243" s="19"/>
      <c r="B4243" s="19"/>
      <c r="C4243" s="19"/>
      <c r="D4243" s="19"/>
      <c r="E4243" s="19"/>
      <c r="F4243" s="19"/>
      <c r="G4243" s="19"/>
      <c r="H4243" s="19"/>
      <c r="I4243" s="19"/>
      <c r="J4243" s="19"/>
      <c r="K4243" s="19"/>
      <c r="L4243" s="19"/>
      <c r="M4243" s="19"/>
      <c r="N4243" s="19"/>
      <c r="O4243" s="14" t="str">
        <f>HYPERLINK("https://otsuka-europe-crm.veevavault.com/ui/#object/email_activity__v/V8C00000004A294", "EN-002105516")</f>
        <v>EN-002105516</v>
      </c>
    </row>
    <row r="4244" spans="1:15" ht="16" x14ac:dyDescent="0.2">
      <c r="A4244" s="18" t="str">
        <f>HYPERLINK("https://otsuka-europe-crm.veevavault.com/ui/#object/account__v/V4TZ04ASGAP1UYL", "MARIA CARMEN GARCIA GOMEZ")</f>
        <v>MARIA CARMEN GARCIA GOMEZ</v>
      </c>
      <c r="B4244" s="18" t="str">
        <f>HYPERLINK("https://otsuka-europe-crm.veevavault.com/ui/#object/vcountry__v/VENZ000004SONF5", "ES")</f>
        <v>ES</v>
      </c>
      <c r="C4244" s="20" t="s">
        <v>39</v>
      </c>
      <c r="D4244" s="21" t="str">
        <f>HYPERLINK("https://otsuka-europe-crm.veevavault.com/ui/#object/approved_document__v/V5O00000001B037", "LUP - VAE Póster Adelphi - Reuma")</f>
        <v>LUP - VAE Póster Adelphi - Reuma</v>
      </c>
      <c r="E4244" s="22" t="str">
        <f>HYPERLINK("https://otsuka-europe-crm.veevavault.com/ui/#object/sent_email__v/VBL000000038100", "SE-001443724")</f>
        <v>SE-001443724</v>
      </c>
      <c r="F4244" s="25">
        <v>46216.440405092595</v>
      </c>
      <c r="G4244" s="24">
        <v>1</v>
      </c>
      <c r="H4244" s="24">
        <v>1</v>
      </c>
      <c r="I4244" s="24">
        <v>0</v>
      </c>
      <c r="J4244" s="23"/>
      <c r="K4244" s="24">
        <v>0</v>
      </c>
      <c r="L4244" s="22" t="str">
        <f>HYPERLINK("https://otsuka-europe-crm.veevavault.com/ui/#object/approved_document__v/V5O00000001B037", "LUP - VAE Póster Adelphi - Reuma")</f>
        <v>LUP - VAE Póster Adelphi - Reuma</v>
      </c>
      <c r="M4244" s="22" t="str">
        <f>HYPERLINK("mailto:gsammali@crm.otsuka-europe.com", "gsammali@crm.otsuka-europe.com")</f>
        <v>gsammali@crm.otsuka-europe.com</v>
      </c>
      <c r="N4244" s="25">
        <v>46216.440266203703</v>
      </c>
      <c r="O4244" s="14" t="str">
        <f>HYPERLINK("https://otsuka-europe-crm.veevavault.com/ui/#object/email_activity__v/V8C000000049282", "EN-002105386")</f>
        <v>EN-002105386</v>
      </c>
    </row>
    <row r="4245" spans="1:15" ht="16" x14ac:dyDescent="0.2">
      <c r="A4245" s="19"/>
      <c r="B4245" s="19"/>
      <c r="C4245" s="19"/>
      <c r="D4245" s="19"/>
      <c r="E4245" s="19"/>
      <c r="F4245" s="19"/>
      <c r="G4245" s="19"/>
      <c r="H4245" s="19"/>
      <c r="I4245" s="19"/>
      <c r="J4245" s="19"/>
      <c r="K4245" s="19"/>
      <c r="L4245" s="19"/>
      <c r="M4245" s="19"/>
      <c r="N4245" s="19"/>
      <c r="O4245" s="14" t="str">
        <f>HYPERLINK("https://otsuka-europe-crm.veevavault.com/ui/#object/email_activity__v/V8C00000004A229", "EN-002105349")</f>
        <v>EN-002105349</v>
      </c>
    </row>
    <row r="4246" spans="1:15" ht="32" x14ac:dyDescent="0.2">
      <c r="A4246" s="7" t="str">
        <f>HYPERLINK("https://otsuka-europe-crm.veevavault.com/ui/#object/account__v/V4TZ025E83P7WIE", "ELENA RIERA ALONSO")</f>
        <v>ELENA RIERA ALONSO</v>
      </c>
      <c r="B4246" s="7" t="str">
        <f>HYPERLINK("https://otsuka-europe-crm.veevavault.com/ui/#object/vcountry__v/VENZ000004SONF5", "ES")</f>
        <v>ES</v>
      </c>
      <c r="C4246" s="8" t="s">
        <v>39</v>
      </c>
      <c r="D4246" s="9" t="str">
        <f>HYPERLINK("https://otsuka-europe-crm.veevavault.com/ui/#object/approved_document__v/V5O00000001B037", "LUP - VAE Póster Adelphi - Reuma")</f>
        <v>LUP - VAE Póster Adelphi - Reuma</v>
      </c>
      <c r="E4246" s="10" t="str">
        <f>HYPERLINK("https://otsuka-europe-crm.veevavault.com/ui/#object/sent_email__v/VBL000000038101", "SE-001443725")</f>
        <v>SE-001443725</v>
      </c>
      <c r="F4246" s="11"/>
      <c r="G4246" s="12">
        <v>0</v>
      </c>
      <c r="H4246" s="12">
        <v>0</v>
      </c>
      <c r="I4246" s="12">
        <v>0</v>
      </c>
      <c r="J4246" s="11"/>
      <c r="K4246" s="12">
        <v>0</v>
      </c>
      <c r="L4246" s="10" t="str">
        <f>HYPERLINK("https://otsuka-europe-crm.veevavault.com/ui/#object/approved_document__v/V5O00000001B037", "LUP - VAE Póster Adelphi - Reuma")</f>
        <v>LUP - VAE Póster Adelphi - Reuma</v>
      </c>
      <c r="M4246" s="10" t="str">
        <f>HYPERLINK("mailto:gsammali@crm.otsuka-europe.com", "gsammali@crm.otsuka-europe.com")</f>
        <v>gsammali@crm.otsuka-europe.com</v>
      </c>
      <c r="N4246" s="13">
        <v>46216.44023148148</v>
      </c>
      <c r="O4246" s="14" t="str">
        <f>HYPERLINK("https://otsuka-europe-crm.veevavault.com/ui/#object/email_activity__v/V8C00000004A226", "EN-002105346")</f>
        <v>EN-002105346</v>
      </c>
    </row>
    <row r="4247" spans="1:15" ht="16" x14ac:dyDescent="0.2">
      <c r="A4247" s="18" t="str">
        <f>HYPERLINK("https://otsuka-europe-crm.veevavault.com/ui/#object/account__v/V4TZ025E82A6L2I", "JOSEP ORIOL CODINA GUINO")</f>
        <v>JOSEP ORIOL CODINA GUINO</v>
      </c>
      <c r="B4247" s="18" t="str">
        <f>HYPERLINK("https://otsuka-europe-crm.veevavault.com/ui/#object/vcountry__v/VENZ000004SONF5", "ES")</f>
        <v>ES</v>
      </c>
      <c r="C4247" s="20" t="s">
        <v>39</v>
      </c>
      <c r="D4247" s="21" t="str">
        <f>HYPERLINK("https://otsuka-europe-crm.veevavault.com/ui/#object/approved_document__v/V5O00000001B037", "LUP - VAE Póster Adelphi - Reuma")</f>
        <v>LUP - VAE Póster Adelphi - Reuma</v>
      </c>
      <c r="E4247" s="22" t="str">
        <f>HYPERLINK("https://otsuka-europe-crm.veevavault.com/ui/#object/sent_email__v/VBL000000038102", "SE-001443726")</f>
        <v>SE-001443726</v>
      </c>
      <c r="F4247" s="23"/>
      <c r="G4247" s="24">
        <v>0</v>
      </c>
      <c r="H4247" s="24">
        <v>0</v>
      </c>
      <c r="I4247" s="24">
        <v>0</v>
      </c>
      <c r="J4247" s="23"/>
      <c r="K4247" s="24">
        <v>0</v>
      </c>
      <c r="L4247" s="22" t="str">
        <f>HYPERLINK("https://otsuka-europe-crm.veevavault.com/ui/#object/approved_document__v/V5O00000001B037", "LUP - VAE Póster Adelphi - Reuma")</f>
        <v>LUP - VAE Póster Adelphi - Reuma</v>
      </c>
      <c r="M4247" s="22" t="str">
        <f>HYPERLINK("mailto:gsammali@crm.otsuka-europe.com", "gsammali@crm.otsuka-europe.com")</f>
        <v>gsammali@crm.otsuka-europe.com</v>
      </c>
      <c r="N4247" s="25">
        <v>46216.440266203703</v>
      </c>
      <c r="O4247" s="14" t="str">
        <f>HYPERLINK("https://otsuka-europe-crm.veevavault.com/ui/#object/email_activity__v/V8C00000004A238", "EN-002105384")</f>
        <v>EN-002105384</v>
      </c>
    </row>
    <row r="4248" spans="1:15" ht="16" x14ac:dyDescent="0.2">
      <c r="A4248" s="19"/>
      <c r="B4248" s="19"/>
      <c r="C4248" s="19"/>
      <c r="D4248" s="19"/>
      <c r="E4248" s="19"/>
      <c r="F4248" s="19"/>
      <c r="G4248" s="19"/>
      <c r="H4248" s="19"/>
      <c r="I4248" s="19"/>
      <c r="J4248" s="19"/>
      <c r="K4248" s="19"/>
      <c r="L4248" s="19"/>
      <c r="M4248" s="19"/>
      <c r="N4248" s="19"/>
      <c r="O4248" s="14" t="str">
        <f>HYPERLINK("https://otsuka-europe-crm.veevavault.com/ui/#object/email_activity__v/V8C00000004A410", "EN-002105749")</f>
        <v>EN-002105749</v>
      </c>
    </row>
    <row r="4249" spans="1:15" ht="16" x14ac:dyDescent="0.2">
      <c r="A4249" s="18" t="str">
        <f>HYPERLINK("https://otsuka-europe-crm.veevavault.com/ui/#object/account__v/V4TZ04ASG9MH522", "XAVIER GONZALEZ GIMENEZ")</f>
        <v>XAVIER GONZALEZ GIMENEZ</v>
      </c>
      <c r="B4249" s="18" t="str">
        <f>HYPERLINK("https://otsuka-europe-crm.veevavault.com/ui/#object/vcountry__v/VENZ000004SONF5", "ES")</f>
        <v>ES</v>
      </c>
      <c r="C4249" s="20" t="s">
        <v>39</v>
      </c>
      <c r="D4249" s="21" t="str">
        <f>HYPERLINK("https://otsuka-europe-crm.veevavault.com/ui/#object/approved_document__v/V5O00000001B037", "LUP - VAE Póster Adelphi - Reuma")</f>
        <v>LUP - VAE Póster Adelphi - Reuma</v>
      </c>
      <c r="E4249" s="22" t="str">
        <f>HYPERLINK("https://otsuka-europe-crm.veevavault.com/ui/#object/sent_email__v/VBL000000038103", "SE-001443727")</f>
        <v>SE-001443727</v>
      </c>
      <c r="F4249" s="25">
        <v>46216.586516203701</v>
      </c>
      <c r="G4249" s="24">
        <v>1</v>
      </c>
      <c r="H4249" s="24">
        <v>1</v>
      </c>
      <c r="I4249" s="24">
        <v>0</v>
      </c>
      <c r="J4249" s="23"/>
      <c r="K4249" s="24">
        <v>0</v>
      </c>
      <c r="L4249" s="22" t="str">
        <f>HYPERLINK("https://otsuka-europe-crm.veevavault.com/ui/#object/approved_document__v/V5O00000001B037", "LUP - VAE Póster Adelphi - Reuma")</f>
        <v>LUP - VAE Póster Adelphi - Reuma</v>
      </c>
      <c r="M4249" s="22" t="str">
        <f>HYPERLINK("mailto:gsammali@crm.otsuka-europe.com", "gsammali@crm.otsuka-europe.com")</f>
        <v>gsammali@crm.otsuka-europe.com</v>
      </c>
      <c r="N4249" s="25">
        <v>46216.440266203703</v>
      </c>
      <c r="O4249" s="14" t="str">
        <f>HYPERLINK("https://otsuka-europe-crm.veevavault.com/ui/#object/email_activity__v/V8C000000049270", "EN-002105369")</f>
        <v>EN-002105369</v>
      </c>
    </row>
    <row r="4250" spans="1:15" ht="16" x14ac:dyDescent="0.2">
      <c r="A4250" s="19"/>
      <c r="B4250" s="19"/>
      <c r="C4250" s="19"/>
      <c r="D4250" s="19"/>
      <c r="E4250" s="19"/>
      <c r="F4250" s="19"/>
      <c r="G4250" s="19"/>
      <c r="H4250" s="19"/>
      <c r="I4250" s="19"/>
      <c r="J4250" s="19"/>
      <c r="K4250" s="19"/>
      <c r="L4250" s="19"/>
      <c r="M4250" s="19"/>
      <c r="N4250" s="19"/>
      <c r="O4250" s="14" t="str">
        <f>HYPERLINK("https://otsuka-europe-crm.veevavault.com/ui/#object/email_activity__v/V8C00000004A295", "EN-002105517")</f>
        <v>EN-002105517</v>
      </c>
    </row>
    <row r="4251" spans="1:15" ht="32" x14ac:dyDescent="0.2">
      <c r="A4251" s="7" t="str">
        <f>HYPERLINK("https://otsuka-europe-crm.veevavault.com/ui/#object/account__v/V4TZ04ASGAVCU4P", "IRENE MARTIN ESTEVE")</f>
        <v>IRENE MARTIN ESTEVE</v>
      </c>
      <c r="B4251" s="7" t="str">
        <f>HYPERLINK("https://otsuka-europe-crm.veevavault.com/ui/#object/vcountry__v/VENZ000004SONF5", "ES")</f>
        <v>ES</v>
      </c>
      <c r="C4251" s="8" t="s">
        <v>39</v>
      </c>
      <c r="D4251" s="9" t="str">
        <f>HYPERLINK("https://otsuka-europe-crm.veevavault.com/ui/#object/approved_document__v/V5O00000001B037", "LUP - VAE Póster Adelphi - Reuma")</f>
        <v>LUP - VAE Póster Adelphi - Reuma</v>
      </c>
      <c r="E4251" s="10" t="str">
        <f>HYPERLINK("https://otsuka-europe-crm.veevavault.com/ui/#object/sent_email__v/VBL000000038104", "SE-001443728")</f>
        <v>SE-001443728</v>
      </c>
      <c r="F4251" s="11"/>
      <c r="G4251" s="12">
        <v>0</v>
      </c>
      <c r="H4251" s="12">
        <v>0</v>
      </c>
      <c r="I4251" s="12">
        <v>0</v>
      </c>
      <c r="J4251" s="11"/>
      <c r="K4251" s="12">
        <v>0</v>
      </c>
      <c r="L4251" s="10" t="str">
        <f>HYPERLINK("https://otsuka-europe-crm.veevavault.com/ui/#object/approved_document__v/V5O00000001B037", "LUP - VAE Póster Adelphi - Reuma")</f>
        <v>LUP - VAE Póster Adelphi - Reuma</v>
      </c>
      <c r="M4251" s="10" t="str">
        <f>HYPERLINK("mailto:gsammali@crm.otsuka-europe.com", "gsammali@crm.otsuka-europe.com")</f>
        <v>gsammali@crm.otsuka-europe.com</v>
      </c>
      <c r="N4251" s="13">
        <v>46216.440266203703</v>
      </c>
      <c r="O4251" s="14" t="str">
        <f>HYPERLINK("https://otsuka-europe-crm.veevavault.com/ui/#object/email_activity__v/V8C000000049258", "EN-002105353")</f>
        <v>EN-002105353</v>
      </c>
    </row>
    <row r="4252" spans="1:15" ht="32" x14ac:dyDescent="0.2">
      <c r="A4252" s="7" t="str">
        <f>HYPERLINK("https://otsuka-europe-crm.veevavault.com/ui/#object/account__v/V4TZ04ASGAVF4D4", "AGUSTI SELLAS FERNANDEZ")</f>
        <v>AGUSTI SELLAS FERNANDEZ</v>
      </c>
      <c r="B4252" s="7" t="str">
        <f>HYPERLINK("https://otsuka-europe-crm.veevavault.com/ui/#object/vcountry__v/VENZ000004SONF5", "ES")</f>
        <v>ES</v>
      </c>
      <c r="C4252" s="8" t="s">
        <v>39</v>
      </c>
      <c r="D4252" s="9" t="str">
        <f>HYPERLINK("https://otsuka-europe-crm.veevavault.com/ui/#object/approved_document__v/V5O00000001B037", "LUP - VAE Póster Adelphi - Reuma")</f>
        <v>LUP - VAE Póster Adelphi - Reuma</v>
      </c>
      <c r="E4252" s="10" t="str">
        <f>HYPERLINK("https://otsuka-europe-crm.veevavault.com/ui/#object/sent_email__v/VBL000000038105", "SE-001443729")</f>
        <v>SE-001443729</v>
      </c>
      <c r="F4252" s="11"/>
      <c r="G4252" s="12">
        <v>0</v>
      </c>
      <c r="H4252" s="12">
        <v>0</v>
      </c>
      <c r="I4252" s="12">
        <v>0</v>
      </c>
      <c r="J4252" s="11"/>
      <c r="K4252" s="12">
        <v>0</v>
      </c>
      <c r="L4252" s="10" t="str">
        <f>HYPERLINK("https://otsuka-europe-crm.veevavault.com/ui/#object/approved_document__v/V5O00000001B037", "LUP - VAE Póster Adelphi - Reuma")</f>
        <v>LUP - VAE Póster Adelphi - Reuma</v>
      </c>
      <c r="M4252" s="10" t="str">
        <f>HYPERLINK("mailto:gsammali@crm.otsuka-europe.com", "gsammali@crm.otsuka-europe.com")</f>
        <v>gsammali@crm.otsuka-europe.com</v>
      </c>
      <c r="N4252" s="13">
        <v>46216.440266203703</v>
      </c>
      <c r="O4252" s="14" t="str">
        <f>HYPERLINK("https://otsuka-europe-crm.veevavault.com/ui/#object/email_activity__v/V8C000000049256", "EN-002105351")</f>
        <v>EN-002105351</v>
      </c>
    </row>
    <row r="4253" spans="1:15" ht="32" x14ac:dyDescent="0.2">
      <c r="A4253" s="7" t="str">
        <f>HYPERLINK("https://otsuka-europe-crm.veevavault.com/ui/#object/account__v/V4TZ04ASG9MH4ZG", "EULALIA ARMENGOL PEREZ")</f>
        <v>EULALIA ARMENGOL PEREZ</v>
      </c>
      <c r="B4253" s="7" t="str">
        <f>HYPERLINK("https://otsuka-europe-crm.veevavault.com/ui/#object/vcountry__v/VENZ000004SONF5", "ES")</f>
        <v>ES</v>
      </c>
      <c r="C4253" s="8" t="s">
        <v>39</v>
      </c>
      <c r="D4253" s="9" t="str">
        <f>HYPERLINK("https://otsuka-europe-crm.veevavault.com/ui/#object/approved_document__v/V5O00000001B037", "LUP - VAE Póster Adelphi - Reuma")</f>
        <v>LUP - VAE Póster Adelphi - Reuma</v>
      </c>
      <c r="E4253" s="10" t="str">
        <f>HYPERLINK("https://otsuka-europe-crm.veevavault.com/ui/#object/sent_email__v/VBL000000038106", "SE-001443730")</f>
        <v>SE-001443730</v>
      </c>
      <c r="F4253" s="11"/>
      <c r="G4253" s="12">
        <v>0</v>
      </c>
      <c r="H4253" s="12">
        <v>0</v>
      </c>
      <c r="I4253" s="12">
        <v>0</v>
      </c>
      <c r="J4253" s="11"/>
      <c r="K4253" s="12">
        <v>0</v>
      </c>
      <c r="L4253" s="10" t="str">
        <f>HYPERLINK("https://otsuka-europe-crm.veevavault.com/ui/#object/approved_document__v/V5O00000001B037", "LUP - VAE Póster Adelphi - Reuma")</f>
        <v>LUP - VAE Póster Adelphi - Reuma</v>
      </c>
      <c r="M4253" s="10" t="str">
        <f>HYPERLINK("mailto:gsammali@crm.otsuka-europe.com", "gsammali@crm.otsuka-europe.com")</f>
        <v>gsammali@crm.otsuka-europe.com</v>
      </c>
      <c r="N4253" s="13">
        <v>46216.440266203703</v>
      </c>
      <c r="O4253" s="14" t="str">
        <f>HYPERLINK("https://otsuka-europe-crm.veevavault.com/ui/#object/email_activity__v/V8C000000049269", "EN-002105368")</f>
        <v>EN-002105368</v>
      </c>
    </row>
    <row r="4254" spans="1:15" ht="16" x14ac:dyDescent="0.2">
      <c r="A4254" s="18" t="str">
        <f>HYPERLINK("https://otsuka-europe-crm.veevavault.com/ui/#object/account__v/V4TZ04ASGB4TQAO", "SILVIA GARCIA CIRERA")</f>
        <v>SILVIA GARCIA CIRERA</v>
      </c>
      <c r="B4254" s="18" t="str">
        <f>HYPERLINK("https://otsuka-europe-crm.veevavault.com/ui/#object/vcountry__v/VENZ000004SONF5", "ES")</f>
        <v>ES</v>
      </c>
      <c r="C4254" s="20" t="s">
        <v>39</v>
      </c>
      <c r="D4254" s="21" t="str">
        <f>HYPERLINK("https://otsuka-europe-crm.veevavault.com/ui/#object/approved_document__v/V5O00000001B037", "LUP - VAE Póster Adelphi - Reuma")</f>
        <v>LUP - VAE Póster Adelphi - Reuma</v>
      </c>
      <c r="E4254" s="22" t="str">
        <f>HYPERLINK("https://otsuka-europe-crm.veevavault.com/ui/#object/sent_email__v/VBL000000038107", "SE-001443731")</f>
        <v>SE-001443731</v>
      </c>
      <c r="F4254" s="23"/>
      <c r="G4254" s="24">
        <v>0</v>
      </c>
      <c r="H4254" s="24">
        <v>0</v>
      </c>
      <c r="I4254" s="24">
        <v>0</v>
      </c>
      <c r="J4254" s="23"/>
      <c r="K4254" s="24">
        <v>0</v>
      </c>
      <c r="L4254" s="22" t="str">
        <f>HYPERLINK("https://otsuka-europe-crm.veevavault.com/ui/#object/approved_document__v/V5O00000001B037", "LUP - VAE Póster Adelphi - Reuma")</f>
        <v>LUP - VAE Póster Adelphi - Reuma</v>
      </c>
      <c r="M4254" s="22" t="str">
        <f>HYPERLINK("mailto:gsammali@crm.otsuka-europe.com", "gsammali@crm.otsuka-europe.com")</f>
        <v>gsammali@crm.otsuka-europe.com</v>
      </c>
      <c r="N4254" s="25">
        <v>46216.44027777778</v>
      </c>
      <c r="O4254" s="14" t="str">
        <f>HYPERLINK("https://otsuka-europe-crm.veevavault.com/ui/#object/email_activity__v/V8C000000049260", "EN-002105355")</f>
        <v>EN-002105355</v>
      </c>
    </row>
    <row r="4255" spans="1:15" ht="16" x14ac:dyDescent="0.2">
      <c r="A4255" s="19"/>
      <c r="B4255" s="19"/>
      <c r="C4255" s="19"/>
      <c r="D4255" s="19"/>
      <c r="E4255" s="19"/>
      <c r="F4255" s="19"/>
      <c r="G4255" s="19"/>
      <c r="H4255" s="19"/>
      <c r="I4255" s="19"/>
      <c r="J4255" s="19"/>
      <c r="K4255" s="19"/>
      <c r="L4255" s="19"/>
      <c r="M4255" s="19"/>
      <c r="N4255" s="19"/>
      <c r="O4255" s="14" t="str">
        <f>HYPERLINK("https://otsuka-europe-crm.veevavault.com/ui/#object/email_activity__v/V8C00000004C058", "EN-002106858")</f>
        <v>EN-002106858</v>
      </c>
    </row>
    <row r="4256" spans="1:15" ht="16" x14ac:dyDescent="0.2">
      <c r="A4256" s="18" t="str">
        <f>HYPERLINK("https://otsuka-europe-crm.veevavault.com/ui/#object/account__v/V4TZ04ASGAP2CFD", "ROBERTO FRANCO GUMUCIO SANGUINO")</f>
        <v>ROBERTO FRANCO GUMUCIO SANGUINO</v>
      </c>
      <c r="B4256" s="18" t="str">
        <f>HYPERLINK("https://otsuka-europe-crm.veevavault.com/ui/#object/vcountry__v/VENZ000004SONF5", "ES")</f>
        <v>ES</v>
      </c>
      <c r="C4256" s="20" t="s">
        <v>39</v>
      </c>
      <c r="D4256" s="21" t="str">
        <f>HYPERLINK("https://otsuka-europe-crm.veevavault.com/ui/#object/approved_document__v/V5O00000001B037", "LUP - VAE Póster Adelphi - Reuma")</f>
        <v>LUP - VAE Póster Adelphi - Reuma</v>
      </c>
      <c r="E4256" s="22" t="str">
        <f>HYPERLINK("https://otsuka-europe-crm.veevavault.com/ui/#object/sent_email__v/VBL000000038108", "SE-001443732")</f>
        <v>SE-001443732</v>
      </c>
      <c r="F4256" s="25">
        <v>46216.440509259257</v>
      </c>
      <c r="G4256" s="24">
        <v>1</v>
      </c>
      <c r="H4256" s="24">
        <v>1</v>
      </c>
      <c r="I4256" s="24">
        <v>0</v>
      </c>
      <c r="J4256" s="23"/>
      <c r="K4256" s="24">
        <v>0</v>
      </c>
      <c r="L4256" s="22" t="str">
        <f>HYPERLINK("https://otsuka-europe-crm.veevavault.com/ui/#object/approved_document__v/V5O00000001B037", "LUP - VAE Póster Adelphi - Reuma")</f>
        <v>LUP - VAE Póster Adelphi - Reuma</v>
      </c>
      <c r="M4256" s="22" t="str">
        <f>HYPERLINK("mailto:gsammali@crm.otsuka-europe.com", "gsammali@crm.otsuka-europe.com")</f>
        <v>gsammali@crm.otsuka-europe.com</v>
      </c>
      <c r="N4256" s="25">
        <v>46216.440266203703</v>
      </c>
      <c r="O4256" s="14" t="str">
        <f>HYPERLINK("https://otsuka-europe-crm.veevavault.com/ui/#object/email_activity__v/V8C000000049302", "EN-002105412")</f>
        <v>EN-002105412</v>
      </c>
    </row>
    <row r="4257" spans="1:15" ht="16" x14ac:dyDescent="0.2">
      <c r="A4257" s="19"/>
      <c r="B4257" s="19"/>
      <c r="C4257" s="19"/>
      <c r="D4257" s="19"/>
      <c r="E4257" s="19"/>
      <c r="F4257" s="19"/>
      <c r="G4257" s="19"/>
      <c r="H4257" s="19"/>
      <c r="I4257" s="19"/>
      <c r="J4257" s="19"/>
      <c r="K4257" s="19"/>
      <c r="L4257" s="19"/>
      <c r="M4257" s="19"/>
      <c r="N4257" s="19"/>
      <c r="O4257" s="14" t="str">
        <f>HYPERLINK("https://otsuka-europe-crm.veevavault.com/ui/#object/email_activity__v/V8C00000004A225", "EN-002105345")</f>
        <v>EN-002105345</v>
      </c>
    </row>
    <row r="4258" spans="1:15" ht="16" x14ac:dyDescent="0.2">
      <c r="A4258" s="18" t="str">
        <f>HYPERLINK("https://otsuka-europe-crm.veevavault.com/ui/#object/account__v/V4TZ04ASGB9IGYN", "JOAN CALVET FONTOVA")</f>
        <v>JOAN CALVET FONTOVA</v>
      </c>
      <c r="B4258" s="18" t="str">
        <f>HYPERLINK("https://otsuka-europe-crm.veevavault.com/ui/#object/vcountry__v/VENZ000004SONF5", "ES")</f>
        <v>ES</v>
      </c>
      <c r="C4258" s="20" t="s">
        <v>39</v>
      </c>
      <c r="D4258" s="21" t="str">
        <f>HYPERLINK("https://otsuka-europe-crm.veevavault.com/ui/#object/approved_document__v/V5O00000001B037", "LUP - VAE Póster Adelphi - Reuma")</f>
        <v>LUP - VAE Póster Adelphi - Reuma</v>
      </c>
      <c r="E4258" s="22" t="str">
        <f>HYPERLINK("https://otsuka-europe-crm.veevavault.com/ui/#object/sent_email__v/VBL000000038109", "SE-001443733")</f>
        <v>SE-001443733</v>
      </c>
      <c r="F4258" s="25">
        <v>46216.470879629633</v>
      </c>
      <c r="G4258" s="24">
        <v>1</v>
      </c>
      <c r="H4258" s="24">
        <v>1</v>
      </c>
      <c r="I4258" s="24">
        <v>0</v>
      </c>
      <c r="J4258" s="23"/>
      <c r="K4258" s="24">
        <v>0</v>
      </c>
      <c r="L4258" s="22" t="str">
        <f>HYPERLINK("https://otsuka-europe-crm.veevavault.com/ui/#object/approved_document__v/V5O00000001B037", "LUP - VAE Póster Adelphi - Reuma")</f>
        <v>LUP - VAE Póster Adelphi - Reuma</v>
      </c>
      <c r="M4258" s="22" t="str">
        <f>HYPERLINK("mailto:gsammali@crm.otsuka-europe.com", "gsammali@crm.otsuka-europe.com")</f>
        <v>gsammali@crm.otsuka-europe.com</v>
      </c>
      <c r="N4258" s="25">
        <v>46216.440266203703</v>
      </c>
      <c r="O4258" s="14" t="str">
        <f>HYPERLINK("https://otsuka-europe-crm.veevavault.com/ui/#object/email_activity__v/V8C000000049255", "EN-002105350")</f>
        <v>EN-002105350</v>
      </c>
    </row>
    <row r="4259" spans="1:15" ht="16" x14ac:dyDescent="0.2">
      <c r="A4259" s="19"/>
      <c r="B4259" s="19"/>
      <c r="C4259" s="19"/>
      <c r="D4259" s="19"/>
      <c r="E4259" s="19"/>
      <c r="F4259" s="19"/>
      <c r="G4259" s="19"/>
      <c r="H4259" s="19"/>
      <c r="I4259" s="19"/>
      <c r="J4259" s="19"/>
      <c r="K4259" s="19"/>
      <c r="L4259" s="19"/>
      <c r="M4259" s="19"/>
      <c r="N4259" s="19"/>
      <c r="O4259" s="14" t="str">
        <f>HYPERLINK("https://otsuka-europe-crm.veevavault.com/ui/#object/email_activity__v/V8C000000049339", "EN-002105481")</f>
        <v>EN-002105481</v>
      </c>
    </row>
    <row r="4260" spans="1:15" ht="32" x14ac:dyDescent="0.2">
      <c r="A4260" s="7" t="str">
        <f>HYPERLINK("https://otsuka-europe-crm.veevavault.com/ui/#object/account__v/V4TZ025E82A6MRL", "SONIA CASTELL QUIÑONES")</f>
        <v>SONIA CASTELL QUIÑONES</v>
      </c>
      <c r="B4260" s="7" t="str">
        <f>HYPERLINK("https://otsuka-europe-crm.veevavault.com/ui/#object/vcountry__v/VENZ000004SONF5", "ES")</f>
        <v>ES</v>
      </c>
      <c r="C4260" s="8" t="s">
        <v>39</v>
      </c>
      <c r="D4260" s="9" t="str">
        <f>HYPERLINK("https://otsuka-europe-crm.veevavault.com/ui/#object/approved_document__v/V5O00000001B037", "LUP - VAE Póster Adelphi - Reuma")</f>
        <v>LUP - VAE Póster Adelphi - Reuma</v>
      </c>
      <c r="E4260" s="10" t="str">
        <f>HYPERLINK("https://otsuka-europe-crm.veevavault.com/ui/#object/sent_email__v/VBL000000038110", "SE-001443734")</f>
        <v>SE-001443734</v>
      </c>
      <c r="F4260" s="11"/>
      <c r="G4260" s="12">
        <v>0</v>
      </c>
      <c r="H4260" s="12">
        <v>0</v>
      </c>
      <c r="I4260" s="12">
        <v>0</v>
      </c>
      <c r="J4260" s="11"/>
      <c r="K4260" s="12">
        <v>0</v>
      </c>
      <c r="L4260" s="10" t="str">
        <f>HYPERLINK("https://otsuka-europe-crm.veevavault.com/ui/#object/approved_document__v/V5O00000001B037", "LUP - VAE Póster Adelphi - Reuma")</f>
        <v>LUP - VAE Póster Adelphi - Reuma</v>
      </c>
      <c r="M4260" s="10" t="str">
        <f>HYPERLINK("mailto:gsammali@crm.otsuka-europe.com", "gsammali@crm.otsuka-europe.com")</f>
        <v>gsammali@crm.otsuka-europe.com</v>
      </c>
      <c r="N4260" s="13">
        <v>46216.440266203703</v>
      </c>
      <c r="O4260" s="14" t="str">
        <f>HYPERLINK("https://otsuka-europe-crm.veevavault.com/ui/#object/email_activity__v/V8C00000004A237", "EN-002105383")</f>
        <v>EN-002105383</v>
      </c>
    </row>
    <row r="4261" spans="1:15" ht="16" x14ac:dyDescent="0.2">
      <c r="A4261" s="18" t="str">
        <f>HYPERLINK("https://otsuka-europe-crm.veevavault.com/ui/#object/account__v/V4TZ025E83FIA0I", "MARIBEL MORA LIMIÑANA")</f>
        <v>MARIBEL MORA LIMIÑANA</v>
      </c>
      <c r="B4261" s="18" t="str">
        <f>HYPERLINK("https://otsuka-europe-crm.veevavault.com/ui/#object/vcountry__v/VENZ000004SONF5", "ES")</f>
        <v>ES</v>
      </c>
      <c r="C4261" s="20" t="s">
        <v>39</v>
      </c>
      <c r="D4261" s="21" t="str">
        <f>HYPERLINK("https://otsuka-europe-crm.veevavault.com/ui/#object/approved_document__v/V5O00000001B037", "LUP - VAE Póster Adelphi - Reuma")</f>
        <v>LUP - VAE Póster Adelphi - Reuma</v>
      </c>
      <c r="E4261" s="22" t="str">
        <f>HYPERLINK("https://otsuka-europe-crm.veevavault.com/ui/#object/sent_email__v/VBL000000038111", "SE-001443735")</f>
        <v>SE-001443735</v>
      </c>
      <c r="F4261" s="25">
        <v>46216.440520833334</v>
      </c>
      <c r="G4261" s="24">
        <v>1</v>
      </c>
      <c r="H4261" s="24">
        <v>1</v>
      </c>
      <c r="I4261" s="24">
        <v>0</v>
      </c>
      <c r="J4261" s="23"/>
      <c r="K4261" s="24">
        <v>0</v>
      </c>
      <c r="L4261" s="22" t="str">
        <f>HYPERLINK("https://otsuka-europe-crm.veevavault.com/ui/#object/approved_document__v/V5O00000001B037", "LUP - VAE Póster Adelphi - Reuma")</f>
        <v>LUP - VAE Póster Adelphi - Reuma</v>
      </c>
      <c r="M4261" s="22" t="str">
        <f>HYPERLINK("mailto:gsammali@crm.otsuka-europe.com", "gsammali@crm.otsuka-europe.com")</f>
        <v>gsammali@crm.otsuka-europe.com</v>
      </c>
      <c r="N4261" s="25">
        <v>46216.440289351849</v>
      </c>
      <c r="O4261" s="14" t="str">
        <f>HYPERLINK("https://otsuka-europe-crm.veevavault.com/ui/#object/email_activity__v/V8C000000049299", "EN-002105409")</f>
        <v>EN-002105409</v>
      </c>
    </row>
    <row r="4262" spans="1:15" ht="16" x14ac:dyDescent="0.2">
      <c r="A4262" s="19"/>
      <c r="B4262" s="19"/>
      <c r="C4262" s="19"/>
      <c r="D4262" s="19"/>
      <c r="E4262" s="19"/>
      <c r="F4262" s="19"/>
      <c r="G4262" s="19"/>
      <c r="H4262" s="19"/>
      <c r="I4262" s="19"/>
      <c r="J4262" s="19"/>
      <c r="K4262" s="19"/>
      <c r="L4262" s="19"/>
      <c r="M4262" s="19"/>
      <c r="N4262" s="19"/>
      <c r="O4262" s="14" t="str">
        <f>HYPERLINK("https://otsuka-europe-crm.veevavault.com/ui/#object/email_activity__v/V8C00000004A241", "EN-002105393")</f>
        <v>EN-002105393</v>
      </c>
    </row>
    <row r="4263" spans="1:15" ht="32" x14ac:dyDescent="0.2">
      <c r="A4263" s="7" t="str">
        <f>HYPERLINK("https://otsuka-europe-crm.veevavault.com/ui/#object/account__v/V4TZ06G6O9VLJDN", "JOAN MIQUEL NOLLA SOLE")</f>
        <v>JOAN MIQUEL NOLLA SOLE</v>
      </c>
      <c r="B4263" s="7" t="str">
        <f>HYPERLINK("https://otsuka-europe-crm.veevavault.com/ui/#object/vcountry__v/VENZ000004SONF5", "ES")</f>
        <v>ES</v>
      </c>
      <c r="C4263" s="8" t="s">
        <v>39</v>
      </c>
      <c r="D4263" s="9" t="str">
        <f>HYPERLINK("https://otsuka-europe-crm.veevavault.com/ui/#object/approved_document__v/V5O00000001B037", "LUP - VAE Póster Adelphi - Reuma")</f>
        <v>LUP - VAE Póster Adelphi - Reuma</v>
      </c>
      <c r="E4263" s="10" t="str">
        <f>HYPERLINK("https://otsuka-europe-crm.veevavault.com/ui/#object/sent_email__v/VBL000000038112", "SE-001443736")</f>
        <v>SE-001443736</v>
      </c>
      <c r="F4263" s="11"/>
      <c r="G4263" s="12">
        <v>0</v>
      </c>
      <c r="H4263" s="12">
        <v>0</v>
      </c>
      <c r="I4263" s="12">
        <v>0</v>
      </c>
      <c r="J4263" s="11"/>
      <c r="K4263" s="12">
        <v>0</v>
      </c>
      <c r="L4263" s="10" t="str">
        <f>HYPERLINK("https://otsuka-europe-crm.veevavault.com/ui/#object/approved_document__v/V5O00000001B037", "LUP - VAE Póster Adelphi - Reuma")</f>
        <v>LUP - VAE Póster Adelphi - Reuma</v>
      </c>
      <c r="M4263" s="10" t="str">
        <f>HYPERLINK("mailto:gsammali@crm.otsuka-europe.com", "gsammali@crm.otsuka-europe.com")</f>
        <v>gsammali@crm.otsuka-europe.com</v>
      </c>
      <c r="N4263" s="13">
        <v>46216.440289351849</v>
      </c>
      <c r="O4263" s="14" t="str">
        <f>HYPERLINK("https://otsuka-europe-crm.veevavault.com/ui/#object/email_activity__v/V8C000000049265", "EN-002105364")</f>
        <v>EN-002105364</v>
      </c>
    </row>
    <row r="4264" spans="1:15" ht="32" x14ac:dyDescent="0.2">
      <c r="A4264" s="7" t="str">
        <f>HYPERLINK("https://otsuka-europe-crm.veevavault.com/ui/#object/account__v/V4TZ04ASGEBWRWC", "PAULA VALENTINA ESTRADA ALARCON")</f>
        <v>PAULA VALENTINA ESTRADA ALARCON</v>
      </c>
      <c r="B4264" s="7" t="str">
        <f>HYPERLINK("https://otsuka-europe-crm.veevavault.com/ui/#object/vcountry__v/VENZ000004SONF5", "ES")</f>
        <v>ES</v>
      </c>
      <c r="C4264" s="8" t="s">
        <v>39</v>
      </c>
      <c r="D4264" s="9" t="str">
        <f>HYPERLINK("https://otsuka-europe-crm.veevavault.com/ui/#object/approved_document__v/V5O00000001B037", "LUP - VAE Póster Adelphi - Reuma")</f>
        <v>LUP - VAE Póster Adelphi - Reuma</v>
      </c>
      <c r="E4264" s="10" t="str">
        <f>HYPERLINK("https://otsuka-europe-crm.veevavault.com/ui/#object/sent_email__v/VBL000000038113", "SE-001443737")</f>
        <v>SE-001443737</v>
      </c>
      <c r="F4264" s="11"/>
      <c r="G4264" s="12">
        <v>0</v>
      </c>
      <c r="H4264" s="12">
        <v>0</v>
      </c>
      <c r="I4264" s="12">
        <v>0</v>
      </c>
      <c r="J4264" s="11"/>
      <c r="K4264" s="12">
        <v>0</v>
      </c>
      <c r="L4264" s="10" t="str">
        <f>HYPERLINK("https://otsuka-europe-crm.veevavault.com/ui/#object/approved_document__v/V5O00000001B037", "LUP - VAE Póster Adelphi - Reuma")</f>
        <v>LUP - VAE Póster Adelphi - Reuma</v>
      </c>
      <c r="M4264" s="10" t="str">
        <f>HYPERLINK("mailto:gsammali@crm.otsuka-europe.com", "gsammali@crm.otsuka-europe.com")</f>
        <v>gsammali@crm.otsuka-europe.com</v>
      </c>
      <c r="N4264" s="13">
        <v>46216.440289351849</v>
      </c>
      <c r="O4264" s="14" t="str">
        <f>HYPERLINK("https://otsuka-europe-crm.veevavault.com/ui/#object/email_activity__v/V8C000000049267", "EN-002105366")</f>
        <v>EN-002105366</v>
      </c>
    </row>
    <row r="4265" spans="1:15" ht="32" x14ac:dyDescent="0.2">
      <c r="A4265" s="7" t="str">
        <f>HYPERLINK("https://otsuka-europe-crm.veevavault.com/ui/#object/account__v/V4TZ04ASG9MC2X2", "SERGIO HEREDIA MARTIN")</f>
        <v>SERGIO HEREDIA MARTIN</v>
      </c>
      <c r="B4265" s="7" t="str">
        <f>HYPERLINK("https://otsuka-europe-crm.veevavault.com/ui/#object/vcountry__v/VENZ000004SONF5", "ES")</f>
        <v>ES</v>
      </c>
      <c r="C4265" s="8" t="s">
        <v>39</v>
      </c>
      <c r="D4265" s="9" t="str">
        <f>HYPERLINK("https://otsuka-europe-crm.veevavault.com/ui/#object/approved_document__v/V5O00000001B037", "LUP - VAE Póster Adelphi - Reuma")</f>
        <v>LUP - VAE Póster Adelphi - Reuma</v>
      </c>
      <c r="E4265" s="10" t="str">
        <f>HYPERLINK("https://otsuka-europe-crm.veevavault.com/ui/#object/sent_email__v/VBL000000038114", "SE-001443738")</f>
        <v>SE-001443738</v>
      </c>
      <c r="F4265" s="11"/>
      <c r="G4265" s="12">
        <v>0</v>
      </c>
      <c r="H4265" s="12">
        <v>0</v>
      </c>
      <c r="I4265" s="12">
        <v>0</v>
      </c>
      <c r="J4265" s="11"/>
      <c r="K4265" s="12">
        <v>0</v>
      </c>
      <c r="L4265" s="10" t="str">
        <f>HYPERLINK("https://otsuka-europe-crm.veevavault.com/ui/#object/approved_document__v/V5O00000001B037", "LUP - VAE Póster Adelphi - Reuma")</f>
        <v>LUP - VAE Póster Adelphi - Reuma</v>
      </c>
      <c r="M4265" s="10" t="str">
        <f>HYPERLINK("mailto:gsammali@crm.otsuka-europe.com", "gsammali@crm.otsuka-europe.com")</f>
        <v>gsammali@crm.otsuka-europe.com</v>
      </c>
      <c r="N4265" s="13">
        <v>46216.440289351849</v>
      </c>
      <c r="O4265" s="14" t="str">
        <f>HYPERLINK("https://otsuka-europe-crm.veevavault.com/ui/#object/email_activity__v/V8C000000049287", "EN-002105395")</f>
        <v>EN-002105395</v>
      </c>
    </row>
    <row r="4266" spans="1:15" ht="16" x14ac:dyDescent="0.2">
      <c r="A4266" s="18" t="str">
        <f>HYPERLINK("https://otsuka-europe-crm.veevavault.com/ui/#object/account__v/V4TZ025E82A6L2I", "JOSEP ORIOL CODINA GUINO")</f>
        <v>JOSEP ORIOL CODINA GUINO</v>
      </c>
      <c r="B4266" s="18" t="str">
        <f>HYPERLINK("https://otsuka-europe-crm.veevavault.com/ui/#object/vcountry__v/VENZ000004SONF5", "ES")</f>
        <v>ES</v>
      </c>
      <c r="C4266" s="20" t="s">
        <v>39</v>
      </c>
      <c r="D4266" s="21" t="str">
        <f>HYPERLINK("https://otsuka-europe-crm.veevavault.com/ui/#object/approved_document__v/V5OZ025E82U1785", "LUP - Poster Deep Response - reuma")</f>
        <v>LUP - Poster Deep Response - reuma</v>
      </c>
      <c r="E4266" s="22" t="str">
        <f>HYPERLINK("https://otsuka-europe-crm.veevavault.com/ui/#object/sent_email__v/VBL000000037136", "SE-001443739")</f>
        <v>SE-001443739</v>
      </c>
      <c r="F4266" s="23"/>
      <c r="G4266" s="24">
        <v>0</v>
      </c>
      <c r="H4266" s="24">
        <v>0</v>
      </c>
      <c r="I4266" s="24">
        <v>0</v>
      </c>
      <c r="J4266" s="23"/>
      <c r="K4266" s="24">
        <v>0</v>
      </c>
      <c r="L4266" s="22" t="str">
        <f>HYPERLINK("https://otsuka-europe-crm.veevavault.com/ui/#object/approved_document__v/V5OZ025E82U1785", "LUP - Poster Deep Response - reuma")</f>
        <v>LUP - Poster Deep Response - reuma</v>
      </c>
      <c r="M4266" s="22" t="str">
        <f>HYPERLINK("mailto:gsammali@crm.otsuka-europe.com", "gsammali@crm.otsuka-europe.com")</f>
        <v>gsammali@crm.otsuka-europe.com</v>
      </c>
      <c r="N4266" s="25">
        <v>46216.440370370372</v>
      </c>
      <c r="O4266" s="14" t="str">
        <f>HYPERLINK("https://otsuka-europe-crm.veevavault.com/ui/#object/email_activity__v/V8C000000049480", "EN-002105761")</f>
        <v>EN-002105761</v>
      </c>
    </row>
    <row r="4267" spans="1:15" ht="16" x14ac:dyDescent="0.2">
      <c r="A4267" s="19"/>
      <c r="B4267" s="19"/>
      <c r="C4267" s="19"/>
      <c r="D4267" s="19"/>
      <c r="E4267" s="19"/>
      <c r="F4267" s="19"/>
      <c r="G4267" s="19"/>
      <c r="H4267" s="19"/>
      <c r="I4267" s="19"/>
      <c r="J4267" s="19"/>
      <c r="K4267" s="19"/>
      <c r="L4267" s="19"/>
      <c r="M4267" s="19"/>
      <c r="N4267" s="19"/>
      <c r="O4267" s="14" t="str">
        <f>HYPERLINK("https://otsuka-europe-crm.veevavault.com/ui/#object/email_activity__v/V8C00000004A245", "EN-002105420")</f>
        <v>EN-002105420</v>
      </c>
    </row>
    <row r="4268" spans="1:15" ht="16" x14ac:dyDescent="0.2">
      <c r="A4268" s="18" t="str">
        <f>HYPERLINK("https://otsuka-europe-crm.veevavault.com/ui/#object/account__v/V4TZ025E84CL45I", "SERGIO ORDOÑEZ PALAU")</f>
        <v>SERGIO ORDOÑEZ PALAU</v>
      </c>
      <c r="B4268" s="18" t="str">
        <f>HYPERLINK("https://otsuka-europe-crm.veevavault.com/ui/#object/vcountry__v/VENZ000004SONF5", "ES")</f>
        <v>ES</v>
      </c>
      <c r="C4268" s="20" t="s">
        <v>39</v>
      </c>
      <c r="D4268" s="21" t="str">
        <f>HYPERLINK("https://otsuka-europe-crm.veevavault.com/ui/#object/approved_document__v/V5OZ025E82U1785", "LUP - Poster Deep Response - reuma")</f>
        <v>LUP - Poster Deep Response - reuma</v>
      </c>
      <c r="E4268" s="22" t="str">
        <f>HYPERLINK("https://otsuka-europe-crm.veevavault.com/ui/#object/sent_email__v/VBL000000037137", "SE-001443740")</f>
        <v>SE-001443740</v>
      </c>
      <c r="F4268" s="23"/>
      <c r="G4268" s="24">
        <v>0</v>
      </c>
      <c r="H4268" s="24">
        <v>0</v>
      </c>
      <c r="I4268" s="24">
        <v>0</v>
      </c>
      <c r="J4268" s="23"/>
      <c r="K4268" s="24">
        <v>0</v>
      </c>
      <c r="L4268" s="22" t="str">
        <f>HYPERLINK("https://otsuka-europe-crm.veevavault.com/ui/#object/approved_document__v/V5OZ025E82U1785", "LUP - Poster Deep Response - reuma")</f>
        <v>LUP - Poster Deep Response - reuma</v>
      </c>
      <c r="M4268" s="22" t="str">
        <f>HYPERLINK("mailto:gsammali@crm.otsuka-europe.com", "gsammali@crm.otsuka-europe.com")</f>
        <v>gsammali@crm.otsuka-europe.com</v>
      </c>
      <c r="N4268" s="25">
        <v>46216.440370370372</v>
      </c>
      <c r="O4268" s="14" t="str">
        <f>HYPERLINK("https://otsuka-europe-crm.veevavault.com/ui/#object/email_activity__v/V8C000000049271", "EN-002105370")</f>
        <v>EN-002105370</v>
      </c>
    </row>
    <row r="4269" spans="1:15" ht="16" x14ac:dyDescent="0.2">
      <c r="A4269" s="19"/>
      <c r="B4269" s="19"/>
      <c r="C4269" s="19"/>
      <c r="D4269" s="19"/>
      <c r="E4269" s="19"/>
      <c r="F4269" s="19"/>
      <c r="G4269" s="19"/>
      <c r="H4269" s="19"/>
      <c r="I4269" s="19"/>
      <c r="J4269" s="19"/>
      <c r="K4269" s="19"/>
      <c r="L4269" s="19"/>
      <c r="M4269" s="19"/>
      <c r="N4269" s="19"/>
      <c r="O4269" s="14" t="str">
        <f>HYPERLINK("https://otsuka-europe-crm.veevavault.com/ui/#object/email_activity__v/V8C00000004A269", "EN-002105463")</f>
        <v>EN-002105463</v>
      </c>
    </row>
    <row r="4270" spans="1:15" ht="32" x14ac:dyDescent="0.2">
      <c r="A4270" s="7" t="str">
        <f>HYPERLINK("https://otsuka-europe-crm.veevavault.com/ui/#object/account__v/V4TZ06G6O9VLJDN", "JOAN MIQUEL NOLLA SOLE")</f>
        <v>JOAN MIQUEL NOLLA SOLE</v>
      </c>
      <c r="B4270" s="7" t="str">
        <f>HYPERLINK("https://otsuka-europe-crm.veevavault.com/ui/#object/vcountry__v/VENZ000004SONF5", "ES")</f>
        <v>ES</v>
      </c>
      <c r="C4270" s="8" t="s">
        <v>39</v>
      </c>
      <c r="D4270" s="9" t="str">
        <f>HYPERLINK("https://otsuka-europe-crm.veevavault.com/ui/#object/approved_document__v/V5OZ025E82U1785", "LUP - Poster Deep Response - reuma")</f>
        <v>LUP - Poster Deep Response - reuma</v>
      </c>
      <c r="E4270" s="10" t="str">
        <f>HYPERLINK("https://otsuka-europe-crm.veevavault.com/ui/#object/sent_email__v/VBL000000037138", "SE-001443741")</f>
        <v>SE-001443741</v>
      </c>
      <c r="F4270" s="11"/>
      <c r="G4270" s="12">
        <v>0</v>
      </c>
      <c r="H4270" s="12">
        <v>0</v>
      </c>
      <c r="I4270" s="12">
        <v>0</v>
      </c>
      <c r="J4270" s="11"/>
      <c r="K4270" s="12">
        <v>0</v>
      </c>
      <c r="L4270" s="10" t="str">
        <f>HYPERLINK("https://otsuka-europe-crm.veevavault.com/ui/#object/approved_document__v/V5OZ025E82U1785", "LUP - Poster Deep Response - reuma")</f>
        <v>LUP - Poster Deep Response - reuma</v>
      </c>
      <c r="M4270" s="10" t="str">
        <f>HYPERLINK("mailto:gsammali@crm.otsuka-europe.com", "gsammali@crm.otsuka-europe.com")</f>
        <v>gsammali@crm.otsuka-europe.com</v>
      </c>
      <c r="N4270" s="13">
        <v>46216.440370370372</v>
      </c>
      <c r="O4270" s="14" t="str">
        <f>HYPERLINK("https://otsuka-europe-crm.veevavault.com/ui/#object/email_activity__v/V8C000000049290", "EN-002105398")</f>
        <v>EN-002105398</v>
      </c>
    </row>
    <row r="4271" spans="1:15" ht="16" x14ac:dyDescent="0.2">
      <c r="A4271" s="18" t="str">
        <f>HYPERLINK("https://otsuka-europe-crm.veevavault.com/ui/#object/account__v/V4TZ04ASGB4TQAO", "SILVIA GARCIA CIRERA")</f>
        <v>SILVIA GARCIA CIRERA</v>
      </c>
      <c r="B4271" s="18" t="str">
        <f>HYPERLINK("https://otsuka-europe-crm.veevavault.com/ui/#object/vcountry__v/VENZ000004SONF5", "ES")</f>
        <v>ES</v>
      </c>
      <c r="C4271" s="20" t="s">
        <v>39</v>
      </c>
      <c r="D4271" s="21" t="str">
        <f>HYPERLINK("https://otsuka-europe-crm.veevavault.com/ui/#object/approved_document__v/V5OZ025E82U1785", "LUP - Poster Deep Response - reuma")</f>
        <v>LUP - Poster Deep Response - reuma</v>
      </c>
      <c r="E4271" s="22" t="str">
        <f>HYPERLINK("https://otsuka-europe-crm.veevavault.com/ui/#object/sent_email__v/VBL000000037139", "SE-001443742")</f>
        <v>SE-001443742</v>
      </c>
      <c r="F4271" s="23"/>
      <c r="G4271" s="24">
        <v>0</v>
      </c>
      <c r="H4271" s="24">
        <v>0</v>
      </c>
      <c r="I4271" s="24">
        <v>0</v>
      </c>
      <c r="J4271" s="23"/>
      <c r="K4271" s="24">
        <v>0</v>
      </c>
      <c r="L4271" s="22" t="str">
        <f>HYPERLINK("https://otsuka-europe-crm.veevavault.com/ui/#object/approved_document__v/V5OZ025E82U1785", "LUP - Poster Deep Response - reuma")</f>
        <v>LUP - Poster Deep Response - reuma</v>
      </c>
      <c r="M4271" s="22" t="str">
        <f>HYPERLINK("mailto:gsammali@crm.otsuka-europe.com", "gsammali@crm.otsuka-europe.com")</f>
        <v>gsammali@crm.otsuka-europe.com</v>
      </c>
      <c r="N4271" s="25">
        <v>46216.440370370372</v>
      </c>
      <c r="O4271" s="14" t="str">
        <f>HYPERLINK("https://otsuka-europe-crm.veevavault.com/ui/#object/email_activity__v/V8C000000049288", "EN-002105396")</f>
        <v>EN-002105396</v>
      </c>
    </row>
    <row r="4272" spans="1:15" ht="16" x14ac:dyDescent="0.2">
      <c r="A4272" s="19"/>
      <c r="B4272" s="19"/>
      <c r="C4272" s="19"/>
      <c r="D4272" s="19"/>
      <c r="E4272" s="19"/>
      <c r="F4272" s="19"/>
      <c r="G4272" s="19"/>
      <c r="H4272" s="19"/>
      <c r="I4272" s="19"/>
      <c r="J4272" s="19"/>
      <c r="K4272" s="19"/>
      <c r="L4272" s="19"/>
      <c r="M4272" s="19"/>
      <c r="N4272" s="19"/>
      <c r="O4272" s="14" t="str">
        <f>HYPERLINK("https://otsuka-europe-crm.veevavault.com/ui/#object/email_activity__v/V8C00000004B071", "EN-002106857")</f>
        <v>EN-002106857</v>
      </c>
    </row>
    <row r="4273" spans="1:15" ht="16" x14ac:dyDescent="0.2">
      <c r="A4273" s="18" t="str">
        <f>HYPERLINK("https://otsuka-europe-crm.veevavault.com/ui/#object/account__v/V4TZ04ASGABZIUJ", "MERITXELL SALLES LIZARZABURU")</f>
        <v>MERITXELL SALLES LIZARZABURU</v>
      </c>
      <c r="B4273" s="18" t="str">
        <f>HYPERLINK("https://otsuka-europe-crm.veevavault.com/ui/#object/vcountry__v/VENZ000004SONF5", "ES")</f>
        <v>ES</v>
      </c>
      <c r="C4273" s="20" t="s">
        <v>39</v>
      </c>
      <c r="D4273" s="21" t="str">
        <f>HYPERLINK("https://otsuka-europe-crm.veevavault.com/ui/#object/approved_document__v/V5OZ025E82U1785", "LUP - Poster Deep Response - reuma")</f>
        <v>LUP - Poster Deep Response - reuma</v>
      </c>
      <c r="E4273" s="22" t="str">
        <f>HYPERLINK("https://otsuka-europe-crm.veevavault.com/ui/#object/sent_email__v/VBL000000037140", "SE-001443743")</f>
        <v>SE-001443743</v>
      </c>
      <c r="F4273" s="23"/>
      <c r="G4273" s="24">
        <v>0</v>
      </c>
      <c r="H4273" s="24">
        <v>0</v>
      </c>
      <c r="I4273" s="24">
        <v>0</v>
      </c>
      <c r="J4273" s="23"/>
      <c r="K4273" s="24">
        <v>0</v>
      </c>
      <c r="L4273" s="22" t="str">
        <f>HYPERLINK("https://otsuka-europe-crm.veevavault.com/ui/#object/approved_document__v/V5OZ025E82U1785", "LUP - Poster Deep Response - reuma")</f>
        <v>LUP - Poster Deep Response - reuma</v>
      </c>
      <c r="M4273" s="22" t="str">
        <f>HYPERLINK("mailto:gsammali@crm.otsuka-europe.com", "gsammali@crm.otsuka-europe.com")</f>
        <v>gsammali@crm.otsuka-europe.com</v>
      </c>
      <c r="N4273" s="25">
        <v>46216.440370370372</v>
      </c>
      <c r="O4273" s="14" t="str">
        <f>HYPERLINK("https://otsuka-europe-crm.veevavault.com/ui/#object/email_activity__v/V8C00000004A247", "EN-002105422")</f>
        <v>EN-002105422</v>
      </c>
    </row>
    <row r="4274" spans="1:15" ht="16" x14ac:dyDescent="0.2">
      <c r="A4274" s="19"/>
      <c r="B4274" s="19"/>
      <c r="C4274" s="19"/>
      <c r="D4274" s="19"/>
      <c r="E4274" s="19"/>
      <c r="F4274" s="19"/>
      <c r="G4274" s="19"/>
      <c r="H4274" s="19"/>
      <c r="I4274" s="19"/>
      <c r="J4274" s="19"/>
      <c r="K4274" s="19"/>
      <c r="L4274" s="19"/>
      <c r="M4274" s="19"/>
      <c r="N4274" s="19"/>
      <c r="O4274" s="14" t="str">
        <f>HYPERLINK("https://otsuka-europe-crm.veevavault.com/ui/#object/email_activity__v/V8C00000004A395", "EN-002105727")</f>
        <v>EN-002105727</v>
      </c>
    </row>
    <row r="4275" spans="1:15" ht="32" x14ac:dyDescent="0.2">
      <c r="A4275" s="7" t="str">
        <f>HYPERLINK("https://otsuka-europe-crm.veevavault.com/ui/#object/account__v/V4TZ04ASG79T6ME", "LOURDES MATEO SORIA")</f>
        <v>LOURDES MATEO SORIA</v>
      </c>
      <c r="B4275" s="7" t="str">
        <f>HYPERLINK("https://otsuka-europe-crm.veevavault.com/ui/#object/vcountry__v/VENZ000004SONF5", "ES")</f>
        <v>ES</v>
      </c>
      <c r="C4275" s="8" t="s">
        <v>39</v>
      </c>
      <c r="D4275" s="9" t="str">
        <f>HYPERLINK("https://otsuka-europe-crm.veevavault.com/ui/#object/approved_document__v/V5OZ025E82U1785", "LUP - Poster Deep Response - reuma")</f>
        <v>LUP - Poster Deep Response - reuma</v>
      </c>
      <c r="E4275" s="10" t="str">
        <f>HYPERLINK("https://otsuka-europe-crm.veevavault.com/ui/#object/sent_email__v/VBL000000037141", "SE-001443744")</f>
        <v>SE-001443744</v>
      </c>
      <c r="F4275" s="11"/>
      <c r="G4275" s="12">
        <v>0</v>
      </c>
      <c r="H4275" s="12">
        <v>0</v>
      </c>
      <c r="I4275" s="12">
        <v>0</v>
      </c>
      <c r="J4275" s="11"/>
      <c r="K4275" s="12">
        <v>0</v>
      </c>
      <c r="L4275" s="10" t="str">
        <f>HYPERLINK("https://otsuka-europe-crm.veevavault.com/ui/#object/approved_document__v/V5OZ025E82U1785", "LUP - Poster Deep Response - reuma")</f>
        <v>LUP - Poster Deep Response - reuma</v>
      </c>
      <c r="M4275" s="10" t="str">
        <f>HYPERLINK("mailto:gsammali@crm.otsuka-europe.com", "gsammali@crm.otsuka-europe.com")</f>
        <v>gsammali@crm.otsuka-europe.com</v>
      </c>
      <c r="N4275" s="13">
        <v>46216.440370370372</v>
      </c>
      <c r="O4275" s="14" t="str">
        <f>HYPERLINK("https://otsuka-europe-crm.veevavault.com/ui/#object/email_activity__v/V8C000000049281", "EN-002105385")</f>
        <v>EN-002105385</v>
      </c>
    </row>
    <row r="4276" spans="1:15" ht="32" x14ac:dyDescent="0.2">
      <c r="A4276" s="7" t="str">
        <f>HYPERLINK("https://otsuka-europe-crm.veevavault.com/ui/#object/account__v/V4TZ04ASGEBWRWC", "PAULA VALENTINA ESTRADA ALARCON")</f>
        <v>PAULA VALENTINA ESTRADA ALARCON</v>
      </c>
      <c r="B4276" s="7" t="str">
        <f>HYPERLINK("https://otsuka-europe-crm.veevavault.com/ui/#object/vcountry__v/VENZ000004SONF5", "ES")</f>
        <v>ES</v>
      </c>
      <c r="C4276" s="8" t="s">
        <v>39</v>
      </c>
      <c r="D4276" s="9" t="str">
        <f>HYPERLINK("https://otsuka-europe-crm.veevavault.com/ui/#object/approved_document__v/V5OZ025E82U1785", "LUP - Poster Deep Response - reuma")</f>
        <v>LUP - Poster Deep Response - reuma</v>
      </c>
      <c r="E4276" s="10" t="str">
        <f>HYPERLINK("https://otsuka-europe-crm.veevavault.com/ui/#object/sent_email__v/VBL000000037142", "SE-001443745")</f>
        <v>SE-001443745</v>
      </c>
      <c r="F4276" s="11"/>
      <c r="G4276" s="12">
        <v>0</v>
      </c>
      <c r="H4276" s="12">
        <v>0</v>
      </c>
      <c r="I4276" s="12">
        <v>0</v>
      </c>
      <c r="J4276" s="11"/>
      <c r="K4276" s="12">
        <v>0</v>
      </c>
      <c r="L4276" s="10" t="str">
        <f>HYPERLINK("https://otsuka-europe-crm.veevavault.com/ui/#object/approved_document__v/V5OZ025E82U1785", "LUP - Poster Deep Response - reuma")</f>
        <v>LUP - Poster Deep Response - reuma</v>
      </c>
      <c r="M4276" s="10" t="str">
        <f>HYPERLINK("mailto:gsammali@crm.otsuka-europe.com", "gsammali@crm.otsuka-europe.com")</f>
        <v>gsammali@crm.otsuka-europe.com</v>
      </c>
      <c r="N4276" s="13">
        <v>46216.440370370372</v>
      </c>
      <c r="O4276" s="14" t="str">
        <f>HYPERLINK("https://otsuka-europe-crm.veevavault.com/ui/#object/email_activity__v/V8C000000049284", "EN-002105388")</f>
        <v>EN-002105388</v>
      </c>
    </row>
    <row r="4277" spans="1:15" ht="16" x14ac:dyDescent="0.2">
      <c r="A4277" s="18" t="str">
        <f>HYPERLINK("https://otsuka-europe-crm.veevavault.com/ui/#object/account__v/V4TZ04ASGCDJCG0", "MARIA PILAR SANTO PANERO")</f>
        <v>MARIA PILAR SANTO PANERO</v>
      </c>
      <c r="B4277" s="18" t="str">
        <f>HYPERLINK("https://otsuka-europe-crm.veevavault.com/ui/#object/vcountry__v/VENZ000004SONF5", "ES")</f>
        <v>ES</v>
      </c>
      <c r="C4277" s="20" t="s">
        <v>39</v>
      </c>
      <c r="D4277" s="21" t="str">
        <f>HYPERLINK("https://otsuka-europe-crm.veevavault.com/ui/#object/approved_document__v/V5OZ025E82U1785", "LUP - Poster Deep Response - reuma")</f>
        <v>LUP - Poster Deep Response - reuma</v>
      </c>
      <c r="E4277" s="22" t="str">
        <f>HYPERLINK("https://otsuka-europe-crm.veevavault.com/ui/#object/sent_email__v/VBL000000037143", "SE-001443746")</f>
        <v>SE-001443746</v>
      </c>
      <c r="F4277" s="25">
        <v>46216.449872685182</v>
      </c>
      <c r="G4277" s="24">
        <v>1</v>
      </c>
      <c r="H4277" s="24">
        <v>2</v>
      </c>
      <c r="I4277" s="24">
        <v>0</v>
      </c>
      <c r="J4277" s="23"/>
      <c r="K4277" s="24">
        <v>0</v>
      </c>
      <c r="L4277" s="22" t="str">
        <f>HYPERLINK("https://otsuka-europe-crm.veevavault.com/ui/#object/approved_document__v/V5OZ025E82U1785", "LUP - Poster Deep Response - reuma")</f>
        <v>LUP - Poster Deep Response - reuma</v>
      </c>
      <c r="M4277" s="22" t="str">
        <f>HYPERLINK("mailto:gsammali@crm.otsuka-europe.com", "gsammali@crm.otsuka-europe.com")</f>
        <v>gsammali@crm.otsuka-europe.com</v>
      </c>
      <c r="N4277" s="25">
        <v>46216.440370370372</v>
      </c>
      <c r="O4277" s="14" t="str">
        <f>HYPERLINK("https://otsuka-europe-crm.veevavault.com/ui/#object/email_activity__v/V8C000000049285", "EN-002105389")</f>
        <v>EN-002105389</v>
      </c>
    </row>
    <row r="4278" spans="1:15" ht="16" x14ac:dyDescent="0.2">
      <c r="A4278" s="26"/>
      <c r="B4278" s="26"/>
      <c r="C4278" s="26"/>
      <c r="D4278" s="26"/>
      <c r="E4278" s="26"/>
      <c r="F4278" s="26"/>
      <c r="G4278" s="26"/>
      <c r="H4278" s="26"/>
      <c r="I4278" s="26"/>
      <c r="J4278" s="26"/>
      <c r="K4278" s="26"/>
      <c r="L4278" s="26"/>
      <c r="M4278" s="26"/>
      <c r="N4278" s="26"/>
      <c r="O4278" s="14" t="str">
        <f>HYPERLINK("https://otsuka-europe-crm.veevavault.com/ui/#object/email_activity__v/V8C000000049318", "EN-002105443")</f>
        <v>EN-002105443</v>
      </c>
    </row>
    <row r="4279" spans="1:15" ht="16" x14ac:dyDescent="0.2">
      <c r="A4279" s="19"/>
      <c r="B4279" s="19"/>
      <c r="C4279" s="19"/>
      <c r="D4279" s="19"/>
      <c r="E4279" s="19"/>
      <c r="F4279" s="19"/>
      <c r="G4279" s="19"/>
      <c r="H4279" s="19"/>
      <c r="I4279" s="19"/>
      <c r="J4279" s="19"/>
      <c r="K4279" s="19"/>
      <c r="L4279" s="19"/>
      <c r="M4279" s="19"/>
      <c r="N4279" s="19"/>
      <c r="O4279" s="14" t="str">
        <f>HYPERLINK("https://otsuka-europe-crm.veevavault.com/ui/#object/email_activity__v/V8C00000004A267", "EN-002105459")</f>
        <v>EN-002105459</v>
      </c>
    </row>
    <row r="4280" spans="1:15" ht="32" x14ac:dyDescent="0.2">
      <c r="A4280" s="7" t="str">
        <f>HYPERLINK("https://otsuka-europe-crm.veevavault.com/ui/#object/account__v/V4TZ04ASG9MC2X2", "SERGIO HEREDIA MARTIN")</f>
        <v>SERGIO HEREDIA MARTIN</v>
      </c>
      <c r="B4280" s="7" t="str">
        <f>HYPERLINK("https://otsuka-europe-crm.veevavault.com/ui/#object/vcountry__v/VENZ000004SONF5", "ES")</f>
        <v>ES</v>
      </c>
      <c r="C4280" s="8" t="s">
        <v>39</v>
      </c>
      <c r="D4280" s="9" t="str">
        <f>HYPERLINK("https://otsuka-europe-crm.veevavault.com/ui/#object/approved_document__v/V5OZ025E82U1785", "LUP - Poster Deep Response - reuma")</f>
        <v>LUP - Poster Deep Response - reuma</v>
      </c>
      <c r="E4280" s="10" t="str">
        <f>HYPERLINK("https://otsuka-europe-crm.veevavault.com/ui/#object/sent_email__v/VBL000000037144", "SE-001443747")</f>
        <v>SE-001443747</v>
      </c>
      <c r="F4280" s="11"/>
      <c r="G4280" s="12">
        <v>0</v>
      </c>
      <c r="H4280" s="12">
        <v>0</v>
      </c>
      <c r="I4280" s="12">
        <v>0</v>
      </c>
      <c r="J4280" s="11"/>
      <c r="K4280" s="12">
        <v>0</v>
      </c>
      <c r="L4280" s="10" t="str">
        <f>HYPERLINK("https://otsuka-europe-crm.veevavault.com/ui/#object/approved_document__v/V5OZ025E82U1785", "LUP - Poster Deep Response - reuma")</f>
        <v>LUP - Poster Deep Response - reuma</v>
      </c>
      <c r="M4280" s="10" t="str">
        <f>HYPERLINK("mailto:gsammali@crm.otsuka-europe.com", "gsammali@crm.otsuka-europe.com")</f>
        <v>gsammali@crm.otsuka-europe.com</v>
      </c>
      <c r="N4280" s="13">
        <v>46216.440370370372</v>
      </c>
      <c r="O4280" s="14" t="str">
        <f>HYPERLINK("https://otsuka-europe-crm.veevavault.com/ui/#object/email_activity__v/V8C000000049278", "EN-002105377")</f>
        <v>EN-002105377</v>
      </c>
    </row>
    <row r="4281" spans="1:15" ht="16" x14ac:dyDescent="0.2">
      <c r="A4281" s="18" t="str">
        <f>HYPERLINK("https://otsuka-europe-crm.veevavault.com/ui/#object/account__v/V4TZ04ASGAP2CFD", "ROBERTO FRANCO GUMUCIO SANGUINO")</f>
        <v>ROBERTO FRANCO GUMUCIO SANGUINO</v>
      </c>
      <c r="B4281" s="18" t="str">
        <f>HYPERLINK("https://otsuka-europe-crm.veevavault.com/ui/#object/vcountry__v/VENZ000004SONF5", "ES")</f>
        <v>ES</v>
      </c>
      <c r="C4281" s="20" t="s">
        <v>39</v>
      </c>
      <c r="D4281" s="21" t="str">
        <f>HYPERLINK("https://otsuka-europe-crm.veevavault.com/ui/#object/approved_document__v/V5OZ025E82U1785", "LUP - Poster Deep Response - reuma")</f>
        <v>LUP - Poster Deep Response - reuma</v>
      </c>
      <c r="E4281" s="22" t="str">
        <f>HYPERLINK("https://otsuka-europe-crm.veevavault.com/ui/#object/sent_email__v/VBL000000037145", "SE-001443748")</f>
        <v>SE-001443748</v>
      </c>
      <c r="F4281" s="25">
        <v>46216.440532407411</v>
      </c>
      <c r="G4281" s="24">
        <v>1</v>
      </c>
      <c r="H4281" s="24">
        <v>1</v>
      </c>
      <c r="I4281" s="24">
        <v>0</v>
      </c>
      <c r="J4281" s="23"/>
      <c r="K4281" s="24">
        <v>0</v>
      </c>
      <c r="L4281" s="22" t="str">
        <f>HYPERLINK("https://otsuka-europe-crm.veevavault.com/ui/#object/approved_document__v/V5OZ025E82U1785", "LUP - Poster Deep Response - reuma")</f>
        <v>LUP - Poster Deep Response - reuma</v>
      </c>
      <c r="M4281" s="22" t="str">
        <f>HYPERLINK("mailto:gsammali@crm.otsuka-europe.com", "gsammali@crm.otsuka-europe.com")</f>
        <v>gsammali@crm.otsuka-europe.com</v>
      </c>
      <c r="N4281" s="25">
        <v>46216.440370370372</v>
      </c>
      <c r="O4281" s="14" t="str">
        <f>HYPERLINK("https://otsuka-europe-crm.veevavault.com/ui/#object/email_activity__v/V8C000000049272", "EN-002105371")</f>
        <v>EN-002105371</v>
      </c>
    </row>
    <row r="4282" spans="1:15" ht="16" x14ac:dyDescent="0.2">
      <c r="A4282" s="19"/>
      <c r="B4282" s="19"/>
      <c r="C4282" s="19"/>
      <c r="D4282" s="19"/>
      <c r="E4282" s="19"/>
      <c r="F4282" s="19"/>
      <c r="G4282" s="19"/>
      <c r="H4282" s="19"/>
      <c r="I4282" s="19"/>
      <c r="J4282" s="19"/>
      <c r="K4282" s="19"/>
      <c r="L4282" s="19"/>
      <c r="M4282" s="19"/>
      <c r="N4282" s="19"/>
      <c r="O4282" s="14" t="str">
        <f>HYPERLINK("https://otsuka-europe-crm.veevavault.com/ui/#object/email_activity__v/V8C000000049301", "EN-002105411")</f>
        <v>EN-002105411</v>
      </c>
    </row>
    <row r="4283" spans="1:15" ht="32" x14ac:dyDescent="0.2">
      <c r="A4283" s="7" t="str">
        <f>HYPERLINK("https://otsuka-europe-crm.veevavault.com/ui/#object/account__v/V4TZ04ASGAP1UYL", "MARIA CARMEN GARCIA GOMEZ")</f>
        <v>MARIA CARMEN GARCIA GOMEZ</v>
      </c>
      <c r="B4283" s="7" t="str">
        <f t="shared" ref="B4283:B4289" si="198">HYPERLINK("https://otsuka-europe-crm.veevavault.com/ui/#object/vcountry__v/VENZ000004SONF5", "ES")</f>
        <v>ES</v>
      </c>
      <c r="C4283" s="8" t="s">
        <v>39</v>
      </c>
      <c r="D4283" s="9" t="str">
        <f t="shared" ref="D4283:D4289" si="199">HYPERLINK("https://otsuka-europe-crm.veevavault.com/ui/#object/approved_document__v/V5OZ025E82U1785", "LUP - Poster Deep Response - reuma")</f>
        <v>LUP - Poster Deep Response - reuma</v>
      </c>
      <c r="E4283" s="10" t="str">
        <f>HYPERLINK("https://otsuka-europe-crm.veevavault.com/ui/#object/sent_email__v/VBL000000037146", "SE-001443749")</f>
        <v>SE-001443749</v>
      </c>
      <c r="F4283" s="11"/>
      <c r="G4283" s="12">
        <v>0</v>
      </c>
      <c r="H4283" s="12">
        <v>0</v>
      </c>
      <c r="I4283" s="12">
        <v>0</v>
      </c>
      <c r="J4283" s="11"/>
      <c r="K4283" s="12">
        <v>0</v>
      </c>
      <c r="L4283" s="10" t="str">
        <f t="shared" ref="L4283:L4289" si="200">HYPERLINK("https://otsuka-europe-crm.veevavault.com/ui/#object/approved_document__v/V5OZ025E82U1785", "LUP - Poster Deep Response - reuma")</f>
        <v>LUP - Poster Deep Response - reuma</v>
      </c>
      <c r="M4283" s="10" t="str">
        <f t="shared" ref="M4283:M4289" si="201">HYPERLINK("mailto:gsammali@crm.otsuka-europe.com", "gsammali@crm.otsuka-europe.com")</f>
        <v>gsammali@crm.otsuka-europe.com</v>
      </c>
      <c r="N4283" s="13">
        <v>46216.440370370372</v>
      </c>
      <c r="O4283" s="14" t="str">
        <f>HYPERLINK("https://otsuka-europe-crm.veevavault.com/ui/#object/email_activity__v/V8C000000049273", "EN-002105372")</f>
        <v>EN-002105372</v>
      </c>
    </row>
    <row r="4284" spans="1:15" ht="32" x14ac:dyDescent="0.2">
      <c r="A4284" s="7" t="str">
        <f>HYPERLINK("https://otsuka-europe-crm.veevavault.com/ui/#object/account__v/V4TZ06G6O9VLJHY", "ANNE MARGARET RIVEROS FRUTOS")</f>
        <v>ANNE MARGARET RIVEROS FRUTOS</v>
      </c>
      <c r="B4284" s="7" t="str">
        <f t="shared" si="198"/>
        <v>ES</v>
      </c>
      <c r="C4284" s="8" t="s">
        <v>39</v>
      </c>
      <c r="D4284" s="9" t="str">
        <f t="shared" si="199"/>
        <v>LUP - Poster Deep Response - reuma</v>
      </c>
      <c r="E4284" s="10" t="str">
        <f>HYPERLINK("https://otsuka-europe-crm.veevavault.com/ui/#object/sent_email__v/VBL000000037147", "SE-001443750")</f>
        <v>SE-001443750</v>
      </c>
      <c r="F4284" s="11"/>
      <c r="G4284" s="12">
        <v>0</v>
      </c>
      <c r="H4284" s="12">
        <v>0</v>
      </c>
      <c r="I4284" s="12">
        <v>0</v>
      </c>
      <c r="J4284" s="11"/>
      <c r="K4284" s="12">
        <v>0</v>
      </c>
      <c r="L4284" s="10" t="str">
        <f t="shared" si="200"/>
        <v>LUP - Poster Deep Response - reuma</v>
      </c>
      <c r="M4284" s="10" t="str">
        <f t="shared" si="201"/>
        <v>gsammali@crm.otsuka-europe.com</v>
      </c>
      <c r="N4284" s="13">
        <v>46216.440312500003</v>
      </c>
      <c r="O4284" s="14" t="str">
        <f>HYPERLINK("https://otsuka-europe-crm.veevavault.com/ui/#object/email_activity__v/V8C00000004A240", "EN-002105392")</f>
        <v>EN-002105392</v>
      </c>
    </row>
    <row r="4285" spans="1:15" ht="32" x14ac:dyDescent="0.2">
      <c r="A4285" s="7" t="str">
        <f>HYPERLINK("https://otsuka-europe-crm.veevavault.com/ui/#object/account__v/V4TZ04ASGB9IGTL", "JORDI GRATACOS MASMITJA")</f>
        <v>JORDI GRATACOS MASMITJA</v>
      </c>
      <c r="B4285" s="7" t="str">
        <f t="shared" si="198"/>
        <v>ES</v>
      </c>
      <c r="C4285" s="8" t="s">
        <v>39</v>
      </c>
      <c r="D4285" s="9" t="str">
        <f t="shared" si="199"/>
        <v>LUP - Poster Deep Response - reuma</v>
      </c>
      <c r="E4285" s="10" t="str">
        <f>HYPERLINK("https://otsuka-europe-crm.veevavault.com/ui/#object/sent_email__v/VBL000000037148", "SE-001443751")</f>
        <v>SE-001443751</v>
      </c>
      <c r="F4285" s="11"/>
      <c r="G4285" s="12">
        <v>0</v>
      </c>
      <c r="H4285" s="12">
        <v>0</v>
      </c>
      <c r="I4285" s="12">
        <v>0</v>
      </c>
      <c r="J4285" s="11"/>
      <c r="K4285" s="12">
        <v>0</v>
      </c>
      <c r="L4285" s="10" t="str">
        <f t="shared" si="200"/>
        <v>LUP - Poster Deep Response - reuma</v>
      </c>
      <c r="M4285" s="10" t="str">
        <f t="shared" si="201"/>
        <v>gsammali@crm.otsuka-europe.com</v>
      </c>
      <c r="N4285" s="13">
        <v>46216.440312500003</v>
      </c>
      <c r="O4285" s="14" t="str">
        <f>HYPERLINK("https://otsuka-europe-crm.veevavault.com/ui/#object/email_activity__v/V8C000000049268", "EN-002105367")</f>
        <v>EN-002105367</v>
      </c>
    </row>
    <row r="4286" spans="1:15" ht="32" x14ac:dyDescent="0.2">
      <c r="A4286" s="7" t="str">
        <f>HYPERLINK("https://otsuka-europe-crm.veevavault.com/ui/#object/account__v/V4TZ04ASG9MH6QM", "LAURA FARRAN ORTEGA")</f>
        <v>LAURA FARRAN ORTEGA</v>
      </c>
      <c r="B4286" s="7" t="str">
        <f t="shared" si="198"/>
        <v>ES</v>
      </c>
      <c r="C4286" s="8" t="s">
        <v>39</v>
      </c>
      <c r="D4286" s="9" t="str">
        <f t="shared" si="199"/>
        <v>LUP - Poster Deep Response - reuma</v>
      </c>
      <c r="E4286" s="10" t="str">
        <f>HYPERLINK("https://otsuka-europe-crm.veevavault.com/ui/#object/sent_email__v/VBL000000037149", "SE-001443752")</f>
        <v>SE-001443752</v>
      </c>
      <c r="F4286" s="11"/>
      <c r="G4286" s="12">
        <v>0</v>
      </c>
      <c r="H4286" s="12">
        <v>0</v>
      </c>
      <c r="I4286" s="12">
        <v>0</v>
      </c>
      <c r="J4286" s="11"/>
      <c r="K4286" s="12">
        <v>0</v>
      </c>
      <c r="L4286" s="10" t="str">
        <f t="shared" si="200"/>
        <v>LUP - Poster Deep Response - reuma</v>
      </c>
      <c r="M4286" s="10" t="str">
        <f t="shared" si="201"/>
        <v>gsammali@crm.otsuka-europe.com</v>
      </c>
      <c r="N4286" s="13">
        <v>46216.440312500003</v>
      </c>
      <c r="O4286" s="14" t="str">
        <f>HYPERLINK("https://otsuka-europe-crm.veevavault.com/ui/#object/email_activity__v/V8C000000049275", "EN-002105374")</f>
        <v>EN-002105374</v>
      </c>
    </row>
    <row r="4287" spans="1:15" ht="32" x14ac:dyDescent="0.2">
      <c r="A4287" s="7" t="str">
        <f>HYPERLINK("https://otsuka-europe-crm.veevavault.com/ui/#object/account__v/V4TZ04ASGAVF4D4", "AGUSTI SELLAS FERNANDEZ")</f>
        <v>AGUSTI SELLAS FERNANDEZ</v>
      </c>
      <c r="B4287" s="7" t="str">
        <f t="shared" si="198"/>
        <v>ES</v>
      </c>
      <c r="C4287" s="8" t="s">
        <v>39</v>
      </c>
      <c r="D4287" s="9" t="str">
        <f t="shared" si="199"/>
        <v>LUP - Poster Deep Response - reuma</v>
      </c>
      <c r="E4287" s="10" t="str">
        <f>HYPERLINK("https://otsuka-europe-crm.veevavault.com/ui/#object/sent_email__v/VBL000000037150", "SE-001443753")</f>
        <v>SE-001443753</v>
      </c>
      <c r="F4287" s="11"/>
      <c r="G4287" s="12">
        <v>0</v>
      </c>
      <c r="H4287" s="12">
        <v>0</v>
      </c>
      <c r="I4287" s="12">
        <v>0</v>
      </c>
      <c r="J4287" s="11"/>
      <c r="K4287" s="12">
        <v>0</v>
      </c>
      <c r="L4287" s="10" t="str">
        <f t="shared" si="200"/>
        <v>LUP - Poster Deep Response - reuma</v>
      </c>
      <c r="M4287" s="10" t="str">
        <f t="shared" si="201"/>
        <v>gsammali@crm.otsuka-europe.com</v>
      </c>
      <c r="N4287" s="13">
        <v>46216.440370370372</v>
      </c>
      <c r="O4287" s="14" t="str">
        <f>HYPERLINK("https://otsuka-europe-crm.veevavault.com/ui/#object/email_activity__v/V8C000000049291", "EN-002105399")</f>
        <v>EN-002105399</v>
      </c>
    </row>
    <row r="4288" spans="1:15" ht="32" x14ac:dyDescent="0.2">
      <c r="A4288" s="7" t="str">
        <f>HYPERLINK("https://otsuka-europe-crm.veevavault.com/ui/#object/account__v/V4TZ025E83P7WIE", "ELENA RIERA ALONSO")</f>
        <v>ELENA RIERA ALONSO</v>
      </c>
      <c r="B4288" s="7" t="str">
        <f t="shared" si="198"/>
        <v>ES</v>
      </c>
      <c r="C4288" s="8" t="s">
        <v>39</v>
      </c>
      <c r="D4288" s="9" t="str">
        <f t="shared" si="199"/>
        <v>LUP - Poster Deep Response - reuma</v>
      </c>
      <c r="E4288" s="10" t="str">
        <f>HYPERLINK("https://otsuka-europe-crm.veevavault.com/ui/#object/sent_email__v/VBL000000037151", "SE-001443754")</f>
        <v>SE-001443754</v>
      </c>
      <c r="F4288" s="11"/>
      <c r="G4288" s="12">
        <v>0</v>
      </c>
      <c r="H4288" s="12">
        <v>0</v>
      </c>
      <c r="I4288" s="12">
        <v>0</v>
      </c>
      <c r="J4288" s="11"/>
      <c r="K4288" s="12">
        <v>0</v>
      </c>
      <c r="L4288" s="10" t="str">
        <f t="shared" si="200"/>
        <v>LUP - Poster Deep Response - reuma</v>
      </c>
      <c r="M4288" s="10" t="str">
        <f t="shared" si="201"/>
        <v>gsammali@crm.otsuka-europe.com</v>
      </c>
      <c r="N4288" s="13">
        <v>46216.440370370372</v>
      </c>
      <c r="O4288" s="14" t="str">
        <f>HYPERLINK("https://otsuka-europe-crm.veevavault.com/ui/#object/email_activity__v/V8C000000049276", "EN-002105375")</f>
        <v>EN-002105375</v>
      </c>
    </row>
    <row r="4289" spans="1:15" ht="16" x14ac:dyDescent="0.2">
      <c r="A4289" s="18" t="str">
        <f>HYPERLINK("https://otsuka-europe-crm.veevavault.com/ui/#object/account__v/V4TZ04ASGCDJBDQ", "ELENA LEONOR SIRVENT ALIERTA")</f>
        <v>ELENA LEONOR SIRVENT ALIERTA</v>
      </c>
      <c r="B4289" s="18" t="str">
        <f t="shared" si="198"/>
        <v>ES</v>
      </c>
      <c r="C4289" s="20" t="s">
        <v>39</v>
      </c>
      <c r="D4289" s="21" t="str">
        <f t="shared" si="199"/>
        <v>LUP - Poster Deep Response - reuma</v>
      </c>
      <c r="E4289" s="22" t="str">
        <f>HYPERLINK("https://otsuka-europe-crm.veevavault.com/ui/#object/sent_email__v/VBL000000037152", "SE-001443755")</f>
        <v>SE-001443755</v>
      </c>
      <c r="F4289" s="25">
        <v>46216.440682870372</v>
      </c>
      <c r="G4289" s="24">
        <v>1</v>
      </c>
      <c r="H4289" s="24">
        <v>1</v>
      </c>
      <c r="I4289" s="24">
        <v>0</v>
      </c>
      <c r="J4289" s="23"/>
      <c r="K4289" s="24">
        <v>0</v>
      </c>
      <c r="L4289" s="22" t="str">
        <f t="shared" si="200"/>
        <v>LUP - Poster Deep Response - reuma</v>
      </c>
      <c r="M4289" s="22" t="str">
        <f t="shared" si="201"/>
        <v>gsammali@crm.otsuka-europe.com</v>
      </c>
      <c r="N4289" s="25">
        <v>46216.440370370372</v>
      </c>
      <c r="O4289" s="14" t="str">
        <f>HYPERLINK("https://otsuka-europe-crm.veevavault.com/ui/#object/email_activity__v/V8C000000049274", "EN-002105373")</f>
        <v>EN-002105373</v>
      </c>
    </row>
    <row r="4290" spans="1:15" ht="16" x14ac:dyDescent="0.2">
      <c r="A4290" s="19"/>
      <c r="B4290" s="19"/>
      <c r="C4290" s="19"/>
      <c r="D4290" s="19"/>
      <c r="E4290" s="19"/>
      <c r="F4290" s="19"/>
      <c r="G4290" s="19"/>
      <c r="H4290" s="19"/>
      <c r="I4290" s="19"/>
      <c r="J4290" s="19"/>
      <c r="K4290" s="19"/>
      <c r="L4290" s="19"/>
      <c r="M4290" s="19"/>
      <c r="N4290" s="19"/>
      <c r="O4290" s="14" t="str">
        <f>HYPERLINK("https://otsuka-europe-crm.veevavault.com/ui/#object/email_activity__v/V8C00000004A249", "EN-002105424")</f>
        <v>EN-002105424</v>
      </c>
    </row>
    <row r="4291" spans="1:15" ht="32" x14ac:dyDescent="0.2">
      <c r="A4291" s="7" t="str">
        <f>HYPERLINK("https://otsuka-europe-crm.veevavault.com/ui/#object/account__v/V4TZ04ASG9M8EXK", "JUDIT FONT URGELLES")</f>
        <v>JUDIT FONT URGELLES</v>
      </c>
      <c r="B4291" s="7" t="str">
        <f t="shared" ref="B4291:B4296" si="202">HYPERLINK("https://otsuka-europe-crm.veevavault.com/ui/#object/vcountry__v/VENZ000004SONF5", "ES")</f>
        <v>ES</v>
      </c>
      <c r="C4291" s="8" t="s">
        <v>39</v>
      </c>
      <c r="D4291" s="9" t="str">
        <f t="shared" ref="D4291:D4296" si="203">HYPERLINK("https://otsuka-europe-crm.veevavault.com/ui/#object/approved_document__v/V5OZ025E82U1785", "LUP - Poster Deep Response - reuma")</f>
        <v>LUP - Poster Deep Response - reuma</v>
      </c>
      <c r="E4291" s="10" t="str">
        <f>HYPERLINK("https://otsuka-europe-crm.veevavault.com/ui/#object/sent_email__v/VBL000000037153", "SE-001443756")</f>
        <v>SE-001443756</v>
      </c>
      <c r="F4291" s="11"/>
      <c r="G4291" s="12">
        <v>0</v>
      </c>
      <c r="H4291" s="12">
        <v>0</v>
      </c>
      <c r="I4291" s="12">
        <v>0</v>
      </c>
      <c r="J4291" s="11"/>
      <c r="K4291" s="12">
        <v>0</v>
      </c>
      <c r="L4291" s="10" t="str">
        <f t="shared" ref="L4291:L4296" si="204">HYPERLINK("https://otsuka-europe-crm.veevavault.com/ui/#object/approved_document__v/V5OZ025E82U1785", "LUP - Poster Deep Response - reuma")</f>
        <v>LUP - Poster Deep Response - reuma</v>
      </c>
      <c r="M4291" s="10" t="str">
        <f t="shared" ref="M4291:M4296" si="205">HYPERLINK("mailto:gsammali@crm.otsuka-europe.com", "gsammali@crm.otsuka-europe.com")</f>
        <v>gsammali@crm.otsuka-europe.com</v>
      </c>
      <c r="N4291" s="13">
        <v>46216.440370370372</v>
      </c>
      <c r="O4291" s="14" t="str">
        <f>HYPERLINK("https://otsuka-europe-crm.veevavault.com/ui/#object/email_activity__v/V8C00000004A230", "EN-002105360")</f>
        <v>EN-002105360</v>
      </c>
    </row>
    <row r="4292" spans="1:15" ht="32" x14ac:dyDescent="0.2">
      <c r="A4292" s="7" t="str">
        <f>HYPERLINK("https://otsuka-europe-crm.veevavault.com/ui/#object/account__v/V4TZ04ASGAP2D65", "MARIA MARTA BIANCHI")</f>
        <v>MARIA MARTA BIANCHI</v>
      </c>
      <c r="B4292" s="7" t="str">
        <f t="shared" si="202"/>
        <v>ES</v>
      </c>
      <c r="C4292" s="8" t="s">
        <v>39</v>
      </c>
      <c r="D4292" s="9" t="str">
        <f t="shared" si="203"/>
        <v>LUP - Poster Deep Response - reuma</v>
      </c>
      <c r="E4292" s="10" t="str">
        <f>HYPERLINK("https://otsuka-europe-crm.veevavault.com/ui/#object/sent_email__v/VBL000000037154", "SE-001443757")</f>
        <v>SE-001443757</v>
      </c>
      <c r="F4292" s="11"/>
      <c r="G4292" s="12">
        <v>0</v>
      </c>
      <c r="H4292" s="12">
        <v>0</v>
      </c>
      <c r="I4292" s="12">
        <v>0</v>
      </c>
      <c r="J4292" s="11"/>
      <c r="K4292" s="12">
        <v>0</v>
      </c>
      <c r="L4292" s="10" t="str">
        <f t="shared" si="204"/>
        <v>LUP - Poster Deep Response - reuma</v>
      </c>
      <c r="M4292" s="10" t="str">
        <f t="shared" si="205"/>
        <v>gsammali@crm.otsuka-europe.com</v>
      </c>
      <c r="N4292" s="13">
        <v>46216.440370370372</v>
      </c>
      <c r="O4292" s="14" t="str">
        <f>HYPERLINK("https://otsuka-europe-crm.veevavault.com/ui/#object/email_activity__v/V8C000000049292", "EN-002105400")</f>
        <v>EN-002105400</v>
      </c>
    </row>
    <row r="4293" spans="1:15" ht="32" x14ac:dyDescent="0.2">
      <c r="A4293" s="7" t="str">
        <f>HYPERLINK("https://otsuka-europe-crm.veevavault.com/ui/#object/account__v/V4TZ04ASG9MC2VK", "DELIA REINA SANZ")</f>
        <v>DELIA REINA SANZ</v>
      </c>
      <c r="B4293" s="7" t="str">
        <f t="shared" si="202"/>
        <v>ES</v>
      </c>
      <c r="C4293" s="8" t="s">
        <v>39</v>
      </c>
      <c r="D4293" s="9" t="str">
        <f t="shared" si="203"/>
        <v>LUP - Poster Deep Response - reuma</v>
      </c>
      <c r="E4293" s="10" t="str">
        <f>HYPERLINK("https://otsuka-europe-crm.veevavault.com/ui/#object/sent_email__v/VBL000000037155", "SE-001443758")</f>
        <v>SE-001443758</v>
      </c>
      <c r="F4293" s="11"/>
      <c r="G4293" s="12">
        <v>0</v>
      </c>
      <c r="H4293" s="12">
        <v>0</v>
      </c>
      <c r="I4293" s="12">
        <v>0</v>
      </c>
      <c r="J4293" s="11"/>
      <c r="K4293" s="12">
        <v>0</v>
      </c>
      <c r="L4293" s="10" t="str">
        <f t="shared" si="204"/>
        <v>LUP - Poster Deep Response - reuma</v>
      </c>
      <c r="M4293" s="10" t="str">
        <f t="shared" si="205"/>
        <v>gsammali@crm.otsuka-europe.com</v>
      </c>
      <c r="N4293" s="13">
        <v>46216.440370370372</v>
      </c>
      <c r="O4293" s="14" t="str">
        <f>HYPERLINK("https://otsuka-europe-crm.veevavault.com/ui/#object/email_activity__v/V8C000000049289", "EN-002105397")</f>
        <v>EN-002105397</v>
      </c>
    </row>
    <row r="4294" spans="1:15" ht="32" x14ac:dyDescent="0.2">
      <c r="A4294" s="7" t="str">
        <f>HYPERLINK("https://otsuka-europe-crm.veevavault.com/ui/#object/account__v/V4TZ06G6OB4F1KD", "FRANCISCO JAVIER NARVAEZ GARCIA")</f>
        <v>FRANCISCO JAVIER NARVAEZ GARCIA</v>
      </c>
      <c r="B4294" s="7" t="str">
        <f t="shared" si="202"/>
        <v>ES</v>
      </c>
      <c r="C4294" s="8" t="s">
        <v>39</v>
      </c>
      <c r="D4294" s="9" t="str">
        <f t="shared" si="203"/>
        <v>LUP - Poster Deep Response - reuma</v>
      </c>
      <c r="E4294" s="10" t="str">
        <f>HYPERLINK("https://otsuka-europe-crm.veevavault.com/ui/#object/sent_email__v/VBL000000037156", "SE-001443759")</f>
        <v>SE-001443759</v>
      </c>
      <c r="F4294" s="11"/>
      <c r="G4294" s="12">
        <v>0</v>
      </c>
      <c r="H4294" s="12">
        <v>0</v>
      </c>
      <c r="I4294" s="12">
        <v>0</v>
      </c>
      <c r="J4294" s="11"/>
      <c r="K4294" s="12">
        <v>0</v>
      </c>
      <c r="L4294" s="10" t="str">
        <f t="shared" si="204"/>
        <v>LUP - Poster Deep Response - reuma</v>
      </c>
      <c r="M4294" s="10" t="str">
        <f t="shared" si="205"/>
        <v>gsammali@crm.otsuka-europe.com</v>
      </c>
      <c r="N4294" s="13">
        <v>46216.440370370372</v>
      </c>
      <c r="O4294" s="14" t="str">
        <f>HYPERLINK("https://otsuka-europe-crm.veevavault.com/ui/#object/email_activity__v/V8C00000004A232", "EN-002105362")</f>
        <v>EN-002105362</v>
      </c>
    </row>
    <row r="4295" spans="1:15" ht="32" x14ac:dyDescent="0.2">
      <c r="A4295" s="7" t="str">
        <f>HYPERLINK("https://otsuka-europe-crm.veevavault.com/ui/#object/account__v/V4TZ04ASGAVCU4P", "IRENE MARTIN ESTEVE")</f>
        <v>IRENE MARTIN ESTEVE</v>
      </c>
      <c r="B4295" s="7" t="str">
        <f t="shared" si="202"/>
        <v>ES</v>
      </c>
      <c r="C4295" s="8" t="s">
        <v>39</v>
      </c>
      <c r="D4295" s="9" t="str">
        <f t="shared" si="203"/>
        <v>LUP - Poster Deep Response - reuma</v>
      </c>
      <c r="E4295" s="10" t="str">
        <f>HYPERLINK("https://otsuka-europe-crm.veevavault.com/ui/#object/sent_email__v/VBL000000037157", "SE-001443760")</f>
        <v>SE-001443760</v>
      </c>
      <c r="F4295" s="11"/>
      <c r="G4295" s="12">
        <v>0</v>
      </c>
      <c r="H4295" s="12">
        <v>0</v>
      </c>
      <c r="I4295" s="12">
        <v>0</v>
      </c>
      <c r="J4295" s="11"/>
      <c r="K4295" s="12">
        <v>0</v>
      </c>
      <c r="L4295" s="10" t="str">
        <f t="shared" si="204"/>
        <v>LUP - Poster Deep Response - reuma</v>
      </c>
      <c r="M4295" s="10" t="str">
        <f t="shared" si="205"/>
        <v>gsammali@crm.otsuka-europe.com</v>
      </c>
      <c r="N4295" s="13">
        <v>46216.440370370372</v>
      </c>
      <c r="O4295" s="14" t="str">
        <f>HYPERLINK("https://otsuka-europe-crm.veevavault.com/ui/#object/email_activity__v/V8C000000049279", "EN-002105378")</f>
        <v>EN-002105378</v>
      </c>
    </row>
    <row r="4296" spans="1:15" ht="16" x14ac:dyDescent="0.2">
      <c r="A4296" s="18" t="str">
        <f>HYPERLINK("https://otsuka-europe-crm.veevavault.com/ui/#object/account__v/V4TZ04ASG9MH522", "XAVIER GONZALEZ GIMENEZ")</f>
        <v>XAVIER GONZALEZ GIMENEZ</v>
      </c>
      <c r="B4296" s="18" t="str">
        <f t="shared" si="202"/>
        <v>ES</v>
      </c>
      <c r="C4296" s="20" t="s">
        <v>39</v>
      </c>
      <c r="D4296" s="21" t="str">
        <f t="shared" si="203"/>
        <v>LUP - Poster Deep Response - reuma</v>
      </c>
      <c r="E4296" s="22" t="str">
        <f>HYPERLINK("https://otsuka-europe-crm.veevavault.com/ui/#object/sent_email__v/VBL000000037158", "SE-001443761")</f>
        <v>SE-001443761</v>
      </c>
      <c r="F4296" s="25">
        <v>46216.586608796293</v>
      </c>
      <c r="G4296" s="24">
        <v>1</v>
      </c>
      <c r="H4296" s="24">
        <v>1</v>
      </c>
      <c r="I4296" s="24">
        <v>0</v>
      </c>
      <c r="J4296" s="23"/>
      <c r="K4296" s="24">
        <v>0</v>
      </c>
      <c r="L4296" s="22" t="str">
        <f t="shared" si="204"/>
        <v>LUP - Poster Deep Response - reuma</v>
      </c>
      <c r="M4296" s="22" t="str">
        <f t="shared" si="205"/>
        <v>gsammali@crm.otsuka-europe.com</v>
      </c>
      <c r="N4296" s="25">
        <v>46216.440370370372</v>
      </c>
      <c r="O4296" s="14" t="str">
        <f>HYPERLINK("https://otsuka-europe-crm.veevavault.com/ui/#object/email_activity__v/V8C00000004A233", "EN-002105363")</f>
        <v>EN-002105363</v>
      </c>
    </row>
    <row r="4297" spans="1:15" ht="16" x14ac:dyDescent="0.2">
      <c r="A4297" s="19"/>
      <c r="B4297" s="19"/>
      <c r="C4297" s="19"/>
      <c r="D4297" s="19"/>
      <c r="E4297" s="19"/>
      <c r="F4297" s="19"/>
      <c r="G4297" s="19"/>
      <c r="H4297" s="19"/>
      <c r="I4297" s="19"/>
      <c r="J4297" s="19"/>
      <c r="K4297" s="19"/>
      <c r="L4297" s="19"/>
      <c r="M4297" s="19"/>
      <c r="N4297" s="19"/>
      <c r="O4297" s="14" t="str">
        <f>HYPERLINK("https://otsuka-europe-crm.veevavault.com/ui/#object/email_activity__v/V8C00000004A296", "EN-002105518")</f>
        <v>EN-002105518</v>
      </c>
    </row>
    <row r="4298" spans="1:15" ht="32" x14ac:dyDescent="0.2">
      <c r="A4298" s="7" t="str">
        <f>HYPERLINK("https://otsuka-europe-crm.veevavault.com/ui/#object/account__v/V4TZ04ASG9M8EVR", "IVETTE CASAFONT SOLE")</f>
        <v>IVETTE CASAFONT SOLE</v>
      </c>
      <c r="B4298" s="7" t="str">
        <f>HYPERLINK("https://otsuka-europe-crm.veevavault.com/ui/#object/vcountry__v/VENZ000004SONF5", "ES")</f>
        <v>ES</v>
      </c>
      <c r="C4298" s="8" t="s">
        <v>39</v>
      </c>
      <c r="D4298" s="9" t="str">
        <f>HYPERLINK("https://otsuka-europe-crm.veevavault.com/ui/#object/approved_document__v/V5OZ025E82U1785", "LUP - Poster Deep Response - reuma")</f>
        <v>LUP - Poster Deep Response - reuma</v>
      </c>
      <c r="E4298" s="10" t="str">
        <f>HYPERLINK("https://otsuka-europe-crm.veevavault.com/ui/#object/sent_email__v/VBL000000037159", "SE-001443762")</f>
        <v>SE-001443762</v>
      </c>
      <c r="F4298" s="11"/>
      <c r="G4298" s="12">
        <v>0</v>
      </c>
      <c r="H4298" s="12">
        <v>0</v>
      </c>
      <c r="I4298" s="12">
        <v>0</v>
      </c>
      <c r="J4298" s="11"/>
      <c r="K4298" s="12">
        <v>0</v>
      </c>
      <c r="L4298" s="10" t="str">
        <f>HYPERLINK("https://otsuka-europe-crm.veevavault.com/ui/#object/approved_document__v/V5OZ025E82U1785", "LUP - Poster Deep Response - reuma")</f>
        <v>LUP - Poster Deep Response - reuma</v>
      </c>
      <c r="M4298" s="10" t="str">
        <f>HYPERLINK("mailto:gsammali@crm.otsuka-europe.com", "gsammali@crm.otsuka-europe.com")</f>
        <v>gsammali@crm.otsuka-europe.com</v>
      </c>
      <c r="N4298" s="13">
        <v>46216.440370370372</v>
      </c>
      <c r="O4298" s="14" t="str">
        <f>HYPERLINK("https://otsuka-europe-crm.veevavault.com/ui/#object/email_activity__v/V8C00000004A231", "EN-002105361")</f>
        <v>EN-002105361</v>
      </c>
    </row>
    <row r="4299" spans="1:15" ht="32" x14ac:dyDescent="0.2">
      <c r="A4299" s="7" t="str">
        <f>HYPERLINK("https://otsuka-europe-crm.veevavault.com/ui/#object/account__v/V4TZ025E82A6MRL", "SONIA CASTELL QUIÑONES")</f>
        <v>SONIA CASTELL QUIÑONES</v>
      </c>
      <c r="B4299" s="7" t="str">
        <f>HYPERLINK("https://otsuka-europe-crm.veevavault.com/ui/#object/vcountry__v/VENZ000004SONF5", "ES")</f>
        <v>ES</v>
      </c>
      <c r="C4299" s="8" t="s">
        <v>39</v>
      </c>
      <c r="D4299" s="9" t="str">
        <f>HYPERLINK("https://otsuka-europe-crm.veevavault.com/ui/#object/approved_document__v/V5OZ025E82U1785", "LUP - Poster Deep Response - reuma")</f>
        <v>LUP - Poster Deep Response - reuma</v>
      </c>
      <c r="E4299" s="10" t="str">
        <f>HYPERLINK("https://otsuka-europe-crm.veevavault.com/ui/#object/sent_email__v/VBL000000037160", "SE-001443763")</f>
        <v>SE-001443763</v>
      </c>
      <c r="F4299" s="11"/>
      <c r="G4299" s="12">
        <v>0</v>
      </c>
      <c r="H4299" s="12">
        <v>0</v>
      </c>
      <c r="I4299" s="12">
        <v>0</v>
      </c>
      <c r="J4299" s="11"/>
      <c r="K4299" s="12">
        <v>0</v>
      </c>
      <c r="L4299" s="10" t="str">
        <f>HYPERLINK("https://otsuka-europe-crm.veevavault.com/ui/#object/approved_document__v/V5OZ025E82U1785", "LUP - Poster Deep Response - reuma")</f>
        <v>LUP - Poster Deep Response - reuma</v>
      </c>
      <c r="M4299" s="10" t="str">
        <f>HYPERLINK("mailto:gsammali@crm.otsuka-europe.com", "gsammali@crm.otsuka-europe.com")</f>
        <v>gsammali@crm.otsuka-europe.com</v>
      </c>
      <c r="N4299" s="13">
        <v>46216.440370370372</v>
      </c>
      <c r="O4299" s="14" t="str">
        <f>HYPERLINK("https://otsuka-europe-crm.veevavault.com/ui/#object/email_activity__v/V8C000000049300", "EN-002105410")</f>
        <v>EN-002105410</v>
      </c>
    </row>
    <row r="4300" spans="1:15" ht="32" x14ac:dyDescent="0.2">
      <c r="A4300" s="7" t="str">
        <f>HYPERLINK("https://otsuka-europe-crm.veevavault.com/ui/#object/account__v/V4TZ04ASGB9IGYN", "JOAN CALVET FONTOVA")</f>
        <v>JOAN CALVET FONTOVA</v>
      </c>
      <c r="B4300" s="7" t="str">
        <f>HYPERLINK("https://otsuka-europe-crm.veevavault.com/ui/#object/vcountry__v/VENZ000004SONF5", "ES")</f>
        <v>ES</v>
      </c>
      <c r="C4300" s="8" t="s">
        <v>39</v>
      </c>
      <c r="D4300" s="9" t="str">
        <f>HYPERLINK("https://otsuka-europe-crm.veevavault.com/ui/#object/approved_document__v/V5OZ025E82U1785", "LUP - Poster Deep Response - reuma")</f>
        <v>LUP - Poster Deep Response - reuma</v>
      </c>
      <c r="E4300" s="10" t="str">
        <f>HYPERLINK("https://otsuka-europe-crm.veevavault.com/ui/#object/sent_email__v/VBL000000037161", "SE-001443764")</f>
        <v>SE-001443764</v>
      </c>
      <c r="F4300" s="11"/>
      <c r="G4300" s="12">
        <v>0</v>
      </c>
      <c r="H4300" s="12">
        <v>0</v>
      </c>
      <c r="I4300" s="12">
        <v>0</v>
      </c>
      <c r="J4300" s="11"/>
      <c r="K4300" s="12">
        <v>0</v>
      </c>
      <c r="L4300" s="10" t="str">
        <f>HYPERLINK("https://otsuka-europe-crm.veevavault.com/ui/#object/approved_document__v/V5OZ025E82U1785", "LUP - Poster Deep Response - reuma")</f>
        <v>LUP - Poster Deep Response - reuma</v>
      </c>
      <c r="M4300" s="10" t="str">
        <f>HYPERLINK("mailto:gsammali@crm.otsuka-europe.com", "gsammali@crm.otsuka-europe.com")</f>
        <v>gsammali@crm.otsuka-europe.com</v>
      </c>
      <c r="N4300" s="13">
        <v>46216.440370370372</v>
      </c>
      <c r="O4300" s="14" t="str">
        <f>HYPERLINK("https://otsuka-europe-crm.veevavault.com/ui/#object/email_activity__v/V8C000000049277", "EN-002105376")</f>
        <v>EN-002105376</v>
      </c>
    </row>
    <row r="4301" spans="1:15" ht="16" x14ac:dyDescent="0.2">
      <c r="A4301" s="18" t="str">
        <f>HYPERLINK("https://otsuka-europe-crm.veevavault.com/ui/#object/account__v/V4TZ025E83FIA0I", "MARIBEL MORA LIMIÑANA")</f>
        <v>MARIBEL MORA LIMIÑANA</v>
      </c>
      <c r="B4301" s="18" t="str">
        <f>HYPERLINK("https://otsuka-europe-crm.veevavault.com/ui/#object/vcountry__v/VENZ000004SONF5", "ES")</f>
        <v>ES</v>
      </c>
      <c r="C4301" s="20" t="s">
        <v>39</v>
      </c>
      <c r="D4301" s="21" t="str">
        <f>HYPERLINK("https://otsuka-europe-crm.veevavault.com/ui/#object/approved_document__v/V5OZ025E82U1785", "LUP - Poster Deep Response - reuma")</f>
        <v>LUP - Poster Deep Response - reuma</v>
      </c>
      <c r="E4301" s="22" t="str">
        <f>HYPERLINK("https://otsuka-europe-crm.veevavault.com/ui/#object/sent_email__v/VBL000000037162", "SE-001443765")</f>
        <v>SE-001443765</v>
      </c>
      <c r="F4301" s="25">
        <v>46216.440636574072</v>
      </c>
      <c r="G4301" s="24">
        <v>1</v>
      </c>
      <c r="H4301" s="24">
        <v>1</v>
      </c>
      <c r="I4301" s="24">
        <v>0</v>
      </c>
      <c r="J4301" s="23"/>
      <c r="K4301" s="24">
        <v>0</v>
      </c>
      <c r="L4301" s="22" t="str">
        <f>HYPERLINK("https://otsuka-europe-crm.veevavault.com/ui/#object/approved_document__v/V5OZ025E82U1785", "LUP - Poster Deep Response - reuma")</f>
        <v>LUP - Poster Deep Response - reuma</v>
      </c>
      <c r="M4301" s="22" t="str">
        <f>HYPERLINK("mailto:gsammali@crm.otsuka-europe.com", "gsammali@crm.otsuka-europe.com")</f>
        <v>gsammali@crm.otsuka-europe.com</v>
      </c>
      <c r="N4301" s="25">
        <v>46216.440370370372</v>
      </c>
      <c r="O4301" s="14" t="str">
        <f>HYPERLINK("https://otsuka-europe-crm.veevavault.com/ui/#object/email_activity__v/V8C000000049312", "EN-002105431")</f>
        <v>EN-002105431</v>
      </c>
    </row>
    <row r="4302" spans="1:15" ht="16" x14ac:dyDescent="0.2">
      <c r="A4302" s="19"/>
      <c r="B4302" s="19"/>
      <c r="C4302" s="19"/>
      <c r="D4302" s="19"/>
      <c r="E4302" s="19"/>
      <c r="F4302" s="19"/>
      <c r="G4302" s="19"/>
      <c r="H4302" s="19"/>
      <c r="I4302" s="19"/>
      <c r="J4302" s="19"/>
      <c r="K4302" s="19"/>
      <c r="L4302" s="19"/>
      <c r="M4302" s="19"/>
      <c r="N4302" s="19"/>
      <c r="O4302" s="14" t="str">
        <f>HYPERLINK("https://otsuka-europe-crm.veevavault.com/ui/#object/email_activity__v/V8C00000004A236", "EN-002105382")</f>
        <v>EN-002105382</v>
      </c>
    </row>
    <row r="4303" spans="1:15" ht="32" x14ac:dyDescent="0.2">
      <c r="A4303" s="7" t="str">
        <f>HYPERLINK("https://otsuka-europe-crm.veevavault.com/ui/#object/account__v/V4TZ04ASG9MH4ZG", "EULALIA ARMENGOL PEREZ")</f>
        <v>EULALIA ARMENGOL PEREZ</v>
      </c>
      <c r="B4303" s="7" t="str">
        <f>HYPERLINK("https://otsuka-europe-crm.veevavault.com/ui/#object/vcountry__v/VENZ000004SONF5", "ES")</f>
        <v>ES</v>
      </c>
      <c r="C4303" s="8" t="s">
        <v>39</v>
      </c>
      <c r="D4303" s="9" t="str">
        <f>HYPERLINK("https://otsuka-europe-crm.veevavault.com/ui/#object/approved_document__v/V5OZ025E82U1785", "LUP - Poster Deep Response - reuma")</f>
        <v>LUP - Poster Deep Response - reuma</v>
      </c>
      <c r="E4303" s="10" t="str">
        <f>HYPERLINK("https://otsuka-europe-crm.veevavault.com/ui/#object/sent_email__v/VBL000000037163", "SE-001443766")</f>
        <v>SE-001443766</v>
      </c>
      <c r="F4303" s="11"/>
      <c r="G4303" s="12">
        <v>0</v>
      </c>
      <c r="H4303" s="12">
        <v>0</v>
      </c>
      <c r="I4303" s="12">
        <v>0</v>
      </c>
      <c r="J4303" s="11"/>
      <c r="K4303" s="12">
        <v>0</v>
      </c>
      <c r="L4303" s="10" t="str">
        <f>HYPERLINK("https://otsuka-europe-crm.veevavault.com/ui/#object/approved_document__v/V5OZ025E82U1785", "LUP - Poster Deep Response - reuma")</f>
        <v>LUP - Poster Deep Response - reuma</v>
      </c>
      <c r="M4303" s="10" t="str">
        <f>HYPERLINK("mailto:gsammali@crm.otsuka-europe.com", "gsammali@crm.otsuka-europe.com")</f>
        <v>gsammali@crm.otsuka-europe.com</v>
      </c>
      <c r="N4303" s="13">
        <v>46216.440370370372</v>
      </c>
      <c r="O4303" s="14" t="str">
        <f>HYPERLINK("https://otsuka-europe-crm.veevavault.com/ui/#object/email_activity__v/V8C00000004A244", "EN-002105402")</f>
        <v>EN-002105402</v>
      </c>
    </row>
    <row r="4304" spans="1:15" ht="64" x14ac:dyDescent="0.2">
      <c r="A4304" s="7" t="str">
        <f>HYPERLINK("https://otsuka-europe-crm.veevavault.com/ui/#object/account__v/V4TZ04ASG9M8EXK", "JUDIT FONT URGELLES")</f>
        <v>JUDIT FONT URGELLES</v>
      </c>
      <c r="B4304" s="7" t="str">
        <f>HYPERLINK("https://otsuka-europe-crm.veevavault.com/ui/#object/vcountry__v/VENZ000004SONF5", "ES")</f>
        <v>ES</v>
      </c>
      <c r="C4304" s="8" t="s">
        <v>39</v>
      </c>
      <c r="D430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04" s="10" t="str">
        <f>HYPERLINK("https://otsuka-europe-crm.veevavault.com/ui/#object/sent_email__v/VBL000000038115", "SE-001443767")</f>
        <v>SE-001443767</v>
      </c>
      <c r="F4304" s="11"/>
      <c r="G4304" s="12">
        <v>0</v>
      </c>
      <c r="H4304" s="12">
        <v>0</v>
      </c>
      <c r="I4304" s="12">
        <v>0</v>
      </c>
      <c r="J4304" s="11"/>
      <c r="K4304" s="12">
        <v>0</v>
      </c>
      <c r="L430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04" s="10" t="str">
        <f>HYPERLINK("mailto:gsammali@crm.otsuka-europe.com", "gsammali@crm.otsuka-europe.com")</f>
        <v>gsammali@crm.otsuka-europe.com</v>
      </c>
      <c r="N4304" s="13">
        <v>46216.440555555557</v>
      </c>
      <c r="O4304" s="14" t="str">
        <f>HYPERLINK("https://otsuka-europe-crm.veevavault.com/ui/#object/email_activity__v/V8C00000004A248", "EN-002105423")</f>
        <v>EN-002105423</v>
      </c>
    </row>
    <row r="4305" spans="1:15" ht="64" x14ac:dyDescent="0.2">
      <c r="A4305" s="7" t="str">
        <f>HYPERLINK("https://otsuka-europe-crm.veevavault.com/ui/#object/account__v/V4TZ04ASGAVCU4P", "IRENE MARTIN ESTEVE")</f>
        <v>IRENE MARTIN ESTEVE</v>
      </c>
      <c r="B4305" s="7" t="str">
        <f>HYPERLINK("https://otsuka-europe-crm.veevavault.com/ui/#object/vcountry__v/VENZ000004SONF5", "ES")</f>
        <v>ES</v>
      </c>
      <c r="C4305" s="8" t="s">
        <v>39</v>
      </c>
      <c r="D430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05" s="10" t="str">
        <f>HYPERLINK("https://otsuka-europe-crm.veevavault.com/ui/#object/sent_email__v/VBL000000038116", "SE-001443768")</f>
        <v>SE-001443768</v>
      </c>
      <c r="F4305" s="11"/>
      <c r="G4305" s="12">
        <v>0</v>
      </c>
      <c r="H4305" s="12">
        <v>0</v>
      </c>
      <c r="I4305" s="12">
        <v>0</v>
      </c>
      <c r="J4305" s="11"/>
      <c r="K4305" s="12">
        <v>0</v>
      </c>
      <c r="L430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05" s="10" t="str">
        <f>HYPERLINK("mailto:gsammali@crm.otsuka-europe.com", "gsammali@crm.otsuka-europe.com")</f>
        <v>gsammali@crm.otsuka-europe.com</v>
      </c>
      <c r="N4305" s="13">
        <v>46216.440555555557</v>
      </c>
      <c r="O4305" s="14" t="str">
        <f>HYPERLINK("https://otsuka-europe-crm.veevavault.com/ui/#object/email_activity__v/V8C000000049298", "EN-002105408")</f>
        <v>EN-002105408</v>
      </c>
    </row>
    <row r="4306" spans="1:15" ht="16" x14ac:dyDescent="0.2">
      <c r="A4306" s="18" t="str">
        <f>HYPERLINK("https://otsuka-europe-crm.veevavault.com/ui/#object/account__v/V4TZ04ASGCDJCG0", "MARIA PILAR SANTO PANERO")</f>
        <v>MARIA PILAR SANTO PANERO</v>
      </c>
      <c r="B4306" s="18" t="str">
        <f>HYPERLINK("https://otsuka-europe-crm.veevavault.com/ui/#object/vcountry__v/VENZ000004SONF5", "ES")</f>
        <v>ES</v>
      </c>
      <c r="C4306" s="20" t="s">
        <v>39</v>
      </c>
      <c r="D430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06" s="22" t="str">
        <f>HYPERLINK("https://otsuka-europe-crm.veevavault.com/ui/#object/sent_email__v/VBL000000038117", "SE-001443769")</f>
        <v>SE-001443769</v>
      </c>
      <c r="F4306" s="25">
        <v>46216.449803240743</v>
      </c>
      <c r="G4306" s="24">
        <v>1</v>
      </c>
      <c r="H4306" s="24">
        <v>2</v>
      </c>
      <c r="I4306" s="24">
        <v>0</v>
      </c>
      <c r="J4306" s="23"/>
      <c r="K4306" s="24">
        <v>0</v>
      </c>
      <c r="L430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06" s="22" t="str">
        <f>HYPERLINK("mailto:gsammali@crm.otsuka-europe.com", "gsammali@crm.otsuka-europe.com")</f>
        <v>gsammali@crm.otsuka-europe.com</v>
      </c>
      <c r="N4306" s="25">
        <v>46216.440613425926</v>
      </c>
      <c r="O4306" s="14" t="str">
        <f>HYPERLINK("https://otsuka-europe-crm.veevavault.com/ui/#object/email_activity__v/V8C000000049326", "EN-002105457")</f>
        <v>EN-002105457</v>
      </c>
    </row>
    <row r="4307" spans="1:15" ht="16" x14ac:dyDescent="0.2">
      <c r="A4307" s="26"/>
      <c r="B4307" s="26"/>
      <c r="C4307" s="26"/>
      <c r="D4307" s="26"/>
      <c r="E4307" s="26"/>
      <c r="F4307" s="26"/>
      <c r="G4307" s="26"/>
      <c r="H4307" s="26"/>
      <c r="I4307" s="26"/>
      <c r="J4307" s="26"/>
      <c r="K4307" s="26"/>
      <c r="L4307" s="26"/>
      <c r="M4307" s="26"/>
      <c r="N4307" s="26"/>
      <c r="O4307" s="14" t="str">
        <f>HYPERLINK("https://otsuka-europe-crm.veevavault.com/ui/#object/email_activity__v/V8C00000004A251", "EN-002105426")</f>
        <v>EN-002105426</v>
      </c>
    </row>
    <row r="4308" spans="1:15" ht="16" x14ac:dyDescent="0.2">
      <c r="A4308" s="19"/>
      <c r="B4308" s="19"/>
      <c r="C4308" s="19"/>
      <c r="D4308" s="19"/>
      <c r="E4308" s="19"/>
      <c r="F4308" s="19"/>
      <c r="G4308" s="19"/>
      <c r="H4308" s="19"/>
      <c r="I4308" s="19"/>
      <c r="J4308" s="19"/>
      <c r="K4308" s="19"/>
      <c r="L4308" s="19"/>
      <c r="M4308" s="19"/>
      <c r="N4308" s="19"/>
      <c r="O4308" s="14" t="str">
        <f>HYPERLINK("https://otsuka-europe-crm.veevavault.com/ui/#object/email_activity__v/V8C00000004A259", "EN-002105442")</f>
        <v>EN-002105442</v>
      </c>
    </row>
    <row r="4309" spans="1:15" ht="64" x14ac:dyDescent="0.2">
      <c r="A4309" s="7" t="str">
        <f>HYPERLINK("https://otsuka-europe-crm.veevavault.com/ui/#object/account__v/V4TZ04ASG9M8EVR", "IVETTE CASAFONT SOLE")</f>
        <v>IVETTE CASAFONT SOLE</v>
      </c>
      <c r="B4309" s="7" t="str">
        <f>HYPERLINK("https://otsuka-europe-crm.veevavault.com/ui/#object/vcountry__v/VENZ000004SONF5", "ES")</f>
        <v>ES</v>
      </c>
      <c r="C4309" s="8" t="s">
        <v>39</v>
      </c>
      <c r="D430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09" s="10" t="str">
        <f>HYPERLINK("https://otsuka-europe-crm.veevavault.com/ui/#object/sent_email__v/VBL000000038118", "SE-001443770")</f>
        <v>SE-001443770</v>
      </c>
      <c r="F4309" s="11"/>
      <c r="G4309" s="12">
        <v>0</v>
      </c>
      <c r="H4309" s="12">
        <v>0</v>
      </c>
      <c r="I4309" s="12">
        <v>0</v>
      </c>
      <c r="J4309" s="11"/>
      <c r="K4309" s="12">
        <v>0</v>
      </c>
      <c r="L430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09" s="10" t="str">
        <f>HYPERLINK("mailto:gsammali@crm.otsuka-europe.com", "gsammali@crm.otsuka-europe.com")</f>
        <v>gsammali@crm.otsuka-europe.com</v>
      </c>
      <c r="N4309" s="13">
        <v>46216.440613425926</v>
      </c>
      <c r="O4309" s="14" t="str">
        <f>HYPERLINK("https://otsuka-europe-crm.veevavault.com/ui/#object/email_activity__v/V8C00000004A254", "EN-002105433")</f>
        <v>EN-002105433</v>
      </c>
    </row>
    <row r="4310" spans="1:15" ht="64" x14ac:dyDescent="0.2">
      <c r="A4310" s="7" t="str">
        <f>HYPERLINK("https://otsuka-europe-crm.veevavault.com/ui/#object/account__v/V4TZ04ASGB9IGYN", "JOAN CALVET FONTOVA")</f>
        <v>JOAN CALVET FONTOVA</v>
      </c>
      <c r="B4310" s="7" t="str">
        <f>HYPERLINK("https://otsuka-europe-crm.veevavault.com/ui/#object/vcountry__v/VENZ000004SONF5", "ES")</f>
        <v>ES</v>
      </c>
      <c r="C4310" s="8" t="s">
        <v>39</v>
      </c>
      <c r="D431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0" s="10" t="str">
        <f>HYPERLINK("https://otsuka-europe-crm.veevavault.com/ui/#object/sent_email__v/VBL000000038119", "SE-001443771")</f>
        <v>SE-001443771</v>
      </c>
      <c r="F4310" s="11"/>
      <c r="G4310" s="12">
        <v>0</v>
      </c>
      <c r="H4310" s="12">
        <v>0</v>
      </c>
      <c r="I4310" s="12">
        <v>0</v>
      </c>
      <c r="J4310" s="11"/>
      <c r="K4310" s="12">
        <v>0</v>
      </c>
      <c r="L431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0" s="10" t="str">
        <f>HYPERLINK("mailto:gsammali@crm.otsuka-europe.com", "gsammali@crm.otsuka-europe.com")</f>
        <v>gsammali@crm.otsuka-europe.com</v>
      </c>
      <c r="N4310" s="13">
        <v>46216.440613425926</v>
      </c>
      <c r="O4310" s="14" t="str">
        <f>HYPERLINK("https://otsuka-europe-crm.veevavault.com/ui/#object/email_activity__v/V8C000000049293", "EN-002105403")</f>
        <v>EN-002105403</v>
      </c>
    </row>
    <row r="4311" spans="1:15" ht="16" x14ac:dyDescent="0.2">
      <c r="A4311" s="18" t="str">
        <f>HYPERLINK("https://otsuka-europe-crm.veevavault.com/ui/#object/account__v/V4TZ025E82A6L2I", "JOSEP ORIOL CODINA GUINO")</f>
        <v>JOSEP ORIOL CODINA GUINO</v>
      </c>
      <c r="B4311" s="18" t="str">
        <f>HYPERLINK("https://otsuka-europe-crm.veevavault.com/ui/#object/vcountry__v/VENZ000004SONF5", "ES")</f>
        <v>ES</v>
      </c>
      <c r="C4311" s="20" t="s">
        <v>39</v>
      </c>
      <c r="D431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1" s="22" t="str">
        <f>HYPERLINK("https://otsuka-europe-crm.veevavault.com/ui/#object/sent_email__v/VBL000000038120", "SE-001443772")</f>
        <v>SE-001443772</v>
      </c>
      <c r="F4311" s="23"/>
      <c r="G4311" s="24">
        <v>0</v>
      </c>
      <c r="H4311" s="24">
        <v>0</v>
      </c>
      <c r="I4311" s="24">
        <v>0</v>
      </c>
      <c r="J4311" s="23"/>
      <c r="K4311" s="24">
        <v>0</v>
      </c>
      <c r="L431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1" s="22" t="str">
        <f>HYPERLINK("mailto:gsammali@crm.otsuka-europe.com", "gsammali@crm.otsuka-europe.com")</f>
        <v>gsammali@crm.otsuka-europe.com</v>
      </c>
      <c r="N4311" s="25">
        <v>46216.440613425926</v>
      </c>
      <c r="O4311" s="14" t="str">
        <f>HYPERLINK("https://otsuka-europe-crm.veevavault.com/ui/#object/email_activity__v/V8C000000049319", "EN-002105444")</f>
        <v>EN-002105444</v>
      </c>
    </row>
    <row r="4312" spans="1:15" ht="16" x14ac:dyDescent="0.2">
      <c r="A4312" s="19"/>
      <c r="B4312" s="19"/>
      <c r="C4312" s="19"/>
      <c r="D4312" s="19"/>
      <c r="E4312" s="19"/>
      <c r="F4312" s="19"/>
      <c r="G4312" s="19"/>
      <c r="H4312" s="19"/>
      <c r="I4312" s="19"/>
      <c r="J4312" s="19"/>
      <c r="K4312" s="19"/>
      <c r="L4312" s="19"/>
      <c r="M4312" s="19"/>
      <c r="N4312" s="19"/>
      <c r="O4312" s="14" t="str">
        <f>HYPERLINK("https://otsuka-europe-crm.veevavault.com/ui/#object/email_activity__v/V8C00000004A416", "EN-002105762")</f>
        <v>EN-002105762</v>
      </c>
    </row>
    <row r="4313" spans="1:15" ht="16" x14ac:dyDescent="0.2">
      <c r="A4313" s="18" t="str">
        <f>HYPERLINK("https://otsuka-europe-crm.veevavault.com/ui/#object/account__v/V4TZ04ASGAP2CFD", "ROBERTO FRANCO GUMUCIO SANGUINO")</f>
        <v>ROBERTO FRANCO GUMUCIO SANGUINO</v>
      </c>
      <c r="B4313" s="18" t="str">
        <f>HYPERLINK("https://otsuka-europe-crm.veevavault.com/ui/#object/vcountry__v/VENZ000004SONF5", "ES")</f>
        <v>ES</v>
      </c>
      <c r="C4313" s="20" t="s">
        <v>39</v>
      </c>
      <c r="D431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3" s="22" t="str">
        <f>HYPERLINK("https://otsuka-europe-crm.veevavault.com/ui/#object/sent_email__v/VBL000000038121", "SE-001443773")</f>
        <v>SE-001443773</v>
      </c>
      <c r="F4313" s="25">
        <v>46216.440740740742</v>
      </c>
      <c r="G4313" s="24">
        <v>1</v>
      </c>
      <c r="H4313" s="24">
        <v>1</v>
      </c>
      <c r="I4313" s="24">
        <v>0</v>
      </c>
      <c r="J4313" s="23"/>
      <c r="K4313" s="24">
        <v>0</v>
      </c>
      <c r="L431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3" s="22" t="str">
        <f>HYPERLINK("mailto:gsammali@crm.otsuka-europe.com", "gsammali@crm.otsuka-europe.com")</f>
        <v>gsammali@crm.otsuka-europe.com</v>
      </c>
      <c r="N4313" s="25">
        <v>46216.440613425926</v>
      </c>
      <c r="O4313" s="14" t="str">
        <f>HYPERLINK("https://otsuka-europe-crm.veevavault.com/ui/#object/email_activity__v/V8C000000049294", "EN-002105404")</f>
        <v>EN-002105404</v>
      </c>
    </row>
    <row r="4314" spans="1:15" ht="16" x14ac:dyDescent="0.2">
      <c r="A4314" s="19"/>
      <c r="B4314" s="19"/>
      <c r="C4314" s="19"/>
      <c r="D4314" s="19"/>
      <c r="E4314" s="19"/>
      <c r="F4314" s="19"/>
      <c r="G4314" s="19"/>
      <c r="H4314" s="19"/>
      <c r="I4314" s="19"/>
      <c r="J4314" s="19"/>
      <c r="K4314" s="19"/>
      <c r="L4314" s="19"/>
      <c r="M4314" s="19"/>
      <c r="N4314" s="19"/>
      <c r="O4314" s="14" t="str">
        <f>HYPERLINK("https://otsuka-europe-crm.veevavault.com/ui/#object/email_activity__v/V8C000000049316", "EN-002105439")</f>
        <v>EN-002105439</v>
      </c>
    </row>
    <row r="4315" spans="1:15" ht="64" x14ac:dyDescent="0.2">
      <c r="A4315" s="7" t="str">
        <f>HYPERLINK("https://otsuka-europe-crm.veevavault.com/ui/#object/account__v/V4TZ025E83P7WIE", "ELENA RIERA ALONSO")</f>
        <v>ELENA RIERA ALONSO</v>
      </c>
      <c r="B4315" s="7" t="str">
        <f>HYPERLINK("https://otsuka-europe-crm.veevavault.com/ui/#object/vcountry__v/VENZ000004SONF5", "ES")</f>
        <v>ES</v>
      </c>
      <c r="C4315" s="8" t="s">
        <v>39</v>
      </c>
      <c r="D431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5" s="10" t="str">
        <f>HYPERLINK("https://otsuka-europe-crm.veevavault.com/ui/#object/sent_email__v/VBL000000038122", "SE-001443774")</f>
        <v>SE-001443774</v>
      </c>
      <c r="F4315" s="11"/>
      <c r="G4315" s="12">
        <v>0</v>
      </c>
      <c r="H4315" s="12">
        <v>0</v>
      </c>
      <c r="I4315" s="12">
        <v>0</v>
      </c>
      <c r="J4315" s="11"/>
      <c r="K4315" s="12">
        <v>0</v>
      </c>
      <c r="L431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5" s="10" t="str">
        <f>HYPERLINK("mailto:gsammali@crm.otsuka-europe.com", "gsammali@crm.otsuka-europe.com")</f>
        <v>gsammali@crm.otsuka-europe.com</v>
      </c>
      <c r="N4315" s="13">
        <v>46216.440613425926</v>
      </c>
      <c r="O4315" s="14" t="str">
        <f>HYPERLINK("https://otsuka-europe-crm.veevavault.com/ui/#object/email_activity__v/V8C000000049310", "EN-002105429")</f>
        <v>EN-002105429</v>
      </c>
    </row>
    <row r="4316" spans="1:15" ht="64" x14ac:dyDescent="0.2">
      <c r="A4316" s="7" t="str">
        <f>HYPERLINK("https://otsuka-europe-crm.veevavault.com/ui/#object/account__v/V4TZ06G6OB4F1KD", "FRANCISCO JAVIER NARVAEZ GARCIA")</f>
        <v>FRANCISCO JAVIER NARVAEZ GARCIA</v>
      </c>
      <c r="B4316" s="7" t="str">
        <f>HYPERLINK("https://otsuka-europe-crm.veevavault.com/ui/#object/vcountry__v/VENZ000004SONF5", "ES")</f>
        <v>ES</v>
      </c>
      <c r="C4316" s="8" t="s">
        <v>39</v>
      </c>
      <c r="D431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6" s="10" t="str">
        <f>HYPERLINK("https://otsuka-europe-crm.veevavault.com/ui/#object/sent_email__v/VBL000000038123", "SE-001443775")</f>
        <v>SE-001443775</v>
      </c>
      <c r="F4316" s="11"/>
      <c r="G4316" s="12">
        <v>0</v>
      </c>
      <c r="H4316" s="12">
        <v>0</v>
      </c>
      <c r="I4316" s="12">
        <v>0</v>
      </c>
      <c r="J4316" s="11"/>
      <c r="K4316" s="12">
        <v>0</v>
      </c>
      <c r="L431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6" s="10" t="str">
        <f>HYPERLINK("mailto:gsammali@crm.otsuka-europe.com", "gsammali@crm.otsuka-europe.com")</f>
        <v>gsammali@crm.otsuka-europe.com</v>
      </c>
      <c r="N4316" s="13">
        <v>46216.440613425926</v>
      </c>
      <c r="O4316" s="14" t="str">
        <f>HYPERLINK("https://otsuka-europe-crm.veevavault.com/ui/#object/email_activity__v/V8C000000049306", "EN-002105416")</f>
        <v>EN-002105416</v>
      </c>
    </row>
    <row r="4317" spans="1:15" ht="64" x14ac:dyDescent="0.2">
      <c r="A4317" s="7" t="str">
        <f>HYPERLINK("https://otsuka-europe-crm.veevavault.com/ui/#object/account__v/V4TZ04ASG79T6ME", "LOURDES MATEO SORIA")</f>
        <v>LOURDES MATEO SORIA</v>
      </c>
      <c r="B4317" s="7" t="str">
        <f>HYPERLINK("https://otsuka-europe-crm.veevavault.com/ui/#object/vcountry__v/VENZ000004SONF5", "ES")</f>
        <v>ES</v>
      </c>
      <c r="C4317" s="8" t="s">
        <v>39</v>
      </c>
      <c r="D431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7" s="10" t="str">
        <f>HYPERLINK("https://otsuka-europe-crm.veevavault.com/ui/#object/sent_email__v/VBL000000038124", "SE-001443776")</f>
        <v>SE-001443776</v>
      </c>
      <c r="F4317" s="11"/>
      <c r="G4317" s="12">
        <v>0</v>
      </c>
      <c r="H4317" s="12">
        <v>0</v>
      </c>
      <c r="I4317" s="12">
        <v>0</v>
      </c>
      <c r="J4317" s="11"/>
      <c r="K4317" s="12">
        <v>0</v>
      </c>
      <c r="L431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7" s="10" t="str">
        <f>HYPERLINK("mailto:gsammali@crm.otsuka-europe.com", "gsammali@crm.otsuka-europe.com")</f>
        <v>gsammali@crm.otsuka-europe.com</v>
      </c>
      <c r="N4317" s="13">
        <v>46216.440613425926</v>
      </c>
      <c r="O4317" s="14" t="str">
        <f>HYPERLINK("https://otsuka-europe-crm.veevavault.com/ui/#object/email_activity__v/V8C000000049315", "EN-002105438")</f>
        <v>EN-002105438</v>
      </c>
    </row>
    <row r="4318" spans="1:15" ht="16" x14ac:dyDescent="0.2">
      <c r="A4318" s="18" t="str">
        <f>HYPERLINK("https://otsuka-europe-crm.veevavault.com/ui/#object/account__v/V4TZ025E84CL45I", "SERGIO ORDOÑEZ PALAU")</f>
        <v>SERGIO ORDOÑEZ PALAU</v>
      </c>
      <c r="B4318" s="18" t="str">
        <f>HYPERLINK("https://otsuka-europe-crm.veevavault.com/ui/#object/vcountry__v/VENZ000004SONF5", "ES")</f>
        <v>ES</v>
      </c>
      <c r="C4318" s="20" t="s">
        <v>39</v>
      </c>
      <c r="D431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18" s="22" t="str">
        <f>HYPERLINK("https://otsuka-europe-crm.veevavault.com/ui/#object/sent_email__v/VBL000000038125", "SE-001443777")</f>
        <v>SE-001443777</v>
      </c>
      <c r="F4318" s="23"/>
      <c r="G4318" s="24">
        <v>0</v>
      </c>
      <c r="H4318" s="24">
        <v>0</v>
      </c>
      <c r="I4318" s="24">
        <v>0</v>
      </c>
      <c r="J4318" s="23"/>
      <c r="K4318" s="24">
        <v>0</v>
      </c>
      <c r="L431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18" s="22" t="str">
        <f>HYPERLINK("mailto:gsammali@crm.otsuka-europe.com", "gsammali@crm.otsuka-europe.com")</f>
        <v>gsammali@crm.otsuka-europe.com</v>
      </c>
      <c r="N4318" s="25">
        <v>46216.440613425926</v>
      </c>
      <c r="O4318" s="14" t="str">
        <f>HYPERLINK("https://otsuka-europe-crm.veevavault.com/ui/#object/email_activity__v/V8C000000049328", "EN-002105462")</f>
        <v>EN-002105462</v>
      </c>
    </row>
    <row r="4319" spans="1:15" ht="16" x14ac:dyDescent="0.2">
      <c r="A4319" s="19"/>
      <c r="B4319" s="19"/>
      <c r="C4319" s="19"/>
      <c r="D4319" s="19"/>
      <c r="E4319" s="19"/>
      <c r="F4319" s="19"/>
      <c r="G4319" s="19"/>
      <c r="H4319" s="19"/>
      <c r="I4319" s="19"/>
      <c r="J4319" s="19"/>
      <c r="K4319" s="19"/>
      <c r="L4319" s="19"/>
      <c r="M4319" s="19"/>
      <c r="N4319" s="19"/>
      <c r="O4319" s="14" t="str">
        <f>HYPERLINK("https://otsuka-europe-crm.veevavault.com/ui/#object/email_activity__v/V8C00000004A256", "EN-002105435")</f>
        <v>EN-002105435</v>
      </c>
    </row>
    <row r="4320" spans="1:15" ht="16" x14ac:dyDescent="0.2">
      <c r="A4320" s="18" t="str">
        <f>HYPERLINK("https://otsuka-europe-crm.veevavault.com/ui/#object/account__v/V4TZ04ASGCDJBDQ", "ELENA LEONOR SIRVENT ALIERTA")</f>
        <v>ELENA LEONOR SIRVENT ALIERTA</v>
      </c>
      <c r="B4320" s="18" t="str">
        <f>HYPERLINK("https://otsuka-europe-crm.veevavault.com/ui/#object/vcountry__v/VENZ000004SONF5", "ES")</f>
        <v>ES</v>
      </c>
      <c r="C4320" s="20" t="s">
        <v>39</v>
      </c>
      <c r="D432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0" s="22" t="str">
        <f>HYPERLINK("https://otsuka-europe-crm.veevavault.com/ui/#object/sent_email__v/VBL000000038126", "SE-001443778")</f>
        <v>SE-001443778</v>
      </c>
      <c r="F4320" s="25">
        <v>46216.440960648149</v>
      </c>
      <c r="G4320" s="24">
        <v>1</v>
      </c>
      <c r="H4320" s="24">
        <v>1</v>
      </c>
      <c r="I4320" s="24">
        <v>0</v>
      </c>
      <c r="J4320" s="23"/>
      <c r="K4320" s="24">
        <v>0</v>
      </c>
      <c r="L432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0" s="22" t="str">
        <f>HYPERLINK("mailto:gsammali@crm.otsuka-europe.com", "gsammali@crm.otsuka-europe.com")</f>
        <v>gsammali@crm.otsuka-europe.com</v>
      </c>
      <c r="N4320" s="25">
        <v>46216.440613425926</v>
      </c>
      <c r="O4320" s="14" t="str">
        <f>HYPERLINK("https://otsuka-europe-crm.veevavault.com/ui/#object/email_activity__v/V8C000000049320", "EN-002105445")</f>
        <v>EN-002105445</v>
      </c>
    </row>
    <row r="4321" spans="1:15" ht="16" x14ac:dyDescent="0.2">
      <c r="A4321" s="19"/>
      <c r="B4321" s="19"/>
      <c r="C4321" s="19"/>
      <c r="D4321" s="19"/>
      <c r="E4321" s="19"/>
      <c r="F4321" s="19"/>
      <c r="G4321" s="19"/>
      <c r="H4321" s="19"/>
      <c r="I4321" s="19"/>
      <c r="J4321" s="19"/>
      <c r="K4321" s="19"/>
      <c r="L4321" s="19"/>
      <c r="M4321" s="19"/>
      <c r="N4321" s="19"/>
      <c r="O4321" s="14" t="str">
        <f>HYPERLINK("https://otsuka-europe-crm.veevavault.com/ui/#object/email_activity__v/V8C00000004A252", "EN-002105427")</f>
        <v>EN-002105427</v>
      </c>
    </row>
    <row r="4322" spans="1:15" ht="16" x14ac:dyDescent="0.2">
      <c r="A4322" s="18" t="str">
        <f>HYPERLINK("https://otsuka-europe-crm.veevavault.com/ui/#object/account__v/V4TZ04ASG9MH522", "XAVIER GONZALEZ GIMENEZ")</f>
        <v>XAVIER GONZALEZ GIMENEZ</v>
      </c>
      <c r="B4322" s="18" t="str">
        <f>HYPERLINK("https://otsuka-europe-crm.veevavault.com/ui/#object/vcountry__v/VENZ000004SONF5", "ES")</f>
        <v>ES</v>
      </c>
      <c r="C4322" s="20" t="s">
        <v>39</v>
      </c>
      <c r="D432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2" s="22" t="str">
        <f>HYPERLINK("https://otsuka-europe-crm.veevavault.com/ui/#object/sent_email__v/VBL000000038127", "SE-001443779")</f>
        <v>SE-001443779</v>
      </c>
      <c r="F4322" s="25">
        <v>46216.586678240739</v>
      </c>
      <c r="G4322" s="24">
        <v>1</v>
      </c>
      <c r="H4322" s="24">
        <v>1</v>
      </c>
      <c r="I4322" s="24">
        <v>0</v>
      </c>
      <c r="J4322" s="23"/>
      <c r="K4322" s="24">
        <v>0</v>
      </c>
      <c r="L432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2" s="22" t="str">
        <f>HYPERLINK("mailto:gsammali@crm.otsuka-europe.com", "gsammali@crm.otsuka-europe.com")</f>
        <v>gsammali@crm.otsuka-europe.com</v>
      </c>
      <c r="N4322" s="25">
        <v>46216.440613425926</v>
      </c>
      <c r="O4322" s="14" t="str">
        <f>HYPERLINK("https://otsuka-europe-crm.veevavault.com/ui/#object/email_activity__v/V8C000000049295", "EN-002105405")</f>
        <v>EN-002105405</v>
      </c>
    </row>
    <row r="4323" spans="1:15" ht="16" x14ac:dyDescent="0.2">
      <c r="A4323" s="19"/>
      <c r="B4323" s="19"/>
      <c r="C4323" s="19"/>
      <c r="D4323" s="19"/>
      <c r="E4323" s="19"/>
      <c r="F4323" s="19"/>
      <c r="G4323" s="19"/>
      <c r="H4323" s="19"/>
      <c r="I4323" s="19"/>
      <c r="J4323" s="19"/>
      <c r="K4323" s="19"/>
      <c r="L4323" s="19"/>
      <c r="M4323" s="19"/>
      <c r="N4323" s="19"/>
      <c r="O4323" s="14" t="str">
        <f>HYPERLINK("https://otsuka-europe-crm.veevavault.com/ui/#object/email_activity__v/V8C000000049357", "EN-002105519")</f>
        <v>EN-002105519</v>
      </c>
    </row>
    <row r="4324" spans="1:15" ht="64" x14ac:dyDescent="0.2">
      <c r="A4324" s="7" t="str">
        <f>HYPERLINK("https://otsuka-europe-crm.veevavault.com/ui/#object/account__v/V4TZ06G6O9VLJDN", "JOAN MIQUEL NOLLA SOLE")</f>
        <v>JOAN MIQUEL NOLLA SOLE</v>
      </c>
      <c r="B4324" s="7" t="str">
        <f>HYPERLINK("https://otsuka-europe-crm.veevavault.com/ui/#object/vcountry__v/VENZ000004SONF5", "ES")</f>
        <v>ES</v>
      </c>
      <c r="C4324" s="8" t="s">
        <v>39</v>
      </c>
      <c r="D432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4" s="10" t="str">
        <f>HYPERLINK("https://otsuka-europe-crm.veevavault.com/ui/#object/sent_email__v/VBL000000038128", "SE-001443780")</f>
        <v>SE-001443780</v>
      </c>
      <c r="F4324" s="11"/>
      <c r="G4324" s="12">
        <v>0</v>
      </c>
      <c r="H4324" s="12">
        <v>0</v>
      </c>
      <c r="I4324" s="12">
        <v>0</v>
      </c>
      <c r="J4324" s="11"/>
      <c r="K4324" s="12">
        <v>0</v>
      </c>
      <c r="L432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4" s="10" t="str">
        <f>HYPERLINK("mailto:gsammali@crm.otsuka-europe.com", "gsammali@crm.otsuka-europe.com")</f>
        <v>gsammali@crm.otsuka-europe.com</v>
      </c>
      <c r="N4324" s="13">
        <v>46216.440613425926</v>
      </c>
      <c r="O4324" s="14" t="str">
        <f>HYPERLINK("https://otsuka-europe-crm.veevavault.com/ui/#object/email_activity__v/V8C000000049307", "EN-002105417")</f>
        <v>EN-002105417</v>
      </c>
    </row>
    <row r="4325" spans="1:15" ht="64" x14ac:dyDescent="0.2">
      <c r="A4325" s="7" t="str">
        <f>HYPERLINK("https://otsuka-europe-crm.veevavault.com/ui/#object/account__v/V4TZ04ASG9MH6QM", "LAURA FARRAN ORTEGA")</f>
        <v>LAURA FARRAN ORTEGA</v>
      </c>
      <c r="B4325" s="7" t="str">
        <f>HYPERLINK("https://otsuka-europe-crm.veevavault.com/ui/#object/vcountry__v/VENZ000004SONF5", "ES")</f>
        <v>ES</v>
      </c>
      <c r="C4325" s="8" t="s">
        <v>39</v>
      </c>
      <c r="D432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5" s="10" t="str">
        <f>HYPERLINK("https://otsuka-europe-crm.veevavault.com/ui/#object/sent_email__v/VBL000000038129", "SE-001443781")</f>
        <v>SE-001443781</v>
      </c>
      <c r="F4325" s="11"/>
      <c r="G4325" s="12">
        <v>0</v>
      </c>
      <c r="H4325" s="12">
        <v>0</v>
      </c>
      <c r="I4325" s="12">
        <v>0</v>
      </c>
      <c r="J4325" s="11"/>
      <c r="K4325" s="12">
        <v>0</v>
      </c>
      <c r="L432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5" s="10" t="str">
        <f>HYPERLINK("mailto:gsammali@crm.otsuka-europe.com", "gsammali@crm.otsuka-europe.com")</f>
        <v>gsammali@crm.otsuka-europe.com</v>
      </c>
      <c r="N4325" s="13">
        <v>46216.440613425926</v>
      </c>
      <c r="O4325" s="14" t="str">
        <f>HYPERLINK("https://otsuka-europe-crm.veevavault.com/ui/#object/email_activity__v/V8C000000049296", "EN-002105406")</f>
        <v>EN-002105406</v>
      </c>
    </row>
    <row r="4326" spans="1:15" ht="64" x14ac:dyDescent="0.2">
      <c r="A4326" s="7" t="str">
        <f>HYPERLINK("https://otsuka-europe-crm.veevavault.com/ui/#object/account__v/V4TZ04ASGAP2D65", "MARIA MARTA BIANCHI")</f>
        <v>MARIA MARTA BIANCHI</v>
      </c>
      <c r="B4326" s="7" t="str">
        <f>HYPERLINK("https://otsuka-europe-crm.veevavault.com/ui/#object/vcountry__v/VENZ000004SONF5", "ES")</f>
        <v>ES</v>
      </c>
      <c r="C4326" s="8" t="s">
        <v>39</v>
      </c>
      <c r="D432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6" s="10" t="str">
        <f>HYPERLINK("https://otsuka-europe-crm.veevavault.com/ui/#object/sent_email__v/VBL000000038130", "SE-001443782")</f>
        <v>SE-001443782</v>
      </c>
      <c r="F4326" s="11"/>
      <c r="G4326" s="12">
        <v>0</v>
      </c>
      <c r="H4326" s="12">
        <v>0</v>
      </c>
      <c r="I4326" s="12">
        <v>0</v>
      </c>
      <c r="J4326" s="11"/>
      <c r="K4326" s="12">
        <v>0</v>
      </c>
      <c r="L432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6" s="10" t="str">
        <f>HYPERLINK("mailto:gsammali@crm.otsuka-europe.com", "gsammali@crm.otsuka-europe.com")</f>
        <v>gsammali@crm.otsuka-europe.com</v>
      </c>
      <c r="N4326" s="13">
        <v>46216.440613425926</v>
      </c>
      <c r="O4326" s="14" t="str">
        <f>HYPERLINK("https://otsuka-europe-crm.veevavault.com/ui/#object/email_activity__v/V8C000000049308", "EN-002105418")</f>
        <v>EN-002105418</v>
      </c>
    </row>
    <row r="4327" spans="1:15" ht="64" x14ac:dyDescent="0.2">
      <c r="A4327" s="7" t="str">
        <f>HYPERLINK("https://otsuka-europe-crm.veevavault.com/ui/#object/account__v/V4TZ04ASG9MC2X2", "SERGIO HEREDIA MARTIN")</f>
        <v>SERGIO HEREDIA MARTIN</v>
      </c>
      <c r="B4327" s="7" t="str">
        <f>HYPERLINK("https://otsuka-europe-crm.veevavault.com/ui/#object/vcountry__v/VENZ000004SONF5", "ES")</f>
        <v>ES</v>
      </c>
      <c r="C4327" s="8" t="s">
        <v>39</v>
      </c>
      <c r="D432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7" s="10" t="str">
        <f>HYPERLINK("https://otsuka-europe-crm.veevavault.com/ui/#object/sent_email__v/VBL000000038131", "SE-001443783")</f>
        <v>SE-001443783</v>
      </c>
      <c r="F4327" s="11"/>
      <c r="G4327" s="12">
        <v>0</v>
      </c>
      <c r="H4327" s="12">
        <v>0</v>
      </c>
      <c r="I4327" s="12">
        <v>0</v>
      </c>
      <c r="J4327" s="11"/>
      <c r="K4327" s="12">
        <v>0</v>
      </c>
      <c r="L432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7" s="10" t="str">
        <f>HYPERLINK("mailto:gsammali@crm.otsuka-europe.com", "gsammali@crm.otsuka-europe.com")</f>
        <v>gsammali@crm.otsuka-europe.com</v>
      </c>
      <c r="N4327" s="13">
        <v>46216.440613425926</v>
      </c>
      <c r="O4327" s="14" t="str">
        <f>HYPERLINK("https://otsuka-europe-crm.veevavault.com/ui/#object/email_activity__v/V8C000000049314", "EN-002105437")</f>
        <v>EN-002105437</v>
      </c>
    </row>
    <row r="4328" spans="1:15" ht="16" x14ac:dyDescent="0.2">
      <c r="A4328" s="18" t="str">
        <f>HYPERLINK("https://otsuka-europe-crm.veevavault.com/ui/#object/account__v/V4TZ04ASGAP1UYL", "MARIA CARMEN GARCIA GOMEZ")</f>
        <v>MARIA CARMEN GARCIA GOMEZ</v>
      </c>
      <c r="B4328" s="18" t="str">
        <f>HYPERLINK("https://otsuka-europe-crm.veevavault.com/ui/#object/vcountry__v/VENZ000004SONF5", "ES")</f>
        <v>ES</v>
      </c>
      <c r="C4328" s="20" t="s">
        <v>39</v>
      </c>
      <c r="D432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28" s="22" t="str">
        <f>HYPERLINK("https://otsuka-europe-crm.veevavault.com/ui/#object/sent_email__v/VBL000000038132", "SE-001443784")</f>
        <v>SE-001443784</v>
      </c>
      <c r="F4328" s="25">
        <v>46216.440694444442</v>
      </c>
      <c r="G4328" s="24">
        <v>1</v>
      </c>
      <c r="H4328" s="24">
        <v>1</v>
      </c>
      <c r="I4328" s="24">
        <v>0</v>
      </c>
      <c r="J4328" s="23"/>
      <c r="K4328" s="24">
        <v>0</v>
      </c>
      <c r="L432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28" s="22" t="str">
        <f>HYPERLINK("mailto:gsammali@crm.otsuka-europe.com", "gsammali@crm.otsuka-europe.com")</f>
        <v>gsammali@crm.otsuka-europe.com</v>
      </c>
      <c r="N4328" s="25">
        <v>46216.440613425926</v>
      </c>
      <c r="O4328" s="14" t="str">
        <f>HYPERLINK("https://otsuka-europe-crm.veevavault.com/ui/#object/email_activity__v/V8C000000049309", "EN-002105419")</f>
        <v>EN-002105419</v>
      </c>
    </row>
    <row r="4329" spans="1:15" ht="16" x14ac:dyDescent="0.2">
      <c r="A4329" s="19"/>
      <c r="B4329" s="19"/>
      <c r="C4329" s="19"/>
      <c r="D4329" s="19"/>
      <c r="E4329" s="19"/>
      <c r="F4329" s="19"/>
      <c r="G4329" s="19"/>
      <c r="H4329" s="19"/>
      <c r="I4329" s="19"/>
      <c r="J4329" s="19"/>
      <c r="K4329" s="19"/>
      <c r="L4329" s="19"/>
      <c r="M4329" s="19"/>
      <c r="N4329" s="19"/>
      <c r="O4329" s="14" t="str">
        <f>HYPERLINK("https://otsuka-europe-crm.veevavault.com/ui/#object/email_activity__v/V8C00000004A253", "EN-002105428")</f>
        <v>EN-002105428</v>
      </c>
    </row>
    <row r="4330" spans="1:15" ht="64" x14ac:dyDescent="0.2">
      <c r="A4330" s="7" t="str">
        <f>HYPERLINK("https://otsuka-europe-crm.veevavault.com/ui/#object/account__v/V4TZ04ASG9MH4ZG", "EULALIA ARMENGOL PEREZ")</f>
        <v>EULALIA ARMENGOL PEREZ</v>
      </c>
      <c r="B4330" s="7" t="str">
        <f>HYPERLINK("https://otsuka-europe-crm.veevavault.com/ui/#object/vcountry__v/VENZ000004SONF5", "ES")</f>
        <v>ES</v>
      </c>
      <c r="C4330" s="8" t="s">
        <v>39</v>
      </c>
      <c r="D433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0" s="10" t="str">
        <f>HYPERLINK("https://otsuka-europe-crm.veevavault.com/ui/#object/sent_email__v/VBL000000038133", "SE-001443785")</f>
        <v>SE-001443785</v>
      </c>
      <c r="F4330" s="11"/>
      <c r="G4330" s="12">
        <v>0</v>
      </c>
      <c r="H4330" s="12">
        <v>0</v>
      </c>
      <c r="I4330" s="12">
        <v>0</v>
      </c>
      <c r="J4330" s="11"/>
      <c r="K4330" s="12">
        <v>0</v>
      </c>
      <c r="L433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0" s="10" t="str">
        <f>HYPERLINK("mailto:gsammali@crm.otsuka-europe.com", "gsammali@crm.otsuka-europe.com")</f>
        <v>gsammali@crm.otsuka-europe.com</v>
      </c>
      <c r="N4330" s="13">
        <v>46216.440613425926</v>
      </c>
      <c r="O4330" s="14" t="str">
        <f>HYPERLINK("https://otsuka-europe-crm.veevavault.com/ui/#object/email_activity__v/V8C000000049313", "EN-002105432")</f>
        <v>EN-002105432</v>
      </c>
    </row>
    <row r="4331" spans="1:15" ht="16" x14ac:dyDescent="0.2">
      <c r="A4331" s="18" t="str">
        <f>HYPERLINK("https://otsuka-europe-crm.veevavault.com/ui/#object/account__v/V4TZ04ASGABZIUJ", "MERITXELL SALLES LIZARZABURU")</f>
        <v>MERITXELL SALLES LIZARZABURU</v>
      </c>
      <c r="B4331" s="18" t="str">
        <f>HYPERLINK("https://otsuka-europe-crm.veevavault.com/ui/#object/vcountry__v/VENZ000004SONF5", "ES")</f>
        <v>ES</v>
      </c>
      <c r="C4331" s="20" t="s">
        <v>39</v>
      </c>
      <c r="D433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1" s="22" t="str">
        <f>HYPERLINK("https://otsuka-europe-crm.veevavault.com/ui/#object/sent_email__v/VBL000000038134", "SE-001443786")</f>
        <v>SE-001443786</v>
      </c>
      <c r="F4331" s="23"/>
      <c r="G4331" s="24">
        <v>0</v>
      </c>
      <c r="H4331" s="24">
        <v>0</v>
      </c>
      <c r="I4331" s="24">
        <v>0</v>
      </c>
      <c r="J4331" s="23"/>
      <c r="K4331" s="24">
        <v>0</v>
      </c>
      <c r="L433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1" s="22" t="str">
        <f>HYPERLINK("mailto:gsammali@crm.otsuka-europe.com", "gsammali@crm.otsuka-europe.com")</f>
        <v>gsammali@crm.otsuka-europe.com</v>
      </c>
      <c r="N4331" s="25">
        <v>46216.440613425926</v>
      </c>
      <c r="O4331" s="14" t="str">
        <f>HYPERLINK("https://otsuka-europe-crm.veevavault.com/ui/#object/email_activity__v/V8C00000004A258", "EN-002105440")</f>
        <v>EN-002105440</v>
      </c>
    </row>
    <row r="4332" spans="1:15" ht="16" x14ac:dyDescent="0.2">
      <c r="A4332" s="19"/>
      <c r="B4332" s="19"/>
      <c r="C4332" s="19"/>
      <c r="D4332" s="19"/>
      <c r="E4332" s="19"/>
      <c r="F4332" s="19"/>
      <c r="G4332" s="19"/>
      <c r="H4332" s="19"/>
      <c r="I4332" s="19"/>
      <c r="J4332" s="19"/>
      <c r="K4332" s="19"/>
      <c r="L4332" s="19"/>
      <c r="M4332" s="19"/>
      <c r="N4332" s="19"/>
      <c r="O4332" s="14" t="str">
        <f>HYPERLINK("https://otsuka-europe-crm.veevavault.com/ui/#object/email_activity__v/V8C00000004A393", "EN-002105725")</f>
        <v>EN-002105725</v>
      </c>
    </row>
    <row r="4333" spans="1:15" ht="64" x14ac:dyDescent="0.2">
      <c r="A4333" s="7" t="str">
        <f>HYPERLINK("https://otsuka-europe-crm.veevavault.com/ui/#object/account__v/V4TZ04ASG9MC2VK", "DELIA REINA SANZ")</f>
        <v>DELIA REINA SANZ</v>
      </c>
      <c r="B4333" s="7" t="str">
        <f>HYPERLINK("https://otsuka-europe-crm.veevavault.com/ui/#object/vcountry__v/VENZ000004SONF5", "ES")</f>
        <v>ES</v>
      </c>
      <c r="C4333" s="8" t="s">
        <v>39</v>
      </c>
      <c r="D433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3" s="10" t="str">
        <f>HYPERLINK("https://otsuka-europe-crm.veevavault.com/ui/#object/sent_email__v/VBL000000038135", "SE-001443787")</f>
        <v>SE-001443787</v>
      </c>
      <c r="F4333" s="11"/>
      <c r="G4333" s="12">
        <v>0</v>
      </c>
      <c r="H4333" s="12">
        <v>0</v>
      </c>
      <c r="I4333" s="12">
        <v>0</v>
      </c>
      <c r="J4333" s="11"/>
      <c r="K4333" s="12">
        <v>0</v>
      </c>
      <c r="L433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3" s="10" t="str">
        <f>HYPERLINK("mailto:gsammali@crm.otsuka-europe.com", "gsammali@crm.otsuka-europe.com")</f>
        <v>gsammali@crm.otsuka-europe.com</v>
      </c>
      <c r="N4333" s="13">
        <v>46216.440613425926</v>
      </c>
      <c r="O4333" s="14" t="str">
        <f>HYPERLINK("https://otsuka-europe-crm.veevavault.com/ui/#object/email_activity__v/V8C00000004A250", "EN-002105425")</f>
        <v>EN-002105425</v>
      </c>
    </row>
    <row r="4334" spans="1:15" ht="64" x14ac:dyDescent="0.2">
      <c r="A4334" s="7" t="str">
        <f>HYPERLINK("https://otsuka-europe-crm.veevavault.com/ui/#object/account__v/V4TZ04ASGB9IGTL", "JORDI GRATACOS MASMITJA")</f>
        <v>JORDI GRATACOS MASMITJA</v>
      </c>
      <c r="B4334" s="7" t="str">
        <f>HYPERLINK("https://otsuka-europe-crm.veevavault.com/ui/#object/vcountry__v/VENZ000004SONF5", "ES")</f>
        <v>ES</v>
      </c>
      <c r="C4334" s="8" t="s">
        <v>39</v>
      </c>
      <c r="D433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4" s="10" t="str">
        <f>HYPERLINK("https://otsuka-europe-crm.veevavault.com/ui/#object/sent_email__v/VBL000000038136", "SE-001443788")</f>
        <v>SE-001443788</v>
      </c>
      <c r="F4334" s="11"/>
      <c r="G4334" s="12">
        <v>0</v>
      </c>
      <c r="H4334" s="12">
        <v>0</v>
      </c>
      <c r="I4334" s="12">
        <v>0</v>
      </c>
      <c r="J4334" s="11"/>
      <c r="K4334" s="12">
        <v>0</v>
      </c>
      <c r="L433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4" s="10" t="str">
        <f>HYPERLINK("mailto:gsammali@crm.otsuka-europe.com", "gsammali@crm.otsuka-europe.com")</f>
        <v>gsammali@crm.otsuka-europe.com</v>
      </c>
      <c r="N4334" s="13">
        <v>46216.440613425926</v>
      </c>
      <c r="O4334" s="14" t="str">
        <f>HYPERLINK("https://otsuka-europe-crm.veevavault.com/ui/#object/email_activity__v/V8C000000049305", "EN-002105415")</f>
        <v>EN-002105415</v>
      </c>
    </row>
    <row r="4335" spans="1:15" ht="64" x14ac:dyDescent="0.2">
      <c r="A4335" s="7" t="str">
        <f>HYPERLINK("https://otsuka-europe-crm.veevavault.com/ui/#object/account__v/V4TZ06G6O9VLJHY", "ANNE MARGARET RIVEROS FRUTOS")</f>
        <v>ANNE MARGARET RIVEROS FRUTOS</v>
      </c>
      <c r="B4335" s="7" t="str">
        <f>HYPERLINK("https://otsuka-europe-crm.veevavault.com/ui/#object/vcountry__v/VENZ000004SONF5", "ES")</f>
        <v>ES</v>
      </c>
      <c r="C4335" s="8" t="s">
        <v>39</v>
      </c>
      <c r="D433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5" s="10" t="str">
        <f>HYPERLINK("https://otsuka-europe-crm.veevavault.com/ui/#object/sent_email__v/VBL000000038137", "SE-001443789")</f>
        <v>SE-001443789</v>
      </c>
      <c r="F4335" s="11"/>
      <c r="G4335" s="12">
        <v>0</v>
      </c>
      <c r="H4335" s="12">
        <v>0</v>
      </c>
      <c r="I4335" s="12">
        <v>0</v>
      </c>
      <c r="J4335" s="11"/>
      <c r="K4335" s="12">
        <v>0</v>
      </c>
      <c r="L433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5" s="10" t="str">
        <f>HYPERLINK("mailto:gsammali@crm.otsuka-europe.com", "gsammali@crm.otsuka-europe.com")</f>
        <v>gsammali@crm.otsuka-europe.com</v>
      </c>
      <c r="N4335" s="13">
        <v>46216.440613425926</v>
      </c>
      <c r="O4335" s="14" t="str">
        <f>HYPERLINK("https://otsuka-europe-crm.veevavault.com/ui/#object/email_activity__v/V8C00000004A255", "EN-002105434")</f>
        <v>EN-002105434</v>
      </c>
    </row>
    <row r="4336" spans="1:15" ht="16" x14ac:dyDescent="0.2">
      <c r="A4336" s="18" t="str">
        <f>HYPERLINK("https://otsuka-europe-crm.veevavault.com/ui/#object/account__v/V4TZ04ASGB4TQAO", "SILVIA GARCIA CIRERA")</f>
        <v>SILVIA GARCIA CIRERA</v>
      </c>
      <c r="B4336" s="18" t="str">
        <f>HYPERLINK("https://otsuka-europe-crm.veevavault.com/ui/#object/vcountry__v/VENZ000004SONF5", "ES")</f>
        <v>ES</v>
      </c>
      <c r="C4336" s="20" t="s">
        <v>39</v>
      </c>
      <c r="D433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6" s="22" t="str">
        <f>HYPERLINK("https://otsuka-europe-crm.veevavault.com/ui/#object/sent_email__v/VBL000000038138", "SE-001443790")</f>
        <v>SE-001443790</v>
      </c>
      <c r="F4336" s="23"/>
      <c r="G4336" s="24">
        <v>0</v>
      </c>
      <c r="H4336" s="24">
        <v>0</v>
      </c>
      <c r="I4336" s="24">
        <v>0</v>
      </c>
      <c r="J4336" s="23"/>
      <c r="K4336" s="24">
        <v>0</v>
      </c>
      <c r="L433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6" s="22" t="str">
        <f>HYPERLINK("mailto:gsammali@crm.otsuka-europe.com", "gsammali@crm.otsuka-europe.com")</f>
        <v>gsammali@crm.otsuka-europe.com</v>
      </c>
      <c r="N4336" s="25">
        <v>46216.440555555557</v>
      </c>
      <c r="O4336" s="14" t="str">
        <f>HYPERLINK("https://otsuka-europe-crm.veevavault.com/ui/#object/email_activity__v/V8C000000049297", "EN-002105407")</f>
        <v>EN-002105407</v>
      </c>
    </row>
    <row r="4337" spans="1:15" ht="16" x14ac:dyDescent="0.2">
      <c r="A4337" s="19"/>
      <c r="B4337" s="19"/>
      <c r="C4337" s="19"/>
      <c r="D4337" s="19"/>
      <c r="E4337" s="19"/>
      <c r="F4337" s="19"/>
      <c r="G4337" s="19"/>
      <c r="H4337" s="19"/>
      <c r="I4337" s="19"/>
      <c r="J4337" s="19"/>
      <c r="K4337" s="19"/>
      <c r="L4337" s="19"/>
      <c r="M4337" s="19"/>
      <c r="N4337" s="19"/>
      <c r="O4337" s="14" t="str">
        <f>HYPERLINK("https://otsuka-europe-crm.veevavault.com/ui/#object/email_activity__v/V8C00000004B070", "EN-002106856")</f>
        <v>EN-002106856</v>
      </c>
    </row>
    <row r="4338" spans="1:15" ht="64" x14ac:dyDescent="0.2">
      <c r="A4338" s="7" t="str">
        <f>HYPERLINK("https://otsuka-europe-crm.veevavault.com/ui/#object/account__v/V4TZ04ASGAVF4D4", "AGUSTI SELLAS FERNANDEZ")</f>
        <v>AGUSTI SELLAS FERNANDEZ</v>
      </c>
      <c r="B4338" s="7" t="str">
        <f>HYPERLINK("https://otsuka-europe-crm.veevavault.com/ui/#object/vcountry__v/VENZ000004SONF5", "ES")</f>
        <v>ES</v>
      </c>
      <c r="C4338" s="8" t="s">
        <v>39</v>
      </c>
      <c r="D433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8" s="10" t="str">
        <f>HYPERLINK("https://otsuka-europe-crm.veevavault.com/ui/#object/sent_email__v/VBL000000038139", "SE-001443791")</f>
        <v>SE-001443791</v>
      </c>
      <c r="F4338" s="11"/>
      <c r="G4338" s="12">
        <v>0</v>
      </c>
      <c r="H4338" s="12">
        <v>0</v>
      </c>
      <c r="I4338" s="12">
        <v>0</v>
      </c>
      <c r="J4338" s="11"/>
      <c r="K4338" s="12">
        <v>0</v>
      </c>
      <c r="L433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8" s="10" t="str">
        <f>HYPERLINK("mailto:gsammali@crm.otsuka-europe.com", "gsammali@crm.otsuka-europe.com")</f>
        <v>gsammali@crm.otsuka-europe.com</v>
      </c>
      <c r="N4338" s="13">
        <v>46216.440613425926</v>
      </c>
      <c r="O4338" s="14" t="str">
        <f>HYPERLINK("https://otsuka-europe-crm.veevavault.com/ui/#object/email_activity__v/V8C000000049311", "EN-002105430")</f>
        <v>EN-002105430</v>
      </c>
    </row>
    <row r="4339" spans="1:15" ht="16" x14ac:dyDescent="0.2">
      <c r="A4339" s="18" t="str">
        <f>HYPERLINK("https://otsuka-europe-crm.veevavault.com/ui/#object/account__v/V4TZ025E83FIA0I", "MARIBEL MORA LIMIÑANA")</f>
        <v>MARIBEL MORA LIMIÑANA</v>
      </c>
      <c r="B4339" s="18" t="str">
        <f>HYPERLINK("https://otsuka-europe-crm.veevavault.com/ui/#object/vcountry__v/VENZ000004SONF5", "ES")</f>
        <v>ES</v>
      </c>
      <c r="C4339" s="20" t="s">
        <v>39</v>
      </c>
      <c r="D433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39" s="22" t="str">
        <f>HYPERLINK("https://otsuka-europe-crm.veevavault.com/ui/#object/sent_email__v/VBL000000038140", "SE-001443792")</f>
        <v>SE-001443792</v>
      </c>
      <c r="F4339" s="25">
        <v>46216.442083333335</v>
      </c>
      <c r="G4339" s="24">
        <v>1</v>
      </c>
      <c r="H4339" s="24">
        <v>1</v>
      </c>
      <c r="I4339" s="24">
        <v>0</v>
      </c>
      <c r="J4339" s="23"/>
      <c r="K4339" s="24">
        <v>0</v>
      </c>
      <c r="L433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39" s="22" t="str">
        <f>HYPERLINK("mailto:gsammali@crm.otsuka-europe.com", "gsammali@crm.otsuka-europe.com")</f>
        <v>gsammali@crm.otsuka-europe.com</v>
      </c>
      <c r="N4339" s="25">
        <v>46216.440613425926</v>
      </c>
      <c r="O4339" s="14" t="str">
        <f>HYPERLINK("https://otsuka-europe-crm.veevavault.com/ui/#object/email_activity__v/V8C000000049303", "EN-002105413")</f>
        <v>EN-002105413</v>
      </c>
    </row>
    <row r="4340" spans="1:15" ht="16" x14ac:dyDescent="0.2">
      <c r="A4340" s="19"/>
      <c r="B4340" s="19"/>
      <c r="C4340" s="19"/>
      <c r="D4340" s="19"/>
      <c r="E4340" s="19"/>
      <c r="F4340" s="19"/>
      <c r="G4340" s="19"/>
      <c r="H4340" s="19"/>
      <c r="I4340" s="19"/>
      <c r="J4340" s="19"/>
      <c r="K4340" s="19"/>
      <c r="L4340" s="19"/>
      <c r="M4340" s="19"/>
      <c r="N4340" s="19"/>
      <c r="O4340" s="14" t="str">
        <f>HYPERLINK("https://otsuka-europe-crm.veevavault.com/ui/#object/email_activity__v/V8C000000049321", "EN-002105446")</f>
        <v>EN-002105446</v>
      </c>
    </row>
    <row r="4341" spans="1:15" ht="64" x14ac:dyDescent="0.2">
      <c r="A4341" s="7" t="str">
        <f>HYPERLINK("https://otsuka-europe-crm.veevavault.com/ui/#object/account__v/V4TZ025E82A6MRL", "SONIA CASTELL QUIÑONES")</f>
        <v>SONIA CASTELL QUIÑONES</v>
      </c>
      <c r="B4341" s="7" t="str">
        <f>HYPERLINK("https://otsuka-europe-crm.veevavault.com/ui/#object/vcountry__v/VENZ000004SONF5", "ES")</f>
        <v>ES</v>
      </c>
      <c r="C4341" s="8" t="s">
        <v>39</v>
      </c>
      <c r="D434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41" s="10" t="str">
        <f>HYPERLINK("https://otsuka-europe-crm.veevavault.com/ui/#object/sent_email__v/VBL000000038141", "SE-001443793")</f>
        <v>SE-001443793</v>
      </c>
      <c r="F4341" s="11"/>
      <c r="G4341" s="12">
        <v>0</v>
      </c>
      <c r="H4341" s="12">
        <v>0</v>
      </c>
      <c r="I4341" s="12">
        <v>0</v>
      </c>
      <c r="J4341" s="11"/>
      <c r="K4341" s="12">
        <v>0</v>
      </c>
      <c r="L434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41" s="10" t="str">
        <f>HYPERLINK("mailto:gsammali@crm.otsuka-europe.com", "gsammali@crm.otsuka-europe.com")</f>
        <v>gsammali@crm.otsuka-europe.com</v>
      </c>
      <c r="N4341" s="13">
        <v>46216.440613425926</v>
      </c>
      <c r="O4341" s="14" t="str">
        <f>HYPERLINK("https://otsuka-europe-crm.veevavault.com/ui/#object/email_activity__v/V8C000000049317", "EN-002105441")</f>
        <v>EN-002105441</v>
      </c>
    </row>
    <row r="4342" spans="1:15" ht="64" x14ac:dyDescent="0.2">
      <c r="A4342" s="7" t="str">
        <f>HYPERLINK("https://otsuka-europe-crm.veevavault.com/ui/#object/account__v/V4TZ04ASGEBWRWC", "PAULA VALENTINA ESTRADA ALARCON")</f>
        <v>PAULA VALENTINA ESTRADA ALARCON</v>
      </c>
      <c r="B4342" s="7" t="str">
        <f>HYPERLINK("https://otsuka-europe-crm.veevavault.com/ui/#object/vcountry__v/VENZ000004SONF5", "ES")</f>
        <v>ES</v>
      </c>
      <c r="C4342" s="8" t="s">
        <v>39</v>
      </c>
      <c r="D434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4342" s="10" t="str">
        <f>HYPERLINK("https://otsuka-europe-crm.veevavault.com/ui/#object/sent_email__v/VBL000000038142", "SE-001443794")</f>
        <v>SE-001443794</v>
      </c>
      <c r="F4342" s="11"/>
      <c r="G4342" s="12">
        <v>0</v>
      </c>
      <c r="H4342" s="12">
        <v>0</v>
      </c>
      <c r="I4342" s="12">
        <v>0</v>
      </c>
      <c r="J4342" s="11"/>
      <c r="K4342" s="12">
        <v>0</v>
      </c>
      <c r="L434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4342" s="10" t="str">
        <f>HYPERLINK("mailto:gsammali@crm.otsuka-europe.com", "gsammali@crm.otsuka-europe.com")</f>
        <v>gsammali@crm.otsuka-europe.com</v>
      </c>
      <c r="N4342" s="13">
        <v>46216.440613425926</v>
      </c>
      <c r="O4342" s="14" t="str">
        <f>HYPERLINK("https://otsuka-europe-crm.veevavault.com/ui/#object/email_activity__v/V8C00000004A257", "EN-002105436")</f>
        <v>EN-002105436</v>
      </c>
    </row>
    <row r="4343" spans="1:15" ht="16" x14ac:dyDescent="0.2">
      <c r="A4343" s="18" t="str">
        <f>HYPERLINK("https://otsuka-europe-crm.veevavault.com/ui/#object/account__v/V4TZ025E84GCU9J", "LIVIA MARIA SORRENTINO")</f>
        <v>LIVIA MARIA SORRENTINO</v>
      </c>
      <c r="B4343" s="18" t="str">
        <f>HYPERLINK("https://otsuka-europe-crm.veevavault.com/ui/#object/vcountry__v/VENZ000004SONFQ", "IT")</f>
        <v>IT</v>
      </c>
      <c r="C4343" s="20" t="s">
        <v>42</v>
      </c>
      <c r="D4343" s="21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E4343" s="22" t="str">
        <f>HYPERLINK("https://otsuka-europe-crm.veevavault.com/ui/#object/sent_email__v/VBL000000038143", "SE-001443795")</f>
        <v>SE-001443795</v>
      </c>
      <c r="F4343" s="25">
        <v>46216.490023148152</v>
      </c>
      <c r="G4343" s="24">
        <v>1</v>
      </c>
      <c r="H4343" s="24">
        <v>1</v>
      </c>
      <c r="I4343" s="24">
        <v>1</v>
      </c>
      <c r="J4343" s="25">
        <v>46216.520185185182</v>
      </c>
      <c r="K4343" s="24">
        <v>1</v>
      </c>
      <c r="L4343" s="22" t="str">
        <f>HYPERLINK("https://otsuka-europe-crm.veevavault.com/ui/#object/approved_document__v/V5O00000000G061", "AE - AGGIORNAMENTI SEZIONE APPROFONDIMENTI NEFRO IT-NPR-2500150")</f>
        <v>AE - AGGIORNAMENTI SEZIONE APPROFONDIMENTI NEFRO IT-NPR-2500150</v>
      </c>
      <c r="M4343" s="22" t="str">
        <f>HYPERLINK("mailto:giada.camassa@outsuka.it", "giada.camassa@outsuka.it")</f>
        <v>giada.camassa@outsuka.it</v>
      </c>
      <c r="N4343" s="25">
        <v>46216.489814814813</v>
      </c>
      <c r="O4343" s="14" t="str">
        <f>HYPERLINK("https://otsuka-europe-crm.veevavault.com/ui/#object/email_activity__v/V8C000000049342", "EN-002105484")</f>
        <v>EN-002105484</v>
      </c>
    </row>
    <row r="4344" spans="1:15" ht="16" x14ac:dyDescent="0.2">
      <c r="A4344" s="26"/>
      <c r="B4344" s="26"/>
      <c r="C4344" s="26"/>
      <c r="D4344" s="26"/>
      <c r="E4344" s="26"/>
      <c r="F4344" s="26"/>
      <c r="G4344" s="26"/>
      <c r="H4344" s="26"/>
      <c r="I4344" s="26"/>
      <c r="J4344" s="26"/>
      <c r="K4344" s="26"/>
      <c r="L4344" s="26"/>
      <c r="M4344" s="26"/>
      <c r="N4344" s="26"/>
      <c r="O4344" s="14" t="str">
        <f>HYPERLINK("https://otsuka-europe-crm.veevavault.com/ui/#object/email_activity__v/V8C000000049348", "EN-002105497")</f>
        <v>EN-002105497</v>
      </c>
    </row>
    <row r="4345" spans="1:15" ht="16" x14ac:dyDescent="0.2">
      <c r="A4345" s="19"/>
      <c r="B4345" s="19"/>
      <c r="C4345" s="19"/>
      <c r="D4345" s="19"/>
      <c r="E4345" s="19"/>
      <c r="F4345" s="19"/>
      <c r="G4345" s="19"/>
      <c r="H4345" s="19"/>
      <c r="I4345" s="19"/>
      <c r="J4345" s="19"/>
      <c r="K4345" s="19"/>
      <c r="L4345" s="19"/>
      <c r="M4345" s="19"/>
      <c r="N4345" s="19"/>
      <c r="O4345" s="14" t="str">
        <f>HYPERLINK("https://otsuka-europe-crm.veevavault.com/ui/#object/email_activity__v/V8C00000004A277", "EN-002105485")</f>
        <v>EN-002105485</v>
      </c>
    </row>
    <row r="4346" spans="1:15" ht="48" x14ac:dyDescent="0.2">
      <c r="A4346" s="7" t="str">
        <f>HYPERLINK("https://otsuka-europe-crm.veevavault.com/ui/#object/account__v/V4TZ04ASG7NK6RP", "VALENTINA CAROCCI")</f>
        <v>VALENTINA CAROCCI</v>
      </c>
      <c r="B4346" s="7" t="str">
        <f>HYPERLINK("https://otsuka-europe-crm.veevavault.com/ui/#object/vcountry__v/VENZ000004SONFQ", "IT")</f>
        <v>IT</v>
      </c>
      <c r="C4346" s="8" t="s">
        <v>42</v>
      </c>
      <c r="D4346" s="9" t="str">
        <f>HYPERLINK("https://otsuka-europe-crm.veevavault.com/ui/#object/approved_document__v/V5OZ025E82UFNWM", "ABILIFY 960720_Branded_AE Fagiolini_IT-AM2-2500131")</f>
        <v>ABILIFY 960720_Branded_AE Fagiolini_IT-AM2-2500131</v>
      </c>
      <c r="E4346" s="10" t="str">
        <f>HYPERLINK("https://otsuka-europe-crm.veevavault.com/ui/#object/sent_email__v/VBL000000037164", "SE-001443796")</f>
        <v>SE-001443796</v>
      </c>
      <c r="F4346" s="11"/>
      <c r="G4346" s="12">
        <v>0</v>
      </c>
      <c r="H4346" s="12">
        <v>0</v>
      </c>
      <c r="I4346" s="12">
        <v>0</v>
      </c>
      <c r="J4346" s="11"/>
      <c r="K4346" s="12">
        <v>0</v>
      </c>
      <c r="L4346" s="10" t="str">
        <f>HYPERLINK("https://otsuka-europe-crm.veevavault.com/ui/#object/approved_document__v/V5OZ025E82UFNWM", "ABILIFY 960720_Branded_AE Fagiolini_IT-AM2-2500131")</f>
        <v>ABILIFY 960720_Branded_AE Fagiolini_IT-AM2-2500131</v>
      </c>
      <c r="M4346" s="10" t="str">
        <f>HYPERLINK("mailto:marina.maccaglia@crm.otsuka-europe.com", "marina.maccaglia@crm.otsuka-europe.com")</f>
        <v>marina.maccaglia@crm.otsuka-europe.com</v>
      </c>
      <c r="N4346" s="13">
        <v>46216.532777777778</v>
      </c>
      <c r="O4346" s="14" t="str">
        <f>HYPERLINK("https://otsuka-europe-crm.veevavault.com/ui/#object/email_activity__v/V8C00000004A286", "EN-002105500")</f>
        <v>EN-002105500</v>
      </c>
    </row>
    <row r="4347" spans="1:15" ht="16" x14ac:dyDescent="0.2">
      <c r="A4347" s="18" t="str">
        <f>HYPERLINK("https://otsuka-europe-crm.veevavault.com/ui/#object/account__v/V4TZ025E830ATJ2", "CAROLINA SAEZ PONS")</f>
        <v>CAROLINA SAEZ PONS</v>
      </c>
      <c r="B4347" s="18" t="str">
        <f>HYPERLINK("https://otsuka-europe-crm.veevavault.com/ui/#object/vcountry__v/VENZ000004SONF5", "ES")</f>
        <v>ES</v>
      </c>
      <c r="C4347" s="20" t="s">
        <v>39</v>
      </c>
      <c r="D4347" s="21" t="str">
        <f>HYPERLINK("https://otsuka-europe-crm.veevavault.com/ui/#object/approved_document__v/V5O00000000D100", "Spain - Consent Email 1 Aug 25")</f>
        <v>Spain - Consent Email 1 Aug 25</v>
      </c>
      <c r="E4347" s="22" t="str">
        <f>HYPERLINK("https://otsuka-europe-crm.veevavault.com/ui/#object/sent_email__v/VBL000000037165", "SE-001443797")</f>
        <v>SE-001443797</v>
      </c>
      <c r="F4347" s="25">
        <v>46216.655925925923</v>
      </c>
      <c r="G4347" s="24">
        <v>1</v>
      </c>
      <c r="H4347" s="24">
        <v>1</v>
      </c>
      <c r="I4347" s="24">
        <v>1</v>
      </c>
      <c r="J4347" s="25">
        <v>46216.655925925923</v>
      </c>
      <c r="K4347" s="24">
        <v>1</v>
      </c>
      <c r="L4347" s="22" t="str">
        <f>HYPERLINK("https://otsuka-europe-crm.veevavault.com/ui/#object/approved_document__v/V5O00000000D100", "Spain - Consent Email 1 Aug 25")</f>
        <v>Spain - Consent Email 1 Aug 25</v>
      </c>
      <c r="M4347" s="22" t="str">
        <f>HYPERLINK("mailto:ccalero@crm.otsuka-europe.com", "ccalero@crm.otsuka-europe.com")</f>
        <v>ccalero@crm.otsuka-europe.com</v>
      </c>
      <c r="N4347" s="25">
        <v>46216.575277777774</v>
      </c>
      <c r="O4347" s="14" t="str">
        <f>HYPERLINK("https://otsuka-europe-crm.veevavault.com/ui/#object/email_activity__v/V8C000000049376", "EN-002105545")</f>
        <v>EN-002105545</v>
      </c>
    </row>
    <row r="4348" spans="1:15" ht="16" x14ac:dyDescent="0.2">
      <c r="A4348" s="26"/>
      <c r="B4348" s="26"/>
      <c r="C4348" s="26"/>
      <c r="D4348" s="26"/>
      <c r="E4348" s="26"/>
      <c r="F4348" s="26"/>
      <c r="G4348" s="26"/>
      <c r="H4348" s="26"/>
      <c r="I4348" s="26"/>
      <c r="J4348" s="26"/>
      <c r="K4348" s="26"/>
      <c r="L4348" s="26"/>
      <c r="M4348" s="26"/>
      <c r="N4348" s="26"/>
      <c r="O4348" s="14" t="str">
        <f>HYPERLINK("https://otsuka-europe-crm.veevavault.com/ui/#object/email_activity__v/V8C000000049377", "EN-002105544")</f>
        <v>EN-002105544</v>
      </c>
    </row>
    <row r="4349" spans="1:15" ht="16" x14ac:dyDescent="0.2">
      <c r="A4349" s="19"/>
      <c r="B4349" s="19"/>
      <c r="C4349" s="19"/>
      <c r="D4349" s="19"/>
      <c r="E4349" s="19"/>
      <c r="F4349" s="19"/>
      <c r="G4349" s="19"/>
      <c r="H4349" s="19"/>
      <c r="I4349" s="19"/>
      <c r="J4349" s="19"/>
      <c r="K4349" s="19"/>
      <c r="L4349" s="19"/>
      <c r="M4349" s="19"/>
      <c r="N4349" s="19"/>
      <c r="O4349" s="14" t="str">
        <f>HYPERLINK("https://otsuka-europe-crm.veevavault.com/ui/#object/email_activity__v/V8C00000004A293", "EN-002105515")</f>
        <v>EN-002105515</v>
      </c>
    </row>
    <row r="4350" spans="1:15" ht="16" x14ac:dyDescent="0.2">
      <c r="A4350" s="18" t="str">
        <f>HYPERLINK("https://otsuka-europe-crm.veevavault.com/ui/#object/account__v/V4TZ025E830ATJ2", "CAROLINA SAEZ PONS")</f>
        <v>CAROLINA SAEZ PONS</v>
      </c>
      <c r="B4350" s="18" t="str">
        <f>HYPERLINK("https://otsuka-europe-crm.veevavault.com/ui/#object/vcountry__v/VENZ000004SONF5", "ES")</f>
        <v>ES</v>
      </c>
      <c r="C4350" s="20" t="s">
        <v>39</v>
      </c>
      <c r="D4350" s="21" t="str">
        <f>HYPERLINK("https://otsuka-europe-crm.veevavault.com/ui/#object/approved_document__v/V5OZ04ASG4FWKA9", "Documento Autorizaciขn Centro Empleador")</f>
        <v>Documento Autorizaciขn Centro Empleador</v>
      </c>
      <c r="E4350" s="22" t="str">
        <f>HYPERLINK("https://otsuka-europe-crm.veevavault.com/ui/#object/sent_email__v/VBL000000037166", "SE-001443798")</f>
        <v>SE-001443798</v>
      </c>
      <c r="F4350" s="25">
        <v>46216.655601851853</v>
      </c>
      <c r="G4350" s="24">
        <v>1</v>
      </c>
      <c r="H4350" s="24">
        <v>1</v>
      </c>
      <c r="I4350" s="24">
        <v>1</v>
      </c>
      <c r="J4350" s="25">
        <v>46216.655601851853</v>
      </c>
      <c r="K4350" s="24">
        <v>1</v>
      </c>
      <c r="L4350" s="22" t="str">
        <f>HYPERLINK("https://otsuka-europe-crm.veevavault.com/ui/#object/approved_document__v/V5OZ04ASG4FWKA9", "Documento Autorizaciขn Centro Empleador")</f>
        <v>Documento Autorizaciขn Centro Empleador</v>
      </c>
      <c r="M4350" s="22" t="str">
        <f>HYPERLINK("mailto:ccalero@crm.otsuka-europe.com", "ccalero@crm.otsuka-europe.com")</f>
        <v>ccalero@crm.otsuka-europe.com</v>
      </c>
      <c r="N4350" s="25">
        <v>46216.575289351851</v>
      </c>
      <c r="O4350" s="14" t="str">
        <f>HYPERLINK("https://otsuka-europe-crm.veevavault.com/ui/#object/email_activity__v/V8C000000049374", "EN-002105543")</f>
        <v>EN-002105543</v>
      </c>
    </row>
    <row r="4351" spans="1:15" ht="16" x14ac:dyDescent="0.2">
      <c r="A4351" s="26"/>
      <c r="B4351" s="26"/>
      <c r="C4351" s="26"/>
      <c r="D4351" s="26"/>
      <c r="E4351" s="26"/>
      <c r="F4351" s="26"/>
      <c r="G4351" s="26"/>
      <c r="H4351" s="26"/>
      <c r="I4351" s="26"/>
      <c r="J4351" s="26"/>
      <c r="K4351" s="26"/>
      <c r="L4351" s="26"/>
      <c r="M4351" s="26"/>
      <c r="N4351" s="26"/>
      <c r="O4351" s="14" t="str">
        <f>HYPERLINK("https://otsuka-europe-crm.veevavault.com/ui/#object/email_activity__v/V8C000000049375", "EN-002105542")</f>
        <v>EN-002105542</v>
      </c>
    </row>
    <row r="4352" spans="1:15" ht="16" x14ac:dyDescent="0.2">
      <c r="A4352" s="19"/>
      <c r="B4352" s="19"/>
      <c r="C4352" s="19"/>
      <c r="D4352" s="19"/>
      <c r="E4352" s="19"/>
      <c r="F4352" s="19"/>
      <c r="G4352" s="19"/>
      <c r="H4352" s="19"/>
      <c r="I4352" s="19"/>
      <c r="J4352" s="19"/>
      <c r="K4352" s="19"/>
      <c r="L4352" s="19"/>
      <c r="M4352" s="19"/>
      <c r="N4352" s="19"/>
      <c r="O4352" s="14" t="str">
        <f>HYPERLINK("https://otsuka-europe-crm.veevavault.com/ui/#object/email_activity__v/V8C00000004A292", "EN-002105514")</f>
        <v>EN-002105514</v>
      </c>
    </row>
    <row r="4353" spans="1:15" ht="16" x14ac:dyDescent="0.2">
      <c r="A4353" s="18" t="str">
        <f>HYPERLINK("https://otsuka-europe-crm.veevavault.com/ui/#object/account__v/V4TZ025E85GX5AT", "STEFANIA AGNOLI")</f>
        <v>STEFANIA AGNOLI</v>
      </c>
      <c r="B4353" s="18" t="str">
        <f>HYPERLINK("https://otsuka-europe-crm.veevavault.com/ui/#object/vcountry__v/VENZ000004SONFQ", "IT")</f>
        <v>IT</v>
      </c>
      <c r="C4353" s="20" t="s">
        <v>42</v>
      </c>
      <c r="D4353" s="21" t="str">
        <f>HYPERLINK("https://otsuka-europe-crm.veevavault.com/ui/#object/approved_document__v/V5OZ025E82TI1KD", "DEM MUTAZIONE tp53")</f>
        <v>DEM MUTAZIONE tp53</v>
      </c>
      <c r="E4353" s="22" t="str">
        <f>HYPERLINK("https://otsuka-europe-crm.veevavault.com/ui/#object/sent_email__v/VBL000000038144", "SE-001443799")</f>
        <v>SE-001443799</v>
      </c>
      <c r="F4353" s="25">
        <v>46216.664675925924</v>
      </c>
      <c r="G4353" s="24">
        <v>1</v>
      </c>
      <c r="H4353" s="24">
        <v>1</v>
      </c>
      <c r="I4353" s="24">
        <v>0</v>
      </c>
      <c r="J4353" s="23"/>
      <c r="K4353" s="24">
        <v>0</v>
      </c>
      <c r="L4353" s="22" t="str">
        <f>HYPERLINK("https://otsuka-europe-crm.veevavault.com/ui/#object/approved_document__v/V5OZ025E82TI1KD", "DEM MUTAZIONE tp53")</f>
        <v>DEM MUTAZIONE tp53</v>
      </c>
      <c r="M4353" s="22" t="str">
        <f>HYPERLINK("mailto:natale.cinoglosso@crm.otsuka-europe.com", "natale.cinoglosso@crm.otsuka-europe.com")</f>
        <v>natale.cinoglosso@crm.otsuka-europe.com</v>
      </c>
      <c r="N4353" s="25">
        <v>46216.656875000001</v>
      </c>
      <c r="O4353" s="14" t="str">
        <f>HYPERLINK("https://otsuka-europe-crm.veevavault.com/ui/#object/email_activity__v/V8C000000049378", "EN-002105546")</f>
        <v>EN-002105546</v>
      </c>
    </row>
    <row r="4354" spans="1:15" ht="16" x14ac:dyDescent="0.2">
      <c r="A4354" s="19"/>
      <c r="B4354" s="19"/>
      <c r="C4354" s="19"/>
      <c r="D4354" s="19"/>
      <c r="E4354" s="19"/>
      <c r="F4354" s="19"/>
      <c r="G4354" s="19"/>
      <c r="H4354" s="19"/>
      <c r="I4354" s="19"/>
      <c r="J4354" s="19"/>
      <c r="K4354" s="19"/>
      <c r="L4354" s="19"/>
      <c r="M4354" s="19"/>
      <c r="N4354" s="19"/>
      <c r="O4354" s="14" t="str">
        <f>HYPERLINK("https://otsuka-europe-crm.veevavault.com/ui/#object/email_activity__v/V8C00000004A309", "EN-002105575")</f>
        <v>EN-002105575</v>
      </c>
    </row>
    <row r="4355" spans="1:15" ht="16" x14ac:dyDescent="0.2">
      <c r="A4355" s="18" t="str">
        <f>HYPERLINK("https://otsuka-europe-crm.veevavault.com/ui/#object/account__v/V4TZ025E846Y1FE", "GABRIELE AITORO")</f>
        <v>GABRIELE AITORO</v>
      </c>
      <c r="B4355" s="18" t="str">
        <f>HYPERLINK("https://otsuka-europe-crm.veevavault.com/ui/#object/vcountry__v/VENZ000004SONFQ", "IT")</f>
        <v>IT</v>
      </c>
      <c r="C4355" s="20" t="s">
        <v>42</v>
      </c>
      <c r="D4355" s="21" t="str">
        <f>HYPERLINK("https://otsuka-europe-crm.veevavault.com/ui/#object/approved_document__v/V5OZ025E82TI1KD", "DEM MUTAZIONE tp53")</f>
        <v>DEM MUTAZIONE tp53</v>
      </c>
      <c r="E4355" s="22" t="str">
        <f>HYPERLINK("https://otsuka-europe-crm.veevavault.com/ui/#object/sent_email__v/VBL000000037167", "SE-001443800")</f>
        <v>SE-001443800</v>
      </c>
      <c r="F4355" s="25">
        <v>46216.657106481478</v>
      </c>
      <c r="G4355" s="24">
        <v>1</v>
      </c>
      <c r="H4355" s="24">
        <v>1</v>
      </c>
      <c r="I4355" s="24">
        <v>0</v>
      </c>
      <c r="J4355" s="23"/>
      <c r="K4355" s="24">
        <v>0</v>
      </c>
      <c r="L4355" s="22" t="str">
        <f>HYPERLINK("https://otsuka-europe-crm.veevavault.com/ui/#object/approved_document__v/V5OZ025E82TI1KD", "DEM MUTAZIONE tp53")</f>
        <v>DEM MUTAZIONE tp53</v>
      </c>
      <c r="M4355" s="22" t="str">
        <f>HYPERLINK("mailto:natale.cinoglosso@crm.otsuka-europe.com", "natale.cinoglosso@crm.otsuka-europe.com")</f>
        <v>natale.cinoglosso@crm.otsuka-europe.com</v>
      </c>
      <c r="N4355" s="25">
        <v>46216.657013888886</v>
      </c>
      <c r="O4355" s="14" t="str">
        <f>HYPERLINK("https://otsuka-europe-crm.veevavault.com/ui/#object/email_activity__v/V8C000000049379", "EN-002105547")</f>
        <v>EN-002105547</v>
      </c>
    </row>
    <row r="4356" spans="1:15" ht="16" x14ac:dyDescent="0.2">
      <c r="A4356" s="19"/>
      <c r="B4356" s="19"/>
      <c r="C4356" s="19"/>
      <c r="D4356" s="19"/>
      <c r="E4356" s="19"/>
      <c r="F4356" s="19"/>
      <c r="G4356" s="19"/>
      <c r="H4356" s="19"/>
      <c r="I4356" s="19"/>
      <c r="J4356" s="19"/>
      <c r="K4356" s="19"/>
      <c r="L4356" s="19"/>
      <c r="M4356" s="19"/>
      <c r="N4356" s="19"/>
      <c r="O4356" s="14" t="str">
        <f>HYPERLINK("https://otsuka-europe-crm.veevavault.com/ui/#object/email_activity__v/V8C000000049380", "EN-002105548")</f>
        <v>EN-002105548</v>
      </c>
    </row>
    <row r="4357" spans="1:15" ht="32" x14ac:dyDescent="0.2">
      <c r="A4357" s="7" t="str">
        <f>HYPERLINK("https://otsuka-europe-crm.veevavault.com/ui/#object/account__v/V4TZ025E85N9Z16", "LORENA APPIO")</f>
        <v>LORENA APPIO</v>
      </c>
      <c r="B4357" s="7" t="str">
        <f>HYPERLINK("https://otsuka-europe-crm.veevavault.com/ui/#object/vcountry__v/VENZ000004SONFQ", "IT")</f>
        <v>IT</v>
      </c>
      <c r="C4357" s="8" t="s">
        <v>42</v>
      </c>
      <c r="D4357" s="9" t="str">
        <f>HYPERLINK("https://otsuka-europe-crm.veevavault.com/ui/#object/approved_document__v/V5OZ025E82TI1KD", "DEM MUTAZIONE tp53")</f>
        <v>DEM MUTAZIONE tp53</v>
      </c>
      <c r="E4357" s="10" t="str">
        <f>HYPERLINK("https://otsuka-europe-crm.veevavault.com/ui/#object/sent_email__v/VBL000000038145", "SE-001443801")</f>
        <v>SE-001443801</v>
      </c>
      <c r="F4357" s="11"/>
      <c r="G4357" s="12">
        <v>0</v>
      </c>
      <c r="H4357" s="12">
        <v>0</v>
      </c>
      <c r="I4357" s="12">
        <v>0</v>
      </c>
      <c r="J4357" s="11"/>
      <c r="K4357" s="12">
        <v>0</v>
      </c>
      <c r="L4357" s="10" t="str">
        <f>HYPERLINK("https://otsuka-europe-crm.veevavault.com/ui/#object/approved_document__v/V5OZ025E82TI1KD", "DEM MUTAZIONE tp53")</f>
        <v>DEM MUTAZIONE tp53</v>
      </c>
      <c r="M4357" s="10" t="str">
        <f>HYPERLINK("mailto:natale.cinoglosso@crm.otsuka-europe.com", "natale.cinoglosso@crm.otsuka-europe.com")</f>
        <v>natale.cinoglosso@crm.otsuka-europe.com</v>
      </c>
      <c r="N4357" s="13">
        <v>46216.65730324074</v>
      </c>
      <c r="O4357" s="14" t="str">
        <f>HYPERLINK("https://otsuka-europe-crm.veevavault.com/ui/#object/email_activity__v/V8C000000049382", "EN-002105550")</f>
        <v>EN-002105550</v>
      </c>
    </row>
    <row r="4358" spans="1:15" ht="16" x14ac:dyDescent="0.2">
      <c r="A4358" s="18" t="str">
        <f>HYPERLINK("https://otsuka-europe-crm.veevavault.com/ui/#object/account__v/V4TZ025E83NVEOH", "LUCA ARCAINI")</f>
        <v>LUCA ARCAINI</v>
      </c>
      <c r="B4358" s="18" t="str">
        <f>HYPERLINK("https://otsuka-europe-crm.veevavault.com/ui/#object/vcountry__v/VENZ000004SONFQ", "IT")</f>
        <v>IT</v>
      </c>
      <c r="C4358" s="20" t="s">
        <v>42</v>
      </c>
      <c r="D4358" s="21" t="str">
        <f>HYPERLINK("https://otsuka-europe-crm.veevavault.com/ui/#object/approved_document__v/V5OZ025E82TI1KD", "DEM MUTAZIONE tp53")</f>
        <v>DEM MUTAZIONE tp53</v>
      </c>
      <c r="E4358" s="22" t="str">
        <f>HYPERLINK("https://otsuka-europe-crm.veevavault.com/ui/#object/sent_email__v/VBL000000038146", "SE-001443802")</f>
        <v>SE-001443802</v>
      </c>
      <c r="F4358" s="25">
        <v>46216.66065972222</v>
      </c>
      <c r="G4358" s="24">
        <v>1</v>
      </c>
      <c r="H4358" s="24">
        <v>1</v>
      </c>
      <c r="I4358" s="24">
        <v>0</v>
      </c>
      <c r="J4358" s="23"/>
      <c r="K4358" s="24">
        <v>0</v>
      </c>
      <c r="L4358" s="22" t="str">
        <f>HYPERLINK("https://otsuka-europe-crm.veevavault.com/ui/#object/approved_document__v/V5OZ025E82TI1KD", "DEM MUTAZIONE tp53")</f>
        <v>DEM MUTAZIONE tp53</v>
      </c>
      <c r="M4358" s="22" t="str">
        <f>HYPERLINK("mailto:natale.cinoglosso@crm.otsuka-europe.com", "natale.cinoglosso@crm.otsuka-europe.com")</f>
        <v>natale.cinoglosso@crm.otsuka-europe.com</v>
      </c>
      <c r="N4358" s="25">
        <v>46216.657384259262</v>
      </c>
      <c r="O4358" s="14" t="str">
        <f>HYPERLINK("https://otsuka-europe-crm.veevavault.com/ui/#object/email_activity__v/V8C000000049381", "EN-002105549")</f>
        <v>EN-002105549</v>
      </c>
    </row>
    <row r="4359" spans="1:15" ht="16" x14ac:dyDescent="0.2">
      <c r="A4359" s="19"/>
      <c r="B4359" s="19"/>
      <c r="C4359" s="19"/>
      <c r="D4359" s="19"/>
      <c r="E4359" s="19"/>
      <c r="F4359" s="19"/>
      <c r="G4359" s="19"/>
      <c r="H4359" s="19"/>
      <c r="I4359" s="19"/>
      <c r="J4359" s="19"/>
      <c r="K4359" s="19"/>
      <c r="L4359" s="19"/>
      <c r="M4359" s="19"/>
      <c r="N4359" s="19"/>
      <c r="O4359" s="14" t="str">
        <f>HYPERLINK("https://otsuka-europe-crm.veevavault.com/ui/#object/email_activity__v/V8C000000049400", "EN-002105571")</f>
        <v>EN-002105571</v>
      </c>
    </row>
    <row r="4360" spans="1:15" ht="32" x14ac:dyDescent="0.2">
      <c r="A4360" s="7" t="str">
        <f>HYPERLINK("https://otsuka-europe-crm.veevavault.com/ui/#object/account__v/V4TZ025E8450NL9", "MARCO ARMENIO")</f>
        <v>MARCO ARMENIO</v>
      </c>
      <c r="B4360" s="7" t="str">
        <f>HYPERLINK("https://otsuka-europe-crm.veevavault.com/ui/#object/vcountry__v/VENZ000004SONFQ", "IT")</f>
        <v>IT</v>
      </c>
      <c r="C4360" s="8" t="s">
        <v>42</v>
      </c>
      <c r="D4360" s="9" t="str">
        <f>HYPERLINK("https://otsuka-europe-crm.veevavault.com/ui/#object/approved_document__v/V5OZ025E82TI1KD", "DEM MUTAZIONE tp53")</f>
        <v>DEM MUTAZIONE tp53</v>
      </c>
      <c r="E4360" s="10" t="str">
        <f>HYPERLINK("https://otsuka-europe-crm.veevavault.com/ui/#object/sent_email__v/VBL000000038147", "SE-001443803")</f>
        <v>SE-001443803</v>
      </c>
      <c r="F4360" s="11"/>
      <c r="G4360" s="12">
        <v>0</v>
      </c>
      <c r="H4360" s="12">
        <v>0</v>
      </c>
      <c r="I4360" s="12">
        <v>0</v>
      </c>
      <c r="J4360" s="11"/>
      <c r="K4360" s="12">
        <v>0</v>
      </c>
      <c r="L4360" s="10" t="str">
        <f>HYPERLINK("https://otsuka-europe-crm.veevavault.com/ui/#object/approved_document__v/V5OZ025E82TI1KD", "DEM MUTAZIONE tp53")</f>
        <v>DEM MUTAZIONE tp53</v>
      </c>
      <c r="M4360" s="10" t="str">
        <f>HYPERLINK("mailto:natale.cinoglosso@crm.otsuka-europe.com", "natale.cinoglosso@crm.otsuka-europe.com")</f>
        <v>natale.cinoglosso@crm.otsuka-europe.com</v>
      </c>
      <c r="N4360" s="13">
        <v>46216.657835648148</v>
      </c>
      <c r="O4360" s="14" t="str">
        <f>HYPERLINK("https://otsuka-europe-crm.veevavault.com/ui/#object/email_activity__v/V8C000000049384", "EN-002105552")</f>
        <v>EN-002105552</v>
      </c>
    </row>
    <row r="4361" spans="1:15" ht="32" x14ac:dyDescent="0.2">
      <c r="A4361" s="7" t="str">
        <f>HYPERLINK("https://otsuka-europe-crm.veevavault.com/ui/#object/account__v/V4TZ025E83XWECV", "PAOLO AVANZINI")</f>
        <v>PAOLO AVANZINI</v>
      </c>
      <c r="B4361" s="7" t="str">
        <f>HYPERLINK("https://otsuka-europe-crm.veevavault.com/ui/#object/vcountry__v/VENZ000004SONFQ", "IT")</f>
        <v>IT</v>
      </c>
      <c r="C4361" s="8" t="s">
        <v>42</v>
      </c>
      <c r="D4361" s="9" t="str">
        <f>HYPERLINK("https://otsuka-europe-crm.veevavault.com/ui/#object/approved_document__v/V5OZ025E82TI1KD", "DEM MUTAZIONE tp53")</f>
        <v>DEM MUTAZIONE tp53</v>
      </c>
      <c r="E4361" s="10" t="str">
        <f>HYPERLINK("https://otsuka-europe-crm.veevavault.com/ui/#object/sent_email__v/VBL000000037168", "SE-001443804")</f>
        <v>SE-001443804</v>
      </c>
      <c r="F4361" s="11"/>
      <c r="G4361" s="12">
        <v>0</v>
      </c>
      <c r="H4361" s="12">
        <v>0</v>
      </c>
      <c r="I4361" s="12">
        <v>0</v>
      </c>
      <c r="J4361" s="11"/>
      <c r="K4361" s="12">
        <v>0</v>
      </c>
      <c r="L4361" s="10" t="str">
        <f>HYPERLINK("https://otsuka-europe-crm.veevavault.com/ui/#object/approved_document__v/V5OZ025E82TI1KD", "DEM MUTAZIONE tp53")</f>
        <v>DEM MUTAZIONE tp53</v>
      </c>
      <c r="M4361" s="10" t="str">
        <f>HYPERLINK("mailto:natale.cinoglosso@crm.otsuka-europe.com", "natale.cinoglosso@crm.otsuka-europe.com")</f>
        <v>natale.cinoglosso@crm.otsuka-europe.com</v>
      </c>
      <c r="N4361" s="13">
        <v>46216.657951388886</v>
      </c>
      <c r="O4361" s="14" t="str">
        <f>HYPERLINK("https://otsuka-europe-crm.veevavault.com/ui/#object/email_activity__v/V8C000000049385", "EN-002105553")</f>
        <v>EN-002105553</v>
      </c>
    </row>
    <row r="4362" spans="1:15" ht="32" x14ac:dyDescent="0.2">
      <c r="A4362" s="7" t="str">
        <f>HYPERLINK("https://otsuka-europe-crm.veevavault.com/ui/#object/account__v/V4TZ025E84K23KC", "ELOISE BEGGIATO")</f>
        <v>ELOISE BEGGIATO</v>
      </c>
      <c r="B4362" s="7" t="str">
        <f>HYPERLINK("https://otsuka-europe-crm.veevavault.com/ui/#object/vcountry__v/VENZ000004SONFQ", "IT")</f>
        <v>IT</v>
      </c>
      <c r="C4362" s="8" t="s">
        <v>42</v>
      </c>
      <c r="D4362" s="9" t="str">
        <f>HYPERLINK("https://otsuka-europe-crm.veevavault.com/ui/#object/approved_document__v/V5OZ025E82TI1KD", "DEM MUTAZIONE tp53")</f>
        <v>DEM MUTAZIONE tp53</v>
      </c>
      <c r="E4362" s="10" t="str">
        <f>HYPERLINK("https://otsuka-europe-crm.veevavault.com/ui/#object/sent_email__v/VBL000000037169", "SE-001443805")</f>
        <v>SE-001443805</v>
      </c>
      <c r="F4362" s="11"/>
      <c r="G4362" s="12">
        <v>0</v>
      </c>
      <c r="H4362" s="12">
        <v>0</v>
      </c>
      <c r="I4362" s="12">
        <v>0</v>
      </c>
      <c r="J4362" s="11"/>
      <c r="K4362" s="12">
        <v>0</v>
      </c>
      <c r="L4362" s="10" t="str">
        <f>HYPERLINK("https://otsuka-europe-crm.veevavault.com/ui/#object/approved_document__v/V5OZ025E82TI1KD", "DEM MUTAZIONE tp53")</f>
        <v>DEM MUTAZIONE tp53</v>
      </c>
      <c r="M4362" s="10" t="str">
        <f>HYPERLINK("mailto:natale.cinoglosso@crm.otsuka-europe.com", "natale.cinoglosso@crm.otsuka-europe.com")</f>
        <v>natale.cinoglosso@crm.otsuka-europe.com</v>
      </c>
      <c r="N4362" s="13">
        <v>46216.658171296294</v>
      </c>
      <c r="O4362" s="14" t="str">
        <f>HYPERLINK("https://otsuka-europe-crm.veevavault.com/ui/#object/email_activity__v/V8C000000049386", "EN-002105554")</f>
        <v>EN-002105554</v>
      </c>
    </row>
    <row r="4363" spans="1:15" ht="32" x14ac:dyDescent="0.2">
      <c r="A4363" s="7" t="str">
        <f>HYPERLINK("https://otsuka-europe-crm.veevavault.com/ui/#object/account__v/V4TZ025E86NF0J9", "MICAELA BERGAMASCHI")</f>
        <v>MICAELA BERGAMASCHI</v>
      </c>
      <c r="B4363" s="7" t="str">
        <f>HYPERLINK("https://otsuka-europe-crm.veevavault.com/ui/#object/vcountry__v/VENZ000004SONFQ", "IT")</f>
        <v>IT</v>
      </c>
      <c r="C4363" s="8" t="s">
        <v>42</v>
      </c>
      <c r="D4363" s="9" t="str">
        <f>HYPERLINK("https://otsuka-europe-crm.veevavault.com/ui/#object/approved_document__v/V5OZ025E82TI1KD", "DEM MUTAZIONE tp53")</f>
        <v>DEM MUTAZIONE tp53</v>
      </c>
      <c r="E4363" s="10" t="str">
        <f>HYPERLINK("https://otsuka-europe-crm.veevavault.com/ui/#object/sent_email__v/VBL000000037170", "SE-001443806")</f>
        <v>SE-001443806</v>
      </c>
      <c r="F4363" s="11"/>
      <c r="G4363" s="12">
        <v>0</v>
      </c>
      <c r="H4363" s="12">
        <v>0</v>
      </c>
      <c r="I4363" s="12">
        <v>0</v>
      </c>
      <c r="J4363" s="11"/>
      <c r="K4363" s="12">
        <v>0</v>
      </c>
      <c r="L4363" s="10" t="str">
        <f>HYPERLINK("https://otsuka-europe-crm.veevavault.com/ui/#object/approved_document__v/V5OZ025E82TI1KD", "DEM MUTAZIONE tp53")</f>
        <v>DEM MUTAZIONE tp53</v>
      </c>
      <c r="M4363" s="10" t="str">
        <f>HYPERLINK("mailto:natale.cinoglosso@crm.otsuka-europe.com", "natale.cinoglosso@crm.otsuka-europe.com")</f>
        <v>natale.cinoglosso@crm.otsuka-europe.com</v>
      </c>
      <c r="N4363" s="13">
        <v>46216.658518518518</v>
      </c>
      <c r="O4363" s="14" t="str">
        <f>HYPERLINK("https://otsuka-europe-crm.veevavault.com/ui/#object/email_activity__v/V8C00000004A303", "EN-002105556")</f>
        <v>EN-002105556</v>
      </c>
    </row>
    <row r="4364" spans="1:15" ht="16" x14ac:dyDescent="0.2">
      <c r="A4364" s="18" t="str">
        <f>HYPERLINK("https://otsuka-europe-crm.veevavault.com/ui/#object/account__v/V4TZ025E840SHYQ", "MASSIMO STEFANO LUCA BERNARDI")</f>
        <v>MASSIMO STEFANO LUCA BERNARDI</v>
      </c>
      <c r="B4364" s="18" t="str">
        <f>HYPERLINK("https://otsuka-europe-crm.veevavault.com/ui/#object/vcountry__v/VENZ000004SONFQ", "IT")</f>
        <v>IT</v>
      </c>
      <c r="C4364" s="20" t="s">
        <v>42</v>
      </c>
      <c r="D4364" s="21" t="str">
        <f>HYPERLINK("https://otsuka-europe-crm.veevavault.com/ui/#object/approved_document__v/V5OZ025E82TI1KD", "DEM MUTAZIONE tp53")</f>
        <v>DEM MUTAZIONE tp53</v>
      </c>
      <c r="E4364" s="22" t="str">
        <f>HYPERLINK("https://otsuka-europe-crm.veevavault.com/ui/#object/sent_email__v/VBL000000037171", "SE-001443807")</f>
        <v>SE-001443807</v>
      </c>
      <c r="F4364" s="25">
        <v>46216.692719907405</v>
      </c>
      <c r="G4364" s="24">
        <v>1</v>
      </c>
      <c r="H4364" s="24">
        <v>5</v>
      </c>
      <c r="I4364" s="24">
        <v>0</v>
      </c>
      <c r="J4364" s="23"/>
      <c r="K4364" s="24">
        <v>0</v>
      </c>
      <c r="L4364" s="22" t="str">
        <f>HYPERLINK("https://otsuka-europe-crm.veevavault.com/ui/#object/approved_document__v/V5OZ025E82TI1KD", "DEM MUTAZIONE tp53")</f>
        <v>DEM MUTAZIONE tp53</v>
      </c>
      <c r="M4364" s="22" t="str">
        <f>HYPERLINK("mailto:natale.cinoglosso@crm.otsuka-europe.com", "natale.cinoglosso@crm.otsuka-europe.com")</f>
        <v>natale.cinoglosso@crm.otsuka-europe.com</v>
      </c>
      <c r="N4364" s="25">
        <v>46216.658541666664</v>
      </c>
      <c r="O4364" s="14" t="str">
        <f>HYPERLINK("https://otsuka-europe-crm.veevavault.com/ui/#object/email_activity__v/V8C000000049387", "EN-002105555")</f>
        <v>EN-002105555</v>
      </c>
    </row>
    <row r="4365" spans="1:15" ht="16" x14ac:dyDescent="0.2">
      <c r="A4365" s="26"/>
      <c r="B4365" s="26"/>
      <c r="C4365" s="26"/>
      <c r="D4365" s="26"/>
      <c r="E4365" s="26"/>
      <c r="F4365" s="26"/>
      <c r="G4365" s="26"/>
      <c r="H4365" s="26"/>
      <c r="I4365" s="26"/>
      <c r="J4365" s="26"/>
      <c r="K4365" s="26"/>
      <c r="L4365" s="26"/>
      <c r="M4365" s="26"/>
      <c r="N4365" s="26"/>
      <c r="O4365" s="14" t="str">
        <f>HYPERLINK("https://otsuka-europe-crm.veevavault.com/ui/#object/email_activity__v/V8C000000049407", "EN-002105588")</f>
        <v>EN-002105588</v>
      </c>
    </row>
    <row r="4366" spans="1:15" ht="16" x14ac:dyDescent="0.2">
      <c r="A4366" s="26"/>
      <c r="B4366" s="26"/>
      <c r="C4366" s="26"/>
      <c r="D4366" s="26"/>
      <c r="E4366" s="26"/>
      <c r="F4366" s="26"/>
      <c r="G4366" s="26"/>
      <c r="H4366" s="26"/>
      <c r="I4366" s="26"/>
      <c r="J4366" s="26"/>
      <c r="K4366" s="26"/>
      <c r="L4366" s="26"/>
      <c r="M4366" s="26"/>
      <c r="N4366" s="26"/>
      <c r="O4366" s="14" t="str">
        <f>HYPERLINK("https://otsuka-europe-crm.veevavault.com/ui/#object/email_activity__v/V8C000000049414", "EN-002105598")</f>
        <v>EN-002105598</v>
      </c>
    </row>
    <row r="4367" spans="1:15" ht="16" x14ac:dyDescent="0.2">
      <c r="A4367" s="26"/>
      <c r="B4367" s="26"/>
      <c r="C4367" s="26"/>
      <c r="D4367" s="26"/>
      <c r="E4367" s="26"/>
      <c r="F4367" s="26"/>
      <c r="G4367" s="26"/>
      <c r="H4367" s="26"/>
      <c r="I4367" s="26"/>
      <c r="J4367" s="26"/>
      <c r="K4367" s="26"/>
      <c r="L4367" s="26"/>
      <c r="M4367" s="26"/>
      <c r="N4367" s="26"/>
      <c r="O4367" s="14" t="str">
        <f>HYPERLINK("https://otsuka-europe-crm.veevavault.com/ui/#object/email_activity__v/V8C000000049415", "EN-002105600")</f>
        <v>EN-002105600</v>
      </c>
    </row>
    <row r="4368" spans="1:15" ht="16" x14ac:dyDescent="0.2">
      <c r="A4368" s="26"/>
      <c r="B4368" s="26"/>
      <c r="C4368" s="26"/>
      <c r="D4368" s="26"/>
      <c r="E4368" s="26"/>
      <c r="F4368" s="26"/>
      <c r="G4368" s="26"/>
      <c r="H4368" s="26"/>
      <c r="I4368" s="26"/>
      <c r="J4368" s="26"/>
      <c r="K4368" s="26"/>
      <c r="L4368" s="26"/>
      <c r="M4368" s="26"/>
      <c r="N4368" s="26"/>
      <c r="O4368" s="14" t="str">
        <f>HYPERLINK("https://otsuka-europe-crm.veevavault.com/ui/#object/email_activity__v/V8C00000004A310", "EN-002105577")</f>
        <v>EN-002105577</v>
      </c>
    </row>
    <row r="4369" spans="1:15" ht="16" x14ac:dyDescent="0.2">
      <c r="A4369" s="26"/>
      <c r="B4369" s="26"/>
      <c r="C4369" s="26"/>
      <c r="D4369" s="26"/>
      <c r="E4369" s="26"/>
      <c r="F4369" s="26"/>
      <c r="G4369" s="26"/>
      <c r="H4369" s="26"/>
      <c r="I4369" s="26"/>
      <c r="J4369" s="26"/>
      <c r="K4369" s="26"/>
      <c r="L4369" s="26"/>
      <c r="M4369" s="26"/>
      <c r="N4369" s="26"/>
      <c r="O4369" s="14" t="str">
        <f>HYPERLINK("https://otsuka-europe-crm.veevavault.com/ui/#object/email_activity__v/V8C00000004A317", "EN-002105594")</f>
        <v>EN-002105594</v>
      </c>
    </row>
    <row r="4370" spans="1:15" ht="16" x14ac:dyDescent="0.2">
      <c r="A4370" s="26"/>
      <c r="B4370" s="26"/>
      <c r="C4370" s="26"/>
      <c r="D4370" s="26"/>
      <c r="E4370" s="26"/>
      <c r="F4370" s="26"/>
      <c r="G4370" s="26"/>
      <c r="H4370" s="26"/>
      <c r="I4370" s="26"/>
      <c r="J4370" s="26"/>
      <c r="K4370" s="26"/>
      <c r="L4370" s="26"/>
      <c r="M4370" s="26"/>
      <c r="N4370" s="26"/>
      <c r="O4370" s="14" t="str">
        <f>HYPERLINK("https://otsuka-europe-crm.veevavault.com/ui/#object/email_activity__v/V8C00000004A319", "EN-002105599")</f>
        <v>EN-002105599</v>
      </c>
    </row>
    <row r="4371" spans="1:15" ht="16" x14ac:dyDescent="0.2">
      <c r="A4371" s="26"/>
      <c r="B4371" s="26"/>
      <c r="C4371" s="26"/>
      <c r="D4371" s="26"/>
      <c r="E4371" s="26"/>
      <c r="F4371" s="26"/>
      <c r="G4371" s="26"/>
      <c r="H4371" s="26"/>
      <c r="I4371" s="26"/>
      <c r="J4371" s="26"/>
      <c r="K4371" s="26"/>
      <c r="L4371" s="26"/>
      <c r="M4371" s="26"/>
      <c r="N4371" s="26"/>
      <c r="O4371" s="14" t="str">
        <f>HYPERLINK("https://otsuka-europe-crm.veevavault.com/ui/#object/email_activity__v/V8C00000004A391", "EN-002105718")</f>
        <v>EN-002105718</v>
      </c>
    </row>
    <row r="4372" spans="1:15" ht="16" x14ac:dyDescent="0.2">
      <c r="A4372" s="26"/>
      <c r="B4372" s="26"/>
      <c r="C4372" s="26"/>
      <c r="D4372" s="26"/>
      <c r="E4372" s="26"/>
      <c r="F4372" s="26"/>
      <c r="G4372" s="26"/>
      <c r="H4372" s="26"/>
      <c r="I4372" s="26"/>
      <c r="J4372" s="26"/>
      <c r="K4372" s="26"/>
      <c r="L4372" s="26"/>
      <c r="M4372" s="26"/>
      <c r="N4372" s="26"/>
      <c r="O4372" s="14" t="str">
        <f>HYPERLINK("https://otsuka-europe-crm.veevavault.com/ui/#object/email_activity__v/V8C00000004A761", "EN-002106412")</f>
        <v>EN-002106412</v>
      </c>
    </row>
    <row r="4373" spans="1:15" ht="16" x14ac:dyDescent="0.2">
      <c r="A4373" s="19"/>
      <c r="B4373" s="19"/>
      <c r="C4373" s="19"/>
      <c r="D4373" s="19"/>
      <c r="E4373" s="19"/>
      <c r="F4373" s="19"/>
      <c r="G4373" s="19"/>
      <c r="H4373" s="19"/>
      <c r="I4373" s="19"/>
      <c r="J4373" s="19"/>
      <c r="K4373" s="19"/>
      <c r="L4373" s="19"/>
      <c r="M4373" s="19"/>
      <c r="N4373" s="19"/>
      <c r="O4373" s="14" t="str">
        <f>HYPERLINK("https://otsuka-europe-crm.veevavault.com/ui/#object/email_activity__v/V8C00000004H090", "EN-002111101")</f>
        <v>EN-002111101</v>
      </c>
    </row>
    <row r="4374" spans="1:15" ht="16" x14ac:dyDescent="0.2">
      <c r="A4374" s="18" t="str">
        <f>HYPERLINK("https://otsuka-europe-crm.veevavault.com/ui/#object/account__v/V4TZ025E83ECDRA", "ERIKA BORLENGHI")</f>
        <v>ERIKA BORLENGHI</v>
      </c>
      <c r="B4374" s="18" t="str">
        <f>HYPERLINK("https://otsuka-europe-crm.veevavault.com/ui/#object/vcountry__v/VENZ000004SONFQ", "IT")</f>
        <v>IT</v>
      </c>
      <c r="C4374" s="20" t="s">
        <v>42</v>
      </c>
      <c r="D4374" s="21" t="str">
        <f>HYPERLINK("https://otsuka-europe-crm.veevavault.com/ui/#object/approved_document__v/V5OZ025E82TI1KD", "DEM MUTAZIONE tp53")</f>
        <v>DEM MUTAZIONE tp53</v>
      </c>
      <c r="E4374" s="22" t="str">
        <f>HYPERLINK("https://otsuka-europe-crm.veevavault.com/ui/#object/sent_email__v/VBL000000037172", "SE-001443808")</f>
        <v>SE-001443808</v>
      </c>
      <c r="F4374" s="25">
        <v>46216.724768518521</v>
      </c>
      <c r="G4374" s="24">
        <v>1</v>
      </c>
      <c r="H4374" s="24">
        <v>1</v>
      </c>
      <c r="I4374" s="24">
        <v>0</v>
      </c>
      <c r="J4374" s="23"/>
      <c r="K4374" s="24">
        <v>0</v>
      </c>
      <c r="L4374" s="22" t="str">
        <f>HYPERLINK("https://otsuka-europe-crm.veevavault.com/ui/#object/approved_document__v/V5OZ025E82TI1KD", "DEM MUTAZIONE tp53")</f>
        <v>DEM MUTAZIONE tp53</v>
      </c>
      <c r="M4374" s="22" t="str">
        <f>HYPERLINK("mailto:natale.cinoglosso@crm.otsuka-europe.com", "natale.cinoglosso@crm.otsuka-europe.com")</f>
        <v>natale.cinoglosso@crm.otsuka-europe.com</v>
      </c>
      <c r="N4374" s="25">
        <v>46216.658738425926</v>
      </c>
      <c r="O4374" s="14" t="str">
        <f>HYPERLINK("https://otsuka-europe-crm.veevavault.com/ui/#object/email_activity__v/V8C000000049388", "EN-002105558")</f>
        <v>EN-002105558</v>
      </c>
    </row>
    <row r="4375" spans="1:15" ht="16" x14ac:dyDescent="0.2">
      <c r="A4375" s="19"/>
      <c r="B4375" s="19"/>
      <c r="C4375" s="19"/>
      <c r="D4375" s="19"/>
      <c r="E4375" s="19"/>
      <c r="F4375" s="19"/>
      <c r="G4375" s="19"/>
      <c r="H4375" s="19"/>
      <c r="I4375" s="19"/>
      <c r="J4375" s="19"/>
      <c r="K4375" s="19"/>
      <c r="L4375" s="19"/>
      <c r="M4375" s="19"/>
      <c r="N4375" s="19"/>
      <c r="O4375" s="14" t="str">
        <f>HYPERLINK("https://otsuka-europe-crm.veevavault.com/ui/#object/email_activity__v/V8C000000049433", "EN-002105631")</f>
        <v>EN-002105631</v>
      </c>
    </row>
    <row r="4376" spans="1:15" ht="32" x14ac:dyDescent="0.2">
      <c r="A4376" s="7" t="str">
        <f>HYPERLINK("https://otsuka-europe-crm.veevavault.com/ui/#object/account__v/V4TZ025E83UFFQX", "BENEDETTO BRUNO")</f>
        <v>BENEDETTO BRUNO</v>
      </c>
      <c r="B4376" s="7" t="str">
        <f>HYPERLINK("https://otsuka-europe-crm.veevavault.com/ui/#object/vcountry__v/VENZ000004SONFQ", "IT")</f>
        <v>IT</v>
      </c>
      <c r="C4376" s="8" t="s">
        <v>42</v>
      </c>
      <c r="D4376" s="9" t="str">
        <f>HYPERLINK("https://otsuka-europe-crm.veevavault.com/ui/#object/approved_document__v/V5OZ025E82TI1KD", "DEM MUTAZIONE tp53")</f>
        <v>DEM MUTAZIONE tp53</v>
      </c>
      <c r="E4376" s="10" t="str">
        <f>HYPERLINK("https://otsuka-europe-crm.veevavault.com/ui/#object/sent_email__v/VBL000000037173", "SE-001443809")</f>
        <v>SE-001443809</v>
      </c>
      <c r="F4376" s="11"/>
      <c r="G4376" s="12">
        <v>0</v>
      </c>
      <c r="H4376" s="12">
        <v>0</v>
      </c>
      <c r="I4376" s="12">
        <v>0</v>
      </c>
      <c r="J4376" s="11"/>
      <c r="K4376" s="12">
        <v>0</v>
      </c>
      <c r="L4376" s="10" t="str">
        <f>HYPERLINK("https://otsuka-europe-crm.veevavault.com/ui/#object/approved_document__v/V5OZ025E82TI1KD", "DEM MUTAZIONE tp53")</f>
        <v>DEM MUTAZIONE tp53</v>
      </c>
      <c r="M4376" s="10" t="str">
        <f>HYPERLINK("mailto:natale.cinoglosso@crm.otsuka-europe.com", "natale.cinoglosso@crm.otsuka-europe.com")</f>
        <v>natale.cinoglosso@crm.otsuka-europe.com</v>
      </c>
      <c r="N4376" s="13">
        <v>46216.658831018518</v>
      </c>
      <c r="O4376" s="14" t="str">
        <f>HYPERLINK("https://otsuka-europe-crm.veevavault.com/ui/#object/email_activity__v/V8C00000004A304", "EN-002105557")</f>
        <v>EN-002105557</v>
      </c>
    </row>
    <row r="4377" spans="1:15" ht="16" x14ac:dyDescent="0.2">
      <c r="A4377" s="18" t="str">
        <f>HYPERLINK("https://otsuka-europe-crm.veevavault.com/ui/#object/account__v/V4TZ025E83Z1SV8", "SARA BUTERA")</f>
        <v>SARA BUTERA</v>
      </c>
      <c r="B4377" s="18" t="str">
        <f>HYPERLINK("https://otsuka-europe-crm.veevavault.com/ui/#object/vcountry__v/VENZ000004SONFQ", "IT")</f>
        <v>IT</v>
      </c>
      <c r="C4377" s="20" t="s">
        <v>42</v>
      </c>
      <c r="D4377" s="21" t="str">
        <f>HYPERLINK("https://otsuka-europe-crm.veevavault.com/ui/#object/approved_document__v/V5OZ025E82TI1KD", "DEM MUTAZIONE tp53")</f>
        <v>DEM MUTAZIONE tp53</v>
      </c>
      <c r="E4377" s="22" t="str">
        <f>HYPERLINK("https://otsuka-europe-crm.veevavault.com/ui/#object/sent_email__v/VBL000000038148", "SE-001443810")</f>
        <v>SE-001443810</v>
      </c>
      <c r="F4377" s="25">
        <v>46217.900347222225</v>
      </c>
      <c r="G4377" s="24">
        <v>1</v>
      </c>
      <c r="H4377" s="24">
        <v>2</v>
      </c>
      <c r="I4377" s="24">
        <v>0</v>
      </c>
      <c r="J4377" s="23"/>
      <c r="K4377" s="24">
        <v>0</v>
      </c>
      <c r="L4377" s="22" t="str">
        <f>HYPERLINK("https://otsuka-europe-crm.veevavault.com/ui/#object/approved_document__v/V5OZ025E82TI1KD", "DEM MUTAZIONE tp53")</f>
        <v>DEM MUTAZIONE tp53</v>
      </c>
      <c r="M4377" s="22" t="str">
        <f>HYPERLINK("mailto:natale.cinoglosso@crm.otsuka-europe.com", "natale.cinoglosso@crm.otsuka-europe.com")</f>
        <v>natale.cinoglosso@crm.otsuka-europe.com</v>
      </c>
      <c r="N4377" s="25">
        <v>46216.658888888887</v>
      </c>
      <c r="O4377" s="14" t="str">
        <f>HYPERLINK("https://otsuka-europe-crm.veevavault.com/ui/#object/email_activity__v/V8C000000049389", "EN-002105560")</f>
        <v>EN-002105560</v>
      </c>
    </row>
    <row r="4378" spans="1:15" ht="16" x14ac:dyDescent="0.2">
      <c r="A4378" s="26"/>
      <c r="B4378" s="26"/>
      <c r="C4378" s="26"/>
      <c r="D4378" s="26"/>
      <c r="E4378" s="26"/>
      <c r="F4378" s="26"/>
      <c r="G4378" s="26"/>
      <c r="H4378" s="26"/>
      <c r="I4378" s="26"/>
      <c r="J4378" s="26"/>
      <c r="K4378" s="26"/>
      <c r="L4378" s="26"/>
      <c r="M4378" s="26"/>
      <c r="N4378" s="26"/>
      <c r="O4378" s="14" t="str">
        <f>HYPERLINK("https://otsuka-europe-crm.veevavault.com/ui/#object/email_activity__v/V8C000000049671", "EN-002106170")</f>
        <v>EN-002106170</v>
      </c>
    </row>
    <row r="4379" spans="1:15" ht="16" x14ac:dyDescent="0.2">
      <c r="A4379" s="19"/>
      <c r="B4379" s="19"/>
      <c r="C4379" s="19"/>
      <c r="D4379" s="19"/>
      <c r="E4379" s="19"/>
      <c r="F4379" s="19"/>
      <c r="G4379" s="19"/>
      <c r="H4379" s="19"/>
      <c r="I4379" s="19"/>
      <c r="J4379" s="19"/>
      <c r="K4379" s="19"/>
      <c r="L4379" s="19"/>
      <c r="M4379" s="19"/>
      <c r="N4379" s="19"/>
      <c r="O4379" s="14" t="str">
        <f>HYPERLINK("https://otsuka-europe-crm.veevavault.com/ui/#object/email_activity__v/V8C00000004A305", "EN-002105559")</f>
        <v>EN-002105559</v>
      </c>
    </row>
    <row r="4380" spans="1:15" ht="32" x14ac:dyDescent="0.2">
      <c r="A4380" s="7" t="str">
        <f>HYPERLINK("https://otsuka-europe-crm.veevavault.com/ui/#object/account__v/V4TZ025E85ETMXQ", "SABRINA CABERLON")</f>
        <v>SABRINA CABERLON</v>
      </c>
      <c r="B4380" s="7" t="str">
        <f t="shared" ref="B4380:B4386" si="206">HYPERLINK("https://otsuka-europe-crm.veevavault.com/ui/#object/vcountry__v/VENZ000004SONFQ", "IT")</f>
        <v>IT</v>
      </c>
      <c r="C4380" s="8" t="s">
        <v>42</v>
      </c>
      <c r="D4380" s="9" t="str">
        <f t="shared" ref="D4380:D4386" si="207">HYPERLINK("https://otsuka-europe-crm.veevavault.com/ui/#object/approved_document__v/V5OZ025E82TI1KD", "DEM MUTAZIONE tp53")</f>
        <v>DEM MUTAZIONE tp53</v>
      </c>
      <c r="E4380" s="10" t="str">
        <f>HYPERLINK("https://otsuka-europe-crm.veevavault.com/ui/#object/sent_email__v/VBL000000037174", "SE-001443811")</f>
        <v>SE-001443811</v>
      </c>
      <c r="F4380" s="11"/>
      <c r="G4380" s="12">
        <v>0</v>
      </c>
      <c r="H4380" s="12">
        <v>0</v>
      </c>
      <c r="I4380" s="12">
        <v>0</v>
      </c>
      <c r="J4380" s="11"/>
      <c r="K4380" s="12">
        <v>0</v>
      </c>
      <c r="L4380" s="10" t="str">
        <f t="shared" ref="L4380:L4386" si="208">HYPERLINK("https://otsuka-europe-crm.veevavault.com/ui/#object/approved_document__v/V5OZ025E82TI1KD", "DEM MUTAZIONE tp53")</f>
        <v>DEM MUTAZIONE tp53</v>
      </c>
      <c r="M4380" s="10" t="str">
        <f t="shared" ref="M4380:M4386" si="209">HYPERLINK("mailto:natale.cinoglosso@crm.otsuka-europe.com", "natale.cinoglosso@crm.otsuka-europe.com")</f>
        <v>natale.cinoglosso@crm.otsuka-europe.com</v>
      </c>
      <c r="N4380" s="13">
        <v>46216.659039351849</v>
      </c>
      <c r="O4380" s="14" t="str">
        <f>HYPERLINK("https://otsuka-europe-crm.veevavault.com/ui/#object/email_activity__v/V8C000000049390", "EN-002105561")</f>
        <v>EN-002105561</v>
      </c>
    </row>
    <row r="4381" spans="1:15" ht="32" x14ac:dyDescent="0.2">
      <c r="A4381" s="7" t="str">
        <f>HYPERLINK("https://otsuka-europe-crm.veevavault.com/ui/#object/account__v/V4TZ025E83MC2H0", "ROSSELLA CALORI")</f>
        <v>ROSSELLA CALORI</v>
      </c>
      <c r="B4381" s="7" t="str">
        <f t="shared" si="206"/>
        <v>IT</v>
      </c>
      <c r="C4381" s="8" t="s">
        <v>42</v>
      </c>
      <c r="D4381" s="9" t="str">
        <f t="shared" si="207"/>
        <v>DEM MUTAZIONE tp53</v>
      </c>
      <c r="E4381" s="10" t="str">
        <f>HYPERLINK("https://otsuka-europe-crm.veevavault.com/ui/#object/sent_email__v/VBL000000037175", "SE-001443812")</f>
        <v>SE-001443812</v>
      </c>
      <c r="F4381" s="11"/>
      <c r="G4381" s="12">
        <v>0</v>
      </c>
      <c r="H4381" s="12">
        <v>0</v>
      </c>
      <c r="I4381" s="12">
        <v>0</v>
      </c>
      <c r="J4381" s="11"/>
      <c r="K4381" s="12">
        <v>0</v>
      </c>
      <c r="L4381" s="10" t="str">
        <f t="shared" si="208"/>
        <v>DEM MUTAZIONE tp53</v>
      </c>
      <c r="M4381" s="10" t="str">
        <f t="shared" si="209"/>
        <v>natale.cinoglosso@crm.otsuka-europe.com</v>
      </c>
      <c r="N4381" s="13">
        <v>46216.659166666665</v>
      </c>
      <c r="O4381" s="14" t="str">
        <f>HYPERLINK("https://otsuka-europe-crm.veevavault.com/ui/#object/email_activity__v/V8C000000049392", "EN-002105563")</f>
        <v>EN-002105563</v>
      </c>
    </row>
    <row r="4382" spans="1:15" ht="32" x14ac:dyDescent="0.2">
      <c r="A4382" s="7" t="str">
        <f>HYPERLINK("https://otsuka-europe-crm.veevavault.com/ui/#object/account__v/V4TZ025E85S1GPX", "ANNA CALVISI")</f>
        <v>ANNA CALVISI</v>
      </c>
      <c r="B4382" s="7" t="str">
        <f t="shared" si="206"/>
        <v>IT</v>
      </c>
      <c r="C4382" s="8" t="s">
        <v>42</v>
      </c>
      <c r="D4382" s="9" t="str">
        <f t="shared" si="207"/>
        <v>DEM MUTAZIONE tp53</v>
      </c>
      <c r="E4382" s="10" t="str">
        <f>HYPERLINK("https://otsuka-europe-crm.veevavault.com/ui/#object/sent_email__v/VBL000000038149", "SE-001443813")</f>
        <v>SE-001443813</v>
      </c>
      <c r="F4382" s="11"/>
      <c r="G4382" s="12">
        <v>0</v>
      </c>
      <c r="H4382" s="12">
        <v>0</v>
      </c>
      <c r="I4382" s="12">
        <v>0</v>
      </c>
      <c r="J4382" s="11"/>
      <c r="K4382" s="12">
        <v>0</v>
      </c>
      <c r="L4382" s="10" t="str">
        <f t="shared" si="208"/>
        <v>DEM MUTAZIONE tp53</v>
      </c>
      <c r="M4382" s="10" t="str">
        <f t="shared" si="209"/>
        <v>natale.cinoglosso@crm.otsuka-europe.com</v>
      </c>
      <c r="N4382" s="13">
        <v>46216.659270833334</v>
      </c>
      <c r="O4382" s="14" t="str">
        <f>HYPERLINK("https://otsuka-europe-crm.veevavault.com/ui/#object/email_activity__v/V8C000000049391", "EN-002105562")</f>
        <v>EN-002105562</v>
      </c>
    </row>
    <row r="4383" spans="1:15" ht="32" x14ac:dyDescent="0.2">
      <c r="A4383" s="7" t="str">
        <f>HYPERLINK("https://otsuka-europe-crm.veevavault.com/ui/#object/account__v/V4TZ025E841JTDK", "ALESSIA CAMPAGNA")</f>
        <v>ALESSIA CAMPAGNA</v>
      </c>
      <c r="B4383" s="7" t="str">
        <f t="shared" si="206"/>
        <v>IT</v>
      </c>
      <c r="C4383" s="8" t="s">
        <v>42</v>
      </c>
      <c r="D4383" s="9" t="str">
        <f t="shared" si="207"/>
        <v>DEM MUTAZIONE tp53</v>
      </c>
      <c r="E4383" s="10" t="str">
        <f>HYPERLINK("https://otsuka-europe-crm.veevavault.com/ui/#object/sent_email__v/VBL000000038150", "SE-001443814")</f>
        <v>SE-001443814</v>
      </c>
      <c r="F4383" s="11"/>
      <c r="G4383" s="12">
        <v>0</v>
      </c>
      <c r="H4383" s="12">
        <v>0</v>
      </c>
      <c r="I4383" s="12">
        <v>0</v>
      </c>
      <c r="J4383" s="11"/>
      <c r="K4383" s="12">
        <v>0</v>
      </c>
      <c r="L4383" s="10" t="str">
        <f t="shared" si="208"/>
        <v>DEM MUTAZIONE tp53</v>
      </c>
      <c r="M4383" s="10" t="str">
        <f t="shared" si="209"/>
        <v>natale.cinoglosso@crm.otsuka-europe.com</v>
      </c>
      <c r="N4383" s="13">
        <v>46216.659432870372</v>
      </c>
      <c r="O4383" s="14" t="str">
        <f>HYPERLINK("https://otsuka-europe-crm.veevavault.com/ui/#object/email_activity__v/V8C000000049393", "EN-002105564")</f>
        <v>EN-002105564</v>
      </c>
    </row>
    <row r="4384" spans="1:15" ht="32" x14ac:dyDescent="0.2">
      <c r="A4384" s="7" t="str">
        <f>HYPERLINK("https://otsuka-europe-crm.veevavault.com/ui/#object/account__v/V4TZ025E84B6WCZ", "ILARIA CAROLA CASETTI")</f>
        <v>ILARIA CAROLA CASETTI</v>
      </c>
      <c r="B4384" s="7" t="str">
        <f t="shared" si="206"/>
        <v>IT</v>
      </c>
      <c r="C4384" s="8" t="s">
        <v>42</v>
      </c>
      <c r="D4384" s="9" t="str">
        <f t="shared" si="207"/>
        <v>DEM MUTAZIONE tp53</v>
      </c>
      <c r="E4384" s="10" t="str">
        <f>HYPERLINK("https://otsuka-europe-crm.veevavault.com/ui/#object/sent_email__v/VBL000000037176", "SE-001443815")</f>
        <v>SE-001443815</v>
      </c>
      <c r="F4384" s="11"/>
      <c r="G4384" s="12">
        <v>0</v>
      </c>
      <c r="H4384" s="12">
        <v>0</v>
      </c>
      <c r="I4384" s="12">
        <v>0</v>
      </c>
      <c r="J4384" s="11"/>
      <c r="K4384" s="12">
        <v>0</v>
      </c>
      <c r="L4384" s="10" t="str">
        <f t="shared" si="208"/>
        <v>DEM MUTAZIONE tp53</v>
      </c>
      <c r="M4384" s="10" t="str">
        <f t="shared" si="209"/>
        <v>natale.cinoglosso@crm.otsuka-europe.com</v>
      </c>
      <c r="N4384" s="13">
        <v>46216.659560185188</v>
      </c>
      <c r="O4384" s="14" t="str">
        <f>HYPERLINK("https://otsuka-europe-crm.veevavault.com/ui/#object/email_activity__v/V8C000000049394", "EN-002105565")</f>
        <v>EN-002105565</v>
      </c>
    </row>
    <row r="4385" spans="1:15" ht="32" x14ac:dyDescent="0.2">
      <c r="A4385" s="7" t="str">
        <f>HYPERLINK("https://otsuka-europe-crm.veevavault.com/ui/#object/account__v/V4TZ025E83213CJ", "MARCO CERRANO")</f>
        <v>MARCO CERRANO</v>
      </c>
      <c r="B4385" s="7" t="str">
        <f t="shared" si="206"/>
        <v>IT</v>
      </c>
      <c r="C4385" s="8" t="s">
        <v>42</v>
      </c>
      <c r="D4385" s="9" t="str">
        <f t="shared" si="207"/>
        <v>DEM MUTAZIONE tp53</v>
      </c>
      <c r="E4385" s="10" t="str">
        <f>HYPERLINK("https://otsuka-europe-crm.veevavault.com/ui/#object/sent_email__v/VBL000000037177", "SE-001443816")</f>
        <v>SE-001443816</v>
      </c>
      <c r="F4385" s="11"/>
      <c r="G4385" s="12">
        <v>0</v>
      </c>
      <c r="H4385" s="12">
        <v>0</v>
      </c>
      <c r="I4385" s="12">
        <v>0</v>
      </c>
      <c r="J4385" s="11"/>
      <c r="K4385" s="12">
        <v>0</v>
      </c>
      <c r="L4385" s="10" t="str">
        <f t="shared" si="208"/>
        <v>DEM MUTAZIONE tp53</v>
      </c>
      <c r="M4385" s="10" t="str">
        <f t="shared" si="209"/>
        <v>natale.cinoglosso@crm.otsuka-europe.com</v>
      </c>
      <c r="N4385" s="13">
        <v>46216.659675925926</v>
      </c>
      <c r="O4385" s="14" t="str">
        <f>HYPERLINK("https://otsuka-europe-crm.veevavault.com/ui/#object/email_activity__v/V8C000000049395", "EN-002105566")</f>
        <v>EN-002105566</v>
      </c>
    </row>
    <row r="4386" spans="1:15" ht="16" x14ac:dyDescent="0.2">
      <c r="A4386" s="18" t="str">
        <f>HYPERLINK("https://otsuka-europe-crm.veevavault.com/ui/#object/account__v/V4TZ025E8450QIW", "ALESSANDRO CIGNETTI")</f>
        <v>ALESSANDRO CIGNETTI</v>
      </c>
      <c r="B4386" s="18" t="str">
        <f t="shared" si="206"/>
        <v>IT</v>
      </c>
      <c r="C4386" s="20" t="s">
        <v>42</v>
      </c>
      <c r="D4386" s="21" t="str">
        <f t="shared" si="207"/>
        <v>DEM MUTAZIONE tp53</v>
      </c>
      <c r="E4386" s="22" t="str">
        <f>HYPERLINK("https://otsuka-europe-crm.veevavault.com/ui/#object/sent_email__v/VBL000000038151", "SE-001443817")</f>
        <v>SE-001443817</v>
      </c>
      <c r="F4386" s="25">
        <v>46216.673946759256</v>
      </c>
      <c r="G4386" s="24">
        <v>1</v>
      </c>
      <c r="H4386" s="24">
        <v>2</v>
      </c>
      <c r="I4386" s="24">
        <v>0</v>
      </c>
      <c r="J4386" s="23"/>
      <c r="K4386" s="24">
        <v>0</v>
      </c>
      <c r="L4386" s="22" t="str">
        <f t="shared" si="208"/>
        <v>DEM MUTAZIONE tp53</v>
      </c>
      <c r="M4386" s="22" t="str">
        <f t="shared" si="209"/>
        <v>natale.cinoglosso@crm.otsuka-europe.com</v>
      </c>
      <c r="N4386" s="25">
        <v>46216.659907407404</v>
      </c>
      <c r="O4386" s="14" t="str">
        <f>HYPERLINK("https://otsuka-europe-crm.veevavault.com/ui/#object/email_activity__v/V8C000000049396", "EN-002105567")</f>
        <v>EN-002105567</v>
      </c>
    </row>
    <row r="4387" spans="1:15" ht="16" x14ac:dyDescent="0.2">
      <c r="A4387" s="26"/>
      <c r="B4387" s="26"/>
      <c r="C4387" s="26"/>
      <c r="D4387" s="26"/>
      <c r="E4387" s="26"/>
      <c r="F4387" s="26"/>
      <c r="G4387" s="26"/>
      <c r="H4387" s="26"/>
      <c r="I4387" s="26"/>
      <c r="J4387" s="26"/>
      <c r="K4387" s="26"/>
      <c r="L4387" s="26"/>
      <c r="M4387" s="26"/>
      <c r="N4387" s="26"/>
      <c r="O4387" s="14" t="str">
        <f>HYPERLINK("https://otsuka-europe-crm.veevavault.com/ui/#object/email_activity__v/V8C000000049399", "EN-002105570")</f>
        <v>EN-002105570</v>
      </c>
    </row>
    <row r="4388" spans="1:15" ht="16" x14ac:dyDescent="0.2">
      <c r="A4388" s="19"/>
      <c r="B4388" s="19"/>
      <c r="C4388" s="19"/>
      <c r="D4388" s="19"/>
      <c r="E4388" s="19"/>
      <c r="F4388" s="19"/>
      <c r="G4388" s="19"/>
      <c r="H4388" s="19"/>
      <c r="I4388" s="19"/>
      <c r="J4388" s="19"/>
      <c r="K4388" s="19"/>
      <c r="L4388" s="19"/>
      <c r="M4388" s="19"/>
      <c r="N4388" s="19"/>
      <c r="O4388" s="14" t="str">
        <f>HYPERLINK("https://otsuka-europe-crm.veevavault.com/ui/#object/email_activity__v/V8C000000049402", "EN-002105579")</f>
        <v>EN-002105579</v>
      </c>
    </row>
    <row r="4389" spans="1:15" ht="16" x14ac:dyDescent="0.2">
      <c r="A4389" s="18" t="str">
        <f>HYPERLINK("https://otsuka-europe-crm.veevavault.com/ui/#object/account__v/V4TZ025E83LII1I", "PAOLA MARIA COZZI")</f>
        <v>PAOLA MARIA COZZI</v>
      </c>
      <c r="B4389" s="18" t="str">
        <f>HYPERLINK("https://otsuka-europe-crm.veevavault.com/ui/#object/vcountry__v/VENZ000004SONFQ", "IT")</f>
        <v>IT</v>
      </c>
      <c r="C4389" s="20" t="s">
        <v>42</v>
      </c>
      <c r="D4389" s="21" t="str">
        <f>HYPERLINK("https://otsuka-europe-crm.veevavault.com/ui/#object/approved_document__v/V5OZ025E82TI1KD", "DEM MUTAZIONE tp53")</f>
        <v>DEM MUTAZIONE tp53</v>
      </c>
      <c r="E4389" s="22" t="str">
        <f>HYPERLINK("https://otsuka-europe-crm.veevavault.com/ui/#object/sent_email__v/VBL000000037178", "SE-001443818")</f>
        <v>SE-001443818</v>
      </c>
      <c r="F4389" s="23"/>
      <c r="G4389" s="24">
        <v>0</v>
      </c>
      <c r="H4389" s="24">
        <v>0</v>
      </c>
      <c r="I4389" s="24">
        <v>0</v>
      </c>
      <c r="J4389" s="23"/>
      <c r="K4389" s="24">
        <v>0</v>
      </c>
      <c r="L4389" s="22" t="str">
        <f>HYPERLINK("https://otsuka-europe-crm.veevavault.com/ui/#object/approved_document__v/V5OZ025E82TI1KD", "DEM MUTAZIONE tp53")</f>
        <v>DEM MUTAZIONE tp53</v>
      </c>
      <c r="M4389" s="22" t="str">
        <f>HYPERLINK("mailto:natale.cinoglosso@crm.otsuka-europe.com", "natale.cinoglosso@crm.otsuka-europe.com")</f>
        <v>natale.cinoglosso@crm.otsuka-europe.com</v>
      </c>
      <c r="N4389" s="25">
        <v>46216.65997685185</v>
      </c>
      <c r="O4389" s="14" t="str">
        <f>HYPERLINK("https://otsuka-europe-crm.veevavault.com/ui/#object/email_activity__v/V8C000000049397", "EN-002105568")</f>
        <v>EN-002105568</v>
      </c>
    </row>
    <row r="4390" spans="1:15" ht="16" x14ac:dyDescent="0.2">
      <c r="A4390" s="19"/>
      <c r="B4390" s="19"/>
      <c r="C4390" s="19"/>
      <c r="D4390" s="19"/>
      <c r="E4390" s="19"/>
      <c r="F4390" s="19"/>
      <c r="G4390" s="19"/>
      <c r="H4390" s="19"/>
      <c r="I4390" s="19"/>
      <c r="J4390" s="19"/>
      <c r="K4390" s="19"/>
      <c r="L4390" s="19"/>
      <c r="M4390" s="19"/>
      <c r="N4390" s="19"/>
      <c r="O4390" s="14" t="str">
        <f>HYPERLINK("https://otsuka-europe-crm.veevavault.com/ui/#object/email_activity__v/V8C00000004A350", "EN-002105652")</f>
        <v>EN-002105652</v>
      </c>
    </row>
    <row r="4391" spans="1:15" ht="16" x14ac:dyDescent="0.2">
      <c r="A4391" s="18" t="str">
        <f>HYPERLINK("https://otsuka-europe-crm.veevavault.com/ui/#object/account__v/V4TZ025E84A60CN", "ELENA CRISA'")</f>
        <v>ELENA CRISA'</v>
      </c>
      <c r="B4391" s="18" t="str">
        <f>HYPERLINK("https://otsuka-europe-crm.veevavault.com/ui/#object/vcountry__v/VENZ000004SONFQ", "IT")</f>
        <v>IT</v>
      </c>
      <c r="C4391" s="20" t="s">
        <v>42</v>
      </c>
      <c r="D4391" s="21" t="str">
        <f>HYPERLINK("https://otsuka-europe-crm.veevavault.com/ui/#object/approved_document__v/V5OZ025E82TI1KD", "DEM MUTAZIONE tp53")</f>
        <v>DEM MUTAZIONE tp53</v>
      </c>
      <c r="E4391" s="22" t="str">
        <f>HYPERLINK("https://otsuka-europe-crm.veevavault.com/ui/#object/sent_email__v/VBL000000037179", "SE-001443819")</f>
        <v>SE-001443819</v>
      </c>
      <c r="F4391" s="25">
        <v>46216.782337962963</v>
      </c>
      <c r="G4391" s="24">
        <v>1</v>
      </c>
      <c r="H4391" s="24">
        <v>9</v>
      </c>
      <c r="I4391" s="24">
        <v>0</v>
      </c>
      <c r="J4391" s="23"/>
      <c r="K4391" s="24">
        <v>0</v>
      </c>
      <c r="L4391" s="22" t="str">
        <f>HYPERLINK("https://otsuka-europe-crm.veevavault.com/ui/#object/approved_document__v/V5OZ025E82TI1KD", "DEM MUTAZIONE tp53")</f>
        <v>DEM MUTAZIONE tp53</v>
      </c>
      <c r="M4391" s="22" t="str">
        <f>HYPERLINK("mailto:natale.cinoglosso@crm.otsuka-europe.com", "natale.cinoglosso@crm.otsuka-europe.com")</f>
        <v>natale.cinoglosso@crm.otsuka-europe.com</v>
      </c>
      <c r="N4391" s="25">
        <v>46216.66002314815</v>
      </c>
      <c r="O4391" s="14" t="str">
        <f>HYPERLINK("https://otsuka-europe-crm.veevavault.com/ui/#object/email_activity__v/V8C000000049398", "EN-002105569")</f>
        <v>EN-002105569</v>
      </c>
    </row>
    <row r="4392" spans="1:15" ht="16" x14ac:dyDescent="0.2">
      <c r="A4392" s="26"/>
      <c r="B4392" s="26"/>
      <c r="C4392" s="26"/>
      <c r="D4392" s="26"/>
      <c r="E4392" s="26"/>
      <c r="F4392" s="26"/>
      <c r="G4392" s="26"/>
      <c r="H4392" s="26"/>
      <c r="I4392" s="26"/>
      <c r="J4392" s="26"/>
      <c r="K4392" s="26"/>
      <c r="L4392" s="26"/>
      <c r="M4392" s="26"/>
      <c r="N4392" s="26"/>
      <c r="O4392" s="14" t="str">
        <f>HYPERLINK("https://otsuka-europe-crm.veevavault.com/ui/#object/email_activity__v/V8C000000049416", "EN-002105603")</f>
        <v>EN-002105603</v>
      </c>
    </row>
    <row r="4393" spans="1:15" ht="16" x14ac:dyDescent="0.2">
      <c r="A4393" s="26"/>
      <c r="B4393" s="26"/>
      <c r="C4393" s="26"/>
      <c r="D4393" s="26"/>
      <c r="E4393" s="26"/>
      <c r="F4393" s="26"/>
      <c r="G4393" s="26"/>
      <c r="H4393" s="26"/>
      <c r="I4393" s="26"/>
      <c r="J4393" s="26"/>
      <c r="K4393" s="26"/>
      <c r="L4393" s="26"/>
      <c r="M4393" s="26"/>
      <c r="N4393" s="26"/>
      <c r="O4393" s="14" t="str">
        <f>HYPERLINK("https://otsuka-europe-crm.veevavault.com/ui/#object/email_activity__v/V8C000000049437", "EN-002105668")</f>
        <v>EN-002105668</v>
      </c>
    </row>
    <row r="4394" spans="1:15" ht="16" x14ac:dyDescent="0.2">
      <c r="A4394" s="26"/>
      <c r="B4394" s="26"/>
      <c r="C4394" s="26"/>
      <c r="D4394" s="26"/>
      <c r="E4394" s="26"/>
      <c r="F4394" s="26"/>
      <c r="G4394" s="26"/>
      <c r="H4394" s="26"/>
      <c r="I4394" s="26"/>
      <c r="J4394" s="26"/>
      <c r="K4394" s="26"/>
      <c r="L4394" s="26"/>
      <c r="M4394" s="26"/>
      <c r="N4394" s="26"/>
      <c r="O4394" s="14" t="str">
        <f>HYPERLINK("https://otsuka-europe-crm.veevavault.com/ui/#object/email_activity__v/V8C000000049438", "EN-002105670")</f>
        <v>EN-002105670</v>
      </c>
    </row>
    <row r="4395" spans="1:15" ht="16" x14ac:dyDescent="0.2">
      <c r="A4395" s="26"/>
      <c r="B4395" s="26"/>
      <c r="C4395" s="26"/>
      <c r="D4395" s="26"/>
      <c r="E4395" s="26"/>
      <c r="F4395" s="26"/>
      <c r="G4395" s="26"/>
      <c r="H4395" s="26"/>
      <c r="I4395" s="26"/>
      <c r="J4395" s="26"/>
      <c r="K4395" s="26"/>
      <c r="L4395" s="26"/>
      <c r="M4395" s="26"/>
      <c r="N4395" s="26"/>
      <c r="O4395" s="14" t="str">
        <f>HYPERLINK("https://otsuka-europe-crm.veevavault.com/ui/#object/email_activity__v/V8C000000049440", "EN-002105677")</f>
        <v>EN-002105677</v>
      </c>
    </row>
    <row r="4396" spans="1:15" ht="16" x14ac:dyDescent="0.2">
      <c r="A4396" s="26"/>
      <c r="B4396" s="26"/>
      <c r="C4396" s="26"/>
      <c r="D4396" s="26"/>
      <c r="E4396" s="26"/>
      <c r="F4396" s="26"/>
      <c r="G4396" s="26"/>
      <c r="H4396" s="26"/>
      <c r="I4396" s="26"/>
      <c r="J4396" s="26"/>
      <c r="K4396" s="26"/>
      <c r="L4396" s="26"/>
      <c r="M4396" s="26"/>
      <c r="N4396" s="26"/>
      <c r="O4396" s="14" t="str">
        <f>HYPERLINK("https://otsuka-europe-crm.veevavault.com/ui/#object/email_activity__v/V8C000000049444", "EN-002105682")</f>
        <v>EN-002105682</v>
      </c>
    </row>
    <row r="4397" spans="1:15" ht="16" x14ac:dyDescent="0.2">
      <c r="A4397" s="26"/>
      <c r="B4397" s="26"/>
      <c r="C4397" s="26"/>
      <c r="D4397" s="26"/>
      <c r="E4397" s="26"/>
      <c r="F4397" s="26"/>
      <c r="G4397" s="26"/>
      <c r="H4397" s="26"/>
      <c r="I4397" s="26"/>
      <c r="J4397" s="26"/>
      <c r="K4397" s="26"/>
      <c r="L4397" s="26"/>
      <c r="M4397" s="26"/>
      <c r="N4397" s="26"/>
      <c r="O4397" s="14" t="str">
        <f>HYPERLINK("https://otsuka-europe-crm.veevavault.com/ui/#object/email_activity__v/V8C000000049473", "EN-002105747")</f>
        <v>EN-002105747</v>
      </c>
    </row>
    <row r="4398" spans="1:15" ht="16" x14ac:dyDescent="0.2">
      <c r="A4398" s="26"/>
      <c r="B4398" s="26"/>
      <c r="C4398" s="26"/>
      <c r="D4398" s="26"/>
      <c r="E4398" s="26"/>
      <c r="F4398" s="26"/>
      <c r="G4398" s="26"/>
      <c r="H4398" s="26"/>
      <c r="I4398" s="26"/>
      <c r="J4398" s="26"/>
      <c r="K4398" s="26"/>
      <c r="L4398" s="26"/>
      <c r="M4398" s="26"/>
      <c r="N4398" s="26"/>
      <c r="O4398" s="14" t="str">
        <f>HYPERLINK("https://otsuka-europe-crm.veevavault.com/ui/#object/email_activity__v/V8C00000004A313", "EN-002105583")</f>
        <v>EN-002105583</v>
      </c>
    </row>
    <row r="4399" spans="1:15" ht="16" x14ac:dyDescent="0.2">
      <c r="A4399" s="26"/>
      <c r="B4399" s="26"/>
      <c r="C4399" s="26"/>
      <c r="D4399" s="26"/>
      <c r="E4399" s="26"/>
      <c r="F4399" s="26"/>
      <c r="G4399" s="26"/>
      <c r="H4399" s="26"/>
      <c r="I4399" s="26"/>
      <c r="J4399" s="26"/>
      <c r="K4399" s="26"/>
      <c r="L4399" s="26"/>
      <c r="M4399" s="26"/>
      <c r="N4399" s="26"/>
      <c r="O4399" s="14" t="str">
        <f>HYPERLINK("https://otsuka-europe-crm.veevavault.com/ui/#object/email_activity__v/V8C00000004A321", "EN-002105602")</f>
        <v>EN-002105602</v>
      </c>
    </row>
    <row r="4400" spans="1:15" ht="16" x14ac:dyDescent="0.2">
      <c r="A4400" s="26"/>
      <c r="B4400" s="26"/>
      <c r="C4400" s="26"/>
      <c r="D4400" s="26"/>
      <c r="E4400" s="26"/>
      <c r="F4400" s="26"/>
      <c r="G4400" s="26"/>
      <c r="H4400" s="26"/>
      <c r="I4400" s="26"/>
      <c r="J4400" s="26"/>
      <c r="K4400" s="26"/>
      <c r="L4400" s="26"/>
      <c r="M4400" s="26"/>
      <c r="N4400" s="26"/>
      <c r="O4400" s="14" t="str">
        <f>HYPERLINK("https://otsuka-europe-crm.veevavault.com/ui/#object/email_activity__v/V8C00000004A371", "EN-002105675")</f>
        <v>EN-002105675</v>
      </c>
    </row>
    <row r="4401" spans="1:15" ht="16" x14ac:dyDescent="0.2">
      <c r="A4401" s="19"/>
      <c r="B4401" s="19"/>
      <c r="C4401" s="19"/>
      <c r="D4401" s="19"/>
      <c r="E4401" s="19"/>
      <c r="F4401" s="19"/>
      <c r="G4401" s="19"/>
      <c r="H4401" s="19"/>
      <c r="I4401" s="19"/>
      <c r="J4401" s="19"/>
      <c r="K4401" s="19"/>
      <c r="L4401" s="19"/>
      <c r="M4401" s="19"/>
      <c r="N4401" s="19"/>
      <c r="O4401" s="14" t="str">
        <f>HYPERLINK("https://otsuka-europe-crm.veevavault.com/ui/#object/email_activity__v/V8C00000004A372", "EN-002105680")</f>
        <v>EN-002105680</v>
      </c>
    </row>
    <row r="4402" spans="1:15" ht="16" x14ac:dyDescent="0.2">
      <c r="A4402" s="18" t="str">
        <f>HYPERLINK("https://otsuka-europe-crm.veevavault.com/ui/#object/account__v/V4TZ0000062PNOR", "Mary Sleeman")</f>
        <v>Mary Sleeman</v>
      </c>
      <c r="B4402" s="18" t="str">
        <f>HYPERLINK("https://otsuka-europe-crm.veevavault.com/ui/#object/vcountry__v/VENZ000004SONFK", "GB")</f>
        <v>GB</v>
      </c>
      <c r="C4402" s="20" t="s">
        <v>41</v>
      </c>
      <c r="D4402" s="21" t="str">
        <f>HYPERLINK("https://otsuka-europe-crm.veevavault.com/ui/#object/approved_document__v/V5OZ025E82TSZBI", "Aripiprazole 960mg Fragment VAE")</f>
        <v>Aripiprazole 960mg Fragment VAE</v>
      </c>
      <c r="E4402" s="22" t="str">
        <f>HYPERLINK("https://otsuka-europe-crm.veevavault.com/ui/#object/sent_email__v/VBL000000037180", "SE-001443820")</f>
        <v>SE-001443820</v>
      </c>
      <c r="F4402" s="25">
        <v>46216.667442129627</v>
      </c>
      <c r="G4402" s="24">
        <v>1</v>
      </c>
      <c r="H4402" s="24">
        <v>1</v>
      </c>
      <c r="I4402" s="24">
        <v>0</v>
      </c>
      <c r="J4402" s="23"/>
      <c r="K4402" s="24">
        <v>0</v>
      </c>
      <c r="L4402" s="22" t="str">
        <f>HYPERLINK("https://otsuka-europe-crm.veevavault.com/ui/#object/approved_document__v/V5OZ025E82TSZBI", "Aripiprazole 960mg Fragment VAE")</f>
        <v>Aripiprazole 960mg Fragment VAE</v>
      </c>
      <c r="M4402" s="22" t="str">
        <f>HYPERLINK("mailto:sfinnigan@crm.otsuka-europe.com", "sfinnigan@crm.otsuka-europe.com")</f>
        <v>sfinnigan@crm.otsuka-europe.com</v>
      </c>
      <c r="N4402" s="25">
        <v>46216.666180555556</v>
      </c>
      <c r="O4402" s="14" t="str">
        <f>HYPERLINK("https://otsuka-europe-crm.veevavault.com/ui/#object/email_activity__v/V8C000000049401", "EN-002105576")</f>
        <v>EN-002105576</v>
      </c>
    </row>
    <row r="4403" spans="1:15" ht="16" x14ac:dyDescent="0.2">
      <c r="A4403" s="19"/>
      <c r="B4403" s="19"/>
      <c r="C4403" s="19"/>
      <c r="D4403" s="19"/>
      <c r="E4403" s="19"/>
      <c r="F4403" s="19"/>
      <c r="G4403" s="19"/>
      <c r="H4403" s="19"/>
      <c r="I4403" s="19"/>
      <c r="J4403" s="19"/>
      <c r="K4403" s="19"/>
      <c r="L4403" s="19"/>
      <c r="M4403" s="19"/>
      <c r="N4403" s="19"/>
      <c r="O4403" s="14" t="str">
        <f>HYPERLINK("https://otsuka-europe-crm.veevavault.com/ui/#object/email_activity__v/V8C00000004A311", "EN-002105578")</f>
        <v>EN-002105578</v>
      </c>
    </row>
    <row r="4404" spans="1:15" ht="32" x14ac:dyDescent="0.2">
      <c r="A4404" s="7" t="str">
        <f>HYPERLINK("https://otsuka-europe-crm.veevavault.com/ui/#object/account__v/V4TZ06G6OBI69I9", "Snjezana Janjetovic")</f>
        <v>Snjezana Janjetovic</v>
      </c>
      <c r="B4404" s="7" t="str">
        <f>HYPERLINK("https://otsuka-europe-crm.veevavault.com/ui/#object/vcountry__v/VENZ000004SONFP", "DE")</f>
        <v>DE</v>
      </c>
      <c r="C4404" s="8" t="s">
        <v>43</v>
      </c>
      <c r="D4404" s="9" t="str">
        <f>HYPERLINK("https://otsuka-europe-crm.veevavault.com/ui/#object/approved_document__v/V5O00000001W001", "INA VAE DE – Zulassung INAQOVI Venetoclax")</f>
        <v>INA VAE DE – Zulassung INAQOVI Venetoclax</v>
      </c>
      <c r="E4404" s="10" t="str">
        <f>HYPERLINK("https://otsuka-europe-crm.veevavault.com/ui/#object/sent_email__v/VBL000000038152", "SE-001443821")</f>
        <v>SE-001443821</v>
      </c>
      <c r="F4404" s="11"/>
      <c r="G4404" s="12">
        <v>0</v>
      </c>
      <c r="H4404" s="12">
        <v>0</v>
      </c>
      <c r="I4404" s="12">
        <v>0</v>
      </c>
      <c r="J4404" s="11"/>
      <c r="K4404" s="12">
        <v>0</v>
      </c>
      <c r="L4404" s="10" t="str">
        <f>HYPERLINK("https://otsuka-europe-crm.veevavault.com/ui/#object/approved_document__v/V5O00000001W001", "INA VAE DE – Zulassung INAQOVI Venetoclax")</f>
        <v>INA VAE DE – Zulassung INAQOVI Venetoclax</v>
      </c>
      <c r="M4404" s="10" t="str">
        <f>HYPERLINK("mailto:skleber@crm.otsuka-europe.com", "skleber@crm.otsuka-europe.com")</f>
        <v>skleber@crm.otsuka-europe.com</v>
      </c>
      <c r="N4404" s="13">
        <v>46216.678541666668</v>
      </c>
      <c r="O4404" s="14" t="str">
        <f>HYPERLINK("https://otsuka-europe-crm.veevavault.com/ui/#object/email_activity__v/V8C000000049403", "EN-002105581")</f>
        <v>EN-002105581</v>
      </c>
    </row>
    <row r="4405" spans="1:15" ht="32" x14ac:dyDescent="0.2">
      <c r="A4405" s="7" t="str">
        <f>HYPERLINK("https://otsuka-europe-crm.veevavault.com/ui/#object/account__v/V4TZ025E851F6YO", "Julia Pross")</f>
        <v>Julia Pross</v>
      </c>
      <c r="B4405" s="7" t="str">
        <f>HYPERLINK("https://otsuka-europe-crm.veevavault.com/ui/#object/vcountry__v/VENZ000004SONFP", "DE")</f>
        <v>DE</v>
      </c>
      <c r="C4405" s="8" t="s">
        <v>43</v>
      </c>
      <c r="D4405" s="9" t="str">
        <f>HYPERLINK("https://otsuka-europe-crm.veevavault.com/ui/#object/approved_document__v/V5O00000001W001", "INA VAE DE – Zulassung INAQOVI Venetoclax")</f>
        <v>INA VAE DE – Zulassung INAQOVI Venetoclax</v>
      </c>
      <c r="E4405" s="10" t="str">
        <f>HYPERLINK("https://otsuka-europe-crm.veevavault.com/ui/#object/sent_email__v/VBL000000038153", "SE-001443822")</f>
        <v>SE-001443822</v>
      </c>
      <c r="F4405" s="11"/>
      <c r="G4405" s="12">
        <v>0</v>
      </c>
      <c r="H4405" s="12">
        <v>0</v>
      </c>
      <c r="I4405" s="12">
        <v>0</v>
      </c>
      <c r="J4405" s="11"/>
      <c r="K4405" s="12">
        <v>0</v>
      </c>
      <c r="L4405" s="10" t="str">
        <f>HYPERLINK("https://otsuka-europe-crm.veevavault.com/ui/#object/approved_document__v/V5O00000001W001", "INA VAE DE – Zulassung INAQOVI Venetoclax")</f>
        <v>INA VAE DE – Zulassung INAQOVI Venetoclax</v>
      </c>
      <c r="M4405" s="10" t="str">
        <f>HYPERLINK("mailto:skleber@crm.otsuka-europe.com", "skleber@crm.otsuka-europe.com")</f>
        <v>skleber@crm.otsuka-europe.com</v>
      </c>
      <c r="N4405" s="13">
        <v>46216.679942129631</v>
      </c>
      <c r="O4405" s="14" t="str">
        <f>HYPERLINK("https://otsuka-europe-crm.veevavault.com/ui/#object/email_activity__v/V8C000000049404", "EN-002105582")</f>
        <v>EN-002105582</v>
      </c>
    </row>
    <row r="4406" spans="1:15" ht="32" x14ac:dyDescent="0.2">
      <c r="A4406" s="7" t="str">
        <f>HYPERLINK("https://otsuka-europe-crm.veevavault.com/ui/#object/account__v/V4TZ06G6OBI66DR", "Judith Niederland")</f>
        <v>Judith Niederland</v>
      </c>
      <c r="B4406" s="7" t="str">
        <f>HYPERLINK("https://otsuka-europe-crm.veevavault.com/ui/#object/vcountry__v/VENZ000004SONFP", "DE")</f>
        <v>DE</v>
      </c>
      <c r="C4406" s="8" t="s">
        <v>43</v>
      </c>
      <c r="D4406" s="9" t="str">
        <f>HYPERLINK("https://otsuka-europe-crm.veevavault.com/ui/#object/approved_document__v/V5O00000001W001", "INA VAE DE – Zulassung INAQOVI Venetoclax")</f>
        <v>INA VAE DE – Zulassung INAQOVI Venetoclax</v>
      </c>
      <c r="E4406" s="10" t="str">
        <f>HYPERLINK("https://otsuka-europe-crm.veevavault.com/ui/#object/sent_email__v/VBL000000037181", "SE-001443823")</f>
        <v>SE-001443823</v>
      </c>
      <c r="F4406" s="11"/>
      <c r="G4406" s="12">
        <v>0</v>
      </c>
      <c r="H4406" s="12">
        <v>0</v>
      </c>
      <c r="I4406" s="12">
        <v>0</v>
      </c>
      <c r="J4406" s="11"/>
      <c r="K4406" s="12">
        <v>0</v>
      </c>
      <c r="L4406" s="10" t="str">
        <f>HYPERLINK("https://otsuka-europe-crm.veevavault.com/ui/#object/approved_document__v/V5O00000001W001", "INA VAE DE – Zulassung INAQOVI Venetoclax")</f>
        <v>INA VAE DE – Zulassung INAQOVI Venetoclax</v>
      </c>
      <c r="M4406" s="10" t="str">
        <f>HYPERLINK("mailto:skleber@crm.otsuka-europe.com", "skleber@crm.otsuka-europe.com")</f>
        <v>skleber@crm.otsuka-europe.com</v>
      </c>
      <c r="N4406" s="13">
        <v>46216.682002314818</v>
      </c>
      <c r="O4406" s="14" t="str">
        <f>HYPERLINK("https://otsuka-europe-crm.veevavault.com/ui/#object/email_activity__v/V8C00000004A315", "EN-002105587")</f>
        <v>EN-002105587</v>
      </c>
    </row>
    <row r="4407" spans="1:15" ht="16" x14ac:dyDescent="0.2">
      <c r="A4407" s="18" t="str">
        <f>HYPERLINK("https://otsuka-europe-crm.veevavault.com/ui/#object/account__v/V4TZ0000062PNOR", "Mary Sleeman")</f>
        <v>Mary Sleeman</v>
      </c>
      <c r="B4407" s="18" t="str">
        <f>HYPERLINK("https://otsuka-europe-crm.veevavault.com/ui/#object/vcountry__v/VENZ000004SONFK", "GB")</f>
        <v>GB</v>
      </c>
      <c r="C4407" s="20" t="s">
        <v>41</v>
      </c>
      <c r="D4407" s="21" t="str">
        <f>HYPERLINK("https://otsuka-europe-crm.veevavault.com/ui/#object/approved_document__v/V5OZ025E82TSZBI", "Aripiprazole 960mg Fragment VAE")</f>
        <v>Aripiprazole 960mg Fragment VAE</v>
      </c>
      <c r="E4407" s="22" t="str">
        <f>HYPERLINK("https://otsuka-europe-crm.veevavault.com/ui/#object/sent_email__v/VBL000000037182", "SE-001443824")</f>
        <v>SE-001443824</v>
      </c>
      <c r="F4407" s="25">
        <v>46220.493738425925</v>
      </c>
      <c r="G4407" s="24">
        <v>1</v>
      </c>
      <c r="H4407" s="24">
        <v>1</v>
      </c>
      <c r="I4407" s="24">
        <v>1</v>
      </c>
      <c r="J4407" s="25">
        <v>46232.609768518516</v>
      </c>
      <c r="K4407" s="24">
        <v>4</v>
      </c>
      <c r="L4407" s="22" t="str">
        <f>HYPERLINK("https://otsuka-europe-crm.veevavault.com/ui/#object/approved_document__v/V5OZ025E82TSZBI", "Aripiprazole 960mg Fragment VAE")</f>
        <v>Aripiprazole 960mg Fragment VAE</v>
      </c>
      <c r="M4407" s="22" t="str">
        <f>HYPERLINK("mailto:sfinnigan@crm.otsuka-europe.com", "sfinnigan@crm.otsuka-europe.com")</f>
        <v>sfinnigan@crm.otsuka-europe.com</v>
      </c>
      <c r="N4407" s="25">
        <v>46216.687488425923</v>
      </c>
      <c r="O4407" s="14" t="str">
        <f>HYPERLINK("https://otsuka-europe-crm.veevavault.com/ui/#object/email_activity__v/V8C000000049409", "EN-002105590")</f>
        <v>EN-002105590</v>
      </c>
    </row>
    <row r="4408" spans="1:15" ht="16" x14ac:dyDescent="0.2">
      <c r="A4408" s="26"/>
      <c r="B4408" s="26"/>
      <c r="C4408" s="26"/>
      <c r="D4408" s="26"/>
      <c r="E4408" s="26"/>
      <c r="F4408" s="26"/>
      <c r="G4408" s="26"/>
      <c r="H4408" s="26"/>
      <c r="I4408" s="26"/>
      <c r="J4408" s="26"/>
      <c r="K4408" s="26"/>
      <c r="L4408" s="26"/>
      <c r="M4408" s="26"/>
      <c r="N4408" s="26"/>
      <c r="O4408" s="14" t="str">
        <f>HYPERLINK("https://otsuka-europe-crm.veevavault.com/ui/#object/email_activity__v/V8C00000004B043", "EN-002106806")</f>
        <v>EN-002106806</v>
      </c>
    </row>
    <row r="4409" spans="1:15" ht="16" x14ac:dyDescent="0.2">
      <c r="A4409" s="26"/>
      <c r="B4409" s="26"/>
      <c r="C4409" s="26"/>
      <c r="D4409" s="26"/>
      <c r="E4409" s="26"/>
      <c r="F4409" s="26"/>
      <c r="G4409" s="26"/>
      <c r="H4409" s="26"/>
      <c r="I4409" s="26"/>
      <c r="J4409" s="26"/>
      <c r="K4409" s="26"/>
      <c r="L4409" s="26"/>
      <c r="M4409" s="26"/>
      <c r="N4409" s="26"/>
      <c r="O4409" s="14" t="str">
        <f>HYPERLINK("https://otsuka-europe-crm.veevavault.com/ui/#object/email_activity__v/V8C00000004C031", "EN-002106803")</f>
        <v>EN-002106803</v>
      </c>
    </row>
    <row r="4410" spans="1:15" ht="16" x14ac:dyDescent="0.2">
      <c r="A4410" s="26"/>
      <c r="B4410" s="26"/>
      <c r="C4410" s="26"/>
      <c r="D4410" s="26"/>
      <c r="E4410" s="26"/>
      <c r="F4410" s="26"/>
      <c r="G4410" s="26"/>
      <c r="H4410" s="26"/>
      <c r="I4410" s="26"/>
      <c r="J4410" s="26"/>
      <c r="K4410" s="26"/>
      <c r="L4410" s="26"/>
      <c r="M4410" s="26"/>
      <c r="N4410" s="26"/>
      <c r="O4410" s="14" t="str">
        <f>HYPERLINK("https://otsuka-europe-crm.veevavault.com/ui/#object/email_activity__v/V8C00000004C032", "EN-002106802")</f>
        <v>EN-002106802</v>
      </c>
    </row>
    <row r="4411" spans="1:15" ht="16" x14ac:dyDescent="0.2">
      <c r="A4411" s="26"/>
      <c r="B4411" s="26"/>
      <c r="C4411" s="26"/>
      <c r="D4411" s="26"/>
      <c r="E4411" s="26"/>
      <c r="F4411" s="26"/>
      <c r="G4411" s="26"/>
      <c r="H4411" s="26"/>
      <c r="I4411" s="26"/>
      <c r="J4411" s="26"/>
      <c r="K4411" s="26"/>
      <c r="L4411" s="26"/>
      <c r="M4411" s="26"/>
      <c r="N4411" s="26"/>
      <c r="O4411" s="14" t="str">
        <f>HYPERLINK("https://otsuka-europe-crm.veevavault.com/ui/#object/email_activity__v/V8C00000004C033", "EN-002106804")</f>
        <v>EN-002106804</v>
      </c>
    </row>
    <row r="4412" spans="1:15" ht="16" x14ac:dyDescent="0.2">
      <c r="A4412" s="26"/>
      <c r="B4412" s="26"/>
      <c r="C4412" s="26"/>
      <c r="D4412" s="26"/>
      <c r="E4412" s="26"/>
      <c r="F4412" s="26"/>
      <c r="G4412" s="26"/>
      <c r="H4412" s="26"/>
      <c r="I4412" s="26"/>
      <c r="J4412" s="26"/>
      <c r="K4412" s="26"/>
      <c r="L4412" s="26"/>
      <c r="M4412" s="26"/>
      <c r="N4412" s="26"/>
      <c r="O4412" s="14" t="str">
        <f>HYPERLINK("https://otsuka-europe-crm.veevavault.com/ui/#object/email_activity__v/V8C00000004E345", "EN-002109045")</f>
        <v>EN-002109045</v>
      </c>
    </row>
    <row r="4413" spans="1:15" ht="16" x14ac:dyDescent="0.2">
      <c r="A4413" s="26"/>
      <c r="B4413" s="26"/>
      <c r="C4413" s="26"/>
      <c r="D4413" s="26"/>
      <c r="E4413" s="26"/>
      <c r="F4413" s="26"/>
      <c r="G4413" s="26"/>
      <c r="H4413" s="26"/>
      <c r="I4413" s="26"/>
      <c r="J4413" s="26"/>
      <c r="K4413" s="26"/>
      <c r="L4413" s="26"/>
      <c r="M4413" s="26"/>
      <c r="N4413" s="26"/>
      <c r="O4413" s="14" t="str">
        <f>HYPERLINK("https://otsuka-europe-crm.veevavault.com/ui/#object/email_activity__v/V8C00000004E629", "EN-002109582")</f>
        <v>EN-002109582</v>
      </c>
    </row>
    <row r="4414" spans="1:15" ht="16" x14ac:dyDescent="0.2">
      <c r="A4414" s="26"/>
      <c r="B4414" s="26"/>
      <c r="C4414" s="26"/>
      <c r="D4414" s="26"/>
      <c r="E4414" s="26"/>
      <c r="F4414" s="26"/>
      <c r="G4414" s="26"/>
      <c r="H4414" s="26"/>
      <c r="I4414" s="26"/>
      <c r="J4414" s="26"/>
      <c r="K4414" s="26"/>
      <c r="L4414" s="26"/>
      <c r="M4414" s="26"/>
      <c r="N4414" s="26"/>
      <c r="O4414" s="14" t="str">
        <f>HYPERLINK("https://otsuka-europe-crm.veevavault.com/ui/#object/email_activity__v/V8C00000004E630", "EN-002109583")</f>
        <v>EN-002109583</v>
      </c>
    </row>
    <row r="4415" spans="1:15" ht="16" x14ac:dyDescent="0.2">
      <c r="A4415" s="19"/>
      <c r="B4415" s="19"/>
      <c r="C4415" s="19"/>
      <c r="D4415" s="19"/>
      <c r="E4415" s="19"/>
      <c r="F4415" s="19"/>
      <c r="G4415" s="19"/>
      <c r="H4415" s="19"/>
      <c r="I4415" s="19"/>
      <c r="J4415" s="19"/>
      <c r="K4415" s="19"/>
      <c r="L4415" s="19"/>
      <c r="M4415" s="19"/>
      <c r="N4415" s="19"/>
      <c r="O4415" s="14" t="str">
        <f>HYPERLINK("https://otsuka-europe-crm.veevavault.com/ui/#object/email_activity__v/V8C00000004E631", "EN-002109585")</f>
        <v>EN-002109585</v>
      </c>
    </row>
    <row r="4416" spans="1:15" ht="16" x14ac:dyDescent="0.2">
      <c r="A4416" s="18" t="str">
        <f>HYPERLINK("https://otsuka-europe-crm.veevavault.com/ui/#object/account__v/V4TZ04ASGDUDBTB", "PAULA CARRASCO CASTRO")</f>
        <v>PAULA CARRASCO CASTRO</v>
      </c>
      <c r="B4416" s="18" t="str">
        <f>HYPERLINK("https://otsuka-europe-crm.veevavault.com/ui/#object/vcountry__v/VENZ000004SONF5", "ES")</f>
        <v>ES</v>
      </c>
      <c r="C4416" s="20" t="s">
        <v>39</v>
      </c>
      <c r="D4416" s="21" t="str">
        <f>HYPERLINK("https://otsuka-europe-crm.veevavault.com/ui/#object/approved_document__v/V5O00000001R002", "Programa X Jornada UHB")</f>
        <v>Programa X Jornada UHB</v>
      </c>
      <c r="E4416" s="22" t="str">
        <f>HYPERLINK("https://otsuka-europe-crm.veevavault.com/ui/#object/sent_email__v/VBL000000038154", "SE-001443825")</f>
        <v>SE-001443825</v>
      </c>
      <c r="F4416" s="23"/>
      <c r="G4416" s="24">
        <v>0</v>
      </c>
      <c r="H4416" s="24">
        <v>0</v>
      </c>
      <c r="I4416" s="24">
        <v>0</v>
      </c>
      <c r="J4416" s="23"/>
      <c r="K4416" s="24">
        <v>0</v>
      </c>
      <c r="L4416" s="22" t="str">
        <f>HYPERLINK("https://otsuka-europe-crm.veevavault.com/ui/#object/approved_document__v/V5O00000001R002", "Programa X Jornada UHB")</f>
        <v>Programa X Jornada UHB</v>
      </c>
      <c r="M4416" s="22" t="str">
        <f>HYPERLINK("mailto:sdiez@crm.otsuka-europe.com", "sdiez@crm.otsuka-europe.com")</f>
        <v>sdiez@crm.otsuka-europe.com</v>
      </c>
      <c r="N4416" s="25">
        <v>46216.715439814812</v>
      </c>
      <c r="O4416" s="14" t="str">
        <f>HYPERLINK("https://otsuka-europe-crm.veevavault.com/ui/#object/email_activity__v/V8C000000049661", "EN-002106149")</f>
        <v>EN-002106149</v>
      </c>
    </row>
    <row r="4417" spans="1:15" ht="16" x14ac:dyDescent="0.2">
      <c r="A4417" s="19"/>
      <c r="B4417" s="19"/>
      <c r="C4417" s="19"/>
      <c r="D4417" s="19"/>
      <c r="E4417" s="19"/>
      <c r="F4417" s="19"/>
      <c r="G4417" s="19"/>
      <c r="H4417" s="19"/>
      <c r="I4417" s="19"/>
      <c r="J4417" s="19"/>
      <c r="K4417" s="19"/>
      <c r="L4417" s="19"/>
      <c r="M4417" s="19"/>
      <c r="N4417" s="19"/>
      <c r="O4417" s="14" t="str">
        <f>HYPERLINK("https://otsuka-europe-crm.veevavault.com/ui/#object/email_activity__v/V8C00000004A320", "EN-002105601")</f>
        <v>EN-002105601</v>
      </c>
    </row>
    <row r="4418" spans="1:15" ht="32" x14ac:dyDescent="0.2">
      <c r="A4418" s="7" t="str">
        <f>HYPERLINK("https://otsuka-europe-crm.veevavault.com/ui/#object/account__v/V4TZ06G6OBI64ED", "Iordanis Deligiannis")</f>
        <v>Iordanis Deligiannis</v>
      </c>
      <c r="B4418" s="7" t="str">
        <f>HYPERLINK("https://otsuka-europe-crm.veevavault.com/ui/#object/vcountry__v/VENZ000004SONFP", "DE")</f>
        <v>DE</v>
      </c>
      <c r="C4418" s="8" t="s">
        <v>43</v>
      </c>
      <c r="D4418" s="9" t="str">
        <f>HYPERLINK("https://otsuka-europe-crm.veevavault.com/ui/#object/approved_document__v/V5O00000001W001", "INA VAE DE – Zulassung INAQOVI Venetoclax")</f>
        <v>INA VAE DE – Zulassung INAQOVI Venetoclax</v>
      </c>
      <c r="E4418" s="10" t="str">
        <f>HYPERLINK("https://otsuka-europe-crm.veevavault.com/ui/#object/sent_email__v/VBL000000037183", "SE-001443826")</f>
        <v>SE-001443826</v>
      </c>
      <c r="F4418" s="11"/>
      <c r="G4418" s="12">
        <v>0</v>
      </c>
      <c r="H4418" s="12">
        <v>0</v>
      </c>
      <c r="I4418" s="12">
        <v>0</v>
      </c>
      <c r="J4418" s="11"/>
      <c r="K4418" s="12">
        <v>0</v>
      </c>
      <c r="L4418" s="10" t="str">
        <f>HYPERLINK("https://otsuka-europe-crm.veevavault.com/ui/#object/approved_document__v/V5O00000001W001", "INA VAE DE – Zulassung INAQOVI Venetoclax")</f>
        <v>INA VAE DE – Zulassung INAQOVI Venetoclax</v>
      </c>
      <c r="M4418" s="10" t="str">
        <f>HYPERLINK("mailto:skiefer@crm.otsuka-europe.com", "skiefer@crm.otsuka-europe.com")</f>
        <v>skiefer@crm.otsuka-europe.com</v>
      </c>
      <c r="N4418" s="13">
        <v>46216.724363425928</v>
      </c>
      <c r="O4418" s="14" t="str">
        <f>HYPERLINK("https://otsuka-europe-crm.veevavault.com/ui/#object/email_activity__v/V8C000000049428", "EN-002105623")</f>
        <v>EN-002105623</v>
      </c>
    </row>
    <row r="4419" spans="1:15" ht="32" x14ac:dyDescent="0.2">
      <c r="A4419" s="7" t="str">
        <f>HYPERLINK("https://otsuka-europe-crm.veevavault.com/ui/#object/account__v/V4TZ04ASGBX779A", "Martin Schumacher")</f>
        <v>Martin Schumacher</v>
      </c>
      <c r="B4419" s="7" t="str">
        <f>HYPERLINK("https://otsuka-europe-crm.veevavault.com/ui/#object/vcountry__v/VENZ000004SONFP", "DE")</f>
        <v>DE</v>
      </c>
      <c r="C4419" s="8" t="s">
        <v>43</v>
      </c>
      <c r="D4419" s="9" t="str">
        <f>HYPERLINK("https://otsuka-europe-crm.veevavault.com/ui/#object/approved_document__v/V5O00000001W001", "INA VAE DE – Zulassung INAQOVI Venetoclax")</f>
        <v>INA VAE DE – Zulassung INAQOVI Venetoclax</v>
      </c>
      <c r="E4419" s="10" t="str">
        <f>HYPERLINK("https://otsuka-europe-crm.veevavault.com/ui/#object/sent_email__v/VBL000000037184", "SE-001443827")</f>
        <v>SE-001443827</v>
      </c>
      <c r="F4419" s="11"/>
      <c r="G4419" s="12">
        <v>0</v>
      </c>
      <c r="H4419" s="12">
        <v>0</v>
      </c>
      <c r="I4419" s="12">
        <v>0</v>
      </c>
      <c r="J4419" s="11"/>
      <c r="K4419" s="12">
        <v>0</v>
      </c>
      <c r="L4419" s="10" t="str">
        <f>HYPERLINK("https://otsuka-europe-crm.veevavault.com/ui/#object/approved_document__v/V5O00000001W001", "INA VAE DE – Zulassung INAQOVI Venetoclax")</f>
        <v>INA VAE DE – Zulassung INAQOVI Venetoclax</v>
      </c>
      <c r="M4419" s="10" t="str">
        <f>HYPERLINK("mailto:skiefer@crm.otsuka-europe.com", "skiefer@crm.otsuka-europe.com")</f>
        <v>skiefer@crm.otsuka-europe.com</v>
      </c>
      <c r="N4419" s="13">
        <v>46216.724363425928</v>
      </c>
      <c r="O4419" s="14" t="str">
        <f>HYPERLINK("https://otsuka-europe-crm.veevavault.com/ui/#object/email_activity__v/V8C000000049432", "EN-002105627")</f>
        <v>EN-002105627</v>
      </c>
    </row>
    <row r="4420" spans="1:15" ht="16" x14ac:dyDescent="0.2">
      <c r="A4420" s="18" t="str">
        <f>HYPERLINK("https://otsuka-europe-crm.veevavault.com/ui/#object/account__v/V4TZ00000634YCY", "Andreas Günther")</f>
        <v>Andreas Günther</v>
      </c>
      <c r="B4420" s="18" t="str">
        <f>HYPERLINK("https://otsuka-europe-crm.veevavault.com/ui/#object/vcountry__v/VENZ000004SONFP", "DE")</f>
        <v>DE</v>
      </c>
      <c r="C4420" s="20" t="s">
        <v>43</v>
      </c>
      <c r="D4420" s="21" t="str">
        <f>HYPERLINK("https://otsuka-europe-crm.veevavault.com/ui/#object/approved_document__v/V5O00000001W001", "INA VAE DE – Zulassung INAQOVI Venetoclax")</f>
        <v>INA VAE DE – Zulassung INAQOVI Venetoclax</v>
      </c>
      <c r="E4420" s="22" t="str">
        <f>HYPERLINK("https://otsuka-europe-crm.veevavault.com/ui/#object/sent_email__v/VBL000000037185", "SE-001443828")</f>
        <v>SE-001443828</v>
      </c>
      <c r="F4420" s="25">
        <v>46218.260439814818</v>
      </c>
      <c r="G4420" s="24">
        <v>1</v>
      </c>
      <c r="H4420" s="24">
        <v>3</v>
      </c>
      <c r="I4420" s="24">
        <v>0</v>
      </c>
      <c r="J4420" s="23"/>
      <c r="K4420" s="24">
        <v>0</v>
      </c>
      <c r="L4420" s="22" t="str">
        <f>HYPERLINK("https://otsuka-europe-crm.veevavault.com/ui/#object/approved_document__v/V5O00000001W001", "INA VAE DE – Zulassung INAQOVI Venetoclax")</f>
        <v>INA VAE DE – Zulassung INAQOVI Venetoclax</v>
      </c>
      <c r="M4420" s="22" t="str">
        <f>HYPERLINK("mailto:skiefer@crm.otsuka-europe.com", "skiefer@crm.otsuka-europe.com")</f>
        <v>skiefer@crm.otsuka-europe.com</v>
      </c>
      <c r="N4420" s="25">
        <v>46216.724363425928</v>
      </c>
      <c r="O4420" s="14" t="str">
        <f>HYPERLINK("https://otsuka-europe-crm.veevavault.com/ui/#object/email_activity__v/V8C000000049690", "EN-002106198")</f>
        <v>EN-002106198</v>
      </c>
    </row>
    <row r="4421" spans="1:15" ht="16" x14ac:dyDescent="0.2">
      <c r="A4421" s="26"/>
      <c r="B4421" s="26"/>
      <c r="C4421" s="26"/>
      <c r="D4421" s="26"/>
      <c r="E4421" s="26"/>
      <c r="F4421" s="26"/>
      <c r="G4421" s="26"/>
      <c r="H4421" s="26"/>
      <c r="I4421" s="26"/>
      <c r="J4421" s="26"/>
      <c r="K4421" s="26"/>
      <c r="L4421" s="26"/>
      <c r="M4421" s="26"/>
      <c r="N4421" s="26"/>
      <c r="O4421" s="14" t="str">
        <f>HYPERLINK("https://otsuka-europe-crm.veevavault.com/ui/#object/email_activity__v/V8C00000004A332", "EN-002105630")</f>
        <v>EN-002105630</v>
      </c>
    </row>
    <row r="4422" spans="1:15" ht="16" x14ac:dyDescent="0.2">
      <c r="A4422" s="26"/>
      <c r="B4422" s="26"/>
      <c r="C4422" s="26"/>
      <c r="D4422" s="26"/>
      <c r="E4422" s="26"/>
      <c r="F4422" s="26"/>
      <c r="G4422" s="26"/>
      <c r="H4422" s="26"/>
      <c r="I4422" s="26"/>
      <c r="J4422" s="26"/>
      <c r="K4422" s="26"/>
      <c r="L4422" s="26"/>
      <c r="M4422" s="26"/>
      <c r="N4422" s="26"/>
      <c r="O4422" s="14" t="str">
        <f>HYPERLINK("https://otsuka-europe-crm.veevavault.com/ui/#object/email_activity__v/V8C00000004A418", "EN-002105768")</f>
        <v>EN-002105768</v>
      </c>
    </row>
    <row r="4423" spans="1:15" ht="16" x14ac:dyDescent="0.2">
      <c r="A4423" s="19"/>
      <c r="B4423" s="19"/>
      <c r="C4423" s="19"/>
      <c r="D4423" s="19"/>
      <c r="E4423" s="19"/>
      <c r="F4423" s="19"/>
      <c r="G4423" s="19"/>
      <c r="H4423" s="19"/>
      <c r="I4423" s="19"/>
      <c r="J4423" s="19"/>
      <c r="K4423" s="19"/>
      <c r="L4423" s="19"/>
      <c r="M4423" s="19"/>
      <c r="N4423" s="19"/>
      <c r="O4423" s="14" t="str">
        <f>HYPERLINK("https://otsuka-europe-crm.veevavault.com/ui/#object/email_activity__v/V8C00000004A640", "EN-002106194")</f>
        <v>EN-002106194</v>
      </c>
    </row>
    <row r="4424" spans="1:15" ht="32" x14ac:dyDescent="0.2">
      <c r="A4424" s="7" t="str">
        <f>HYPERLINK("https://otsuka-europe-crm.veevavault.com/ui/#object/account__v/V4TZ000006353Q1", "Frank Weidenbach")</f>
        <v>Frank Weidenbach</v>
      </c>
      <c r="B4424" s="7" t="str">
        <f>HYPERLINK("https://otsuka-europe-crm.veevavault.com/ui/#object/vcountry__v/VENZ000004SONFP", "DE")</f>
        <v>DE</v>
      </c>
      <c r="C4424" s="8" t="s">
        <v>43</v>
      </c>
      <c r="D4424" s="9" t="str">
        <f>HYPERLINK("https://otsuka-europe-crm.veevavault.com/ui/#object/approved_document__v/V5O00000001W001", "INA VAE DE – Zulassung INAQOVI Venetoclax")</f>
        <v>INA VAE DE – Zulassung INAQOVI Venetoclax</v>
      </c>
      <c r="E4424" s="10" t="str">
        <f>HYPERLINK("https://otsuka-europe-crm.veevavault.com/ui/#object/sent_email__v/VBL000000037186", "SE-001443829")</f>
        <v>SE-001443829</v>
      </c>
      <c r="F4424" s="11"/>
      <c r="G4424" s="12">
        <v>0</v>
      </c>
      <c r="H4424" s="12">
        <v>0</v>
      </c>
      <c r="I4424" s="12">
        <v>0</v>
      </c>
      <c r="J4424" s="11"/>
      <c r="K4424" s="12">
        <v>0</v>
      </c>
      <c r="L4424" s="10" t="str">
        <f>HYPERLINK("https://otsuka-europe-crm.veevavault.com/ui/#object/approved_document__v/V5O00000001W001", "INA VAE DE – Zulassung INAQOVI Venetoclax")</f>
        <v>INA VAE DE – Zulassung INAQOVI Venetoclax</v>
      </c>
      <c r="M4424" s="10" t="str">
        <f>HYPERLINK("mailto:skiefer@crm.otsuka-europe.com", "skiefer@crm.otsuka-europe.com")</f>
        <v>skiefer@crm.otsuka-europe.com</v>
      </c>
      <c r="N4424" s="13">
        <v>46216.724363425928</v>
      </c>
      <c r="O4424" s="14" t="str">
        <f>HYPERLINK("https://otsuka-europe-crm.veevavault.com/ui/#object/email_activity__v/V8C000000049430", "EN-002105625")</f>
        <v>EN-002105625</v>
      </c>
    </row>
    <row r="4425" spans="1:15" ht="32" x14ac:dyDescent="0.2">
      <c r="A4425" s="7" t="str">
        <f>HYPERLINK("https://otsuka-europe-crm.veevavault.com/ui/#object/account__v/V4TZ06G6OBI63KP", "Matthias Himmel")</f>
        <v>Matthias Himmel</v>
      </c>
      <c r="B4425" s="7" t="str">
        <f>HYPERLINK("https://otsuka-europe-crm.veevavault.com/ui/#object/vcountry__v/VENZ000004SONFP", "DE")</f>
        <v>DE</v>
      </c>
      <c r="C4425" s="8" t="s">
        <v>43</v>
      </c>
      <c r="D4425" s="9" t="str">
        <f>HYPERLINK("https://otsuka-europe-crm.veevavault.com/ui/#object/approved_document__v/V5O00000001W001", "INA VAE DE – Zulassung INAQOVI Venetoclax")</f>
        <v>INA VAE DE – Zulassung INAQOVI Venetoclax</v>
      </c>
      <c r="E4425" s="10" t="str">
        <f>HYPERLINK("https://otsuka-europe-crm.veevavault.com/ui/#object/sent_email__v/VBL000000037187", "SE-001443830")</f>
        <v>SE-001443830</v>
      </c>
      <c r="F4425" s="11"/>
      <c r="G4425" s="12">
        <v>0</v>
      </c>
      <c r="H4425" s="12">
        <v>0</v>
      </c>
      <c r="I4425" s="12">
        <v>0</v>
      </c>
      <c r="J4425" s="11"/>
      <c r="K4425" s="12">
        <v>0</v>
      </c>
      <c r="L4425" s="10" t="str">
        <f>HYPERLINK("https://otsuka-europe-crm.veevavault.com/ui/#object/approved_document__v/V5O00000001W001", "INA VAE DE – Zulassung INAQOVI Venetoclax")</f>
        <v>INA VAE DE – Zulassung INAQOVI Venetoclax</v>
      </c>
      <c r="M4425" s="10" t="str">
        <f>HYPERLINK("mailto:skiefer@crm.otsuka-europe.com", "skiefer@crm.otsuka-europe.com")</f>
        <v>skiefer@crm.otsuka-europe.com</v>
      </c>
      <c r="N4425" s="13">
        <v>46216.724363425928</v>
      </c>
      <c r="O4425" s="14" t="str">
        <f>HYPERLINK("https://otsuka-europe-crm.veevavault.com/ui/#object/email_activity__v/V8C00000004A325", "EN-002105613")</f>
        <v>EN-002105613</v>
      </c>
    </row>
    <row r="4426" spans="1:15" ht="32" x14ac:dyDescent="0.2">
      <c r="A4426" s="7" t="str">
        <f>HYPERLINK("https://otsuka-europe-crm.veevavault.com/ui/#object/account__v/V4TZ04ASGBX7835", "Ingo Stehle")</f>
        <v>Ingo Stehle</v>
      </c>
      <c r="B4426" s="7" t="str">
        <f>HYPERLINK("https://otsuka-europe-crm.veevavault.com/ui/#object/vcountry__v/VENZ000004SONFP", "DE")</f>
        <v>DE</v>
      </c>
      <c r="C4426" s="8" t="s">
        <v>43</v>
      </c>
      <c r="D4426" s="9" t="str">
        <f>HYPERLINK("https://otsuka-europe-crm.veevavault.com/ui/#object/approved_document__v/V5O00000001W001", "INA VAE DE – Zulassung INAQOVI Venetoclax")</f>
        <v>INA VAE DE – Zulassung INAQOVI Venetoclax</v>
      </c>
      <c r="E4426" s="10" t="str">
        <f>HYPERLINK("https://otsuka-europe-crm.veevavault.com/ui/#object/sent_email__v/VBL000000037188", "SE-001443831")</f>
        <v>SE-001443831</v>
      </c>
      <c r="F4426" s="11"/>
      <c r="G4426" s="12">
        <v>0</v>
      </c>
      <c r="H4426" s="12">
        <v>0</v>
      </c>
      <c r="I4426" s="12">
        <v>0</v>
      </c>
      <c r="J4426" s="11"/>
      <c r="K4426" s="12">
        <v>0</v>
      </c>
      <c r="L4426" s="10" t="str">
        <f>HYPERLINK("https://otsuka-europe-crm.veevavault.com/ui/#object/approved_document__v/V5O00000001W001", "INA VAE DE – Zulassung INAQOVI Venetoclax")</f>
        <v>INA VAE DE – Zulassung INAQOVI Venetoclax</v>
      </c>
      <c r="M4426" s="10" t="str">
        <f>HYPERLINK("mailto:skiefer@crm.otsuka-europe.com", "skiefer@crm.otsuka-europe.com")</f>
        <v>skiefer@crm.otsuka-europe.com</v>
      </c>
      <c r="N4426" s="13">
        <v>46216.724363425928</v>
      </c>
      <c r="O4426" s="14" t="str">
        <f>HYPERLINK("https://otsuka-europe-crm.veevavault.com/ui/#object/email_activity__v/V8C000000049427", "EN-002105622")</f>
        <v>EN-002105622</v>
      </c>
    </row>
    <row r="4427" spans="1:15" ht="16" x14ac:dyDescent="0.2">
      <c r="A4427" s="18" t="str">
        <f>HYPERLINK("https://otsuka-europe-crm.veevavault.com/ui/#object/account__v/V4TZ00000634Y9U", "Stefan Fronhoffs")</f>
        <v>Stefan Fronhoffs</v>
      </c>
      <c r="B4427" s="18" t="str">
        <f>HYPERLINK("https://otsuka-europe-crm.veevavault.com/ui/#object/vcountry__v/VENZ000004SONFP", "DE")</f>
        <v>DE</v>
      </c>
      <c r="C4427" s="20" t="s">
        <v>43</v>
      </c>
      <c r="D4427" s="21" t="str">
        <f>HYPERLINK("https://otsuka-europe-crm.veevavault.com/ui/#object/approved_document__v/V5O00000001W001", "INA VAE DE – Zulassung INAQOVI Venetoclax")</f>
        <v>INA VAE DE – Zulassung INAQOVI Venetoclax</v>
      </c>
      <c r="E4427" s="22" t="str">
        <f>HYPERLINK("https://otsuka-europe-crm.veevavault.com/ui/#object/sent_email__v/VBL000000037189", "SE-001443832")</f>
        <v>SE-001443832</v>
      </c>
      <c r="F4427" s="25">
        <v>46217.042453703703</v>
      </c>
      <c r="G4427" s="24">
        <v>1</v>
      </c>
      <c r="H4427" s="24">
        <v>1</v>
      </c>
      <c r="I4427" s="24">
        <v>0</v>
      </c>
      <c r="J4427" s="23"/>
      <c r="K4427" s="24">
        <v>0</v>
      </c>
      <c r="L4427" s="22" t="str">
        <f>HYPERLINK("https://otsuka-europe-crm.veevavault.com/ui/#object/approved_document__v/V5O00000001W001", "INA VAE DE – Zulassung INAQOVI Venetoclax")</f>
        <v>INA VAE DE – Zulassung INAQOVI Venetoclax</v>
      </c>
      <c r="M4427" s="22" t="str">
        <f>HYPERLINK("mailto:skiefer@crm.otsuka-europe.com", "skiefer@crm.otsuka-europe.com")</f>
        <v>skiefer@crm.otsuka-europe.com</v>
      </c>
      <c r="N4427" s="25">
        <v>46216.724363425928</v>
      </c>
      <c r="O4427" s="14" t="str">
        <f>HYPERLINK("https://otsuka-europe-crm.veevavault.com/ui/#object/email_activity__v/V8C000000049431", "EN-002105626")</f>
        <v>EN-002105626</v>
      </c>
    </row>
    <row r="4428" spans="1:15" ht="16" x14ac:dyDescent="0.2">
      <c r="A4428" s="26"/>
      <c r="B4428" s="26"/>
      <c r="C4428" s="26"/>
      <c r="D4428" s="26"/>
      <c r="E4428" s="26"/>
      <c r="F4428" s="26"/>
      <c r="G4428" s="26"/>
      <c r="H4428" s="26"/>
      <c r="I4428" s="26"/>
      <c r="J4428" s="26"/>
      <c r="K4428" s="26"/>
      <c r="L4428" s="26"/>
      <c r="M4428" s="26"/>
      <c r="N4428" s="26"/>
      <c r="O4428" s="14" t="str">
        <f>HYPERLINK("https://otsuka-europe-crm.veevavault.com/ui/#object/email_activity__v/V8C000000049471", "EN-002105743")</f>
        <v>EN-002105743</v>
      </c>
    </row>
    <row r="4429" spans="1:15" ht="16" x14ac:dyDescent="0.2">
      <c r="A4429" s="26"/>
      <c r="B4429" s="26"/>
      <c r="C4429" s="26"/>
      <c r="D4429" s="26"/>
      <c r="E4429" s="26"/>
      <c r="F4429" s="26"/>
      <c r="G4429" s="26"/>
      <c r="H4429" s="26"/>
      <c r="I4429" s="26"/>
      <c r="J4429" s="26"/>
      <c r="K4429" s="26"/>
      <c r="L4429" s="26"/>
      <c r="M4429" s="26"/>
      <c r="N4429" s="26"/>
      <c r="O4429" s="14" t="str">
        <f>HYPERLINK("https://otsuka-europe-crm.veevavault.com/ui/#object/email_activity__v/V8C000000049485", "EN-002105771")</f>
        <v>EN-002105771</v>
      </c>
    </row>
    <row r="4430" spans="1:15" ht="16" x14ac:dyDescent="0.2">
      <c r="A4430" s="19"/>
      <c r="B4430" s="19"/>
      <c r="C4430" s="19"/>
      <c r="D4430" s="19"/>
      <c r="E4430" s="19"/>
      <c r="F4430" s="19"/>
      <c r="G4430" s="19"/>
      <c r="H4430" s="19"/>
      <c r="I4430" s="19"/>
      <c r="J4430" s="19"/>
      <c r="K4430" s="19"/>
      <c r="L4430" s="19"/>
      <c r="M4430" s="19"/>
      <c r="N4430" s="19"/>
      <c r="O4430" s="14" t="str">
        <f>HYPERLINK("https://otsuka-europe-crm.veevavault.com/ui/#object/email_activity__v/V8C00000004C061", "EN-002106868")</f>
        <v>EN-002106868</v>
      </c>
    </row>
    <row r="4431" spans="1:15" ht="16" x14ac:dyDescent="0.2">
      <c r="A4431" s="18" t="str">
        <f>HYPERLINK("https://otsuka-europe-crm.veevavault.com/ui/#object/account__v/V4TZ0000063541V", "Christian Wilhelm")</f>
        <v>Christian Wilhelm</v>
      </c>
      <c r="B4431" s="18" t="str">
        <f>HYPERLINK("https://otsuka-europe-crm.veevavault.com/ui/#object/vcountry__v/VENZ000004SONFP", "DE")</f>
        <v>DE</v>
      </c>
      <c r="C4431" s="20" t="s">
        <v>43</v>
      </c>
      <c r="D4431" s="21" t="str">
        <f>HYPERLINK("https://otsuka-europe-crm.veevavault.com/ui/#object/approved_document__v/V5O00000001W001", "INA VAE DE – Zulassung INAQOVI Venetoclax")</f>
        <v>INA VAE DE – Zulassung INAQOVI Venetoclax</v>
      </c>
      <c r="E4431" s="22" t="str">
        <f>HYPERLINK("https://otsuka-europe-crm.veevavault.com/ui/#object/sent_email__v/VBL000000037190", "SE-001443833")</f>
        <v>SE-001443833</v>
      </c>
      <c r="F4431" s="25">
        <v>46216.747488425928</v>
      </c>
      <c r="G4431" s="24">
        <v>1</v>
      </c>
      <c r="H4431" s="24">
        <v>2</v>
      </c>
      <c r="I4431" s="24">
        <v>0</v>
      </c>
      <c r="J4431" s="23"/>
      <c r="K4431" s="24">
        <v>0</v>
      </c>
      <c r="L4431" s="22" t="str">
        <f>HYPERLINK("https://otsuka-europe-crm.veevavault.com/ui/#object/approved_document__v/V5O00000001W001", "INA VAE DE – Zulassung INAQOVI Venetoclax")</f>
        <v>INA VAE DE – Zulassung INAQOVI Venetoclax</v>
      </c>
      <c r="M4431" s="22" t="str">
        <f>HYPERLINK("mailto:skiefer@crm.otsuka-europe.com", "skiefer@crm.otsuka-europe.com")</f>
        <v>skiefer@crm.otsuka-europe.com</v>
      </c>
      <c r="N4431" s="25">
        <v>46216.724340277775</v>
      </c>
      <c r="O4431" s="14" t="str">
        <f>HYPERLINK("https://otsuka-europe-crm.veevavault.com/ui/#object/email_activity__v/V8C00000004A329", "EN-002105620")</f>
        <v>EN-002105620</v>
      </c>
    </row>
    <row r="4432" spans="1:15" ht="16" x14ac:dyDescent="0.2">
      <c r="A4432" s="26"/>
      <c r="B4432" s="26"/>
      <c r="C4432" s="26"/>
      <c r="D4432" s="26"/>
      <c r="E4432" s="26"/>
      <c r="F4432" s="26"/>
      <c r="G4432" s="26"/>
      <c r="H4432" s="26"/>
      <c r="I4432" s="26"/>
      <c r="J4432" s="26"/>
      <c r="K4432" s="26"/>
      <c r="L4432" s="26"/>
      <c r="M4432" s="26"/>
      <c r="N4432" s="26"/>
      <c r="O4432" s="14" t="str">
        <f>HYPERLINK("https://otsuka-europe-crm.veevavault.com/ui/#object/email_activity__v/V8C00000004A337", "EN-002105639")</f>
        <v>EN-002105639</v>
      </c>
    </row>
    <row r="4433" spans="1:15" ht="16" x14ac:dyDescent="0.2">
      <c r="A4433" s="19"/>
      <c r="B4433" s="19"/>
      <c r="C4433" s="19"/>
      <c r="D4433" s="19"/>
      <c r="E4433" s="19"/>
      <c r="F4433" s="19"/>
      <c r="G4433" s="19"/>
      <c r="H4433" s="19"/>
      <c r="I4433" s="19"/>
      <c r="J4433" s="19"/>
      <c r="K4433" s="19"/>
      <c r="L4433" s="19"/>
      <c r="M4433" s="19"/>
      <c r="N4433" s="19"/>
      <c r="O4433" s="14" t="str">
        <f>HYPERLINK("https://otsuka-europe-crm.veevavault.com/ui/#object/email_activity__v/V8C00000004A341", "EN-002105643")</f>
        <v>EN-002105643</v>
      </c>
    </row>
    <row r="4434" spans="1:15" ht="32" x14ac:dyDescent="0.2">
      <c r="A4434" s="7" t="str">
        <f>HYPERLINK("https://otsuka-europe-crm.veevavault.com/ui/#object/account__v/V4TZ06G6OBI63WQ", "Tobias Arnold")</f>
        <v>Tobias Arnold</v>
      </c>
      <c r="B4434" s="7" t="str">
        <f>HYPERLINK("https://otsuka-europe-crm.veevavault.com/ui/#object/vcountry__v/VENZ000004SONFP", "DE")</f>
        <v>DE</v>
      </c>
      <c r="C4434" s="8" t="s">
        <v>43</v>
      </c>
      <c r="D4434" s="9" t="str">
        <f>HYPERLINK("https://otsuka-europe-crm.veevavault.com/ui/#object/approved_document__v/V5O00000001W001", "INA VAE DE – Zulassung INAQOVI Venetoclax")</f>
        <v>INA VAE DE – Zulassung INAQOVI Venetoclax</v>
      </c>
      <c r="E4434" s="10" t="str">
        <f>HYPERLINK("https://otsuka-europe-crm.veevavault.com/ui/#object/sent_email__v/VBL000000037191", "SE-001443834")</f>
        <v>SE-001443834</v>
      </c>
      <c r="F4434" s="11"/>
      <c r="G4434" s="12">
        <v>0</v>
      </c>
      <c r="H4434" s="12">
        <v>0</v>
      </c>
      <c r="I4434" s="12">
        <v>0</v>
      </c>
      <c r="J4434" s="11"/>
      <c r="K4434" s="12">
        <v>0</v>
      </c>
      <c r="L4434" s="10" t="str">
        <f>HYPERLINK("https://otsuka-europe-crm.veevavault.com/ui/#object/approved_document__v/V5O00000001W001", "INA VAE DE – Zulassung INAQOVI Venetoclax")</f>
        <v>INA VAE DE – Zulassung INAQOVI Venetoclax</v>
      </c>
      <c r="M4434" s="10" t="str">
        <f>HYPERLINK("mailto:skiefer@crm.otsuka-europe.com", "skiefer@crm.otsuka-europe.com")</f>
        <v>skiefer@crm.otsuka-europe.com</v>
      </c>
      <c r="N4434" s="13">
        <v>46216.724340277775</v>
      </c>
      <c r="O4434" s="14" t="str">
        <f>HYPERLINK("https://otsuka-europe-crm.veevavault.com/ui/#object/email_activity__v/V8C000000049421", "EN-002105611")</f>
        <v>EN-002105611</v>
      </c>
    </row>
    <row r="4435" spans="1:15" ht="32" x14ac:dyDescent="0.2">
      <c r="A4435" s="7" t="str">
        <f>HYPERLINK("https://otsuka-europe-crm.veevavault.com/ui/#object/account__v/V4T000000012086", "Moritz Kleemiß")</f>
        <v>Moritz Kleemiß</v>
      </c>
      <c r="B4435" s="7" t="str">
        <f>HYPERLINK("https://otsuka-europe-crm.veevavault.com/ui/#object/vcountry__v/VENZ000004SONFP", "DE")</f>
        <v>DE</v>
      </c>
      <c r="C4435" s="8" t="s">
        <v>43</v>
      </c>
      <c r="D4435" s="9" t="str">
        <f>HYPERLINK("https://otsuka-europe-crm.veevavault.com/ui/#object/approved_document__v/V5O00000001W001", "INA VAE DE – Zulassung INAQOVI Venetoclax")</f>
        <v>INA VAE DE – Zulassung INAQOVI Venetoclax</v>
      </c>
      <c r="E4435" s="10" t="str">
        <f>HYPERLINK("https://otsuka-europe-crm.veevavault.com/ui/#object/sent_email__v/VBL000000037192", "SE-001443835")</f>
        <v>SE-001443835</v>
      </c>
      <c r="F4435" s="11"/>
      <c r="G4435" s="12">
        <v>0</v>
      </c>
      <c r="H4435" s="12">
        <v>0</v>
      </c>
      <c r="I4435" s="12">
        <v>0</v>
      </c>
      <c r="J4435" s="11"/>
      <c r="K4435" s="12">
        <v>0</v>
      </c>
      <c r="L4435" s="10" t="str">
        <f>HYPERLINK("https://otsuka-europe-crm.veevavault.com/ui/#object/approved_document__v/V5O00000001W001", "INA VAE DE – Zulassung INAQOVI Venetoclax")</f>
        <v>INA VAE DE – Zulassung INAQOVI Venetoclax</v>
      </c>
      <c r="M4435" s="10" t="str">
        <f>HYPERLINK("mailto:skiefer@crm.otsuka-europe.com", "skiefer@crm.otsuka-europe.com")</f>
        <v>skiefer@crm.otsuka-europe.com</v>
      </c>
      <c r="N4435" s="13">
        <v>46216.724363425928</v>
      </c>
      <c r="O4435" s="14" t="str">
        <f>HYPERLINK("https://otsuka-europe-crm.veevavault.com/ui/#object/email_activity__v/V8C000000049420", "EN-002105609")</f>
        <v>EN-002105609</v>
      </c>
    </row>
    <row r="4436" spans="1:15" ht="32" x14ac:dyDescent="0.2">
      <c r="A4436" s="7" t="str">
        <f>HYPERLINK("https://otsuka-europe-crm.veevavault.com/ui/#object/account__v/V4T000000018003", "Benjamin Rister")</f>
        <v>Benjamin Rister</v>
      </c>
      <c r="B4436" s="7" t="str">
        <f>HYPERLINK("https://otsuka-europe-crm.veevavault.com/ui/#object/vcountry__v/VENZ000004SONFP", "DE")</f>
        <v>DE</v>
      </c>
      <c r="C4436" s="8" t="s">
        <v>43</v>
      </c>
      <c r="D4436" s="9" t="str">
        <f>HYPERLINK("https://otsuka-europe-crm.veevavault.com/ui/#object/approved_document__v/V5O00000001W001", "INA VAE DE – Zulassung INAQOVI Venetoclax")</f>
        <v>INA VAE DE – Zulassung INAQOVI Venetoclax</v>
      </c>
      <c r="E4436" s="10" t="str">
        <f>HYPERLINK("https://otsuka-europe-crm.veevavault.com/ui/#object/sent_email__v/VBL000000037193", "SE-001443836")</f>
        <v>SE-001443836</v>
      </c>
      <c r="F4436" s="11"/>
      <c r="G4436" s="12">
        <v>0</v>
      </c>
      <c r="H4436" s="12">
        <v>0</v>
      </c>
      <c r="I4436" s="12">
        <v>0</v>
      </c>
      <c r="J4436" s="11"/>
      <c r="K4436" s="12">
        <v>0</v>
      </c>
      <c r="L4436" s="10" t="str">
        <f>HYPERLINK("https://otsuka-europe-crm.veevavault.com/ui/#object/approved_document__v/V5O00000001W001", "INA VAE DE – Zulassung INAQOVI Venetoclax")</f>
        <v>INA VAE DE – Zulassung INAQOVI Venetoclax</v>
      </c>
      <c r="M4436" s="10" t="str">
        <f>HYPERLINK("mailto:skiefer@crm.otsuka-europe.com", "skiefer@crm.otsuka-europe.com")</f>
        <v>skiefer@crm.otsuka-europe.com</v>
      </c>
      <c r="N4436" s="13">
        <v>46216.724340277775</v>
      </c>
      <c r="O4436" s="14" t="str">
        <f>HYPERLINK("https://otsuka-europe-crm.veevavault.com/ui/#object/email_activity__v/V8C000000049419", "EN-002105607")</f>
        <v>EN-002105607</v>
      </c>
    </row>
    <row r="4437" spans="1:15" ht="16" x14ac:dyDescent="0.2">
      <c r="A4437" s="18" t="str">
        <f>HYPERLINK("https://otsuka-europe-crm.veevavault.com/ui/#object/account__v/V4TZ0000063524D", "Richard Noppeney")</f>
        <v>Richard Noppeney</v>
      </c>
      <c r="B4437" s="18" t="str">
        <f>HYPERLINK("https://otsuka-europe-crm.veevavault.com/ui/#object/vcountry__v/VENZ000004SONFP", "DE")</f>
        <v>DE</v>
      </c>
      <c r="C4437" s="20" t="s">
        <v>43</v>
      </c>
      <c r="D4437" s="21" t="str">
        <f>HYPERLINK("https://otsuka-europe-crm.veevavault.com/ui/#object/approved_document__v/V5O00000001W001", "INA VAE DE – Zulassung INAQOVI Venetoclax")</f>
        <v>INA VAE DE – Zulassung INAQOVI Venetoclax</v>
      </c>
      <c r="E4437" s="22" t="str">
        <f>HYPERLINK("https://otsuka-europe-crm.veevavault.com/ui/#object/sent_email__v/VBL000000037194", "SE-001443837")</f>
        <v>SE-001443837</v>
      </c>
      <c r="F4437" s="25">
        <v>46216.72488425926</v>
      </c>
      <c r="G4437" s="24">
        <v>1</v>
      </c>
      <c r="H4437" s="24">
        <v>1</v>
      </c>
      <c r="I4437" s="24">
        <v>0</v>
      </c>
      <c r="J4437" s="23"/>
      <c r="K4437" s="24">
        <v>0</v>
      </c>
      <c r="L4437" s="22" t="str">
        <f>HYPERLINK("https://otsuka-europe-crm.veevavault.com/ui/#object/approved_document__v/V5O00000001W001", "INA VAE DE – Zulassung INAQOVI Venetoclax")</f>
        <v>INA VAE DE – Zulassung INAQOVI Venetoclax</v>
      </c>
      <c r="M4437" s="22" t="str">
        <f>HYPERLINK("mailto:skiefer@crm.otsuka-europe.com", "skiefer@crm.otsuka-europe.com")</f>
        <v>skiefer@crm.otsuka-europe.com</v>
      </c>
      <c r="N4437" s="25">
        <v>46216.724317129629</v>
      </c>
      <c r="O4437" s="14" t="str">
        <f>HYPERLINK("https://otsuka-europe-crm.veevavault.com/ui/#object/email_activity__v/V8C00000004A323", "EN-002105608")</f>
        <v>EN-002105608</v>
      </c>
    </row>
    <row r="4438" spans="1:15" ht="16" x14ac:dyDescent="0.2">
      <c r="A4438" s="19"/>
      <c r="B4438" s="19"/>
      <c r="C4438" s="19"/>
      <c r="D4438" s="19"/>
      <c r="E4438" s="19"/>
      <c r="F4438" s="19"/>
      <c r="G4438" s="19"/>
      <c r="H4438" s="19"/>
      <c r="I4438" s="19"/>
      <c r="J4438" s="19"/>
      <c r="K4438" s="19"/>
      <c r="L4438" s="19"/>
      <c r="M4438" s="19"/>
      <c r="N4438" s="19"/>
      <c r="O4438" s="14" t="str">
        <f>HYPERLINK("https://otsuka-europe-crm.veevavault.com/ui/#object/email_activity__v/V8C00000004A333", "EN-002105632")</f>
        <v>EN-002105632</v>
      </c>
    </row>
    <row r="4439" spans="1:15" ht="32" x14ac:dyDescent="0.2">
      <c r="A4439" s="7" t="str">
        <f>HYPERLINK("https://otsuka-europe-crm.veevavault.com/ui/#object/account__v/V4TZ04ASG6PEEYB", "Franz-Georg Bauernfeind")</f>
        <v>Franz-Georg Bauernfeind</v>
      </c>
      <c r="B4439" s="7" t="str">
        <f>HYPERLINK("https://otsuka-europe-crm.veevavault.com/ui/#object/vcountry__v/VENZ000004SONFP", "DE")</f>
        <v>DE</v>
      </c>
      <c r="C4439" s="8" t="s">
        <v>43</v>
      </c>
      <c r="D4439" s="9" t="str">
        <f>HYPERLINK("https://otsuka-europe-crm.veevavault.com/ui/#object/approved_document__v/V5O00000001W001", "INA VAE DE – Zulassung INAQOVI Venetoclax")</f>
        <v>INA VAE DE – Zulassung INAQOVI Venetoclax</v>
      </c>
      <c r="E4439" s="10" t="str">
        <f>HYPERLINK("https://otsuka-europe-crm.veevavault.com/ui/#object/sent_email__v/VBL000000037195", "SE-001443838")</f>
        <v>SE-001443838</v>
      </c>
      <c r="F4439" s="11"/>
      <c r="G4439" s="12">
        <v>0</v>
      </c>
      <c r="H4439" s="12">
        <v>0</v>
      </c>
      <c r="I4439" s="12">
        <v>0</v>
      </c>
      <c r="J4439" s="11"/>
      <c r="K4439" s="12">
        <v>0</v>
      </c>
      <c r="L4439" s="10" t="str">
        <f>HYPERLINK("https://otsuka-europe-crm.veevavault.com/ui/#object/approved_document__v/V5O00000001W001", "INA VAE DE – Zulassung INAQOVI Venetoclax")</f>
        <v>INA VAE DE – Zulassung INAQOVI Venetoclax</v>
      </c>
      <c r="M4439" s="10" t="str">
        <f>HYPERLINK("mailto:skiefer@crm.otsuka-europe.com", "skiefer@crm.otsuka-europe.com")</f>
        <v>skiefer@crm.otsuka-europe.com</v>
      </c>
      <c r="N4439" s="13">
        <v>46216.724317129629</v>
      </c>
      <c r="O4439" s="14" t="str">
        <f>HYPERLINK("https://otsuka-europe-crm.veevavault.com/ui/#object/email_activity__v/V8C00000004A326", "EN-002105614")</f>
        <v>EN-002105614</v>
      </c>
    </row>
    <row r="4440" spans="1:15" ht="32" x14ac:dyDescent="0.2">
      <c r="A4440" s="7" t="str">
        <f>HYPERLINK("https://otsuka-europe-crm.veevavault.com/ui/#object/account__v/V4TZ00000634ZFX", "Wolfgang Gießler")</f>
        <v>Wolfgang Gießler</v>
      </c>
      <c r="B4440" s="7" t="str">
        <f>HYPERLINK("https://otsuka-europe-crm.veevavault.com/ui/#object/vcountry__v/VENZ000004SONFP", "DE")</f>
        <v>DE</v>
      </c>
      <c r="C4440" s="8" t="s">
        <v>43</v>
      </c>
      <c r="D4440" s="9" t="str">
        <f>HYPERLINK("https://otsuka-europe-crm.veevavault.com/ui/#object/approved_document__v/V5O00000001W001", "INA VAE DE – Zulassung INAQOVI Venetoclax")</f>
        <v>INA VAE DE – Zulassung INAQOVI Venetoclax</v>
      </c>
      <c r="E4440" s="10" t="str">
        <f>HYPERLINK("https://otsuka-europe-crm.veevavault.com/ui/#object/sent_email__v/VBL000000037196", "SE-001443839")</f>
        <v>SE-001443839</v>
      </c>
      <c r="F4440" s="11"/>
      <c r="G4440" s="12">
        <v>0</v>
      </c>
      <c r="H4440" s="12">
        <v>0</v>
      </c>
      <c r="I4440" s="12">
        <v>0</v>
      </c>
      <c r="J4440" s="11"/>
      <c r="K4440" s="12">
        <v>0</v>
      </c>
      <c r="L4440" s="10" t="str">
        <f>HYPERLINK("https://otsuka-europe-crm.veevavault.com/ui/#object/approved_document__v/V5O00000001W001", "INA VAE DE – Zulassung INAQOVI Venetoclax")</f>
        <v>INA VAE DE – Zulassung INAQOVI Venetoclax</v>
      </c>
      <c r="M4440" s="10" t="str">
        <f>HYPERLINK("mailto:skiefer@crm.otsuka-europe.com", "skiefer@crm.otsuka-europe.com")</f>
        <v>skiefer@crm.otsuka-europe.com</v>
      </c>
      <c r="N4440" s="13">
        <v>46216.724374999998</v>
      </c>
      <c r="O4440" s="14" t="str">
        <f>HYPERLINK("https://otsuka-europe-crm.veevavault.com/ui/#object/email_activity__v/V8C00000004A324", "EN-002105610")</f>
        <v>EN-002105610</v>
      </c>
    </row>
    <row r="4441" spans="1:15" ht="32" x14ac:dyDescent="0.2">
      <c r="A4441" s="7" t="str">
        <f>HYPERLINK("https://otsuka-europe-crm.veevavault.com/ui/#object/account__v/V4TZ00000634WUP", "Johannes Atta")</f>
        <v>Johannes Atta</v>
      </c>
      <c r="B4441" s="7" t="str">
        <f>HYPERLINK("https://otsuka-europe-crm.veevavault.com/ui/#object/vcountry__v/VENZ000004SONFP", "DE")</f>
        <v>DE</v>
      </c>
      <c r="C4441" s="8" t="s">
        <v>43</v>
      </c>
      <c r="D4441" s="9" t="str">
        <f>HYPERLINK("https://otsuka-europe-crm.veevavault.com/ui/#object/approved_document__v/V5O00000001W001", "INA VAE DE – Zulassung INAQOVI Venetoclax")</f>
        <v>INA VAE DE – Zulassung INAQOVI Venetoclax</v>
      </c>
      <c r="E4441" s="10" t="str">
        <f>HYPERLINK("https://otsuka-europe-crm.veevavault.com/ui/#object/sent_email__v/VBL000000037197", "SE-001443840")</f>
        <v>SE-001443840</v>
      </c>
      <c r="F4441" s="11"/>
      <c r="G4441" s="12">
        <v>0</v>
      </c>
      <c r="H4441" s="12">
        <v>0</v>
      </c>
      <c r="I4441" s="12">
        <v>0</v>
      </c>
      <c r="J4441" s="11"/>
      <c r="K4441" s="12">
        <v>0</v>
      </c>
      <c r="L4441" s="10" t="str">
        <f>HYPERLINK("https://otsuka-europe-crm.veevavault.com/ui/#object/approved_document__v/V5O00000001W001", "INA VAE DE – Zulassung INAQOVI Venetoclax")</f>
        <v>INA VAE DE – Zulassung INAQOVI Venetoclax</v>
      </c>
      <c r="M4441" s="10" t="str">
        <f>HYPERLINK("mailto:skiefer@crm.otsuka-europe.com", "skiefer@crm.otsuka-europe.com")</f>
        <v>skiefer@crm.otsuka-europe.com</v>
      </c>
      <c r="N4441" s="13">
        <v>46216.724340277775</v>
      </c>
      <c r="O4441" s="14" t="str">
        <f>HYPERLINK("https://otsuka-europe-crm.veevavault.com/ui/#object/email_activity__v/V8C000000049426", "EN-002105621")</f>
        <v>EN-002105621</v>
      </c>
    </row>
    <row r="4442" spans="1:15" ht="32" x14ac:dyDescent="0.2">
      <c r="A4442" s="7" t="str">
        <f>HYPERLINK("https://otsuka-europe-crm.veevavault.com/ui/#object/account__v/V4TZ00000634WV1", "Franz-Josef Heidgen")</f>
        <v>Franz-Josef Heidgen</v>
      </c>
      <c r="B4442" s="7" t="str">
        <f>HYPERLINK("https://otsuka-europe-crm.veevavault.com/ui/#object/vcountry__v/VENZ000004SONFP", "DE")</f>
        <v>DE</v>
      </c>
      <c r="C4442" s="8" t="s">
        <v>43</v>
      </c>
      <c r="D4442" s="9" t="str">
        <f>HYPERLINK("https://otsuka-europe-crm.veevavault.com/ui/#object/approved_document__v/V5O00000001W001", "INA VAE DE – Zulassung INAQOVI Venetoclax")</f>
        <v>INA VAE DE – Zulassung INAQOVI Venetoclax</v>
      </c>
      <c r="E4442" s="10" t="str">
        <f>HYPERLINK("https://otsuka-europe-crm.veevavault.com/ui/#object/sent_email__v/VBL000000037198", "SE-001443841")</f>
        <v>SE-001443841</v>
      </c>
      <c r="F4442" s="11"/>
      <c r="G4442" s="12">
        <v>0</v>
      </c>
      <c r="H4442" s="12">
        <v>0</v>
      </c>
      <c r="I4442" s="12">
        <v>0</v>
      </c>
      <c r="J4442" s="11"/>
      <c r="K4442" s="12">
        <v>0</v>
      </c>
      <c r="L4442" s="10" t="str">
        <f>HYPERLINK("https://otsuka-europe-crm.veevavault.com/ui/#object/approved_document__v/V5O00000001W001", "INA VAE DE – Zulassung INAQOVI Venetoclax")</f>
        <v>INA VAE DE – Zulassung INAQOVI Venetoclax</v>
      </c>
      <c r="M4442" s="10" t="str">
        <f>HYPERLINK("mailto:skiefer@crm.otsuka-europe.com", "skiefer@crm.otsuka-europe.com")</f>
        <v>skiefer@crm.otsuka-europe.com</v>
      </c>
      <c r="N4442" s="13">
        <v>46216.724340277775</v>
      </c>
      <c r="O4442" s="14" t="str">
        <f>HYPERLINK("https://otsuka-europe-crm.veevavault.com/ui/#object/email_activity__v/V8C00000004A327", "EN-002105615")</f>
        <v>EN-002105615</v>
      </c>
    </row>
    <row r="4443" spans="1:15" ht="16" x14ac:dyDescent="0.2">
      <c r="A4443" s="18" t="str">
        <f>HYPERLINK("https://otsuka-europe-crm.veevavault.com/ui/#object/account__v/V4TZ000006352V7", "Ernst Rodermann")</f>
        <v>Ernst Rodermann</v>
      </c>
      <c r="B4443" s="18" t="str">
        <f>HYPERLINK("https://otsuka-europe-crm.veevavault.com/ui/#object/vcountry__v/VENZ000004SONFP", "DE")</f>
        <v>DE</v>
      </c>
      <c r="C4443" s="20" t="s">
        <v>43</v>
      </c>
      <c r="D4443" s="21" t="str">
        <f>HYPERLINK("https://otsuka-europe-crm.veevavault.com/ui/#object/approved_document__v/V5O00000001W001", "INA VAE DE – Zulassung INAQOVI Venetoclax")</f>
        <v>INA VAE DE – Zulassung INAQOVI Venetoclax</v>
      </c>
      <c r="E4443" s="22" t="str">
        <f>HYPERLINK("https://otsuka-europe-crm.veevavault.com/ui/#object/sent_email__v/VBL000000037199", "SE-001443842")</f>
        <v>SE-001443842</v>
      </c>
      <c r="F4443" s="25">
        <v>46217.411481481482</v>
      </c>
      <c r="G4443" s="24">
        <v>1</v>
      </c>
      <c r="H4443" s="24">
        <v>9</v>
      </c>
      <c r="I4443" s="24">
        <v>0</v>
      </c>
      <c r="J4443" s="23"/>
      <c r="K4443" s="24">
        <v>0</v>
      </c>
      <c r="L4443" s="22" t="str">
        <f>HYPERLINK("https://otsuka-europe-crm.veevavault.com/ui/#object/approved_document__v/V5O00000001W001", "INA VAE DE – Zulassung INAQOVI Venetoclax")</f>
        <v>INA VAE DE – Zulassung INAQOVI Venetoclax</v>
      </c>
      <c r="M4443" s="22" t="str">
        <f>HYPERLINK("mailto:skiefer@crm.otsuka-europe.com", "skiefer@crm.otsuka-europe.com")</f>
        <v>skiefer@crm.otsuka-europe.com</v>
      </c>
      <c r="N4443" s="25">
        <v>46216.724340277775</v>
      </c>
      <c r="O4443" s="14" t="str">
        <f>HYPERLINK("https://otsuka-europe-crm.veevavault.com/ui/#object/email_activity__v/V8C000000049424", "EN-002105618")</f>
        <v>EN-002105618</v>
      </c>
    </row>
    <row r="4444" spans="1:15" ht="16" x14ac:dyDescent="0.2">
      <c r="A4444" s="26"/>
      <c r="B4444" s="26"/>
      <c r="C4444" s="26"/>
      <c r="D4444" s="26"/>
      <c r="E4444" s="26"/>
      <c r="F4444" s="26"/>
      <c r="G4444" s="26"/>
      <c r="H4444" s="26"/>
      <c r="I4444" s="26"/>
      <c r="J4444" s="26"/>
      <c r="K4444" s="26"/>
      <c r="L4444" s="26"/>
      <c r="M4444" s="26"/>
      <c r="N4444" s="26"/>
      <c r="O4444" s="14" t="str">
        <f>HYPERLINK("https://otsuka-europe-crm.veevavault.com/ui/#object/email_activity__v/V8C000000049449", "EN-002105692")</f>
        <v>EN-002105692</v>
      </c>
    </row>
    <row r="4445" spans="1:15" ht="16" x14ac:dyDescent="0.2">
      <c r="A4445" s="26"/>
      <c r="B4445" s="26"/>
      <c r="C4445" s="26"/>
      <c r="D4445" s="26"/>
      <c r="E4445" s="26"/>
      <c r="F4445" s="26"/>
      <c r="G4445" s="26"/>
      <c r="H4445" s="26"/>
      <c r="I4445" s="26"/>
      <c r="J4445" s="26"/>
      <c r="K4445" s="26"/>
      <c r="L4445" s="26"/>
      <c r="M4445" s="26"/>
      <c r="N4445" s="26"/>
      <c r="O4445" s="14" t="str">
        <f>HYPERLINK("https://otsuka-europe-crm.veevavault.com/ui/#object/email_activity__v/V8C000000049481", "EN-002105763")</f>
        <v>EN-002105763</v>
      </c>
    </row>
    <row r="4446" spans="1:15" ht="16" x14ac:dyDescent="0.2">
      <c r="A4446" s="26"/>
      <c r="B4446" s="26"/>
      <c r="C4446" s="26"/>
      <c r="D4446" s="26"/>
      <c r="E4446" s="26"/>
      <c r="F4446" s="26"/>
      <c r="G4446" s="26"/>
      <c r="H4446" s="26"/>
      <c r="I4446" s="26"/>
      <c r="J4446" s="26"/>
      <c r="K4446" s="26"/>
      <c r="L4446" s="26"/>
      <c r="M4446" s="26"/>
      <c r="N4446" s="26"/>
      <c r="O4446" s="14" t="str">
        <f>HYPERLINK("https://otsuka-europe-crm.veevavault.com/ui/#object/email_activity__v/V8C000000049483", "EN-002105766")</f>
        <v>EN-002105766</v>
      </c>
    </row>
    <row r="4447" spans="1:15" ht="16" x14ac:dyDescent="0.2">
      <c r="A4447" s="26"/>
      <c r="B4447" s="26"/>
      <c r="C4447" s="26"/>
      <c r="D4447" s="26"/>
      <c r="E4447" s="26"/>
      <c r="F4447" s="26"/>
      <c r="G4447" s="26"/>
      <c r="H4447" s="26"/>
      <c r="I4447" s="26"/>
      <c r="J4447" s="26"/>
      <c r="K4447" s="26"/>
      <c r="L4447" s="26"/>
      <c r="M4447" s="26"/>
      <c r="N4447" s="26"/>
      <c r="O4447" s="14" t="str">
        <f>HYPERLINK("https://otsuka-europe-crm.veevavault.com/ui/#object/email_activity__v/V8C000000049490", "EN-002105777")</f>
        <v>EN-002105777</v>
      </c>
    </row>
    <row r="4448" spans="1:15" ht="16" x14ac:dyDescent="0.2">
      <c r="A4448" s="26"/>
      <c r="B4448" s="26"/>
      <c r="C4448" s="26"/>
      <c r="D4448" s="26"/>
      <c r="E4448" s="26"/>
      <c r="F4448" s="26"/>
      <c r="G4448" s="26"/>
      <c r="H4448" s="26"/>
      <c r="I4448" s="26"/>
      <c r="J4448" s="26"/>
      <c r="K4448" s="26"/>
      <c r="L4448" s="26"/>
      <c r="M4448" s="26"/>
      <c r="N4448" s="26"/>
      <c r="O4448" s="14" t="str">
        <f>HYPERLINK("https://otsuka-europe-crm.veevavault.com/ui/#object/email_activity__v/V8C000000049501", "EN-002105788")</f>
        <v>EN-002105788</v>
      </c>
    </row>
    <row r="4449" spans="1:15" ht="16" x14ac:dyDescent="0.2">
      <c r="A4449" s="26"/>
      <c r="B4449" s="26"/>
      <c r="C4449" s="26"/>
      <c r="D4449" s="26"/>
      <c r="E4449" s="26"/>
      <c r="F4449" s="26"/>
      <c r="G4449" s="26"/>
      <c r="H4449" s="26"/>
      <c r="I4449" s="26"/>
      <c r="J4449" s="26"/>
      <c r="K4449" s="26"/>
      <c r="L4449" s="26"/>
      <c r="M4449" s="26"/>
      <c r="N4449" s="26"/>
      <c r="O4449" s="14" t="str">
        <f>HYPERLINK("https://otsuka-europe-crm.veevavault.com/ui/#object/email_activity__v/V8C00000004A368", "EN-002105672")</f>
        <v>EN-002105672</v>
      </c>
    </row>
    <row r="4450" spans="1:15" ht="16" x14ac:dyDescent="0.2">
      <c r="A4450" s="26"/>
      <c r="B4450" s="26"/>
      <c r="C4450" s="26"/>
      <c r="D4450" s="26"/>
      <c r="E4450" s="26"/>
      <c r="F4450" s="26"/>
      <c r="G4450" s="26"/>
      <c r="H4450" s="26"/>
      <c r="I4450" s="26"/>
      <c r="J4450" s="26"/>
      <c r="K4450" s="26"/>
      <c r="L4450" s="26"/>
      <c r="M4450" s="26"/>
      <c r="N4450" s="26"/>
      <c r="O4450" s="14" t="str">
        <f>HYPERLINK("https://otsuka-europe-crm.veevavault.com/ui/#object/email_activity__v/V8C00000004A369", "EN-002105673")</f>
        <v>EN-002105673</v>
      </c>
    </row>
    <row r="4451" spans="1:15" ht="16" x14ac:dyDescent="0.2">
      <c r="A4451" s="26"/>
      <c r="B4451" s="26"/>
      <c r="C4451" s="26"/>
      <c r="D4451" s="26"/>
      <c r="E4451" s="26"/>
      <c r="F4451" s="26"/>
      <c r="G4451" s="26"/>
      <c r="H4451" s="26"/>
      <c r="I4451" s="26"/>
      <c r="J4451" s="26"/>
      <c r="K4451" s="26"/>
      <c r="L4451" s="26"/>
      <c r="M4451" s="26"/>
      <c r="N4451" s="26"/>
      <c r="O4451" s="14" t="str">
        <f>HYPERLINK("https://otsuka-europe-crm.veevavault.com/ui/#object/email_activity__v/V8C00000004A377", "EN-002105691")</f>
        <v>EN-002105691</v>
      </c>
    </row>
    <row r="4452" spans="1:15" ht="16" x14ac:dyDescent="0.2">
      <c r="A4452" s="19"/>
      <c r="B4452" s="19"/>
      <c r="C4452" s="19"/>
      <c r="D4452" s="19"/>
      <c r="E4452" s="19"/>
      <c r="F4452" s="19"/>
      <c r="G4452" s="19"/>
      <c r="H4452" s="19"/>
      <c r="I4452" s="19"/>
      <c r="J4452" s="19"/>
      <c r="K4452" s="19"/>
      <c r="L4452" s="19"/>
      <c r="M4452" s="19"/>
      <c r="N4452" s="19"/>
      <c r="O4452" s="14" t="str">
        <f>HYPERLINK("https://otsuka-europe-crm.veevavault.com/ui/#object/email_activity__v/V8C00000004A464", "EN-002105861")</f>
        <v>EN-002105861</v>
      </c>
    </row>
    <row r="4453" spans="1:15" ht="16" x14ac:dyDescent="0.2">
      <c r="A4453" s="18" t="str">
        <f>HYPERLINK("https://otsuka-europe-crm.veevavault.com/ui/#object/account__v/V4TZ06G6OBI68PD", "Helmut Forstbauer")</f>
        <v>Helmut Forstbauer</v>
      </c>
      <c r="B4453" s="18" t="str">
        <f>HYPERLINK("https://otsuka-europe-crm.veevavault.com/ui/#object/vcountry__v/VENZ000004SONFP", "DE")</f>
        <v>DE</v>
      </c>
      <c r="C4453" s="20" t="s">
        <v>43</v>
      </c>
      <c r="D4453" s="21" t="str">
        <f>HYPERLINK("https://otsuka-europe-crm.veevavault.com/ui/#object/approved_document__v/V5O00000001W001", "INA VAE DE – Zulassung INAQOVI Venetoclax")</f>
        <v>INA VAE DE – Zulassung INAQOVI Venetoclax</v>
      </c>
      <c r="E4453" s="22" t="str">
        <f>HYPERLINK("https://otsuka-europe-crm.veevavault.com/ui/#object/sent_email__v/VBL000000037200", "SE-001443843")</f>
        <v>SE-001443843</v>
      </c>
      <c r="F4453" s="25">
        <v>46217.284247685187</v>
      </c>
      <c r="G4453" s="24">
        <v>1</v>
      </c>
      <c r="H4453" s="24">
        <v>1</v>
      </c>
      <c r="I4453" s="24">
        <v>0</v>
      </c>
      <c r="J4453" s="23"/>
      <c r="K4453" s="24">
        <v>0</v>
      </c>
      <c r="L4453" s="22" t="str">
        <f>HYPERLINK("https://otsuka-europe-crm.veevavault.com/ui/#object/approved_document__v/V5O00000001W001", "INA VAE DE – Zulassung INAQOVI Venetoclax")</f>
        <v>INA VAE DE – Zulassung INAQOVI Venetoclax</v>
      </c>
      <c r="M4453" s="22" t="str">
        <f>HYPERLINK("mailto:skiefer@crm.otsuka-europe.com", "skiefer@crm.otsuka-europe.com")</f>
        <v>skiefer@crm.otsuka-europe.com</v>
      </c>
      <c r="N4453" s="25">
        <v>46216.724363425928</v>
      </c>
      <c r="O4453" s="14" t="str">
        <f>HYPERLINK("https://otsuka-europe-crm.veevavault.com/ui/#object/email_activity__v/V8C00000004A331", "EN-002105629")</f>
        <v>EN-002105629</v>
      </c>
    </row>
    <row r="4454" spans="1:15" ht="16" x14ac:dyDescent="0.2">
      <c r="A4454" s="19"/>
      <c r="B4454" s="19"/>
      <c r="C4454" s="19"/>
      <c r="D4454" s="19"/>
      <c r="E4454" s="19"/>
      <c r="F4454" s="19"/>
      <c r="G4454" s="19"/>
      <c r="H4454" s="19"/>
      <c r="I4454" s="19"/>
      <c r="J4454" s="19"/>
      <c r="K4454" s="19"/>
      <c r="L4454" s="19"/>
      <c r="M4454" s="19"/>
      <c r="N4454" s="19"/>
      <c r="O4454" s="14" t="str">
        <f>HYPERLINK("https://otsuka-europe-crm.veevavault.com/ui/#object/email_activity__v/V8C00000004A417", "EN-002105764")</f>
        <v>EN-002105764</v>
      </c>
    </row>
    <row r="4455" spans="1:15" ht="16" x14ac:dyDescent="0.2">
      <c r="A4455" s="18" t="str">
        <f>HYPERLINK("https://otsuka-europe-crm.veevavault.com/ui/#object/account__v/V4T000000016031", "Sebastian Wolf")</f>
        <v>Sebastian Wolf</v>
      </c>
      <c r="B4455" s="18" t="str">
        <f>HYPERLINK("https://otsuka-europe-crm.veevavault.com/ui/#object/vcountry__v/VENZ000004SONFP", "DE")</f>
        <v>DE</v>
      </c>
      <c r="C4455" s="20" t="s">
        <v>43</v>
      </c>
      <c r="D4455" s="21" t="str">
        <f>HYPERLINK("https://otsuka-europe-crm.veevavault.com/ui/#object/approved_document__v/V5O00000001W001", "INA VAE DE – Zulassung INAQOVI Venetoclax")</f>
        <v>INA VAE DE – Zulassung INAQOVI Venetoclax</v>
      </c>
      <c r="E4455" s="22" t="str">
        <f>HYPERLINK("https://otsuka-europe-crm.veevavault.com/ui/#object/sent_email__v/VBL000000037201", "SE-001443844")</f>
        <v>SE-001443844</v>
      </c>
      <c r="F4455" s="25">
        <v>46233.358425925922</v>
      </c>
      <c r="G4455" s="24">
        <v>1</v>
      </c>
      <c r="H4455" s="24">
        <v>24</v>
      </c>
      <c r="I4455" s="24">
        <v>0</v>
      </c>
      <c r="J4455" s="23"/>
      <c r="K4455" s="24">
        <v>0</v>
      </c>
      <c r="L4455" s="22" t="str">
        <f>HYPERLINK("https://otsuka-europe-crm.veevavault.com/ui/#object/approved_document__v/V5O00000001W001", "INA VAE DE – Zulassung INAQOVI Venetoclax")</f>
        <v>INA VAE DE – Zulassung INAQOVI Venetoclax</v>
      </c>
      <c r="M4455" s="22" t="str">
        <f>HYPERLINK("mailto:skiefer@crm.otsuka-europe.com", "skiefer@crm.otsuka-europe.com")</f>
        <v>skiefer@crm.otsuka-europe.com</v>
      </c>
      <c r="N4455" s="25">
        <v>46216.724363425928</v>
      </c>
      <c r="O4455" s="14" t="str">
        <f>HYPERLINK("https://otsuka-europe-crm.veevavault.com/ui/#object/email_activity__v/V8C000000049422", "EN-002105612")</f>
        <v>EN-002105612</v>
      </c>
    </row>
    <row r="4456" spans="1:15" ht="16" x14ac:dyDescent="0.2">
      <c r="A4456" s="26"/>
      <c r="B4456" s="26"/>
      <c r="C4456" s="26"/>
      <c r="D4456" s="26"/>
      <c r="E4456" s="26"/>
      <c r="F4456" s="26"/>
      <c r="G4456" s="26"/>
      <c r="H4456" s="26"/>
      <c r="I4456" s="26"/>
      <c r="J4456" s="26"/>
      <c r="K4456" s="26"/>
      <c r="L4456" s="26"/>
      <c r="M4456" s="26"/>
      <c r="N4456" s="26"/>
      <c r="O4456" s="14" t="str">
        <f>HYPERLINK("https://otsuka-europe-crm.veevavault.com/ui/#object/email_activity__v/V8C000000049509", "EN-002105801")</f>
        <v>EN-002105801</v>
      </c>
    </row>
    <row r="4457" spans="1:15" ht="16" x14ac:dyDescent="0.2">
      <c r="A4457" s="26"/>
      <c r="B4457" s="26"/>
      <c r="C4457" s="26"/>
      <c r="D4457" s="26"/>
      <c r="E4457" s="26"/>
      <c r="F4457" s="26"/>
      <c r="G4457" s="26"/>
      <c r="H4457" s="26"/>
      <c r="I4457" s="26"/>
      <c r="J4457" s="26"/>
      <c r="K4457" s="26"/>
      <c r="L4457" s="26"/>
      <c r="M4457" s="26"/>
      <c r="N4457" s="26"/>
      <c r="O4457" s="14" t="str">
        <f>HYPERLINK("https://otsuka-europe-crm.veevavault.com/ui/#object/email_activity__v/V8C00000004A427", "EN-002105802")</f>
        <v>EN-002105802</v>
      </c>
    </row>
    <row r="4458" spans="1:15" ht="16" x14ac:dyDescent="0.2">
      <c r="A4458" s="26"/>
      <c r="B4458" s="26"/>
      <c r="C4458" s="26"/>
      <c r="D4458" s="26"/>
      <c r="E4458" s="26"/>
      <c r="F4458" s="26"/>
      <c r="G4458" s="26"/>
      <c r="H4458" s="26"/>
      <c r="I4458" s="26"/>
      <c r="J4458" s="26"/>
      <c r="K4458" s="26"/>
      <c r="L4458" s="26"/>
      <c r="M4458" s="26"/>
      <c r="N4458" s="26"/>
      <c r="O4458" s="14" t="str">
        <f>HYPERLINK("https://otsuka-europe-crm.veevavault.com/ui/#object/email_activity__v/V8C00000004A450", "EN-002105840")</f>
        <v>EN-002105840</v>
      </c>
    </row>
    <row r="4459" spans="1:15" ht="16" x14ac:dyDescent="0.2">
      <c r="A4459" s="26"/>
      <c r="B4459" s="26"/>
      <c r="C4459" s="26"/>
      <c r="D4459" s="26"/>
      <c r="E4459" s="26"/>
      <c r="F4459" s="26"/>
      <c r="G4459" s="26"/>
      <c r="H4459" s="26"/>
      <c r="I4459" s="26"/>
      <c r="J4459" s="26"/>
      <c r="K4459" s="26"/>
      <c r="L4459" s="26"/>
      <c r="M4459" s="26"/>
      <c r="N4459" s="26"/>
      <c r="O4459" s="14" t="str">
        <f>HYPERLINK("https://otsuka-europe-crm.veevavault.com/ui/#object/email_activity__v/V8C00000004D638", "EN-002109367")</f>
        <v>EN-002109367</v>
      </c>
    </row>
    <row r="4460" spans="1:15" ht="16" x14ac:dyDescent="0.2">
      <c r="A4460" s="26"/>
      <c r="B4460" s="26"/>
      <c r="C4460" s="26"/>
      <c r="D4460" s="26"/>
      <c r="E4460" s="26"/>
      <c r="F4460" s="26"/>
      <c r="G4460" s="26"/>
      <c r="H4460" s="26"/>
      <c r="I4460" s="26"/>
      <c r="J4460" s="26"/>
      <c r="K4460" s="26"/>
      <c r="L4460" s="26"/>
      <c r="M4460" s="26"/>
      <c r="N4460" s="26"/>
      <c r="O4460" s="14" t="str">
        <f>HYPERLINK("https://otsuka-europe-crm.veevavault.com/ui/#object/email_activity__v/V8C00000004D639", "EN-002109368")</f>
        <v>EN-002109368</v>
      </c>
    </row>
    <row r="4461" spans="1:15" ht="16" x14ac:dyDescent="0.2">
      <c r="A4461" s="26"/>
      <c r="B4461" s="26"/>
      <c r="C4461" s="26"/>
      <c r="D4461" s="26"/>
      <c r="E4461" s="26"/>
      <c r="F4461" s="26"/>
      <c r="G4461" s="26"/>
      <c r="H4461" s="26"/>
      <c r="I4461" s="26"/>
      <c r="J4461" s="26"/>
      <c r="K4461" s="26"/>
      <c r="L4461" s="26"/>
      <c r="M4461" s="26"/>
      <c r="N4461" s="26"/>
      <c r="O4461" s="14" t="str">
        <f>HYPERLINK("https://otsuka-europe-crm.veevavault.com/ui/#object/email_activity__v/V8C00000004D640", "EN-002109369")</f>
        <v>EN-002109369</v>
      </c>
    </row>
    <row r="4462" spans="1:15" ht="16" x14ac:dyDescent="0.2">
      <c r="A4462" s="26"/>
      <c r="B4462" s="26"/>
      <c r="C4462" s="26"/>
      <c r="D4462" s="26"/>
      <c r="E4462" s="26"/>
      <c r="F4462" s="26"/>
      <c r="G4462" s="26"/>
      <c r="H4462" s="26"/>
      <c r="I4462" s="26"/>
      <c r="J4462" s="26"/>
      <c r="K4462" s="26"/>
      <c r="L4462" s="26"/>
      <c r="M4462" s="26"/>
      <c r="N4462" s="26"/>
      <c r="O4462" s="14" t="str">
        <f>HYPERLINK("https://otsuka-europe-crm.veevavault.com/ui/#object/email_activity__v/V8C00000004D641", "EN-002109370")</f>
        <v>EN-002109370</v>
      </c>
    </row>
    <row r="4463" spans="1:15" ht="16" x14ac:dyDescent="0.2">
      <c r="A4463" s="26"/>
      <c r="B4463" s="26"/>
      <c r="C4463" s="26"/>
      <c r="D4463" s="26"/>
      <c r="E4463" s="26"/>
      <c r="F4463" s="26"/>
      <c r="G4463" s="26"/>
      <c r="H4463" s="26"/>
      <c r="I4463" s="26"/>
      <c r="J4463" s="26"/>
      <c r="K4463" s="26"/>
      <c r="L4463" s="26"/>
      <c r="M4463" s="26"/>
      <c r="N4463" s="26"/>
      <c r="O4463" s="14" t="str">
        <f>HYPERLINK("https://otsuka-europe-crm.veevavault.com/ui/#object/email_activity__v/V8C00000004D646", "EN-002109385")</f>
        <v>EN-002109385</v>
      </c>
    </row>
    <row r="4464" spans="1:15" ht="16" x14ac:dyDescent="0.2">
      <c r="A4464" s="26"/>
      <c r="B4464" s="26"/>
      <c r="C4464" s="26"/>
      <c r="D4464" s="26"/>
      <c r="E4464" s="26"/>
      <c r="F4464" s="26"/>
      <c r="G4464" s="26"/>
      <c r="H4464" s="26"/>
      <c r="I4464" s="26"/>
      <c r="J4464" s="26"/>
      <c r="K4464" s="26"/>
      <c r="L4464" s="26"/>
      <c r="M4464" s="26"/>
      <c r="N4464" s="26"/>
      <c r="O4464" s="14" t="str">
        <f>HYPERLINK("https://otsuka-europe-crm.veevavault.com/ui/#object/email_activity__v/V8C00000004D647", "EN-002109386")</f>
        <v>EN-002109386</v>
      </c>
    </row>
    <row r="4465" spans="1:15" ht="16" x14ac:dyDescent="0.2">
      <c r="A4465" s="26"/>
      <c r="B4465" s="26"/>
      <c r="C4465" s="26"/>
      <c r="D4465" s="26"/>
      <c r="E4465" s="26"/>
      <c r="F4465" s="26"/>
      <c r="G4465" s="26"/>
      <c r="H4465" s="26"/>
      <c r="I4465" s="26"/>
      <c r="J4465" s="26"/>
      <c r="K4465" s="26"/>
      <c r="L4465" s="26"/>
      <c r="M4465" s="26"/>
      <c r="N4465" s="26"/>
      <c r="O4465" s="14" t="str">
        <f>HYPERLINK("https://otsuka-europe-crm.veevavault.com/ui/#object/email_activity__v/V8C00000004D655", "EN-002109410")</f>
        <v>EN-002109410</v>
      </c>
    </row>
    <row r="4466" spans="1:15" ht="16" x14ac:dyDescent="0.2">
      <c r="A4466" s="26"/>
      <c r="B4466" s="26"/>
      <c r="C4466" s="26"/>
      <c r="D4466" s="26"/>
      <c r="E4466" s="26"/>
      <c r="F4466" s="26"/>
      <c r="G4466" s="26"/>
      <c r="H4466" s="26"/>
      <c r="I4466" s="26"/>
      <c r="J4466" s="26"/>
      <c r="K4466" s="26"/>
      <c r="L4466" s="26"/>
      <c r="M4466" s="26"/>
      <c r="N4466" s="26"/>
      <c r="O4466" s="14" t="str">
        <f>HYPERLINK("https://otsuka-europe-crm.veevavault.com/ui/#object/email_activity__v/V8C00000004D659", "EN-002109420")</f>
        <v>EN-002109420</v>
      </c>
    </row>
    <row r="4467" spans="1:15" ht="16" x14ac:dyDescent="0.2">
      <c r="A4467" s="26"/>
      <c r="B4467" s="26"/>
      <c r="C4467" s="26"/>
      <c r="D4467" s="26"/>
      <c r="E4467" s="26"/>
      <c r="F4467" s="26"/>
      <c r="G4467" s="26"/>
      <c r="H4467" s="26"/>
      <c r="I4467" s="26"/>
      <c r="J4467" s="26"/>
      <c r="K4467" s="26"/>
      <c r="L4467" s="26"/>
      <c r="M4467" s="26"/>
      <c r="N4467" s="26"/>
      <c r="O4467" s="14" t="str">
        <f>HYPERLINK("https://otsuka-europe-crm.veevavault.com/ui/#object/email_activity__v/V8C00000004D660", "EN-002109421")</f>
        <v>EN-002109421</v>
      </c>
    </row>
    <row r="4468" spans="1:15" ht="16" x14ac:dyDescent="0.2">
      <c r="A4468" s="26"/>
      <c r="B4468" s="26"/>
      <c r="C4468" s="26"/>
      <c r="D4468" s="26"/>
      <c r="E4468" s="26"/>
      <c r="F4468" s="26"/>
      <c r="G4468" s="26"/>
      <c r="H4468" s="26"/>
      <c r="I4468" s="26"/>
      <c r="J4468" s="26"/>
      <c r="K4468" s="26"/>
      <c r="L4468" s="26"/>
      <c r="M4468" s="26"/>
      <c r="N4468" s="26"/>
      <c r="O4468" s="14" t="str">
        <f>HYPERLINK("https://otsuka-europe-crm.veevavault.com/ui/#object/email_activity__v/V8C00000004D662", "EN-002109423")</f>
        <v>EN-002109423</v>
      </c>
    </row>
    <row r="4469" spans="1:15" ht="16" x14ac:dyDescent="0.2">
      <c r="A4469" s="26"/>
      <c r="B4469" s="26"/>
      <c r="C4469" s="26"/>
      <c r="D4469" s="26"/>
      <c r="E4469" s="26"/>
      <c r="F4469" s="26"/>
      <c r="G4469" s="26"/>
      <c r="H4469" s="26"/>
      <c r="I4469" s="26"/>
      <c r="J4469" s="26"/>
      <c r="K4469" s="26"/>
      <c r="L4469" s="26"/>
      <c r="M4469" s="26"/>
      <c r="N4469" s="26"/>
      <c r="O4469" s="14" t="str">
        <f>HYPERLINK("https://otsuka-europe-crm.veevavault.com/ui/#object/email_activity__v/V8C00000004E522", "EN-002109387")</f>
        <v>EN-002109387</v>
      </c>
    </row>
    <row r="4470" spans="1:15" ht="16" x14ac:dyDescent="0.2">
      <c r="A4470" s="26"/>
      <c r="B4470" s="26"/>
      <c r="C4470" s="26"/>
      <c r="D4470" s="26"/>
      <c r="E4470" s="26"/>
      <c r="F4470" s="26"/>
      <c r="G4470" s="26"/>
      <c r="H4470" s="26"/>
      <c r="I4470" s="26"/>
      <c r="J4470" s="26"/>
      <c r="K4470" s="26"/>
      <c r="L4470" s="26"/>
      <c r="M4470" s="26"/>
      <c r="N4470" s="26"/>
      <c r="O4470" s="14" t="str">
        <f>HYPERLINK("https://otsuka-europe-crm.veevavault.com/ui/#object/email_activity__v/V8C00000004E523", "EN-002109388")</f>
        <v>EN-002109388</v>
      </c>
    </row>
    <row r="4471" spans="1:15" ht="16" x14ac:dyDescent="0.2">
      <c r="A4471" s="26"/>
      <c r="B4471" s="26"/>
      <c r="C4471" s="26"/>
      <c r="D4471" s="26"/>
      <c r="E4471" s="26"/>
      <c r="F4471" s="26"/>
      <c r="G4471" s="26"/>
      <c r="H4471" s="26"/>
      <c r="I4471" s="26"/>
      <c r="J4471" s="26"/>
      <c r="K4471" s="26"/>
      <c r="L4471" s="26"/>
      <c r="M4471" s="26"/>
      <c r="N4471" s="26"/>
      <c r="O4471" s="14" t="str">
        <f>HYPERLINK("https://otsuka-europe-crm.veevavault.com/ui/#object/email_activity__v/V8C00000004E525", "EN-002109390")</f>
        <v>EN-002109390</v>
      </c>
    </row>
    <row r="4472" spans="1:15" ht="16" x14ac:dyDescent="0.2">
      <c r="A4472" s="26"/>
      <c r="B4472" s="26"/>
      <c r="C4472" s="26"/>
      <c r="D4472" s="26"/>
      <c r="E4472" s="26"/>
      <c r="F4472" s="26"/>
      <c r="G4472" s="26"/>
      <c r="H4472" s="26"/>
      <c r="I4472" s="26"/>
      <c r="J4472" s="26"/>
      <c r="K4472" s="26"/>
      <c r="L4472" s="26"/>
      <c r="M4472" s="26"/>
      <c r="N4472" s="26"/>
      <c r="O4472" s="14" t="str">
        <f>HYPERLINK("https://otsuka-europe-crm.veevavault.com/ui/#object/email_activity__v/V8C00000004E530", "EN-002109398")</f>
        <v>EN-002109398</v>
      </c>
    </row>
    <row r="4473" spans="1:15" ht="16" x14ac:dyDescent="0.2">
      <c r="A4473" s="26"/>
      <c r="B4473" s="26"/>
      <c r="C4473" s="26"/>
      <c r="D4473" s="26"/>
      <c r="E4473" s="26"/>
      <c r="F4473" s="26"/>
      <c r="G4473" s="26"/>
      <c r="H4473" s="26"/>
      <c r="I4473" s="26"/>
      <c r="J4473" s="26"/>
      <c r="K4473" s="26"/>
      <c r="L4473" s="26"/>
      <c r="M4473" s="26"/>
      <c r="N4473" s="26"/>
      <c r="O4473" s="14" t="str">
        <f>HYPERLINK("https://otsuka-europe-crm.veevavault.com/ui/#object/email_activity__v/V8C00000004E540", "EN-002109415")</f>
        <v>EN-002109415</v>
      </c>
    </row>
    <row r="4474" spans="1:15" ht="16" x14ac:dyDescent="0.2">
      <c r="A4474" s="26"/>
      <c r="B4474" s="26"/>
      <c r="C4474" s="26"/>
      <c r="D4474" s="26"/>
      <c r="E4474" s="26"/>
      <c r="F4474" s="26"/>
      <c r="G4474" s="26"/>
      <c r="H4474" s="26"/>
      <c r="I4474" s="26"/>
      <c r="J4474" s="26"/>
      <c r="K4474" s="26"/>
      <c r="L4474" s="26"/>
      <c r="M4474" s="26"/>
      <c r="N4474" s="26"/>
      <c r="O4474" s="14" t="str">
        <f>HYPERLINK("https://otsuka-europe-crm.veevavault.com/ui/#object/email_activity__v/V8C00000004E542", "EN-002109417")</f>
        <v>EN-002109417</v>
      </c>
    </row>
    <row r="4475" spans="1:15" ht="16" x14ac:dyDescent="0.2">
      <c r="A4475" s="26"/>
      <c r="B4475" s="26"/>
      <c r="C4475" s="26"/>
      <c r="D4475" s="26"/>
      <c r="E4475" s="26"/>
      <c r="F4475" s="26"/>
      <c r="G4475" s="26"/>
      <c r="H4475" s="26"/>
      <c r="I4475" s="26"/>
      <c r="J4475" s="26"/>
      <c r="K4475" s="26"/>
      <c r="L4475" s="26"/>
      <c r="M4475" s="26"/>
      <c r="N4475" s="26"/>
      <c r="O4475" s="14" t="str">
        <f>HYPERLINK("https://otsuka-europe-crm.veevavault.com/ui/#object/email_activity__v/V8C00000004E543", "EN-002109418")</f>
        <v>EN-002109418</v>
      </c>
    </row>
    <row r="4476" spans="1:15" ht="16" x14ac:dyDescent="0.2">
      <c r="A4476" s="26"/>
      <c r="B4476" s="26"/>
      <c r="C4476" s="26"/>
      <c r="D4476" s="26"/>
      <c r="E4476" s="26"/>
      <c r="F4476" s="26"/>
      <c r="G4476" s="26"/>
      <c r="H4476" s="26"/>
      <c r="I4476" s="26"/>
      <c r="J4476" s="26"/>
      <c r="K4476" s="26"/>
      <c r="L4476" s="26"/>
      <c r="M4476" s="26"/>
      <c r="N4476" s="26"/>
      <c r="O4476" s="14" t="str">
        <f>HYPERLINK("https://otsuka-europe-crm.veevavault.com/ui/#object/email_activity__v/V8C00000004E548", "EN-002109434")</f>
        <v>EN-002109434</v>
      </c>
    </row>
    <row r="4477" spans="1:15" ht="16" x14ac:dyDescent="0.2">
      <c r="A4477" s="26"/>
      <c r="B4477" s="26"/>
      <c r="C4477" s="26"/>
      <c r="D4477" s="26"/>
      <c r="E4477" s="26"/>
      <c r="F4477" s="26"/>
      <c r="G4477" s="26"/>
      <c r="H4477" s="26"/>
      <c r="I4477" s="26"/>
      <c r="J4477" s="26"/>
      <c r="K4477" s="26"/>
      <c r="L4477" s="26"/>
      <c r="M4477" s="26"/>
      <c r="N4477" s="26"/>
      <c r="O4477" s="14" t="str">
        <f>HYPERLINK("https://otsuka-europe-crm.veevavault.com/ui/#object/email_activity__v/V8C00000004E549", "EN-002109435")</f>
        <v>EN-002109435</v>
      </c>
    </row>
    <row r="4478" spans="1:15" ht="16" x14ac:dyDescent="0.2">
      <c r="A4478" s="26"/>
      <c r="B4478" s="26"/>
      <c r="C4478" s="26"/>
      <c r="D4478" s="26"/>
      <c r="E4478" s="26"/>
      <c r="F4478" s="26"/>
      <c r="G4478" s="26"/>
      <c r="H4478" s="26"/>
      <c r="I4478" s="26"/>
      <c r="J4478" s="26"/>
      <c r="K4478" s="26"/>
      <c r="L4478" s="26"/>
      <c r="M4478" s="26"/>
      <c r="N4478" s="26"/>
      <c r="O4478" s="14" t="str">
        <f>HYPERLINK("https://otsuka-europe-crm.veevavault.com/ui/#object/email_activity__v/V8C00000004E551", "EN-002109437")</f>
        <v>EN-002109437</v>
      </c>
    </row>
    <row r="4479" spans="1:15" ht="16" x14ac:dyDescent="0.2">
      <c r="A4479" s="26"/>
      <c r="B4479" s="26"/>
      <c r="C4479" s="26"/>
      <c r="D4479" s="26"/>
      <c r="E4479" s="26"/>
      <c r="F4479" s="26"/>
      <c r="G4479" s="26"/>
      <c r="H4479" s="26"/>
      <c r="I4479" s="26"/>
      <c r="J4479" s="26"/>
      <c r="K4479" s="26"/>
      <c r="L4479" s="26"/>
      <c r="M4479" s="26"/>
      <c r="N4479" s="26"/>
      <c r="O4479" s="14" t="str">
        <f>HYPERLINK("https://otsuka-europe-crm.veevavault.com/ui/#object/email_activity__v/V8C00000004E650", "EN-002109622")</f>
        <v>EN-002109622</v>
      </c>
    </row>
    <row r="4480" spans="1:15" ht="16" x14ac:dyDescent="0.2">
      <c r="A4480" s="19"/>
      <c r="B4480" s="19"/>
      <c r="C4480" s="19"/>
      <c r="D4480" s="19"/>
      <c r="E4480" s="19"/>
      <c r="F4480" s="19"/>
      <c r="G4480" s="19"/>
      <c r="H4480" s="19"/>
      <c r="I4480" s="19"/>
      <c r="J4480" s="19"/>
      <c r="K4480" s="19"/>
      <c r="L4480" s="19"/>
      <c r="M4480" s="19"/>
      <c r="N4480" s="19"/>
      <c r="O4480" s="14" t="str">
        <f>HYPERLINK("https://otsuka-europe-crm.veevavault.com/ui/#object/email_activity__v/V8C00000004F008", "EN-002109800")</f>
        <v>EN-002109800</v>
      </c>
    </row>
    <row r="4481" spans="1:15" ht="32" x14ac:dyDescent="0.2">
      <c r="A4481" s="7" t="str">
        <f>HYPERLINK("https://otsuka-europe-crm.veevavault.com/ui/#object/account__v/V4TZ0000062TAA9", "Lino Teichmann")</f>
        <v>Lino Teichmann</v>
      </c>
      <c r="B4481" s="7" t="str">
        <f>HYPERLINK("https://otsuka-europe-crm.veevavault.com/ui/#object/vcountry__v/VENZ000004SONFP", "DE")</f>
        <v>DE</v>
      </c>
      <c r="C4481" s="8" t="s">
        <v>43</v>
      </c>
      <c r="D4481" s="9" t="str">
        <f>HYPERLINK("https://otsuka-europe-crm.veevavault.com/ui/#object/approved_document__v/V5O00000001W001", "INA VAE DE – Zulassung INAQOVI Venetoclax")</f>
        <v>INA VAE DE – Zulassung INAQOVI Venetoclax</v>
      </c>
      <c r="E4481" s="10" t="str">
        <f>HYPERLINK("https://otsuka-europe-crm.veevavault.com/ui/#object/sent_email__v/VBL000000037202", "SE-001443845")</f>
        <v>SE-001443845</v>
      </c>
      <c r="F4481" s="11"/>
      <c r="G4481" s="12">
        <v>0</v>
      </c>
      <c r="H4481" s="12">
        <v>0</v>
      </c>
      <c r="I4481" s="12">
        <v>0</v>
      </c>
      <c r="J4481" s="11"/>
      <c r="K4481" s="12">
        <v>0</v>
      </c>
      <c r="L4481" s="10" t="str">
        <f>HYPERLINK("https://otsuka-europe-crm.veevavault.com/ui/#object/approved_document__v/V5O00000001W001", "INA VAE DE – Zulassung INAQOVI Venetoclax")</f>
        <v>INA VAE DE – Zulassung INAQOVI Venetoclax</v>
      </c>
      <c r="M4481" s="10" t="str">
        <f>HYPERLINK("mailto:skiefer@crm.otsuka-europe.com", "skiefer@crm.otsuka-europe.com")</f>
        <v>skiefer@crm.otsuka-europe.com</v>
      </c>
      <c r="N4481" s="13">
        <v>46216.724317129629</v>
      </c>
      <c r="O4481" s="14" t="str">
        <f>HYPERLINK("https://otsuka-europe-crm.veevavault.com/ui/#object/email_activity__v/V8C00000004A330", "EN-002105628")</f>
        <v>EN-002105628</v>
      </c>
    </row>
    <row r="4482" spans="1:15" ht="32" x14ac:dyDescent="0.2">
      <c r="A4482" s="7" t="str">
        <f>HYPERLINK("https://otsuka-europe-crm.veevavault.com/ui/#object/account__v/V4TZ06G6OBI6AKW", "Vasile Marcu")</f>
        <v>Vasile Marcu</v>
      </c>
      <c r="B4482" s="7" t="str">
        <f>HYPERLINK("https://otsuka-europe-crm.veevavault.com/ui/#object/vcountry__v/VENZ000004SONFP", "DE")</f>
        <v>DE</v>
      </c>
      <c r="C4482" s="8" t="s">
        <v>43</v>
      </c>
      <c r="D4482" s="9" t="str">
        <f>HYPERLINK("https://otsuka-europe-crm.veevavault.com/ui/#object/approved_document__v/V5O00000001W001", "INA VAE DE – Zulassung INAQOVI Venetoclax")</f>
        <v>INA VAE DE – Zulassung INAQOVI Venetoclax</v>
      </c>
      <c r="E4482" s="10" t="str">
        <f>HYPERLINK("https://otsuka-europe-crm.veevavault.com/ui/#object/sent_email__v/VBL000000037203", "SE-001443846")</f>
        <v>SE-001443846</v>
      </c>
      <c r="F4482" s="11"/>
      <c r="G4482" s="12">
        <v>0</v>
      </c>
      <c r="H4482" s="12">
        <v>0</v>
      </c>
      <c r="I4482" s="12">
        <v>0</v>
      </c>
      <c r="J4482" s="11"/>
      <c r="K4482" s="12">
        <v>0</v>
      </c>
      <c r="L4482" s="10" t="str">
        <f>HYPERLINK("https://otsuka-europe-crm.veevavault.com/ui/#object/approved_document__v/V5O00000001W001", "INA VAE DE – Zulassung INAQOVI Venetoclax")</f>
        <v>INA VAE DE – Zulassung INAQOVI Venetoclax</v>
      </c>
      <c r="M4482" s="10" t="str">
        <f>HYPERLINK("mailto:skiefer@crm.otsuka-europe.com", "skiefer@crm.otsuka-europe.com")</f>
        <v>skiefer@crm.otsuka-europe.com</v>
      </c>
      <c r="N4482" s="13">
        <v>46216.724317129629</v>
      </c>
      <c r="O4482" s="14" t="str">
        <f>HYPERLINK("https://otsuka-europe-crm.veevavault.com/ui/#object/email_activity__v/V8C00000004A328", "EN-002105616")</f>
        <v>EN-002105616</v>
      </c>
    </row>
    <row r="4483" spans="1:15" ht="32" x14ac:dyDescent="0.2">
      <c r="A4483" s="7" t="str">
        <f>HYPERLINK("https://otsuka-europe-crm.veevavault.com/ui/#object/account__v/V4TZ00000634Y0P", "Georg Feldmann")</f>
        <v>Georg Feldmann</v>
      </c>
      <c r="B4483" s="7" t="str">
        <f>HYPERLINK("https://otsuka-europe-crm.veevavault.com/ui/#object/vcountry__v/VENZ000004SONFP", "DE")</f>
        <v>DE</v>
      </c>
      <c r="C4483" s="8" t="s">
        <v>43</v>
      </c>
      <c r="D4483" s="9" t="str">
        <f>HYPERLINK("https://otsuka-europe-crm.veevavault.com/ui/#object/approved_document__v/V5O00000001W001", "INA VAE DE – Zulassung INAQOVI Venetoclax")</f>
        <v>INA VAE DE – Zulassung INAQOVI Venetoclax</v>
      </c>
      <c r="E4483" s="10" t="str">
        <f>HYPERLINK("https://otsuka-europe-crm.veevavault.com/ui/#object/sent_email__v/VBL000000037204", "SE-001443847")</f>
        <v>SE-001443847</v>
      </c>
      <c r="F4483" s="11"/>
      <c r="G4483" s="12">
        <v>0</v>
      </c>
      <c r="H4483" s="12">
        <v>0</v>
      </c>
      <c r="I4483" s="12">
        <v>0</v>
      </c>
      <c r="J4483" s="11"/>
      <c r="K4483" s="12">
        <v>0</v>
      </c>
      <c r="L4483" s="10" t="str">
        <f>HYPERLINK("https://otsuka-europe-crm.veevavault.com/ui/#object/approved_document__v/V5O00000001W001", "INA VAE DE – Zulassung INAQOVI Venetoclax")</f>
        <v>INA VAE DE – Zulassung INAQOVI Venetoclax</v>
      </c>
      <c r="M4483" s="10" t="str">
        <f>HYPERLINK("mailto:skiefer@crm.otsuka-europe.com", "skiefer@crm.otsuka-europe.com")</f>
        <v>skiefer@crm.otsuka-europe.com</v>
      </c>
      <c r="N4483" s="13">
        <v>46216.724317129629</v>
      </c>
      <c r="O4483" s="14" t="str">
        <f>HYPERLINK("https://otsuka-europe-crm.veevavault.com/ui/#object/email_activity__v/V8C00000004A322", "EN-002105606")</f>
        <v>EN-002105606</v>
      </c>
    </row>
    <row r="4484" spans="1:15" ht="16" x14ac:dyDescent="0.2">
      <c r="A4484" s="18" t="str">
        <f>HYPERLINK("https://otsuka-europe-crm.veevavault.com/ui/#object/account__v/V4TZ00000634XWZ", "Andreas Diel")</f>
        <v>Andreas Diel</v>
      </c>
      <c r="B4484" s="18" t="str">
        <f>HYPERLINK("https://otsuka-europe-crm.veevavault.com/ui/#object/vcountry__v/VENZ000004SONFP", "DE")</f>
        <v>DE</v>
      </c>
      <c r="C4484" s="20" t="s">
        <v>43</v>
      </c>
      <c r="D4484" s="21" t="str">
        <f>HYPERLINK("https://otsuka-europe-crm.veevavault.com/ui/#object/approved_document__v/V5O00000001W001", "INA VAE DE – Zulassung INAQOVI Venetoclax")</f>
        <v>INA VAE DE – Zulassung INAQOVI Venetoclax</v>
      </c>
      <c r="E4484" s="22" t="str">
        <f>HYPERLINK("https://otsuka-europe-crm.veevavault.com/ui/#object/sent_email__v/VBL000000037205", "SE-001443848")</f>
        <v>SE-001443848</v>
      </c>
      <c r="F4484" s="25">
        <v>46217.286365740743</v>
      </c>
      <c r="G4484" s="24">
        <v>1</v>
      </c>
      <c r="H4484" s="24">
        <v>1</v>
      </c>
      <c r="I4484" s="24">
        <v>0</v>
      </c>
      <c r="J4484" s="23"/>
      <c r="K4484" s="24">
        <v>0</v>
      </c>
      <c r="L4484" s="22" t="str">
        <f>HYPERLINK("https://otsuka-europe-crm.veevavault.com/ui/#object/approved_document__v/V5O00000001W001", "INA VAE DE – Zulassung INAQOVI Venetoclax")</f>
        <v>INA VAE DE – Zulassung INAQOVI Venetoclax</v>
      </c>
      <c r="M4484" s="22" t="str">
        <f>HYPERLINK("mailto:skiefer@crm.otsuka-europe.com", "skiefer@crm.otsuka-europe.com")</f>
        <v>skiefer@crm.otsuka-europe.com</v>
      </c>
      <c r="N4484" s="25">
        <v>46216.724317129629</v>
      </c>
      <c r="O4484" s="14" t="str">
        <f>HYPERLINK("https://otsuka-europe-crm.veevavault.com/ui/#object/email_activity__v/V8C000000049423", "EN-002105617")</f>
        <v>EN-002105617</v>
      </c>
    </row>
    <row r="4485" spans="1:15" ht="16" x14ac:dyDescent="0.2">
      <c r="A4485" s="19"/>
      <c r="B4485" s="19"/>
      <c r="C4485" s="19"/>
      <c r="D4485" s="19"/>
      <c r="E4485" s="19"/>
      <c r="F4485" s="19"/>
      <c r="G4485" s="19"/>
      <c r="H4485" s="19"/>
      <c r="I4485" s="19"/>
      <c r="J4485" s="19"/>
      <c r="K4485" s="19"/>
      <c r="L4485" s="19"/>
      <c r="M4485" s="19"/>
      <c r="N4485" s="19"/>
      <c r="O4485" s="14" t="str">
        <f>HYPERLINK("https://otsuka-europe-crm.veevavault.com/ui/#object/email_activity__v/V8C000000049482", "EN-002105765")</f>
        <v>EN-002105765</v>
      </c>
    </row>
    <row r="4486" spans="1:15" ht="16" x14ac:dyDescent="0.2">
      <c r="A4486" s="18" t="str">
        <f>HYPERLINK("https://otsuka-europe-crm.veevavault.com/ui/#object/account__v/V4TZ06G6OBI645D", "Moritz Bewarder")</f>
        <v>Moritz Bewarder</v>
      </c>
      <c r="B4486" s="18" t="str">
        <f>HYPERLINK("https://otsuka-europe-crm.veevavault.com/ui/#object/vcountry__v/VENZ000004SONFP", "DE")</f>
        <v>DE</v>
      </c>
      <c r="C4486" s="20" t="s">
        <v>43</v>
      </c>
      <c r="D4486" s="21" t="str">
        <f>HYPERLINK("https://otsuka-europe-crm.veevavault.com/ui/#object/approved_document__v/V5O00000001W001", "INA VAE DE – Zulassung INAQOVI Venetoclax")</f>
        <v>INA VAE DE – Zulassung INAQOVI Venetoclax</v>
      </c>
      <c r="E4486" s="22" t="str">
        <f>HYPERLINK("https://otsuka-europe-crm.veevavault.com/ui/#object/sent_email__v/VBL000000037206", "SE-001443849")</f>
        <v>SE-001443849</v>
      </c>
      <c r="F4486" s="23"/>
      <c r="G4486" s="24">
        <v>0</v>
      </c>
      <c r="H4486" s="24">
        <v>0</v>
      </c>
      <c r="I4486" s="24">
        <v>0</v>
      </c>
      <c r="J4486" s="23"/>
      <c r="K4486" s="24">
        <v>0</v>
      </c>
      <c r="L4486" s="22" t="str">
        <f>HYPERLINK("https://otsuka-europe-crm.veevavault.com/ui/#object/approved_document__v/V5O00000001W001", "INA VAE DE – Zulassung INAQOVI Venetoclax")</f>
        <v>INA VAE DE – Zulassung INAQOVI Venetoclax</v>
      </c>
      <c r="M4486" s="22" t="str">
        <f>HYPERLINK("mailto:skiefer@crm.otsuka-europe.com", "skiefer@crm.otsuka-europe.com")</f>
        <v>skiefer@crm.otsuka-europe.com</v>
      </c>
      <c r="N4486" s="25">
        <v>46216.724317129629</v>
      </c>
      <c r="O4486" s="14" t="str">
        <f>HYPERLINK("https://otsuka-europe-crm.veevavault.com/ui/#object/email_activity__v/V8C000000049425", "EN-002105619")</f>
        <v>EN-002105619</v>
      </c>
    </row>
    <row r="4487" spans="1:15" ht="16" x14ac:dyDescent="0.2">
      <c r="A4487" s="19"/>
      <c r="B4487" s="19"/>
      <c r="C4487" s="19"/>
      <c r="D4487" s="19"/>
      <c r="E4487" s="19"/>
      <c r="F4487" s="19"/>
      <c r="G4487" s="19"/>
      <c r="H4487" s="19"/>
      <c r="I4487" s="19"/>
      <c r="J4487" s="19"/>
      <c r="K4487" s="19"/>
      <c r="L4487" s="19"/>
      <c r="M4487" s="19"/>
      <c r="N4487" s="19"/>
      <c r="O4487" s="14" t="str">
        <f>HYPERLINK("https://otsuka-europe-crm.veevavault.com/ui/#object/email_activity__v/V8C000000049450", "EN-002105693")</f>
        <v>EN-002105693</v>
      </c>
    </row>
    <row r="4488" spans="1:15" ht="32" x14ac:dyDescent="0.2">
      <c r="A4488" s="7" t="str">
        <f>HYPERLINK("https://otsuka-europe-crm.veevavault.com/ui/#object/account__v/V4TZ0000063525G", "Dirk Niemann")</f>
        <v>Dirk Niemann</v>
      </c>
      <c r="B4488" s="7" t="str">
        <f t="shared" ref="B4488:B4493" si="210">HYPERLINK("https://otsuka-europe-crm.veevavault.com/ui/#object/vcountry__v/VENZ000004SONFP", "DE")</f>
        <v>DE</v>
      </c>
      <c r="C4488" s="8" t="s">
        <v>43</v>
      </c>
      <c r="D4488" s="9" t="str">
        <f t="shared" ref="D4488:D4493" si="211">HYPERLINK("https://otsuka-europe-crm.veevavault.com/ui/#object/approved_document__v/V5O00000001W001", "INA VAE DE – Zulassung INAQOVI Venetoclax")</f>
        <v>INA VAE DE – Zulassung INAQOVI Venetoclax</v>
      </c>
      <c r="E4488" s="10" t="str">
        <f>HYPERLINK("https://otsuka-europe-crm.veevavault.com/ui/#object/sent_email__v/VBL000000037207", "SE-001443850")</f>
        <v>SE-001443850</v>
      </c>
      <c r="F4488" s="11"/>
      <c r="G4488" s="12">
        <v>0</v>
      </c>
      <c r="H4488" s="12">
        <v>0</v>
      </c>
      <c r="I4488" s="12">
        <v>0</v>
      </c>
      <c r="J4488" s="11"/>
      <c r="K4488" s="12">
        <v>0</v>
      </c>
      <c r="L4488" s="10" t="str">
        <f t="shared" ref="L4488:L4493" si="212">HYPERLINK("https://otsuka-europe-crm.veevavault.com/ui/#object/approved_document__v/V5O00000001W001", "INA VAE DE – Zulassung INAQOVI Venetoclax")</f>
        <v>INA VAE DE – Zulassung INAQOVI Venetoclax</v>
      </c>
      <c r="M4488" s="10" t="str">
        <f t="shared" ref="M4488:M4493" si="213">HYPERLINK("mailto:skiefer@crm.otsuka-europe.com", "skiefer@crm.otsuka-europe.com")</f>
        <v>skiefer@crm.otsuka-europe.com</v>
      </c>
      <c r="N4488" s="13">
        <v>46216.724317129629</v>
      </c>
      <c r="O4488" s="14" t="str">
        <f>HYPERLINK("https://otsuka-europe-crm.veevavault.com/ui/#object/email_activity__v/V8C000000049429", "EN-002105624")</f>
        <v>EN-002105624</v>
      </c>
    </row>
    <row r="4489" spans="1:15" ht="32" x14ac:dyDescent="0.2">
      <c r="A4489" s="7" t="str">
        <f>HYPERLINK("https://otsuka-europe-crm.veevavault.com/ui/#object/account__v/V4TZ0000062T4IB", "Jens Chemnitz")</f>
        <v>Jens Chemnitz</v>
      </c>
      <c r="B4489" s="7" t="str">
        <f t="shared" si="210"/>
        <v>DE</v>
      </c>
      <c r="C4489" s="8" t="s">
        <v>43</v>
      </c>
      <c r="D4489" s="9" t="str">
        <f t="shared" si="211"/>
        <v>INA VAE DE – Zulassung INAQOVI Venetoclax</v>
      </c>
      <c r="E4489" s="10" t="str">
        <f>HYPERLINK("https://otsuka-europe-crm.veevavault.com/ui/#object/sent_email__v/VBL000000038155", "SE-001443851")</f>
        <v>SE-001443851</v>
      </c>
      <c r="F4489" s="11"/>
      <c r="G4489" s="12">
        <v>0</v>
      </c>
      <c r="H4489" s="12">
        <v>0</v>
      </c>
      <c r="I4489" s="12">
        <v>0</v>
      </c>
      <c r="J4489" s="11"/>
      <c r="K4489" s="12">
        <v>0</v>
      </c>
      <c r="L4489" s="10" t="str">
        <f t="shared" si="212"/>
        <v>INA VAE DE – Zulassung INAQOVI Venetoclax</v>
      </c>
      <c r="M4489" s="10" t="str">
        <f t="shared" si="213"/>
        <v>skiefer@crm.otsuka-europe.com</v>
      </c>
      <c r="N4489" s="13">
        <v>46216.736805555556</v>
      </c>
      <c r="O4489" s="14" t="str">
        <f>HYPERLINK("https://otsuka-europe-crm.veevavault.com/ui/#object/email_activity__v/V8C000000049435", "EN-002105635")</f>
        <v>EN-002105635</v>
      </c>
    </row>
    <row r="4490" spans="1:15" ht="32" x14ac:dyDescent="0.2">
      <c r="A4490" s="7" t="str">
        <f>HYPERLINK("https://otsuka-europe-crm.veevavault.com/ui/#object/account__v/V4TZ0000062T9PF", "Mathias Rummel")</f>
        <v>Mathias Rummel</v>
      </c>
      <c r="B4490" s="7" t="str">
        <f t="shared" si="210"/>
        <v>DE</v>
      </c>
      <c r="C4490" s="8" t="s">
        <v>43</v>
      </c>
      <c r="D4490" s="9" t="str">
        <f t="shared" si="211"/>
        <v>INA VAE DE – Zulassung INAQOVI Venetoclax</v>
      </c>
      <c r="E4490" s="10" t="str">
        <f>HYPERLINK("https://otsuka-europe-crm.veevavault.com/ui/#object/sent_email__v/VBL000000038156", "SE-001443852")</f>
        <v>SE-001443852</v>
      </c>
      <c r="F4490" s="11"/>
      <c r="G4490" s="12">
        <v>0</v>
      </c>
      <c r="H4490" s="12">
        <v>0</v>
      </c>
      <c r="I4490" s="12">
        <v>0</v>
      </c>
      <c r="J4490" s="11"/>
      <c r="K4490" s="12">
        <v>0</v>
      </c>
      <c r="L4490" s="10" t="str">
        <f t="shared" si="212"/>
        <v>INA VAE DE – Zulassung INAQOVI Venetoclax</v>
      </c>
      <c r="M4490" s="10" t="str">
        <f t="shared" si="213"/>
        <v>skiefer@crm.otsuka-europe.com</v>
      </c>
      <c r="N4490" s="13">
        <v>46216.736724537041</v>
      </c>
      <c r="O4490" s="14" t="str">
        <f>HYPERLINK("https://otsuka-europe-crm.veevavault.com/ui/#object/email_activity__v/V8C00000004A334", "EN-002105634")</f>
        <v>EN-002105634</v>
      </c>
    </row>
    <row r="4491" spans="1:15" ht="32" x14ac:dyDescent="0.2">
      <c r="A4491" s="7" t="str">
        <f>HYPERLINK("https://otsuka-europe-crm.veevavault.com/ui/#object/account__v/V4TZ000006353Q4", "Eckhart Weidmann")</f>
        <v>Eckhart Weidmann</v>
      </c>
      <c r="B4491" s="7" t="str">
        <f t="shared" si="210"/>
        <v>DE</v>
      </c>
      <c r="C4491" s="8" t="s">
        <v>43</v>
      </c>
      <c r="D4491" s="9" t="str">
        <f t="shared" si="211"/>
        <v>INA VAE DE – Zulassung INAQOVI Venetoclax</v>
      </c>
      <c r="E4491" s="10" t="str">
        <f>HYPERLINK("https://otsuka-europe-crm.veevavault.com/ui/#object/sent_email__v/VBL000000038157", "SE-001443853")</f>
        <v>SE-001443853</v>
      </c>
      <c r="F4491" s="11"/>
      <c r="G4491" s="12">
        <v>0</v>
      </c>
      <c r="H4491" s="12">
        <v>0</v>
      </c>
      <c r="I4491" s="12">
        <v>0</v>
      </c>
      <c r="J4491" s="11"/>
      <c r="K4491" s="12">
        <v>0</v>
      </c>
      <c r="L4491" s="10" t="str">
        <f t="shared" si="212"/>
        <v>INA VAE DE – Zulassung INAQOVI Venetoclax</v>
      </c>
      <c r="M4491" s="10" t="str">
        <f t="shared" si="213"/>
        <v>skiefer@crm.otsuka-europe.com</v>
      </c>
      <c r="N4491" s="13">
        <v>46216.736724537041</v>
      </c>
      <c r="O4491" s="14" t="str">
        <f>HYPERLINK("https://otsuka-europe-crm.veevavault.com/ui/#object/email_activity__v/V8C00000004A336", "EN-002105637")</f>
        <v>EN-002105637</v>
      </c>
    </row>
    <row r="4492" spans="1:15" ht="32" x14ac:dyDescent="0.2">
      <c r="A4492" s="7" t="str">
        <f>HYPERLINK("https://otsuka-europe-crm.veevavault.com/ui/#object/account__v/V4TZ0000062T5WM", "Yon-Dschun Ko")</f>
        <v>Yon-Dschun Ko</v>
      </c>
      <c r="B4492" s="7" t="str">
        <f t="shared" si="210"/>
        <v>DE</v>
      </c>
      <c r="C4492" s="8" t="s">
        <v>43</v>
      </c>
      <c r="D4492" s="9" t="str">
        <f t="shared" si="211"/>
        <v>INA VAE DE – Zulassung INAQOVI Venetoclax</v>
      </c>
      <c r="E4492" s="10" t="str">
        <f>HYPERLINK("https://otsuka-europe-crm.veevavault.com/ui/#object/sent_email__v/VBL000000038158", "SE-001443854")</f>
        <v>SE-001443854</v>
      </c>
      <c r="F4492" s="11"/>
      <c r="G4492" s="12">
        <v>0</v>
      </c>
      <c r="H4492" s="12">
        <v>0</v>
      </c>
      <c r="I4492" s="12">
        <v>0</v>
      </c>
      <c r="J4492" s="11"/>
      <c r="K4492" s="12">
        <v>0</v>
      </c>
      <c r="L4492" s="10" t="str">
        <f t="shared" si="212"/>
        <v>INA VAE DE – Zulassung INAQOVI Venetoclax</v>
      </c>
      <c r="M4492" s="10" t="str">
        <f t="shared" si="213"/>
        <v>skiefer@crm.otsuka-europe.com</v>
      </c>
      <c r="N4492" s="13">
        <v>46216.736724537041</v>
      </c>
      <c r="O4492" s="14" t="str">
        <f>HYPERLINK("https://otsuka-europe-crm.veevavault.com/ui/#object/email_activity__v/V8C00000004A335", "EN-002105636")</f>
        <v>EN-002105636</v>
      </c>
    </row>
    <row r="4493" spans="1:15" ht="16" x14ac:dyDescent="0.2">
      <c r="A4493" s="18" t="str">
        <f>HYPERLINK("https://otsuka-europe-crm.veevavault.com/ui/#object/account__v/V4TZ000006353PX", "Rudolf Weide")</f>
        <v>Rudolf Weide</v>
      </c>
      <c r="B4493" s="18" t="str">
        <f t="shared" si="210"/>
        <v>DE</v>
      </c>
      <c r="C4493" s="20" t="s">
        <v>43</v>
      </c>
      <c r="D4493" s="21" t="str">
        <f t="shared" si="211"/>
        <v>INA VAE DE – Zulassung INAQOVI Venetoclax</v>
      </c>
      <c r="E4493" s="22" t="str">
        <f>HYPERLINK("https://otsuka-europe-crm.veevavault.com/ui/#object/sent_email__v/VBL000000038159", "SE-001443855")</f>
        <v>SE-001443855</v>
      </c>
      <c r="F4493" s="25">
        <v>46218.30704861111</v>
      </c>
      <c r="G4493" s="24">
        <v>1</v>
      </c>
      <c r="H4493" s="24">
        <v>1</v>
      </c>
      <c r="I4493" s="24">
        <v>0</v>
      </c>
      <c r="J4493" s="23"/>
      <c r="K4493" s="24">
        <v>0</v>
      </c>
      <c r="L4493" s="22" t="str">
        <f t="shared" si="212"/>
        <v>INA VAE DE – Zulassung INAQOVI Venetoclax</v>
      </c>
      <c r="M4493" s="22" t="str">
        <f t="shared" si="213"/>
        <v>skiefer@crm.otsuka-europe.com</v>
      </c>
      <c r="N4493" s="25">
        <v>46216.736724537041</v>
      </c>
      <c r="O4493" s="14" t="str">
        <f>HYPERLINK("https://otsuka-europe-crm.veevavault.com/ui/#object/email_activity__v/V8C000000049436", "EN-002105638")</f>
        <v>EN-002105638</v>
      </c>
    </row>
    <row r="4494" spans="1:15" ht="16" x14ac:dyDescent="0.2">
      <c r="A4494" s="19"/>
      <c r="B4494" s="19"/>
      <c r="C4494" s="19"/>
      <c r="D4494" s="19"/>
      <c r="E4494" s="19"/>
      <c r="F4494" s="19"/>
      <c r="G4494" s="19"/>
      <c r="H4494" s="19"/>
      <c r="I4494" s="19"/>
      <c r="J4494" s="19"/>
      <c r="K4494" s="19"/>
      <c r="L4494" s="19"/>
      <c r="M4494" s="19"/>
      <c r="N4494" s="19"/>
      <c r="O4494" s="14" t="str">
        <f>HYPERLINK("https://otsuka-europe-crm.veevavault.com/ui/#object/email_activity__v/V8C00000004A645", "EN-002106202")</f>
        <v>EN-002106202</v>
      </c>
    </row>
    <row r="4495" spans="1:15" ht="32" x14ac:dyDescent="0.2">
      <c r="A4495" s="7" t="str">
        <f>HYPERLINK("https://otsuka-europe-crm.veevavault.com/ui/#object/account__v/V4TZ0000062T4IB", "Jens Chemnitz")</f>
        <v>Jens Chemnitz</v>
      </c>
      <c r="B4495" s="7" t="str">
        <f t="shared" ref="B4495:B4502" si="214">HYPERLINK("https://otsuka-europe-crm.veevavault.com/ui/#object/vcountry__v/VENZ000004SONFP", "DE")</f>
        <v>DE</v>
      </c>
      <c r="C4495" s="8" t="s">
        <v>43</v>
      </c>
      <c r="D4495" s="9" t="str">
        <f t="shared" ref="D4495:D4502" si="215">HYPERLINK("https://otsuka-europe-crm.veevavault.com/ui/#object/approved_document__v/V5O00000001W001", "INA VAE DE – Zulassung INAQOVI Venetoclax")</f>
        <v>INA VAE DE – Zulassung INAQOVI Venetoclax</v>
      </c>
      <c r="E4495" s="10" t="str">
        <f>HYPERLINK("https://otsuka-europe-crm.veevavault.com/ui/#object/sent_email__v/VBL000000038160", "SE-001443856")</f>
        <v>SE-001443856</v>
      </c>
      <c r="F4495" s="11"/>
      <c r="G4495" s="12">
        <v>0</v>
      </c>
      <c r="H4495" s="12">
        <v>0</v>
      </c>
      <c r="I4495" s="12">
        <v>0</v>
      </c>
      <c r="J4495" s="11"/>
      <c r="K4495" s="12">
        <v>0</v>
      </c>
      <c r="L4495" s="10" t="str">
        <f t="shared" ref="L4495:L4502" si="216">HYPERLINK("https://otsuka-europe-crm.veevavault.com/ui/#object/approved_document__v/V5O00000001W001", "INA VAE DE – Zulassung INAQOVI Venetoclax")</f>
        <v>INA VAE DE – Zulassung INAQOVI Venetoclax</v>
      </c>
      <c r="M4495" s="10" t="str">
        <f t="shared" ref="M4495:M4502" si="217">HYPERLINK("mailto:skiefer@crm.otsuka-europe.com", "skiefer@crm.otsuka-europe.com")</f>
        <v>skiefer@crm.otsuka-europe.com</v>
      </c>
      <c r="N4495" s="13">
        <v>46216.749814814815</v>
      </c>
      <c r="O4495" s="14" t="str">
        <f>HYPERLINK("https://otsuka-europe-crm.veevavault.com/ui/#object/email_activity__v/V8C00000004A362", "EN-002105664")</f>
        <v>EN-002105664</v>
      </c>
    </row>
    <row r="4496" spans="1:15" ht="32" x14ac:dyDescent="0.2">
      <c r="A4496" s="7" t="str">
        <f>HYPERLINK("https://otsuka-europe-crm.veevavault.com/ui/#object/account__v/V4TZ0000062T9PF", "Mathias Rummel")</f>
        <v>Mathias Rummel</v>
      </c>
      <c r="B4496" s="7" t="str">
        <f t="shared" si="214"/>
        <v>DE</v>
      </c>
      <c r="C4496" s="8" t="s">
        <v>43</v>
      </c>
      <c r="D4496" s="9" t="str">
        <f t="shared" si="215"/>
        <v>INA VAE DE – Zulassung INAQOVI Venetoclax</v>
      </c>
      <c r="E4496" s="10" t="str">
        <f>HYPERLINK("https://otsuka-europe-crm.veevavault.com/ui/#object/sent_email__v/VBL000000038161", "SE-001443857")</f>
        <v>SE-001443857</v>
      </c>
      <c r="F4496" s="11"/>
      <c r="G4496" s="12">
        <v>0</v>
      </c>
      <c r="H4496" s="12">
        <v>0</v>
      </c>
      <c r="I4496" s="12">
        <v>0</v>
      </c>
      <c r="J4496" s="11"/>
      <c r="K4496" s="12">
        <v>0</v>
      </c>
      <c r="L4496" s="10" t="str">
        <f t="shared" si="216"/>
        <v>INA VAE DE – Zulassung INAQOVI Venetoclax</v>
      </c>
      <c r="M4496" s="10" t="str">
        <f t="shared" si="217"/>
        <v>skiefer@crm.otsuka-europe.com</v>
      </c>
      <c r="N4496" s="13">
        <v>46216.749814814815</v>
      </c>
      <c r="O4496" s="14" t="str">
        <f>HYPERLINK("https://otsuka-europe-crm.veevavault.com/ui/#object/email_activity__v/V8C00000004A359", "EN-002105661")</f>
        <v>EN-002105661</v>
      </c>
    </row>
    <row r="4497" spans="1:15" ht="32" x14ac:dyDescent="0.2">
      <c r="A4497" s="7" t="str">
        <f>HYPERLINK("https://otsuka-europe-crm.veevavault.com/ui/#object/account__v/V4TZ06G6OBI64O1", "Elisabeth Mack")</f>
        <v>Elisabeth Mack</v>
      </c>
      <c r="B4497" s="7" t="str">
        <f t="shared" si="214"/>
        <v>DE</v>
      </c>
      <c r="C4497" s="8" t="s">
        <v>43</v>
      </c>
      <c r="D4497" s="9" t="str">
        <f t="shared" si="215"/>
        <v>INA VAE DE – Zulassung INAQOVI Venetoclax</v>
      </c>
      <c r="E4497" s="10" t="str">
        <f>HYPERLINK("https://otsuka-europe-crm.veevavault.com/ui/#object/sent_email__v/VBL000000038162", "SE-001443858")</f>
        <v>SE-001443858</v>
      </c>
      <c r="F4497" s="11"/>
      <c r="G4497" s="12">
        <v>0</v>
      </c>
      <c r="H4497" s="12">
        <v>0</v>
      </c>
      <c r="I4497" s="12">
        <v>0</v>
      </c>
      <c r="J4497" s="11"/>
      <c r="K4497" s="12">
        <v>0</v>
      </c>
      <c r="L4497" s="10" t="str">
        <f t="shared" si="216"/>
        <v>INA VAE DE – Zulassung INAQOVI Venetoclax</v>
      </c>
      <c r="M4497" s="10" t="str">
        <f t="shared" si="217"/>
        <v>skiefer@crm.otsuka-europe.com</v>
      </c>
      <c r="N4497" s="13">
        <v>46216.749768518515</v>
      </c>
      <c r="O4497" s="14" t="str">
        <f>HYPERLINK("https://otsuka-europe-crm.veevavault.com/ui/#object/email_activity__v/V8C00000004A343", "EN-002105645")</f>
        <v>EN-002105645</v>
      </c>
    </row>
    <row r="4498" spans="1:15" ht="32" x14ac:dyDescent="0.2">
      <c r="A4498" s="7" t="str">
        <f>HYPERLINK("https://otsuka-europe-crm.veevavault.com/ui/#object/account__v/V4TZ025E878YLD5", "Anita Hartmann")</f>
        <v>Anita Hartmann</v>
      </c>
      <c r="B4498" s="7" t="str">
        <f t="shared" si="214"/>
        <v>DE</v>
      </c>
      <c r="C4498" s="8" t="s">
        <v>43</v>
      </c>
      <c r="D4498" s="9" t="str">
        <f t="shared" si="215"/>
        <v>INA VAE DE – Zulassung INAQOVI Venetoclax</v>
      </c>
      <c r="E4498" s="10" t="str">
        <f>HYPERLINK("https://otsuka-europe-crm.veevavault.com/ui/#object/sent_email__v/VBL000000038163", "SE-001443859")</f>
        <v>SE-001443859</v>
      </c>
      <c r="F4498" s="11"/>
      <c r="G4498" s="12">
        <v>0</v>
      </c>
      <c r="H4498" s="12">
        <v>0</v>
      </c>
      <c r="I4498" s="12">
        <v>0</v>
      </c>
      <c r="J4498" s="11"/>
      <c r="K4498" s="12">
        <v>0</v>
      </c>
      <c r="L4498" s="10" t="str">
        <f t="shared" si="216"/>
        <v>INA VAE DE – Zulassung INAQOVI Venetoclax</v>
      </c>
      <c r="M4498" s="10" t="str">
        <f t="shared" si="217"/>
        <v>skiefer@crm.otsuka-europe.com</v>
      </c>
      <c r="N4498" s="13">
        <v>46216.749837962961</v>
      </c>
      <c r="O4498" s="14" t="str">
        <f>HYPERLINK("https://otsuka-europe-crm.veevavault.com/ui/#object/email_activity__v/V8C00000004A344", "EN-002105646")</f>
        <v>EN-002105646</v>
      </c>
    </row>
    <row r="4499" spans="1:15" ht="32" x14ac:dyDescent="0.2">
      <c r="A4499" s="7" t="str">
        <f>HYPERLINK("https://otsuka-europe-crm.veevavault.com/ui/#object/account__v/V4TZ00000634V4S", "Zuzana Rethmann")</f>
        <v>Zuzana Rethmann</v>
      </c>
      <c r="B4499" s="7" t="str">
        <f t="shared" si="214"/>
        <v>DE</v>
      </c>
      <c r="C4499" s="8" t="s">
        <v>43</v>
      </c>
      <c r="D4499" s="9" t="str">
        <f t="shared" si="215"/>
        <v>INA VAE DE – Zulassung INAQOVI Venetoclax</v>
      </c>
      <c r="E4499" s="10" t="str">
        <f>HYPERLINK("https://otsuka-europe-crm.veevavault.com/ui/#object/sent_email__v/VBL000000038164", "SE-001443860")</f>
        <v>SE-001443860</v>
      </c>
      <c r="F4499" s="11"/>
      <c r="G4499" s="12">
        <v>0</v>
      </c>
      <c r="H4499" s="12">
        <v>0</v>
      </c>
      <c r="I4499" s="12">
        <v>0</v>
      </c>
      <c r="J4499" s="11"/>
      <c r="K4499" s="12">
        <v>0</v>
      </c>
      <c r="L4499" s="10" t="str">
        <f t="shared" si="216"/>
        <v>INA VAE DE – Zulassung INAQOVI Venetoclax</v>
      </c>
      <c r="M4499" s="10" t="str">
        <f t="shared" si="217"/>
        <v>skiefer@crm.otsuka-europe.com</v>
      </c>
      <c r="N4499" s="13">
        <v>46216.749814814815</v>
      </c>
      <c r="O4499" s="14" t="str">
        <f>HYPERLINK("https://otsuka-europe-crm.veevavault.com/ui/#object/email_activity__v/V8C00000004A352", "EN-002105654")</f>
        <v>EN-002105654</v>
      </c>
    </row>
    <row r="4500" spans="1:15" ht="32" x14ac:dyDescent="0.2">
      <c r="A4500" s="7" t="str">
        <f>HYPERLINK("https://otsuka-europe-crm.veevavault.com/ui/#object/account__v/V4TZ000006353Q4", "Eckhart Weidmann")</f>
        <v>Eckhart Weidmann</v>
      </c>
      <c r="B4500" s="7" t="str">
        <f t="shared" si="214"/>
        <v>DE</v>
      </c>
      <c r="C4500" s="8" t="s">
        <v>43</v>
      </c>
      <c r="D4500" s="9" t="str">
        <f t="shared" si="215"/>
        <v>INA VAE DE – Zulassung INAQOVI Venetoclax</v>
      </c>
      <c r="E4500" s="10" t="str">
        <f>HYPERLINK("https://otsuka-europe-crm.veevavault.com/ui/#object/sent_email__v/VBL000000038165", "SE-001443861")</f>
        <v>SE-001443861</v>
      </c>
      <c r="F4500" s="11"/>
      <c r="G4500" s="12">
        <v>0</v>
      </c>
      <c r="H4500" s="12">
        <v>0</v>
      </c>
      <c r="I4500" s="12">
        <v>0</v>
      </c>
      <c r="J4500" s="11"/>
      <c r="K4500" s="12">
        <v>0</v>
      </c>
      <c r="L4500" s="10" t="str">
        <f t="shared" si="216"/>
        <v>INA VAE DE – Zulassung INAQOVI Venetoclax</v>
      </c>
      <c r="M4500" s="10" t="str">
        <f t="shared" si="217"/>
        <v>skiefer@crm.otsuka-europe.com</v>
      </c>
      <c r="N4500" s="13">
        <v>46216.749780092592</v>
      </c>
      <c r="O4500" s="14" t="str">
        <f>HYPERLINK("https://otsuka-europe-crm.veevavault.com/ui/#object/email_activity__v/V8C00000004A347", "EN-002105649")</f>
        <v>EN-002105649</v>
      </c>
    </row>
    <row r="4501" spans="1:15" ht="32" x14ac:dyDescent="0.2">
      <c r="A4501" s="7" t="str">
        <f>HYPERLINK("https://otsuka-europe-crm.veevavault.com/ui/#object/account__v/V4TZ00000634Y7V", "Elisabeth Fritz")</f>
        <v>Elisabeth Fritz</v>
      </c>
      <c r="B4501" s="7" t="str">
        <f t="shared" si="214"/>
        <v>DE</v>
      </c>
      <c r="C4501" s="8" t="s">
        <v>43</v>
      </c>
      <c r="D4501" s="9" t="str">
        <f t="shared" si="215"/>
        <v>INA VAE DE – Zulassung INAQOVI Venetoclax</v>
      </c>
      <c r="E4501" s="10" t="str">
        <f>HYPERLINK("https://otsuka-europe-crm.veevavault.com/ui/#object/sent_email__v/VBL000000038166", "SE-001443862")</f>
        <v>SE-001443862</v>
      </c>
      <c r="F4501" s="11"/>
      <c r="G4501" s="12">
        <v>0</v>
      </c>
      <c r="H4501" s="12">
        <v>0</v>
      </c>
      <c r="I4501" s="12">
        <v>0</v>
      </c>
      <c r="J4501" s="11"/>
      <c r="K4501" s="12">
        <v>0</v>
      </c>
      <c r="L4501" s="10" t="str">
        <f t="shared" si="216"/>
        <v>INA VAE DE – Zulassung INAQOVI Venetoclax</v>
      </c>
      <c r="M4501" s="10" t="str">
        <f t="shared" si="217"/>
        <v>skiefer@crm.otsuka-europe.com</v>
      </c>
      <c r="N4501" s="13">
        <v>46216.749814814815</v>
      </c>
      <c r="O4501" s="14" t="str">
        <f>HYPERLINK("https://otsuka-europe-crm.veevavault.com/ui/#object/email_activity__v/V8C00000004A363", "EN-002105665")</f>
        <v>EN-002105665</v>
      </c>
    </row>
    <row r="4502" spans="1:15" ht="16" x14ac:dyDescent="0.2">
      <c r="A4502" s="18" t="str">
        <f>HYPERLINK("https://otsuka-europe-crm.veevavault.com/ui/#object/account__v/V4TZ00000634YV5", "Marion Schmitz")</f>
        <v>Marion Schmitz</v>
      </c>
      <c r="B4502" s="18" t="str">
        <f t="shared" si="214"/>
        <v>DE</v>
      </c>
      <c r="C4502" s="20" t="s">
        <v>43</v>
      </c>
      <c r="D4502" s="21" t="str">
        <f t="shared" si="215"/>
        <v>INA VAE DE – Zulassung INAQOVI Venetoclax</v>
      </c>
      <c r="E4502" s="22" t="str">
        <f>HYPERLINK("https://otsuka-europe-crm.veevavault.com/ui/#object/sent_email__v/VBL000000038167", "SE-001443863")</f>
        <v>SE-001443863</v>
      </c>
      <c r="F4502" s="23"/>
      <c r="G4502" s="24">
        <v>0</v>
      </c>
      <c r="H4502" s="24">
        <v>0</v>
      </c>
      <c r="I4502" s="24">
        <v>0</v>
      </c>
      <c r="J4502" s="23"/>
      <c r="K4502" s="24">
        <v>0</v>
      </c>
      <c r="L4502" s="22" t="str">
        <f t="shared" si="216"/>
        <v>INA VAE DE – Zulassung INAQOVI Venetoclax</v>
      </c>
      <c r="M4502" s="22" t="str">
        <f t="shared" si="217"/>
        <v>skiefer@crm.otsuka-europe.com</v>
      </c>
      <c r="N4502" s="25">
        <v>46216.749814814815</v>
      </c>
      <c r="O4502" s="14" t="str">
        <f>HYPERLINK("https://otsuka-europe-crm.veevavault.com/ui/#object/email_activity__v/V8C000000049442", "EN-002105679")</f>
        <v>EN-002105679</v>
      </c>
    </row>
    <row r="4503" spans="1:15" ht="16" x14ac:dyDescent="0.2">
      <c r="A4503" s="19"/>
      <c r="B4503" s="19"/>
      <c r="C4503" s="19"/>
      <c r="D4503" s="19"/>
      <c r="E4503" s="19"/>
      <c r="F4503" s="19"/>
      <c r="G4503" s="19"/>
      <c r="H4503" s="19"/>
      <c r="I4503" s="19"/>
      <c r="J4503" s="19"/>
      <c r="K4503" s="19"/>
      <c r="L4503" s="19"/>
      <c r="M4503" s="19"/>
      <c r="N4503" s="19"/>
      <c r="O4503" s="14" t="str">
        <f>HYPERLINK("https://otsuka-europe-crm.veevavault.com/ui/#object/email_activity__v/V8C00000004A360", "EN-002105662")</f>
        <v>EN-002105662</v>
      </c>
    </row>
    <row r="4504" spans="1:15" ht="32" x14ac:dyDescent="0.2">
      <c r="A4504" s="7" t="str">
        <f>HYPERLINK("https://otsuka-europe-crm.veevavault.com/ui/#object/account__v/V4TZ00000634Z5S", "Christiane Schieferstein-Knauer")</f>
        <v>Christiane Schieferstein-Knauer</v>
      </c>
      <c r="B4504" s="7" t="str">
        <f>HYPERLINK("https://otsuka-europe-crm.veevavault.com/ui/#object/vcountry__v/VENZ000004SONFP", "DE")</f>
        <v>DE</v>
      </c>
      <c r="C4504" s="8" t="s">
        <v>43</v>
      </c>
      <c r="D4504" s="9" t="str">
        <f>HYPERLINK("https://otsuka-europe-crm.veevavault.com/ui/#object/approved_document__v/V5O00000001W001", "INA VAE DE – Zulassung INAQOVI Venetoclax")</f>
        <v>INA VAE DE – Zulassung INAQOVI Venetoclax</v>
      </c>
      <c r="E4504" s="10" t="str">
        <f>HYPERLINK("https://otsuka-europe-crm.veevavault.com/ui/#object/sent_email__v/VBL000000038168", "SE-001443864")</f>
        <v>SE-001443864</v>
      </c>
      <c r="F4504" s="11"/>
      <c r="G4504" s="12">
        <v>0</v>
      </c>
      <c r="H4504" s="12">
        <v>0</v>
      </c>
      <c r="I4504" s="12">
        <v>0</v>
      </c>
      <c r="J4504" s="11"/>
      <c r="K4504" s="12">
        <v>0</v>
      </c>
      <c r="L4504" s="10" t="str">
        <f>HYPERLINK("https://otsuka-europe-crm.veevavault.com/ui/#object/approved_document__v/V5O00000001W001", "INA VAE DE – Zulassung INAQOVI Venetoclax")</f>
        <v>INA VAE DE – Zulassung INAQOVI Venetoclax</v>
      </c>
      <c r="M4504" s="10" t="str">
        <f>HYPERLINK("mailto:skiefer@crm.otsuka-europe.com", "skiefer@crm.otsuka-europe.com")</f>
        <v>skiefer@crm.otsuka-europe.com</v>
      </c>
      <c r="N4504" s="13">
        <v>46216.749814814815</v>
      </c>
      <c r="O4504" s="14" t="str">
        <f>HYPERLINK("https://otsuka-europe-crm.veevavault.com/ui/#object/email_activity__v/V8C00000004A348", "EN-002105650")</f>
        <v>EN-002105650</v>
      </c>
    </row>
    <row r="4505" spans="1:15" ht="16" x14ac:dyDescent="0.2">
      <c r="A4505" s="18" t="str">
        <f>HYPERLINK("https://otsuka-europe-crm.veevavault.com/ui/#object/account__v/V4TZ000006353PX", "Rudolf Weide")</f>
        <v>Rudolf Weide</v>
      </c>
      <c r="B4505" s="18" t="str">
        <f>HYPERLINK("https://otsuka-europe-crm.veevavault.com/ui/#object/vcountry__v/VENZ000004SONFP", "DE")</f>
        <v>DE</v>
      </c>
      <c r="C4505" s="20" t="s">
        <v>43</v>
      </c>
      <c r="D4505" s="21" t="str">
        <f>HYPERLINK("https://otsuka-europe-crm.veevavault.com/ui/#object/approved_document__v/V5O00000001W001", "INA VAE DE – Zulassung INAQOVI Venetoclax")</f>
        <v>INA VAE DE – Zulassung INAQOVI Venetoclax</v>
      </c>
      <c r="E4505" s="22" t="str">
        <f>HYPERLINK("https://otsuka-europe-crm.veevavault.com/ui/#object/sent_email__v/VBL000000038169", "SE-001443865")</f>
        <v>SE-001443865</v>
      </c>
      <c r="F4505" s="25">
        <v>46218.307708333334</v>
      </c>
      <c r="G4505" s="24">
        <v>1</v>
      </c>
      <c r="H4505" s="24">
        <v>5</v>
      </c>
      <c r="I4505" s="24">
        <v>0</v>
      </c>
      <c r="J4505" s="23"/>
      <c r="K4505" s="24">
        <v>0</v>
      </c>
      <c r="L4505" s="22" t="str">
        <f>HYPERLINK("https://otsuka-europe-crm.veevavault.com/ui/#object/approved_document__v/V5O00000001W001", "INA VAE DE – Zulassung INAQOVI Venetoclax")</f>
        <v>INA VAE DE – Zulassung INAQOVI Venetoclax</v>
      </c>
      <c r="M4505" s="22" t="str">
        <f>HYPERLINK("mailto:skiefer@crm.otsuka-europe.com", "skiefer@crm.otsuka-europe.com")</f>
        <v>skiefer@crm.otsuka-europe.com</v>
      </c>
      <c r="N4505" s="25">
        <v>46216.749814814815</v>
      </c>
      <c r="O4505" s="14" t="str">
        <f>HYPERLINK("https://otsuka-europe-crm.veevavault.com/ui/#object/email_activity__v/V8C000000049692", "EN-002106204")</f>
        <v>EN-002106204</v>
      </c>
    </row>
    <row r="4506" spans="1:15" ht="16" x14ac:dyDescent="0.2">
      <c r="A4506" s="26"/>
      <c r="B4506" s="26"/>
      <c r="C4506" s="26"/>
      <c r="D4506" s="26"/>
      <c r="E4506" s="26"/>
      <c r="F4506" s="26"/>
      <c r="G4506" s="26"/>
      <c r="H4506" s="26"/>
      <c r="I4506" s="26"/>
      <c r="J4506" s="26"/>
      <c r="K4506" s="26"/>
      <c r="L4506" s="26"/>
      <c r="M4506" s="26"/>
      <c r="N4506" s="26"/>
      <c r="O4506" s="14" t="str">
        <f>HYPERLINK("https://otsuka-europe-crm.veevavault.com/ui/#object/email_activity__v/V8C00000004A364", "EN-002105666")</f>
        <v>EN-002105666</v>
      </c>
    </row>
    <row r="4507" spans="1:15" ht="16" x14ac:dyDescent="0.2">
      <c r="A4507" s="26"/>
      <c r="B4507" s="26"/>
      <c r="C4507" s="26"/>
      <c r="D4507" s="26"/>
      <c r="E4507" s="26"/>
      <c r="F4507" s="26"/>
      <c r="G4507" s="26"/>
      <c r="H4507" s="26"/>
      <c r="I4507" s="26"/>
      <c r="J4507" s="26"/>
      <c r="K4507" s="26"/>
      <c r="L4507" s="26"/>
      <c r="M4507" s="26"/>
      <c r="N4507" s="26"/>
      <c r="O4507" s="14" t="str">
        <f>HYPERLINK("https://otsuka-europe-crm.veevavault.com/ui/#object/email_activity__v/V8C00000004A419", "EN-002105769")</f>
        <v>EN-002105769</v>
      </c>
    </row>
    <row r="4508" spans="1:15" ht="16" x14ac:dyDescent="0.2">
      <c r="A4508" s="26"/>
      <c r="B4508" s="26"/>
      <c r="C4508" s="26"/>
      <c r="D4508" s="26"/>
      <c r="E4508" s="26"/>
      <c r="F4508" s="26"/>
      <c r="G4508" s="26"/>
      <c r="H4508" s="26"/>
      <c r="I4508" s="26"/>
      <c r="J4508" s="26"/>
      <c r="K4508" s="26"/>
      <c r="L4508" s="26"/>
      <c r="M4508" s="26"/>
      <c r="N4508" s="26"/>
      <c r="O4508" s="14" t="str">
        <f>HYPERLINK("https://otsuka-europe-crm.veevavault.com/ui/#object/email_activity__v/V8C00000004A420", "EN-002105770")</f>
        <v>EN-002105770</v>
      </c>
    </row>
    <row r="4509" spans="1:15" ht="16" x14ac:dyDescent="0.2">
      <c r="A4509" s="26"/>
      <c r="B4509" s="26"/>
      <c r="C4509" s="26"/>
      <c r="D4509" s="26"/>
      <c r="E4509" s="26"/>
      <c r="F4509" s="26"/>
      <c r="G4509" s="26"/>
      <c r="H4509" s="26"/>
      <c r="I4509" s="26"/>
      <c r="J4509" s="26"/>
      <c r="K4509" s="26"/>
      <c r="L4509" s="26"/>
      <c r="M4509" s="26"/>
      <c r="N4509" s="26"/>
      <c r="O4509" s="14" t="str">
        <f>HYPERLINK("https://otsuka-europe-crm.veevavault.com/ui/#object/email_activity__v/V8C00000004A641", "EN-002106195")</f>
        <v>EN-002106195</v>
      </c>
    </row>
    <row r="4510" spans="1:15" ht="16" x14ac:dyDescent="0.2">
      <c r="A4510" s="19"/>
      <c r="B4510" s="19"/>
      <c r="C4510" s="19"/>
      <c r="D4510" s="19"/>
      <c r="E4510" s="19"/>
      <c r="F4510" s="19"/>
      <c r="G4510" s="19"/>
      <c r="H4510" s="19"/>
      <c r="I4510" s="19"/>
      <c r="J4510" s="19"/>
      <c r="K4510" s="19"/>
      <c r="L4510" s="19"/>
      <c r="M4510" s="19"/>
      <c r="N4510" s="19"/>
      <c r="O4510" s="14" t="str">
        <f>HYPERLINK("https://otsuka-europe-crm.veevavault.com/ui/#object/email_activity__v/V8C00000004A646", "EN-002106203")</f>
        <v>EN-002106203</v>
      </c>
    </row>
    <row r="4511" spans="1:15" ht="32" x14ac:dyDescent="0.2">
      <c r="A4511" s="7" t="str">
        <f>HYPERLINK("https://otsuka-europe-crm.veevavault.com/ui/#object/account__v/V4TZ06G6OCEU3ND", "Karin Mayer")</f>
        <v>Karin Mayer</v>
      </c>
      <c r="B4511" s="7" t="str">
        <f>HYPERLINK("https://otsuka-europe-crm.veevavault.com/ui/#object/vcountry__v/VENZ000004SONFP", "DE")</f>
        <v>DE</v>
      </c>
      <c r="C4511" s="8" t="s">
        <v>43</v>
      </c>
      <c r="D4511" s="9" t="str">
        <f>HYPERLINK("https://otsuka-europe-crm.veevavault.com/ui/#object/approved_document__v/V5O00000001W001", "INA VAE DE – Zulassung INAQOVI Venetoclax")</f>
        <v>INA VAE DE – Zulassung INAQOVI Venetoclax</v>
      </c>
      <c r="E4511" s="10" t="str">
        <f>HYPERLINK("https://otsuka-europe-crm.veevavault.com/ui/#object/sent_email__v/VBL000000038170", "SE-001443866")</f>
        <v>SE-001443866</v>
      </c>
      <c r="F4511" s="11"/>
      <c r="G4511" s="12">
        <v>0</v>
      </c>
      <c r="H4511" s="12">
        <v>0</v>
      </c>
      <c r="I4511" s="12">
        <v>0</v>
      </c>
      <c r="J4511" s="11"/>
      <c r="K4511" s="12">
        <v>0</v>
      </c>
      <c r="L4511" s="10" t="str">
        <f>HYPERLINK("https://otsuka-europe-crm.veevavault.com/ui/#object/approved_document__v/V5O00000001W001", "INA VAE DE – Zulassung INAQOVI Venetoclax")</f>
        <v>INA VAE DE – Zulassung INAQOVI Venetoclax</v>
      </c>
      <c r="M4511" s="10" t="str">
        <f>HYPERLINK("mailto:skiefer@crm.otsuka-europe.com", "skiefer@crm.otsuka-europe.com")</f>
        <v>skiefer@crm.otsuka-europe.com</v>
      </c>
      <c r="N4511" s="13">
        <v>46216.749814814815</v>
      </c>
      <c r="O4511" s="14" t="str">
        <f>HYPERLINK("https://otsuka-europe-crm.veevavault.com/ui/#object/email_activity__v/V8C00000004A361", "EN-002105663")</f>
        <v>EN-002105663</v>
      </c>
    </row>
    <row r="4512" spans="1:15" ht="16" x14ac:dyDescent="0.2">
      <c r="A4512" s="18" t="str">
        <f>HYPERLINK("https://otsuka-europe-crm.veevavault.com/ui/#object/account__v/V4TZ000006351E0", "Katrin Fleckenstein")</f>
        <v>Katrin Fleckenstein</v>
      </c>
      <c r="B4512" s="18" t="str">
        <f>HYPERLINK("https://otsuka-europe-crm.veevavault.com/ui/#object/vcountry__v/VENZ000004SONFP", "DE")</f>
        <v>DE</v>
      </c>
      <c r="C4512" s="20" t="s">
        <v>43</v>
      </c>
      <c r="D4512" s="21" t="str">
        <f>HYPERLINK("https://otsuka-europe-crm.veevavault.com/ui/#object/approved_document__v/V5O00000001W001", "INA VAE DE – Zulassung INAQOVI Venetoclax")</f>
        <v>INA VAE DE – Zulassung INAQOVI Venetoclax</v>
      </c>
      <c r="E4512" s="22" t="str">
        <f>HYPERLINK("https://otsuka-europe-crm.veevavault.com/ui/#object/sent_email__v/VBL000000038171", "SE-001443867")</f>
        <v>SE-001443867</v>
      </c>
      <c r="F4512" s="23"/>
      <c r="G4512" s="24">
        <v>0</v>
      </c>
      <c r="H4512" s="24">
        <v>0</v>
      </c>
      <c r="I4512" s="24">
        <v>0</v>
      </c>
      <c r="J4512" s="23"/>
      <c r="K4512" s="24">
        <v>0</v>
      </c>
      <c r="L4512" s="22" t="str">
        <f>HYPERLINK("https://otsuka-europe-crm.veevavault.com/ui/#object/approved_document__v/V5O00000001W001", "INA VAE DE – Zulassung INAQOVI Venetoclax")</f>
        <v>INA VAE DE – Zulassung INAQOVI Venetoclax</v>
      </c>
      <c r="M4512" s="22" t="str">
        <f>HYPERLINK("mailto:skiefer@crm.otsuka-europe.com", "skiefer@crm.otsuka-europe.com")</f>
        <v>skiefer@crm.otsuka-europe.com</v>
      </c>
      <c r="N4512" s="25">
        <v>46216.749814814815</v>
      </c>
      <c r="O4512" s="14" t="str">
        <f>HYPERLINK("https://otsuka-europe-crm.veevavault.com/ui/#object/email_activity__v/V8C00000004A353", "EN-002105655")</f>
        <v>EN-002105655</v>
      </c>
    </row>
    <row r="4513" spans="1:15" ht="16" x14ac:dyDescent="0.2">
      <c r="A4513" s="19"/>
      <c r="B4513" s="19"/>
      <c r="C4513" s="19"/>
      <c r="D4513" s="19"/>
      <c r="E4513" s="19"/>
      <c r="F4513" s="19"/>
      <c r="G4513" s="19"/>
      <c r="H4513" s="19"/>
      <c r="I4513" s="19"/>
      <c r="J4513" s="19"/>
      <c r="K4513" s="19"/>
      <c r="L4513" s="19"/>
      <c r="M4513" s="19"/>
      <c r="N4513" s="19"/>
      <c r="O4513" s="14" t="str">
        <f>HYPERLINK("https://otsuka-europe-crm.veevavault.com/ui/#object/email_activity__v/V8C00000004A374", "EN-002105688")</f>
        <v>EN-002105688</v>
      </c>
    </row>
    <row r="4514" spans="1:15" ht="16" x14ac:dyDescent="0.2">
      <c r="A4514" s="18" t="str">
        <f>HYPERLINK("https://otsuka-europe-crm.veevavault.com/ui/#object/account__v/V4TZ025E88Q4O5S", "Ioanna Papadaki")</f>
        <v>Ioanna Papadaki</v>
      </c>
      <c r="B4514" s="18" t="str">
        <f>HYPERLINK("https://otsuka-europe-crm.veevavault.com/ui/#object/vcountry__v/VENZ000004SONFP", "DE")</f>
        <v>DE</v>
      </c>
      <c r="C4514" s="20" t="s">
        <v>43</v>
      </c>
      <c r="D4514" s="21" t="str">
        <f>HYPERLINK("https://otsuka-europe-crm.veevavault.com/ui/#object/approved_document__v/V5O00000001W001", "INA VAE DE – Zulassung INAQOVI Venetoclax")</f>
        <v>INA VAE DE – Zulassung INAQOVI Venetoclax</v>
      </c>
      <c r="E4514" s="22" t="str">
        <f>HYPERLINK("https://otsuka-europe-crm.veevavault.com/ui/#object/sent_email__v/VBL000000038172", "SE-001443868")</f>
        <v>SE-001443868</v>
      </c>
      <c r="F4514" s="25">
        <v>46217.287928240738</v>
      </c>
      <c r="G4514" s="24">
        <v>1</v>
      </c>
      <c r="H4514" s="24">
        <v>2</v>
      </c>
      <c r="I4514" s="24">
        <v>0</v>
      </c>
      <c r="J4514" s="23"/>
      <c r="K4514" s="24">
        <v>0</v>
      </c>
      <c r="L4514" s="22" t="str">
        <f>HYPERLINK("https://otsuka-europe-crm.veevavault.com/ui/#object/approved_document__v/V5O00000001W001", "INA VAE DE – Zulassung INAQOVI Venetoclax")</f>
        <v>INA VAE DE – Zulassung INAQOVI Venetoclax</v>
      </c>
      <c r="M4514" s="22" t="str">
        <f>HYPERLINK("mailto:skiefer@crm.otsuka-europe.com", "skiefer@crm.otsuka-europe.com")</f>
        <v>skiefer@crm.otsuka-europe.com</v>
      </c>
      <c r="N4514" s="25">
        <v>46216.749814814815</v>
      </c>
      <c r="O4514" s="14" t="str">
        <f>HYPERLINK("https://otsuka-europe-crm.veevavault.com/ui/#object/email_activity__v/V8C000000049484", "EN-002105767")</f>
        <v>EN-002105767</v>
      </c>
    </row>
    <row r="4515" spans="1:15" ht="16" x14ac:dyDescent="0.2">
      <c r="A4515" s="26"/>
      <c r="B4515" s="26"/>
      <c r="C4515" s="26"/>
      <c r="D4515" s="26"/>
      <c r="E4515" s="26"/>
      <c r="F4515" s="26"/>
      <c r="G4515" s="26"/>
      <c r="H4515" s="26"/>
      <c r="I4515" s="26"/>
      <c r="J4515" s="26"/>
      <c r="K4515" s="26"/>
      <c r="L4515" s="26"/>
      <c r="M4515" s="26"/>
      <c r="N4515" s="26"/>
      <c r="O4515" s="14" t="str">
        <f>HYPERLINK("https://otsuka-europe-crm.veevavault.com/ui/#object/email_activity__v/V8C00000004A355", "EN-002105657")</f>
        <v>EN-002105657</v>
      </c>
    </row>
    <row r="4516" spans="1:15" ht="16" x14ac:dyDescent="0.2">
      <c r="A4516" s="26"/>
      <c r="B4516" s="26"/>
      <c r="C4516" s="26"/>
      <c r="D4516" s="26"/>
      <c r="E4516" s="26"/>
      <c r="F4516" s="26"/>
      <c r="G4516" s="26"/>
      <c r="H4516" s="26"/>
      <c r="I4516" s="26"/>
      <c r="J4516" s="26"/>
      <c r="K4516" s="26"/>
      <c r="L4516" s="26"/>
      <c r="M4516" s="26"/>
      <c r="N4516" s="26"/>
      <c r="O4516" s="14" t="str">
        <f>HYPERLINK("https://otsuka-europe-crm.veevavault.com/ui/#object/email_activity__v/V8C00000004A370", "EN-002105674")</f>
        <v>EN-002105674</v>
      </c>
    </row>
    <row r="4517" spans="1:15" ht="16" x14ac:dyDescent="0.2">
      <c r="A4517" s="19"/>
      <c r="B4517" s="19"/>
      <c r="C4517" s="19"/>
      <c r="D4517" s="19"/>
      <c r="E4517" s="19"/>
      <c r="F4517" s="19"/>
      <c r="G4517" s="19"/>
      <c r="H4517" s="19"/>
      <c r="I4517" s="19"/>
      <c r="J4517" s="19"/>
      <c r="K4517" s="19"/>
      <c r="L4517" s="19"/>
      <c r="M4517" s="19"/>
      <c r="N4517" s="19"/>
      <c r="O4517" s="14" t="str">
        <f>HYPERLINK("https://otsuka-europe-crm.veevavault.com/ui/#object/email_activity__v/V8C00000004B095", "EN-002106894")</f>
        <v>EN-002106894</v>
      </c>
    </row>
    <row r="4518" spans="1:15" ht="16" x14ac:dyDescent="0.2">
      <c r="A4518" s="18" t="str">
        <f>HYPERLINK("https://otsuka-europe-crm.veevavault.com/ui/#object/account__v/V4TZ000006351B0", "Maritza Lara Valverde")</f>
        <v>Maritza Lara Valverde</v>
      </c>
      <c r="B4518" s="18" t="str">
        <f>HYPERLINK("https://otsuka-europe-crm.veevavault.com/ui/#object/vcountry__v/VENZ000004SONFP", "DE")</f>
        <v>DE</v>
      </c>
      <c r="C4518" s="20" t="s">
        <v>43</v>
      </c>
      <c r="D4518" s="21" t="str">
        <f>HYPERLINK("https://otsuka-europe-crm.veevavault.com/ui/#object/approved_document__v/V5O00000001W001", "INA VAE DE – Zulassung INAQOVI Venetoclax")</f>
        <v>INA VAE DE – Zulassung INAQOVI Venetoclax</v>
      </c>
      <c r="E4518" s="22" t="str">
        <f>HYPERLINK("https://otsuka-europe-crm.veevavault.com/ui/#object/sent_email__v/VBL000000038173", "SE-001443869")</f>
        <v>SE-001443869</v>
      </c>
      <c r="F4518" s="25">
        <v>46216.837766203702</v>
      </c>
      <c r="G4518" s="24">
        <v>1</v>
      </c>
      <c r="H4518" s="24">
        <v>1</v>
      </c>
      <c r="I4518" s="24">
        <v>0</v>
      </c>
      <c r="J4518" s="23"/>
      <c r="K4518" s="24">
        <v>0</v>
      </c>
      <c r="L4518" s="22" t="str">
        <f>HYPERLINK("https://otsuka-europe-crm.veevavault.com/ui/#object/approved_document__v/V5O00000001W001", "INA VAE DE – Zulassung INAQOVI Venetoclax")</f>
        <v>INA VAE DE – Zulassung INAQOVI Venetoclax</v>
      </c>
      <c r="M4518" s="22" t="str">
        <f>HYPERLINK("mailto:skiefer@crm.otsuka-europe.com", "skiefer@crm.otsuka-europe.com")</f>
        <v>skiefer@crm.otsuka-europe.com</v>
      </c>
      <c r="N4518" s="25">
        <v>46216.749814814815</v>
      </c>
      <c r="O4518" s="14" t="str">
        <f>HYPERLINK("https://otsuka-europe-crm.veevavault.com/ui/#object/email_activity__v/V8C00000004A346", "EN-002105648")</f>
        <v>EN-002105648</v>
      </c>
    </row>
    <row r="4519" spans="1:15" ht="16" x14ac:dyDescent="0.2">
      <c r="A4519" s="19"/>
      <c r="B4519" s="19"/>
      <c r="C4519" s="19"/>
      <c r="D4519" s="19"/>
      <c r="E4519" s="19"/>
      <c r="F4519" s="19"/>
      <c r="G4519" s="19"/>
      <c r="H4519" s="19"/>
      <c r="I4519" s="19"/>
      <c r="J4519" s="19"/>
      <c r="K4519" s="19"/>
      <c r="L4519" s="19"/>
      <c r="M4519" s="19"/>
      <c r="N4519" s="19"/>
      <c r="O4519" s="14" t="str">
        <f>HYPERLINK("https://otsuka-europe-crm.veevavault.com/ui/#object/email_activity__v/V8C00000004A378", "EN-002105695")</f>
        <v>EN-002105695</v>
      </c>
    </row>
    <row r="4520" spans="1:15" ht="32" x14ac:dyDescent="0.2">
      <c r="A4520" s="7" t="str">
        <f>HYPERLINK("https://otsuka-europe-crm.veevavault.com/ui/#object/account__v/V4TZ0000062T5J8", "Irmgard Kessler-Rieder")</f>
        <v>Irmgard Kessler-Rieder</v>
      </c>
      <c r="B4520" s="7" t="str">
        <f>HYPERLINK("https://otsuka-europe-crm.veevavault.com/ui/#object/vcountry__v/VENZ000004SONFP", "DE")</f>
        <v>DE</v>
      </c>
      <c r="C4520" s="8" t="s">
        <v>43</v>
      </c>
      <c r="D4520" s="9" t="str">
        <f>HYPERLINK("https://otsuka-europe-crm.veevavault.com/ui/#object/approved_document__v/V5O00000001W001", "INA VAE DE – Zulassung INAQOVI Venetoclax")</f>
        <v>INA VAE DE – Zulassung INAQOVI Venetoclax</v>
      </c>
      <c r="E4520" s="10" t="str">
        <f>HYPERLINK("https://otsuka-europe-crm.veevavault.com/ui/#object/sent_email__v/VBL000000038174", "SE-001443870")</f>
        <v>SE-001443870</v>
      </c>
      <c r="F4520" s="11"/>
      <c r="G4520" s="12">
        <v>0</v>
      </c>
      <c r="H4520" s="12">
        <v>0</v>
      </c>
      <c r="I4520" s="12">
        <v>0</v>
      </c>
      <c r="J4520" s="11"/>
      <c r="K4520" s="12">
        <v>0</v>
      </c>
      <c r="L4520" s="10" t="str">
        <f>HYPERLINK("https://otsuka-europe-crm.veevavault.com/ui/#object/approved_document__v/V5O00000001W001", "INA VAE DE – Zulassung INAQOVI Venetoclax")</f>
        <v>INA VAE DE – Zulassung INAQOVI Venetoclax</v>
      </c>
      <c r="M4520" s="10" t="str">
        <f>HYPERLINK("mailto:skiefer@crm.otsuka-europe.com", "skiefer@crm.otsuka-europe.com")</f>
        <v>skiefer@crm.otsuka-europe.com</v>
      </c>
      <c r="N4520" s="13">
        <v>46216.749768518515</v>
      </c>
      <c r="O4520" s="14" t="str">
        <f>HYPERLINK("https://otsuka-europe-crm.veevavault.com/ui/#object/email_activity__v/V8C00000004A354", "EN-002105656")</f>
        <v>EN-002105656</v>
      </c>
    </row>
    <row r="4521" spans="1:15" ht="32" x14ac:dyDescent="0.2">
      <c r="A4521" s="7" t="str">
        <f>HYPERLINK("https://otsuka-europe-crm.veevavault.com/ui/#object/account__v/V4TZ00000634XKU", "Gesine Bug")</f>
        <v>Gesine Bug</v>
      </c>
      <c r="B4521" s="7" t="str">
        <f>HYPERLINK("https://otsuka-europe-crm.veevavault.com/ui/#object/vcountry__v/VENZ000004SONFP", "DE")</f>
        <v>DE</v>
      </c>
      <c r="C4521" s="8" t="s">
        <v>43</v>
      </c>
      <c r="D4521" s="9" t="str">
        <f>HYPERLINK("https://otsuka-europe-crm.veevavault.com/ui/#object/approved_document__v/V5O00000001W001", "INA VAE DE – Zulassung INAQOVI Venetoclax")</f>
        <v>INA VAE DE – Zulassung INAQOVI Venetoclax</v>
      </c>
      <c r="E4521" s="10" t="str">
        <f>HYPERLINK("https://otsuka-europe-crm.veevavault.com/ui/#object/sent_email__v/VBL000000038175", "SE-001443871")</f>
        <v>SE-001443871</v>
      </c>
      <c r="F4521" s="11"/>
      <c r="G4521" s="12">
        <v>0</v>
      </c>
      <c r="H4521" s="12">
        <v>0</v>
      </c>
      <c r="I4521" s="12">
        <v>0</v>
      </c>
      <c r="J4521" s="11"/>
      <c r="K4521" s="12">
        <v>0</v>
      </c>
      <c r="L4521" s="10" t="str">
        <f>HYPERLINK("https://otsuka-europe-crm.veevavault.com/ui/#object/approved_document__v/V5O00000001W001", "INA VAE DE – Zulassung INAQOVI Venetoclax")</f>
        <v>INA VAE DE – Zulassung INAQOVI Venetoclax</v>
      </c>
      <c r="M4521" s="10" t="str">
        <f>HYPERLINK("mailto:skiefer@crm.otsuka-europe.com", "skiefer@crm.otsuka-europe.com")</f>
        <v>skiefer@crm.otsuka-europe.com</v>
      </c>
      <c r="N4521" s="13">
        <v>46216.749814814815</v>
      </c>
      <c r="O4521" s="14" t="str">
        <f>HYPERLINK("https://otsuka-europe-crm.veevavault.com/ui/#object/email_activity__v/V8C00000004A356", "EN-002105658")</f>
        <v>EN-002105658</v>
      </c>
    </row>
    <row r="4522" spans="1:15" ht="32" x14ac:dyDescent="0.2">
      <c r="A4522" s="7" t="str">
        <f>HYPERLINK("https://otsuka-europe-crm.veevavault.com/ui/#object/account__v/V4TZ04ASGDUDAHZ", "Semra Aydin")</f>
        <v>Semra Aydin</v>
      </c>
      <c r="B4522" s="7" t="str">
        <f>HYPERLINK("https://otsuka-europe-crm.veevavault.com/ui/#object/vcountry__v/VENZ000004SONFP", "DE")</f>
        <v>DE</v>
      </c>
      <c r="C4522" s="8" t="s">
        <v>43</v>
      </c>
      <c r="D4522" s="9" t="str">
        <f>HYPERLINK("https://otsuka-europe-crm.veevavault.com/ui/#object/approved_document__v/V5O00000001W001", "INA VAE DE – Zulassung INAQOVI Venetoclax")</f>
        <v>INA VAE DE – Zulassung INAQOVI Venetoclax</v>
      </c>
      <c r="E4522" s="10" t="str">
        <f>HYPERLINK("https://otsuka-europe-crm.veevavault.com/ui/#object/sent_email__v/VBL000000038176", "SE-001443872")</f>
        <v>SE-001443872</v>
      </c>
      <c r="F4522" s="11"/>
      <c r="G4522" s="12">
        <v>0</v>
      </c>
      <c r="H4522" s="12">
        <v>0</v>
      </c>
      <c r="I4522" s="12">
        <v>0</v>
      </c>
      <c r="J4522" s="11"/>
      <c r="K4522" s="12">
        <v>0</v>
      </c>
      <c r="L4522" s="10" t="str">
        <f>HYPERLINK("https://otsuka-europe-crm.veevavault.com/ui/#object/approved_document__v/V5O00000001W001", "INA VAE DE – Zulassung INAQOVI Venetoclax")</f>
        <v>INA VAE DE – Zulassung INAQOVI Venetoclax</v>
      </c>
      <c r="M4522" s="10" t="str">
        <f>HYPERLINK("mailto:skiefer@crm.otsuka-europe.com", "skiefer@crm.otsuka-europe.com")</f>
        <v>skiefer@crm.otsuka-europe.com</v>
      </c>
      <c r="N4522" s="13">
        <v>46216.749780092592</v>
      </c>
      <c r="O4522" s="14" t="str">
        <f>HYPERLINK("https://otsuka-europe-crm.veevavault.com/ui/#object/email_activity__v/V8C00000004A351", "EN-002105653")</f>
        <v>EN-002105653</v>
      </c>
    </row>
    <row r="4523" spans="1:15" ht="32" x14ac:dyDescent="0.2">
      <c r="A4523" s="7" t="str">
        <f>HYPERLINK("https://otsuka-europe-crm.veevavault.com/ui/#object/account__v/V4T000000020040", "Johanna Breuer")</f>
        <v>Johanna Breuer</v>
      </c>
      <c r="B4523" s="7" t="str">
        <f>HYPERLINK("https://otsuka-europe-crm.veevavault.com/ui/#object/vcountry__v/VENZ000004SONFP", "DE")</f>
        <v>DE</v>
      </c>
      <c r="C4523" s="8" t="s">
        <v>43</v>
      </c>
      <c r="D4523" s="9" t="str">
        <f>HYPERLINK("https://otsuka-europe-crm.veevavault.com/ui/#object/approved_document__v/V5O00000001W001", "INA VAE DE – Zulassung INAQOVI Venetoclax")</f>
        <v>INA VAE DE – Zulassung INAQOVI Venetoclax</v>
      </c>
      <c r="E4523" s="10" t="str">
        <f>HYPERLINK("https://otsuka-europe-crm.veevavault.com/ui/#object/sent_email__v/VBL000000038177", "SE-001443873")</f>
        <v>SE-001443873</v>
      </c>
      <c r="F4523" s="11"/>
      <c r="G4523" s="12">
        <v>0</v>
      </c>
      <c r="H4523" s="12">
        <v>0</v>
      </c>
      <c r="I4523" s="12">
        <v>0</v>
      </c>
      <c r="J4523" s="11"/>
      <c r="K4523" s="12">
        <v>0</v>
      </c>
      <c r="L4523" s="10" t="str">
        <f>HYPERLINK("https://otsuka-europe-crm.veevavault.com/ui/#object/approved_document__v/V5O00000001W001", "INA VAE DE – Zulassung INAQOVI Venetoclax")</f>
        <v>INA VAE DE – Zulassung INAQOVI Venetoclax</v>
      </c>
      <c r="M4523" s="10" t="str">
        <f>HYPERLINK("mailto:skiefer@crm.otsuka-europe.com", "skiefer@crm.otsuka-europe.com")</f>
        <v>skiefer@crm.otsuka-europe.com</v>
      </c>
      <c r="N4523" s="13">
        <v>46216.749814814815</v>
      </c>
      <c r="O4523" s="14" t="str">
        <f>HYPERLINK("https://otsuka-europe-crm.veevavault.com/ui/#object/email_activity__v/V8C00000004A349", "EN-002105651")</f>
        <v>EN-002105651</v>
      </c>
    </row>
    <row r="4524" spans="1:15" ht="16" x14ac:dyDescent="0.2">
      <c r="A4524" s="18" t="str">
        <f>HYPERLINK("https://otsuka-europe-crm.veevavault.com/ui/#object/account__v/V4T000000012109", "Eilidh Schäfer")</f>
        <v>Eilidh Schäfer</v>
      </c>
      <c r="B4524" s="18" t="str">
        <f>HYPERLINK("https://otsuka-europe-crm.veevavault.com/ui/#object/vcountry__v/VENZ000004SONFP", "DE")</f>
        <v>DE</v>
      </c>
      <c r="C4524" s="20" t="s">
        <v>43</v>
      </c>
      <c r="D4524" s="21" t="str">
        <f>HYPERLINK("https://otsuka-europe-crm.veevavault.com/ui/#object/approved_document__v/V5O00000001W001", "INA VAE DE – Zulassung INAQOVI Venetoclax")</f>
        <v>INA VAE DE – Zulassung INAQOVI Venetoclax</v>
      </c>
      <c r="E4524" s="22" t="str">
        <f>HYPERLINK("https://otsuka-europe-crm.veevavault.com/ui/#object/sent_email__v/VBL000000038178", "SE-001443874")</f>
        <v>SE-001443874</v>
      </c>
      <c r="F4524" s="23"/>
      <c r="G4524" s="24">
        <v>0</v>
      </c>
      <c r="H4524" s="24">
        <v>0</v>
      </c>
      <c r="I4524" s="24">
        <v>0</v>
      </c>
      <c r="J4524" s="23"/>
      <c r="K4524" s="24">
        <v>0</v>
      </c>
      <c r="L4524" s="22" t="str">
        <f>HYPERLINK("https://otsuka-europe-crm.veevavault.com/ui/#object/approved_document__v/V5O00000001W001", "INA VAE DE – Zulassung INAQOVI Venetoclax")</f>
        <v>INA VAE DE – Zulassung INAQOVI Venetoclax</v>
      </c>
      <c r="M4524" s="22" t="str">
        <f>HYPERLINK("mailto:skiefer@crm.otsuka-europe.com", "skiefer@crm.otsuka-europe.com")</f>
        <v>skiefer@crm.otsuka-europe.com</v>
      </c>
      <c r="N4524" s="25">
        <v>46216.749814814815</v>
      </c>
      <c r="O4524" s="14" t="str">
        <f>HYPERLINK("https://otsuka-europe-crm.veevavault.com/ui/#object/email_activity__v/V8C00000004A357", "EN-002105659")</f>
        <v>EN-002105659</v>
      </c>
    </row>
    <row r="4525" spans="1:15" ht="16" x14ac:dyDescent="0.2">
      <c r="A4525" s="19"/>
      <c r="B4525" s="19"/>
      <c r="C4525" s="19"/>
      <c r="D4525" s="19"/>
      <c r="E4525" s="19"/>
      <c r="F4525" s="19"/>
      <c r="G4525" s="19"/>
      <c r="H4525" s="19"/>
      <c r="I4525" s="19"/>
      <c r="J4525" s="19"/>
      <c r="K4525" s="19"/>
      <c r="L4525" s="19"/>
      <c r="M4525" s="19"/>
      <c r="N4525" s="19"/>
      <c r="O4525" s="14" t="str">
        <f>HYPERLINK("https://otsuka-europe-crm.veevavault.com/ui/#object/email_activity__v/V8C00000004C528", "EN-002108030")</f>
        <v>EN-002108030</v>
      </c>
    </row>
    <row r="4526" spans="1:15" ht="32" x14ac:dyDescent="0.2">
      <c r="A4526" s="7" t="str">
        <f>HYPERLINK("https://otsuka-europe-crm.veevavault.com/ui/#object/account__v/V4TZ0000062T5WM", "Yon-Dschun Ko")</f>
        <v>Yon-Dschun Ko</v>
      </c>
      <c r="B4526" s="7" t="str">
        <f>HYPERLINK("https://otsuka-europe-crm.veevavault.com/ui/#object/vcountry__v/VENZ000004SONFP", "DE")</f>
        <v>DE</v>
      </c>
      <c r="C4526" s="8" t="s">
        <v>43</v>
      </c>
      <c r="D4526" s="9" t="str">
        <f>HYPERLINK("https://otsuka-europe-crm.veevavault.com/ui/#object/approved_document__v/V5O00000001W001", "INA VAE DE – Zulassung INAQOVI Venetoclax")</f>
        <v>INA VAE DE – Zulassung INAQOVI Venetoclax</v>
      </c>
      <c r="E4526" s="10" t="str">
        <f>HYPERLINK("https://otsuka-europe-crm.veevavault.com/ui/#object/sent_email__v/VBL000000038179", "SE-001443875")</f>
        <v>SE-001443875</v>
      </c>
      <c r="F4526" s="11"/>
      <c r="G4526" s="12">
        <v>0</v>
      </c>
      <c r="H4526" s="12">
        <v>0</v>
      </c>
      <c r="I4526" s="12">
        <v>0</v>
      </c>
      <c r="J4526" s="11"/>
      <c r="K4526" s="12">
        <v>0</v>
      </c>
      <c r="L4526" s="10" t="str">
        <f>HYPERLINK("https://otsuka-europe-crm.veevavault.com/ui/#object/approved_document__v/V5O00000001W001", "INA VAE DE – Zulassung INAQOVI Venetoclax")</f>
        <v>INA VAE DE – Zulassung INAQOVI Venetoclax</v>
      </c>
      <c r="M4526" s="10" t="str">
        <f>HYPERLINK("mailto:skiefer@crm.otsuka-europe.com", "skiefer@crm.otsuka-europe.com")</f>
        <v>skiefer@crm.otsuka-europe.com</v>
      </c>
      <c r="N4526" s="13">
        <v>46216.749849537038</v>
      </c>
      <c r="O4526" s="14" t="str">
        <f>HYPERLINK("https://otsuka-europe-crm.veevavault.com/ui/#object/email_activity__v/V8C00000004A345", "EN-002105647")</f>
        <v>EN-002105647</v>
      </c>
    </row>
    <row r="4527" spans="1:15" ht="32" x14ac:dyDescent="0.2">
      <c r="A4527" s="7" t="str">
        <f>HYPERLINK("https://otsuka-europe-crm.veevavault.com/ui/#object/account__v/V4TZ025E878Z71P", "Lisa Meffert")</f>
        <v>Lisa Meffert</v>
      </c>
      <c r="B4527" s="7" t="str">
        <f>HYPERLINK("https://otsuka-europe-crm.veevavault.com/ui/#object/vcountry__v/VENZ000004SONFP", "DE")</f>
        <v>DE</v>
      </c>
      <c r="C4527" s="8" t="s">
        <v>43</v>
      </c>
      <c r="D4527" s="9" t="str">
        <f>HYPERLINK("https://otsuka-europe-crm.veevavault.com/ui/#object/approved_document__v/V5O00000001W001", "INA VAE DE – Zulassung INAQOVI Venetoclax")</f>
        <v>INA VAE DE – Zulassung INAQOVI Venetoclax</v>
      </c>
      <c r="E4527" s="10" t="str">
        <f>HYPERLINK("https://otsuka-europe-crm.veevavault.com/ui/#object/sent_email__v/VBL000000038180", "SE-001443876")</f>
        <v>SE-001443876</v>
      </c>
      <c r="F4527" s="11"/>
      <c r="G4527" s="12">
        <v>0</v>
      </c>
      <c r="H4527" s="12">
        <v>0</v>
      </c>
      <c r="I4527" s="12">
        <v>0</v>
      </c>
      <c r="J4527" s="11"/>
      <c r="K4527" s="12">
        <v>0</v>
      </c>
      <c r="L4527" s="10" t="str">
        <f>HYPERLINK("https://otsuka-europe-crm.veevavault.com/ui/#object/approved_document__v/V5O00000001W001", "INA VAE DE – Zulassung INAQOVI Venetoclax")</f>
        <v>INA VAE DE – Zulassung INAQOVI Venetoclax</v>
      </c>
      <c r="M4527" s="10" t="str">
        <f>HYPERLINK("mailto:skiefer@crm.otsuka-europe.com", "skiefer@crm.otsuka-europe.com")</f>
        <v>skiefer@crm.otsuka-europe.com</v>
      </c>
      <c r="N4527" s="13">
        <v>46216.749814814815</v>
      </c>
      <c r="O4527" s="14" t="str">
        <f>HYPERLINK("https://otsuka-europe-crm.veevavault.com/ui/#object/email_activity__v/V8C00000004A358", "EN-002105660")</f>
        <v>EN-002105660</v>
      </c>
    </row>
    <row r="4528" spans="1:15" ht="16" x14ac:dyDescent="0.2">
      <c r="A4528" s="18" t="str">
        <f>HYPERLINK("https://otsuka-europe-crm.veevavault.com/ui/#object/account__v/V4TZ06G6O71TDBQ", "DANIEL POZO DE COS ESTRADA")</f>
        <v>DANIEL POZO DE COS ESTRADA</v>
      </c>
      <c r="B4528" s="18" t="str">
        <f>HYPERLINK("https://otsuka-europe-crm.veevavault.com/ui/#object/vcountry__v/VENZ000004SONF5", "ES")</f>
        <v>ES</v>
      </c>
      <c r="C4528" s="20" t="s">
        <v>39</v>
      </c>
      <c r="D4528" s="21" t="str">
        <f>HYPERLINK("https://otsuka-europe-crm.veevavault.com/ui/#object/approved_document__v/V5OZ04ASG4FWKA9", "Documento Autorizaciขn Centro Empleador")</f>
        <v>Documento Autorizaciขn Centro Empleador</v>
      </c>
      <c r="E4528" s="22" t="str">
        <f>HYPERLINK("https://otsuka-europe-crm.veevavault.com/ui/#object/sent_email__v/VBL000000037208", "SE-001443877")</f>
        <v>SE-001443877</v>
      </c>
      <c r="F4528" s="25">
        <v>46217.338738425926</v>
      </c>
      <c r="G4528" s="24">
        <v>1</v>
      </c>
      <c r="H4528" s="24">
        <v>3</v>
      </c>
      <c r="I4528" s="24">
        <v>1</v>
      </c>
      <c r="J4528" s="25">
        <v>46217.338969907411</v>
      </c>
      <c r="K4528" s="24">
        <v>4</v>
      </c>
      <c r="L4528" s="22" t="str">
        <f>HYPERLINK("https://otsuka-europe-crm.veevavault.com/ui/#object/approved_document__v/V5OZ04ASG4FWKA9", "Documento Autorizaciขn Centro Empleador")</f>
        <v>Documento Autorizaciขn Centro Empleador</v>
      </c>
      <c r="M4528" s="22" t="str">
        <f>HYPERLINK("mailto:mgravan@crm.otsuka-europe.com", "mgravan@crm.otsuka-europe.com")</f>
        <v>mgravan@crm.otsuka-europe.com</v>
      </c>
      <c r="N4528" s="25">
        <v>46217.332951388889</v>
      </c>
      <c r="O4528" s="14" t="str">
        <f>HYPERLINK("https://otsuka-europe-crm.veevavault.com/ui/#object/email_activity__v/V8C000000049493", "EN-002105780")</f>
        <v>EN-002105780</v>
      </c>
    </row>
    <row r="4529" spans="1:15" ht="16" x14ac:dyDescent="0.2">
      <c r="A4529" s="26"/>
      <c r="B4529" s="26"/>
      <c r="C4529" s="26"/>
      <c r="D4529" s="26"/>
      <c r="E4529" s="26"/>
      <c r="F4529" s="26"/>
      <c r="G4529" s="26"/>
      <c r="H4529" s="26"/>
      <c r="I4529" s="26"/>
      <c r="J4529" s="26"/>
      <c r="K4529" s="26"/>
      <c r="L4529" s="26"/>
      <c r="M4529" s="26"/>
      <c r="N4529" s="26"/>
      <c r="O4529" s="14" t="str">
        <f>HYPERLINK("https://otsuka-europe-crm.veevavault.com/ui/#object/email_activity__v/V8C000000049502", "EN-002105790")</f>
        <v>EN-002105790</v>
      </c>
    </row>
    <row r="4530" spans="1:15" ht="16" x14ac:dyDescent="0.2">
      <c r="A4530" s="26"/>
      <c r="B4530" s="26"/>
      <c r="C4530" s="26"/>
      <c r="D4530" s="26"/>
      <c r="E4530" s="26"/>
      <c r="F4530" s="26"/>
      <c r="G4530" s="26"/>
      <c r="H4530" s="26"/>
      <c r="I4530" s="26"/>
      <c r="J4530" s="26"/>
      <c r="K4530" s="26"/>
      <c r="L4530" s="26"/>
      <c r="M4530" s="26"/>
      <c r="N4530" s="26"/>
      <c r="O4530" s="14" t="str">
        <f>HYPERLINK("https://otsuka-europe-crm.veevavault.com/ui/#object/email_activity__v/V8C000000049503", "EN-002105792")</f>
        <v>EN-002105792</v>
      </c>
    </row>
    <row r="4531" spans="1:15" ht="16" x14ac:dyDescent="0.2">
      <c r="A4531" s="26"/>
      <c r="B4531" s="26"/>
      <c r="C4531" s="26"/>
      <c r="D4531" s="26"/>
      <c r="E4531" s="26"/>
      <c r="F4531" s="26"/>
      <c r="G4531" s="26"/>
      <c r="H4531" s="26"/>
      <c r="I4531" s="26"/>
      <c r="J4531" s="26"/>
      <c r="K4531" s="26"/>
      <c r="L4531" s="26"/>
      <c r="M4531" s="26"/>
      <c r="N4531" s="26"/>
      <c r="O4531" s="14" t="str">
        <f>HYPERLINK("https://otsuka-europe-crm.veevavault.com/ui/#object/email_activity__v/V8C000000049504", "EN-002105793")</f>
        <v>EN-002105793</v>
      </c>
    </row>
    <row r="4532" spans="1:15" ht="16" x14ac:dyDescent="0.2">
      <c r="A4532" s="26"/>
      <c r="B4532" s="26"/>
      <c r="C4532" s="26"/>
      <c r="D4532" s="26"/>
      <c r="E4532" s="26"/>
      <c r="F4532" s="26"/>
      <c r="G4532" s="26"/>
      <c r="H4532" s="26"/>
      <c r="I4532" s="26"/>
      <c r="J4532" s="26"/>
      <c r="K4532" s="26"/>
      <c r="L4532" s="26"/>
      <c r="M4532" s="26"/>
      <c r="N4532" s="26"/>
      <c r="O4532" s="14" t="str">
        <f>HYPERLINK("https://otsuka-europe-crm.veevavault.com/ui/#object/email_activity__v/V8C000000049836", "EN-002106520")</f>
        <v>EN-002106520</v>
      </c>
    </row>
    <row r="4533" spans="1:15" ht="16" x14ac:dyDescent="0.2">
      <c r="A4533" s="26"/>
      <c r="B4533" s="26"/>
      <c r="C4533" s="26"/>
      <c r="D4533" s="26"/>
      <c r="E4533" s="26"/>
      <c r="F4533" s="26"/>
      <c r="G4533" s="26"/>
      <c r="H4533" s="26"/>
      <c r="I4533" s="26"/>
      <c r="J4533" s="26"/>
      <c r="K4533" s="26"/>
      <c r="L4533" s="26"/>
      <c r="M4533" s="26"/>
      <c r="N4533" s="26"/>
      <c r="O4533" s="14" t="str">
        <f>HYPERLINK("https://otsuka-europe-crm.veevavault.com/ui/#object/email_activity__v/V8C00000004A422", "EN-002105789")</f>
        <v>EN-002105789</v>
      </c>
    </row>
    <row r="4534" spans="1:15" ht="16" x14ac:dyDescent="0.2">
      <c r="A4534" s="26"/>
      <c r="B4534" s="26"/>
      <c r="C4534" s="26"/>
      <c r="D4534" s="26"/>
      <c r="E4534" s="26"/>
      <c r="F4534" s="26"/>
      <c r="G4534" s="26"/>
      <c r="H4534" s="26"/>
      <c r="I4534" s="26"/>
      <c r="J4534" s="26"/>
      <c r="K4534" s="26"/>
      <c r="L4534" s="26"/>
      <c r="M4534" s="26"/>
      <c r="N4534" s="26"/>
      <c r="O4534" s="14" t="str">
        <f>HYPERLINK("https://otsuka-europe-crm.veevavault.com/ui/#object/email_activity__v/V8C00000004A423", "EN-002105791")</f>
        <v>EN-002105791</v>
      </c>
    </row>
    <row r="4535" spans="1:15" ht="16" x14ac:dyDescent="0.2">
      <c r="A4535" s="26"/>
      <c r="B4535" s="26"/>
      <c r="C4535" s="26"/>
      <c r="D4535" s="26"/>
      <c r="E4535" s="26"/>
      <c r="F4535" s="26"/>
      <c r="G4535" s="26"/>
      <c r="H4535" s="26"/>
      <c r="I4535" s="26"/>
      <c r="J4535" s="26"/>
      <c r="K4535" s="26"/>
      <c r="L4535" s="26"/>
      <c r="M4535" s="26"/>
      <c r="N4535" s="26"/>
      <c r="O4535" s="14" t="str">
        <f>HYPERLINK("https://otsuka-europe-crm.veevavault.com/ui/#object/email_activity__v/V8C00000004A424", "EN-002105794")</f>
        <v>EN-002105794</v>
      </c>
    </row>
    <row r="4536" spans="1:15" ht="16" x14ac:dyDescent="0.2">
      <c r="A4536" s="19"/>
      <c r="B4536" s="19"/>
      <c r="C4536" s="19"/>
      <c r="D4536" s="19"/>
      <c r="E4536" s="19"/>
      <c r="F4536" s="19"/>
      <c r="G4536" s="19"/>
      <c r="H4536" s="19"/>
      <c r="I4536" s="19"/>
      <c r="J4536" s="19"/>
      <c r="K4536" s="19"/>
      <c r="L4536" s="19"/>
      <c r="M4536" s="19"/>
      <c r="N4536" s="19"/>
      <c r="O4536" s="14" t="str">
        <f>HYPERLINK("https://otsuka-europe-crm.veevavault.com/ui/#object/email_activity__v/V8C00000004A425", "EN-002105795")</f>
        <v>EN-002105795</v>
      </c>
    </row>
    <row r="4537" spans="1:15" ht="16" x14ac:dyDescent="0.2">
      <c r="A4537" s="18" t="str">
        <f>HYPERLINK("https://otsuka-europe-crm.veevavault.com/ui/#object/account__v/V4TZ04ASG6OVQRA", "MARIA CABALLERO ALAMEDA")</f>
        <v>MARIA CABALLERO ALAMEDA</v>
      </c>
      <c r="B4537" s="18" t="str">
        <f>HYPERLINK("https://otsuka-europe-crm.veevavault.com/ui/#object/vcountry__v/VENZ000004SONF5", "ES")</f>
        <v>ES</v>
      </c>
      <c r="C4537" s="20" t="s">
        <v>39</v>
      </c>
      <c r="D4537" s="21" t="str">
        <f>HYPERLINK("https://otsuka-europe-crm.veevavault.com/ui/#object/approved_document__v/V5OZ04ASG4FWKA9", "Documento Autorizaciขn Centro Empleador")</f>
        <v>Documento Autorizaciขn Centro Empleador</v>
      </c>
      <c r="E4537" s="22" t="str">
        <f>HYPERLINK("https://otsuka-europe-crm.veevavault.com/ui/#object/sent_email__v/VBL000000038181", "SE-001443878")</f>
        <v>SE-001443878</v>
      </c>
      <c r="F4537" s="25">
        <v>46217.334004629629</v>
      </c>
      <c r="G4537" s="24">
        <v>1</v>
      </c>
      <c r="H4537" s="24">
        <v>1</v>
      </c>
      <c r="I4537" s="24">
        <v>1</v>
      </c>
      <c r="J4537" s="25">
        <v>46217.335243055553</v>
      </c>
      <c r="K4537" s="24">
        <v>2</v>
      </c>
      <c r="L4537" s="22" t="str">
        <f>HYPERLINK("https://otsuka-europe-crm.veevavault.com/ui/#object/approved_document__v/V5OZ04ASG4FWKA9", "Documento Autorizaciขn Centro Empleador")</f>
        <v>Documento Autorizaciขn Centro Empleador</v>
      </c>
      <c r="M4537" s="22" t="str">
        <f>HYPERLINK("mailto:mgravan@crm.otsuka-europe.com", "mgravan@crm.otsuka-europe.com")</f>
        <v>mgravan@crm.otsuka-europe.com</v>
      </c>
      <c r="N4537" s="25">
        <v>46217.333287037036</v>
      </c>
      <c r="O4537" s="14" t="str">
        <f>HYPERLINK("https://otsuka-europe-crm.veevavault.com/ui/#object/email_activity__v/V8C000000049494", "EN-002105781")</f>
        <v>EN-002105781</v>
      </c>
    </row>
    <row r="4538" spans="1:15" ht="16" x14ac:dyDescent="0.2">
      <c r="A4538" s="26"/>
      <c r="B4538" s="26"/>
      <c r="C4538" s="26"/>
      <c r="D4538" s="26"/>
      <c r="E4538" s="26"/>
      <c r="F4538" s="26"/>
      <c r="G4538" s="26"/>
      <c r="H4538" s="26"/>
      <c r="I4538" s="26"/>
      <c r="J4538" s="26"/>
      <c r="K4538" s="26"/>
      <c r="L4538" s="26"/>
      <c r="M4538" s="26"/>
      <c r="N4538" s="26"/>
      <c r="O4538" s="14" t="str">
        <f>HYPERLINK("https://otsuka-europe-crm.veevavault.com/ui/#object/email_activity__v/V8C000000049496", "EN-002105784")</f>
        <v>EN-002105784</v>
      </c>
    </row>
    <row r="4539" spans="1:15" ht="16" x14ac:dyDescent="0.2">
      <c r="A4539" s="26"/>
      <c r="B4539" s="26"/>
      <c r="C4539" s="26"/>
      <c r="D4539" s="26"/>
      <c r="E4539" s="26"/>
      <c r="F4539" s="26"/>
      <c r="G4539" s="26"/>
      <c r="H4539" s="26"/>
      <c r="I4539" s="26"/>
      <c r="J4539" s="26"/>
      <c r="K4539" s="26"/>
      <c r="L4539" s="26"/>
      <c r="M4539" s="26"/>
      <c r="N4539" s="26"/>
      <c r="O4539" s="14" t="str">
        <f>HYPERLINK("https://otsuka-europe-crm.veevavault.com/ui/#object/email_activity__v/V8C000000049497", "EN-002105783")</f>
        <v>EN-002105783</v>
      </c>
    </row>
    <row r="4540" spans="1:15" ht="16" x14ac:dyDescent="0.2">
      <c r="A4540" s="26"/>
      <c r="B4540" s="26"/>
      <c r="C4540" s="26"/>
      <c r="D4540" s="26"/>
      <c r="E4540" s="26"/>
      <c r="F4540" s="26"/>
      <c r="G4540" s="26"/>
      <c r="H4540" s="26"/>
      <c r="I4540" s="26"/>
      <c r="J4540" s="26"/>
      <c r="K4540" s="26"/>
      <c r="L4540" s="26"/>
      <c r="M4540" s="26"/>
      <c r="N4540" s="26"/>
      <c r="O4540" s="14" t="str">
        <f>HYPERLINK("https://otsuka-europe-crm.veevavault.com/ui/#object/email_activity__v/V8C000000049498", "EN-002105785")</f>
        <v>EN-002105785</v>
      </c>
    </row>
    <row r="4541" spans="1:15" ht="16" x14ac:dyDescent="0.2">
      <c r="A4541" s="26"/>
      <c r="B4541" s="26"/>
      <c r="C4541" s="26"/>
      <c r="D4541" s="26"/>
      <c r="E4541" s="26"/>
      <c r="F4541" s="26"/>
      <c r="G4541" s="26"/>
      <c r="H4541" s="26"/>
      <c r="I4541" s="26"/>
      <c r="J4541" s="26"/>
      <c r="K4541" s="26"/>
      <c r="L4541" s="26"/>
      <c r="M4541" s="26"/>
      <c r="N4541" s="26"/>
      <c r="O4541" s="14" t="str">
        <f>HYPERLINK("https://otsuka-europe-crm.veevavault.com/ui/#object/email_activity__v/V8C000000049500", "EN-002105787")</f>
        <v>EN-002105787</v>
      </c>
    </row>
    <row r="4542" spans="1:15" ht="16" x14ac:dyDescent="0.2">
      <c r="A4542" s="26"/>
      <c r="B4542" s="26"/>
      <c r="C4542" s="26"/>
      <c r="D4542" s="26"/>
      <c r="E4542" s="26"/>
      <c r="F4542" s="26"/>
      <c r="G4542" s="26"/>
      <c r="H4542" s="26"/>
      <c r="I4542" s="26"/>
      <c r="J4542" s="26"/>
      <c r="K4542" s="26"/>
      <c r="L4542" s="26"/>
      <c r="M4542" s="26"/>
      <c r="N4542" s="26"/>
      <c r="O4542" s="14" t="str">
        <f>HYPERLINK("https://otsuka-europe-crm.veevavault.com/ui/#object/email_activity__v/V8C00000004C220", "EN-002107241")</f>
        <v>EN-002107241</v>
      </c>
    </row>
    <row r="4543" spans="1:15" ht="16" x14ac:dyDescent="0.2">
      <c r="A4543" s="26"/>
      <c r="B4543" s="26"/>
      <c r="C4543" s="26"/>
      <c r="D4543" s="26"/>
      <c r="E4543" s="26"/>
      <c r="F4543" s="26"/>
      <c r="G4543" s="26"/>
      <c r="H4543" s="26"/>
      <c r="I4543" s="26"/>
      <c r="J4543" s="26"/>
      <c r="K4543" s="26"/>
      <c r="L4543" s="26"/>
      <c r="M4543" s="26"/>
      <c r="N4543" s="26"/>
      <c r="O4543" s="14" t="str">
        <f>HYPERLINK("https://otsuka-europe-crm.veevavault.com/ui/#object/email_activity__v/V8C00000004D710", "EN-002109517")</f>
        <v>EN-002109517</v>
      </c>
    </row>
    <row r="4544" spans="1:15" ht="16" x14ac:dyDescent="0.2">
      <c r="A4544" s="19"/>
      <c r="B4544" s="19"/>
      <c r="C4544" s="19"/>
      <c r="D4544" s="19"/>
      <c r="E4544" s="19"/>
      <c r="F4544" s="19"/>
      <c r="G4544" s="19"/>
      <c r="H4544" s="19"/>
      <c r="I4544" s="19"/>
      <c r="J4544" s="19"/>
      <c r="K4544" s="19"/>
      <c r="L4544" s="19"/>
      <c r="M4544" s="19"/>
      <c r="N4544" s="19"/>
      <c r="O4544" s="14" t="str">
        <f>HYPERLINK("https://otsuka-europe-crm.veevavault.com/ui/#object/email_activity__v/V8C00000004G666", "EN-002110950")</f>
        <v>EN-002110950</v>
      </c>
    </row>
    <row r="4545" spans="1:15" ht="32" x14ac:dyDescent="0.2">
      <c r="A4545" s="7" t="str">
        <f>HYPERLINK("https://otsuka-europe-crm.veevavault.com/ui/#object/account__v/V4TZ0000062R71J", "Faton Dushi")</f>
        <v>Faton Dushi</v>
      </c>
      <c r="B4545" s="7" t="str">
        <f>HYPERLINK("https://otsuka-europe-crm.veevavault.com/ui/#object/vcountry__v/VENZ000004SONFN", "CH")</f>
        <v>CH</v>
      </c>
      <c r="C4545" s="8" t="s">
        <v>45</v>
      </c>
      <c r="D4545" s="9" t="str">
        <f>HYPERLINK("https://otsuka-europe-crm.veevavault.com/ui/#object/approved_document__v/V5O00000001L016", "ALL_Flexibilität_Ferienplanung_2026_AA_de")</f>
        <v>ALL_Flexibilität_Ferienplanung_2026_AA_de</v>
      </c>
      <c r="E4545" s="10" t="str">
        <f>HYPERLINK("https://otsuka-europe-crm.veevavault.com/ui/#object/sent_email__v/VBL000000037209", "SE-001443879")</f>
        <v>SE-001443879</v>
      </c>
      <c r="F4545" s="11"/>
      <c r="G4545" s="12">
        <v>0</v>
      </c>
      <c r="H4545" s="12">
        <v>0</v>
      </c>
      <c r="I4545" s="12">
        <v>0</v>
      </c>
      <c r="J4545" s="11"/>
      <c r="K4545" s="12">
        <v>0</v>
      </c>
      <c r="L4545" s="10" t="str">
        <f>HYPERLINK("https://otsuka-europe-crm.veevavault.com/ui/#object/approved_document__v/V5O00000001L016", "ALL_Flexibilität_Ferienplanung_2026_AA_de")</f>
        <v>ALL_Flexibilität_Ferienplanung_2026_AA_de</v>
      </c>
      <c r="M4545" s="10" t="str">
        <f>HYPERLINK("mailto:dharder@crm.otsuka-europe.com", "dharder@crm.otsuka-europe.com")</f>
        <v>dharder@crm.otsuka-europe.com</v>
      </c>
      <c r="N4545" s="13">
        <v>46217.370694444442</v>
      </c>
      <c r="O4545" s="14" t="str">
        <f>HYPERLINK("https://otsuka-europe-crm.veevavault.com/ui/#object/email_activity__v/V8C00000004A428", "EN-002105803")</f>
        <v>EN-002105803</v>
      </c>
    </row>
    <row r="4546" spans="1:15" ht="32" x14ac:dyDescent="0.2">
      <c r="A4546" s="7" t="str">
        <f>HYPERLINK("https://otsuka-europe-crm.veevavault.com/ui/#object/account__v/V4TZ0000062SGOD", "René Treier")</f>
        <v>René Treier</v>
      </c>
      <c r="B4546" s="7" t="str">
        <f>HYPERLINK("https://otsuka-europe-crm.veevavault.com/ui/#object/vcountry__v/VENZ000004SONFN", "CH")</f>
        <v>CH</v>
      </c>
      <c r="C4546" s="8" t="s">
        <v>45</v>
      </c>
      <c r="D4546" s="9" t="str">
        <f>HYPERLINK("https://otsuka-europe-crm.veevavault.com/ui/#object/approved_document__v/V5O00000001L016", "ALL_Flexibilität_Ferienplanung_2026_AA_de")</f>
        <v>ALL_Flexibilität_Ferienplanung_2026_AA_de</v>
      </c>
      <c r="E4546" s="10" t="str">
        <f>HYPERLINK("https://otsuka-europe-crm.veevavault.com/ui/#object/sent_email__v/VBL000000037210", "SE-001443880")</f>
        <v>SE-001443880</v>
      </c>
      <c r="F4546" s="11"/>
      <c r="G4546" s="12">
        <v>0</v>
      </c>
      <c r="H4546" s="12">
        <v>0</v>
      </c>
      <c r="I4546" s="12">
        <v>0</v>
      </c>
      <c r="J4546" s="11"/>
      <c r="K4546" s="12">
        <v>0</v>
      </c>
      <c r="L4546" s="10" t="str">
        <f>HYPERLINK("https://otsuka-europe-crm.veevavault.com/ui/#object/approved_document__v/V5O00000001L016", "ALL_Flexibilität_Ferienplanung_2026_AA_de")</f>
        <v>ALL_Flexibilität_Ferienplanung_2026_AA_de</v>
      </c>
      <c r="M4546" s="10" t="str">
        <f>HYPERLINK("mailto:dharder@crm.otsuka-europe.com", "dharder@crm.otsuka-europe.com")</f>
        <v>dharder@crm.otsuka-europe.com</v>
      </c>
      <c r="N4546" s="13">
        <v>46217.371365740742</v>
      </c>
      <c r="O4546" s="14" t="str">
        <f>HYPERLINK("https://otsuka-europe-crm.veevavault.com/ui/#object/email_activity__v/V8C000000049510", "EN-002105804")</f>
        <v>EN-002105804</v>
      </c>
    </row>
    <row r="4547" spans="1:15" ht="16" x14ac:dyDescent="0.2">
      <c r="A4547" s="18" t="str">
        <f>HYPERLINK("https://otsuka-europe-crm.veevavault.com/ui/#object/account__v/V4TZ0000062SGSF", "Daniel van der Lem")</f>
        <v>Daniel van der Lem</v>
      </c>
      <c r="B4547" s="18" t="str">
        <f>HYPERLINK("https://otsuka-europe-crm.veevavault.com/ui/#object/vcountry__v/VENZ000004SONFN", "CH")</f>
        <v>CH</v>
      </c>
      <c r="C4547" s="20" t="s">
        <v>45</v>
      </c>
      <c r="D4547" s="21" t="str">
        <f>HYPERLINK("https://otsuka-europe-crm.veevavault.com/ui/#object/approved_document__v/V5O00000001L016", "ALL_Flexibilität_Ferienplanung_2026_AA_de")</f>
        <v>ALL_Flexibilität_Ferienplanung_2026_AA_de</v>
      </c>
      <c r="E4547" s="22" t="str">
        <f>HYPERLINK("https://otsuka-europe-crm.veevavault.com/ui/#object/sent_email__v/VBL000000037211", "SE-001443881")</f>
        <v>SE-001443881</v>
      </c>
      <c r="F4547" s="23"/>
      <c r="G4547" s="24">
        <v>0</v>
      </c>
      <c r="H4547" s="24">
        <v>0</v>
      </c>
      <c r="I4547" s="24">
        <v>0</v>
      </c>
      <c r="J4547" s="23"/>
      <c r="K4547" s="24">
        <v>0</v>
      </c>
      <c r="L4547" s="22" t="str">
        <f>HYPERLINK("https://otsuka-europe-crm.veevavault.com/ui/#object/approved_document__v/V5O00000001L016", "ALL_Flexibilität_Ferienplanung_2026_AA_de")</f>
        <v>ALL_Flexibilität_Ferienplanung_2026_AA_de</v>
      </c>
      <c r="M4547" s="22" t="str">
        <f>HYPERLINK("mailto:dharder@crm.otsuka-europe.com", "dharder@crm.otsuka-europe.com")</f>
        <v>dharder@crm.otsuka-europe.com</v>
      </c>
      <c r="N4547" s="25">
        <v>46217.372060185182</v>
      </c>
      <c r="O4547" s="14" t="str">
        <f>HYPERLINK("https://otsuka-europe-crm.veevavault.com/ui/#object/email_activity__v/V8C000000049511", "EN-002105805")</f>
        <v>EN-002105805</v>
      </c>
    </row>
    <row r="4548" spans="1:15" ht="16" x14ac:dyDescent="0.2">
      <c r="A4548" s="19"/>
      <c r="B4548" s="19"/>
      <c r="C4548" s="19"/>
      <c r="D4548" s="19"/>
      <c r="E4548" s="19"/>
      <c r="F4548" s="19"/>
      <c r="G4548" s="19"/>
      <c r="H4548" s="19"/>
      <c r="I4548" s="19"/>
      <c r="J4548" s="19"/>
      <c r="K4548" s="19"/>
      <c r="L4548" s="19"/>
      <c r="M4548" s="19"/>
      <c r="N4548" s="19"/>
      <c r="O4548" s="14" t="str">
        <f>HYPERLINK("https://otsuka-europe-crm.veevavault.com/ui/#object/email_activity__v/V8C00000004A468", "EN-002105873")</f>
        <v>EN-002105873</v>
      </c>
    </row>
    <row r="4549" spans="1:15" ht="32" x14ac:dyDescent="0.2">
      <c r="A4549" s="7" t="str">
        <f>HYPERLINK("https://otsuka-europe-crm.veevavault.com/ui/#object/account__v/V4TZ0000062SGX3", "Marcus Wolfsperger")</f>
        <v>Marcus Wolfsperger</v>
      </c>
      <c r="B4549" s="7" t="str">
        <f>HYPERLINK("https://otsuka-europe-crm.veevavault.com/ui/#object/vcountry__v/VENZ000004SONFN", "CH")</f>
        <v>CH</v>
      </c>
      <c r="C4549" s="8" t="s">
        <v>45</v>
      </c>
      <c r="D4549" s="9" t="str">
        <f>HYPERLINK("https://otsuka-europe-crm.veevavault.com/ui/#object/approved_document__v/V5O00000001L016", "ALL_Flexibilität_Ferienplanung_2026_AA_de")</f>
        <v>ALL_Flexibilität_Ferienplanung_2026_AA_de</v>
      </c>
      <c r="E4549" s="10" t="str">
        <f>HYPERLINK("https://otsuka-europe-crm.veevavault.com/ui/#object/sent_email__v/VBL000000037212", "SE-001443882")</f>
        <v>SE-001443882</v>
      </c>
      <c r="F4549" s="11"/>
      <c r="G4549" s="12">
        <v>0</v>
      </c>
      <c r="H4549" s="12">
        <v>0</v>
      </c>
      <c r="I4549" s="12">
        <v>0</v>
      </c>
      <c r="J4549" s="11"/>
      <c r="K4549" s="12">
        <v>0</v>
      </c>
      <c r="L4549" s="10" t="str">
        <f>HYPERLINK("https://otsuka-europe-crm.veevavault.com/ui/#object/approved_document__v/V5O00000001L016", "ALL_Flexibilität_Ferienplanung_2026_AA_de")</f>
        <v>ALL_Flexibilität_Ferienplanung_2026_AA_de</v>
      </c>
      <c r="M4549" s="10" t="str">
        <f>HYPERLINK("mailto:dharder@crm.otsuka-europe.com", "dharder@crm.otsuka-europe.com")</f>
        <v>dharder@crm.otsuka-europe.com</v>
      </c>
      <c r="N4549" s="13">
        <v>46217.37327546296</v>
      </c>
      <c r="O4549" s="14" t="str">
        <f>HYPERLINK("https://otsuka-europe-crm.veevavault.com/ui/#object/email_activity__v/V8C00000004A429", "EN-002105806")</f>
        <v>EN-002105806</v>
      </c>
    </row>
    <row r="4550" spans="1:15" ht="16" x14ac:dyDescent="0.2">
      <c r="A4550" s="18" t="str">
        <f>HYPERLINK("https://otsuka-europe-crm.veevavault.com/ui/#object/account__v/V4TZ0000062SGPI", "Christian Paul Ulrich")</f>
        <v>Christian Paul Ulrich</v>
      </c>
      <c r="B4550" s="18" t="str">
        <f>HYPERLINK("https://otsuka-europe-crm.veevavault.com/ui/#object/vcountry__v/VENZ000004SONFN", "CH")</f>
        <v>CH</v>
      </c>
      <c r="C4550" s="20" t="s">
        <v>45</v>
      </c>
      <c r="D4550" s="21" t="str">
        <f>HYPERLINK("https://otsuka-europe-crm.veevavault.com/ui/#object/approved_document__v/V5O00000001L016", "ALL_Flexibilität_Ferienplanung_2026_AA_de")</f>
        <v>ALL_Flexibilität_Ferienplanung_2026_AA_de</v>
      </c>
      <c r="E4550" s="22" t="str">
        <f>HYPERLINK("https://otsuka-europe-crm.veevavault.com/ui/#object/sent_email__v/VBL000000037213", "SE-001443883")</f>
        <v>SE-001443883</v>
      </c>
      <c r="F4550" s="25">
        <v>46217.548379629632</v>
      </c>
      <c r="G4550" s="24">
        <v>1</v>
      </c>
      <c r="H4550" s="24">
        <v>1</v>
      </c>
      <c r="I4550" s="24">
        <v>0</v>
      </c>
      <c r="J4550" s="23"/>
      <c r="K4550" s="24">
        <v>0</v>
      </c>
      <c r="L4550" s="22" t="str">
        <f>HYPERLINK("https://otsuka-europe-crm.veevavault.com/ui/#object/approved_document__v/V5O00000001L016", "ALL_Flexibilität_Ferienplanung_2026_AA_de")</f>
        <v>ALL_Flexibilität_Ferienplanung_2026_AA_de</v>
      </c>
      <c r="M4550" s="22" t="str">
        <f>HYPERLINK("mailto:dharder@crm.otsuka-europe.com", "dharder@crm.otsuka-europe.com")</f>
        <v>dharder@crm.otsuka-europe.com</v>
      </c>
      <c r="N4550" s="25">
        <v>46217.373796296299</v>
      </c>
      <c r="O4550" s="14" t="str">
        <f>HYPERLINK("https://otsuka-europe-crm.veevavault.com/ui/#object/email_activity__v/V8C00000004A430", "EN-002105807")</f>
        <v>EN-002105807</v>
      </c>
    </row>
    <row r="4551" spans="1:15" ht="16" x14ac:dyDescent="0.2">
      <c r="A4551" s="19"/>
      <c r="B4551" s="19"/>
      <c r="C4551" s="19"/>
      <c r="D4551" s="19"/>
      <c r="E4551" s="19"/>
      <c r="F4551" s="19"/>
      <c r="G4551" s="19"/>
      <c r="H4551" s="19"/>
      <c r="I4551" s="19"/>
      <c r="J4551" s="19"/>
      <c r="K4551" s="19"/>
      <c r="L4551" s="19"/>
      <c r="M4551" s="19"/>
      <c r="N4551" s="19"/>
      <c r="O4551" s="14" t="str">
        <f>HYPERLINK("https://otsuka-europe-crm.veevavault.com/ui/#object/email_activity__v/V8C00000004A519", "EN-002105952")</f>
        <v>EN-002105952</v>
      </c>
    </row>
    <row r="4552" spans="1:15" ht="32" x14ac:dyDescent="0.2">
      <c r="A4552" s="7" t="str">
        <f>HYPERLINK("https://otsuka-europe-crm.veevavault.com/ui/#object/account__v/V4TZ000006353QL", "Yvonne Wäschenbach")</f>
        <v>Yvonne Wäschenbach</v>
      </c>
      <c r="B4552" s="7" t="str">
        <f>HYPERLINK("https://otsuka-europe-crm.veevavault.com/ui/#object/vcountry__v/VENZ000004SONFP", "DE")</f>
        <v>DE</v>
      </c>
      <c r="C4552" s="8" t="s">
        <v>43</v>
      </c>
      <c r="D4552" s="9" t="str">
        <f>HYPERLINK("https://otsuka-europe-crm.veevavault.com/ui/#object/approved_document__v/V5O00000001W001", "INA VAE DE – Zulassung INAQOVI Venetoclax")</f>
        <v>INA VAE DE – Zulassung INAQOVI Venetoclax</v>
      </c>
      <c r="E4552" s="10" t="str">
        <f>HYPERLINK("https://otsuka-europe-crm.veevavault.com/ui/#object/sent_email__v/VBL000000037214", "SE-001443884")</f>
        <v>SE-001443884</v>
      </c>
      <c r="F4552" s="11"/>
      <c r="G4552" s="12">
        <v>0</v>
      </c>
      <c r="H4552" s="12">
        <v>0</v>
      </c>
      <c r="I4552" s="12">
        <v>0</v>
      </c>
      <c r="J4552" s="11"/>
      <c r="K4552" s="12">
        <v>0</v>
      </c>
      <c r="L4552" s="10" t="str">
        <f>HYPERLINK("https://otsuka-europe-crm.veevavault.com/ui/#object/approved_document__v/V5O00000001W001", "INA VAE DE – Zulassung INAQOVI Venetoclax")</f>
        <v>INA VAE DE – Zulassung INAQOVI Venetoclax</v>
      </c>
      <c r="M4552" s="10" t="str">
        <f>HYPERLINK("mailto:dspreda@crm.otsuka-europe.com", "dspreda@crm.otsuka-europe.com")</f>
        <v>dspreda@crm.otsuka-europe.com</v>
      </c>
      <c r="N4552" s="13">
        <v>46217.374490740738</v>
      </c>
      <c r="O4552" s="14" t="str">
        <f>HYPERLINK("https://otsuka-europe-crm.veevavault.com/ui/#object/email_activity__v/V8C00000004A431", "EN-002105808")</f>
        <v>EN-002105808</v>
      </c>
    </row>
    <row r="4553" spans="1:15" ht="16" x14ac:dyDescent="0.2">
      <c r="A4553" s="18" t="str">
        <f>HYPERLINK("https://otsuka-europe-crm.veevavault.com/ui/#object/account__v/V4TZ06G6OBI645I", "Sokol Plaku")</f>
        <v>Sokol Plaku</v>
      </c>
      <c r="B4553" s="18" t="str">
        <f>HYPERLINK("https://otsuka-europe-crm.veevavault.com/ui/#object/vcountry__v/VENZ000004SONFP", "DE")</f>
        <v>DE</v>
      </c>
      <c r="C4553" s="20" t="s">
        <v>43</v>
      </c>
      <c r="D4553" s="21" t="str">
        <f>HYPERLINK("https://otsuka-europe-crm.veevavault.com/ui/#object/approved_document__v/V5O00000001W001", "INA VAE DE – Zulassung INAQOVI Venetoclax")</f>
        <v>INA VAE DE – Zulassung INAQOVI Venetoclax</v>
      </c>
      <c r="E4553" s="22" t="str">
        <f>HYPERLINK("https://otsuka-europe-crm.veevavault.com/ui/#object/sent_email__v/VBL000000037215", "SE-001443885")</f>
        <v>SE-001443885</v>
      </c>
      <c r="F4553" s="25">
        <v>46217.374745370369</v>
      </c>
      <c r="G4553" s="24">
        <v>1</v>
      </c>
      <c r="H4553" s="24">
        <v>1</v>
      </c>
      <c r="I4553" s="24">
        <v>0</v>
      </c>
      <c r="J4553" s="23"/>
      <c r="K4553" s="24">
        <v>0</v>
      </c>
      <c r="L4553" s="22" t="str">
        <f>HYPERLINK("https://otsuka-europe-crm.veevavault.com/ui/#object/approved_document__v/V5O00000001W001", "INA VAE DE – Zulassung INAQOVI Venetoclax")</f>
        <v>INA VAE DE – Zulassung INAQOVI Venetoclax</v>
      </c>
      <c r="M4553" s="22" t="str">
        <f>HYPERLINK("mailto:dspreda@crm.otsuka-europe.com", "dspreda@crm.otsuka-europe.com")</f>
        <v>dspreda@crm.otsuka-europe.com</v>
      </c>
      <c r="N4553" s="25">
        <v>46217.374675925923</v>
      </c>
      <c r="O4553" s="14" t="str">
        <f>HYPERLINK("https://otsuka-europe-crm.veevavault.com/ui/#object/email_activity__v/V8C000000049512", "EN-002105809")</f>
        <v>EN-002105809</v>
      </c>
    </row>
    <row r="4554" spans="1:15" ht="16" x14ac:dyDescent="0.2">
      <c r="A4554" s="19"/>
      <c r="B4554" s="19"/>
      <c r="C4554" s="19"/>
      <c r="D4554" s="19"/>
      <c r="E4554" s="19"/>
      <c r="F4554" s="19"/>
      <c r="G4554" s="19"/>
      <c r="H4554" s="19"/>
      <c r="I4554" s="19"/>
      <c r="J4554" s="19"/>
      <c r="K4554" s="19"/>
      <c r="L4554" s="19"/>
      <c r="M4554" s="19"/>
      <c r="N4554" s="19"/>
      <c r="O4554" s="14" t="str">
        <f>HYPERLINK("https://otsuka-europe-crm.veevavault.com/ui/#object/email_activity__v/V8C000000049513", "EN-002105810")</f>
        <v>EN-002105810</v>
      </c>
    </row>
    <row r="4555" spans="1:15" ht="32" x14ac:dyDescent="0.2">
      <c r="A4555" s="7" t="str">
        <f>HYPERLINK("https://otsuka-europe-crm.veevavault.com/ui/#object/account__v/V4TZ000006353H1", "Sandra Tebbe")</f>
        <v>Sandra Tebbe</v>
      </c>
      <c r="B4555" s="7" t="str">
        <f>HYPERLINK("https://otsuka-europe-crm.veevavault.com/ui/#object/vcountry__v/VENZ000004SONFP", "DE")</f>
        <v>DE</v>
      </c>
      <c r="C4555" s="8" t="s">
        <v>43</v>
      </c>
      <c r="D4555" s="9" t="str">
        <f>HYPERLINK("https://otsuka-europe-crm.veevavault.com/ui/#object/approved_document__v/V5O00000001W001", "INA VAE DE – Zulassung INAQOVI Venetoclax")</f>
        <v>INA VAE DE – Zulassung INAQOVI Venetoclax</v>
      </c>
      <c r="E4555" s="10" t="str">
        <f>HYPERLINK("https://otsuka-europe-crm.veevavault.com/ui/#object/sent_email__v/VBL000000037216", "SE-001443886")</f>
        <v>SE-001443886</v>
      </c>
      <c r="F4555" s="11"/>
      <c r="G4555" s="12">
        <v>0</v>
      </c>
      <c r="H4555" s="12">
        <v>0</v>
      </c>
      <c r="I4555" s="12">
        <v>0</v>
      </c>
      <c r="J4555" s="11"/>
      <c r="K4555" s="12">
        <v>0</v>
      </c>
      <c r="L4555" s="10" t="str">
        <f>HYPERLINK("https://otsuka-europe-crm.veevavault.com/ui/#object/approved_document__v/V5O00000001W001", "INA VAE DE – Zulassung INAQOVI Venetoclax")</f>
        <v>INA VAE DE – Zulassung INAQOVI Venetoclax</v>
      </c>
      <c r="M4555" s="10" t="str">
        <f>HYPERLINK("mailto:dspreda@crm.otsuka-europe.com", "dspreda@crm.otsuka-europe.com")</f>
        <v>dspreda@crm.otsuka-europe.com</v>
      </c>
      <c r="N4555" s="13">
        <v>46217.375023148146</v>
      </c>
      <c r="O4555" s="14" t="str">
        <f>HYPERLINK("https://otsuka-europe-crm.veevavault.com/ui/#object/email_activity__v/V8C000000049514", "EN-002105811")</f>
        <v>EN-002105811</v>
      </c>
    </row>
    <row r="4556" spans="1:15" ht="32" x14ac:dyDescent="0.2">
      <c r="A4556" s="7" t="str">
        <f>HYPERLINK("https://otsuka-europe-crm.veevavault.com/ui/#object/account__v/V4TZ000006354DR", "Susanne Hain")</f>
        <v>Susanne Hain</v>
      </c>
      <c r="B4556" s="7" t="str">
        <f>HYPERLINK("https://otsuka-europe-crm.veevavault.com/ui/#object/vcountry__v/VENZ000004SONFP", "DE")</f>
        <v>DE</v>
      </c>
      <c r="C4556" s="8" t="s">
        <v>43</v>
      </c>
      <c r="D4556" s="9" t="str">
        <f>HYPERLINK("https://otsuka-europe-crm.veevavault.com/ui/#object/approved_document__v/V5O00000001W001", "INA VAE DE – Zulassung INAQOVI Venetoclax")</f>
        <v>INA VAE DE – Zulassung INAQOVI Venetoclax</v>
      </c>
      <c r="E4556" s="10" t="str">
        <f>HYPERLINK("https://otsuka-europe-crm.veevavault.com/ui/#object/sent_email__v/VBL000000037217", "SE-001443887")</f>
        <v>SE-001443887</v>
      </c>
      <c r="F4556" s="11"/>
      <c r="G4556" s="12">
        <v>0</v>
      </c>
      <c r="H4556" s="12">
        <v>0</v>
      </c>
      <c r="I4556" s="12">
        <v>0</v>
      </c>
      <c r="J4556" s="11"/>
      <c r="K4556" s="12">
        <v>0</v>
      </c>
      <c r="L4556" s="10" t="str">
        <f>HYPERLINK("https://otsuka-europe-crm.veevavault.com/ui/#object/approved_document__v/V5O00000001W001", "INA VAE DE – Zulassung INAQOVI Venetoclax")</f>
        <v>INA VAE DE – Zulassung INAQOVI Venetoclax</v>
      </c>
      <c r="M4556" s="10" t="str">
        <f>HYPERLINK("mailto:dspreda@crm.otsuka-europe.com", "dspreda@crm.otsuka-europe.com")</f>
        <v>dspreda@crm.otsuka-europe.com</v>
      </c>
      <c r="N4556" s="13">
        <v>46217.375150462962</v>
      </c>
      <c r="O4556" s="14" t="str">
        <f>HYPERLINK("https://otsuka-europe-crm.veevavault.com/ui/#object/email_activity__v/V8C000000049515", "EN-002105812")</f>
        <v>EN-002105812</v>
      </c>
    </row>
    <row r="4557" spans="1:15" ht="16" x14ac:dyDescent="0.2">
      <c r="A4557" s="18" t="str">
        <f>HYPERLINK("https://otsuka-europe-crm.veevavault.com/ui/#object/account__v/V4TZ000006352V7", "Ernst Rodermann")</f>
        <v>Ernst Rodermann</v>
      </c>
      <c r="B4557" s="18" t="str">
        <f>HYPERLINK("https://otsuka-europe-crm.veevavault.com/ui/#object/vcountry__v/VENZ000004SONFP", "DE")</f>
        <v>DE</v>
      </c>
      <c r="C4557" s="20" t="s">
        <v>43</v>
      </c>
      <c r="D4557" s="21" t="str">
        <f>HYPERLINK("https://otsuka-europe-crm.veevavault.com/ui/#object/approved_document__v/V5O00000001W001", "INA VAE DE – Zulassung INAQOVI Venetoclax")</f>
        <v>INA VAE DE – Zulassung INAQOVI Venetoclax</v>
      </c>
      <c r="E4557" s="22" t="str">
        <f>HYPERLINK("https://otsuka-europe-crm.veevavault.com/ui/#object/sent_email__v/VBL000000037218", "SE-001443888")</f>
        <v>SE-001443888</v>
      </c>
      <c r="F4557" s="25">
        <v>46222.784004629626</v>
      </c>
      <c r="G4557" s="24">
        <v>1</v>
      </c>
      <c r="H4557" s="24">
        <v>2</v>
      </c>
      <c r="I4557" s="24">
        <v>0</v>
      </c>
      <c r="J4557" s="23"/>
      <c r="K4557" s="24">
        <v>0</v>
      </c>
      <c r="L4557" s="22" t="str">
        <f>HYPERLINK("https://otsuka-europe-crm.veevavault.com/ui/#object/approved_document__v/V5O00000001W001", "INA VAE DE – Zulassung INAQOVI Venetoclax")</f>
        <v>INA VAE DE – Zulassung INAQOVI Venetoclax</v>
      </c>
      <c r="M4557" s="22" t="str">
        <f>HYPERLINK("mailto:dspreda@crm.otsuka-europe.com", "dspreda@crm.otsuka-europe.com")</f>
        <v>dspreda@crm.otsuka-europe.com</v>
      </c>
      <c r="N4557" s="25">
        <v>46217.375358796293</v>
      </c>
      <c r="O4557" s="14" t="str">
        <f>HYPERLINK("https://otsuka-europe-crm.veevavault.com/ui/#object/email_activity__v/V8C000000049516", "EN-002105813")</f>
        <v>EN-002105813</v>
      </c>
    </row>
    <row r="4558" spans="1:15" ht="16" x14ac:dyDescent="0.2">
      <c r="A4558" s="26"/>
      <c r="B4558" s="26"/>
      <c r="C4558" s="26"/>
      <c r="D4558" s="26"/>
      <c r="E4558" s="26"/>
      <c r="F4558" s="26"/>
      <c r="G4558" s="26"/>
      <c r="H4558" s="26"/>
      <c r="I4558" s="26"/>
      <c r="J4558" s="26"/>
      <c r="K4558" s="26"/>
      <c r="L4558" s="26"/>
      <c r="M4558" s="26"/>
      <c r="N4558" s="26"/>
      <c r="O4558" s="14" t="str">
        <f>HYPERLINK("https://otsuka-europe-crm.veevavault.com/ui/#object/email_activity__v/V8C000000049670", "EN-002106168")</f>
        <v>EN-002106168</v>
      </c>
    </row>
    <row r="4559" spans="1:15" ht="16" x14ac:dyDescent="0.2">
      <c r="A4559" s="19"/>
      <c r="B4559" s="19"/>
      <c r="C4559" s="19"/>
      <c r="D4559" s="19"/>
      <c r="E4559" s="19"/>
      <c r="F4559" s="19"/>
      <c r="G4559" s="19"/>
      <c r="H4559" s="19"/>
      <c r="I4559" s="19"/>
      <c r="J4559" s="19"/>
      <c r="K4559" s="19"/>
      <c r="L4559" s="19"/>
      <c r="M4559" s="19"/>
      <c r="N4559" s="19"/>
      <c r="O4559" s="14" t="str">
        <f>HYPERLINK("https://otsuka-europe-crm.veevavault.com/ui/#object/email_activity__v/V8C00000004C077", "EN-002106904")</f>
        <v>EN-002106904</v>
      </c>
    </row>
    <row r="4560" spans="1:15" ht="32" x14ac:dyDescent="0.2">
      <c r="A4560" s="7" t="str">
        <f>HYPERLINK("https://otsuka-europe-crm.veevavault.com/ui/#object/account__v/V4TZ0000062T7L9", "Ralph Naumann")</f>
        <v>Ralph Naumann</v>
      </c>
      <c r="B4560" s="7" t="str">
        <f t="shared" ref="B4560:B4568" si="218">HYPERLINK("https://otsuka-europe-crm.veevavault.com/ui/#object/vcountry__v/VENZ000004SONFP", "DE")</f>
        <v>DE</v>
      </c>
      <c r="C4560" s="8" t="s">
        <v>43</v>
      </c>
      <c r="D4560" s="9" t="str">
        <f t="shared" ref="D4560:D4568" si="219">HYPERLINK("https://otsuka-europe-crm.veevavault.com/ui/#object/approved_document__v/V5O00000001W001", "INA VAE DE – Zulassung INAQOVI Venetoclax")</f>
        <v>INA VAE DE – Zulassung INAQOVI Venetoclax</v>
      </c>
      <c r="E4560" s="10" t="str">
        <f>HYPERLINK("https://otsuka-europe-crm.veevavault.com/ui/#object/sent_email__v/VBL000000037219", "SE-001443889")</f>
        <v>SE-001443889</v>
      </c>
      <c r="F4560" s="11"/>
      <c r="G4560" s="12">
        <v>0</v>
      </c>
      <c r="H4560" s="12">
        <v>0</v>
      </c>
      <c r="I4560" s="12">
        <v>0</v>
      </c>
      <c r="J4560" s="11"/>
      <c r="K4560" s="12">
        <v>0</v>
      </c>
      <c r="L4560" s="10" t="str">
        <f t="shared" ref="L4560:L4568" si="220">HYPERLINK("https://otsuka-europe-crm.veevavault.com/ui/#object/approved_document__v/V5O00000001W001", "INA VAE DE – Zulassung INAQOVI Venetoclax")</f>
        <v>INA VAE DE – Zulassung INAQOVI Venetoclax</v>
      </c>
      <c r="M4560" s="10" t="str">
        <f t="shared" ref="M4560:M4568" si="221">HYPERLINK("mailto:dspreda@crm.otsuka-europe.com", "dspreda@crm.otsuka-europe.com")</f>
        <v>dspreda@crm.otsuka-europe.com</v>
      </c>
      <c r="N4560" s="13">
        <v>46217.375497685185</v>
      </c>
      <c r="O4560" s="14" t="str">
        <f>HYPERLINK("https://otsuka-europe-crm.veevavault.com/ui/#object/email_activity__v/V8C00000004A432", "EN-002105814")</f>
        <v>EN-002105814</v>
      </c>
    </row>
    <row r="4561" spans="1:15" ht="32" x14ac:dyDescent="0.2">
      <c r="A4561" s="7" t="str">
        <f>HYPERLINK("https://otsuka-europe-crm.veevavault.com/ui/#object/account__v/V4TZ00000634X92", "Raghdan Baroudi")</f>
        <v>Raghdan Baroudi</v>
      </c>
      <c r="B4561" s="7" t="str">
        <f t="shared" si="218"/>
        <v>DE</v>
      </c>
      <c r="C4561" s="8" t="s">
        <v>43</v>
      </c>
      <c r="D4561" s="9" t="str">
        <f t="shared" si="219"/>
        <v>INA VAE DE – Zulassung INAQOVI Venetoclax</v>
      </c>
      <c r="E4561" s="10" t="str">
        <f>HYPERLINK("https://otsuka-europe-crm.veevavault.com/ui/#object/sent_email__v/VBL000000037220", "SE-001443890")</f>
        <v>SE-001443890</v>
      </c>
      <c r="F4561" s="11"/>
      <c r="G4561" s="12">
        <v>0</v>
      </c>
      <c r="H4561" s="12">
        <v>0</v>
      </c>
      <c r="I4561" s="12">
        <v>0</v>
      </c>
      <c r="J4561" s="11"/>
      <c r="K4561" s="12">
        <v>0</v>
      </c>
      <c r="L4561" s="10" t="str">
        <f t="shared" si="220"/>
        <v>INA VAE DE – Zulassung INAQOVI Venetoclax</v>
      </c>
      <c r="M4561" s="10" t="str">
        <f t="shared" si="221"/>
        <v>dspreda@crm.otsuka-europe.com</v>
      </c>
      <c r="N4561" s="13">
        <v>46217.375717592593</v>
      </c>
      <c r="O4561" s="14" t="str">
        <f>HYPERLINK("https://otsuka-europe-crm.veevavault.com/ui/#object/email_activity__v/V8C000000049517", "EN-002105815")</f>
        <v>EN-002105815</v>
      </c>
    </row>
    <row r="4562" spans="1:15" ht="32" x14ac:dyDescent="0.2">
      <c r="A4562" s="7" t="str">
        <f>HYPERLINK("https://otsuka-europe-crm.veevavault.com/ui/#object/account__v/V4TZ00000634TP2", "Yousef Al-Fareh")</f>
        <v>Yousef Al-Fareh</v>
      </c>
      <c r="B4562" s="7" t="str">
        <f t="shared" si="218"/>
        <v>DE</v>
      </c>
      <c r="C4562" s="8" t="s">
        <v>43</v>
      </c>
      <c r="D4562" s="9" t="str">
        <f t="shared" si="219"/>
        <v>INA VAE DE – Zulassung INAQOVI Venetoclax</v>
      </c>
      <c r="E4562" s="10" t="str">
        <f>HYPERLINK("https://otsuka-europe-crm.veevavault.com/ui/#object/sent_email__v/VBL000000037221", "SE-001443891")</f>
        <v>SE-001443891</v>
      </c>
      <c r="F4562" s="11"/>
      <c r="G4562" s="12">
        <v>0</v>
      </c>
      <c r="H4562" s="12">
        <v>0</v>
      </c>
      <c r="I4562" s="12">
        <v>0</v>
      </c>
      <c r="J4562" s="11"/>
      <c r="K4562" s="12">
        <v>0</v>
      </c>
      <c r="L4562" s="10" t="str">
        <f t="shared" si="220"/>
        <v>INA VAE DE – Zulassung INAQOVI Venetoclax</v>
      </c>
      <c r="M4562" s="10" t="str">
        <f t="shared" si="221"/>
        <v>dspreda@crm.otsuka-europe.com</v>
      </c>
      <c r="N4562" s="13">
        <v>46217.375821759262</v>
      </c>
      <c r="O4562" s="14" t="str">
        <f>HYPERLINK("https://otsuka-europe-crm.veevavault.com/ui/#object/email_activity__v/V8C00000004A433", "EN-002105816")</f>
        <v>EN-002105816</v>
      </c>
    </row>
    <row r="4563" spans="1:15" ht="32" x14ac:dyDescent="0.2">
      <c r="A4563" s="7" t="str">
        <f>HYPERLINK("https://otsuka-europe-crm.veevavault.com/ui/#object/account__v/V4TZ00000634Z53", "Monika Schwalenberg")</f>
        <v>Monika Schwalenberg</v>
      </c>
      <c r="B4563" s="7" t="str">
        <f t="shared" si="218"/>
        <v>DE</v>
      </c>
      <c r="C4563" s="8" t="s">
        <v>43</v>
      </c>
      <c r="D4563" s="9" t="str">
        <f t="shared" si="219"/>
        <v>INA VAE DE – Zulassung INAQOVI Venetoclax</v>
      </c>
      <c r="E4563" s="10" t="str">
        <f>HYPERLINK("https://otsuka-europe-crm.veevavault.com/ui/#object/sent_email__v/VBL000000037222", "SE-001443892")</f>
        <v>SE-001443892</v>
      </c>
      <c r="F4563" s="11"/>
      <c r="G4563" s="12">
        <v>0</v>
      </c>
      <c r="H4563" s="12">
        <v>0</v>
      </c>
      <c r="I4563" s="12">
        <v>0</v>
      </c>
      <c r="J4563" s="11"/>
      <c r="K4563" s="12">
        <v>0</v>
      </c>
      <c r="L4563" s="10" t="str">
        <f t="shared" si="220"/>
        <v>INA VAE DE – Zulassung INAQOVI Venetoclax</v>
      </c>
      <c r="M4563" s="10" t="str">
        <f t="shared" si="221"/>
        <v>dspreda@crm.otsuka-europe.com</v>
      </c>
      <c r="N4563" s="13">
        <v>46217.37605324074</v>
      </c>
      <c r="O4563" s="14" t="str">
        <f>HYPERLINK("https://otsuka-europe-crm.veevavault.com/ui/#object/email_activity__v/V8C00000004A434", "EN-002105817")</f>
        <v>EN-002105817</v>
      </c>
    </row>
    <row r="4564" spans="1:15" ht="32" x14ac:dyDescent="0.2">
      <c r="A4564" s="7" t="str">
        <f>HYPERLINK("https://otsuka-europe-crm.veevavault.com/ui/#object/account__v/V4TZ000006352EF", "Lars Petersen")</f>
        <v>Lars Petersen</v>
      </c>
      <c r="B4564" s="7" t="str">
        <f t="shared" si="218"/>
        <v>DE</v>
      </c>
      <c r="C4564" s="8" t="s">
        <v>43</v>
      </c>
      <c r="D4564" s="9" t="str">
        <f t="shared" si="219"/>
        <v>INA VAE DE – Zulassung INAQOVI Venetoclax</v>
      </c>
      <c r="E4564" s="10" t="str">
        <f>HYPERLINK("https://otsuka-europe-crm.veevavault.com/ui/#object/sent_email__v/VBL000000037223", "SE-001443893")</f>
        <v>SE-001443893</v>
      </c>
      <c r="F4564" s="11"/>
      <c r="G4564" s="12">
        <v>0</v>
      </c>
      <c r="H4564" s="12">
        <v>0</v>
      </c>
      <c r="I4564" s="12">
        <v>0</v>
      </c>
      <c r="J4564" s="11"/>
      <c r="K4564" s="12">
        <v>0</v>
      </c>
      <c r="L4564" s="10" t="str">
        <f t="shared" si="220"/>
        <v>INA VAE DE – Zulassung INAQOVI Venetoclax</v>
      </c>
      <c r="M4564" s="10" t="str">
        <f t="shared" si="221"/>
        <v>dspreda@crm.otsuka-europe.com</v>
      </c>
      <c r="N4564" s="13">
        <v>46217.376157407409</v>
      </c>
      <c r="O4564" s="14" t="str">
        <f>HYPERLINK("https://otsuka-europe-crm.veevavault.com/ui/#object/email_activity__v/V8C000000049518", "EN-002105818")</f>
        <v>EN-002105818</v>
      </c>
    </row>
    <row r="4565" spans="1:15" ht="32" x14ac:dyDescent="0.2">
      <c r="A4565" s="7" t="str">
        <f>HYPERLINK("https://otsuka-europe-crm.veevavault.com/ui/#object/account__v/V4TZ000006353YW", "Mohammad-Amen Wattad")</f>
        <v>Mohammad-Amen Wattad</v>
      </c>
      <c r="B4565" s="7" t="str">
        <f t="shared" si="218"/>
        <v>DE</v>
      </c>
      <c r="C4565" s="8" t="s">
        <v>43</v>
      </c>
      <c r="D4565" s="9" t="str">
        <f t="shared" si="219"/>
        <v>INA VAE DE – Zulassung INAQOVI Venetoclax</v>
      </c>
      <c r="E4565" s="10" t="str">
        <f>HYPERLINK("https://otsuka-europe-crm.veevavault.com/ui/#object/sent_email__v/VBL000000037224", "SE-001443894")</f>
        <v>SE-001443894</v>
      </c>
      <c r="F4565" s="11"/>
      <c r="G4565" s="12">
        <v>0</v>
      </c>
      <c r="H4565" s="12">
        <v>0</v>
      </c>
      <c r="I4565" s="12">
        <v>0</v>
      </c>
      <c r="J4565" s="11"/>
      <c r="K4565" s="12">
        <v>0</v>
      </c>
      <c r="L4565" s="10" t="str">
        <f t="shared" si="220"/>
        <v>INA VAE DE – Zulassung INAQOVI Venetoclax</v>
      </c>
      <c r="M4565" s="10" t="str">
        <f t="shared" si="221"/>
        <v>dspreda@crm.otsuka-europe.com</v>
      </c>
      <c r="N4565" s="13">
        <v>46217.376400462963</v>
      </c>
      <c r="O4565" s="14" t="str">
        <f>HYPERLINK("https://otsuka-europe-crm.veevavault.com/ui/#object/email_activity__v/V8C000000049519", "EN-002105820")</f>
        <v>EN-002105820</v>
      </c>
    </row>
    <row r="4566" spans="1:15" ht="32" x14ac:dyDescent="0.2">
      <c r="A4566" s="7" t="str">
        <f>HYPERLINK("https://otsuka-europe-crm.veevavault.com/ui/#object/account__v/V4TZ0000062T4OZ", "Jutta Schneider")</f>
        <v>Jutta Schneider</v>
      </c>
      <c r="B4566" s="7" t="str">
        <f t="shared" si="218"/>
        <v>DE</v>
      </c>
      <c r="C4566" s="8" t="s">
        <v>43</v>
      </c>
      <c r="D4566" s="9" t="str">
        <f t="shared" si="219"/>
        <v>INA VAE DE – Zulassung INAQOVI Venetoclax</v>
      </c>
      <c r="E4566" s="10" t="str">
        <f>HYPERLINK("https://otsuka-europe-crm.veevavault.com/ui/#object/sent_email__v/VBL000000037225", "SE-001443895")</f>
        <v>SE-001443895</v>
      </c>
      <c r="F4566" s="11"/>
      <c r="G4566" s="12">
        <v>0</v>
      </c>
      <c r="H4566" s="12">
        <v>0</v>
      </c>
      <c r="I4566" s="12">
        <v>0</v>
      </c>
      <c r="J4566" s="11"/>
      <c r="K4566" s="12">
        <v>0</v>
      </c>
      <c r="L4566" s="10" t="str">
        <f t="shared" si="220"/>
        <v>INA VAE DE – Zulassung INAQOVI Venetoclax</v>
      </c>
      <c r="M4566" s="10" t="str">
        <f t="shared" si="221"/>
        <v>dspreda@crm.otsuka-europe.com</v>
      </c>
      <c r="N4566" s="13">
        <v>46217.376539351855</v>
      </c>
      <c r="O4566" s="14" t="str">
        <f>HYPERLINK("https://otsuka-europe-crm.veevavault.com/ui/#object/email_activity__v/V8C00000004A435", "EN-002105819")</f>
        <v>EN-002105819</v>
      </c>
    </row>
    <row r="4567" spans="1:15" ht="32" x14ac:dyDescent="0.2">
      <c r="A4567" s="7" t="str">
        <f>HYPERLINK("https://otsuka-europe-crm.veevavault.com/ui/#object/account__v/V4TZ0000063500Z", "Martin Klump")</f>
        <v>Martin Klump</v>
      </c>
      <c r="B4567" s="7" t="str">
        <f t="shared" si="218"/>
        <v>DE</v>
      </c>
      <c r="C4567" s="8" t="s">
        <v>43</v>
      </c>
      <c r="D4567" s="9" t="str">
        <f t="shared" si="219"/>
        <v>INA VAE DE – Zulassung INAQOVI Venetoclax</v>
      </c>
      <c r="E4567" s="10" t="str">
        <f>HYPERLINK("https://otsuka-europe-crm.veevavault.com/ui/#object/sent_email__v/VBL000000037226", "SE-001443896")</f>
        <v>SE-001443896</v>
      </c>
      <c r="F4567" s="11"/>
      <c r="G4567" s="12">
        <v>0</v>
      </c>
      <c r="H4567" s="12">
        <v>0</v>
      </c>
      <c r="I4567" s="12">
        <v>0</v>
      </c>
      <c r="J4567" s="11"/>
      <c r="K4567" s="12">
        <v>0</v>
      </c>
      <c r="L4567" s="10" t="str">
        <f t="shared" si="220"/>
        <v>INA VAE DE – Zulassung INAQOVI Venetoclax</v>
      </c>
      <c r="M4567" s="10" t="str">
        <f t="shared" si="221"/>
        <v>dspreda@crm.otsuka-europe.com</v>
      </c>
      <c r="N4567" s="13">
        <v>46217.376747685186</v>
      </c>
      <c r="O4567" s="14" t="str">
        <f>HYPERLINK("https://otsuka-europe-crm.veevavault.com/ui/#object/email_activity__v/V8C00000004A436", "EN-002105823")</f>
        <v>EN-002105823</v>
      </c>
    </row>
    <row r="4568" spans="1:15" ht="16" x14ac:dyDescent="0.2">
      <c r="A4568" s="18" t="str">
        <f>HYPERLINK("https://otsuka-europe-crm.veevavault.com/ui/#object/account__v/V4TZ06G6OBI64TP", "Malte Friedrich Hülsemann")</f>
        <v>Malte Friedrich Hülsemann</v>
      </c>
      <c r="B4568" s="18" t="str">
        <f t="shared" si="218"/>
        <v>DE</v>
      </c>
      <c r="C4568" s="20" t="s">
        <v>43</v>
      </c>
      <c r="D4568" s="21" t="str">
        <f t="shared" si="219"/>
        <v>INA VAE DE – Zulassung INAQOVI Venetoclax</v>
      </c>
      <c r="E4568" s="22" t="str">
        <f>HYPERLINK("https://otsuka-europe-crm.veevavault.com/ui/#object/sent_email__v/VBL000000037227", "SE-001443897")</f>
        <v>SE-001443897</v>
      </c>
      <c r="F4568" s="25">
        <v>46217.377025462964</v>
      </c>
      <c r="G4568" s="24">
        <v>1</v>
      </c>
      <c r="H4568" s="24">
        <v>1</v>
      </c>
      <c r="I4568" s="24">
        <v>0</v>
      </c>
      <c r="J4568" s="23"/>
      <c r="K4568" s="24">
        <v>0</v>
      </c>
      <c r="L4568" s="22" t="str">
        <f t="shared" si="220"/>
        <v>INA VAE DE – Zulassung INAQOVI Venetoclax</v>
      </c>
      <c r="M4568" s="22" t="str">
        <f t="shared" si="221"/>
        <v>dspreda@crm.otsuka-europe.com</v>
      </c>
      <c r="N4568" s="25">
        <v>46217.376886574071</v>
      </c>
      <c r="O4568" s="14" t="str">
        <f>HYPERLINK("https://otsuka-europe-crm.veevavault.com/ui/#object/email_activity__v/V8C000000049520", "EN-002105821")</f>
        <v>EN-002105821</v>
      </c>
    </row>
    <row r="4569" spans="1:15" ht="16" x14ac:dyDescent="0.2">
      <c r="A4569" s="19"/>
      <c r="B4569" s="19"/>
      <c r="C4569" s="19"/>
      <c r="D4569" s="19"/>
      <c r="E4569" s="19"/>
      <c r="F4569" s="19"/>
      <c r="G4569" s="19"/>
      <c r="H4569" s="19"/>
      <c r="I4569" s="19"/>
      <c r="J4569" s="19"/>
      <c r="K4569" s="19"/>
      <c r="L4569" s="19"/>
      <c r="M4569" s="19"/>
      <c r="N4569" s="19"/>
      <c r="O4569" s="14" t="str">
        <f>HYPERLINK("https://otsuka-europe-crm.veevavault.com/ui/#object/email_activity__v/V8C000000049521", "EN-002105822")</f>
        <v>EN-002105822</v>
      </c>
    </row>
    <row r="4570" spans="1:15" ht="16" x14ac:dyDescent="0.2">
      <c r="A4570" s="18" t="str">
        <f>HYPERLINK("https://otsuka-europe-crm.veevavault.com/ui/#object/account__v/V4TZ06G6OBI68PD", "Helmut Forstbauer")</f>
        <v>Helmut Forstbauer</v>
      </c>
      <c r="B4570" s="18" t="str">
        <f>HYPERLINK("https://otsuka-europe-crm.veevavault.com/ui/#object/vcountry__v/VENZ000004SONFP", "DE")</f>
        <v>DE</v>
      </c>
      <c r="C4570" s="20" t="s">
        <v>43</v>
      </c>
      <c r="D4570" s="21" t="str">
        <f>HYPERLINK("https://otsuka-europe-crm.veevavault.com/ui/#object/approved_document__v/V5O00000001W001", "INA VAE DE – Zulassung INAQOVI Venetoclax")</f>
        <v>INA VAE DE – Zulassung INAQOVI Venetoclax</v>
      </c>
      <c r="E4570" s="22" t="str">
        <f>HYPERLINK("https://otsuka-europe-crm.veevavault.com/ui/#object/sent_email__v/VBL000000037228", "SE-001443898")</f>
        <v>SE-001443898</v>
      </c>
      <c r="F4570" s="25">
        <v>46217.395474537036</v>
      </c>
      <c r="G4570" s="24">
        <v>1</v>
      </c>
      <c r="H4570" s="24">
        <v>1</v>
      </c>
      <c r="I4570" s="24">
        <v>0</v>
      </c>
      <c r="J4570" s="23"/>
      <c r="K4570" s="24">
        <v>0</v>
      </c>
      <c r="L4570" s="22" t="str">
        <f>HYPERLINK("https://otsuka-europe-crm.veevavault.com/ui/#object/approved_document__v/V5O00000001W001", "INA VAE DE – Zulassung INAQOVI Venetoclax")</f>
        <v>INA VAE DE – Zulassung INAQOVI Venetoclax</v>
      </c>
      <c r="M4570" s="22" t="str">
        <f>HYPERLINK("mailto:dspreda@crm.otsuka-europe.com", "dspreda@crm.otsuka-europe.com")</f>
        <v>dspreda@crm.otsuka-europe.com</v>
      </c>
      <c r="N4570" s="25">
        <v>46217.37709490741</v>
      </c>
      <c r="O4570" s="14" t="str">
        <f>HYPERLINK("https://otsuka-europe-crm.veevavault.com/ui/#object/email_activity__v/V8C000000049523", "EN-002105825")</f>
        <v>EN-002105825</v>
      </c>
    </row>
    <row r="4571" spans="1:15" ht="16" x14ac:dyDescent="0.2">
      <c r="A4571" s="19"/>
      <c r="B4571" s="19"/>
      <c r="C4571" s="19"/>
      <c r="D4571" s="19"/>
      <c r="E4571" s="19"/>
      <c r="F4571" s="19"/>
      <c r="G4571" s="19"/>
      <c r="H4571" s="19"/>
      <c r="I4571" s="19"/>
      <c r="J4571" s="19"/>
      <c r="K4571" s="19"/>
      <c r="L4571" s="19"/>
      <c r="M4571" s="19"/>
      <c r="N4571" s="19"/>
      <c r="O4571" s="14" t="str">
        <f>HYPERLINK("https://otsuka-europe-crm.veevavault.com/ui/#object/email_activity__v/V8C000000049530", "EN-002105852")</f>
        <v>EN-002105852</v>
      </c>
    </row>
    <row r="4572" spans="1:15" ht="32" x14ac:dyDescent="0.2">
      <c r="A4572" s="7" t="str">
        <f>HYPERLINK("https://otsuka-europe-crm.veevavault.com/ui/#object/account__v/V4TZ00000634Y25", "Gholam-Reza Farrokh")</f>
        <v>Gholam-Reza Farrokh</v>
      </c>
      <c r="B4572" s="7" t="str">
        <f>HYPERLINK("https://otsuka-europe-crm.veevavault.com/ui/#object/vcountry__v/VENZ000004SONFP", "DE")</f>
        <v>DE</v>
      </c>
      <c r="C4572" s="8" t="s">
        <v>43</v>
      </c>
      <c r="D4572" s="9" t="str">
        <f>HYPERLINK("https://otsuka-europe-crm.veevavault.com/ui/#object/approved_document__v/V5O00000001W001", "INA VAE DE – Zulassung INAQOVI Venetoclax")</f>
        <v>INA VAE DE – Zulassung INAQOVI Venetoclax</v>
      </c>
      <c r="E4572" s="10" t="str">
        <f>HYPERLINK("https://otsuka-europe-crm.veevavault.com/ui/#object/sent_email__v/VBL000000037229", "SE-001443899")</f>
        <v>SE-001443899</v>
      </c>
      <c r="F4572" s="11"/>
      <c r="G4572" s="12">
        <v>0</v>
      </c>
      <c r="H4572" s="12">
        <v>0</v>
      </c>
      <c r="I4572" s="12">
        <v>0</v>
      </c>
      <c r="J4572" s="11"/>
      <c r="K4572" s="12">
        <v>0</v>
      </c>
      <c r="L4572" s="10" t="str">
        <f>HYPERLINK("https://otsuka-europe-crm.veevavault.com/ui/#object/approved_document__v/V5O00000001W001", "INA VAE DE – Zulassung INAQOVI Venetoclax")</f>
        <v>INA VAE DE – Zulassung INAQOVI Venetoclax</v>
      </c>
      <c r="M4572" s="10" t="str">
        <f>HYPERLINK("mailto:dspreda@crm.otsuka-europe.com", "dspreda@crm.otsuka-europe.com")</f>
        <v>dspreda@crm.otsuka-europe.com</v>
      </c>
      <c r="N4572" s="13">
        <v>46217.377222222225</v>
      </c>
      <c r="O4572" s="14" t="str">
        <f>HYPERLINK("https://otsuka-europe-crm.veevavault.com/ui/#object/email_activity__v/V8C000000049522", "EN-002105824")</f>
        <v>EN-002105824</v>
      </c>
    </row>
    <row r="4573" spans="1:15" ht="16" x14ac:dyDescent="0.2">
      <c r="A4573" s="18" t="str">
        <f>HYPERLINK("https://otsuka-europe-crm.veevavault.com/ui/#object/account__v/V4TZ00000634TPO", "Sonja Katharina Königs")</f>
        <v>Sonja Katharina Königs</v>
      </c>
      <c r="B4573" s="18" t="str">
        <f>HYPERLINK("https://otsuka-europe-crm.veevavault.com/ui/#object/vcountry__v/VENZ000004SONFP", "DE")</f>
        <v>DE</v>
      </c>
      <c r="C4573" s="20" t="s">
        <v>43</v>
      </c>
      <c r="D4573" s="21" t="str">
        <f>HYPERLINK("https://otsuka-europe-crm.veevavault.com/ui/#object/approved_document__v/V5O00000001W001", "INA VAE DE – Zulassung INAQOVI Venetoclax")</f>
        <v>INA VAE DE – Zulassung INAQOVI Venetoclax</v>
      </c>
      <c r="E4573" s="22" t="str">
        <f>HYPERLINK("https://otsuka-europe-crm.veevavault.com/ui/#object/sent_email__v/VBL000000037230", "SE-001443900")</f>
        <v>SE-001443900</v>
      </c>
      <c r="F4573" s="25">
        <v>46221.509756944448</v>
      </c>
      <c r="G4573" s="24">
        <v>1</v>
      </c>
      <c r="H4573" s="24">
        <v>2</v>
      </c>
      <c r="I4573" s="24">
        <v>0</v>
      </c>
      <c r="J4573" s="23"/>
      <c r="K4573" s="24">
        <v>0</v>
      </c>
      <c r="L4573" s="22" t="str">
        <f>HYPERLINK("https://otsuka-europe-crm.veevavault.com/ui/#object/approved_document__v/V5O00000001W001", "INA VAE DE – Zulassung INAQOVI Venetoclax")</f>
        <v>INA VAE DE – Zulassung INAQOVI Venetoclax</v>
      </c>
      <c r="M4573" s="22" t="str">
        <f>HYPERLINK("mailto:dspreda@crm.otsuka-europe.com", "dspreda@crm.otsuka-europe.com")</f>
        <v>dspreda@crm.otsuka-europe.com</v>
      </c>
      <c r="N4573" s="25">
        <v>46217.377488425926</v>
      </c>
      <c r="O4573" s="14" t="str">
        <f>HYPERLINK("https://otsuka-europe-crm.veevavault.com/ui/#object/email_activity__v/V8C000000049524", "EN-002105826")</f>
        <v>EN-002105826</v>
      </c>
    </row>
    <row r="4574" spans="1:15" ht="16" x14ac:dyDescent="0.2">
      <c r="A4574" s="26"/>
      <c r="B4574" s="26"/>
      <c r="C4574" s="26"/>
      <c r="D4574" s="26"/>
      <c r="E4574" s="26"/>
      <c r="F4574" s="26"/>
      <c r="G4574" s="26"/>
      <c r="H4574" s="26"/>
      <c r="I4574" s="26"/>
      <c r="J4574" s="26"/>
      <c r="K4574" s="26"/>
      <c r="L4574" s="26"/>
      <c r="M4574" s="26"/>
      <c r="N4574" s="26"/>
      <c r="O4574" s="14" t="str">
        <f>HYPERLINK("https://otsuka-europe-crm.veevavault.com/ui/#object/email_activity__v/V8C000000049696", "EN-002106211")</f>
        <v>EN-002106211</v>
      </c>
    </row>
    <row r="4575" spans="1:15" ht="16" x14ac:dyDescent="0.2">
      <c r="A4575" s="26"/>
      <c r="B4575" s="26"/>
      <c r="C4575" s="26"/>
      <c r="D4575" s="26"/>
      <c r="E4575" s="26"/>
      <c r="F4575" s="26"/>
      <c r="G4575" s="26"/>
      <c r="H4575" s="26"/>
      <c r="I4575" s="26"/>
      <c r="J4575" s="26"/>
      <c r="K4575" s="26"/>
      <c r="L4575" s="26"/>
      <c r="M4575" s="26"/>
      <c r="N4575" s="26"/>
      <c r="O4575" s="14" t="str">
        <f>HYPERLINK("https://otsuka-europe-crm.veevavault.com/ui/#object/email_activity__v/V8C000000049843", "EN-002106532")</f>
        <v>EN-002106532</v>
      </c>
    </row>
    <row r="4576" spans="1:15" ht="16" x14ac:dyDescent="0.2">
      <c r="A4576" s="26"/>
      <c r="B4576" s="26"/>
      <c r="C4576" s="26"/>
      <c r="D4576" s="26"/>
      <c r="E4576" s="26"/>
      <c r="F4576" s="26"/>
      <c r="G4576" s="26"/>
      <c r="H4576" s="26"/>
      <c r="I4576" s="26"/>
      <c r="J4576" s="26"/>
      <c r="K4576" s="26"/>
      <c r="L4576" s="26"/>
      <c r="M4576" s="26"/>
      <c r="N4576" s="26"/>
      <c r="O4576" s="14" t="str">
        <f>HYPERLINK("https://otsuka-europe-crm.veevavault.com/ui/#object/email_activity__v/V8C00000004A458", "EN-002105854")</f>
        <v>EN-002105854</v>
      </c>
    </row>
    <row r="4577" spans="1:15" ht="16" x14ac:dyDescent="0.2">
      <c r="A4577" s="26"/>
      <c r="B4577" s="26"/>
      <c r="C4577" s="26"/>
      <c r="D4577" s="26"/>
      <c r="E4577" s="26"/>
      <c r="F4577" s="26"/>
      <c r="G4577" s="26"/>
      <c r="H4577" s="26"/>
      <c r="I4577" s="26"/>
      <c r="J4577" s="26"/>
      <c r="K4577" s="26"/>
      <c r="L4577" s="26"/>
      <c r="M4577" s="26"/>
      <c r="N4577" s="26"/>
      <c r="O4577" s="14" t="str">
        <f>HYPERLINK("https://otsuka-europe-crm.veevavault.com/ui/#object/email_activity__v/V8C00000004A526", "EN-002105967")</f>
        <v>EN-002105967</v>
      </c>
    </row>
    <row r="4578" spans="1:15" ht="16" x14ac:dyDescent="0.2">
      <c r="A4578" s="19"/>
      <c r="B4578" s="19"/>
      <c r="C4578" s="19"/>
      <c r="D4578" s="19"/>
      <c r="E4578" s="19"/>
      <c r="F4578" s="19"/>
      <c r="G4578" s="19"/>
      <c r="H4578" s="19"/>
      <c r="I4578" s="19"/>
      <c r="J4578" s="19"/>
      <c r="K4578" s="19"/>
      <c r="L4578" s="19"/>
      <c r="M4578" s="19"/>
      <c r="N4578" s="19"/>
      <c r="O4578" s="14" t="str">
        <f>HYPERLINK("https://otsuka-europe-crm.veevavault.com/ui/#object/email_activity__v/V8C00000004B081", "EN-002106872")</f>
        <v>EN-002106872</v>
      </c>
    </row>
    <row r="4579" spans="1:15" ht="32" x14ac:dyDescent="0.2">
      <c r="A4579" s="7" t="str">
        <f>HYPERLINK("https://otsuka-europe-crm.veevavault.com/ui/#object/account__v/V4TZ00000634Y4U", "Martin Flür")</f>
        <v>Martin Flür</v>
      </c>
      <c r="B4579" s="7" t="str">
        <f t="shared" ref="B4579:B4586" si="222">HYPERLINK("https://otsuka-europe-crm.veevavault.com/ui/#object/vcountry__v/VENZ000004SONFP", "DE")</f>
        <v>DE</v>
      </c>
      <c r="C4579" s="8" t="s">
        <v>43</v>
      </c>
      <c r="D4579" s="9" t="str">
        <f t="shared" ref="D4579:D4586" si="223">HYPERLINK("https://otsuka-europe-crm.veevavault.com/ui/#object/approved_document__v/V5O00000001W001", "INA VAE DE – Zulassung INAQOVI Venetoclax")</f>
        <v>INA VAE DE – Zulassung INAQOVI Venetoclax</v>
      </c>
      <c r="E4579" s="10" t="str">
        <f>HYPERLINK("https://otsuka-europe-crm.veevavault.com/ui/#object/sent_email__v/VBL000000037231", "SE-001443901")</f>
        <v>SE-001443901</v>
      </c>
      <c r="F4579" s="11"/>
      <c r="G4579" s="12">
        <v>0</v>
      </c>
      <c r="H4579" s="12">
        <v>0</v>
      </c>
      <c r="I4579" s="12">
        <v>0</v>
      </c>
      <c r="J4579" s="11"/>
      <c r="K4579" s="12">
        <v>0</v>
      </c>
      <c r="L4579" s="10" t="str">
        <f t="shared" ref="L4579:L4586" si="224">HYPERLINK("https://otsuka-europe-crm.veevavault.com/ui/#object/approved_document__v/V5O00000001W001", "INA VAE DE – Zulassung INAQOVI Venetoclax")</f>
        <v>INA VAE DE – Zulassung INAQOVI Venetoclax</v>
      </c>
      <c r="M4579" s="10" t="str">
        <f t="shared" ref="M4579:M4586" si="225">HYPERLINK("mailto:dspreda@crm.otsuka-europe.com", "dspreda@crm.otsuka-europe.com")</f>
        <v>dspreda@crm.otsuka-europe.com</v>
      </c>
      <c r="N4579" s="13">
        <v>46217.377662037034</v>
      </c>
      <c r="O4579" s="14" t="str">
        <f>HYPERLINK("https://otsuka-europe-crm.veevavault.com/ui/#object/email_activity__v/V8C00000004A437", "EN-002105827")</f>
        <v>EN-002105827</v>
      </c>
    </row>
    <row r="4580" spans="1:15" ht="32" x14ac:dyDescent="0.2">
      <c r="A4580" s="7" t="str">
        <f>HYPERLINK("https://otsuka-europe-crm.veevavault.com/ui/#object/account__v/V4TZ00000634ZSR", "Georg Kloster")</f>
        <v>Georg Kloster</v>
      </c>
      <c r="B4580" s="7" t="str">
        <f t="shared" si="222"/>
        <v>DE</v>
      </c>
      <c r="C4580" s="8" t="s">
        <v>43</v>
      </c>
      <c r="D4580" s="9" t="str">
        <f t="shared" si="223"/>
        <v>INA VAE DE – Zulassung INAQOVI Venetoclax</v>
      </c>
      <c r="E4580" s="10" t="str">
        <f>HYPERLINK("https://otsuka-europe-crm.veevavault.com/ui/#object/sent_email__v/VBL000000037232", "SE-001443902")</f>
        <v>SE-001443902</v>
      </c>
      <c r="F4580" s="11"/>
      <c r="G4580" s="12">
        <v>0</v>
      </c>
      <c r="H4580" s="12">
        <v>0</v>
      </c>
      <c r="I4580" s="12">
        <v>0</v>
      </c>
      <c r="J4580" s="11"/>
      <c r="K4580" s="12">
        <v>0</v>
      </c>
      <c r="L4580" s="10" t="str">
        <f t="shared" si="224"/>
        <v>INA VAE DE – Zulassung INAQOVI Venetoclax</v>
      </c>
      <c r="M4580" s="10" t="str">
        <f t="shared" si="225"/>
        <v>dspreda@crm.otsuka-europe.com</v>
      </c>
      <c r="N4580" s="13">
        <v>46217.378009259257</v>
      </c>
      <c r="O4580" s="14" t="str">
        <f>HYPERLINK("https://otsuka-europe-crm.veevavault.com/ui/#object/email_activity__v/V8C00000004A438", "EN-002105828")</f>
        <v>EN-002105828</v>
      </c>
    </row>
    <row r="4581" spans="1:15" ht="32" x14ac:dyDescent="0.2">
      <c r="A4581" s="7" t="str">
        <f>HYPERLINK("https://otsuka-europe-crm.veevavault.com/ui/#object/account__v/V4TZ0000062SZQD", "Daniela Dörfel")</f>
        <v>Daniela Dörfel</v>
      </c>
      <c r="B4581" s="7" t="str">
        <f t="shared" si="222"/>
        <v>DE</v>
      </c>
      <c r="C4581" s="8" t="s">
        <v>43</v>
      </c>
      <c r="D4581" s="9" t="str">
        <f t="shared" si="223"/>
        <v>INA VAE DE – Zulassung INAQOVI Venetoclax</v>
      </c>
      <c r="E4581" s="10" t="str">
        <f>HYPERLINK("https://otsuka-europe-crm.veevavault.com/ui/#object/sent_email__v/VBL000000037233", "SE-001443903")</f>
        <v>SE-001443903</v>
      </c>
      <c r="F4581" s="11"/>
      <c r="G4581" s="12">
        <v>0</v>
      </c>
      <c r="H4581" s="12">
        <v>0</v>
      </c>
      <c r="I4581" s="12">
        <v>0</v>
      </c>
      <c r="J4581" s="11"/>
      <c r="K4581" s="12">
        <v>0</v>
      </c>
      <c r="L4581" s="10" t="str">
        <f t="shared" si="224"/>
        <v>INA VAE DE – Zulassung INAQOVI Venetoclax</v>
      </c>
      <c r="M4581" s="10" t="str">
        <f t="shared" si="225"/>
        <v>dspreda@crm.otsuka-europe.com</v>
      </c>
      <c r="N4581" s="13">
        <v>46217.378078703703</v>
      </c>
      <c r="O4581" s="14" t="str">
        <f>HYPERLINK("https://otsuka-europe-crm.veevavault.com/ui/#object/email_activity__v/V8C00000004A439", "EN-002105829")</f>
        <v>EN-002105829</v>
      </c>
    </row>
    <row r="4582" spans="1:15" ht="32" x14ac:dyDescent="0.2">
      <c r="A4582" s="7" t="str">
        <f>HYPERLINK("https://otsuka-europe-crm.veevavault.com/ui/#object/account__v/V4TZ00000634U1F", "Doris Kraemer")</f>
        <v>Doris Kraemer</v>
      </c>
      <c r="B4582" s="7" t="str">
        <f t="shared" si="222"/>
        <v>DE</v>
      </c>
      <c r="C4582" s="8" t="s">
        <v>43</v>
      </c>
      <c r="D4582" s="9" t="str">
        <f t="shared" si="223"/>
        <v>INA VAE DE – Zulassung INAQOVI Venetoclax</v>
      </c>
      <c r="E4582" s="10" t="str">
        <f>HYPERLINK("https://otsuka-europe-crm.veevavault.com/ui/#object/sent_email__v/VBL000000037234", "SE-001443904")</f>
        <v>SE-001443904</v>
      </c>
      <c r="F4582" s="11"/>
      <c r="G4582" s="12">
        <v>0</v>
      </c>
      <c r="H4582" s="12">
        <v>0</v>
      </c>
      <c r="I4582" s="12">
        <v>0</v>
      </c>
      <c r="J4582" s="11"/>
      <c r="K4582" s="12">
        <v>0</v>
      </c>
      <c r="L4582" s="10" t="str">
        <f t="shared" si="224"/>
        <v>INA VAE DE – Zulassung INAQOVI Venetoclax</v>
      </c>
      <c r="M4582" s="10" t="str">
        <f t="shared" si="225"/>
        <v>dspreda@crm.otsuka-europe.com</v>
      </c>
      <c r="N4582" s="13">
        <v>46217.378321759257</v>
      </c>
      <c r="O4582" s="14" t="str">
        <f>HYPERLINK("https://otsuka-europe-crm.veevavault.com/ui/#object/email_activity__v/V8C00000004A441", "EN-002105831")</f>
        <v>EN-002105831</v>
      </c>
    </row>
    <row r="4583" spans="1:15" ht="32" x14ac:dyDescent="0.2">
      <c r="A4583" s="7" t="str">
        <f>HYPERLINK("https://otsuka-europe-crm.veevavault.com/ui/#object/account__v/V4TZ0000063526T", "Dirk Auffermann")</f>
        <v>Dirk Auffermann</v>
      </c>
      <c r="B4583" s="7" t="str">
        <f t="shared" si="222"/>
        <v>DE</v>
      </c>
      <c r="C4583" s="8" t="s">
        <v>43</v>
      </c>
      <c r="D4583" s="9" t="str">
        <f t="shared" si="223"/>
        <v>INA VAE DE – Zulassung INAQOVI Venetoclax</v>
      </c>
      <c r="E4583" s="10" t="str">
        <f>HYPERLINK("https://otsuka-europe-crm.veevavault.com/ui/#object/sent_email__v/VBL000000037235", "SE-001443905")</f>
        <v>SE-001443905</v>
      </c>
      <c r="F4583" s="11"/>
      <c r="G4583" s="12">
        <v>0</v>
      </c>
      <c r="H4583" s="12">
        <v>0</v>
      </c>
      <c r="I4583" s="12">
        <v>0</v>
      </c>
      <c r="J4583" s="11"/>
      <c r="K4583" s="12">
        <v>0</v>
      </c>
      <c r="L4583" s="10" t="str">
        <f t="shared" si="224"/>
        <v>INA VAE DE – Zulassung INAQOVI Venetoclax</v>
      </c>
      <c r="M4583" s="10" t="str">
        <f t="shared" si="225"/>
        <v>dspreda@crm.otsuka-europe.com</v>
      </c>
      <c r="N4583" s="13">
        <v>46217.378425925926</v>
      </c>
      <c r="O4583" s="14" t="str">
        <f>HYPERLINK("https://otsuka-europe-crm.veevavault.com/ui/#object/email_activity__v/V8C00000004A440", "EN-002105830")</f>
        <v>EN-002105830</v>
      </c>
    </row>
    <row r="4584" spans="1:15" ht="32" x14ac:dyDescent="0.2">
      <c r="A4584" s="7" t="str">
        <f>HYPERLINK("https://otsuka-europe-crm.veevavault.com/ui/#object/account__v/V4TZ00000634TKX", "Andreas Brandt")</f>
        <v>Andreas Brandt</v>
      </c>
      <c r="B4584" s="7" t="str">
        <f t="shared" si="222"/>
        <v>DE</v>
      </c>
      <c r="C4584" s="8" t="s">
        <v>43</v>
      </c>
      <c r="D4584" s="9" t="str">
        <f t="shared" si="223"/>
        <v>INA VAE DE – Zulassung INAQOVI Venetoclax</v>
      </c>
      <c r="E4584" s="10" t="str">
        <f>HYPERLINK("https://otsuka-europe-crm.veevavault.com/ui/#object/sent_email__v/VBL000000037236", "SE-001443906")</f>
        <v>SE-001443906</v>
      </c>
      <c r="F4584" s="11"/>
      <c r="G4584" s="12">
        <v>0</v>
      </c>
      <c r="H4584" s="12">
        <v>0</v>
      </c>
      <c r="I4584" s="12">
        <v>0</v>
      </c>
      <c r="J4584" s="11"/>
      <c r="K4584" s="12">
        <v>0</v>
      </c>
      <c r="L4584" s="10" t="str">
        <f t="shared" si="224"/>
        <v>INA VAE DE – Zulassung INAQOVI Venetoclax</v>
      </c>
      <c r="M4584" s="10" t="str">
        <f t="shared" si="225"/>
        <v>dspreda@crm.otsuka-europe.com</v>
      </c>
      <c r="N4584" s="13">
        <v>46217.378680555557</v>
      </c>
      <c r="O4584" s="14" t="str">
        <f>HYPERLINK("https://otsuka-europe-crm.veevavault.com/ui/#object/email_activity__v/V8C00000004A452", "EN-002105843")</f>
        <v>EN-002105843</v>
      </c>
    </row>
    <row r="4585" spans="1:15" ht="32" x14ac:dyDescent="0.2">
      <c r="A4585" s="7" t="str">
        <f>HYPERLINK("https://otsuka-europe-crm.veevavault.com/ui/#object/account__v/V4TZ000006354CA", "Carsten Ziske")</f>
        <v>Carsten Ziske</v>
      </c>
      <c r="B4585" s="7" t="str">
        <f t="shared" si="222"/>
        <v>DE</v>
      </c>
      <c r="C4585" s="8" t="s">
        <v>43</v>
      </c>
      <c r="D4585" s="9" t="str">
        <f t="shared" si="223"/>
        <v>INA VAE DE – Zulassung INAQOVI Venetoclax</v>
      </c>
      <c r="E4585" s="10" t="str">
        <f>HYPERLINK("https://otsuka-europe-crm.veevavault.com/ui/#object/sent_email__v/VBL000000037237", "SE-001443907")</f>
        <v>SE-001443907</v>
      </c>
      <c r="F4585" s="11"/>
      <c r="G4585" s="12">
        <v>0</v>
      </c>
      <c r="H4585" s="12">
        <v>0</v>
      </c>
      <c r="I4585" s="12">
        <v>0</v>
      </c>
      <c r="J4585" s="11"/>
      <c r="K4585" s="12">
        <v>0</v>
      </c>
      <c r="L4585" s="10" t="str">
        <f t="shared" si="224"/>
        <v>INA VAE DE – Zulassung INAQOVI Venetoclax</v>
      </c>
      <c r="M4585" s="10" t="str">
        <f t="shared" si="225"/>
        <v>dspreda@crm.otsuka-europe.com</v>
      </c>
      <c r="N4585" s="13">
        <v>46217.378738425927</v>
      </c>
      <c r="O4585" s="14" t="str">
        <f>HYPERLINK("https://otsuka-europe-crm.veevavault.com/ui/#object/email_activity__v/V8C00000004A442", "EN-002105832")</f>
        <v>EN-002105832</v>
      </c>
    </row>
    <row r="4586" spans="1:15" ht="16" x14ac:dyDescent="0.2">
      <c r="A4586" s="18" t="str">
        <f>HYPERLINK("https://otsuka-europe-crm.veevavault.com/ui/#object/account__v/V4TZ00000634WYN", "Jürgen E. Baier")</f>
        <v>Jürgen E. Baier</v>
      </c>
      <c r="B4586" s="18" t="str">
        <f t="shared" si="222"/>
        <v>DE</v>
      </c>
      <c r="C4586" s="20" t="s">
        <v>43</v>
      </c>
      <c r="D4586" s="21" t="str">
        <f t="shared" si="223"/>
        <v>INA VAE DE – Zulassung INAQOVI Venetoclax</v>
      </c>
      <c r="E4586" s="22" t="str">
        <f>HYPERLINK("https://otsuka-europe-crm.veevavault.com/ui/#object/sent_email__v/VBL000000037238", "SE-001443908")</f>
        <v>SE-001443908</v>
      </c>
      <c r="F4586" s="25">
        <v>46217.380196759259</v>
      </c>
      <c r="G4586" s="24">
        <v>1</v>
      </c>
      <c r="H4586" s="24">
        <v>1</v>
      </c>
      <c r="I4586" s="24">
        <v>0</v>
      </c>
      <c r="J4586" s="23"/>
      <c r="K4586" s="24">
        <v>0</v>
      </c>
      <c r="L4586" s="22" t="str">
        <f t="shared" si="224"/>
        <v>INA VAE DE – Zulassung INAQOVI Venetoclax</v>
      </c>
      <c r="M4586" s="22" t="str">
        <f t="shared" si="225"/>
        <v>dspreda@crm.otsuka-europe.com</v>
      </c>
      <c r="N4586" s="25">
        <v>46217.379189814812</v>
      </c>
      <c r="O4586" s="14" t="str">
        <f>HYPERLINK("https://otsuka-europe-crm.veevavault.com/ui/#object/email_activity__v/V8C00000004A443", "EN-002105833")</f>
        <v>EN-002105833</v>
      </c>
    </row>
    <row r="4587" spans="1:15" ht="16" x14ac:dyDescent="0.2">
      <c r="A4587" s="26"/>
      <c r="B4587" s="26"/>
      <c r="C4587" s="26"/>
      <c r="D4587" s="26"/>
      <c r="E4587" s="26"/>
      <c r="F4587" s="26"/>
      <c r="G4587" s="26"/>
      <c r="H4587" s="26"/>
      <c r="I4587" s="26"/>
      <c r="J4587" s="26"/>
      <c r="K4587" s="26"/>
      <c r="L4587" s="26"/>
      <c r="M4587" s="26"/>
      <c r="N4587" s="26"/>
      <c r="O4587" s="14" t="str">
        <f>HYPERLINK("https://otsuka-europe-crm.veevavault.com/ui/#object/email_activity__v/V8C00000004A445", "EN-002105835")</f>
        <v>EN-002105835</v>
      </c>
    </row>
    <row r="4588" spans="1:15" ht="16" x14ac:dyDescent="0.2">
      <c r="A4588" s="19"/>
      <c r="B4588" s="19"/>
      <c r="C4588" s="19"/>
      <c r="D4588" s="19"/>
      <c r="E4588" s="19"/>
      <c r="F4588" s="19"/>
      <c r="G4588" s="19"/>
      <c r="H4588" s="19"/>
      <c r="I4588" s="19"/>
      <c r="J4588" s="19"/>
      <c r="K4588" s="19"/>
      <c r="L4588" s="19"/>
      <c r="M4588" s="19"/>
      <c r="N4588" s="19"/>
      <c r="O4588" s="14" t="str">
        <f>HYPERLINK("https://otsuka-europe-crm.veevavault.com/ui/#object/email_activity__v/V8C00000004B045", "EN-002106809")</f>
        <v>EN-002106809</v>
      </c>
    </row>
    <row r="4589" spans="1:15" ht="32" x14ac:dyDescent="0.2">
      <c r="A4589" s="7" t="str">
        <f>HYPERLINK("https://otsuka-europe-crm.veevavault.com/ui/#object/account__v/V4TZ00000634Z33", "Karsten Schulmann")</f>
        <v>Karsten Schulmann</v>
      </c>
      <c r="B4589" s="7" t="str">
        <f>HYPERLINK("https://otsuka-europe-crm.veevavault.com/ui/#object/vcountry__v/VENZ000004SONFP", "DE")</f>
        <v>DE</v>
      </c>
      <c r="C4589" s="8" t="s">
        <v>43</v>
      </c>
      <c r="D4589" s="9" t="str">
        <f>HYPERLINK("https://otsuka-europe-crm.veevavault.com/ui/#object/approved_document__v/V5O00000001W001", "INA VAE DE – Zulassung INAQOVI Venetoclax")</f>
        <v>INA VAE DE – Zulassung INAQOVI Venetoclax</v>
      </c>
      <c r="E4589" s="10" t="str">
        <f>HYPERLINK("https://otsuka-europe-crm.veevavault.com/ui/#object/sent_email__v/VBL000000037239", "SE-001443909")</f>
        <v>SE-001443909</v>
      </c>
      <c r="F4589" s="11"/>
      <c r="G4589" s="12">
        <v>0</v>
      </c>
      <c r="H4589" s="12">
        <v>0</v>
      </c>
      <c r="I4589" s="12">
        <v>0</v>
      </c>
      <c r="J4589" s="11"/>
      <c r="K4589" s="12">
        <v>0</v>
      </c>
      <c r="L4589" s="10" t="str">
        <f>HYPERLINK("https://otsuka-europe-crm.veevavault.com/ui/#object/approved_document__v/V5O00000001W001", "INA VAE DE – Zulassung INAQOVI Venetoclax")</f>
        <v>INA VAE DE – Zulassung INAQOVI Venetoclax</v>
      </c>
      <c r="M4589" s="10" t="str">
        <f>HYPERLINK("mailto:dspreda@crm.otsuka-europe.com", "dspreda@crm.otsuka-europe.com")</f>
        <v>dspreda@crm.otsuka-europe.com</v>
      </c>
      <c r="N4589" s="13">
        <v>46217.379247685189</v>
      </c>
      <c r="O4589" s="14" t="str">
        <f>HYPERLINK("https://otsuka-europe-crm.veevavault.com/ui/#object/email_activity__v/V8C00000004A444", "EN-002105834")</f>
        <v>EN-002105834</v>
      </c>
    </row>
    <row r="4590" spans="1:15" ht="32" x14ac:dyDescent="0.2">
      <c r="A4590" s="7" t="str">
        <f>HYPERLINK("https://otsuka-europe-crm.veevavault.com/ui/#object/account__v/V4TZ06G6O71TBSR", "FRANCISCO RICOTE TRIGO")</f>
        <v>FRANCISCO RICOTE TRIGO</v>
      </c>
      <c r="B4590" s="7" t="str">
        <f>HYPERLINK("https://otsuka-europe-crm.veevavault.com/ui/#object/vcountry__v/VENZ000004SONF5", "ES")</f>
        <v>ES</v>
      </c>
      <c r="C4590" s="8" t="s">
        <v>39</v>
      </c>
      <c r="D4590" s="9" t="str">
        <f>HYPERLINK("https://otsuka-europe-crm.veevavault.com/ui/#object/approved_document__v/V5OZ04ASG4FWKA9", "Documento Autorizaciขn Centro Empleador")</f>
        <v>Documento Autorizaciขn Centro Empleador</v>
      </c>
      <c r="E4590" s="10" t="str">
        <f>HYPERLINK("https://otsuka-europe-crm.veevavault.com/ui/#object/sent_email__v/VBL000000038182", "SE-001443910")</f>
        <v>SE-001443910</v>
      </c>
      <c r="F4590" s="11"/>
      <c r="G4590" s="12">
        <v>0</v>
      </c>
      <c r="H4590" s="12">
        <v>0</v>
      </c>
      <c r="I4590" s="12">
        <v>0</v>
      </c>
      <c r="J4590" s="11"/>
      <c r="K4590" s="12">
        <v>0</v>
      </c>
      <c r="L4590" s="10" t="str">
        <f>HYPERLINK("https://otsuka-europe-crm.veevavault.com/ui/#object/approved_document__v/V5OZ04ASG4FWKA9", "Documento Autorizaciขn Centro Empleador")</f>
        <v>Documento Autorizaciขn Centro Empleador</v>
      </c>
      <c r="M4590" s="10" t="str">
        <f>HYPERLINK("mailto:oestevez@crm.otsuka-europe.com", "oestevez@crm.otsuka-europe.com")</f>
        <v>oestevez@crm.otsuka-europe.com</v>
      </c>
      <c r="N4590" s="13">
        <v>46217.390532407408</v>
      </c>
      <c r="O4590" s="14" t="str">
        <f>HYPERLINK("https://otsuka-europe-crm.veevavault.com/ui/#object/email_activity__v/V8C00000004A451", "EN-002105841")</f>
        <v>EN-002105841</v>
      </c>
    </row>
    <row r="4591" spans="1:15" ht="16" x14ac:dyDescent="0.2">
      <c r="A4591" s="18" t="str">
        <f>HYPERLINK("https://otsuka-europe-crm.veevavault.com/ui/#object/account__v/V4TZ06G6O71T8OU", "RAUL SANCHEZ MARIN")</f>
        <v>RAUL SANCHEZ MARIN</v>
      </c>
      <c r="B4591" s="18" t="str">
        <f>HYPERLINK("https://otsuka-europe-crm.veevavault.com/ui/#object/vcountry__v/VENZ000004SONF5", "ES")</f>
        <v>ES</v>
      </c>
      <c r="C4591" s="20" t="s">
        <v>39</v>
      </c>
      <c r="D4591" s="21" t="str">
        <f>HYPERLINK("https://otsuka-europe-crm.veevavault.com/ui/#object/approved_document__v/V5OZ025E82M2JH1", "LUP - videos cc experiencias en vida real con voclosporina - nefro")</f>
        <v>LUP - videos cc experiencias en vida real con voclosporina - nefro</v>
      </c>
      <c r="E4591" s="22" t="str">
        <f>HYPERLINK("https://otsuka-europe-crm.veevavault.com/ui/#object/sent_email__v/VBL000000037240", "SE-001443911")</f>
        <v>SE-001443911</v>
      </c>
      <c r="F4591" s="25">
        <v>46217.402939814812</v>
      </c>
      <c r="G4591" s="24">
        <v>1</v>
      </c>
      <c r="H4591" s="24">
        <v>1</v>
      </c>
      <c r="I4591" s="24">
        <v>0</v>
      </c>
      <c r="J4591" s="23"/>
      <c r="K4591" s="24">
        <v>0</v>
      </c>
      <c r="L4591" s="22" t="str">
        <f>HYPERLINK("https://otsuka-europe-crm.veevavault.com/ui/#object/approved_document__v/V5OZ025E82M2JH1", "LUP - videos cc experiencias en vida real con voclosporina - nefro")</f>
        <v>LUP - videos cc experiencias en vida real con voclosporina - nefro</v>
      </c>
      <c r="M4591" s="22" t="str">
        <f>HYPERLINK("mailto:gsammali@crm.otsuka-europe.com", "gsammali@crm.otsuka-europe.com")</f>
        <v>gsammali@crm.otsuka-europe.com</v>
      </c>
      <c r="N4591" s="25">
        <v>46217.40289351852</v>
      </c>
      <c r="O4591" s="14" t="str">
        <f>HYPERLINK("https://otsuka-europe-crm.veevavault.com/ui/#object/email_activity__v/V8C00000004A459", "EN-002105855")</f>
        <v>EN-002105855</v>
      </c>
    </row>
    <row r="4592" spans="1:15" ht="16" x14ac:dyDescent="0.2">
      <c r="A4592" s="19"/>
      <c r="B4592" s="19"/>
      <c r="C4592" s="19"/>
      <c r="D4592" s="19"/>
      <c r="E4592" s="19"/>
      <c r="F4592" s="19"/>
      <c r="G4592" s="19"/>
      <c r="H4592" s="19"/>
      <c r="I4592" s="19"/>
      <c r="J4592" s="19"/>
      <c r="K4592" s="19"/>
      <c r="L4592" s="19"/>
      <c r="M4592" s="19"/>
      <c r="N4592" s="19"/>
      <c r="O4592" s="14" t="str">
        <f>HYPERLINK("https://otsuka-europe-crm.veevavault.com/ui/#object/email_activity__v/V8C00000004A462", "EN-002105858")</f>
        <v>EN-002105858</v>
      </c>
    </row>
    <row r="4593" spans="1:15" ht="32" x14ac:dyDescent="0.2">
      <c r="A4593" s="7" t="str">
        <f>HYPERLINK("https://otsuka-europe-crm.veevavault.com/ui/#object/account__v/V4TZ06G6O71T8OU", "RAUL SANCHEZ MARIN")</f>
        <v>RAUL SANCHEZ MARIN</v>
      </c>
      <c r="B4593" s="7" t="str">
        <f>HYPERLINK("https://otsuka-europe-crm.veevavault.com/ui/#object/vcountry__v/VENZ000004SONF5", "ES")</f>
        <v>ES</v>
      </c>
      <c r="C4593" s="8" t="s">
        <v>39</v>
      </c>
      <c r="D4593" s="9" t="str">
        <f>HYPERLINK("https://otsuka-europe-crm.veevavault.com/ui/#object/approved_document__v/V5O00000001A037", "LUP - VAE Póster Adelphi - Nefro")</f>
        <v>LUP - VAE Póster Adelphi - Nefro</v>
      </c>
      <c r="E4593" s="10" t="str">
        <f>HYPERLINK("https://otsuka-europe-crm.veevavault.com/ui/#object/sent_email__v/VBL000000037241", "SE-001443912")</f>
        <v>SE-001443912</v>
      </c>
      <c r="F4593" s="11"/>
      <c r="G4593" s="12">
        <v>0</v>
      </c>
      <c r="H4593" s="12">
        <v>0</v>
      </c>
      <c r="I4593" s="12">
        <v>0</v>
      </c>
      <c r="J4593" s="11"/>
      <c r="K4593" s="12">
        <v>0</v>
      </c>
      <c r="L4593" s="10" t="str">
        <f>HYPERLINK("https://otsuka-europe-crm.veevavault.com/ui/#object/approved_document__v/V5O00000001A037", "LUP - VAE Póster Adelphi - Nefro")</f>
        <v>LUP - VAE Póster Adelphi - Nefro</v>
      </c>
      <c r="M4593" s="10" t="str">
        <f>HYPERLINK("mailto:gsammali@crm.otsuka-europe.com", "gsammali@crm.otsuka-europe.com")</f>
        <v>gsammali@crm.otsuka-europe.com</v>
      </c>
      <c r="N4593" s="13">
        <v>46217.40289351852</v>
      </c>
      <c r="O4593" s="14" t="str">
        <f>HYPERLINK("https://otsuka-europe-crm.veevavault.com/ui/#object/email_activity__v/V8C00000004A460", "EN-002105856")</f>
        <v>EN-002105856</v>
      </c>
    </row>
    <row r="4594" spans="1:15" ht="16" x14ac:dyDescent="0.2">
      <c r="A4594" s="18" t="str">
        <f>HYPERLINK("https://otsuka-europe-crm.veevavault.com/ui/#object/account__v/V4TZ06G6O71T8OU", "RAUL SANCHEZ MARIN")</f>
        <v>RAUL SANCHEZ MARIN</v>
      </c>
      <c r="B4594" s="18" t="str">
        <f>HYPERLINK("https://otsuka-europe-crm.veevavault.com/ui/#object/vcountry__v/VENZ000004SONF5", "ES")</f>
        <v>ES</v>
      </c>
      <c r="C4594" s="20" t="s">
        <v>39</v>
      </c>
      <c r="D459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4594" s="22" t="str">
        <f>HYPERLINK("https://otsuka-europe-crm.veevavault.com/ui/#object/sent_email__v/VBL000000038183", "SE-001443913")</f>
        <v>SE-001443913</v>
      </c>
      <c r="F4594" s="25">
        <v>46217.402986111112</v>
      </c>
      <c r="G4594" s="24">
        <v>1</v>
      </c>
      <c r="H4594" s="24">
        <v>1</v>
      </c>
      <c r="I4594" s="24">
        <v>0</v>
      </c>
      <c r="J4594" s="23"/>
      <c r="K4594" s="24">
        <v>0</v>
      </c>
      <c r="L459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4594" s="22" t="str">
        <f>HYPERLINK("mailto:gsammali@crm.otsuka-europe.com", "gsammali@crm.otsuka-europe.com")</f>
        <v>gsammali@crm.otsuka-europe.com</v>
      </c>
      <c r="N4594" s="25">
        <v>46217.402905092589</v>
      </c>
      <c r="O4594" s="14" t="str">
        <f>HYPERLINK("https://otsuka-europe-crm.veevavault.com/ui/#object/email_activity__v/V8C00000004A461", "EN-002105857")</f>
        <v>EN-002105857</v>
      </c>
    </row>
    <row r="4595" spans="1:15" ht="16" x14ac:dyDescent="0.2">
      <c r="A4595" s="19"/>
      <c r="B4595" s="19"/>
      <c r="C4595" s="19"/>
      <c r="D4595" s="19"/>
      <c r="E4595" s="19"/>
      <c r="F4595" s="19"/>
      <c r="G4595" s="19"/>
      <c r="H4595" s="19"/>
      <c r="I4595" s="19"/>
      <c r="J4595" s="19"/>
      <c r="K4595" s="19"/>
      <c r="L4595" s="19"/>
      <c r="M4595" s="19"/>
      <c r="N4595" s="19"/>
      <c r="O4595" s="14" t="str">
        <f>HYPERLINK("https://otsuka-europe-crm.veevavault.com/ui/#object/email_activity__v/V8C00000004A463", "EN-002105859")</f>
        <v>EN-002105859</v>
      </c>
    </row>
    <row r="4596" spans="1:15" ht="16" x14ac:dyDescent="0.2">
      <c r="A4596" s="18" t="str">
        <f>HYPERLINK("https://otsuka-europe-crm.veevavault.com/ui/#object/account__v/V4TZ06G6O71TYGU", "ANA GARCIA CARPINTERO")</f>
        <v>ANA GARCIA CARPINTERO</v>
      </c>
      <c r="B4596" s="18" t="str">
        <f>HYPERLINK("https://otsuka-europe-crm.veevavault.com/ui/#object/vcountry__v/VENZ000004SONF5", "ES")</f>
        <v>ES</v>
      </c>
      <c r="C4596" s="20" t="s">
        <v>39</v>
      </c>
      <c r="D4596" s="21" t="str">
        <f>HYPERLINK("https://otsuka-europe-crm.veevavault.com/ui/#object/approved_document__v/V5OZ04ASG4FWKA9", "Documento Autorizaciขn Centro Empleador")</f>
        <v>Documento Autorizaciขn Centro Empleador</v>
      </c>
      <c r="E4596" s="22" t="str">
        <f>HYPERLINK("https://otsuka-europe-crm.veevavault.com/ui/#object/sent_email__v/VBL000000038184", "SE-001443914")</f>
        <v>SE-001443914</v>
      </c>
      <c r="F4596" s="25">
        <v>46217.436111111114</v>
      </c>
      <c r="G4596" s="24">
        <v>1</v>
      </c>
      <c r="H4596" s="24">
        <v>3</v>
      </c>
      <c r="I4596" s="24">
        <v>1</v>
      </c>
      <c r="J4596" s="25">
        <v>46217.436168981483</v>
      </c>
      <c r="K4596" s="24">
        <v>2</v>
      </c>
      <c r="L4596" s="22" t="str">
        <f>HYPERLINK("https://otsuka-europe-crm.veevavault.com/ui/#object/approved_document__v/V5OZ04ASG4FWKA9", "Documento Autorizaciขn Centro Empleador")</f>
        <v>Documento Autorizaciขn Centro Empleador</v>
      </c>
      <c r="M4596" s="22" t="str">
        <f>HYPERLINK("mailto:oestevez@crm.otsuka-europe.com", "oestevez@crm.otsuka-europe.com")</f>
        <v>oestevez@crm.otsuka-europe.com</v>
      </c>
      <c r="N4596" s="25">
        <v>46217.404606481483</v>
      </c>
      <c r="O4596" s="14" t="str">
        <f>HYPERLINK("https://otsuka-europe-crm.veevavault.com/ui/#object/email_activity__v/V8C000000049531", "EN-002105860")</f>
        <v>EN-002105860</v>
      </c>
    </row>
    <row r="4597" spans="1:15" ht="16" x14ac:dyDescent="0.2">
      <c r="A4597" s="26"/>
      <c r="B4597" s="26"/>
      <c r="C4597" s="26"/>
      <c r="D4597" s="26"/>
      <c r="E4597" s="26"/>
      <c r="F4597" s="26"/>
      <c r="G4597" s="26"/>
      <c r="H4597" s="26"/>
      <c r="I4597" s="26"/>
      <c r="J4597" s="26"/>
      <c r="K4597" s="26"/>
      <c r="L4597" s="26"/>
      <c r="M4597" s="26"/>
      <c r="N4597" s="26"/>
      <c r="O4597" s="14" t="str">
        <f>HYPERLINK("https://otsuka-europe-crm.veevavault.com/ui/#object/email_activity__v/V8C00000004A465", "EN-002105871")</f>
        <v>EN-002105871</v>
      </c>
    </row>
    <row r="4598" spans="1:15" ht="16" x14ac:dyDescent="0.2">
      <c r="A4598" s="26"/>
      <c r="B4598" s="26"/>
      <c r="C4598" s="26"/>
      <c r="D4598" s="26"/>
      <c r="E4598" s="26"/>
      <c r="F4598" s="26"/>
      <c r="G4598" s="26"/>
      <c r="H4598" s="26"/>
      <c r="I4598" s="26"/>
      <c r="J4598" s="26"/>
      <c r="K4598" s="26"/>
      <c r="L4598" s="26"/>
      <c r="M4598" s="26"/>
      <c r="N4598" s="26"/>
      <c r="O4598" s="14" t="str">
        <f>HYPERLINK("https://otsuka-europe-crm.veevavault.com/ui/#object/email_activity__v/V8C00000004A466", "EN-002105870")</f>
        <v>EN-002105870</v>
      </c>
    </row>
    <row r="4599" spans="1:15" ht="16" x14ac:dyDescent="0.2">
      <c r="A4599" s="26"/>
      <c r="B4599" s="26"/>
      <c r="C4599" s="26"/>
      <c r="D4599" s="26"/>
      <c r="E4599" s="26"/>
      <c r="F4599" s="26"/>
      <c r="G4599" s="26"/>
      <c r="H4599" s="26"/>
      <c r="I4599" s="26"/>
      <c r="J4599" s="26"/>
      <c r="K4599" s="26"/>
      <c r="L4599" s="26"/>
      <c r="M4599" s="26"/>
      <c r="N4599" s="26"/>
      <c r="O4599" s="14" t="str">
        <f>HYPERLINK("https://otsuka-europe-crm.veevavault.com/ui/#object/email_activity__v/V8C00000004A467", "EN-002105872")</f>
        <v>EN-002105872</v>
      </c>
    </row>
    <row r="4600" spans="1:15" ht="16" x14ac:dyDescent="0.2">
      <c r="A4600" s="26"/>
      <c r="B4600" s="26"/>
      <c r="C4600" s="26"/>
      <c r="D4600" s="26"/>
      <c r="E4600" s="26"/>
      <c r="F4600" s="26"/>
      <c r="G4600" s="26"/>
      <c r="H4600" s="26"/>
      <c r="I4600" s="26"/>
      <c r="J4600" s="26"/>
      <c r="K4600" s="26"/>
      <c r="L4600" s="26"/>
      <c r="M4600" s="26"/>
      <c r="N4600" s="26"/>
      <c r="O4600" s="14" t="str">
        <f>HYPERLINK("https://otsuka-europe-crm.veevavault.com/ui/#object/email_activity__v/V8C00000004A469", "EN-002105874")</f>
        <v>EN-002105874</v>
      </c>
    </row>
    <row r="4601" spans="1:15" ht="16" x14ac:dyDescent="0.2">
      <c r="A4601" s="19"/>
      <c r="B4601" s="19"/>
      <c r="C4601" s="19"/>
      <c r="D4601" s="19"/>
      <c r="E4601" s="19"/>
      <c r="F4601" s="19"/>
      <c r="G4601" s="19"/>
      <c r="H4601" s="19"/>
      <c r="I4601" s="19"/>
      <c r="J4601" s="19"/>
      <c r="K4601" s="19"/>
      <c r="L4601" s="19"/>
      <c r="M4601" s="19"/>
      <c r="N4601" s="19"/>
      <c r="O4601" s="14" t="str">
        <f>HYPERLINK("https://otsuka-europe-crm.veevavault.com/ui/#object/email_activity__v/V8C00000004A470", "EN-002105875")</f>
        <v>EN-002105875</v>
      </c>
    </row>
    <row r="4602" spans="1:15" ht="32" x14ac:dyDescent="0.2">
      <c r="A4602" s="7" t="str">
        <f>HYPERLINK("https://otsuka-europe-crm.veevavault.com/ui/#object/account__v/V4T00000002A164", "ELISABETH MORENO MARTI")</f>
        <v>ELISABETH MORENO MARTI</v>
      </c>
      <c r="B4602" s="7" t="str">
        <f>HYPERLINK("https://otsuka-europe-crm.veevavault.com/ui/#object/vcountry__v/VENZ000004SONF5", "ES")</f>
        <v>ES</v>
      </c>
      <c r="C4602" s="8" t="s">
        <v>39</v>
      </c>
      <c r="D4602" s="9" t="str">
        <f>HYPERLINK("https://otsuka-europe-crm.veevavault.com/ui/#object/approved_document__v/V5O00000000D100", "Spain - Consent Email 1 Aug 25")</f>
        <v>Spain - Consent Email 1 Aug 25</v>
      </c>
      <c r="E4602" s="10" t="str">
        <f>HYPERLINK("https://otsuka-europe-crm.veevavault.com/ui/#object/sent_email__v/VBL000000038185", "SE-001443915")</f>
        <v>SE-001443915</v>
      </c>
      <c r="F4602" s="11"/>
      <c r="G4602" s="12">
        <v>0</v>
      </c>
      <c r="H4602" s="12">
        <v>0</v>
      </c>
      <c r="I4602" s="12">
        <v>0</v>
      </c>
      <c r="J4602" s="11"/>
      <c r="K4602" s="12">
        <v>0</v>
      </c>
      <c r="L4602" s="10" t="str">
        <f>HYPERLINK("https://otsuka-europe-crm.veevavault.com/ui/#object/approved_document__v/V5O00000000D100", "Spain - Consent Email 1 Aug 25")</f>
        <v>Spain - Consent Email 1 Aug 25</v>
      </c>
      <c r="M4602" s="10" t="str">
        <f>HYPERLINK("mailto:ccalero@crm.otsuka-europe.com", "ccalero@crm.otsuka-europe.com")</f>
        <v>ccalero@crm.otsuka-europe.com</v>
      </c>
      <c r="N4602" s="13">
        <v>46217.448125000003</v>
      </c>
      <c r="O4602" s="14" t="str">
        <f>HYPERLINK("https://otsuka-europe-crm.veevavault.com/ui/#object/email_activity__v/V8C00000004A471", "EN-002105876")</f>
        <v>EN-002105876</v>
      </c>
    </row>
    <row r="4603" spans="1:15" ht="16" x14ac:dyDescent="0.2">
      <c r="A4603" s="18" t="str">
        <f>HYPERLINK("https://otsuka-europe-crm.veevavault.com/ui/#object/account__v/V4T00000002A164", "ELISABETH MORENO MARTI")</f>
        <v>ELISABETH MORENO MARTI</v>
      </c>
      <c r="B4603" s="18" t="str">
        <f>HYPERLINK("https://otsuka-europe-crm.veevavault.com/ui/#object/vcountry__v/VENZ000004SONF5", "ES")</f>
        <v>ES</v>
      </c>
      <c r="C4603" s="20" t="s">
        <v>39</v>
      </c>
      <c r="D4603" s="21" t="str">
        <f>HYPERLINK("https://otsuka-europe-crm.veevavault.com/ui/#object/approved_document__v/V5OZ04ASG4FWKA7", "Reuniones Online Consent - 2")</f>
        <v>Reuniones Online Consent - 2</v>
      </c>
      <c r="E4603" s="22" t="str">
        <f>HYPERLINK("https://otsuka-europe-crm.veevavault.com/ui/#object/sent_email__v/VBL000000038186", "SE-001443916")</f>
        <v>SE-001443916</v>
      </c>
      <c r="F4603" s="25">
        <v>46217.652499999997</v>
      </c>
      <c r="G4603" s="24">
        <v>1</v>
      </c>
      <c r="H4603" s="24">
        <v>1</v>
      </c>
      <c r="I4603" s="24">
        <v>1</v>
      </c>
      <c r="J4603" s="25">
        <v>46217.652499999997</v>
      </c>
      <c r="K4603" s="24">
        <v>1</v>
      </c>
      <c r="L4603" s="22" t="str">
        <f>HYPERLINK("https://otsuka-europe-crm.veevavault.com/ui/#object/approved_document__v/V5OZ04ASG4FWKA7", "Reuniones Online Consent - 2")</f>
        <v>Reuniones Online Consent - 2</v>
      </c>
      <c r="M4603" s="22" t="str">
        <f>HYPERLINK("mailto:ccalero@crm.otsuka-europe.com", "ccalero@crm.otsuka-europe.com")</f>
        <v>ccalero@crm.otsuka-europe.com</v>
      </c>
      <c r="N4603" s="25">
        <v>46217.448136574072</v>
      </c>
      <c r="O4603" s="14" t="str">
        <f>HYPERLINK("https://otsuka-europe-crm.veevavault.com/ui/#object/email_activity__v/V8C000000049540", "EN-002105878")</f>
        <v>EN-002105878</v>
      </c>
    </row>
    <row r="4604" spans="1:15" ht="16" x14ac:dyDescent="0.2">
      <c r="A4604" s="26"/>
      <c r="B4604" s="26"/>
      <c r="C4604" s="26"/>
      <c r="D4604" s="26"/>
      <c r="E4604" s="26"/>
      <c r="F4604" s="26"/>
      <c r="G4604" s="26"/>
      <c r="H4604" s="26"/>
      <c r="I4604" s="26"/>
      <c r="J4604" s="26"/>
      <c r="K4604" s="26"/>
      <c r="L4604" s="26"/>
      <c r="M4604" s="26"/>
      <c r="N4604" s="26"/>
      <c r="O4604" s="14" t="str">
        <f>HYPERLINK("https://otsuka-europe-crm.veevavault.com/ui/#object/email_activity__v/V8C000000049591", "EN-002105991")</f>
        <v>EN-002105991</v>
      </c>
    </row>
    <row r="4605" spans="1:15" ht="16" x14ac:dyDescent="0.2">
      <c r="A4605" s="19"/>
      <c r="B4605" s="19"/>
      <c r="C4605" s="19"/>
      <c r="D4605" s="19"/>
      <c r="E4605" s="19"/>
      <c r="F4605" s="19"/>
      <c r="G4605" s="19"/>
      <c r="H4605" s="19"/>
      <c r="I4605" s="19"/>
      <c r="J4605" s="19"/>
      <c r="K4605" s="19"/>
      <c r="L4605" s="19"/>
      <c r="M4605" s="19"/>
      <c r="N4605" s="19"/>
      <c r="O4605" s="14" t="str">
        <f>HYPERLINK("https://otsuka-europe-crm.veevavault.com/ui/#object/email_activity__v/V8C000000049592", "EN-002105990")</f>
        <v>EN-002105990</v>
      </c>
    </row>
    <row r="4606" spans="1:15" ht="16" x14ac:dyDescent="0.2">
      <c r="A4606" s="18" t="str">
        <f>HYPERLINK("https://otsuka-europe-crm.veevavault.com/ui/#object/account__v/V4T00000002A164", "ELISABETH MORENO MARTI")</f>
        <v>ELISABETH MORENO MARTI</v>
      </c>
      <c r="B4606" s="18" t="str">
        <f>HYPERLINK("https://otsuka-europe-crm.veevavault.com/ui/#object/vcountry__v/VENZ000004SONF5", "ES")</f>
        <v>ES</v>
      </c>
      <c r="C4606" s="20" t="s">
        <v>39</v>
      </c>
      <c r="D4606" s="21" t="str">
        <f>HYPERLINK("https://otsuka-europe-crm.veevavault.com/ui/#object/approved_document__v/V5OZ04ASG4FWKA9", "Documento Autorizaciขn Centro Empleador")</f>
        <v>Documento Autorizaciขn Centro Empleador</v>
      </c>
      <c r="E4606" s="22" t="str">
        <f>HYPERLINK("https://otsuka-europe-crm.veevavault.com/ui/#object/sent_email__v/VBL000000038187", "SE-001443917")</f>
        <v>SE-001443917</v>
      </c>
      <c r="F4606" s="25">
        <v>46217.652256944442</v>
      </c>
      <c r="G4606" s="24">
        <v>1</v>
      </c>
      <c r="H4606" s="24">
        <v>1</v>
      </c>
      <c r="I4606" s="24">
        <v>1</v>
      </c>
      <c r="J4606" s="25">
        <v>46217.652256944442</v>
      </c>
      <c r="K4606" s="24">
        <v>1</v>
      </c>
      <c r="L4606" s="22" t="str">
        <f>HYPERLINK("https://otsuka-europe-crm.veevavault.com/ui/#object/approved_document__v/V5OZ04ASG4FWKA9", "Documento Autorizaciขn Centro Empleador")</f>
        <v>Documento Autorizaciขn Centro Empleador</v>
      </c>
      <c r="M4606" s="22" t="str">
        <f>HYPERLINK("mailto:ccalero@crm.otsuka-europe.com", "ccalero@crm.otsuka-europe.com")</f>
        <v>ccalero@crm.otsuka-europe.com</v>
      </c>
      <c r="N4606" s="25">
        <v>46217.448148148149</v>
      </c>
      <c r="O4606" s="14" t="str">
        <f>HYPERLINK("https://otsuka-europe-crm.veevavault.com/ui/#object/email_activity__v/V8C000000049589", "EN-002105989")</f>
        <v>EN-002105989</v>
      </c>
    </row>
    <row r="4607" spans="1:15" ht="16" x14ac:dyDescent="0.2">
      <c r="A4607" s="26"/>
      <c r="B4607" s="26"/>
      <c r="C4607" s="26"/>
      <c r="D4607" s="26"/>
      <c r="E4607" s="26"/>
      <c r="F4607" s="26"/>
      <c r="G4607" s="26"/>
      <c r="H4607" s="26"/>
      <c r="I4607" s="26"/>
      <c r="J4607" s="26"/>
      <c r="K4607" s="26"/>
      <c r="L4607" s="26"/>
      <c r="M4607" s="26"/>
      <c r="N4607" s="26"/>
      <c r="O4607" s="14" t="str">
        <f>HYPERLINK("https://otsuka-europe-crm.veevavault.com/ui/#object/email_activity__v/V8C000000049590", "EN-002105988")</f>
        <v>EN-002105988</v>
      </c>
    </row>
    <row r="4608" spans="1:15" ht="16" x14ac:dyDescent="0.2">
      <c r="A4608" s="19"/>
      <c r="B4608" s="19"/>
      <c r="C4608" s="19"/>
      <c r="D4608" s="19"/>
      <c r="E4608" s="19"/>
      <c r="F4608" s="19"/>
      <c r="G4608" s="19"/>
      <c r="H4608" s="19"/>
      <c r="I4608" s="19"/>
      <c r="J4608" s="19"/>
      <c r="K4608" s="19"/>
      <c r="L4608" s="19"/>
      <c r="M4608" s="19"/>
      <c r="N4608" s="19"/>
      <c r="O4608" s="14" t="str">
        <f>HYPERLINK("https://otsuka-europe-crm.veevavault.com/ui/#object/email_activity__v/V8C00000004A472", "EN-002105877")</f>
        <v>EN-002105877</v>
      </c>
    </row>
    <row r="4609" spans="1:15" ht="32" x14ac:dyDescent="0.2">
      <c r="A4609" s="7" t="str">
        <f>HYPERLINK("https://otsuka-europe-crm.veevavault.com/ui/#object/account__v/V4T000000017418", "Hannah Hunter")</f>
        <v>Hannah Hunter</v>
      </c>
      <c r="B4609" s="7" t="str">
        <f>HYPERLINK("https://otsuka-europe-crm.veevavault.com/ui/#object/vcountry__v/VENZ000004SONFK", "GB")</f>
        <v>GB</v>
      </c>
      <c r="C4609" s="8" t="s">
        <v>41</v>
      </c>
      <c r="D4609" s="9" t="str">
        <f>HYPERLINK("https://otsuka-europe-crm.veevavault.com/ui/#object/approved_document__v/V5O00000000D081", "UK - Consent Email 1 Aug 25")</f>
        <v>UK - Consent Email 1 Aug 25</v>
      </c>
      <c r="E4609" s="10" t="str">
        <f>HYPERLINK("https://otsuka-europe-crm.veevavault.com/ui/#object/sent_email__v/VBL000000038188", "SE-001443918")</f>
        <v>SE-001443918</v>
      </c>
      <c r="F4609" s="11"/>
      <c r="G4609" s="12">
        <v>0</v>
      </c>
      <c r="H4609" s="12">
        <v>0</v>
      </c>
      <c r="I4609" s="12">
        <v>0</v>
      </c>
      <c r="J4609" s="11"/>
      <c r="K4609" s="12">
        <v>0</v>
      </c>
      <c r="L4609" s="10" t="str">
        <f>HYPERLINK("https://otsuka-europe-crm.veevavault.com/ui/#object/approved_document__v/V5O00000000D081", "UK - Consent Email 1 Aug 25")</f>
        <v>UK - Consent Email 1 Aug 25</v>
      </c>
      <c r="M4609" s="10" t="str">
        <f>HYPERLINK("mailto:ldimambro@crm.otsuka-europe.com", "ldimambro@crm.otsuka-europe.com")</f>
        <v>ldimambro@crm.otsuka-europe.com</v>
      </c>
      <c r="N4609" s="13">
        <v>46217.45784722222</v>
      </c>
      <c r="O4609" s="14" t="str">
        <f>HYPERLINK("https://otsuka-europe-crm.veevavault.com/ui/#object/email_activity__v/V8C00000004A474", "EN-002105881")</f>
        <v>EN-002105881</v>
      </c>
    </row>
    <row r="4610" spans="1:15" ht="32" x14ac:dyDescent="0.2">
      <c r="A4610" s="7" t="str">
        <f>HYPERLINK("https://otsuka-europe-crm.veevavault.com/ui/#object/account__v/V4TZ025E87A639E", "FABRIZIO COLONNA")</f>
        <v>FABRIZIO COLONNA</v>
      </c>
      <c r="B4610" s="7" t="str">
        <f>HYPERLINK("https://otsuka-europe-crm.veevavault.com/ui/#object/vcountry__v/VENZ000004SONFQ", "IT")</f>
        <v>IT</v>
      </c>
      <c r="C4610" s="8" t="s">
        <v>42</v>
      </c>
      <c r="D4610" s="9" t="str">
        <f>HYPERLINK("https://otsuka-europe-crm.veevavault.com/ui/#object/approved_document__v/V5O00000001G004", "Branded_RXULTI_AE Ansia_IT-RXU-2500035")</f>
        <v>Branded_RXULTI_AE Ansia_IT-RXU-2500035</v>
      </c>
      <c r="E4610" s="10" t="str">
        <f>HYPERLINK("https://otsuka-europe-crm.veevavault.com/ui/#object/sent_email__v/VBL000000038189", "SE-001443919")</f>
        <v>SE-001443919</v>
      </c>
      <c r="F4610" s="11"/>
      <c r="G4610" s="12">
        <v>0</v>
      </c>
      <c r="H4610" s="12">
        <v>0</v>
      </c>
      <c r="I4610" s="12">
        <v>0</v>
      </c>
      <c r="J4610" s="11"/>
      <c r="K4610" s="12">
        <v>0</v>
      </c>
      <c r="L4610" s="10" t="str">
        <f>HYPERLINK("https://otsuka-europe-crm.veevavault.com/ui/#object/approved_document__v/V5O00000001G004", "Branded_RXULTI_AE Ansia_IT-RXU-2500035")</f>
        <v>Branded_RXULTI_AE Ansia_IT-RXU-2500035</v>
      </c>
      <c r="M4610" s="10" t="str">
        <f>HYPERLINK("mailto:gianpaolo.fichera@crm.otsuka-europe.com", "gianpaolo.fichera@crm.otsuka-europe.com")</f>
        <v>gianpaolo.fichera@crm.otsuka-europe.com</v>
      </c>
      <c r="N4610" s="13">
        <v>46217.469166666669</v>
      </c>
      <c r="O4610" s="14" t="str">
        <f>HYPERLINK("https://otsuka-europe-crm.veevavault.com/ui/#object/email_activity__v/V8C00000004A475", "EN-002105883")</f>
        <v>EN-002105883</v>
      </c>
    </row>
    <row r="4611" spans="1:15" ht="32" x14ac:dyDescent="0.2">
      <c r="A4611" s="7" t="str">
        <f>HYPERLINK("https://otsuka-europe-crm.veevavault.com/ui/#object/account__v/V4TZ04ASG76HX73", "ALBERTO BULLON SAEZ")</f>
        <v>ALBERTO BULLON SAEZ</v>
      </c>
      <c r="B4611" s="7" t="str">
        <f>HYPERLINK("https://otsuka-europe-crm.veevavault.com/ui/#object/vcountry__v/VENZ000004SONF5", "ES")</f>
        <v>ES</v>
      </c>
      <c r="C4611" s="8" t="s">
        <v>39</v>
      </c>
      <c r="D4611" s="9" t="str">
        <f>HYPERLINK("https://otsuka-europe-crm.veevavault.com/ui/#object/approved_document__v/V5O00000001R002", "Programa X Jornada UHB")</f>
        <v>Programa X Jornada UHB</v>
      </c>
      <c r="E4611" s="10" t="str">
        <f>HYPERLINK("https://otsuka-europe-crm.veevavault.com/ui/#object/sent_email__v/VBL000000037242", "SE-001443920")</f>
        <v>SE-001443920</v>
      </c>
      <c r="F4611" s="11"/>
      <c r="G4611" s="12">
        <v>0</v>
      </c>
      <c r="H4611" s="12">
        <v>0</v>
      </c>
      <c r="I4611" s="12">
        <v>0</v>
      </c>
      <c r="J4611" s="11"/>
      <c r="K4611" s="12">
        <v>0</v>
      </c>
      <c r="L4611" s="10" t="str">
        <f>HYPERLINK("https://otsuka-europe-crm.veevavault.com/ui/#object/approved_document__v/V5O00000001R002", "Programa X Jornada UHB")</f>
        <v>Programa X Jornada UHB</v>
      </c>
      <c r="M4611" s="10" t="str">
        <f>HYPERLINK("mailto:oestevez@crm.otsuka-europe.com", "oestevez@crm.otsuka-europe.com")</f>
        <v>oestevez@crm.otsuka-europe.com</v>
      </c>
      <c r="N4611" s="13">
        <v>46217.491585648146</v>
      </c>
      <c r="O4611" s="14" t="str">
        <f>HYPERLINK("https://otsuka-europe-crm.veevavault.com/ui/#object/email_activity__v/V8C00000004A480", "EN-002105889")</f>
        <v>EN-002105889</v>
      </c>
    </row>
    <row r="4612" spans="1:15" ht="16" x14ac:dyDescent="0.2">
      <c r="A4612" s="18" t="str">
        <f>HYPERLINK("https://otsuka-europe-crm.veevavault.com/ui/#object/account__v/V4TZ06G6O71TB6K", "JOSE MANUEL MONTES RODRIGUEZ")</f>
        <v>JOSE MANUEL MONTES RODRIGUEZ</v>
      </c>
      <c r="B4612" s="18" t="str">
        <f>HYPERLINK("https://otsuka-europe-crm.veevavault.com/ui/#object/vcountry__v/VENZ000004SONF5", "ES")</f>
        <v>ES</v>
      </c>
      <c r="C4612" s="20" t="s">
        <v>39</v>
      </c>
      <c r="D4612" s="21" t="str">
        <f>HYPERLINK("https://otsuka-europe-crm.veevavault.com/ui/#object/approved_document__v/V5O00000001R002", "Programa X Jornada UHB")</f>
        <v>Programa X Jornada UHB</v>
      </c>
      <c r="E4612" s="22" t="str">
        <f>HYPERLINK("https://otsuka-europe-crm.veevavault.com/ui/#object/sent_email__v/VBL000000037243", "SE-001443921")</f>
        <v>SE-001443921</v>
      </c>
      <c r="F4612" s="25">
        <v>46217.57508101852</v>
      </c>
      <c r="G4612" s="24">
        <v>1</v>
      </c>
      <c r="H4612" s="24">
        <v>1</v>
      </c>
      <c r="I4612" s="24">
        <v>1</v>
      </c>
      <c r="J4612" s="25">
        <v>46221.654988425929</v>
      </c>
      <c r="K4612" s="24">
        <v>1</v>
      </c>
      <c r="L4612" s="22" t="str">
        <f>HYPERLINK("https://otsuka-europe-crm.veevavault.com/ui/#object/approved_document__v/V5O00000001R002", "Programa X Jornada UHB")</f>
        <v>Programa X Jornada UHB</v>
      </c>
      <c r="M4612" s="22" t="str">
        <f>HYPERLINK("mailto:oestevez@crm.otsuka-europe.com", "oestevez@crm.otsuka-europe.com")</f>
        <v>oestevez@crm.otsuka-europe.com</v>
      </c>
      <c r="N4612" s="25">
        <v>46217.491585648146</v>
      </c>
      <c r="O4612" s="14" t="str">
        <f>HYPERLINK("https://otsuka-europe-crm.veevavault.com/ui/#object/email_activity__v/V8C000000049677", "EN-002106178")</f>
        <v>EN-002106178</v>
      </c>
    </row>
    <row r="4613" spans="1:15" ht="16" x14ac:dyDescent="0.2">
      <c r="A4613" s="26"/>
      <c r="B4613" s="26"/>
      <c r="C4613" s="26"/>
      <c r="D4613" s="26"/>
      <c r="E4613" s="26"/>
      <c r="F4613" s="26"/>
      <c r="G4613" s="26"/>
      <c r="H4613" s="26"/>
      <c r="I4613" s="26"/>
      <c r="J4613" s="26"/>
      <c r="K4613" s="26"/>
      <c r="L4613" s="26"/>
      <c r="M4613" s="26"/>
      <c r="N4613" s="26"/>
      <c r="O4613" s="14" t="str">
        <f>HYPERLINK("https://otsuka-europe-crm.veevavault.com/ui/#object/email_activity__v/V8C00000004A477", "EN-002105886")</f>
        <v>EN-002105886</v>
      </c>
    </row>
    <row r="4614" spans="1:15" ht="16" x14ac:dyDescent="0.2">
      <c r="A4614" s="26"/>
      <c r="B4614" s="26"/>
      <c r="C4614" s="26"/>
      <c r="D4614" s="26"/>
      <c r="E4614" s="26"/>
      <c r="F4614" s="26"/>
      <c r="G4614" s="26"/>
      <c r="H4614" s="26"/>
      <c r="I4614" s="26"/>
      <c r="J4614" s="26"/>
      <c r="K4614" s="26"/>
      <c r="L4614" s="26"/>
      <c r="M4614" s="26"/>
      <c r="N4614" s="26"/>
      <c r="O4614" s="14" t="str">
        <f>HYPERLINK("https://otsuka-europe-crm.veevavault.com/ui/#object/email_activity__v/V8C00000004A521", "EN-002105959")</f>
        <v>EN-002105959</v>
      </c>
    </row>
    <row r="4615" spans="1:15" ht="16" x14ac:dyDescent="0.2">
      <c r="A4615" s="26"/>
      <c r="B4615" s="26"/>
      <c r="C4615" s="26"/>
      <c r="D4615" s="26"/>
      <c r="E4615" s="26"/>
      <c r="F4615" s="26"/>
      <c r="G4615" s="26"/>
      <c r="H4615" s="26"/>
      <c r="I4615" s="26"/>
      <c r="J4615" s="26"/>
      <c r="K4615" s="26"/>
      <c r="L4615" s="26"/>
      <c r="M4615" s="26"/>
      <c r="N4615" s="26"/>
      <c r="O4615" s="14" t="str">
        <f>HYPERLINK("https://otsuka-europe-crm.veevavault.com/ui/#object/email_activity__v/V8C00000004A810", "EN-002106505")</f>
        <v>EN-002106505</v>
      </c>
    </row>
    <row r="4616" spans="1:15" ht="16" x14ac:dyDescent="0.2">
      <c r="A4616" s="26"/>
      <c r="B4616" s="26"/>
      <c r="C4616" s="26"/>
      <c r="D4616" s="26"/>
      <c r="E4616" s="26"/>
      <c r="F4616" s="26"/>
      <c r="G4616" s="26"/>
      <c r="H4616" s="26"/>
      <c r="I4616" s="26"/>
      <c r="J4616" s="26"/>
      <c r="K4616" s="26"/>
      <c r="L4616" s="26"/>
      <c r="M4616" s="26"/>
      <c r="N4616" s="26"/>
      <c r="O4616" s="14" t="str">
        <f>HYPERLINK("https://otsuka-europe-crm.veevavault.com/ui/#object/email_activity__v/V8C00000004B084", "EN-002106876")</f>
        <v>EN-002106876</v>
      </c>
    </row>
    <row r="4617" spans="1:15" ht="16" x14ac:dyDescent="0.2">
      <c r="A4617" s="26"/>
      <c r="B4617" s="26"/>
      <c r="C4617" s="26"/>
      <c r="D4617" s="26"/>
      <c r="E4617" s="26"/>
      <c r="F4617" s="26"/>
      <c r="G4617" s="26"/>
      <c r="H4617" s="26"/>
      <c r="I4617" s="26"/>
      <c r="J4617" s="26"/>
      <c r="K4617" s="26"/>
      <c r="L4617" s="26"/>
      <c r="M4617" s="26"/>
      <c r="N4617" s="26"/>
      <c r="O4617" s="14" t="str">
        <f>HYPERLINK("https://otsuka-europe-crm.veevavault.com/ui/#object/email_activity__v/V8C00000004B086", "EN-002106881")</f>
        <v>EN-002106881</v>
      </c>
    </row>
    <row r="4618" spans="1:15" ht="16" x14ac:dyDescent="0.2">
      <c r="A4618" s="26"/>
      <c r="B4618" s="26"/>
      <c r="C4618" s="26"/>
      <c r="D4618" s="26"/>
      <c r="E4618" s="26"/>
      <c r="F4618" s="26"/>
      <c r="G4618" s="26"/>
      <c r="H4618" s="26"/>
      <c r="I4618" s="26"/>
      <c r="J4618" s="26"/>
      <c r="K4618" s="26"/>
      <c r="L4618" s="26"/>
      <c r="M4618" s="26"/>
      <c r="N4618" s="26"/>
      <c r="O4618" s="14" t="str">
        <f>HYPERLINK("https://otsuka-europe-crm.veevavault.com/ui/#object/email_activity__v/V8C00000004B087", "EN-002106882")</f>
        <v>EN-002106882</v>
      </c>
    </row>
    <row r="4619" spans="1:15" ht="16" x14ac:dyDescent="0.2">
      <c r="A4619" s="26"/>
      <c r="B4619" s="26"/>
      <c r="C4619" s="26"/>
      <c r="D4619" s="26"/>
      <c r="E4619" s="26"/>
      <c r="F4619" s="26"/>
      <c r="G4619" s="26"/>
      <c r="H4619" s="26"/>
      <c r="I4619" s="26"/>
      <c r="J4619" s="26"/>
      <c r="K4619" s="26"/>
      <c r="L4619" s="26"/>
      <c r="M4619" s="26"/>
      <c r="N4619" s="26"/>
      <c r="O4619" s="14" t="str">
        <f>HYPERLINK("https://otsuka-europe-crm.veevavault.com/ui/#object/email_activity__v/V8C00000004B094", "EN-002106891")</f>
        <v>EN-002106891</v>
      </c>
    </row>
    <row r="4620" spans="1:15" ht="16" x14ac:dyDescent="0.2">
      <c r="A4620" s="19"/>
      <c r="B4620" s="19"/>
      <c r="C4620" s="19"/>
      <c r="D4620" s="19"/>
      <c r="E4620" s="19"/>
      <c r="F4620" s="19"/>
      <c r="G4620" s="19"/>
      <c r="H4620" s="19"/>
      <c r="I4620" s="19"/>
      <c r="J4620" s="19"/>
      <c r="K4620" s="19"/>
      <c r="L4620" s="19"/>
      <c r="M4620" s="19"/>
      <c r="N4620" s="19"/>
      <c r="O4620" s="14" t="str">
        <f>HYPERLINK("https://otsuka-europe-crm.veevavault.com/ui/#object/email_activity__v/V8C00000004C063", "EN-002106875")</f>
        <v>EN-002106875</v>
      </c>
    </row>
    <row r="4621" spans="1:15" ht="16" x14ac:dyDescent="0.2">
      <c r="A4621" s="18" t="str">
        <f>HYPERLINK("https://otsuka-europe-crm.veevavault.com/ui/#object/account__v/V4TZ06G6O71TCEO", "AGUSTIN FERNANDO SOTO RUANO")</f>
        <v>AGUSTIN FERNANDO SOTO RUANO</v>
      </c>
      <c r="B4621" s="18" t="str">
        <f>HYPERLINK("https://otsuka-europe-crm.veevavault.com/ui/#object/vcountry__v/VENZ000004SONF5", "ES")</f>
        <v>ES</v>
      </c>
      <c r="C4621" s="20" t="s">
        <v>39</v>
      </c>
      <c r="D4621" s="21" t="str">
        <f>HYPERLINK("https://otsuka-europe-crm.veevavault.com/ui/#object/approved_document__v/V5O00000001R002", "Programa X Jornada UHB")</f>
        <v>Programa X Jornada UHB</v>
      </c>
      <c r="E4621" s="22" t="str">
        <f>HYPERLINK("https://otsuka-europe-crm.veevavault.com/ui/#object/sent_email__v/VBL000000037244", "SE-001443922")</f>
        <v>SE-001443922</v>
      </c>
      <c r="F4621" s="23"/>
      <c r="G4621" s="24">
        <v>0</v>
      </c>
      <c r="H4621" s="24">
        <v>0</v>
      </c>
      <c r="I4621" s="24">
        <v>0</v>
      </c>
      <c r="J4621" s="23"/>
      <c r="K4621" s="24">
        <v>0</v>
      </c>
      <c r="L4621" s="22" t="str">
        <f>HYPERLINK("https://otsuka-europe-crm.veevavault.com/ui/#object/approved_document__v/V5O00000001R002", "Programa X Jornada UHB")</f>
        <v>Programa X Jornada UHB</v>
      </c>
      <c r="M4621" s="22" t="str">
        <f>HYPERLINK("mailto:oestevez@crm.otsuka-europe.com", "oestevez@crm.otsuka-europe.com")</f>
        <v>oestevez@crm.otsuka-europe.com</v>
      </c>
      <c r="N4621" s="25">
        <v>46217.491585648146</v>
      </c>
      <c r="O4621" s="14" t="str">
        <f>HYPERLINK("https://otsuka-europe-crm.veevavault.com/ui/#object/email_activity__v/V8C00000004A476", "EN-002105884")</f>
        <v>EN-002105884</v>
      </c>
    </row>
    <row r="4622" spans="1:15" ht="16" x14ac:dyDescent="0.2">
      <c r="A4622" s="19"/>
      <c r="B4622" s="19"/>
      <c r="C4622" s="19"/>
      <c r="D4622" s="19"/>
      <c r="E4622" s="19"/>
      <c r="F4622" s="19"/>
      <c r="G4622" s="19"/>
      <c r="H4622" s="19"/>
      <c r="I4622" s="19"/>
      <c r="J4622" s="19"/>
      <c r="K4622" s="19"/>
      <c r="L4622" s="19"/>
      <c r="M4622" s="19"/>
      <c r="N4622" s="19"/>
      <c r="O4622" s="14" t="str">
        <f>HYPERLINK("https://otsuka-europe-crm.veevavault.com/ui/#object/email_activity__v/V8C00000004A639", "EN-002106192")</f>
        <v>EN-002106192</v>
      </c>
    </row>
    <row r="4623" spans="1:15" ht="16" x14ac:dyDescent="0.2">
      <c r="A4623" s="18" t="str">
        <f>HYPERLINK("https://otsuka-europe-crm.veevavault.com/ui/#object/account__v/V4TZ06G6O71T8EE", "IÑIGO ALBERDI PARAMO")</f>
        <v>IÑIGO ALBERDI PARAMO</v>
      </c>
      <c r="B4623" s="18" t="str">
        <f>HYPERLINK("https://otsuka-europe-crm.veevavault.com/ui/#object/vcountry__v/VENZ000004SONF5", "ES")</f>
        <v>ES</v>
      </c>
      <c r="C4623" s="20" t="s">
        <v>39</v>
      </c>
      <c r="D4623" s="21" t="str">
        <f>HYPERLINK("https://otsuka-europe-crm.veevavault.com/ui/#object/approved_document__v/V5O00000001R002", "Programa X Jornada UHB")</f>
        <v>Programa X Jornada UHB</v>
      </c>
      <c r="E4623" s="22" t="str">
        <f>HYPERLINK("https://otsuka-europe-crm.veevavault.com/ui/#object/sent_email__v/VBL000000037245", "SE-001443923")</f>
        <v>SE-001443923</v>
      </c>
      <c r="F4623" s="25">
        <v>46217.496400462966</v>
      </c>
      <c r="G4623" s="24">
        <v>1</v>
      </c>
      <c r="H4623" s="24">
        <v>1</v>
      </c>
      <c r="I4623" s="24">
        <v>1</v>
      </c>
      <c r="J4623" s="25">
        <v>46217.496504629627</v>
      </c>
      <c r="K4623" s="24">
        <v>1</v>
      </c>
      <c r="L4623" s="22" t="str">
        <f>HYPERLINK("https://otsuka-europe-crm.veevavault.com/ui/#object/approved_document__v/V5O00000001R002", "Programa X Jornada UHB")</f>
        <v>Programa X Jornada UHB</v>
      </c>
      <c r="M4623" s="22" t="str">
        <f>HYPERLINK("mailto:oestevez@crm.otsuka-europe.com", "oestevez@crm.otsuka-europe.com")</f>
        <v>oestevez@crm.otsuka-europe.com</v>
      </c>
      <c r="N4623" s="25">
        <v>46217.491585648146</v>
      </c>
      <c r="O4623" s="14" t="str">
        <f>HYPERLINK("https://otsuka-europe-crm.veevavault.com/ui/#object/email_activity__v/V8C000000049549", "EN-002105913")</f>
        <v>EN-002105913</v>
      </c>
    </row>
    <row r="4624" spans="1:15" ht="16" x14ac:dyDescent="0.2">
      <c r="A4624" s="26"/>
      <c r="B4624" s="26"/>
      <c r="C4624" s="26"/>
      <c r="D4624" s="26"/>
      <c r="E4624" s="26"/>
      <c r="F4624" s="26"/>
      <c r="G4624" s="26"/>
      <c r="H4624" s="26"/>
      <c r="I4624" s="26"/>
      <c r="J4624" s="26"/>
      <c r="K4624" s="26"/>
      <c r="L4624" s="26"/>
      <c r="M4624" s="26"/>
      <c r="N4624" s="26"/>
      <c r="O4624" s="14" t="str">
        <f>HYPERLINK("https://otsuka-europe-crm.veevavault.com/ui/#object/email_activity__v/V8C000000049569", "EN-002105954")</f>
        <v>EN-002105954</v>
      </c>
    </row>
    <row r="4625" spans="1:15" ht="16" x14ac:dyDescent="0.2">
      <c r="A4625" s="26"/>
      <c r="B4625" s="26"/>
      <c r="C4625" s="26"/>
      <c r="D4625" s="26"/>
      <c r="E4625" s="26"/>
      <c r="F4625" s="26"/>
      <c r="G4625" s="26"/>
      <c r="H4625" s="26"/>
      <c r="I4625" s="26"/>
      <c r="J4625" s="26"/>
      <c r="K4625" s="26"/>
      <c r="L4625" s="26"/>
      <c r="M4625" s="26"/>
      <c r="N4625" s="26"/>
      <c r="O4625" s="14" t="str">
        <f>HYPERLINK("https://otsuka-europe-crm.veevavault.com/ui/#object/email_activity__v/V8C00000004A481", "EN-002105890")</f>
        <v>EN-002105890</v>
      </c>
    </row>
    <row r="4626" spans="1:15" ht="16" x14ac:dyDescent="0.2">
      <c r="A4626" s="26"/>
      <c r="B4626" s="26"/>
      <c r="C4626" s="26"/>
      <c r="D4626" s="26"/>
      <c r="E4626" s="26"/>
      <c r="F4626" s="26"/>
      <c r="G4626" s="26"/>
      <c r="H4626" s="26"/>
      <c r="I4626" s="26"/>
      <c r="J4626" s="26"/>
      <c r="K4626" s="26"/>
      <c r="L4626" s="26"/>
      <c r="M4626" s="26"/>
      <c r="N4626" s="26"/>
      <c r="O4626" s="14" t="str">
        <f>HYPERLINK("https://otsuka-europe-crm.veevavault.com/ui/#object/email_activity__v/V8C00000004A498", "EN-002105912")</f>
        <v>EN-002105912</v>
      </c>
    </row>
    <row r="4627" spans="1:15" ht="16" x14ac:dyDescent="0.2">
      <c r="A4627" s="26"/>
      <c r="B4627" s="26"/>
      <c r="C4627" s="26"/>
      <c r="D4627" s="26"/>
      <c r="E4627" s="26"/>
      <c r="F4627" s="26"/>
      <c r="G4627" s="26"/>
      <c r="H4627" s="26"/>
      <c r="I4627" s="26"/>
      <c r="J4627" s="26"/>
      <c r="K4627" s="26"/>
      <c r="L4627" s="26"/>
      <c r="M4627" s="26"/>
      <c r="N4627" s="26"/>
      <c r="O4627" s="14" t="str">
        <f>HYPERLINK("https://otsuka-europe-crm.veevavault.com/ui/#object/email_activity__v/V8C00000004A508", "EN-002105934")</f>
        <v>EN-002105934</v>
      </c>
    </row>
    <row r="4628" spans="1:15" ht="16" x14ac:dyDescent="0.2">
      <c r="A4628" s="19"/>
      <c r="B4628" s="19"/>
      <c r="C4628" s="19"/>
      <c r="D4628" s="19"/>
      <c r="E4628" s="19"/>
      <c r="F4628" s="19"/>
      <c r="G4628" s="19"/>
      <c r="H4628" s="19"/>
      <c r="I4628" s="19"/>
      <c r="J4628" s="19"/>
      <c r="K4628" s="19"/>
      <c r="L4628" s="19"/>
      <c r="M4628" s="19"/>
      <c r="N4628" s="19"/>
      <c r="O4628" s="14" t="str">
        <f>HYPERLINK("https://otsuka-europe-crm.veevavault.com/ui/#object/email_activity__v/V8C00000004A612", "EN-002106131")</f>
        <v>EN-002106131</v>
      </c>
    </row>
    <row r="4629" spans="1:15" ht="16" x14ac:dyDescent="0.2">
      <c r="A4629" s="18" t="str">
        <f>HYPERLINK("https://otsuka-europe-crm.veevavault.com/ui/#object/account__v/V4TZ06G6O71T7XS", "ASEL ARISTEGUI URQUIA")</f>
        <v>ASEL ARISTEGUI URQUIA</v>
      </c>
      <c r="B4629" s="18" t="str">
        <f>HYPERLINK("https://otsuka-europe-crm.veevavault.com/ui/#object/vcountry__v/VENZ000004SONF5", "ES")</f>
        <v>ES</v>
      </c>
      <c r="C4629" s="20" t="s">
        <v>39</v>
      </c>
      <c r="D4629" s="21" t="str">
        <f>HYPERLINK("https://otsuka-europe-crm.veevavault.com/ui/#object/approved_document__v/V5O00000001R002", "Programa X Jornada UHB")</f>
        <v>Programa X Jornada UHB</v>
      </c>
      <c r="E4629" s="22" t="str">
        <f>HYPERLINK("https://otsuka-europe-crm.veevavault.com/ui/#object/sent_email__v/VBL000000037246", "SE-001443924")</f>
        <v>SE-001443924</v>
      </c>
      <c r="F4629" s="23"/>
      <c r="G4629" s="24">
        <v>0</v>
      </c>
      <c r="H4629" s="24">
        <v>0</v>
      </c>
      <c r="I4629" s="24">
        <v>0</v>
      </c>
      <c r="J4629" s="23"/>
      <c r="K4629" s="24">
        <v>0</v>
      </c>
      <c r="L4629" s="22" t="str">
        <f>HYPERLINK("https://otsuka-europe-crm.veevavault.com/ui/#object/approved_document__v/V5O00000001R002", "Programa X Jornada UHB")</f>
        <v>Programa X Jornada UHB</v>
      </c>
      <c r="M4629" s="22" t="str">
        <f>HYPERLINK("mailto:oestevez@crm.otsuka-europe.com", "oestevez@crm.otsuka-europe.com")</f>
        <v>oestevez@crm.otsuka-europe.com</v>
      </c>
      <c r="N4629" s="25">
        <v>46217.491608796299</v>
      </c>
      <c r="O4629" s="14" t="str">
        <f>HYPERLINK("https://otsuka-europe-crm.veevavault.com/ui/#object/email_activity__v/V8C000000049543", "EN-002105885")</f>
        <v>EN-002105885</v>
      </c>
    </row>
    <row r="4630" spans="1:15" ht="16" x14ac:dyDescent="0.2">
      <c r="A4630" s="19"/>
      <c r="B4630" s="19"/>
      <c r="C4630" s="19"/>
      <c r="D4630" s="19"/>
      <c r="E4630" s="19"/>
      <c r="F4630" s="19"/>
      <c r="G4630" s="19"/>
      <c r="H4630" s="19"/>
      <c r="I4630" s="19"/>
      <c r="J4630" s="19"/>
      <c r="K4630" s="19"/>
      <c r="L4630" s="19"/>
      <c r="M4630" s="19"/>
      <c r="N4630" s="19"/>
      <c r="O4630" s="14" t="str">
        <f>HYPERLINK("https://otsuka-europe-crm.veevavault.com/ui/#object/email_activity__v/V8C00000004A627", "EN-002106155")</f>
        <v>EN-002106155</v>
      </c>
    </row>
    <row r="4631" spans="1:15" ht="16" x14ac:dyDescent="0.2">
      <c r="A4631" s="18" t="str">
        <f>HYPERLINK("https://otsuka-europe-crm.veevavault.com/ui/#object/account__v/V4TZ06G6O71T7P2", "DANIEL HERNANDEZ HUERTA")</f>
        <v>DANIEL HERNANDEZ HUERTA</v>
      </c>
      <c r="B4631" s="18" t="str">
        <f>HYPERLINK("https://otsuka-europe-crm.veevavault.com/ui/#object/vcountry__v/VENZ000004SONF5", "ES")</f>
        <v>ES</v>
      </c>
      <c r="C4631" s="20" t="s">
        <v>39</v>
      </c>
      <c r="D4631" s="21" t="str">
        <f>HYPERLINK("https://otsuka-europe-crm.veevavault.com/ui/#object/approved_document__v/V5O00000001R002", "Programa X Jornada UHB")</f>
        <v>Programa X Jornada UHB</v>
      </c>
      <c r="E4631" s="22" t="str">
        <f>HYPERLINK("https://otsuka-europe-crm.veevavault.com/ui/#object/sent_email__v/VBL000000037247", "SE-001443925")</f>
        <v>SE-001443925</v>
      </c>
      <c r="F4631" s="25">
        <v>46217.496874999997</v>
      </c>
      <c r="G4631" s="24">
        <v>1</v>
      </c>
      <c r="H4631" s="24">
        <v>2</v>
      </c>
      <c r="I4631" s="24">
        <v>1</v>
      </c>
      <c r="J4631" s="25">
        <v>46217.496874999997</v>
      </c>
      <c r="K4631" s="24">
        <v>1</v>
      </c>
      <c r="L4631" s="22" t="str">
        <f>HYPERLINK("https://otsuka-europe-crm.veevavault.com/ui/#object/approved_document__v/V5O00000001R002", "Programa X Jornada UHB")</f>
        <v>Programa X Jornada UHB</v>
      </c>
      <c r="M4631" s="22" t="str">
        <f>HYPERLINK("mailto:oestevez@crm.otsuka-europe.com", "oestevez@crm.otsuka-europe.com")</f>
        <v>oestevez@crm.otsuka-europe.com</v>
      </c>
      <c r="N4631" s="25">
        <v>46217.491608796299</v>
      </c>
      <c r="O4631" s="14" t="str">
        <f>HYPERLINK("https://otsuka-europe-crm.veevavault.com/ui/#object/email_activity__v/V8C000000049550", "EN-002105915")</f>
        <v>EN-002105915</v>
      </c>
    </row>
    <row r="4632" spans="1:15" ht="16" x14ac:dyDescent="0.2">
      <c r="A4632" s="26"/>
      <c r="B4632" s="26"/>
      <c r="C4632" s="26"/>
      <c r="D4632" s="26"/>
      <c r="E4632" s="26"/>
      <c r="F4632" s="26"/>
      <c r="G4632" s="26"/>
      <c r="H4632" s="26"/>
      <c r="I4632" s="26"/>
      <c r="J4632" s="26"/>
      <c r="K4632" s="26"/>
      <c r="L4632" s="26"/>
      <c r="M4632" s="26"/>
      <c r="N4632" s="26"/>
      <c r="O4632" s="14" t="str">
        <f>HYPERLINK("https://otsuka-europe-crm.veevavault.com/ui/#object/email_activity__v/V8C000000049551", "EN-002105914")</f>
        <v>EN-002105914</v>
      </c>
    </row>
    <row r="4633" spans="1:15" ht="16" x14ac:dyDescent="0.2">
      <c r="A4633" s="26"/>
      <c r="B4633" s="26"/>
      <c r="C4633" s="26"/>
      <c r="D4633" s="26"/>
      <c r="E4633" s="26"/>
      <c r="F4633" s="26"/>
      <c r="G4633" s="26"/>
      <c r="H4633" s="26"/>
      <c r="I4633" s="26"/>
      <c r="J4633" s="26"/>
      <c r="K4633" s="26"/>
      <c r="L4633" s="26"/>
      <c r="M4633" s="26"/>
      <c r="N4633" s="26"/>
      <c r="O4633" s="14" t="str">
        <f>HYPERLINK("https://otsuka-europe-crm.veevavault.com/ui/#object/email_activity__v/V8C000000049552", "EN-002105916")</f>
        <v>EN-002105916</v>
      </c>
    </row>
    <row r="4634" spans="1:15" ht="16" x14ac:dyDescent="0.2">
      <c r="A4634" s="26"/>
      <c r="B4634" s="26"/>
      <c r="C4634" s="26"/>
      <c r="D4634" s="26"/>
      <c r="E4634" s="26"/>
      <c r="F4634" s="26"/>
      <c r="G4634" s="26"/>
      <c r="H4634" s="26"/>
      <c r="I4634" s="26"/>
      <c r="J4634" s="26"/>
      <c r="K4634" s="26"/>
      <c r="L4634" s="26"/>
      <c r="M4634" s="26"/>
      <c r="N4634" s="26"/>
      <c r="O4634" s="14" t="str">
        <f>HYPERLINK("https://otsuka-europe-crm.veevavault.com/ui/#object/email_activity__v/V8C00000004A479", "EN-002105888")</f>
        <v>EN-002105888</v>
      </c>
    </row>
    <row r="4635" spans="1:15" ht="16" x14ac:dyDescent="0.2">
      <c r="A4635" s="19"/>
      <c r="B4635" s="19"/>
      <c r="C4635" s="19"/>
      <c r="D4635" s="19"/>
      <c r="E4635" s="19"/>
      <c r="F4635" s="19"/>
      <c r="G4635" s="19"/>
      <c r="H4635" s="19"/>
      <c r="I4635" s="19"/>
      <c r="J4635" s="19"/>
      <c r="K4635" s="19"/>
      <c r="L4635" s="19"/>
      <c r="M4635" s="19"/>
      <c r="N4635" s="19"/>
      <c r="O4635" s="14" t="str">
        <f>HYPERLINK("https://otsuka-europe-crm.veevavault.com/ui/#object/email_activity__v/V8C00000004A510", "EN-002105936")</f>
        <v>EN-002105936</v>
      </c>
    </row>
    <row r="4636" spans="1:15" ht="16" x14ac:dyDescent="0.2">
      <c r="A4636" s="18" t="str">
        <f>HYPERLINK("https://otsuka-europe-crm.veevavault.com/ui/#object/account__v/V4TZ06G6O71TBJI", "SANTIAGO OVEJERO GARCIA")</f>
        <v>SANTIAGO OVEJERO GARCIA</v>
      </c>
      <c r="B4636" s="18" t="str">
        <f>HYPERLINK("https://otsuka-europe-crm.veevavault.com/ui/#object/vcountry__v/VENZ000004SONF5", "ES")</f>
        <v>ES</v>
      </c>
      <c r="C4636" s="20" t="s">
        <v>39</v>
      </c>
      <c r="D4636" s="21" t="str">
        <f>HYPERLINK("https://otsuka-europe-crm.veevavault.com/ui/#object/approved_document__v/V5O00000001R002", "Programa X Jornada UHB")</f>
        <v>Programa X Jornada UHB</v>
      </c>
      <c r="E4636" s="22" t="str">
        <f>HYPERLINK("https://otsuka-europe-crm.veevavault.com/ui/#object/sent_email__v/VBL000000037248", "SE-001443926")</f>
        <v>SE-001443926</v>
      </c>
      <c r="F4636" s="25">
        <v>46219.389965277776</v>
      </c>
      <c r="G4636" s="24">
        <v>1</v>
      </c>
      <c r="H4636" s="24">
        <v>1</v>
      </c>
      <c r="I4636" s="24">
        <v>1</v>
      </c>
      <c r="J4636" s="25">
        <v>46219.390150462961</v>
      </c>
      <c r="K4636" s="24">
        <v>1</v>
      </c>
      <c r="L4636" s="22" t="str">
        <f>HYPERLINK("https://otsuka-europe-crm.veevavault.com/ui/#object/approved_document__v/V5O00000001R002", "Programa X Jornada UHB")</f>
        <v>Programa X Jornada UHB</v>
      </c>
      <c r="M4636" s="22" t="str">
        <f>HYPERLINK("mailto:oestevez@crm.otsuka-europe.com", "oestevez@crm.otsuka-europe.com")</f>
        <v>oestevez@crm.otsuka-europe.com</v>
      </c>
      <c r="N4636" s="25">
        <v>46217.491608796299</v>
      </c>
      <c r="O4636" s="14" t="str">
        <f>HYPERLINK("https://otsuka-europe-crm.veevavault.com/ui/#object/email_activity__v/V8C000000049681", "EN-002106183")</f>
        <v>EN-002106183</v>
      </c>
    </row>
    <row r="4637" spans="1:15" ht="16" x14ac:dyDescent="0.2">
      <c r="A4637" s="26"/>
      <c r="B4637" s="26"/>
      <c r="C4637" s="26"/>
      <c r="D4637" s="26"/>
      <c r="E4637" s="26"/>
      <c r="F4637" s="26"/>
      <c r="G4637" s="26"/>
      <c r="H4637" s="26"/>
      <c r="I4637" s="26"/>
      <c r="J4637" s="26"/>
      <c r="K4637" s="26"/>
      <c r="L4637" s="26"/>
      <c r="M4637" s="26"/>
      <c r="N4637" s="26"/>
      <c r="O4637" s="14" t="str">
        <f>HYPERLINK("https://otsuka-europe-crm.veevavault.com/ui/#object/email_activity__v/V8C000000049865", "EN-002106607")</f>
        <v>EN-002106607</v>
      </c>
    </row>
    <row r="4638" spans="1:15" ht="16" x14ac:dyDescent="0.2">
      <c r="A4638" s="26"/>
      <c r="B4638" s="26"/>
      <c r="C4638" s="26"/>
      <c r="D4638" s="26"/>
      <c r="E4638" s="26"/>
      <c r="F4638" s="26"/>
      <c r="G4638" s="26"/>
      <c r="H4638" s="26"/>
      <c r="I4638" s="26"/>
      <c r="J4638" s="26"/>
      <c r="K4638" s="26"/>
      <c r="L4638" s="26"/>
      <c r="M4638" s="26"/>
      <c r="N4638" s="26"/>
      <c r="O4638" s="14" t="str">
        <f>HYPERLINK("https://otsuka-europe-crm.veevavault.com/ui/#object/email_activity__v/V8C000000049866", "EN-002106608")</f>
        <v>EN-002106608</v>
      </c>
    </row>
    <row r="4639" spans="1:15" ht="16" x14ac:dyDescent="0.2">
      <c r="A4639" s="26"/>
      <c r="B4639" s="26"/>
      <c r="C4639" s="26"/>
      <c r="D4639" s="26"/>
      <c r="E4639" s="26"/>
      <c r="F4639" s="26"/>
      <c r="G4639" s="26"/>
      <c r="H4639" s="26"/>
      <c r="I4639" s="26"/>
      <c r="J4639" s="26"/>
      <c r="K4639" s="26"/>
      <c r="L4639" s="26"/>
      <c r="M4639" s="26"/>
      <c r="N4639" s="26"/>
      <c r="O4639" s="14" t="str">
        <f>HYPERLINK("https://otsuka-europe-crm.veevavault.com/ui/#object/email_activity__v/V8C00000004A478", "EN-002105887")</f>
        <v>EN-002105887</v>
      </c>
    </row>
    <row r="4640" spans="1:15" ht="16" x14ac:dyDescent="0.2">
      <c r="A4640" s="26"/>
      <c r="B4640" s="26"/>
      <c r="C4640" s="26"/>
      <c r="D4640" s="26"/>
      <c r="E4640" s="26"/>
      <c r="F4640" s="26"/>
      <c r="G4640" s="26"/>
      <c r="H4640" s="26"/>
      <c r="I4640" s="26"/>
      <c r="J4640" s="26"/>
      <c r="K4640" s="26"/>
      <c r="L4640" s="26"/>
      <c r="M4640" s="26"/>
      <c r="N4640" s="26"/>
      <c r="O4640" s="14" t="str">
        <f>HYPERLINK("https://otsuka-europe-crm.veevavault.com/ui/#object/email_activity__v/V8C00000004A863", "EN-002106582")</f>
        <v>EN-002106582</v>
      </c>
    </row>
    <row r="4641" spans="1:15" ht="16" x14ac:dyDescent="0.2">
      <c r="A4641" s="19"/>
      <c r="B4641" s="19"/>
      <c r="C4641" s="19"/>
      <c r="D4641" s="19"/>
      <c r="E4641" s="19"/>
      <c r="F4641" s="19"/>
      <c r="G4641" s="19"/>
      <c r="H4641" s="19"/>
      <c r="I4641" s="19"/>
      <c r="J4641" s="19"/>
      <c r="K4641" s="19"/>
      <c r="L4641" s="19"/>
      <c r="M4641" s="19"/>
      <c r="N4641" s="19"/>
      <c r="O4641" s="14" t="str">
        <f>HYPERLINK("https://otsuka-europe-crm.veevavault.com/ui/#object/email_activity__v/V8C00000004A864", "EN-002106583")</f>
        <v>EN-002106583</v>
      </c>
    </row>
    <row r="4642" spans="1:15" ht="16" x14ac:dyDescent="0.2">
      <c r="A4642" s="18" t="str">
        <f>HYPERLINK("https://otsuka-europe-crm.veevavault.com/ui/#object/account__v/V4T00000002A126", "James Nicholson")</f>
        <v>James Nicholson</v>
      </c>
      <c r="B4642" s="18" t="str">
        <f>HYPERLINK("https://otsuka-europe-crm.veevavault.com/ui/#object/vcountry__v/VENZ000004SONFK", "GB")</f>
        <v>GB</v>
      </c>
      <c r="C4642" s="20" t="s">
        <v>41</v>
      </c>
      <c r="D4642" s="21" t="str">
        <f>HYPERLINK("https://otsuka-europe-crm.veevavault.com/ui/#object/approved_document__v/V5OZ025E82PXJSL", "Otsuka Privacy Notice - UK (v2)")</f>
        <v>Otsuka Privacy Notice - UK (v2)</v>
      </c>
      <c r="E4642" s="22" t="str">
        <f>HYPERLINK("https://otsuka-europe-crm.veevavault.com/ui/#object/sent_email__v/VBL000000037249", "SE-001443927")</f>
        <v>SE-001443927</v>
      </c>
      <c r="F4642" s="25">
        <v>46218.557071759256</v>
      </c>
      <c r="G4642" s="24">
        <v>1</v>
      </c>
      <c r="H4642" s="24">
        <v>2</v>
      </c>
      <c r="I4642" s="24">
        <v>0</v>
      </c>
      <c r="J4642" s="23"/>
      <c r="K4642" s="24">
        <v>0</v>
      </c>
      <c r="L4642" s="22" t="str">
        <f>HYPERLINK("https://otsuka-europe-crm.veevavault.com/ui/#object/approved_document__v/V5OZ025E82PXJSL", "Otsuka Privacy Notice - UK (v2)")</f>
        <v>Otsuka Privacy Notice - UK (v2)</v>
      </c>
      <c r="M4642" s="22" t="str">
        <f>HYPERLINK("mailto:ldimambro@crm.otsuka-europe.com", "ldimambro@crm.otsuka-europe.com")</f>
        <v>ldimambro@crm.otsuka-europe.com</v>
      </c>
      <c r="N4642" s="25">
        <v>46217.492071759261</v>
      </c>
      <c r="O4642" s="14" t="str">
        <f>HYPERLINK("https://otsuka-europe-crm.veevavault.com/ui/#object/email_activity__v/V8C000000049544", "EN-002105891")</f>
        <v>EN-002105891</v>
      </c>
    </row>
    <row r="4643" spans="1:15" ht="16" x14ac:dyDescent="0.2">
      <c r="A4643" s="26"/>
      <c r="B4643" s="26"/>
      <c r="C4643" s="26"/>
      <c r="D4643" s="26"/>
      <c r="E4643" s="26"/>
      <c r="F4643" s="26"/>
      <c r="G4643" s="26"/>
      <c r="H4643" s="26"/>
      <c r="I4643" s="26"/>
      <c r="J4643" s="26"/>
      <c r="K4643" s="26"/>
      <c r="L4643" s="26"/>
      <c r="M4643" s="26"/>
      <c r="N4643" s="26"/>
      <c r="O4643" s="14" t="str">
        <f>HYPERLINK("https://otsuka-europe-crm.veevavault.com/ui/#object/email_activity__v/V8C000000049803", "EN-002106442")</f>
        <v>EN-002106442</v>
      </c>
    </row>
    <row r="4644" spans="1:15" ht="16" x14ac:dyDescent="0.2">
      <c r="A4644" s="19"/>
      <c r="B4644" s="19"/>
      <c r="C4644" s="19"/>
      <c r="D4644" s="19"/>
      <c r="E4644" s="19"/>
      <c r="F4644" s="19"/>
      <c r="G4644" s="19"/>
      <c r="H4644" s="19"/>
      <c r="I4644" s="19"/>
      <c r="J4644" s="19"/>
      <c r="K4644" s="19"/>
      <c r="L4644" s="19"/>
      <c r="M4644" s="19"/>
      <c r="N4644" s="19"/>
      <c r="O4644" s="14" t="str">
        <f>HYPERLINK("https://otsuka-europe-crm.veevavault.com/ui/#object/email_activity__v/V8C000000049804", "EN-002106443")</f>
        <v>EN-002106443</v>
      </c>
    </row>
    <row r="4645" spans="1:15" ht="32" x14ac:dyDescent="0.2">
      <c r="A4645" s="7" t="str">
        <f>HYPERLINK("https://otsuka-europe-crm.veevavault.com/ui/#object/account__v/V4TZ06G6O71T8LH", "IRENE RENOVELL BUENO")</f>
        <v>IRENE RENOVELL BUENO</v>
      </c>
      <c r="B4645" s="7" t="str">
        <f>HYPERLINK("https://otsuka-europe-crm.veevavault.com/ui/#object/vcountry__v/VENZ000004SONF5", "ES")</f>
        <v>ES</v>
      </c>
      <c r="C4645" s="8" t="s">
        <v>39</v>
      </c>
      <c r="D4645" s="9" t="str">
        <f>HYPERLINK("https://otsuka-europe-crm.veevavault.com/ui/#object/approved_document__v/V5O00000001R002", "Programa X Jornada UHB")</f>
        <v>Programa X Jornada UHB</v>
      </c>
      <c r="E4645" s="10" t="str">
        <f>HYPERLINK("https://otsuka-europe-crm.veevavault.com/ui/#object/sent_email__v/VBL000000037250", "SE-001443928")</f>
        <v>SE-001443928</v>
      </c>
      <c r="F4645" s="11"/>
      <c r="G4645" s="12">
        <v>0</v>
      </c>
      <c r="H4645" s="12">
        <v>0</v>
      </c>
      <c r="I4645" s="12">
        <v>0</v>
      </c>
      <c r="J4645" s="11"/>
      <c r="K4645" s="12">
        <v>0</v>
      </c>
      <c r="L4645" s="10" t="str">
        <f>HYPERLINK("https://otsuka-europe-crm.veevavault.com/ui/#object/approved_document__v/V5O00000001R002", "Programa X Jornada UHB")</f>
        <v>Programa X Jornada UHB</v>
      </c>
      <c r="M4645" s="10" t="str">
        <f>HYPERLINK("mailto:oestevez@crm.otsuka-europe.com", "oestevez@crm.otsuka-europe.com")</f>
        <v>oestevez@crm.otsuka-europe.com</v>
      </c>
      <c r="N4645" s="13">
        <v>46217.494571759256</v>
      </c>
      <c r="O4645" s="14" t="str">
        <f>HYPERLINK("https://otsuka-europe-crm.veevavault.com/ui/#object/email_activity__v/V8C00000004A487", "EN-002105897")</f>
        <v>EN-002105897</v>
      </c>
    </row>
    <row r="4646" spans="1:15" ht="16" x14ac:dyDescent="0.2">
      <c r="A4646" s="18" t="str">
        <f>HYPERLINK("https://otsuka-europe-crm.veevavault.com/ui/#object/account__v/V4TZ06G6O71TB8O", "MARIA ISABEL RAMOS GARCIA")</f>
        <v>MARIA ISABEL RAMOS GARCIA</v>
      </c>
      <c r="B4646" s="18" t="str">
        <f>HYPERLINK("https://otsuka-europe-crm.veevavault.com/ui/#object/vcountry__v/VENZ000004SONF5", "ES")</f>
        <v>ES</v>
      </c>
      <c r="C4646" s="20" t="s">
        <v>39</v>
      </c>
      <c r="D4646" s="21" t="str">
        <f>HYPERLINK("https://otsuka-europe-crm.veevavault.com/ui/#object/approved_document__v/V5O00000001R002", "Programa X Jornada UHB")</f>
        <v>Programa X Jornada UHB</v>
      </c>
      <c r="E4646" s="22" t="str">
        <f>HYPERLINK("https://otsuka-europe-crm.veevavault.com/ui/#object/sent_email__v/VBL000000037251", "SE-001443929")</f>
        <v>SE-001443929</v>
      </c>
      <c r="F4646" s="25">
        <v>46224.629293981481</v>
      </c>
      <c r="G4646" s="24">
        <v>1</v>
      </c>
      <c r="H4646" s="24">
        <v>2</v>
      </c>
      <c r="I4646" s="24">
        <v>0</v>
      </c>
      <c r="J4646" s="23"/>
      <c r="K4646" s="24">
        <v>0</v>
      </c>
      <c r="L4646" s="22" t="str">
        <f>HYPERLINK("https://otsuka-europe-crm.veevavault.com/ui/#object/approved_document__v/V5O00000001R002", "Programa X Jornada UHB")</f>
        <v>Programa X Jornada UHB</v>
      </c>
      <c r="M4646" s="22" t="str">
        <f>HYPERLINK("mailto:oestevez@crm.otsuka-europe.com", "oestevez@crm.otsuka-europe.com")</f>
        <v>oestevez@crm.otsuka-europe.com</v>
      </c>
      <c r="N4646" s="25">
        <v>46217.494571759256</v>
      </c>
      <c r="O4646" s="14" t="str">
        <f>HYPERLINK("https://otsuka-europe-crm.veevavault.com/ui/#object/email_activity__v/V8C000000049567", "EN-002105951")</f>
        <v>EN-002105951</v>
      </c>
    </row>
    <row r="4647" spans="1:15" ht="16" x14ac:dyDescent="0.2">
      <c r="A4647" s="26"/>
      <c r="B4647" s="26"/>
      <c r="C4647" s="26"/>
      <c r="D4647" s="26"/>
      <c r="E4647" s="26"/>
      <c r="F4647" s="26"/>
      <c r="G4647" s="26"/>
      <c r="H4647" s="26"/>
      <c r="I4647" s="26"/>
      <c r="J4647" s="26"/>
      <c r="K4647" s="26"/>
      <c r="L4647" s="26"/>
      <c r="M4647" s="26"/>
      <c r="N4647" s="26"/>
      <c r="O4647" s="14" t="str">
        <f>HYPERLINK("https://otsuka-europe-crm.veevavault.com/ui/#object/email_activity__v/V8C00000004A491", "EN-002105901")</f>
        <v>EN-002105901</v>
      </c>
    </row>
    <row r="4648" spans="1:15" ht="16" x14ac:dyDescent="0.2">
      <c r="A4648" s="19"/>
      <c r="B4648" s="19"/>
      <c r="C4648" s="19"/>
      <c r="D4648" s="19"/>
      <c r="E4648" s="19"/>
      <c r="F4648" s="19"/>
      <c r="G4648" s="19"/>
      <c r="H4648" s="19"/>
      <c r="I4648" s="19"/>
      <c r="J4648" s="19"/>
      <c r="K4648" s="19"/>
      <c r="L4648" s="19"/>
      <c r="M4648" s="19"/>
      <c r="N4648" s="19"/>
      <c r="O4648" s="14" t="str">
        <f>HYPERLINK("https://otsuka-europe-crm.veevavault.com/ui/#object/email_activity__v/V8C00000004C534", "EN-002108036")</f>
        <v>EN-002108036</v>
      </c>
    </row>
    <row r="4649" spans="1:15" ht="16" x14ac:dyDescent="0.2">
      <c r="A4649" s="18" t="str">
        <f>HYPERLINK("https://otsuka-europe-crm.veevavault.com/ui/#object/account__v/V4TZ06G6O71T8SI", "JULIA AZNAR CARBONE")</f>
        <v>JULIA AZNAR CARBONE</v>
      </c>
      <c r="B4649" s="18" t="str">
        <f>HYPERLINK("https://otsuka-europe-crm.veevavault.com/ui/#object/vcountry__v/VENZ000004SONF5", "ES")</f>
        <v>ES</v>
      </c>
      <c r="C4649" s="20" t="s">
        <v>39</v>
      </c>
      <c r="D4649" s="21" t="str">
        <f>HYPERLINK("https://otsuka-europe-crm.veevavault.com/ui/#object/approved_document__v/V5O00000001R002", "Programa X Jornada UHB")</f>
        <v>Programa X Jornada UHB</v>
      </c>
      <c r="E4649" s="22" t="str">
        <f>HYPERLINK("https://otsuka-europe-crm.veevavault.com/ui/#object/sent_email__v/VBL000000037252", "SE-001443930")</f>
        <v>SE-001443930</v>
      </c>
      <c r="F4649" s="25">
        <v>46217.651099537034</v>
      </c>
      <c r="G4649" s="24">
        <v>1</v>
      </c>
      <c r="H4649" s="24">
        <v>2</v>
      </c>
      <c r="I4649" s="24">
        <v>0</v>
      </c>
      <c r="J4649" s="23"/>
      <c r="K4649" s="24">
        <v>0</v>
      </c>
      <c r="L4649" s="22" t="str">
        <f>HYPERLINK("https://otsuka-europe-crm.veevavault.com/ui/#object/approved_document__v/V5O00000001R002", "Programa X Jornada UHB")</f>
        <v>Programa X Jornada UHB</v>
      </c>
      <c r="M4649" s="22" t="str">
        <f>HYPERLINK("mailto:oestevez@crm.otsuka-europe.com", "oestevez@crm.otsuka-europe.com")</f>
        <v>oestevez@crm.otsuka-europe.com</v>
      </c>
      <c r="N4649" s="25">
        <v>46217.494583333333</v>
      </c>
      <c r="O4649" s="14" t="str">
        <f>HYPERLINK("https://otsuka-europe-crm.veevavault.com/ui/#object/email_activity__v/V8C000000049554", "EN-002105918")</f>
        <v>EN-002105918</v>
      </c>
    </row>
    <row r="4650" spans="1:15" ht="16" x14ac:dyDescent="0.2">
      <c r="A4650" s="26"/>
      <c r="B4650" s="26"/>
      <c r="C4650" s="26"/>
      <c r="D4650" s="26"/>
      <c r="E4650" s="26"/>
      <c r="F4650" s="26"/>
      <c r="G4650" s="26"/>
      <c r="H4650" s="26"/>
      <c r="I4650" s="26"/>
      <c r="J4650" s="26"/>
      <c r="K4650" s="26"/>
      <c r="L4650" s="26"/>
      <c r="M4650" s="26"/>
      <c r="N4650" s="26"/>
      <c r="O4650" s="14" t="str">
        <f>HYPERLINK("https://otsuka-europe-crm.veevavault.com/ui/#object/email_activity__v/V8C00000004A485", "EN-002105895")</f>
        <v>EN-002105895</v>
      </c>
    </row>
    <row r="4651" spans="1:15" ht="16" x14ac:dyDescent="0.2">
      <c r="A4651" s="19"/>
      <c r="B4651" s="19"/>
      <c r="C4651" s="19"/>
      <c r="D4651" s="19"/>
      <c r="E4651" s="19"/>
      <c r="F4651" s="19"/>
      <c r="G4651" s="19"/>
      <c r="H4651" s="19"/>
      <c r="I4651" s="19"/>
      <c r="J4651" s="19"/>
      <c r="K4651" s="19"/>
      <c r="L4651" s="19"/>
      <c r="M4651" s="19"/>
      <c r="N4651" s="19"/>
      <c r="O4651" s="14" t="str">
        <f>HYPERLINK("https://otsuka-europe-crm.veevavault.com/ui/#object/email_activity__v/V8C00000004A533", "EN-002105987")</f>
        <v>EN-002105987</v>
      </c>
    </row>
    <row r="4652" spans="1:15" ht="16" x14ac:dyDescent="0.2">
      <c r="A4652" s="18" t="str">
        <f>HYPERLINK("https://otsuka-europe-crm.veevavault.com/ui/#object/account__v/V4TZ04ASG8JY2JU", "ESTHER ARROYO SANCHEZ")</f>
        <v>ESTHER ARROYO SANCHEZ</v>
      </c>
      <c r="B4652" s="18" t="str">
        <f>HYPERLINK("https://otsuka-europe-crm.veevavault.com/ui/#object/vcountry__v/VENZ000004SONF5", "ES")</f>
        <v>ES</v>
      </c>
      <c r="C4652" s="20" t="s">
        <v>39</v>
      </c>
      <c r="D4652" s="21" t="str">
        <f>HYPERLINK("https://otsuka-europe-crm.veevavault.com/ui/#object/approved_document__v/V5O00000001R002", "Programa X Jornada UHB")</f>
        <v>Programa X Jornada UHB</v>
      </c>
      <c r="E4652" s="22" t="str">
        <f>HYPERLINK("https://otsuka-europe-crm.veevavault.com/ui/#object/sent_email__v/VBL000000037253", "SE-001443931")</f>
        <v>SE-001443931</v>
      </c>
      <c r="F4652" s="25">
        <v>46217.494687500002</v>
      </c>
      <c r="G4652" s="24">
        <v>1</v>
      </c>
      <c r="H4652" s="24">
        <v>1</v>
      </c>
      <c r="I4652" s="24">
        <v>0</v>
      </c>
      <c r="J4652" s="23"/>
      <c r="K4652" s="24">
        <v>0</v>
      </c>
      <c r="L4652" s="22" t="str">
        <f>HYPERLINK("https://otsuka-europe-crm.veevavault.com/ui/#object/approved_document__v/V5O00000001R002", "Programa X Jornada UHB")</f>
        <v>Programa X Jornada UHB</v>
      </c>
      <c r="M4652" s="22" t="str">
        <f>HYPERLINK("mailto:oestevez@crm.otsuka-europe.com", "oestevez@crm.otsuka-europe.com")</f>
        <v>oestevez@crm.otsuka-europe.com</v>
      </c>
      <c r="N4652" s="25">
        <v>46217.494571759256</v>
      </c>
      <c r="O4652" s="14" t="str">
        <f>HYPERLINK("https://otsuka-europe-crm.veevavault.com/ui/#object/email_activity__v/V8C00000004A483", "EN-002105893")</f>
        <v>EN-002105893</v>
      </c>
    </row>
    <row r="4653" spans="1:15" ht="16" x14ac:dyDescent="0.2">
      <c r="A4653" s="19"/>
      <c r="B4653" s="19"/>
      <c r="C4653" s="19"/>
      <c r="D4653" s="19"/>
      <c r="E4653" s="19"/>
      <c r="F4653" s="19"/>
      <c r="G4653" s="19"/>
      <c r="H4653" s="19"/>
      <c r="I4653" s="19"/>
      <c r="J4653" s="19"/>
      <c r="K4653" s="19"/>
      <c r="L4653" s="19"/>
      <c r="M4653" s="19"/>
      <c r="N4653" s="19"/>
      <c r="O4653" s="14" t="str">
        <f>HYPERLINK("https://otsuka-europe-crm.veevavault.com/ui/#object/email_activity__v/V8C00000004A488", "EN-002105898")</f>
        <v>EN-002105898</v>
      </c>
    </row>
    <row r="4654" spans="1:15" ht="16" x14ac:dyDescent="0.2">
      <c r="A4654" s="18" t="str">
        <f>HYPERLINK("https://otsuka-europe-crm.veevavault.com/ui/#object/account__v/V4TZ06G6O71T86A", "PALOMA MUÑOZ-CALERO FRANCO")</f>
        <v>PALOMA MUÑOZ-CALERO FRANCO</v>
      </c>
      <c r="B4654" s="18" t="str">
        <f>HYPERLINK("https://otsuka-europe-crm.veevavault.com/ui/#object/vcountry__v/VENZ000004SONF5", "ES")</f>
        <v>ES</v>
      </c>
      <c r="C4654" s="20" t="s">
        <v>39</v>
      </c>
      <c r="D4654" s="21" t="str">
        <f>HYPERLINK("https://otsuka-europe-crm.veevavault.com/ui/#object/approved_document__v/V5O00000001R002", "Programa X Jornada UHB")</f>
        <v>Programa X Jornada UHB</v>
      </c>
      <c r="E4654" s="22" t="str">
        <f>HYPERLINK("https://otsuka-europe-crm.veevavault.com/ui/#object/sent_email__v/VBL000000037254", "SE-001443932")</f>
        <v>SE-001443932</v>
      </c>
      <c r="F4654" s="25">
        <v>46222.77447916667</v>
      </c>
      <c r="G4654" s="24">
        <v>1</v>
      </c>
      <c r="H4654" s="24">
        <v>1</v>
      </c>
      <c r="I4654" s="24">
        <v>1</v>
      </c>
      <c r="J4654" s="25">
        <v>46222.774513888886</v>
      </c>
      <c r="K4654" s="24">
        <v>1</v>
      </c>
      <c r="L4654" s="22" t="str">
        <f>HYPERLINK("https://otsuka-europe-crm.veevavault.com/ui/#object/approved_document__v/V5O00000001R002", "Programa X Jornada UHB")</f>
        <v>Programa X Jornada UHB</v>
      </c>
      <c r="M4654" s="22" t="str">
        <f>HYPERLINK("mailto:oestevez@crm.otsuka-europe.com", "oestevez@crm.otsuka-europe.com")</f>
        <v>oestevez@crm.otsuka-europe.com</v>
      </c>
      <c r="N4654" s="25">
        <v>46217.494571759256</v>
      </c>
      <c r="O4654" s="14" t="str">
        <f>HYPERLINK("https://otsuka-europe-crm.veevavault.com/ui/#object/email_activity__v/V8C00000004A490", "EN-002105900")</f>
        <v>EN-002105900</v>
      </c>
    </row>
    <row r="4655" spans="1:15" ht="16" x14ac:dyDescent="0.2">
      <c r="A4655" s="26"/>
      <c r="B4655" s="26"/>
      <c r="C4655" s="26"/>
      <c r="D4655" s="26"/>
      <c r="E4655" s="26"/>
      <c r="F4655" s="26"/>
      <c r="G4655" s="26"/>
      <c r="H4655" s="26"/>
      <c r="I4655" s="26"/>
      <c r="J4655" s="26"/>
      <c r="K4655" s="26"/>
      <c r="L4655" s="26"/>
      <c r="M4655" s="26"/>
      <c r="N4655" s="26"/>
      <c r="O4655" s="14" t="str">
        <f>HYPERLINK("https://otsuka-europe-crm.veevavault.com/ui/#object/email_activity__v/V8C00000004B098", "EN-002106902")</f>
        <v>EN-002106902</v>
      </c>
    </row>
    <row r="4656" spans="1:15" ht="16" x14ac:dyDescent="0.2">
      <c r="A4656" s="26"/>
      <c r="B4656" s="26"/>
      <c r="C4656" s="26"/>
      <c r="D4656" s="26"/>
      <c r="E4656" s="26"/>
      <c r="F4656" s="26"/>
      <c r="G4656" s="26"/>
      <c r="H4656" s="26"/>
      <c r="I4656" s="26"/>
      <c r="J4656" s="26"/>
      <c r="K4656" s="26"/>
      <c r="L4656" s="26"/>
      <c r="M4656" s="26"/>
      <c r="N4656" s="26"/>
      <c r="O4656" s="14" t="str">
        <f>HYPERLINK("https://otsuka-europe-crm.veevavault.com/ui/#object/email_activity__v/V8C00000004B099", "EN-002106905")</f>
        <v>EN-002106905</v>
      </c>
    </row>
    <row r="4657" spans="1:15" ht="16" x14ac:dyDescent="0.2">
      <c r="A4657" s="19"/>
      <c r="B4657" s="19"/>
      <c r="C4657" s="19"/>
      <c r="D4657" s="19"/>
      <c r="E4657" s="19"/>
      <c r="F4657" s="19"/>
      <c r="G4657" s="19"/>
      <c r="H4657" s="19"/>
      <c r="I4657" s="19"/>
      <c r="J4657" s="19"/>
      <c r="K4657" s="19"/>
      <c r="L4657" s="19"/>
      <c r="M4657" s="19"/>
      <c r="N4657" s="19"/>
      <c r="O4657" s="14" t="str">
        <f>HYPERLINK("https://otsuka-europe-crm.veevavault.com/ui/#object/email_activity__v/V8C00000004C076", "EN-002106903")</f>
        <v>EN-002106903</v>
      </c>
    </row>
    <row r="4658" spans="1:15" ht="32" x14ac:dyDescent="0.2">
      <c r="A4658" s="7" t="str">
        <f>HYPERLINK("https://otsuka-europe-crm.veevavault.com/ui/#object/account__v/V4TZ06G6O71TCDL", "OLGA SOBRINO CABRA")</f>
        <v>OLGA SOBRINO CABRA</v>
      </c>
      <c r="B4658" s="7" t="str">
        <f>HYPERLINK("https://otsuka-europe-crm.veevavault.com/ui/#object/vcountry__v/VENZ000004SONF5", "ES")</f>
        <v>ES</v>
      </c>
      <c r="C4658" s="8" t="s">
        <v>39</v>
      </c>
      <c r="D4658" s="9" t="str">
        <f>HYPERLINK("https://otsuka-europe-crm.veevavault.com/ui/#object/approved_document__v/V5O00000001R002", "Programa X Jornada UHB")</f>
        <v>Programa X Jornada UHB</v>
      </c>
      <c r="E4658" s="10" t="str">
        <f>HYPERLINK("https://otsuka-europe-crm.veevavault.com/ui/#object/sent_email__v/VBL000000037255", "SE-001443933")</f>
        <v>SE-001443933</v>
      </c>
      <c r="F4658" s="11"/>
      <c r="G4658" s="12">
        <v>0</v>
      </c>
      <c r="H4658" s="12">
        <v>0</v>
      </c>
      <c r="I4658" s="12">
        <v>0</v>
      </c>
      <c r="J4658" s="11"/>
      <c r="K4658" s="12">
        <v>0</v>
      </c>
      <c r="L4658" s="10" t="str">
        <f>HYPERLINK("https://otsuka-europe-crm.veevavault.com/ui/#object/approved_document__v/V5O00000001R002", "Programa X Jornada UHB")</f>
        <v>Programa X Jornada UHB</v>
      </c>
      <c r="M4658" s="10" t="str">
        <f>HYPERLINK("mailto:oestevez@crm.otsuka-europe.com", "oestevez@crm.otsuka-europe.com")</f>
        <v>oestevez@crm.otsuka-europe.com</v>
      </c>
      <c r="N4658" s="13">
        <v>46217.494571759256</v>
      </c>
      <c r="O4658" s="14" t="str">
        <f>HYPERLINK("https://otsuka-europe-crm.veevavault.com/ui/#object/email_activity__v/V8C000000049547", "EN-002105907")</f>
        <v>EN-002105907</v>
      </c>
    </row>
    <row r="4659" spans="1:15" ht="32" x14ac:dyDescent="0.2">
      <c r="A4659" s="7" t="str">
        <f>HYPERLINK("https://otsuka-europe-crm.veevavault.com/ui/#object/account__v/V4TZ06G6O8KUBHD", "FANNY BEATRIZ CEGLA SCHVARTZMAN")</f>
        <v>FANNY BEATRIZ CEGLA SCHVARTZMAN</v>
      </c>
      <c r="B4659" s="7" t="str">
        <f>HYPERLINK("https://otsuka-europe-crm.veevavault.com/ui/#object/vcountry__v/VENZ000004SONF5", "ES")</f>
        <v>ES</v>
      </c>
      <c r="C4659" s="8" t="s">
        <v>39</v>
      </c>
      <c r="D4659" s="9" t="str">
        <f>HYPERLINK("https://otsuka-europe-crm.veevavault.com/ui/#object/approved_document__v/V5O00000001R002", "Programa X Jornada UHB")</f>
        <v>Programa X Jornada UHB</v>
      </c>
      <c r="E4659" s="10" t="str">
        <f>HYPERLINK("https://otsuka-europe-crm.veevavault.com/ui/#object/sent_email__v/VBL000000037256", "SE-001443934")</f>
        <v>SE-001443934</v>
      </c>
      <c r="F4659" s="11"/>
      <c r="G4659" s="12">
        <v>0</v>
      </c>
      <c r="H4659" s="12">
        <v>0</v>
      </c>
      <c r="I4659" s="12">
        <v>0</v>
      </c>
      <c r="J4659" s="11"/>
      <c r="K4659" s="12">
        <v>0</v>
      </c>
      <c r="L4659" s="10" t="str">
        <f>HYPERLINK("https://otsuka-europe-crm.veevavault.com/ui/#object/approved_document__v/V5O00000001R002", "Programa X Jornada UHB")</f>
        <v>Programa X Jornada UHB</v>
      </c>
      <c r="M4659" s="10" t="str">
        <f>HYPERLINK("mailto:oestevez@crm.otsuka-europe.com", "oestevez@crm.otsuka-europe.com")</f>
        <v>oestevez@crm.otsuka-europe.com</v>
      </c>
      <c r="N4659" s="13">
        <v>46217.494571759256</v>
      </c>
      <c r="O4659" s="14" t="str">
        <f>HYPERLINK("https://otsuka-europe-crm.veevavault.com/ui/#object/email_activity__v/V8C000000049545", "EN-002105903")</f>
        <v>EN-002105903</v>
      </c>
    </row>
    <row r="4660" spans="1:15" ht="32" x14ac:dyDescent="0.2">
      <c r="A4660" s="7" t="str">
        <f>HYPERLINK("https://otsuka-europe-crm.veevavault.com/ui/#object/account__v/V4TZ06G6O71T9Z5", "JULIA ISABEL GARCIA-ALBEA MARTIN")</f>
        <v>JULIA ISABEL GARCIA-ALBEA MARTIN</v>
      </c>
      <c r="B4660" s="7" t="str">
        <f>HYPERLINK("https://otsuka-europe-crm.veevavault.com/ui/#object/vcountry__v/VENZ000004SONF5", "ES")</f>
        <v>ES</v>
      </c>
      <c r="C4660" s="8" t="s">
        <v>39</v>
      </c>
      <c r="D4660" s="9" t="str">
        <f>HYPERLINK("https://otsuka-europe-crm.veevavault.com/ui/#object/approved_document__v/V5O00000001R002", "Programa X Jornada UHB")</f>
        <v>Programa X Jornada UHB</v>
      </c>
      <c r="E4660" s="10" t="str">
        <f>HYPERLINK("https://otsuka-europe-crm.veevavault.com/ui/#object/sent_email__v/VBL000000037257", "SE-001443935")</f>
        <v>SE-001443935</v>
      </c>
      <c r="F4660" s="11"/>
      <c r="G4660" s="12">
        <v>0</v>
      </c>
      <c r="H4660" s="12">
        <v>0</v>
      </c>
      <c r="I4660" s="12">
        <v>0</v>
      </c>
      <c r="J4660" s="11"/>
      <c r="K4660" s="12">
        <v>0</v>
      </c>
      <c r="L4660" s="10" t="str">
        <f>HYPERLINK("https://otsuka-europe-crm.veevavault.com/ui/#object/approved_document__v/V5O00000001R002", "Programa X Jornada UHB")</f>
        <v>Programa X Jornada UHB</v>
      </c>
      <c r="M4660" s="10" t="str">
        <f>HYPERLINK("mailto:oestevez@crm.otsuka-europe.com", "oestevez@crm.otsuka-europe.com")</f>
        <v>oestevez@crm.otsuka-europe.com</v>
      </c>
      <c r="N4660" s="13">
        <v>46217.494537037041</v>
      </c>
      <c r="O4660" s="14" t="str">
        <f>HYPERLINK("https://otsuka-europe-crm.veevavault.com/ui/#object/email_activity__v/V8C00000004A489", "EN-002105899")</f>
        <v>EN-002105899</v>
      </c>
    </row>
    <row r="4661" spans="1:15" ht="16" x14ac:dyDescent="0.2">
      <c r="A4661" s="18" t="str">
        <f>HYPERLINK("https://otsuka-europe-crm.veevavault.com/ui/#object/account__v/V4TZ06G6O71T879", "MARTA SOTO LAGUNA")</f>
        <v>MARTA SOTO LAGUNA</v>
      </c>
      <c r="B4661" s="18" t="str">
        <f>HYPERLINK("https://otsuka-europe-crm.veevavault.com/ui/#object/vcountry__v/VENZ000004SONF5", "ES")</f>
        <v>ES</v>
      </c>
      <c r="C4661" s="20" t="s">
        <v>39</v>
      </c>
      <c r="D4661" s="21" t="str">
        <f>HYPERLINK("https://otsuka-europe-crm.veevavault.com/ui/#object/approved_document__v/V5O00000001R002", "Programa X Jornada UHB")</f>
        <v>Programa X Jornada UHB</v>
      </c>
      <c r="E4661" s="22" t="str">
        <f>HYPERLINK("https://otsuka-europe-crm.veevavault.com/ui/#object/sent_email__v/VBL000000037258", "SE-001443936")</f>
        <v>SE-001443936</v>
      </c>
      <c r="F4661" s="25">
        <v>46217.508912037039</v>
      </c>
      <c r="G4661" s="24">
        <v>1</v>
      </c>
      <c r="H4661" s="24">
        <v>1</v>
      </c>
      <c r="I4661" s="24">
        <v>0</v>
      </c>
      <c r="J4661" s="23"/>
      <c r="K4661" s="24">
        <v>0</v>
      </c>
      <c r="L4661" s="22" t="str">
        <f>HYPERLINK("https://otsuka-europe-crm.veevavault.com/ui/#object/approved_document__v/V5O00000001R002", "Programa X Jornada UHB")</f>
        <v>Programa X Jornada UHB</v>
      </c>
      <c r="M4661" s="22" t="str">
        <f>HYPERLINK("mailto:oestevez@crm.otsuka-europe.com", "oestevez@crm.otsuka-europe.com")</f>
        <v>oestevez@crm.otsuka-europe.com</v>
      </c>
      <c r="N4661" s="25">
        <v>46217.494537037041</v>
      </c>
      <c r="O4661" s="14" t="str">
        <f>HYPERLINK("https://otsuka-europe-crm.veevavault.com/ui/#object/email_activity__v/V8C00000004A482", "EN-002105892")</f>
        <v>EN-002105892</v>
      </c>
    </row>
    <row r="4662" spans="1:15" ht="16" x14ac:dyDescent="0.2">
      <c r="A4662" s="19"/>
      <c r="B4662" s="19"/>
      <c r="C4662" s="19"/>
      <c r="D4662" s="19"/>
      <c r="E4662" s="19"/>
      <c r="F4662" s="19"/>
      <c r="G4662" s="19"/>
      <c r="H4662" s="19"/>
      <c r="I4662" s="19"/>
      <c r="J4662" s="19"/>
      <c r="K4662" s="19"/>
      <c r="L4662" s="19"/>
      <c r="M4662" s="19"/>
      <c r="N4662" s="19"/>
      <c r="O4662" s="14" t="str">
        <f>HYPERLINK("https://otsuka-europe-crm.veevavault.com/ui/#object/email_activity__v/V8C00000004A511", "EN-002105937")</f>
        <v>EN-002105937</v>
      </c>
    </row>
    <row r="4663" spans="1:15" ht="16" x14ac:dyDescent="0.2">
      <c r="A4663" s="18" t="str">
        <f>HYPERLINK("https://otsuka-europe-crm.veevavault.com/ui/#object/account__v/V4TZ06G6O71TC6W", "MARIA DOLORES SAIZ GONZALEZ")</f>
        <v>MARIA DOLORES SAIZ GONZALEZ</v>
      </c>
      <c r="B4663" s="18" t="str">
        <f>HYPERLINK("https://otsuka-europe-crm.veevavault.com/ui/#object/vcountry__v/VENZ000004SONF5", "ES")</f>
        <v>ES</v>
      </c>
      <c r="C4663" s="20" t="s">
        <v>39</v>
      </c>
      <c r="D4663" s="21" t="str">
        <f>HYPERLINK("https://otsuka-europe-crm.veevavault.com/ui/#object/approved_document__v/V5O00000001R002", "Programa X Jornada UHB")</f>
        <v>Programa X Jornada UHB</v>
      </c>
      <c r="E4663" s="22" t="str">
        <f>HYPERLINK("https://otsuka-europe-crm.veevavault.com/ui/#object/sent_email__v/VBL000000037259", "SE-001443937")</f>
        <v>SE-001443937</v>
      </c>
      <c r="F4663" s="25">
        <v>46217.523576388892</v>
      </c>
      <c r="G4663" s="24">
        <v>1</v>
      </c>
      <c r="H4663" s="24">
        <v>1</v>
      </c>
      <c r="I4663" s="24">
        <v>1</v>
      </c>
      <c r="J4663" s="25">
        <v>46217.523576388892</v>
      </c>
      <c r="K4663" s="24">
        <v>1</v>
      </c>
      <c r="L4663" s="22" t="str">
        <f>HYPERLINK("https://otsuka-europe-crm.veevavault.com/ui/#object/approved_document__v/V5O00000001R002", "Programa X Jornada UHB")</f>
        <v>Programa X Jornada UHB</v>
      </c>
      <c r="M4663" s="22" t="str">
        <f>HYPERLINK("mailto:oestevez@crm.otsuka-europe.com", "oestevez@crm.otsuka-europe.com")</f>
        <v>oestevez@crm.otsuka-europe.com</v>
      </c>
      <c r="N4663" s="25">
        <v>46217.494537037041</v>
      </c>
      <c r="O4663" s="14" t="str">
        <f>HYPERLINK("https://otsuka-europe-crm.veevavault.com/ui/#object/email_activity__v/V8C000000049562", "EN-002105941")</f>
        <v>EN-002105941</v>
      </c>
    </row>
    <row r="4664" spans="1:15" ht="16" x14ac:dyDescent="0.2">
      <c r="A4664" s="26"/>
      <c r="B4664" s="26"/>
      <c r="C4664" s="26"/>
      <c r="D4664" s="26"/>
      <c r="E4664" s="26"/>
      <c r="F4664" s="26"/>
      <c r="G4664" s="26"/>
      <c r="H4664" s="26"/>
      <c r="I4664" s="26"/>
      <c r="J4664" s="26"/>
      <c r="K4664" s="26"/>
      <c r="L4664" s="26"/>
      <c r="M4664" s="26"/>
      <c r="N4664" s="26"/>
      <c r="O4664" s="14" t="str">
        <f>HYPERLINK("https://otsuka-europe-crm.veevavault.com/ui/#object/email_activity__v/V8C000000049563", "EN-002105940")</f>
        <v>EN-002105940</v>
      </c>
    </row>
    <row r="4665" spans="1:15" ht="16" x14ac:dyDescent="0.2">
      <c r="A4665" s="26"/>
      <c r="B4665" s="26"/>
      <c r="C4665" s="26"/>
      <c r="D4665" s="26"/>
      <c r="E4665" s="26"/>
      <c r="F4665" s="26"/>
      <c r="G4665" s="26"/>
      <c r="H4665" s="26"/>
      <c r="I4665" s="26"/>
      <c r="J4665" s="26"/>
      <c r="K4665" s="26"/>
      <c r="L4665" s="26"/>
      <c r="M4665" s="26"/>
      <c r="N4665" s="26"/>
      <c r="O4665" s="14" t="str">
        <f>HYPERLINK("https://otsuka-europe-crm.veevavault.com/ui/#object/email_activity__v/V8C000000049570", "EN-002105955")</f>
        <v>EN-002105955</v>
      </c>
    </row>
    <row r="4666" spans="1:15" ht="16" x14ac:dyDescent="0.2">
      <c r="A4666" s="26"/>
      <c r="B4666" s="26"/>
      <c r="C4666" s="26"/>
      <c r="D4666" s="26"/>
      <c r="E4666" s="26"/>
      <c r="F4666" s="26"/>
      <c r="G4666" s="26"/>
      <c r="H4666" s="26"/>
      <c r="I4666" s="26"/>
      <c r="J4666" s="26"/>
      <c r="K4666" s="26"/>
      <c r="L4666" s="26"/>
      <c r="M4666" s="26"/>
      <c r="N4666" s="26"/>
      <c r="O4666" s="14" t="str">
        <f>HYPERLINK("https://otsuka-europe-crm.veevavault.com/ui/#object/email_activity__v/V8C00000004A492", "EN-002105902")</f>
        <v>EN-002105902</v>
      </c>
    </row>
    <row r="4667" spans="1:15" ht="16" x14ac:dyDescent="0.2">
      <c r="A4667" s="19"/>
      <c r="B4667" s="19"/>
      <c r="C4667" s="19"/>
      <c r="D4667" s="19"/>
      <c r="E4667" s="19"/>
      <c r="F4667" s="19"/>
      <c r="G4667" s="19"/>
      <c r="H4667" s="19"/>
      <c r="I4667" s="19"/>
      <c r="J4667" s="19"/>
      <c r="K4667" s="19"/>
      <c r="L4667" s="19"/>
      <c r="M4667" s="19"/>
      <c r="N4667" s="19"/>
      <c r="O4667" s="14" t="str">
        <f>HYPERLINK("https://otsuka-europe-crm.veevavault.com/ui/#object/email_activity__v/V8C00000004A513", "EN-002105942")</f>
        <v>EN-002105942</v>
      </c>
    </row>
    <row r="4668" spans="1:15" ht="16" x14ac:dyDescent="0.2">
      <c r="A4668" s="18" t="str">
        <f>HYPERLINK("https://otsuka-europe-crm.veevavault.com/ui/#object/account__v/V4TZ06G6O71T7II", "MARIA JOSE MUÑOZ ALGAR")</f>
        <v>MARIA JOSE MUÑOZ ALGAR</v>
      </c>
      <c r="B4668" s="18" t="str">
        <f>HYPERLINK("https://otsuka-europe-crm.veevavault.com/ui/#object/vcountry__v/VENZ000004SONF5", "ES")</f>
        <v>ES</v>
      </c>
      <c r="C4668" s="20" t="s">
        <v>39</v>
      </c>
      <c r="D4668" s="21" t="str">
        <f>HYPERLINK("https://otsuka-europe-crm.veevavault.com/ui/#object/approved_document__v/V5O00000001R002", "Programa X Jornada UHB")</f>
        <v>Programa X Jornada UHB</v>
      </c>
      <c r="E4668" s="22" t="str">
        <f>HYPERLINK("https://otsuka-europe-crm.veevavault.com/ui/#object/sent_email__v/VBL000000037260", "SE-001443938")</f>
        <v>SE-001443938</v>
      </c>
      <c r="F4668" s="25">
        <v>46217.776678240742</v>
      </c>
      <c r="G4668" s="24">
        <v>1</v>
      </c>
      <c r="H4668" s="24">
        <v>2</v>
      </c>
      <c r="I4668" s="24">
        <v>1</v>
      </c>
      <c r="J4668" s="25">
        <v>46217.776747685188</v>
      </c>
      <c r="K4668" s="24">
        <v>1</v>
      </c>
      <c r="L4668" s="22" t="str">
        <f>HYPERLINK("https://otsuka-europe-crm.veevavault.com/ui/#object/approved_document__v/V5O00000001R002", "Programa X Jornada UHB")</f>
        <v>Programa X Jornada UHB</v>
      </c>
      <c r="M4668" s="22" t="str">
        <f>HYPERLINK("mailto:oestevez@crm.otsuka-europe.com", "oestevez@crm.otsuka-europe.com")</f>
        <v>oestevez@crm.otsuka-europe.com</v>
      </c>
      <c r="N4668" s="25">
        <v>46217.494537037041</v>
      </c>
      <c r="O4668" s="14" t="str">
        <f>HYPERLINK("https://otsuka-europe-crm.veevavault.com/ui/#object/email_activity__v/V8C000000049662", "EN-002106151")</f>
        <v>EN-002106151</v>
      </c>
    </row>
    <row r="4669" spans="1:15" ht="16" x14ac:dyDescent="0.2">
      <c r="A4669" s="26"/>
      <c r="B4669" s="26"/>
      <c r="C4669" s="26"/>
      <c r="D4669" s="26"/>
      <c r="E4669" s="26"/>
      <c r="F4669" s="26"/>
      <c r="G4669" s="26"/>
      <c r="H4669" s="26"/>
      <c r="I4669" s="26"/>
      <c r="J4669" s="26"/>
      <c r="K4669" s="26"/>
      <c r="L4669" s="26"/>
      <c r="M4669" s="26"/>
      <c r="N4669" s="26"/>
      <c r="O4669" s="14" t="str">
        <f>HYPERLINK("https://otsuka-europe-crm.veevavault.com/ui/#object/email_activity__v/V8C00000004A494", "EN-002105906")</f>
        <v>EN-002105906</v>
      </c>
    </row>
    <row r="4670" spans="1:15" ht="16" x14ac:dyDescent="0.2">
      <c r="A4670" s="26"/>
      <c r="B4670" s="26"/>
      <c r="C4670" s="26"/>
      <c r="D4670" s="26"/>
      <c r="E4670" s="26"/>
      <c r="F4670" s="26"/>
      <c r="G4670" s="26"/>
      <c r="H4670" s="26"/>
      <c r="I4670" s="26"/>
      <c r="J4670" s="26"/>
      <c r="K4670" s="26"/>
      <c r="L4670" s="26"/>
      <c r="M4670" s="26"/>
      <c r="N4670" s="26"/>
      <c r="O4670" s="14" t="str">
        <f>HYPERLINK("https://otsuka-europe-crm.veevavault.com/ui/#object/email_activity__v/V8C00000004A495", "EN-002105909")</f>
        <v>EN-002105909</v>
      </c>
    </row>
    <row r="4671" spans="1:15" ht="16" x14ac:dyDescent="0.2">
      <c r="A4671" s="26"/>
      <c r="B4671" s="26"/>
      <c r="C4671" s="26"/>
      <c r="D4671" s="26"/>
      <c r="E4671" s="26"/>
      <c r="F4671" s="26"/>
      <c r="G4671" s="26"/>
      <c r="H4671" s="26"/>
      <c r="I4671" s="26"/>
      <c r="J4671" s="26"/>
      <c r="K4671" s="26"/>
      <c r="L4671" s="26"/>
      <c r="M4671" s="26"/>
      <c r="N4671" s="26"/>
      <c r="O4671" s="14" t="str">
        <f>HYPERLINK("https://otsuka-europe-crm.veevavault.com/ui/#object/email_activity__v/V8C00000004A624", "EN-002106152")</f>
        <v>EN-002106152</v>
      </c>
    </row>
    <row r="4672" spans="1:15" ht="16" x14ac:dyDescent="0.2">
      <c r="A4672" s="19"/>
      <c r="B4672" s="19"/>
      <c r="C4672" s="19"/>
      <c r="D4672" s="19"/>
      <c r="E4672" s="19"/>
      <c r="F4672" s="19"/>
      <c r="G4672" s="19"/>
      <c r="H4672" s="19"/>
      <c r="I4672" s="19"/>
      <c r="J4672" s="19"/>
      <c r="K4672" s="19"/>
      <c r="L4672" s="19"/>
      <c r="M4672" s="19"/>
      <c r="N4672" s="19"/>
      <c r="O4672" s="14" t="str">
        <f>HYPERLINK("https://otsuka-europe-crm.veevavault.com/ui/#object/email_activity__v/V8C00000004A625", "EN-002106153")</f>
        <v>EN-002106153</v>
      </c>
    </row>
    <row r="4673" spans="1:15" ht="16" x14ac:dyDescent="0.2">
      <c r="A4673" s="18" t="str">
        <f>HYPERLINK("https://otsuka-europe-crm.veevavault.com/ui/#object/account__v/V4TZ06G6O71TADU", "SILVIA GONZALEZ PARRA")</f>
        <v>SILVIA GONZALEZ PARRA</v>
      </c>
      <c r="B4673" s="18" t="str">
        <f>HYPERLINK("https://otsuka-europe-crm.veevavault.com/ui/#object/vcountry__v/VENZ000004SONF5", "ES")</f>
        <v>ES</v>
      </c>
      <c r="C4673" s="20" t="s">
        <v>39</v>
      </c>
      <c r="D4673" s="21" t="str">
        <f>HYPERLINK("https://otsuka-europe-crm.veevavault.com/ui/#object/approved_document__v/V5O00000001R002", "Programa X Jornada UHB")</f>
        <v>Programa X Jornada UHB</v>
      </c>
      <c r="E4673" s="22" t="str">
        <f>HYPERLINK("https://otsuka-europe-crm.veevavault.com/ui/#object/sent_email__v/VBL000000037261", "SE-001443939")</f>
        <v>SE-001443939</v>
      </c>
      <c r="F4673" s="23"/>
      <c r="G4673" s="24">
        <v>0</v>
      </c>
      <c r="H4673" s="24">
        <v>0</v>
      </c>
      <c r="I4673" s="24">
        <v>0</v>
      </c>
      <c r="J4673" s="23"/>
      <c r="K4673" s="24">
        <v>0</v>
      </c>
      <c r="L4673" s="22" t="str">
        <f>HYPERLINK("https://otsuka-europe-crm.veevavault.com/ui/#object/approved_document__v/V5O00000001R002", "Programa X Jornada UHB")</f>
        <v>Programa X Jornada UHB</v>
      </c>
      <c r="M4673" s="22" t="str">
        <f>HYPERLINK("mailto:oestevez@crm.otsuka-europe.com", "oestevez@crm.otsuka-europe.com")</f>
        <v>oestevez@crm.otsuka-europe.com</v>
      </c>
      <c r="N4673" s="25">
        <v>46217.494571759256</v>
      </c>
      <c r="O4673" s="14" t="str">
        <f>HYPERLINK("https://otsuka-europe-crm.veevavault.com/ui/#object/email_activity__v/V8C000000049805", "EN-002106444")</f>
        <v>EN-002106444</v>
      </c>
    </row>
    <row r="4674" spans="1:15" ht="16" x14ac:dyDescent="0.2">
      <c r="A4674" s="26"/>
      <c r="B4674" s="26"/>
      <c r="C4674" s="26"/>
      <c r="D4674" s="26"/>
      <c r="E4674" s="26"/>
      <c r="F4674" s="26"/>
      <c r="G4674" s="26"/>
      <c r="H4674" s="26"/>
      <c r="I4674" s="26"/>
      <c r="J4674" s="26"/>
      <c r="K4674" s="26"/>
      <c r="L4674" s="26"/>
      <c r="M4674" s="26"/>
      <c r="N4674" s="26"/>
      <c r="O4674" s="14" t="str">
        <f>HYPERLINK("https://otsuka-europe-crm.veevavault.com/ui/#object/email_activity__v/V8C00000004A493", "EN-002105905")</f>
        <v>EN-002105905</v>
      </c>
    </row>
    <row r="4675" spans="1:15" ht="16" x14ac:dyDescent="0.2">
      <c r="A4675" s="19"/>
      <c r="B4675" s="19"/>
      <c r="C4675" s="19"/>
      <c r="D4675" s="19"/>
      <c r="E4675" s="19"/>
      <c r="F4675" s="19"/>
      <c r="G4675" s="19"/>
      <c r="H4675" s="19"/>
      <c r="I4675" s="19"/>
      <c r="J4675" s="19"/>
      <c r="K4675" s="19"/>
      <c r="L4675" s="19"/>
      <c r="M4675" s="19"/>
      <c r="N4675" s="19"/>
      <c r="O4675" s="14" t="str">
        <f>HYPERLINK("https://otsuka-europe-crm.veevavault.com/ui/#object/email_activity__v/V8C00000004C543", "EN-002108053")</f>
        <v>EN-002108053</v>
      </c>
    </row>
    <row r="4676" spans="1:15" ht="16" x14ac:dyDescent="0.2">
      <c r="A4676" s="18" t="str">
        <f>HYPERLINK("https://otsuka-europe-crm.veevavault.com/ui/#object/account__v/V4TZ06G6O71T8W1", "MARIA FORCADA BARRERO")</f>
        <v>MARIA FORCADA BARRERO</v>
      </c>
      <c r="B4676" s="18" t="str">
        <f>HYPERLINK("https://otsuka-europe-crm.veevavault.com/ui/#object/vcountry__v/VENZ000004SONF5", "ES")</f>
        <v>ES</v>
      </c>
      <c r="C4676" s="20" t="s">
        <v>39</v>
      </c>
      <c r="D4676" s="21" t="str">
        <f>HYPERLINK("https://otsuka-europe-crm.veevavault.com/ui/#object/approved_document__v/V5O00000001R002", "Programa X Jornada UHB")</f>
        <v>Programa X Jornada UHB</v>
      </c>
      <c r="E4676" s="22" t="str">
        <f>HYPERLINK("https://otsuka-europe-crm.veevavault.com/ui/#object/sent_email__v/VBL000000037262", "SE-001443940")</f>
        <v>SE-001443940</v>
      </c>
      <c r="F4676" s="25">
        <v>46225.300046296295</v>
      </c>
      <c r="G4676" s="24">
        <v>1</v>
      </c>
      <c r="H4676" s="24">
        <v>4</v>
      </c>
      <c r="I4676" s="24">
        <v>1</v>
      </c>
      <c r="J4676" s="25">
        <v>46217.500625000001</v>
      </c>
      <c r="K4676" s="24">
        <v>1</v>
      </c>
      <c r="L4676" s="22" t="str">
        <f>HYPERLINK("https://otsuka-europe-crm.veevavault.com/ui/#object/approved_document__v/V5O00000001R002", "Programa X Jornada UHB")</f>
        <v>Programa X Jornada UHB</v>
      </c>
      <c r="M4676" s="22" t="str">
        <f>HYPERLINK("mailto:oestevez@crm.otsuka-europe.com", "oestevez@crm.otsuka-europe.com")</f>
        <v>oestevez@crm.otsuka-europe.com</v>
      </c>
      <c r="N4676" s="25">
        <v>46217.494571759256</v>
      </c>
      <c r="O4676" s="14" t="str">
        <f>HYPERLINK("https://otsuka-europe-crm.veevavault.com/ui/#object/email_activity__v/V8C000000049555", "EN-002105924")</f>
        <v>EN-002105924</v>
      </c>
    </row>
    <row r="4677" spans="1:15" ht="16" x14ac:dyDescent="0.2">
      <c r="A4677" s="26"/>
      <c r="B4677" s="26"/>
      <c r="C4677" s="26"/>
      <c r="D4677" s="26"/>
      <c r="E4677" s="26"/>
      <c r="F4677" s="26"/>
      <c r="G4677" s="26"/>
      <c r="H4677" s="26"/>
      <c r="I4677" s="26"/>
      <c r="J4677" s="26"/>
      <c r="K4677" s="26"/>
      <c r="L4677" s="26"/>
      <c r="M4677" s="26"/>
      <c r="N4677" s="26"/>
      <c r="O4677" s="14" t="str">
        <f>HYPERLINK("https://otsuka-europe-crm.veevavault.com/ui/#object/email_activity__v/V8C000000049693", "EN-002106205")</f>
        <v>EN-002106205</v>
      </c>
    </row>
    <row r="4678" spans="1:15" ht="16" x14ac:dyDescent="0.2">
      <c r="A4678" s="26"/>
      <c r="B4678" s="26"/>
      <c r="C4678" s="26"/>
      <c r="D4678" s="26"/>
      <c r="E4678" s="26"/>
      <c r="F4678" s="26"/>
      <c r="G4678" s="26"/>
      <c r="H4678" s="26"/>
      <c r="I4678" s="26"/>
      <c r="J4678" s="26"/>
      <c r="K4678" s="26"/>
      <c r="L4678" s="26"/>
      <c r="M4678" s="26"/>
      <c r="N4678" s="26"/>
      <c r="O4678" s="14" t="str">
        <f>HYPERLINK("https://otsuka-europe-crm.veevavault.com/ui/#object/email_activity__v/V8C000000049753", "EN-002106340")</f>
        <v>EN-002106340</v>
      </c>
    </row>
    <row r="4679" spans="1:15" ht="16" x14ac:dyDescent="0.2">
      <c r="A4679" s="26"/>
      <c r="B4679" s="26"/>
      <c r="C4679" s="26"/>
      <c r="D4679" s="26"/>
      <c r="E4679" s="26"/>
      <c r="F4679" s="26"/>
      <c r="G4679" s="26"/>
      <c r="H4679" s="26"/>
      <c r="I4679" s="26"/>
      <c r="J4679" s="26"/>
      <c r="K4679" s="26"/>
      <c r="L4679" s="26"/>
      <c r="M4679" s="26"/>
      <c r="N4679" s="26"/>
      <c r="O4679" s="14" t="str">
        <f>HYPERLINK("https://otsuka-europe-crm.veevavault.com/ui/#object/email_activity__v/V8C00000004A484", "EN-002105894")</f>
        <v>EN-002105894</v>
      </c>
    </row>
    <row r="4680" spans="1:15" ht="16" x14ac:dyDescent="0.2">
      <c r="A4680" s="26"/>
      <c r="B4680" s="26"/>
      <c r="C4680" s="26"/>
      <c r="D4680" s="26"/>
      <c r="E4680" s="26"/>
      <c r="F4680" s="26"/>
      <c r="G4680" s="26"/>
      <c r="H4680" s="26"/>
      <c r="I4680" s="26"/>
      <c r="J4680" s="26"/>
      <c r="K4680" s="26"/>
      <c r="L4680" s="26"/>
      <c r="M4680" s="26"/>
      <c r="N4680" s="26"/>
      <c r="O4680" s="14" t="str">
        <f>HYPERLINK("https://otsuka-europe-crm.veevavault.com/ui/#object/email_activity__v/V8C00000004A503", "EN-002105923")</f>
        <v>EN-002105923</v>
      </c>
    </row>
    <row r="4681" spans="1:15" ht="16" x14ac:dyDescent="0.2">
      <c r="A4681" s="26"/>
      <c r="B4681" s="26"/>
      <c r="C4681" s="26"/>
      <c r="D4681" s="26"/>
      <c r="E4681" s="26"/>
      <c r="F4681" s="26"/>
      <c r="G4681" s="26"/>
      <c r="H4681" s="26"/>
      <c r="I4681" s="26"/>
      <c r="J4681" s="26"/>
      <c r="K4681" s="26"/>
      <c r="L4681" s="26"/>
      <c r="M4681" s="26"/>
      <c r="N4681" s="26"/>
      <c r="O4681" s="14" t="str">
        <f>HYPERLINK("https://otsuka-europe-crm.veevavault.com/ui/#object/email_activity__v/V8C00000004A509", "EN-002105935")</f>
        <v>EN-002105935</v>
      </c>
    </row>
    <row r="4682" spans="1:15" ht="16" x14ac:dyDescent="0.2">
      <c r="A4682" s="19"/>
      <c r="B4682" s="19"/>
      <c r="C4682" s="19"/>
      <c r="D4682" s="19"/>
      <c r="E4682" s="19"/>
      <c r="F4682" s="19"/>
      <c r="G4682" s="19"/>
      <c r="H4682" s="19"/>
      <c r="I4682" s="19"/>
      <c r="J4682" s="19"/>
      <c r="K4682" s="19"/>
      <c r="L4682" s="19"/>
      <c r="M4682" s="19"/>
      <c r="N4682" s="19"/>
      <c r="O4682" s="14" t="str">
        <f>HYPERLINK("https://otsuka-europe-crm.veevavault.com/ui/#object/email_activity__v/V8C00000004B279", "EN-002107201")</f>
        <v>EN-002107201</v>
      </c>
    </row>
    <row r="4683" spans="1:15" ht="16" x14ac:dyDescent="0.2">
      <c r="A4683" s="18" t="str">
        <f>HYPERLINK("https://otsuka-europe-crm.veevavault.com/ui/#object/account__v/V4TZ025E87TVSVI", "PATRICIA BERNAL GARCIA")</f>
        <v>PATRICIA BERNAL GARCIA</v>
      </c>
      <c r="B4683" s="18" t="str">
        <f>HYPERLINK("https://otsuka-europe-crm.veevavault.com/ui/#object/vcountry__v/VENZ000004SONF5", "ES")</f>
        <v>ES</v>
      </c>
      <c r="C4683" s="20" t="s">
        <v>39</v>
      </c>
      <c r="D4683" s="21" t="str">
        <f>HYPERLINK("https://otsuka-europe-crm.veevavault.com/ui/#object/approved_document__v/V5O00000001R002", "Programa X Jornada UHB")</f>
        <v>Programa X Jornada UHB</v>
      </c>
      <c r="E4683" s="22" t="str">
        <f>HYPERLINK("https://otsuka-europe-crm.veevavault.com/ui/#object/sent_email__v/VBL000000037263", "SE-001443941")</f>
        <v>SE-001443941</v>
      </c>
      <c r="F4683" s="25">
        <v>46217.505243055559</v>
      </c>
      <c r="G4683" s="24">
        <v>1</v>
      </c>
      <c r="H4683" s="24">
        <v>2</v>
      </c>
      <c r="I4683" s="24">
        <v>1</v>
      </c>
      <c r="J4683" s="25">
        <v>46217.51761574074</v>
      </c>
      <c r="K4683" s="24">
        <v>1</v>
      </c>
      <c r="L4683" s="22" t="str">
        <f>HYPERLINK("https://otsuka-europe-crm.veevavault.com/ui/#object/approved_document__v/V5O00000001R002", "Programa X Jornada UHB")</f>
        <v>Programa X Jornada UHB</v>
      </c>
      <c r="M4683" s="22" t="str">
        <f>HYPERLINK("mailto:oestevez@crm.otsuka-europe.com", "oestevez@crm.otsuka-europe.com")</f>
        <v>oestevez@crm.otsuka-europe.com</v>
      </c>
      <c r="N4683" s="25">
        <v>46217.494571759256</v>
      </c>
      <c r="O4683" s="14" t="str">
        <f>HYPERLINK("https://otsuka-europe-crm.veevavault.com/ui/#object/email_activity__v/V8C000000049561", "EN-002105939")</f>
        <v>EN-002105939</v>
      </c>
    </row>
    <row r="4684" spans="1:15" ht="16" x14ac:dyDescent="0.2">
      <c r="A4684" s="26"/>
      <c r="B4684" s="26"/>
      <c r="C4684" s="26"/>
      <c r="D4684" s="26"/>
      <c r="E4684" s="26"/>
      <c r="F4684" s="26"/>
      <c r="G4684" s="26"/>
      <c r="H4684" s="26"/>
      <c r="I4684" s="26"/>
      <c r="J4684" s="26"/>
      <c r="K4684" s="26"/>
      <c r="L4684" s="26"/>
      <c r="M4684" s="26"/>
      <c r="N4684" s="26"/>
      <c r="O4684" s="14" t="str">
        <f>HYPERLINK("https://otsuka-europe-crm.veevavault.com/ui/#object/email_activity__v/V8C000000049568", "EN-002105953")</f>
        <v>EN-002105953</v>
      </c>
    </row>
    <row r="4685" spans="1:15" ht="16" x14ac:dyDescent="0.2">
      <c r="A4685" s="26"/>
      <c r="B4685" s="26"/>
      <c r="C4685" s="26"/>
      <c r="D4685" s="26"/>
      <c r="E4685" s="26"/>
      <c r="F4685" s="26"/>
      <c r="G4685" s="26"/>
      <c r="H4685" s="26"/>
      <c r="I4685" s="26"/>
      <c r="J4685" s="26"/>
      <c r="K4685" s="26"/>
      <c r="L4685" s="26"/>
      <c r="M4685" s="26"/>
      <c r="N4685" s="26"/>
      <c r="O4685" s="14" t="str">
        <f>HYPERLINK("https://otsuka-europe-crm.veevavault.com/ui/#object/email_activity__v/V8C00000004A486", "EN-002105896")</f>
        <v>EN-002105896</v>
      </c>
    </row>
    <row r="4686" spans="1:15" ht="16" x14ac:dyDescent="0.2">
      <c r="A4686" s="26"/>
      <c r="B4686" s="26"/>
      <c r="C4686" s="26"/>
      <c r="D4686" s="26"/>
      <c r="E4686" s="26"/>
      <c r="F4686" s="26"/>
      <c r="G4686" s="26"/>
      <c r="H4686" s="26"/>
      <c r="I4686" s="26"/>
      <c r="J4686" s="26"/>
      <c r="K4686" s="26"/>
      <c r="L4686" s="26"/>
      <c r="M4686" s="26"/>
      <c r="N4686" s="26"/>
      <c r="O4686" s="14" t="str">
        <f>HYPERLINK("https://otsuka-europe-crm.veevavault.com/ui/#object/email_activity__v/V8C00000004A505", "EN-002105931")</f>
        <v>EN-002105931</v>
      </c>
    </row>
    <row r="4687" spans="1:15" ht="16" x14ac:dyDescent="0.2">
      <c r="A4687" s="26"/>
      <c r="B4687" s="26"/>
      <c r="C4687" s="26"/>
      <c r="D4687" s="26"/>
      <c r="E4687" s="26"/>
      <c r="F4687" s="26"/>
      <c r="G4687" s="26"/>
      <c r="H4687" s="26"/>
      <c r="I4687" s="26"/>
      <c r="J4687" s="26"/>
      <c r="K4687" s="26"/>
      <c r="L4687" s="26"/>
      <c r="M4687" s="26"/>
      <c r="N4687" s="26"/>
      <c r="O4687" s="14" t="str">
        <f>HYPERLINK("https://otsuka-europe-crm.veevavault.com/ui/#object/email_activity__v/V8C00000004A507", "EN-002105933")</f>
        <v>EN-002105933</v>
      </c>
    </row>
    <row r="4688" spans="1:15" ht="16" x14ac:dyDescent="0.2">
      <c r="A4688" s="26"/>
      <c r="B4688" s="26"/>
      <c r="C4688" s="26"/>
      <c r="D4688" s="26"/>
      <c r="E4688" s="26"/>
      <c r="F4688" s="26"/>
      <c r="G4688" s="26"/>
      <c r="H4688" s="26"/>
      <c r="I4688" s="26"/>
      <c r="J4688" s="26"/>
      <c r="K4688" s="26"/>
      <c r="L4688" s="26"/>
      <c r="M4688" s="26"/>
      <c r="N4688" s="26"/>
      <c r="O4688" s="14" t="str">
        <f>HYPERLINK("https://otsuka-europe-crm.veevavault.com/ui/#object/email_activity__v/V8C00000004A670", "EN-002106260")</f>
        <v>EN-002106260</v>
      </c>
    </row>
    <row r="4689" spans="1:15" ht="16" x14ac:dyDescent="0.2">
      <c r="A4689" s="19"/>
      <c r="B4689" s="19"/>
      <c r="C4689" s="19"/>
      <c r="D4689" s="19"/>
      <c r="E4689" s="19"/>
      <c r="F4689" s="19"/>
      <c r="G4689" s="19"/>
      <c r="H4689" s="19"/>
      <c r="I4689" s="19"/>
      <c r="J4689" s="19"/>
      <c r="K4689" s="19"/>
      <c r="L4689" s="19"/>
      <c r="M4689" s="19"/>
      <c r="N4689" s="19"/>
      <c r="O4689" s="14" t="str">
        <f>HYPERLINK("https://otsuka-europe-crm.veevavault.com/ui/#object/email_activity__v/V8C00000004E632", "EN-002109587")</f>
        <v>EN-002109587</v>
      </c>
    </row>
    <row r="4690" spans="1:15" ht="16" x14ac:dyDescent="0.2">
      <c r="A4690" s="18" t="str">
        <f>HYPERLINK("https://otsuka-europe-crm.veevavault.com/ui/#object/account__v/V4TZ06G6O71T8LV", "EVA MARIA RODRIGUEZ SANCHEZ")</f>
        <v>EVA MARIA RODRIGUEZ SANCHEZ</v>
      </c>
      <c r="B4690" s="18" t="str">
        <f>HYPERLINK("https://otsuka-europe-crm.veevavault.com/ui/#object/vcountry__v/VENZ000004SONF5", "ES")</f>
        <v>ES</v>
      </c>
      <c r="C4690" s="20" t="s">
        <v>39</v>
      </c>
      <c r="D4690" s="21" t="str">
        <f>HYPERLINK("https://otsuka-europe-crm.veevavault.com/ui/#object/approved_document__v/V5O00000001R002", "Programa X Jornada UHB")</f>
        <v>Programa X Jornada UHB</v>
      </c>
      <c r="E4690" s="22" t="str">
        <f>HYPERLINK("https://otsuka-europe-crm.veevavault.com/ui/#object/sent_email__v/VBL000000037264", "SE-001443942")</f>
        <v>SE-001443942</v>
      </c>
      <c r="F4690" s="25">
        <v>46217.567939814813</v>
      </c>
      <c r="G4690" s="24">
        <v>1</v>
      </c>
      <c r="H4690" s="24">
        <v>2</v>
      </c>
      <c r="I4690" s="24">
        <v>1</v>
      </c>
      <c r="J4690" s="25">
        <v>46217.578761574077</v>
      </c>
      <c r="K4690" s="24">
        <v>1</v>
      </c>
      <c r="L4690" s="22" t="str">
        <f>HYPERLINK("https://otsuka-europe-crm.veevavault.com/ui/#object/approved_document__v/V5O00000001R002", "Programa X Jornada UHB")</f>
        <v>Programa X Jornada UHB</v>
      </c>
      <c r="M4690" s="22" t="str">
        <f>HYPERLINK("mailto:oestevez@crm.otsuka-europe.com", "oestevez@crm.otsuka-europe.com")</f>
        <v>oestevez@crm.otsuka-europe.com</v>
      </c>
      <c r="N4690" s="25">
        <v>46217.494571759256</v>
      </c>
      <c r="O4690" s="14" t="str">
        <f>HYPERLINK("https://otsuka-europe-crm.veevavault.com/ui/#object/email_activity__v/V8C000000049546", "EN-002105904")</f>
        <v>EN-002105904</v>
      </c>
    </row>
    <row r="4691" spans="1:15" ht="16" x14ac:dyDescent="0.2">
      <c r="A4691" s="26"/>
      <c r="B4691" s="26"/>
      <c r="C4691" s="26"/>
      <c r="D4691" s="26"/>
      <c r="E4691" s="26"/>
      <c r="F4691" s="26"/>
      <c r="G4691" s="26"/>
      <c r="H4691" s="26"/>
      <c r="I4691" s="26"/>
      <c r="J4691" s="26"/>
      <c r="K4691" s="26"/>
      <c r="L4691" s="26"/>
      <c r="M4691" s="26"/>
      <c r="N4691" s="26"/>
      <c r="O4691" s="14" t="str">
        <f>HYPERLINK("https://otsuka-europe-crm.veevavault.com/ui/#object/email_activity__v/V8C000000049571", "EN-002105956")</f>
        <v>EN-002105956</v>
      </c>
    </row>
    <row r="4692" spans="1:15" ht="16" x14ac:dyDescent="0.2">
      <c r="A4692" s="26"/>
      <c r="B4692" s="26"/>
      <c r="C4692" s="26"/>
      <c r="D4692" s="26"/>
      <c r="E4692" s="26"/>
      <c r="F4692" s="26"/>
      <c r="G4692" s="26"/>
      <c r="H4692" s="26"/>
      <c r="I4692" s="26"/>
      <c r="J4692" s="26"/>
      <c r="K4692" s="26"/>
      <c r="L4692" s="26"/>
      <c r="M4692" s="26"/>
      <c r="N4692" s="26"/>
      <c r="O4692" s="14" t="str">
        <f>HYPERLINK("https://otsuka-europe-crm.veevavault.com/ui/#object/email_activity__v/V8C000000049683", "EN-002106185")</f>
        <v>EN-002106185</v>
      </c>
    </row>
    <row r="4693" spans="1:15" ht="16" x14ac:dyDescent="0.2">
      <c r="A4693" s="26"/>
      <c r="B4693" s="26"/>
      <c r="C4693" s="26"/>
      <c r="D4693" s="26"/>
      <c r="E4693" s="26"/>
      <c r="F4693" s="26"/>
      <c r="G4693" s="26"/>
      <c r="H4693" s="26"/>
      <c r="I4693" s="26"/>
      <c r="J4693" s="26"/>
      <c r="K4693" s="26"/>
      <c r="L4693" s="26"/>
      <c r="M4693" s="26"/>
      <c r="N4693" s="26"/>
      <c r="O4693" s="14" t="str">
        <f>HYPERLINK("https://otsuka-europe-crm.veevavault.com/ui/#object/email_activity__v/V8C00000004A520", "EN-002105957")</f>
        <v>EN-002105957</v>
      </c>
    </row>
    <row r="4694" spans="1:15" ht="16" x14ac:dyDescent="0.2">
      <c r="A4694" s="26"/>
      <c r="B4694" s="26"/>
      <c r="C4694" s="26"/>
      <c r="D4694" s="26"/>
      <c r="E4694" s="26"/>
      <c r="F4694" s="26"/>
      <c r="G4694" s="26"/>
      <c r="H4694" s="26"/>
      <c r="I4694" s="26"/>
      <c r="J4694" s="26"/>
      <c r="K4694" s="26"/>
      <c r="L4694" s="26"/>
      <c r="M4694" s="26"/>
      <c r="N4694" s="26"/>
      <c r="O4694" s="14" t="str">
        <f>HYPERLINK("https://otsuka-europe-crm.veevavault.com/ui/#object/email_activity__v/V8C00000004A522", "EN-002105961")</f>
        <v>EN-002105961</v>
      </c>
    </row>
    <row r="4695" spans="1:15" ht="16" x14ac:dyDescent="0.2">
      <c r="A4695" s="26"/>
      <c r="B4695" s="26"/>
      <c r="C4695" s="26"/>
      <c r="D4695" s="26"/>
      <c r="E4695" s="26"/>
      <c r="F4695" s="26"/>
      <c r="G4695" s="26"/>
      <c r="H4695" s="26"/>
      <c r="I4695" s="26"/>
      <c r="J4695" s="26"/>
      <c r="K4695" s="26"/>
      <c r="L4695" s="26"/>
      <c r="M4695" s="26"/>
      <c r="N4695" s="26"/>
      <c r="O4695" s="14" t="str">
        <f>HYPERLINK("https://otsuka-europe-crm.veevavault.com/ui/#object/email_activity__v/V8C00000004A525", "EN-002105966")</f>
        <v>EN-002105966</v>
      </c>
    </row>
    <row r="4696" spans="1:15" ht="16" x14ac:dyDescent="0.2">
      <c r="A4696" s="19"/>
      <c r="B4696" s="19"/>
      <c r="C4696" s="19"/>
      <c r="D4696" s="19"/>
      <c r="E4696" s="19"/>
      <c r="F4696" s="19"/>
      <c r="G4696" s="19"/>
      <c r="H4696" s="19"/>
      <c r="I4696" s="19"/>
      <c r="J4696" s="19"/>
      <c r="K4696" s="19"/>
      <c r="L4696" s="19"/>
      <c r="M4696" s="19"/>
      <c r="N4696" s="19"/>
      <c r="O4696" s="14" t="str">
        <f>HYPERLINK("https://otsuka-europe-crm.veevavault.com/ui/#object/email_activity__v/V8C00000004C069", "EN-002106892")</f>
        <v>EN-002106892</v>
      </c>
    </row>
    <row r="4697" spans="1:15" ht="16" x14ac:dyDescent="0.2">
      <c r="A4697" s="18" t="str">
        <f>HYPERLINK("https://otsuka-europe-crm.veevavault.com/ui/#object/account__v/V4TZ06G6O71T7NS", "IDIR MESIAN PEREZ")</f>
        <v>IDIR MESIAN PEREZ</v>
      </c>
      <c r="B4697" s="18" t="str">
        <f>HYPERLINK("https://otsuka-europe-crm.veevavault.com/ui/#object/vcountry__v/VENZ000004SONF5", "ES")</f>
        <v>ES</v>
      </c>
      <c r="C4697" s="20" t="s">
        <v>39</v>
      </c>
      <c r="D4697" s="21" t="str">
        <f>HYPERLINK("https://otsuka-europe-crm.veevavault.com/ui/#object/approved_document__v/V5O00000001R002", "Programa X Jornada UHB")</f>
        <v>Programa X Jornada UHB</v>
      </c>
      <c r="E4697" s="22" t="str">
        <f>HYPERLINK("https://otsuka-europe-crm.veevavault.com/ui/#object/sent_email__v/VBL000000038190", "SE-001443943")</f>
        <v>SE-001443943</v>
      </c>
      <c r="F4697" s="25">
        <v>46234.411874999998</v>
      </c>
      <c r="G4697" s="24">
        <v>1</v>
      </c>
      <c r="H4697" s="24">
        <v>9</v>
      </c>
      <c r="I4697" s="24">
        <v>1</v>
      </c>
      <c r="J4697" s="25">
        <v>46234.411956018521</v>
      </c>
      <c r="K4697" s="24">
        <v>3</v>
      </c>
      <c r="L4697" s="22" t="str">
        <f>HYPERLINK("https://otsuka-europe-crm.veevavault.com/ui/#object/approved_document__v/V5O00000001R002", "Programa X Jornada UHB")</f>
        <v>Programa X Jornada UHB</v>
      </c>
      <c r="M4697" s="22" t="str">
        <f>HYPERLINK("mailto:oestevez@crm.otsuka-europe.com", "oestevez@crm.otsuka-europe.com")</f>
        <v>oestevez@crm.otsuka-europe.com</v>
      </c>
      <c r="N4697" s="25">
        <v>46217.495381944442</v>
      </c>
      <c r="O4697" s="14" t="str">
        <f>HYPERLINK("https://otsuka-europe-crm.veevavault.com/ui/#object/email_activity__v/V8C000000049579", "EN-002105976")</f>
        <v>EN-002105976</v>
      </c>
    </row>
    <row r="4698" spans="1:15" ht="16" x14ac:dyDescent="0.2">
      <c r="A4698" s="26"/>
      <c r="B4698" s="26"/>
      <c r="C4698" s="26"/>
      <c r="D4698" s="26"/>
      <c r="E4698" s="26"/>
      <c r="F4698" s="26"/>
      <c r="G4698" s="26"/>
      <c r="H4698" s="26"/>
      <c r="I4698" s="26"/>
      <c r="J4698" s="26"/>
      <c r="K4698" s="26"/>
      <c r="L4698" s="26"/>
      <c r="M4698" s="26"/>
      <c r="N4698" s="26"/>
      <c r="O4698" s="14" t="str">
        <f>HYPERLINK("https://otsuka-europe-crm.veevavault.com/ui/#object/email_activity__v/V8C000000049580", "EN-002105979")</f>
        <v>EN-002105979</v>
      </c>
    </row>
    <row r="4699" spans="1:15" ht="16" x14ac:dyDescent="0.2">
      <c r="A4699" s="26"/>
      <c r="B4699" s="26"/>
      <c r="C4699" s="26"/>
      <c r="D4699" s="26"/>
      <c r="E4699" s="26"/>
      <c r="F4699" s="26"/>
      <c r="G4699" s="26"/>
      <c r="H4699" s="26"/>
      <c r="I4699" s="26"/>
      <c r="J4699" s="26"/>
      <c r="K4699" s="26"/>
      <c r="L4699" s="26"/>
      <c r="M4699" s="26"/>
      <c r="N4699" s="26"/>
      <c r="O4699" s="14" t="str">
        <f>HYPERLINK("https://otsuka-europe-crm.veevavault.com/ui/#object/email_activity__v/V8C000000049581", "EN-002105977")</f>
        <v>EN-002105977</v>
      </c>
    </row>
    <row r="4700" spans="1:15" ht="16" x14ac:dyDescent="0.2">
      <c r="A4700" s="26"/>
      <c r="B4700" s="26"/>
      <c r="C4700" s="26"/>
      <c r="D4700" s="26"/>
      <c r="E4700" s="26"/>
      <c r="F4700" s="26"/>
      <c r="G4700" s="26"/>
      <c r="H4700" s="26"/>
      <c r="I4700" s="26"/>
      <c r="J4700" s="26"/>
      <c r="K4700" s="26"/>
      <c r="L4700" s="26"/>
      <c r="M4700" s="26"/>
      <c r="N4700" s="26"/>
      <c r="O4700" s="14" t="str">
        <f>HYPERLINK("https://otsuka-europe-crm.veevavault.com/ui/#object/email_activity__v/V8C000000049582", "EN-002105980")</f>
        <v>EN-002105980</v>
      </c>
    </row>
    <row r="4701" spans="1:15" ht="16" x14ac:dyDescent="0.2">
      <c r="A4701" s="26"/>
      <c r="B4701" s="26"/>
      <c r="C4701" s="26"/>
      <c r="D4701" s="26"/>
      <c r="E4701" s="26"/>
      <c r="F4701" s="26"/>
      <c r="G4701" s="26"/>
      <c r="H4701" s="26"/>
      <c r="I4701" s="26"/>
      <c r="J4701" s="26"/>
      <c r="K4701" s="26"/>
      <c r="L4701" s="26"/>
      <c r="M4701" s="26"/>
      <c r="N4701" s="26"/>
      <c r="O4701" s="14" t="str">
        <f>HYPERLINK("https://otsuka-europe-crm.veevavault.com/ui/#object/email_activity__v/V8C00000004A496", "EN-002105910")</f>
        <v>EN-002105910</v>
      </c>
    </row>
    <row r="4702" spans="1:15" ht="16" x14ac:dyDescent="0.2">
      <c r="A4702" s="26"/>
      <c r="B4702" s="26"/>
      <c r="C4702" s="26"/>
      <c r="D4702" s="26"/>
      <c r="E4702" s="26"/>
      <c r="F4702" s="26"/>
      <c r="G4702" s="26"/>
      <c r="H4702" s="26"/>
      <c r="I4702" s="26"/>
      <c r="J4702" s="26"/>
      <c r="K4702" s="26"/>
      <c r="L4702" s="26"/>
      <c r="M4702" s="26"/>
      <c r="N4702" s="26"/>
      <c r="O4702" s="14" t="str">
        <f>HYPERLINK("https://otsuka-europe-crm.veevavault.com/ui/#object/email_activity__v/V8C00000004A532", "EN-002105978")</f>
        <v>EN-002105978</v>
      </c>
    </row>
    <row r="4703" spans="1:15" ht="16" x14ac:dyDescent="0.2">
      <c r="A4703" s="26"/>
      <c r="B4703" s="26"/>
      <c r="C4703" s="26"/>
      <c r="D4703" s="26"/>
      <c r="E4703" s="26"/>
      <c r="F4703" s="26"/>
      <c r="G4703" s="26"/>
      <c r="H4703" s="26"/>
      <c r="I4703" s="26"/>
      <c r="J4703" s="26"/>
      <c r="K4703" s="26"/>
      <c r="L4703" s="26"/>
      <c r="M4703" s="26"/>
      <c r="N4703" s="26"/>
      <c r="O4703" s="14" t="str">
        <f>HYPERLINK("https://otsuka-europe-crm.veevavault.com/ui/#object/email_activity__v/V8C00000004A617", "EN-002106142")</f>
        <v>EN-002106142</v>
      </c>
    </row>
    <row r="4704" spans="1:15" ht="16" x14ac:dyDescent="0.2">
      <c r="A4704" s="26"/>
      <c r="B4704" s="26"/>
      <c r="C4704" s="26"/>
      <c r="D4704" s="26"/>
      <c r="E4704" s="26"/>
      <c r="F4704" s="26"/>
      <c r="G4704" s="26"/>
      <c r="H4704" s="26"/>
      <c r="I4704" s="26"/>
      <c r="J4704" s="26"/>
      <c r="K4704" s="26"/>
      <c r="L4704" s="26"/>
      <c r="M4704" s="26"/>
      <c r="N4704" s="26"/>
      <c r="O4704" s="14" t="str">
        <f>HYPERLINK("https://otsuka-europe-crm.veevavault.com/ui/#object/email_activity__v/V8C00000004B004", "EN-002106733")</f>
        <v>EN-002106733</v>
      </c>
    </row>
    <row r="4705" spans="1:15" ht="16" x14ac:dyDescent="0.2">
      <c r="A4705" s="26"/>
      <c r="B4705" s="26"/>
      <c r="C4705" s="26"/>
      <c r="D4705" s="26"/>
      <c r="E4705" s="26"/>
      <c r="F4705" s="26"/>
      <c r="G4705" s="26"/>
      <c r="H4705" s="26"/>
      <c r="I4705" s="26"/>
      <c r="J4705" s="26"/>
      <c r="K4705" s="26"/>
      <c r="L4705" s="26"/>
      <c r="M4705" s="26"/>
      <c r="N4705" s="26"/>
      <c r="O4705" s="14" t="str">
        <f>HYPERLINK("https://otsuka-europe-crm.veevavault.com/ui/#object/email_activity__v/V8C00000004B060", "EN-002106837")</f>
        <v>EN-002106837</v>
      </c>
    </row>
    <row r="4706" spans="1:15" ht="16" x14ac:dyDescent="0.2">
      <c r="A4706" s="26"/>
      <c r="B4706" s="26"/>
      <c r="C4706" s="26"/>
      <c r="D4706" s="26"/>
      <c r="E4706" s="26"/>
      <c r="F4706" s="26"/>
      <c r="G4706" s="26"/>
      <c r="H4706" s="26"/>
      <c r="I4706" s="26"/>
      <c r="J4706" s="26"/>
      <c r="K4706" s="26"/>
      <c r="L4706" s="26"/>
      <c r="M4706" s="26"/>
      <c r="N4706" s="26"/>
      <c r="O4706" s="14" t="str">
        <f>HYPERLINK("https://otsuka-europe-crm.veevavault.com/ui/#object/email_activity__v/V8C00000004C050", "EN-002106840")</f>
        <v>EN-002106840</v>
      </c>
    </row>
    <row r="4707" spans="1:15" ht="16" x14ac:dyDescent="0.2">
      <c r="A4707" s="26"/>
      <c r="B4707" s="26"/>
      <c r="C4707" s="26"/>
      <c r="D4707" s="26"/>
      <c r="E4707" s="26"/>
      <c r="F4707" s="26"/>
      <c r="G4707" s="26"/>
      <c r="H4707" s="26"/>
      <c r="I4707" s="26"/>
      <c r="J4707" s="26"/>
      <c r="K4707" s="26"/>
      <c r="L4707" s="26"/>
      <c r="M4707" s="26"/>
      <c r="N4707" s="26"/>
      <c r="O4707" s="14" t="str">
        <f>HYPERLINK("https://otsuka-europe-crm.veevavault.com/ui/#object/email_activity__v/V8C00000004F133", "EN-002110070")</f>
        <v>EN-002110070</v>
      </c>
    </row>
    <row r="4708" spans="1:15" ht="16" x14ac:dyDescent="0.2">
      <c r="A4708" s="26"/>
      <c r="B4708" s="26"/>
      <c r="C4708" s="26"/>
      <c r="D4708" s="26"/>
      <c r="E4708" s="26"/>
      <c r="F4708" s="26"/>
      <c r="G4708" s="26"/>
      <c r="H4708" s="26"/>
      <c r="I4708" s="26"/>
      <c r="J4708" s="26"/>
      <c r="K4708" s="26"/>
      <c r="L4708" s="26"/>
      <c r="M4708" s="26"/>
      <c r="N4708" s="26"/>
      <c r="O4708" s="14" t="str">
        <f>HYPERLINK("https://otsuka-europe-crm.veevavault.com/ui/#object/email_activity__v/V8C00000004F135", "EN-002110072")</f>
        <v>EN-002110072</v>
      </c>
    </row>
    <row r="4709" spans="1:15" ht="16" x14ac:dyDescent="0.2">
      <c r="A4709" s="26"/>
      <c r="B4709" s="26"/>
      <c r="C4709" s="26"/>
      <c r="D4709" s="26"/>
      <c r="E4709" s="26"/>
      <c r="F4709" s="26"/>
      <c r="G4709" s="26"/>
      <c r="H4709" s="26"/>
      <c r="I4709" s="26"/>
      <c r="J4709" s="26"/>
      <c r="K4709" s="26"/>
      <c r="L4709" s="26"/>
      <c r="M4709" s="26"/>
      <c r="N4709" s="26"/>
      <c r="O4709" s="14" t="str">
        <f>HYPERLINK("https://otsuka-europe-crm.veevavault.com/ui/#object/email_activity__v/V8C00000004G152", "EN-002110073")</f>
        <v>EN-002110073</v>
      </c>
    </row>
    <row r="4710" spans="1:15" ht="16" x14ac:dyDescent="0.2">
      <c r="A4710" s="26"/>
      <c r="B4710" s="26"/>
      <c r="C4710" s="26"/>
      <c r="D4710" s="26"/>
      <c r="E4710" s="26"/>
      <c r="F4710" s="26"/>
      <c r="G4710" s="26"/>
      <c r="H4710" s="26"/>
      <c r="I4710" s="26"/>
      <c r="J4710" s="26"/>
      <c r="K4710" s="26"/>
      <c r="L4710" s="26"/>
      <c r="M4710" s="26"/>
      <c r="N4710" s="26"/>
      <c r="O4710" s="14" t="str">
        <f>HYPERLINK("https://otsuka-europe-crm.veevavault.com/ui/#object/email_activity__v/V8C00000004G153", "EN-002110075")</f>
        <v>EN-002110075</v>
      </c>
    </row>
    <row r="4711" spans="1:15" ht="16" x14ac:dyDescent="0.2">
      <c r="A4711" s="26"/>
      <c r="B4711" s="26"/>
      <c r="C4711" s="26"/>
      <c r="D4711" s="26"/>
      <c r="E4711" s="26"/>
      <c r="F4711" s="26"/>
      <c r="G4711" s="26"/>
      <c r="H4711" s="26"/>
      <c r="I4711" s="26"/>
      <c r="J4711" s="26"/>
      <c r="K4711" s="26"/>
      <c r="L4711" s="26"/>
      <c r="M4711" s="26"/>
      <c r="N4711" s="26"/>
      <c r="O4711" s="14" t="str">
        <f>HYPERLINK("https://otsuka-europe-crm.veevavault.com/ui/#object/email_activity__v/V8C00000004G187", "EN-002110141")</f>
        <v>EN-002110141</v>
      </c>
    </row>
    <row r="4712" spans="1:15" ht="16" x14ac:dyDescent="0.2">
      <c r="A4712" s="19"/>
      <c r="B4712" s="19"/>
      <c r="C4712" s="19"/>
      <c r="D4712" s="19"/>
      <c r="E4712" s="19"/>
      <c r="F4712" s="19"/>
      <c r="G4712" s="19"/>
      <c r="H4712" s="19"/>
      <c r="I4712" s="19"/>
      <c r="J4712" s="19"/>
      <c r="K4712" s="19"/>
      <c r="L4712" s="19"/>
      <c r="M4712" s="19"/>
      <c r="N4712" s="19"/>
      <c r="O4712" s="14" t="str">
        <f>HYPERLINK("https://otsuka-europe-crm.veevavault.com/ui/#object/email_activity__v/V8C00000004G189", "EN-002110143")</f>
        <v>EN-002110143</v>
      </c>
    </row>
    <row r="4713" spans="1:15" ht="16" x14ac:dyDescent="0.2">
      <c r="A4713" s="18" t="str">
        <f>HYPERLINK("https://otsuka-europe-crm.veevavault.com/ui/#object/account__v/V4TZ06G6O71TBKN", "MARIA ROSARIO PEREZ MORENO")</f>
        <v>MARIA ROSARIO PEREZ MORENO</v>
      </c>
      <c r="B4713" s="18" t="str">
        <f>HYPERLINK("https://otsuka-europe-crm.veevavault.com/ui/#object/vcountry__v/VENZ000004SONF5", "ES")</f>
        <v>ES</v>
      </c>
      <c r="C4713" s="20" t="s">
        <v>39</v>
      </c>
      <c r="D4713" s="21" t="str">
        <f>HYPERLINK("https://otsuka-europe-crm.veevavault.com/ui/#object/approved_document__v/V5O00000001R002", "Programa X Jornada UHB")</f>
        <v>Programa X Jornada UHB</v>
      </c>
      <c r="E4713" s="22" t="str">
        <f>HYPERLINK("https://otsuka-europe-crm.veevavault.com/ui/#object/sent_email__v/VBL000000038191", "SE-001443944")</f>
        <v>SE-001443944</v>
      </c>
      <c r="F4713" s="25">
        <v>46218.010636574072</v>
      </c>
      <c r="G4713" s="24">
        <v>1</v>
      </c>
      <c r="H4713" s="24">
        <v>1</v>
      </c>
      <c r="I4713" s="24">
        <v>0</v>
      </c>
      <c r="J4713" s="23"/>
      <c r="K4713" s="24">
        <v>0</v>
      </c>
      <c r="L4713" s="22" t="str">
        <f>HYPERLINK("https://otsuka-europe-crm.veevavault.com/ui/#object/approved_document__v/V5O00000001R002", "Programa X Jornada UHB")</f>
        <v>Programa X Jornada UHB</v>
      </c>
      <c r="M4713" s="22" t="str">
        <f>HYPERLINK("mailto:oestevez@crm.otsuka-europe.com", "oestevez@crm.otsuka-europe.com")</f>
        <v>oestevez@crm.otsuka-europe.com</v>
      </c>
      <c r="N4713" s="25">
        <v>46217.49590277778</v>
      </c>
      <c r="O4713" s="14" t="str">
        <f>HYPERLINK("https://otsuka-europe-crm.veevavault.com/ui/#object/email_activity__v/V8C000000049684", "EN-002106186")</f>
        <v>EN-002106186</v>
      </c>
    </row>
    <row r="4714" spans="1:15" ht="16" x14ac:dyDescent="0.2">
      <c r="A4714" s="26"/>
      <c r="B4714" s="26"/>
      <c r="C4714" s="26"/>
      <c r="D4714" s="26"/>
      <c r="E4714" s="26"/>
      <c r="F4714" s="26"/>
      <c r="G4714" s="26"/>
      <c r="H4714" s="26"/>
      <c r="I4714" s="26"/>
      <c r="J4714" s="26"/>
      <c r="K4714" s="26"/>
      <c r="L4714" s="26"/>
      <c r="M4714" s="26"/>
      <c r="N4714" s="26"/>
      <c r="O4714" s="14" t="str">
        <f>HYPERLINK("https://otsuka-europe-crm.veevavault.com/ui/#object/email_activity__v/V8C000000049912", "EN-002106696")</f>
        <v>EN-002106696</v>
      </c>
    </row>
    <row r="4715" spans="1:15" ht="16" x14ac:dyDescent="0.2">
      <c r="A4715" s="19"/>
      <c r="B4715" s="19"/>
      <c r="C4715" s="19"/>
      <c r="D4715" s="19"/>
      <c r="E4715" s="19"/>
      <c r="F4715" s="19"/>
      <c r="G4715" s="19"/>
      <c r="H4715" s="19"/>
      <c r="I4715" s="19"/>
      <c r="J4715" s="19"/>
      <c r="K4715" s="19"/>
      <c r="L4715" s="19"/>
      <c r="M4715" s="19"/>
      <c r="N4715" s="19"/>
      <c r="O4715" s="14" t="str">
        <f>HYPERLINK("https://otsuka-europe-crm.veevavault.com/ui/#object/email_activity__v/V8C00000004A497", "EN-002105911")</f>
        <v>EN-002105911</v>
      </c>
    </row>
    <row r="4716" spans="1:15" ht="32" x14ac:dyDescent="0.2">
      <c r="A4716" s="7" t="str">
        <f>HYPERLINK("https://otsuka-europe-crm.veevavault.com/ui/#object/account__v/V4TZ025E845HXNL", "CATERINA BIAGIOTTI")</f>
        <v>CATERINA BIAGIOTTI</v>
      </c>
      <c r="B4716" s="7" t="str">
        <f>HYPERLINK("https://otsuka-europe-crm.veevavault.com/ui/#object/vcountry__v/VENZ000004SONFQ", "IT")</f>
        <v>IT</v>
      </c>
      <c r="C4716" s="8" t="s">
        <v>42</v>
      </c>
      <c r="D4716" s="9" t="str">
        <f>HYPERLINK("https://otsuka-europe-crm.veevavault.com/ui/#object/approved_document__v/V5OZ025E82TDS3E", "AE Indipendenza dal supporto Trasfusionale")</f>
        <v>AE Indipendenza dal supporto Trasfusionale</v>
      </c>
      <c r="E4716" s="10" t="str">
        <f>HYPERLINK("https://otsuka-europe-crm.veevavault.com/ui/#object/sent_email__v/VBL000000038192", "SE-001443945")</f>
        <v>SE-001443945</v>
      </c>
      <c r="F4716" s="11"/>
      <c r="G4716" s="12">
        <v>0</v>
      </c>
      <c r="H4716" s="12">
        <v>0</v>
      </c>
      <c r="I4716" s="12">
        <v>0</v>
      </c>
      <c r="J4716" s="11"/>
      <c r="K4716" s="12">
        <v>0</v>
      </c>
      <c r="L4716" s="10" t="str">
        <f>HYPERLINK("https://otsuka-europe-crm.veevavault.com/ui/#object/approved_document__v/V5OZ025E82TDS3E", "AE Indipendenza dal supporto Trasfusionale")</f>
        <v>AE Indipendenza dal supporto Trasfusionale</v>
      </c>
      <c r="M4716" s="10" t="str">
        <f>HYPERLINK("mailto:valerio.iannarilli@crm.otsuka-europe.com", "valerio.iannarilli@crm.otsuka-europe.com")</f>
        <v>valerio.iannarilli@crm.otsuka-europe.com</v>
      </c>
      <c r="N4716" s="13">
        <v>46217.497291666667</v>
      </c>
      <c r="O4716" s="14" t="str">
        <f>HYPERLINK("https://otsuka-europe-crm.veevavault.com/ui/#object/email_activity__v/V8C00000004A504", "EN-002105925")</f>
        <v>EN-002105925</v>
      </c>
    </row>
    <row r="4717" spans="1:15" ht="32" x14ac:dyDescent="0.2">
      <c r="A4717" s="7" t="str">
        <f>HYPERLINK("https://otsuka-europe-crm.veevavault.com/ui/#object/account__v/V4TZ025E85I2PLH", "DEBORA CAPELLI")</f>
        <v>DEBORA CAPELLI</v>
      </c>
      <c r="B4717" s="7" t="str">
        <f>HYPERLINK("https://otsuka-europe-crm.veevavault.com/ui/#object/vcountry__v/VENZ000004SONFQ", "IT")</f>
        <v>IT</v>
      </c>
      <c r="C4717" s="8" t="s">
        <v>42</v>
      </c>
      <c r="D4717" s="9" t="str">
        <f>HYPERLINK("https://otsuka-europe-crm.veevavault.com/ui/#object/approved_document__v/V5OZ06G6O6RG2EW", "IT Veeva Double Opt-In Market Research")</f>
        <v>IT Veeva Double Opt-In Market Research</v>
      </c>
      <c r="E4717" s="10" t="str">
        <f>HYPERLINK("https://otsuka-europe-crm.veevavault.com/ui/#object/sent_email__v/VBL000000037266", "SE-001443948")</f>
        <v>SE-001443948</v>
      </c>
      <c r="F4717" s="11"/>
      <c r="G4717" s="12">
        <v>0</v>
      </c>
      <c r="H4717" s="12">
        <v>0</v>
      </c>
      <c r="I4717" s="12">
        <v>0</v>
      </c>
      <c r="J4717" s="11"/>
      <c r="K4717" s="12">
        <v>0</v>
      </c>
      <c r="L4717" s="10" t="str">
        <f>HYPERLINK("https://otsuka-europe-crm.veevavault.com/ui/#object/approved_document__v/V5OZ06G6O6RG2EW", "IT Veeva Double Opt-In Market Research")</f>
        <v>IT Veeva Double Opt-In Market Research</v>
      </c>
      <c r="M4717" s="10" t="str">
        <f>HYPERLINK("mailto:valerio.iannarilli@crm.otsuka-europe.com", "valerio.iannarilli@crm.otsuka-europe.com")</f>
        <v>valerio.iannarilli@crm.otsuka-europe.com</v>
      </c>
      <c r="N4717" s="13">
        <v>46217.498391203706</v>
      </c>
      <c r="O4717" s="14" t="str">
        <f>HYPERLINK("https://otsuka-europe-crm.veevavault.com/ui/#object/email_activity__v/V8C000000049553", "EN-002105917")</f>
        <v>EN-002105917</v>
      </c>
    </row>
    <row r="4718" spans="1:15" ht="32" x14ac:dyDescent="0.2">
      <c r="A4718" s="7" t="str">
        <f>HYPERLINK("https://otsuka-europe-crm.veevavault.com/ui/#object/account__v/V4TZ025E845J96R", "ENRICO CAPOCHIANI")</f>
        <v>ENRICO CAPOCHIANI</v>
      </c>
      <c r="B4718" s="7" t="str">
        <f>HYPERLINK("https://otsuka-europe-crm.veevavault.com/ui/#object/vcountry__v/VENZ000004SONFQ", "IT")</f>
        <v>IT</v>
      </c>
      <c r="C4718" s="8" t="s">
        <v>42</v>
      </c>
      <c r="D4718" s="9" t="str">
        <f>HYPERLINK("https://otsuka-europe-crm.veevavault.com/ui/#object/approved_document__v/V5OZ025E82TDS3D", "AE Il ruolo del caregiver")</f>
        <v>AE Il ruolo del caregiver</v>
      </c>
      <c r="E4718" s="10" t="str">
        <f>HYPERLINK("https://otsuka-europe-crm.veevavault.com/ui/#object/sent_email__v/VBL000000037269", "SE-001443951")</f>
        <v>SE-001443951</v>
      </c>
      <c r="F4718" s="11"/>
      <c r="G4718" s="12">
        <v>0</v>
      </c>
      <c r="H4718" s="12">
        <v>0</v>
      </c>
      <c r="I4718" s="12">
        <v>0</v>
      </c>
      <c r="J4718" s="11"/>
      <c r="K4718" s="12">
        <v>0</v>
      </c>
      <c r="L4718" s="10" t="str">
        <f>HYPERLINK("https://otsuka-europe-crm.veevavault.com/ui/#object/approved_document__v/V5OZ025E82TDS3D", "AE Il ruolo del caregiver")</f>
        <v>AE Il ruolo del caregiver</v>
      </c>
      <c r="M4718" s="10" t="str">
        <f>HYPERLINK("mailto:valerio.iannarilli@crm.otsuka-europe.com", "valerio.iannarilli@crm.otsuka-europe.com")</f>
        <v>valerio.iannarilli@crm.otsuka-europe.com</v>
      </c>
      <c r="N4718" s="13">
        <v>46219.632106481484</v>
      </c>
      <c r="O4718" s="14" t="str">
        <f>HYPERLINK("https://otsuka-europe-crm.veevavault.com/ui/#object/email_activity__v/V8C000000049905", "EN-002106686")</f>
        <v>EN-002106686</v>
      </c>
    </row>
    <row r="4719" spans="1:15" ht="32" x14ac:dyDescent="0.2">
      <c r="A4719" s="7" t="str">
        <f>HYPERLINK("https://otsuka-europe-crm.veevavault.com/ui/#object/account__v/V4TZ025E84F1G62", "FRANCESCA CELESTI")</f>
        <v>FRANCESCA CELESTI</v>
      </c>
      <c r="B4719" s="7" t="str">
        <f>HYPERLINK("https://otsuka-europe-crm.veevavault.com/ui/#object/vcountry__v/VENZ000004SONFQ", "IT")</f>
        <v>IT</v>
      </c>
      <c r="C4719" s="8" t="s">
        <v>42</v>
      </c>
      <c r="D4719" s="9" t="str">
        <f>HYPERLINK("https://otsuka-europe-crm.veevavault.com/ui/#object/approved_document__v/V5OZ025E82TDS3D", "AE Il ruolo del caregiver")</f>
        <v>AE Il ruolo del caregiver</v>
      </c>
      <c r="E4719" s="10" t="str">
        <f>HYPERLINK("https://otsuka-europe-crm.veevavault.com/ui/#object/sent_email__v/VBL000000037271", "SE-001443954")</f>
        <v>SE-001443954</v>
      </c>
      <c r="F4719" s="11"/>
      <c r="G4719" s="12">
        <v>0</v>
      </c>
      <c r="H4719" s="12">
        <v>0</v>
      </c>
      <c r="I4719" s="12">
        <v>0</v>
      </c>
      <c r="J4719" s="11"/>
      <c r="K4719" s="12">
        <v>0</v>
      </c>
      <c r="L4719" s="10" t="str">
        <f>HYPERLINK("https://otsuka-europe-crm.veevavault.com/ui/#object/approved_document__v/V5OZ025E82TDS3D", "AE Il ruolo del caregiver")</f>
        <v>AE Il ruolo del caregiver</v>
      </c>
      <c r="M4719" s="10" t="str">
        <f>HYPERLINK("mailto:valerio.iannarilli@crm.otsuka-europe.com", "valerio.iannarilli@crm.otsuka-europe.com")</f>
        <v>valerio.iannarilli@crm.otsuka-europe.com</v>
      </c>
      <c r="N4719" s="13">
        <v>46218.465416666666</v>
      </c>
      <c r="O4719" s="14" t="str">
        <f>HYPERLINK("https://otsuka-europe-crm.veevavault.com/ui/#object/email_activity__v/V8C00000004A754", "EN-002106394")</f>
        <v>EN-002106394</v>
      </c>
    </row>
    <row r="4720" spans="1:15" ht="16" x14ac:dyDescent="0.2">
      <c r="A4720" s="18" t="str">
        <f>HYPERLINK("https://otsuka-europe-crm.veevavault.com/ui/#object/account__v/V4TZ025E83VMBQ6", "NATALIA CENFRA")</f>
        <v>NATALIA CENFRA</v>
      </c>
      <c r="B4720" s="18" t="str">
        <f>HYPERLINK("https://otsuka-europe-crm.veevavault.com/ui/#object/vcountry__v/VENZ000004SONFQ", "IT")</f>
        <v>IT</v>
      </c>
      <c r="C4720" s="20" t="s">
        <v>42</v>
      </c>
      <c r="D4720" s="21" t="str">
        <f>HYPERLINK("https://otsuka-europe-crm.veevavault.com/ui/#object/approved_document__v/V5OZ025E82ODFFA", "AE Riduzione del burden di trattamento")</f>
        <v>AE Riduzione del burden di trattamento</v>
      </c>
      <c r="E4720" s="22" t="str">
        <f>HYPERLINK("https://otsuka-europe-crm.veevavault.com/ui/#object/sent_email__v/VBL000000037272", "SE-001443955")</f>
        <v>SE-001443955</v>
      </c>
      <c r="F4720" s="25">
        <v>46219.558148148149</v>
      </c>
      <c r="G4720" s="24">
        <v>1</v>
      </c>
      <c r="H4720" s="24">
        <v>4</v>
      </c>
      <c r="I4720" s="24">
        <v>0</v>
      </c>
      <c r="J4720" s="23"/>
      <c r="K4720" s="24">
        <v>0</v>
      </c>
      <c r="L4720" s="22" t="str">
        <f>HYPERLINK("https://otsuka-europe-crm.veevavault.com/ui/#object/approved_document__v/V5OZ025E82ODFFA", "AE Riduzione del burden di trattamento")</f>
        <v>AE Riduzione del burden di trattamento</v>
      </c>
      <c r="M4720" s="22" t="str">
        <f>HYPERLINK("mailto:valerio.iannarilli@crm.otsuka-europe.com", "valerio.iannarilli@crm.otsuka-europe.com")</f>
        <v>valerio.iannarilli@crm.otsuka-europe.com</v>
      </c>
      <c r="N4720" s="25">
        <v>46217.499583333331</v>
      </c>
      <c r="O4720" s="14" t="str">
        <f>HYPERLINK("https://otsuka-europe-crm.veevavault.com/ui/#object/email_activity__v/V8C000000049559", "EN-002105929")</f>
        <v>EN-002105929</v>
      </c>
    </row>
    <row r="4721" spans="1:15" ht="16" x14ac:dyDescent="0.2">
      <c r="A4721" s="26"/>
      <c r="B4721" s="26"/>
      <c r="C4721" s="26"/>
      <c r="D4721" s="26"/>
      <c r="E4721" s="26"/>
      <c r="F4721" s="26"/>
      <c r="G4721" s="26"/>
      <c r="H4721" s="26"/>
      <c r="I4721" s="26"/>
      <c r="J4721" s="26"/>
      <c r="K4721" s="26"/>
      <c r="L4721" s="26"/>
      <c r="M4721" s="26"/>
      <c r="N4721" s="26"/>
      <c r="O4721" s="14" t="str">
        <f>HYPERLINK("https://otsuka-europe-crm.veevavault.com/ui/#object/email_activity__v/V8C000000049560", "EN-002105930")</f>
        <v>EN-002105930</v>
      </c>
    </row>
    <row r="4722" spans="1:15" ht="16" x14ac:dyDescent="0.2">
      <c r="A4722" s="26"/>
      <c r="B4722" s="26"/>
      <c r="C4722" s="26"/>
      <c r="D4722" s="26"/>
      <c r="E4722" s="26"/>
      <c r="F4722" s="26"/>
      <c r="G4722" s="26"/>
      <c r="H4722" s="26"/>
      <c r="I4722" s="26"/>
      <c r="J4722" s="26"/>
      <c r="K4722" s="26"/>
      <c r="L4722" s="26"/>
      <c r="M4722" s="26"/>
      <c r="N4722" s="26"/>
      <c r="O4722" s="14" t="str">
        <f>HYPERLINK("https://otsuka-europe-crm.veevavault.com/ui/#object/email_activity__v/V8C000000049572", "EN-002105958")</f>
        <v>EN-002105958</v>
      </c>
    </row>
    <row r="4723" spans="1:15" ht="16" x14ac:dyDescent="0.2">
      <c r="A4723" s="26"/>
      <c r="B4723" s="26"/>
      <c r="C4723" s="26"/>
      <c r="D4723" s="26"/>
      <c r="E4723" s="26"/>
      <c r="F4723" s="26"/>
      <c r="G4723" s="26"/>
      <c r="H4723" s="26"/>
      <c r="I4723" s="26"/>
      <c r="J4723" s="26"/>
      <c r="K4723" s="26"/>
      <c r="L4723" s="26"/>
      <c r="M4723" s="26"/>
      <c r="N4723" s="26"/>
      <c r="O4723" s="14" t="str">
        <f>HYPERLINK("https://otsuka-europe-crm.veevavault.com/ui/#object/email_activity__v/V8C000000049892", "EN-002106654")</f>
        <v>EN-002106654</v>
      </c>
    </row>
    <row r="4724" spans="1:15" ht="16" x14ac:dyDescent="0.2">
      <c r="A4724" s="19"/>
      <c r="B4724" s="19"/>
      <c r="C4724" s="19"/>
      <c r="D4724" s="19"/>
      <c r="E4724" s="19"/>
      <c r="F4724" s="19"/>
      <c r="G4724" s="19"/>
      <c r="H4724" s="19"/>
      <c r="I4724" s="19"/>
      <c r="J4724" s="19"/>
      <c r="K4724" s="19"/>
      <c r="L4724" s="19"/>
      <c r="M4724" s="19"/>
      <c r="N4724" s="19"/>
      <c r="O4724" s="14" t="str">
        <f>HYPERLINK("https://otsuka-europe-crm.veevavault.com/ui/#object/email_activity__v/V8C00000004A499", "EN-002105919")</f>
        <v>EN-002105919</v>
      </c>
    </row>
    <row r="4725" spans="1:15" ht="32" x14ac:dyDescent="0.2">
      <c r="A4725" s="7" t="str">
        <f>HYPERLINK("https://otsuka-europe-crm.veevavault.com/ui/#object/account__v/V4TZ025E84DHNU3", "FABRIZIA COLASANTE")</f>
        <v>FABRIZIA COLASANTE</v>
      </c>
      <c r="B4725" s="7" t="str">
        <f>HYPERLINK("https://otsuka-europe-crm.veevavault.com/ui/#object/vcountry__v/VENZ000004SONFQ", "IT")</f>
        <v>IT</v>
      </c>
      <c r="C4725" s="8" t="s">
        <v>42</v>
      </c>
      <c r="D4725" s="9" t="str">
        <f>HYPERLINK("https://otsuka-europe-crm.veevavault.com/ui/#object/approved_document__v/V5OZ025E82TDS3D", "AE Il ruolo del caregiver")</f>
        <v>AE Il ruolo del caregiver</v>
      </c>
      <c r="E4725" s="10" t="str">
        <f>HYPERLINK("https://otsuka-europe-crm.veevavault.com/ui/#object/sent_email__v/VBL000000038195", "SE-001443956")</f>
        <v>SE-001443956</v>
      </c>
      <c r="F4725" s="11"/>
      <c r="G4725" s="12">
        <v>0</v>
      </c>
      <c r="H4725" s="12">
        <v>0</v>
      </c>
      <c r="I4725" s="12">
        <v>0</v>
      </c>
      <c r="J4725" s="11"/>
      <c r="K4725" s="12">
        <v>0</v>
      </c>
      <c r="L4725" s="10" t="str">
        <f>HYPERLINK("https://otsuka-europe-crm.veevavault.com/ui/#object/approved_document__v/V5OZ025E82TDS3D", "AE Il ruolo del caregiver")</f>
        <v>AE Il ruolo del caregiver</v>
      </c>
      <c r="M4725" s="10" t="str">
        <f>HYPERLINK("mailto:valerio.iannarilli@crm.otsuka-europe.com", "valerio.iannarilli@crm.otsuka-europe.com")</f>
        <v>valerio.iannarilli@crm.otsuka-europe.com</v>
      </c>
      <c r="N4725" s="13">
        <v>46218.465416666666</v>
      </c>
      <c r="O4725" s="14" t="str">
        <f>HYPERLINK("https://otsuka-europe-crm.veevavault.com/ui/#object/email_activity__v/V8C00000004A755", "EN-002106395")</f>
        <v>EN-002106395</v>
      </c>
    </row>
    <row r="4726" spans="1:15" ht="16" x14ac:dyDescent="0.2">
      <c r="A4726" s="18" t="str">
        <f>HYPERLINK("https://otsuka-europe-crm.veevavault.com/ui/#object/account__v/V4TZ025E84F00S1", "MARIANNA CRISCUOLO")</f>
        <v>MARIANNA CRISCUOLO</v>
      </c>
      <c r="B4726" s="18" t="str">
        <f>HYPERLINK("https://otsuka-europe-crm.veevavault.com/ui/#object/vcountry__v/VENZ000004SONFQ", "IT")</f>
        <v>IT</v>
      </c>
      <c r="C4726" s="20" t="s">
        <v>42</v>
      </c>
      <c r="D4726" s="21" t="str">
        <f>HYPERLINK("https://otsuka-europe-crm.veevavault.com/ui/#object/approved_document__v/V5OZ025E82TI1KD", "DEM MUTAZIONE tp53")</f>
        <v>DEM MUTAZIONE tp53</v>
      </c>
      <c r="E4726" s="22" t="str">
        <f>HYPERLINK("https://otsuka-europe-crm.veevavault.com/ui/#object/sent_email__v/VBL000000037273", "SE-001443957")</f>
        <v>SE-001443957</v>
      </c>
      <c r="F4726" s="25">
        <v>46217.500069444446</v>
      </c>
      <c r="G4726" s="24">
        <v>1</v>
      </c>
      <c r="H4726" s="24">
        <v>1</v>
      </c>
      <c r="I4726" s="24">
        <v>0</v>
      </c>
      <c r="J4726" s="23"/>
      <c r="K4726" s="24">
        <v>0</v>
      </c>
      <c r="L4726" s="22" t="str">
        <f>HYPERLINK("https://otsuka-europe-crm.veevavault.com/ui/#object/approved_document__v/V5OZ025E82TI1KD", "DEM MUTAZIONE tp53")</f>
        <v>DEM MUTAZIONE tp53</v>
      </c>
      <c r="M4726" s="22" t="str">
        <f>HYPERLINK("mailto:valerio.iannarilli@crm.otsuka-europe.com", "valerio.iannarilli@crm.otsuka-europe.com")</f>
        <v>valerio.iannarilli@crm.otsuka-europe.com</v>
      </c>
      <c r="N4726" s="25">
        <v>46217.499988425923</v>
      </c>
      <c r="O4726" s="14" t="str">
        <f>HYPERLINK("https://otsuka-europe-crm.veevavault.com/ui/#object/email_activity__v/V8C00000004A500", "EN-002105920")</f>
        <v>EN-002105920</v>
      </c>
    </row>
    <row r="4727" spans="1:15" ht="16" x14ac:dyDescent="0.2">
      <c r="A4727" s="26"/>
      <c r="B4727" s="26"/>
      <c r="C4727" s="26"/>
      <c r="D4727" s="26"/>
      <c r="E4727" s="26"/>
      <c r="F4727" s="26"/>
      <c r="G4727" s="26"/>
      <c r="H4727" s="26"/>
      <c r="I4727" s="26"/>
      <c r="J4727" s="26"/>
      <c r="K4727" s="26"/>
      <c r="L4727" s="26"/>
      <c r="M4727" s="26"/>
      <c r="N4727" s="26"/>
      <c r="O4727" s="14" t="str">
        <f>HYPERLINK("https://otsuka-europe-crm.veevavault.com/ui/#object/email_activity__v/V8C00000004A501", "EN-002105921")</f>
        <v>EN-002105921</v>
      </c>
    </row>
    <row r="4728" spans="1:15" ht="16" x14ac:dyDescent="0.2">
      <c r="A4728" s="19"/>
      <c r="B4728" s="19"/>
      <c r="C4728" s="19"/>
      <c r="D4728" s="19"/>
      <c r="E4728" s="19"/>
      <c r="F4728" s="19"/>
      <c r="G4728" s="19"/>
      <c r="H4728" s="19"/>
      <c r="I4728" s="19"/>
      <c r="J4728" s="19"/>
      <c r="K4728" s="19"/>
      <c r="L4728" s="19"/>
      <c r="M4728" s="19"/>
      <c r="N4728" s="19"/>
      <c r="O4728" s="14" t="str">
        <f>HYPERLINK("https://otsuka-europe-crm.veevavault.com/ui/#object/email_activity__v/V8C00000004A512", "EN-002105938")</f>
        <v>EN-002105938</v>
      </c>
    </row>
    <row r="4729" spans="1:15" ht="32" x14ac:dyDescent="0.2">
      <c r="A4729" s="7" t="str">
        <f>HYPERLINK("https://otsuka-europe-crm.veevavault.com/ui/#object/account__v/V4TZ025E85AZUTV", "PAOLO DE FABRITIIS")</f>
        <v>PAOLO DE FABRITIIS</v>
      </c>
      <c r="B4729" s="7" t="str">
        <f>HYPERLINK("https://otsuka-europe-crm.veevavault.com/ui/#object/vcountry__v/VENZ000004SONFQ", "IT")</f>
        <v>IT</v>
      </c>
      <c r="C4729" s="8" t="s">
        <v>42</v>
      </c>
      <c r="D4729" s="9" t="str">
        <f>HYPERLINK("https://otsuka-europe-crm.veevavault.com/ui/#object/approved_document__v/V5OZ025E82TDS3E", "AE Indipendenza dal supporto Trasfusionale")</f>
        <v>AE Indipendenza dal supporto Trasfusionale</v>
      </c>
      <c r="E4729" s="10" t="str">
        <f>HYPERLINK("https://otsuka-europe-crm.veevavault.com/ui/#object/sent_email__v/VBL000000038196", "SE-001443958")</f>
        <v>SE-001443958</v>
      </c>
      <c r="F4729" s="11"/>
      <c r="G4729" s="12">
        <v>0</v>
      </c>
      <c r="H4729" s="12">
        <v>0</v>
      </c>
      <c r="I4729" s="12">
        <v>0</v>
      </c>
      <c r="J4729" s="11"/>
      <c r="K4729" s="12">
        <v>0</v>
      </c>
      <c r="L4729" s="10" t="str">
        <f>HYPERLINK("https://otsuka-europe-crm.veevavault.com/ui/#object/approved_document__v/V5OZ025E82TDS3E", "AE Indipendenza dal supporto Trasfusionale")</f>
        <v>AE Indipendenza dal supporto Trasfusionale</v>
      </c>
      <c r="M4729" s="10" t="str">
        <f>HYPERLINK("mailto:valerio.iannarilli@crm.otsuka-europe.com", "valerio.iannarilli@crm.otsuka-europe.com")</f>
        <v>valerio.iannarilli@crm.otsuka-europe.com</v>
      </c>
      <c r="N4729" s="13">
        <v>46217.5002662037</v>
      </c>
      <c r="O4729" s="14" t="str">
        <f>HYPERLINK("https://otsuka-europe-crm.veevavault.com/ui/#object/email_activity__v/V8C00000004A502", "EN-002105922")</f>
        <v>EN-002105922</v>
      </c>
    </row>
    <row r="4730" spans="1:15" ht="32" x14ac:dyDescent="0.2">
      <c r="A4730" s="7" t="str">
        <f>HYPERLINK("https://otsuka-europe-crm.veevavault.com/ui/#object/account__v/V4TZ025E83Y3BIB", "MARZIA DEFINA")</f>
        <v>MARZIA DEFINA</v>
      </c>
      <c r="B4730" s="7" t="str">
        <f>HYPERLINK("https://otsuka-europe-crm.veevavault.com/ui/#object/vcountry__v/VENZ000004SONFQ", "IT")</f>
        <v>IT</v>
      </c>
      <c r="C4730" s="8" t="s">
        <v>42</v>
      </c>
      <c r="D4730" s="9" t="str">
        <f>HYPERLINK("https://otsuka-europe-crm.veevavault.com/ui/#object/approved_document__v/V5OZ025E82TDS3D", "AE Il ruolo del caregiver")</f>
        <v>AE Il ruolo del caregiver</v>
      </c>
      <c r="E4730" s="10" t="str">
        <f>HYPERLINK("https://otsuka-europe-crm.veevavault.com/ui/#object/sent_email__v/VBL000000038197", "SE-001443959")</f>
        <v>SE-001443959</v>
      </c>
      <c r="F4730" s="11"/>
      <c r="G4730" s="12">
        <v>0</v>
      </c>
      <c r="H4730" s="12">
        <v>0</v>
      </c>
      <c r="I4730" s="12">
        <v>0</v>
      </c>
      <c r="J4730" s="11"/>
      <c r="K4730" s="12">
        <v>0</v>
      </c>
      <c r="L4730" s="10" t="str">
        <f>HYPERLINK("https://otsuka-europe-crm.veevavault.com/ui/#object/approved_document__v/V5OZ025E82TDS3D", "AE Il ruolo del caregiver")</f>
        <v>AE Il ruolo del caregiver</v>
      </c>
      <c r="M4730" s="10" t="str">
        <f>HYPERLINK("mailto:valerio.iannarilli@crm.otsuka-europe.com", "valerio.iannarilli@crm.otsuka-europe.com")</f>
        <v>valerio.iannarilli@crm.otsuka-europe.com</v>
      </c>
      <c r="N4730" s="13">
        <v>46219.632106481484</v>
      </c>
      <c r="O4730" s="14" t="str">
        <f>HYPERLINK("https://otsuka-europe-crm.veevavault.com/ui/#object/email_activity__v/V8C00000004A911", "EN-002106678")</f>
        <v>EN-002106678</v>
      </c>
    </row>
    <row r="4731" spans="1:15" ht="32" x14ac:dyDescent="0.2">
      <c r="A4731" s="7" t="str">
        <f>HYPERLINK("https://otsuka-europe-crm.veevavault.com/ui/#object/account__v/V4TZ025E83BBI8I", "AMBRA DI VEROLI")</f>
        <v>AMBRA DI VEROLI</v>
      </c>
      <c r="B4731" s="7" t="str">
        <f>HYPERLINK("https://otsuka-europe-crm.veevavault.com/ui/#object/vcountry__v/VENZ000004SONFQ", "IT")</f>
        <v>IT</v>
      </c>
      <c r="C4731" s="8" t="s">
        <v>42</v>
      </c>
      <c r="D4731" s="9" t="str">
        <f>HYPERLINK("https://otsuka-europe-crm.veevavault.com/ui/#object/approved_document__v/V5OZ025E82TDS3D", "AE Il ruolo del caregiver")</f>
        <v>AE Il ruolo del caregiver</v>
      </c>
      <c r="E4731" s="10" t="str">
        <f>HYPERLINK("https://otsuka-europe-crm.veevavault.com/ui/#object/sent_email__v/VBL000000038198", "SE-001443960")</f>
        <v>SE-001443960</v>
      </c>
      <c r="F4731" s="11"/>
      <c r="G4731" s="12">
        <v>0</v>
      </c>
      <c r="H4731" s="12">
        <v>0</v>
      </c>
      <c r="I4731" s="12">
        <v>0</v>
      </c>
      <c r="J4731" s="11"/>
      <c r="K4731" s="12">
        <v>0</v>
      </c>
      <c r="L4731" s="10" t="str">
        <f>HYPERLINK("https://otsuka-europe-crm.veevavault.com/ui/#object/approved_document__v/V5OZ025E82TDS3D", "AE Il ruolo del caregiver")</f>
        <v>AE Il ruolo del caregiver</v>
      </c>
      <c r="M4731" s="10" t="str">
        <f>HYPERLINK("mailto:valerio.iannarilli@crm.otsuka-europe.com", "valerio.iannarilli@crm.otsuka-europe.com")</f>
        <v>valerio.iannarilli@crm.otsuka-europe.com</v>
      </c>
      <c r="N4731" s="13">
        <v>46218.465416666666</v>
      </c>
      <c r="O4731" s="14" t="str">
        <f>HYPERLINK("https://otsuka-europe-crm.veevavault.com/ui/#object/email_activity__v/V8C00000004A753", "EN-002106393")</f>
        <v>EN-002106393</v>
      </c>
    </row>
    <row r="4732" spans="1:15" ht="16" x14ac:dyDescent="0.2">
      <c r="A4732" s="18" t="str">
        <f>HYPERLINK("https://otsuka-europe-crm.veevavault.com/ui/#object/account__v/V4TZ025E85PDDM7", "GIULIA DRAGONETTI")</f>
        <v>GIULIA DRAGONETTI</v>
      </c>
      <c r="B4732" s="18" t="str">
        <f>HYPERLINK("https://otsuka-europe-crm.veevavault.com/ui/#object/vcountry__v/VENZ000004SONFQ", "IT")</f>
        <v>IT</v>
      </c>
      <c r="C4732" s="20" t="s">
        <v>42</v>
      </c>
      <c r="D4732" s="21" t="str">
        <f>HYPERLINK("https://otsuka-europe-crm.veevavault.com/ui/#object/approved_document__v/V5OZ025E82TI1KD", "DEM MUTAZIONE tp53")</f>
        <v>DEM MUTAZIONE tp53</v>
      </c>
      <c r="E4732" s="22" t="str">
        <f>HYPERLINK("https://otsuka-europe-crm.veevavault.com/ui/#object/sent_email__v/VBL000000038199", "SE-001443961")</f>
        <v>SE-001443961</v>
      </c>
      <c r="F4732" s="25">
        <v>46217.582476851851</v>
      </c>
      <c r="G4732" s="24">
        <v>1</v>
      </c>
      <c r="H4732" s="24">
        <v>1</v>
      </c>
      <c r="I4732" s="24">
        <v>0</v>
      </c>
      <c r="J4732" s="23"/>
      <c r="K4732" s="24">
        <v>0</v>
      </c>
      <c r="L4732" s="22" t="str">
        <f>HYPERLINK("https://otsuka-europe-crm.veevavault.com/ui/#object/approved_document__v/V5OZ025E82TI1KD", "DEM MUTAZIONE tp53")</f>
        <v>DEM MUTAZIONE tp53</v>
      </c>
      <c r="M4732" s="22" t="str">
        <f>HYPERLINK("mailto:valerio.iannarilli@crm.otsuka-europe.com", "valerio.iannarilli@crm.otsuka-europe.com")</f>
        <v>valerio.iannarilli@crm.otsuka-europe.com</v>
      </c>
      <c r="N4732" s="25">
        <v>46217.501099537039</v>
      </c>
      <c r="O4732" s="14" t="str">
        <f>HYPERLINK("https://otsuka-europe-crm.veevavault.com/ui/#object/email_activity__v/V8C000000049556", "EN-002105926")</f>
        <v>EN-002105926</v>
      </c>
    </row>
    <row r="4733" spans="1:15" ht="16" x14ac:dyDescent="0.2">
      <c r="A4733" s="19"/>
      <c r="B4733" s="19"/>
      <c r="C4733" s="19"/>
      <c r="D4733" s="19"/>
      <c r="E4733" s="19"/>
      <c r="F4733" s="19"/>
      <c r="G4733" s="19"/>
      <c r="H4733" s="19"/>
      <c r="I4733" s="19"/>
      <c r="J4733" s="19"/>
      <c r="K4733" s="19"/>
      <c r="L4733" s="19"/>
      <c r="M4733" s="19"/>
      <c r="N4733" s="19"/>
      <c r="O4733" s="14" t="str">
        <f>HYPERLINK("https://otsuka-europe-crm.veevavault.com/ui/#object/email_activity__v/V8C000000049575", "EN-002105963")</f>
        <v>EN-002105963</v>
      </c>
    </row>
    <row r="4734" spans="1:15" ht="32" x14ac:dyDescent="0.2">
      <c r="A4734" s="7" t="str">
        <f>HYPERLINK("https://otsuka-europe-crm.veevavault.com/ui/#object/account__v/V4TZ025E83YZBZ7", "SUSANNA FENU")</f>
        <v>SUSANNA FENU</v>
      </c>
      <c r="B4734" s="7" t="str">
        <f>HYPERLINK("https://otsuka-europe-crm.veevavault.com/ui/#object/vcountry__v/VENZ000004SONFQ", "IT")</f>
        <v>IT</v>
      </c>
      <c r="C4734" s="8" t="s">
        <v>42</v>
      </c>
      <c r="D4734" s="9" t="str">
        <f>HYPERLINK("https://otsuka-europe-crm.veevavault.com/ui/#object/approved_document__v/V5OZ025E82TDS3E", "AE Indipendenza dal supporto Trasfusionale")</f>
        <v>AE Indipendenza dal supporto Trasfusionale</v>
      </c>
      <c r="E4734" s="10" t="str">
        <f>HYPERLINK("https://otsuka-europe-crm.veevavault.com/ui/#object/sent_email__v/VBL000000038200", "SE-001443962")</f>
        <v>SE-001443962</v>
      </c>
      <c r="F4734" s="11"/>
      <c r="G4734" s="12">
        <v>0</v>
      </c>
      <c r="H4734" s="12">
        <v>0</v>
      </c>
      <c r="I4734" s="12">
        <v>0</v>
      </c>
      <c r="J4734" s="11"/>
      <c r="K4734" s="12">
        <v>0</v>
      </c>
      <c r="L4734" s="10" t="str">
        <f>HYPERLINK("https://otsuka-europe-crm.veevavault.com/ui/#object/approved_document__v/V5OZ025E82TDS3E", "AE Indipendenza dal supporto Trasfusionale")</f>
        <v>AE Indipendenza dal supporto Trasfusionale</v>
      </c>
      <c r="M4734" s="10" t="str">
        <f>HYPERLINK("mailto:valerio.iannarilli@crm.otsuka-europe.com", "valerio.iannarilli@crm.otsuka-europe.com")</f>
        <v>valerio.iannarilli@crm.otsuka-europe.com</v>
      </c>
      <c r="N4734" s="13">
        <v>46217.501319444447</v>
      </c>
      <c r="O4734" s="14" t="str">
        <f>HYPERLINK("https://otsuka-europe-crm.veevavault.com/ui/#object/email_activity__v/V8C000000049557", "EN-002105927")</f>
        <v>EN-002105927</v>
      </c>
    </row>
    <row r="4735" spans="1:15" ht="32" x14ac:dyDescent="0.2">
      <c r="A4735" s="7" t="str">
        <f>HYPERLINK("https://otsuka-europe-crm.veevavault.com/ui/#object/account__v/V4TZ025E84EKEIF", "ANTONELLA FERRARI")</f>
        <v>ANTONELLA FERRARI</v>
      </c>
      <c r="B4735" s="7" t="str">
        <f>HYPERLINK("https://otsuka-europe-crm.veevavault.com/ui/#object/vcountry__v/VENZ000004SONFQ", "IT")</f>
        <v>IT</v>
      </c>
      <c r="C4735" s="8" t="s">
        <v>42</v>
      </c>
      <c r="D4735" s="9" t="str">
        <f>HYPERLINK("https://otsuka-europe-crm.veevavault.com/ui/#object/approved_document__v/V5OZ025E82TDS3D", "AE Il ruolo del caregiver")</f>
        <v>AE Il ruolo del caregiver</v>
      </c>
      <c r="E4735" s="10" t="str">
        <f>HYPERLINK("https://otsuka-europe-crm.veevavault.com/ui/#object/sent_email__v/VBL000000037274", "SE-001443963")</f>
        <v>SE-001443963</v>
      </c>
      <c r="F4735" s="11"/>
      <c r="G4735" s="12">
        <v>0</v>
      </c>
      <c r="H4735" s="12">
        <v>0</v>
      </c>
      <c r="I4735" s="12">
        <v>0</v>
      </c>
      <c r="J4735" s="11"/>
      <c r="K4735" s="12">
        <v>0</v>
      </c>
      <c r="L4735" s="10" t="str">
        <f>HYPERLINK("https://otsuka-europe-crm.veevavault.com/ui/#object/approved_document__v/V5OZ025E82TDS3D", "AE Il ruolo del caregiver")</f>
        <v>AE Il ruolo del caregiver</v>
      </c>
      <c r="M4735" s="10" t="str">
        <f>HYPERLINK("mailto:valerio.iannarilli@crm.otsuka-europe.com", "valerio.iannarilli@crm.otsuka-europe.com")</f>
        <v>valerio.iannarilli@crm.otsuka-europe.com</v>
      </c>
      <c r="N4735" s="13">
        <v>46218.465416666666</v>
      </c>
      <c r="O4735" s="14" t="str">
        <f>HYPERLINK("https://otsuka-europe-crm.veevavault.com/ui/#object/email_activity__v/V8C000000049775", "EN-002106396")</f>
        <v>EN-002106396</v>
      </c>
    </row>
    <row r="4736" spans="1:15" ht="32" x14ac:dyDescent="0.2">
      <c r="A4736" s="7" t="str">
        <f>HYPERLINK("https://otsuka-europe-crm.veevavault.com/ui/#object/account__v/V4TZ025E85L3VB1", "RACHELE GIUBBOLINI")</f>
        <v>RACHELE GIUBBOLINI</v>
      </c>
      <c r="B4736" s="7" t="str">
        <f>HYPERLINK("https://otsuka-europe-crm.veevavault.com/ui/#object/vcountry__v/VENZ000004SONFQ", "IT")</f>
        <v>IT</v>
      </c>
      <c r="C4736" s="8" t="s">
        <v>42</v>
      </c>
      <c r="D4736" s="9" t="str">
        <f>HYPERLINK("https://otsuka-europe-crm.veevavault.com/ui/#object/approved_document__v/V5OZ025E82TDS3E", "AE Indipendenza dal supporto Trasfusionale")</f>
        <v>AE Indipendenza dal supporto Trasfusionale</v>
      </c>
      <c r="E4736" s="10" t="str">
        <f>HYPERLINK("https://otsuka-europe-crm.veevavault.com/ui/#object/sent_email__v/VBL000000038201", "SE-001443964")</f>
        <v>SE-001443964</v>
      </c>
      <c r="F4736" s="11"/>
      <c r="G4736" s="12">
        <v>0</v>
      </c>
      <c r="H4736" s="12">
        <v>0</v>
      </c>
      <c r="I4736" s="12">
        <v>0</v>
      </c>
      <c r="J4736" s="11"/>
      <c r="K4736" s="12">
        <v>0</v>
      </c>
      <c r="L4736" s="10" t="str">
        <f>HYPERLINK("https://otsuka-europe-crm.veevavault.com/ui/#object/approved_document__v/V5OZ025E82TDS3E", "AE Indipendenza dal supporto Trasfusionale")</f>
        <v>AE Indipendenza dal supporto Trasfusionale</v>
      </c>
      <c r="M4736" s="10" t="str">
        <f>HYPERLINK("mailto:valerio.iannarilli@crm.otsuka-europe.com", "valerio.iannarilli@crm.otsuka-europe.com")</f>
        <v>valerio.iannarilli@crm.otsuka-europe.com</v>
      </c>
      <c r="N4736" s="13">
        <v>46217.501666666663</v>
      </c>
      <c r="O4736" s="14" t="str">
        <f>HYPERLINK("https://otsuka-europe-crm.veevavault.com/ui/#object/email_activity__v/V8C00000004A506", "EN-002105932")</f>
        <v>EN-002105932</v>
      </c>
    </row>
    <row r="4737" spans="1:15" ht="32" x14ac:dyDescent="0.2">
      <c r="A4737" s="7" t="str">
        <f>HYPERLINK("https://otsuka-europe-crm.veevavault.com/ui/#object/account__v/V4TZ025E85L4IPM", "CHIARA INNOCENTI")</f>
        <v>CHIARA INNOCENTI</v>
      </c>
      <c r="B4737" s="7" t="str">
        <f>HYPERLINK("https://otsuka-europe-crm.veevavault.com/ui/#object/vcountry__v/VENZ000004SONFQ", "IT")</f>
        <v>IT</v>
      </c>
      <c r="C4737" s="8" t="s">
        <v>42</v>
      </c>
      <c r="D4737" s="9" t="str">
        <f>HYPERLINK("https://otsuka-europe-crm.veevavault.com/ui/#object/approved_document__v/V5OZ025E82TDS3E", "AE Indipendenza dal supporto Trasfusionale")</f>
        <v>AE Indipendenza dal supporto Trasfusionale</v>
      </c>
      <c r="E4737" s="10" t="str">
        <f>HYPERLINK("https://otsuka-europe-crm.veevavault.com/ui/#object/sent_email__v/VBL000000037275", "SE-001443965")</f>
        <v>SE-001443965</v>
      </c>
      <c r="F4737" s="11"/>
      <c r="G4737" s="12">
        <v>0</v>
      </c>
      <c r="H4737" s="12">
        <v>0</v>
      </c>
      <c r="I4737" s="12">
        <v>0</v>
      </c>
      <c r="J4737" s="11"/>
      <c r="K4737" s="12">
        <v>0</v>
      </c>
      <c r="L4737" s="10" t="str">
        <f>HYPERLINK("https://otsuka-europe-crm.veevavault.com/ui/#object/approved_document__v/V5OZ025E82TDS3E", "AE Indipendenza dal supporto Trasfusionale")</f>
        <v>AE Indipendenza dal supporto Trasfusionale</v>
      </c>
      <c r="M4737" s="10" t="str">
        <f>HYPERLINK("mailto:valerio.iannarilli@crm.otsuka-europe.com", "valerio.iannarilli@crm.otsuka-europe.com")</f>
        <v>valerio.iannarilli@crm.otsuka-europe.com</v>
      </c>
      <c r="N4737" s="13">
        <v>46217.501747685186</v>
      </c>
      <c r="O4737" s="14" t="str">
        <f>HYPERLINK("https://otsuka-europe-crm.veevavault.com/ui/#object/email_activity__v/V8C000000049558", "EN-002105928")</f>
        <v>EN-002105928</v>
      </c>
    </row>
    <row r="4738" spans="1:15" ht="16" x14ac:dyDescent="0.2">
      <c r="A4738" s="18" t="str">
        <f>HYPERLINK("https://otsuka-europe-crm.veevavault.com/ui/#object/account__v/V4TZ06G6O71SBOL", "MASSIMILIANO NIGRO")</f>
        <v>MASSIMILIANO NIGRO</v>
      </c>
      <c r="B4738" s="18" t="str">
        <f>HYPERLINK("https://otsuka-europe-crm.veevavault.com/ui/#object/vcountry__v/VENZ000004SONFQ", "IT")</f>
        <v>IT</v>
      </c>
      <c r="C4738" s="20" t="s">
        <v>42</v>
      </c>
      <c r="D4738" s="21" t="str">
        <f>HYPERLINK("https://otsuka-europe-crm.veevavault.com/ui/#object/approved_document__v/V5O00000001G004", "Branded_RXULTI_AE Ansia_IT-RXU-2500035")</f>
        <v>Branded_RXULTI_AE Ansia_IT-RXU-2500035</v>
      </c>
      <c r="E4738" s="22" t="str">
        <f>HYPERLINK("https://otsuka-europe-crm.veevavault.com/ui/#object/sent_email__v/VBL000000038202", "SE-001443966")</f>
        <v>SE-001443966</v>
      </c>
      <c r="F4738" s="23"/>
      <c r="G4738" s="24">
        <v>0</v>
      </c>
      <c r="H4738" s="24">
        <v>0</v>
      </c>
      <c r="I4738" s="24">
        <v>0</v>
      </c>
      <c r="J4738" s="23"/>
      <c r="K4738" s="24">
        <v>0</v>
      </c>
      <c r="L4738" s="22" t="str">
        <f>HYPERLINK("https://otsuka-europe-crm.veevavault.com/ui/#object/approved_document__v/V5O00000001G004", "Branded_RXULTI_AE Ansia_IT-RXU-2500035")</f>
        <v>Branded_RXULTI_AE Ansia_IT-RXU-2500035</v>
      </c>
      <c r="M4738" s="22" t="str">
        <f>HYPERLINK("mailto:maria.gargiulo@crm.otsuka-europe.com", "maria.gargiulo@crm.otsuka-europe.com")</f>
        <v>maria.gargiulo@crm.otsuka-europe.com</v>
      </c>
      <c r="N4738" s="25">
        <v>46217.603993055556</v>
      </c>
      <c r="O4738" s="14" t="str">
        <f>HYPERLINK("https://otsuka-europe-crm.veevavault.com/ui/#object/email_activity__v/V8C000000049674", "EN-002106175")</f>
        <v>EN-002106175</v>
      </c>
    </row>
    <row r="4739" spans="1:15" ht="16" x14ac:dyDescent="0.2">
      <c r="A4739" s="19"/>
      <c r="B4739" s="19"/>
      <c r="C4739" s="19"/>
      <c r="D4739" s="19"/>
      <c r="E4739" s="19"/>
      <c r="F4739" s="19"/>
      <c r="G4739" s="19"/>
      <c r="H4739" s="19"/>
      <c r="I4739" s="19"/>
      <c r="J4739" s="19"/>
      <c r="K4739" s="19"/>
      <c r="L4739" s="19"/>
      <c r="M4739" s="19"/>
      <c r="N4739" s="19"/>
      <c r="O4739" s="14" t="str">
        <f>HYPERLINK("https://otsuka-europe-crm.veevavault.com/ui/#object/email_activity__v/V8C00000004A527", "EN-002105968")</f>
        <v>EN-002105968</v>
      </c>
    </row>
    <row r="4740" spans="1:15" ht="32" x14ac:dyDescent="0.2">
      <c r="A4740" s="7" t="str">
        <f>HYPERLINK("https://otsuka-europe-crm.veevavault.com/ui/#object/account__v/V4TZ06G6O71SBPM", "ANTONELLA OCONE")</f>
        <v>ANTONELLA OCONE</v>
      </c>
      <c r="B4740" s="7" t="str">
        <f>HYPERLINK("https://otsuka-europe-crm.veevavault.com/ui/#object/vcountry__v/VENZ000004SONFQ", "IT")</f>
        <v>IT</v>
      </c>
      <c r="C4740" s="8" t="s">
        <v>42</v>
      </c>
      <c r="D4740" s="9" t="str">
        <f>HYPERLINK("https://otsuka-europe-crm.veevavault.com/ui/#object/approved_document__v/V5O00000001G004", "Branded_RXULTI_AE Ansia_IT-RXU-2500035")</f>
        <v>Branded_RXULTI_AE Ansia_IT-RXU-2500035</v>
      </c>
      <c r="E4740" s="10" t="str">
        <f>HYPERLINK("https://otsuka-europe-crm.veevavault.com/ui/#object/sent_email__v/VBL000000037276", "SE-001443967")</f>
        <v>SE-001443967</v>
      </c>
      <c r="F4740" s="11"/>
      <c r="G4740" s="12">
        <v>0</v>
      </c>
      <c r="H4740" s="12">
        <v>0</v>
      </c>
      <c r="I4740" s="12">
        <v>0</v>
      </c>
      <c r="J4740" s="11"/>
      <c r="K4740" s="12">
        <v>0</v>
      </c>
      <c r="L4740" s="10" t="str">
        <f>HYPERLINK("https://otsuka-europe-crm.veevavault.com/ui/#object/approved_document__v/V5O00000001G004", "Branded_RXULTI_AE Ansia_IT-RXU-2500035")</f>
        <v>Branded_RXULTI_AE Ansia_IT-RXU-2500035</v>
      </c>
      <c r="M4740" s="10" t="str">
        <f>HYPERLINK("mailto:maria.gargiulo@crm.otsuka-europe.com", "maria.gargiulo@crm.otsuka-europe.com")</f>
        <v>maria.gargiulo@crm.otsuka-europe.com</v>
      </c>
      <c r="N4740" s="13">
        <v>46217.604270833333</v>
      </c>
      <c r="O4740" s="14" t="str">
        <f>HYPERLINK("https://otsuka-europe-crm.veevavault.com/ui/#object/email_activity__v/V8C00000004A528", "EN-002105969")</f>
        <v>EN-002105969</v>
      </c>
    </row>
    <row r="4741" spans="1:15" ht="16" x14ac:dyDescent="0.2">
      <c r="A4741" s="18" t="str">
        <f>HYPERLINK("https://otsuka-europe-crm.veevavault.com/ui/#object/account__v/V4TZ06G6OBULSMK", "PABLO DIAZ FERNANDEZ")</f>
        <v>PABLO DIAZ FERNANDEZ</v>
      </c>
      <c r="B4741" s="18" t="str">
        <f>HYPERLINK("https://otsuka-europe-crm.veevavault.com/ui/#object/vcountry__v/VENZ000004SONF5", "ES")</f>
        <v>ES</v>
      </c>
      <c r="C4741" s="20" t="s">
        <v>39</v>
      </c>
      <c r="D4741" s="21" t="str">
        <f>HYPERLINK("https://otsuka-europe-crm.veevavault.com/ui/#object/approved_document__v/V5OZ04ASG4FWKA9", "Documento Autorizaciขn Centro Empleador")</f>
        <v>Documento Autorizaciขn Centro Empleador</v>
      </c>
      <c r="E4741" s="22" t="str">
        <f>HYPERLINK("https://otsuka-europe-crm.veevavault.com/ui/#object/sent_email__v/VBL000000038203", "SE-001443968")</f>
        <v>SE-001443968</v>
      </c>
      <c r="F4741" s="25">
        <v>46217.828877314816</v>
      </c>
      <c r="G4741" s="24">
        <v>1</v>
      </c>
      <c r="H4741" s="24">
        <v>1</v>
      </c>
      <c r="I4741" s="24">
        <v>1</v>
      </c>
      <c r="J4741" s="25">
        <v>46217.829027777778</v>
      </c>
      <c r="K4741" s="24">
        <v>2</v>
      </c>
      <c r="L4741" s="22" t="str">
        <f>HYPERLINK("https://otsuka-europe-crm.veevavault.com/ui/#object/approved_document__v/V5OZ04ASG4FWKA9", "Documento Autorizaciขn Centro Empleador")</f>
        <v>Documento Autorizaciขn Centro Empleador</v>
      </c>
      <c r="M4741" s="22" t="str">
        <f>HYPERLINK("mailto:sdiez@crm.otsuka-europe.com", "sdiez@crm.otsuka-europe.com")</f>
        <v>sdiez@crm.otsuka-europe.com</v>
      </c>
      <c r="N4741" s="25">
        <v>46217.631284722222</v>
      </c>
      <c r="O4741" s="14" t="str">
        <f>HYPERLINK("https://otsuka-europe-crm.veevavault.com/ui/#object/email_activity__v/V8C000000049578", "EN-002105975")</f>
        <v>EN-002105975</v>
      </c>
    </row>
    <row r="4742" spans="1:15" ht="16" x14ac:dyDescent="0.2">
      <c r="A4742" s="26"/>
      <c r="B4742" s="26"/>
      <c r="C4742" s="26"/>
      <c r="D4742" s="26"/>
      <c r="E4742" s="26"/>
      <c r="F4742" s="26"/>
      <c r="G4742" s="26"/>
      <c r="H4742" s="26"/>
      <c r="I4742" s="26"/>
      <c r="J4742" s="26"/>
      <c r="K4742" s="26"/>
      <c r="L4742" s="26"/>
      <c r="M4742" s="26"/>
      <c r="N4742" s="26"/>
      <c r="O4742" s="14" t="str">
        <f>HYPERLINK("https://otsuka-europe-crm.veevavault.com/ui/#object/email_activity__v/V8C000000049663", "EN-002106157")</f>
        <v>EN-002106157</v>
      </c>
    </row>
    <row r="4743" spans="1:15" ht="16" x14ac:dyDescent="0.2">
      <c r="A4743" s="26"/>
      <c r="B4743" s="26"/>
      <c r="C4743" s="26"/>
      <c r="D4743" s="26"/>
      <c r="E4743" s="26"/>
      <c r="F4743" s="26"/>
      <c r="G4743" s="26"/>
      <c r="H4743" s="26"/>
      <c r="I4743" s="26"/>
      <c r="J4743" s="26"/>
      <c r="K4743" s="26"/>
      <c r="L4743" s="26"/>
      <c r="M4743" s="26"/>
      <c r="N4743" s="26"/>
      <c r="O4743" s="14" t="str">
        <f>HYPERLINK("https://otsuka-europe-crm.veevavault.com/ui/#object/email_activity__v/V8C000000049664", "EN-002106156")</f>
        <v>EN-002106156</v>
      </c>
    </row>
    <row r="4744" spans="1:15" ht="16" x14ac:dyDescent="0.2">
      <c r="A4744" s="19"/>
      <c r="B4744" s="19"/>
      <c r="C4744" s="19"/>
      <c r="D4744" s="19"/>
      <c r="E4744" s="19"/>
      <c r="F4744" s="19"/>
      <c r="G4744" s="19"/>
      <c r="H4744" s="19"/>
      <c r="I4744" s="19"/>
      <c r="J4744" s="19"/>
      <c r="K4744" s="19"/>
      <c r="L4744" s="19"/>
      <c r="M4744" s="19"/>
      <c r="N4744" s="19"/>
      <c r="O4744" s="14" t="str">
        <f>HYPERLINK("https://otsuka-europe-crm.veevavault.com/ui/#object/email_activity__v/V8C000000049665", "EN-002106158")</f>
        <v>EN-002106158</v>
      </c>
    </row>
    <row r="4745" spans="1:15" ht="32" x14ac:dyDescent="0.2">
      <c r="A4745" s="7" t="str">
        <f>HYPERLINK("https://otsuka-europe-crm.veevavault.com/ui/#object/account__v/V4TZ04ASGBX79P9", "Rafik Abdelmalak")</f>
        <v>Rafik Abdelmalak</v>
      </c>
      <c r="B4745" s="7" t="str">
        <f>HYPERLINK("https://otsuka-europe-crm.veevavault.com/ui/#object/vcountry__v/VENZ000004SONFK", "GB")</f>
        <v>GB</v>
      </c>
      <c r="C4745" s="8" t="s">
        <v>41</v>
      </c>
      <c r="D4745" s="9" t="str">
        <f>HYPERLINK("https://otsuka-europe-crm.veevavault.com/ui/#object/approved_document__v/V5O00000001V001", "LDM DR P2P Invite 12-Nov-26 v2 [digital]")</f>
        <v>LDM DR P2P Invite 12-Nov-26 v2 [digital]</v>
      </c>
      <c r="E4745" s="10" t="str">
        <f>HYPERLINK("https://otsuka-europe-crm.veevavault.com/ui/#object/sent_email__v/VBL000000037277", "SE-001443969")</f>
        <v>SE-001443969</v>
      </c>
      <c r="F4745" s="11"/>
      <c r="G4745" s="12">
        <v>0</v>
      </c>
      <c r="H4745" s="12">
        <v>0</v>
      </c>
      <c r="I4745" s="12">
        <v>0</v>
      </c>
      <c r="J4745" s="11"/>
      <c r="K4745" s="12">
        <v>0</v>
      </c>
      <c r="L4745" s="10" t="str">
        <f>HYPERLINK("https://otsuka-europe-crm.veevavault.com/ui/#object/approved_document__v/V5O00000001V001", "LDM DR P2P Invite 12-Nov-26 v2 [digital]")</f>
        <v>LDM DR P2P Invite 12-Nov-26 v2 [digital]</v>
      </c>
      <c r="M4745" s="10" t="str">
        <f>HYPERLINK("mailto:draval@crm.otsuka-europe.com", "draval@crm.otsuka-europe.com")</f>
        <v>draval@crm.otsuka-europe.com</v>
      </c>
      <c r="N4745" s="13">
        <v>46217.653703703705</v>
      </c>
      <c r="O4745" s="14" t="str">
        <f>HYPERLINK("https://otsuka-europe-crm.veevavault.com/ui/#object/email_activity__v/V8C000000049594", "EN-002105993")</f>
        <v>EN-002105993</v>
      </c>
    </row>
    <row r="4746" spans="1:15" ht="16" x14ac:dyDescent="0.2">
      <c r="A4746" s="18" t="str">
        <f>HYPERLINK("https://otsuka-europe-crm.veevavault.com/ui/#object/account__v/V4TZ0000062PBX2", "Aderonke Adelusi")</f>
        <v>Aderonke Adelusi</v>
      </c>
      <c r="B4746" s="18" t="str">
        <f>HYPERLINK("https://otsuka-europe-crm.veevavault.com/ui/#object/vcountry__v/VENZ000004SONFK", "GB")</f>
        <v>GB</v>
      </c>
      <c r="C4746" s="20" t="s">
        <v>41</v>
      </c>
      <c r="D4746" s="21" t="str">
        <f>HYPERLINK("https://otsuka-europe-crm.veevavault.com/ui/#object/approved_document__v/V5O00000001V001", "LDM DR P2P Invite 12-Nov-26 v2 [digital]")</f>
        <v>LDM DR P2P Invite 12-Nov-26 v2 [digital]</v>
      </c>
      <c r="E4746" s="22" t="str">
        <f>HYPERLINK("https://otsuka-europe-crm.veevavault.com/ui/#object/sent_email__v/VBL000000037278", "SE-001443970")</f>
        <v>SE-001443970</v>
      </c>
      <c r="F4746" s="23"/>
      <c r="G4746" s="24">
        <v>0</v>
      </c>
      <c r="H4746" s="24">
        <v>0</v>
      </c>
      <c r="I4746" s="24">
        <v>0</v>
      </c>
      <c r="J4746" s="23"/>
      <c r="K4746" s="24">
        <v>0</v>
      </c>
      <c r="L4746" s="22" t="str">
        <f>HYPERLINK("https://otsuka-europe-crm.veevavault.com/ui/#object/approved_document__v/V5O00000001V001", "LDM DR P2P Invite 12-Nov-26 v2 [digital]")</f>
        <v>LDM DR P2P Invite 12-Nov-26 v2 [digital]</v>
      </c>
      <c r="M4746" s="22" t="str">
        <f>HYPERLINK("mailto:draval@crm.otsuka-europe.com", "draval@crm.otsuka-europe.com")</f>
        <v>draval@crm.otsuka-europe.com</v>
      </c>
      <c r="N4746" s="25">
        <v>46217.653715277775</v>
      </c>
      <c r="O4746" s="14" t="str">
        <f>HYPERLINK("https://otsuka-europe-crm.veevavault.com/ui/#object/email_activity__v/V8C000000049595", "EN-002105994")</f>
        <v>EN-002105994</v>
      </c>
    </row>
    <row r="4747" spans="1:15" ht="16" x14ac:dyDescent="0.2">
      <c r="A4747" s="19"/>
      <c r="B4747" s="19"/>
      <c r="C4747" s="19"/>
      <c r="D4747" s="19"/>
      <c r="E4747" s="19"/>
      <c r="F4747" s="19"/>
      <c r="G4747" s="19"/>
      <c r="H4747" s="19"/>
      <c r="I4747" s="19"/>
      <c r="J4747" s="19"/>
      <c r="K4747" s="19"/>
      <c r="L4747" s="19"/>
      <c r="M4747" s="19"/>
      <c r="N4747" s="19"/>
      <c r="O4747" s="14" t="str">
        <f>HYPERLINK("https://otsuka-europe-crm.veevavault.com/ui/#object/email_activity__v/V8C000000049667", "EN-002106163")</f>
        <v>EN-002106163</v>
      </c>
    </row>
    <row r="4748" spans="1:15" ht="32" x14ac:dyDescent="0.2">
      <c r="A4748" s="7" t="str">
        <f>HYPERLINK("https://otsuka-europe-crm.veevavault.com/ui/#object/account__v/V4TZ0000062PL07", "Olugbenga Adewumi")</f>
        <v>Olugbenga Adewumi</v>
      </c>
      <c r="B4748" s="7" t="str">
        <f>HYPERLINK("https://otsuka-europe-crm.veevavault.com/ui/#object/vcountry__v/VENZ000004SONFK", "GB")</f>
        <v>GB</v>
      </c>
      <c r="C4748" s="8" t="s">
        <v>41</v>
      </c>
      <c r="D4748" s="9" t="str">
        <f>HYPERLINK("https://otsuka-europe-crm.veevavault.com/ui/#object/approved_document__v/V5O00000001V001", "LDM DR P2P Invite 12-Nov-26 v2 [digital]")</f>
        <v>LDM DR P2P Invite 12-Nov-26 v2 [digital]</v>
      </c>
      <c r="E4748" s="10" t="str">
        <f>HYPERLINK("https://otsuka-europe-crm.veevavault.com/ui/#object/sent_email__v/VBL000000038204", "SE-001443971")</f>
        <v>SE-001443971</v>
      </c>
      <c r="F4748" s="11"/>
      <c r="G4748" s="12">
        <v>0</v>
      </c>
      <c r="H4748" s="12">
        <v>0</v>
      </c>
      <c r="I4748" s="12">
        <v>0</v>
      </c>
      <c r="J4748" s="11"/>
      <c r="K4748" s="12">
        <v>0</v>
      </c>
      <c r="L4748" s="10" t="str">
        <f>HYPERLINK("https://otsuka-europe-crm.veevavault.com/ui/#object/approved_document__v/V5O00000001V001", "LDM DR P2P Invite 12-Nov-26 v2 [digital]")</f>
        <v>LDM DR P2P Invite 12-Nov-26 v2 [digital]</v>
      </c>
      <c r="M4748" s="10" t="str">
        <f>HYPERLINK("mailto:draval@crm.otsuka-europe.com", "draval@crm.otsuka-europe.com")</f>
        <v>draval@crm.otsuka-europe.com</v>
      </c>
      <c r="N4748" s="13">
        <v>46217.654027777775</v>
      </c>
      <c r="O4748" s="14" t="str">
        <f>HYPERLINK("https://otsuka-europe-crm.veevavault.com/ui/#object/email_activity__v/V8C000000049596", "EN-002105995")</f>
        <v>EN-002105995</v>
      </c>
    </row>
    <row r="4749" spans="1:15" ht="16" x14ac:dyDescent="0.2">
      <c r="A4749" s="18" t="str">
        <f>HYPERLINK("https://otsuka-europe-crm.veevavault.com/ui/#object/account__v/V4TZ0000062PCM5", "Michael Akeju")</f>
        <v>Michael Akeju</v>
      </c>
      <c r="B4749" s="18" t="str">
        <f>HYPERLINK("https://otsuka-europe-crm.veevavault.com/ui/#object/vcountry__v/VENZ000004SONFK", "GB")</f>
        <v>GB</v>
      </c>
      <c r="C4749" s="20" t="s">
        <v>41</v>
      </c>
      <c r="D4749" s="21" t="str">
        <f>HYPERLINK("https://otsuka-europe-crm.veevavault.com/ui/#object/approved_document__v/V5O00000001V001", "LDM DR P2P Invite 12-Nov-26 v2 [digital]")</f>
        <v>LDM DR P2P Invite 12-Nov-26 v2 [digital]</v>
      </c>
      <c r="E4749" s="22" t="str">
        <f>HYPERLINK("https://otsuka-europe-crm.veevavault.com/ui/#object/sent_email__v/VBL000000037279", "SE-001443972")</f>
        <v>SE-001443972</v>
      </c>
      <c r="F4749" s="25">
        <v>46237.62736111111</v>
      </c>
      <c r="G4749" s="24">
        <v>1</v>
      </c>
      <c r="H4749" s="24">
        <v>5</v>
      </c>
      <c r="I4749" s="24">
        <v>0</v>
      </c>
      <c r="J4749" s="23"/>
      <c r="K4749" s="24">
        <v>0</v>
      </c>
      <c r="L4749" s="22" t="str">
        <f>HYPERLINK("https://otsuka-europe-crm.veevavault.com/ui/#object/approved_document__v/V5O00000001V001", "LDM DR P2P Invite 12-Nov-26 v2 [digital]")</f>
        <v>LDM DR P2P Invite 12-Nov-26 v2 [digital]</v>
      </c>
      <c r="M4749" s="22" t="str">
        <f>HYPERLINK("mailto:draval@crm.otsuka-europe.com", "draval@crm.otsuka-europe.com")</f>
        <v>draval@crm.otsuka-europe.com</v>
      </c>
      <c r="N4749" s="25">
        <v>46217.654548611114</v>
      </c>
      <c r="O4749" s="14" t="str">
        <f>HYPERLINK("https://otsuka-europe-crm.veevavault.com/ui/#object/email_activity__v/V8C000000049597", "EN-002105996")</f>
        <v>EN-002105996</v>
      </c>
    </row>
    <row r="4750" spans="1:15" ht="16" x14ac:dyDescent="0.2">
      <c r="A4750" s="26"/>
      <c r="B4750" s="26"/>
      <c r="C4750" s="26"/>
      <c r="D4750" s="26"/>
      <c r="E4750" s="26"/>
      <c r="F4750" s="26"/>
      <c r="G4750" s="26"/>
      <c r="H4750" s="26"/>
      <c r="I4750" s="26"/>
      <c r="J4750" s="26"/>
      <c r="K4750" s="26"/>
      <c r="L4750" s="26"/>
      <c r="M4750" s="26"/>
      <c r="N4750" s="26"/>
      <c r="O4750" s="14" t="str">
        <f>HYPERLINK("https://otsuka-europe-crm.veevavault.com/ui/#object/email_activity__v/V8C00000004H225", "EN-002111331")</f>
        <v>EN-002111331</v>
      </c>
    </row>
    <row r="4751" spans="1:15" ht="16" x14ac:dyDescent="0.2">
      <c r="A4751" s="26"/>
      <c r="B4751" s="26"/>
      <c r="C4751" s="26"/>
      <c r="D4751" s="26"/>
      <c r="E4751" s="26"/>
      <c r="F4751" s="26"/>
      <c r="G4751" s="26"/>
      <c r="H4751" s="26"/>
      <c r="I4751" s="26"/>
      <c r="J4751" s="26"/>
      <c r="K4751" s="26"/>
      <c r="L4751" s="26"/>
      <c r="M4751" s="26"/>
      <c r="N4751" s="26"/>
      <c r="O4751" s="14" t="str">
        <f>HYPERLINK("https://otsuka-europe-crm.veevavault.com/ui/#object/email_activity__v/V8C00000004H226", "EN-002111332")</f>
        <v>EN-002111332</v>
      </c>
    </row>
    <row r="4752" spans="1:15" ht="16" x14ac:dyDescent="0.2">
      <c r="A4752" s="26"/>
      <c r="B4752" s="26"/>
      <c r="C4752" s="26"/>
      <c r="D4752" s="26"/>
      <c r="E4752" s="26"/>
      <c r="F4752" s="26"/>
      <c r="G4752" s="26"/>
      <c r="H4752" s="26"/>
      <c r="I4752" s="26"/>
      <c r="J4752" s="26"/>
      <c r="K4752" s="26"/>
      <c r="L4752" s="26"/>
      <c r="M4752" s="26"/>
      <c r="N4752" s="26"/>
      <c r="O4752" s="14" t="str">
        <f>HYPERLINK("https://otsuka-europe-crm.veevavault.com/ui/#object/email_activity__v/V8C00000004H227", "EN-002111334")</f>
        <v>EN-002111334</v>
      </c>
    </row>
    <row r="4753" spans="1:15" ht="16" x14ac:dyDescent="0.2">
      <c r="A4753" s="26"/>
      <c r="B4753" s="26"/>
      <c r="C4753" s="26"/>
      <c r="D4753" s="26"/>
      <c r="E4753" s="26"/>
      <c r="F4753" s="26"/>
      <c r="G4753" s="26"/>
      <c r="H4753" s="26"/>
      <c r="I4753" s="26"/>
      <c r="J4753" s="26"/>
      <c r="K4753" s="26"/>
      <c r="L4753" s="26"/>
      <c r="M4753" s="26"/>
      <c r="N4753" s="26"/>
      <c r="O4753" s="14" t="str">
        <f>HYPERLINK("https://otsuka-europe-crm.veevavault.com/ui/#object/email_activity__v/V8C00000004H228", "EN-002111336")</f>
        <v>EN-002111336</v>
      </c>
    </row>
    <row r="4754" spans="1:15" ht="16" x14ac:dyDescent="0.2">
      <c r="A4754" s="19"/>
      <c r="B4754" s="19"/>
      <c r="C4754" s="19"/>
      <c r="D4754" s="19"/>
      <c r="E4754" s="19"/>
      <c r="F4754" s="19"/>
      <c r="G4754" s="19"/>
      <c r="H4754" s="19"/>
      <c r="I4754" s="19"/>
      <c r="J4754" s="19"/>
      <c r="K4754" s="19"/>
      <c r="L4754" s="19"/>
      <c r="M4754" s="19"/>
      <c r="N4754" s="19"/>
      <c r="O4754" s="14" t="str">
        <f>HYPERLINK("https://otsuka-europe-crm.veevavault.com/ui/#object/email_activity__v/V8C00000004I157", "EN-002111333")</f>
        <v>EN-002111333</v>
      </c>
    </row>
    <row r="4755" spans="1:15" ht="16" x14ac:dyDescent="0.2">
      <c r="A4755" s="18" t="str">
        <f>HYPERLINK("https://otsuka-europe-crm.veevavault.com/ui/#object/account__v/V4TZ0000062PCOY", "Sabah Al-Bassam")</f>
        <v>Sabah Al-Bassam</v>
      </c>
      <c r="B4755" s="18" t="str">
        <f>HYPERLINK("https://otsuka-europe-crm.veevavault.com/ui/#object/vcountry__v/VENZ000004SONFK", "GB")</f>
        <v>GB</v>
      </c>
      <c r="C4755" s="20" t="s">
        <v>41</v>
      </c>
      <c r="D4755" s="21" t="str">
        <f>HYPERLINK("https://otsuka-europe-crm.veevavault.com/ui/#object/approved_document__v/V5O00000001V001", "LDM DR P2P Invite 12-Nov-26 v2 [digital]")</f>
        <v>LDM DR P2P Invite 12-Nov-26 v2 [digital]</v>
      </c>
      <c r="E4755" s="22" t="str">
        <f>HYPERLINK("https://otsuka-europe-crm.veevavault.com/ui/#object/sent_email__v/VBL000000038205", "SE-001443973")</f>
        <v>SE-001443973</v>
      </c>
      <c r="F4755" s="25">
        <v>46219.508599537039</v>
      </c>
      <c r="G4755" s="24">
        <v>1</v>
      </c>
      <c r="H4755" s="24">
        <v>5</v>
      </c>
      <c r="I4755" s="24">
        <v>0</v>
      </c>
      <c r="J4755" s="23"/>
      <c r="K4755" s="24">
        <v>0</v>
      </c>
      <c r="L4755" s="22" t="str">
        <f>HYPERLINK("https://otsuka-europe-crm.veevavault.com/ui/#object/approved_document__v/V5O00000001V001", "LDM DR P2P Invite 12-Nov-26 v2 [digital]")</f>
        <v>LDM DR P2P Invite 12-Nov-26 v2 [digital]</v>
      </c>
      <c r="M4755" s="22" t="str">
        <f>HYPERLINK("mailto:draval@crm.otsuka-europe.com", "draval@crm.otsuka-europe.com")</f>
        <v>draval@crm.otsuka-europe.com</v>
      </c>
      <c r="N4755" s="25">
        <v>46217.654687499999</v>
      </c>
      <c r="O4755" s="14" t="str">
        <f>HYPERLINK("https://otsuka-europe-crm.veevavault.com/ui/#object/email_activity__v/V8C000000049598", "EN-002105997")</f>
        <v>EN-002105997</v>
      </c>
    </row>
    <row r="4756" spans="1:15" ht="16" x14ac:dyDescent="0.2">
      <c r="A4756" s="26"/>
      <c r="B4756" s="26"/>
      <c r="C4756" s="26"/>
      <c r="D4756" s="26"/>
      <c r="E4756" s="26"/>
      <c r="F4756" s="26"/>
      <c r="G4756" s="26"/>
      <c r="H4756" s="26"/>
      <c r="I4756" s="26"/>
      <c r="J4756" s="26"/>
      <c r="K4756" s="26"/>
      <c r="L4756" s="26"/>
      <c r="M4756" s="26"/>
      <c r="N4756" s="26"/>
      <c r="O4756" s="14" t="str">
        <f>HYPERLINK("https://otsuka-europe-crm.veevavault.com/ui/#object/email_activity__v/V8C000000049599", "EN-002105998")</f>
        <v>EN-002105998</v>
      </c>
    </row>
    <row r="4757" spans="1:15" ht="16" x14ac:dyDescent="0.2">
      <c r="A4757" s="26"/>
      <c r="B4757" s="26"/>
      <c r="C4757" s="26"/>
      <c r="D4757" s="26"/>
      <c r="E4757" s="26"/>
      <c r="F4757" s="26"/>
      <c r="G4757" s="26"/>
      <c r="H4757" s="26"/>
      <c r="I4757" s="26"/>
      <c r="J4757" s="26"/>
      <c r="K4757" s="26"/>
      <c r="L4757" s="26"/>
      <c r="M4757" s="26"/>
      <c r="N4757" s="26"/>
      <c r="O4757" s="14" t="str">
        <f>HYPERLINK("https://otsuka-europe-crm.veevavault.com/ui/#object/email_activity__v/V8C000000049807", "EN-002106452")</f>
        <v>EN-002106452</v>
      </c>
    </row>
    <row r="4758" spans="1:15" ht="16" x14ac:dyDescent="0.2">
      <c r="A4758" s="26"/>
      <c r="B4758" s="26"/>
      <c r="C4758" s="26"/>
      <c r="D4758" s="26"/>
      <c r="E4758" s="26"/>
      <c r="F4758" s="26"/>
      <c r="G4758" s="26"/>
      <c r="H4758" s="26"/>
      <c r="I4758" s="26"/>
      <c r="J4758" s="26"/>
      <c r="K4758" s="26"/>
      <c r="L4758" s="26"/>
      <c r="M4758" s="26"/>
      <c r="N4758" s="26"/>
      <c r="O4758" s="14" t="str">
        <f>HYPERLINK("https://otsuka-europe-crm.veevavault.com/ui/#object/email_activity__v/V8C000000049841", "EN-002106530")</f>
        <v>EN-002106530</v>
      </c>
    </row>
    <row r="4759" spans="1:15" ht="16" x14ac:dyDescent="0.2">
      <c r="A4759" s="26"/>
      <c r="B4759" s="26"/>
      <c r="C4759" s="26"/>
      <c r="D4759" s="26"/>
      <c r="E4759" s="26"/>
      <c r="F4759" s="26"/>
      <c r="G4759" s="26"/>
      <c r="H4759" s="26"/>
      <c r="I4759" s="26"/>
      <c r="J4759" s="26"/>
      <c r="K4759" s="26"/>
      <c r="L4759" s="26"/>
      <c r="M4759" s="26"/>
      <c r="N4759" s="26"/>
      <c r="O4759" s="14" t="str">
        <f>HYPERLINK("https://otsuka-europe-crm.veevavault.com/ui/#object/email_activity__v/V8C000000049883", "EN-002106639")</f>
        <v>EN-002106639</v>
      </c>
    </row>
    <row r="4760" spans="1:15" ht="16" x14ac:dyDescent="0.2">
      <c r="A4760" s="19"/>
      <c r="B4760" s="19"/>
      <c r="C4760" s="19"/>
      <c r="D4760" s="19"/>
      <c r="E4760" s="19"/>
      <c r="F4760" s="19"/>
      <c r="G4760" s="19"/>
      <c r="H4760" s="19"/>
      <c r="I4760" s="19"/>
      <c r="J4760" s="19"/>
      <c r="K4760" s="19"/>
      <c r="L4760" s="19"/>
      <c r="M4760" s="19"/>
      <c r="N4760" s="19"/>
      <c r="O4760" s="14" t="str">
        <f>HYPERLINK("https://otsuka-europe-crm.veevavault.com/ui/#object/email_activity__v/V8C00000004A780", "EN-002106453")</f>
        <v>EN-002106453</v>
      </c>
    </row>
    <row r="4761" spans="1:15" ht="32" x14ac:dyDescent="0.2">
      <c r="A4761" s="7" t="str">
        <f>HYPERLINK("https://otsuka-europe-crm.veevavault.com/ui/#object/account__v/V4TZ0000062PCOR", "Samuel Aladerun")</f>
        <v>Samuel Aladerun</v>
      </c>
      <c r="B4761" s="7" t="str">
        <f>HYPERLINK("https://otsuka-europe-crm.veevavault.com/ui/#object/vcountry__v/VENZ000004SONFK", "GB")</f>
        <v>GB</v>
      </c>
      <c r="C4761" s="8" t="s">
        <v>41</v>
      </c>
      <c r="D4761" s="9" t="str">
        <f>HYPERLINK("https://otsuka-europe-crm.veevavault.com/ui/#object/approved_document__v/V5O00000001V001", "LDM DR P2P Invite 12-Nov-26 v2 [digital]")</f>
        <v>LDM DR P2P Invite 12-Nov-26 v2 [digital]</v>
      </c>
      <c r="E4761" s="10" t="str">
        <f>HYPERLINK("https://otsuka-europe-crm.veevavault.com/ui/#object/sent_email__v/VBL000000037280", "SE-001443974")</f>
        <v>SE-001443974</v>
      </c>
      <c r="F4761" s="11"/>
      <c r="G4761" s="12">
        <v>0</v>
      </c>
      <c r="H4761" s="12">
        <v>0</v>
      </c>
      <c r="I4761" s="12">
        <v>0</v>
      </c>
      <c r="J4761" s="11"/>
      <c r="K4761" s="12">
        <v>0</v>
      </c>
      <c r="L4761" s="10" t="str">
        <f>HYPERLINK("https://otsuka-europe-crm.veevavault.com/ui/#object/approved_document__v/V5O00000001V001", "LDM DR P2P Invite 12-Nov-26 v2 [digital]")</f>
        <v>LDM DR P2P Invite 12-Nov-26 v2 [digital]</v>
      </c>
      <c r="M4761" s="10" t="str">
        <f>HYPERLINK("mailto:draval@crm.otsuka-europe.com", "draval@crm.otsuka-europe.com")</f>
        <v>draval@crm.otsuka-europe.com</v>
      </c>
      <c r="N4761" s="13">
        <v>46217.654895833337</v>
      </c>
      <c r="O4761" s="14" t="str">
        <f>HYPERLINK("https://otsuka-europe-crm.veevavault.com/ui/#object/email_activity__v/V8C000000049600", "EN-002105999")</f>
        <v>EN-002105999</v>
      </c>
    </row>
    <row r="4762" spans="1:15" ht="32" x14ac:dyDescent="0.2">
      <c r="A4762" s="7" t="str">
        <f>HYPERLINK("https://otsuka-europe-crm.veevavault.com/ui/#object/account__v/V4TZ04ASGEOSQ0J", "Chizerem Asoegwu")</f>
        <v>Chizerem Asoegwu</v>
      </c>
      <c r="B4762" s="7" t="str">
        <f>HYPERLINK("https://otsuka-europe-crm.veevavault.com/ui/#object/vcountry__v/VENZ000004SONFK", "GB")</f>
        <v>GB</v>
      </c>
      <c r="C4762" s="8" t="s">
        <v>41</v>
      </c>
      <c r="D4762" s="9" t="str">
        <f>HYPERLINK("https://otsuka-europe-crm.veevavault.com/ui/#object/approved_document__v/V5O00000001V001", "LDM DR P2P Invite 12-Nov-26 v2 [digital]")</f>
        <v>LDM DR P2P Invite 12-Nov-26 v2 [digital]</v>
      </c>
      <c r="E4762" s="10" t="str">
        <f>HYPERLINK("https://otsuka-europe-crm.veevavault.com/ui/#object/sent_email__v/VBL000000038206", "SE-001443975")</f>
        <v>SE-001443975</v>
      </c>
      <c r="F4762" s="11"/>
      <c r="G4762" s="12">
        <v>0</v>
      </c>
      <c r="H4762" s="12">
        <v>0</v>
      </c>
      <c r="I4762" s="12">
        <v>0</v>
      </c>
      <c r="J4762" s="11"/>
      <c r="K4762" s="12">
        <v>0</v>
      </c>
      <c r="L4762" s="10" t="str">
        <f>HYPERLINK("https://otsuka-europe-crm.veevavault.com/ui/#object/approved_document__v/V5O00000001V001", "LDM DR P2P Invite 12-Nov-26 v2 [digital]")</f>
        <v>LDM DR P2P Invite 12-Nov-26 v2 [digital]</v>
      </c>
      <c r="M4762" s="10" t="str">
        <f>HYPERLINK("mailto:draval@crm.otsuka-europe.com", "draval@crm.otsuka-europe.com")</f>
        <v>draval@crm.otsuka-europe.com</v>
      </c>
      <c r="N4762" s="13">
        <v>46217.655243055553</v>
      </c>
      <c r="O4762" s="14" t="str">
        <f>HYPERLINK("https://otsuka-europe-crm.veevavault.com/ui/#object/email_activity__v/V8C000000049602", "EN-002106001")</f>
        <v>EN-002106001</v>
      </c>
    </row>
    <row r="4763" spans="1:15" ht="32" x14ac:dyDescent="0.2">
      <c r="A4763" s="7" t="str">
        <f>HYPERLINK("https://otsuka-europe-crm.veevavault.com/ui/#object/account__v/V4TZ025E887JSRB", "Emmanuel Attakpah")</f>
        <v>Emmanuel Attakpah</v>
      </c>
      <c r="B4763" s="7" t="str">
        <f>HYPERLINK("https://otsuka-europe-crm.veevavault.com/ui/#object/vcountry__v/VENZ000004SONFK", "GB")</f>
        <v>GB</v>
      </c>
      <c r="C4763" s="8" t="s">
        <v>41</v>
      </c>
      <c r="D4763" s="9" t="str">
        <f>HYPERLINK("https://otsuka-europe-crm.veevavault.com/ui/#object/approved_document__v/V5O00000001V001", "LDM DR P2P Invite 12-Nov-26 v2 [digital]")</f>
        <v>LDM DR P2P Invite 12-Nov-26 v2 [digital]</v>
      </c>
      <c r="E4763" s="10" t="str">
        <f>HYPERLINK("https://otsuka-europe-crm.veevavault.com/ui/#object/sent_email__v/VBL000000038207", "SE-001443976")</f>
        <v>SE-001443976</v>
      </c>
      <c r="F4763" s="11"/>
      <c r="G4763" s="12">
        <v>0</v>
      </c>
      <c r="H4763" s="12">
        <v>0</v>
      </c>
      <c r="I4763" s="12">
        <v>0</v>
      </c>
      <c r="J4763" s="11"/>
      <c r="K4763" s="12">
        <v>0</v>
      </c>
      <c r="L4763" s="10" t="str">
        <f>HYPERLINK("https://otsuka-europe-crm.veevavault.com/ui/#object/approved_document__v/V5O00000001V001", "LDM DR P2P Invite 12-Nov-26 v2 [digital]")</f>
        <v>LDM DR P2P Invite 12-Nov-26 v2 [digital]</v>
      </c>
      <c r="M4763" s="10" t="str">
        <f>HYPERLINK("mailto:draval@crm.otsuka-europe.com", "draval@crm.otsuka-europe.com")</f>
        <v>draval@crm.otsuka-europe.com</v>
      </c>
      <c r="N4763" s="13">
        <v>46217.65525462963</v>
      </c>
      <c r="O4763" s="14" t="str">
        <f>HYPERLINK("https://otsuka-europe-crm.veevavault.com/ui/#object/email_activity__v/V8C000000049601", "EN-002106000")</f>
        <v>EN-002106000</v>
      </c>
    </row>
    <row r="4764" spans="1:15" ht="16" x14ac:dyDescent="0.2">
      <c r="A4764" s="18" t="str">
        <f>HYPERLINK("https://otsuka-europe-crm.veevavault.com/ui/#object/account__v/V4TZ0000062PCYD", "Khalid Aziz")</f>
        <v>Khalid Aziz</v>
      </c>
      <c r="B4764" s="18" t="str">
        <f>HYPERLINK("https://otsuka-europe-crm.veevavault.com/ui/#object/vcountry__v/VENZ000004SONFK", "GB")</f>
        <v>GB</v>
      </c>
      <c r="C4764" s="20" t="s">
        <v>41</v>
      </c>
      <c r="D4764" s="21" t="str">
        <f>HYPERLINK("https://otsuka-europe-crm.veevavault.com/ui/#object/approved_document__v/V5O00000001V001", "LDM DR P2P Invite 12-Nov-26 v2 [digital]")</f>
        <v>LDM DR P2P Invite 12-Nov-26 v2 [digital]</v>
      </c>
      <c r="E4764" s="22" t="str">
        <f>HYPERLINK("https://otsuka-europe-crm.veevavault.com/ui/#object/sent_email__v/VBL000000037281", "SE-001443977")</f>
        <v>SE-001443977</v>
      </c>
      <c r="F4764" s="25">
        <v>46217.731261574074</v>
      </c>
      <c r="G4764" s="24">
        <v>1</v>
      </c>
      <c r="H4764" s="24">
        <v>9</v>
      </c>
      <c r="I4764" s="24">
        <v>0</v>
      </c>
      <c r="J4764" s="23"/>
      <c r="K4764" s="24">
        <v>0</v>
      </c>
      <c r="L4764" s="22" t="str">
        <f>HYPERLINK("https://otsuka-europe-crm.veevavault.com/ui/#object/approved_document__v/V5O00000001V001", "LDM DR P2P Invite 12-Nov-26 v2 [digital]")</f>
        <v>LDM DR P2P Invite 12-Nov-26 v2 [digital]</v>
      </c>
      <c r="M4764" s="22" t="str">
        <f>HYPERLINK("mailto:draval@crm.otsuka-europe.com", "draval@crm.otsuka-europe.com")</f>
        <v>draval@crm.otsuka-europe.com</v>
      </c>
      <c r="N4764" s="25">
        <v>46217.655474537038</v>
      </c>
      <c r="O4764" s="14" t="str">
        <f>HYPERLINK("https://otsuka-europe-crm.veevavault.com/ui/#object/email_activity__v/V8C000000049603", "EN-002106002")</f>
        <v>EN-002106002</v>
      </c>
    </row>
    <row r="4765" spans="1:15" ht="16" x14ac:dyDescent="0.2">
      <c r="A4765" s="26"/>
      <c r="B4765" s="26"/>
      <c r="C4765" s="26"/>
      <c r="D4765" s="26"/>
      <c r="E4765" s="26"/>
      <c r="F4765" s="26"/>
      <c r="G4765" s="26"/>
      <c r="H4765" s="26"/>
      <c r="I4765" s="26"/>
      <c r="J4765" s="26"/>
      <c r="K4765" s="26"/>
      <c r="L4765" s="26"/>
      <c r="M4765" s="26"/>
      <c r="N4765" s="26"/>
      <c r="O4765" s="14" t="str">
        <f>HYPERLINK("https://otsuka-europe-crm.veevavault.com/ui/#object/email_activity__v/V8C000000049634", "EN-002106099")</f>
        <v>EN-002106099</v>
      </c>
    </row>
    <row r="4766" spans="1:15" ht="16" x14ac:dyDescent="0.2">
      <c r="A4766" s="26"/>
      <c r="B4766" s="26"/>
      <c r="C4766" s="26"/>
      <c r="D4766" s="26"/>
      <c r="E4766" s="26"/>
      <c r="F4766" s="26"/>
      <c r="G4766" s="26"/>
      <c r="H4766" s="26"/>
      <c r="I4766" s="26"/>
      <c r="J4766" s="26"/>
      <c r="K4766" s="26"/>
      <c r="L4766" s="26"/>
      <c r="M4766" s="26"/>
      <c r="N4766" s="26"/>
      <c r="O4766" s="14" t="str">
        <f>HYPERLINK("https://otsuka-europe-crm.veevavault.com/ui/#object/email_activity__v/V8C000000049635", "EN-002106100")</f>
        <v>EN-002106100</v>
      </c>
    </row>
    <row r="4767" spans="1:15" ht="16" x14ac:dyDescent="0.2">
      <c r="A4767" s="26"/>
      <c r="B4767" s="26"/>
      <c r="C4767" s="26"/>
      <c r="D4767" s="26"/>
      <c r="E4767" s="26"/>
      <c r="F4767" s="26"/>
      <c r="G4767" s="26"/>
      <c r="H4767" s="26"/>
      <c r="I4767" s="26"/>
      <c r="J4767" s="26"/>
      <c r="K4767" s="26"/>
      <c r="L4767" s="26"/>
      <c r="M4767" s="26"/>
      <c r="N4767" s="26"/>
      <c r="O4767" s="14" t="str">
        <f>HYPERLINK("https://otsuka-europe-crm.veevavault.com/ui/#object/email_activity__v/V8C000000049636", "EN-002106101")</f>
        <v>EN-002106101</v>
      </c>
    </row>
    <row r="4768" spans="1:15" ht="16" x14ac:dyDescent="0.2">
      <c r="A4768" s="26"/>
      <c r="B4768" s="26"/>
      <c r="C4768" s="26"/>
      <c r="D4768" s="26"/>
      <c r="E4768" s="26"/>
      <c r="F4768" s="26"/>
      <c r="G4768" s="26"/>
      <c r="H4768" s="26"/>
      <c r="I4768" s="26"/>
      <c r="J4768" s="26"/>
      <c r="K4768" s="26"/>
      <c r="L4768" s="26"/>
      <c r="M4768" s="26"/>
      <c r="N4768" s="26"/>
      <c r="O4768" s="14" t="str">
        <f>HYPERLINK("https://otsuka-europe-crm.veevavault.com/ui/#object/email_activity__v/V8C000000049637", "EN-002106102")</f>
        <v>EN-002106102</v>
      </c>
    </row>
    <row r="4769" spans="1:15" ht="16" x14ac:dyDescent="0.2">
      <c r="A4769" s="26"/>
      <c r="B4769" s="26"/>
      <c r="C4769" s="26"/>
      <c r="D4769" s="26"/>
      <c r="E4769" s="26"/>
      <c r="F4769" s="26"/>
      <c r="G4769" s="26"/>
      <c r="H4769" s="26"/>
      <c r="I4769" s="26"/>
      <c r="J4769" s="26"/>
      <c r="K4769" s="26"/>
      <c r="L4769" s="26"/>
      <c r="M4769" s="26"/>
      <c r="N4769" s="26"/>
      <c r="O4769" s="14" t="str">
        <f>HYPERLINK("https://otsuka-europe-crm.veevavault.com/ui/#object/email_activity__v/V8C000000049638", "EN-002106105")</f>
        <v>EN-002106105</v>
      </c>
    </row>
    <row r="4770" spans="1:15" ht="16" x14ac:dyDescent="0.2">
      <c r="A4770" s="26"/>
      <c r="B4770" s="26"/>
      <c r="C4770" s="26"/>
      <c r="D4770" s="26"/>
      <c r="E4770" s="26"/>
      <c r="F4770" s="26"/>
      <c r="G4770" s="26"/>
      <c r="H4770" s="26"/>
      <c r="I4770" s="26"/>
      <c r="J4770" s="26"/>
      <c r="K4770" s="26"/>
      <c r="L4770" s="26"/>
      <c r="M4770" s="26"/>
      <c r="N4770" s="26"/>
      <c r="O4770" s="14" t="str">
        <f>HYPERLINK("https://otsuka-europe-crm.veevavault.com/ui/#object/email_activity__v/V8C000000049640", "EN-002106108")</f>
        <v>EN-002106108</v>
      </c>
    </row>
    <row r="4771" spans="1:15" ht="16" x14ac:dyDescent="0.2">
      <c r="A4771" s="26"/>
      <c r="B4771" s="26"/>
      <c r="C4771" s="26"/>
      <c r="D4771" s="26"/>
      <c r="E4771" s="26"/>
      <c r="F4771" s="26"/>
      <c r="G4771" s="26"/>
      <c r="H4771" s="26"/>
      <c r="I4771" s="26"/>
      <c r="J4771" s="26"/>
      <c r="K4771" s="26"/>
      <c r="L4771" s="26"/>
      <c r="M4771" s="26"/>
      <c r="N4771" s="26"/>
      <c r="O4771" s="14" t="str">
        <f>HYPERLINK("https://otsuka-europe-crm.veevavault.com/ui/#object/email_activity__v/V8C00000004A601", "EN-002106104")</f>
        <v>EN-002106104</v>
      </c>
    </row>
    <row r="4772" spans="1:15" ht="16" x14ac:dyDescent="0.2">
      <c r="A4772" s="26"/>
      <c r="B4772" s="26"/>
      <c r="C4772" s="26"/>
      <c r="D4772" s="26"/>
      <c r="E4772" s="26"/>
      <c r="F4772" s="26"/>
      <c r="G4772" s="26"/>
      <c r="H4772" s="26"/>
      <c r="I4772" s="26"/>
      <c r="J4772" s="26"/>
      <c r="K4772" s="26"/>
      <c r="L4772" s="26"/>
      <c r="M4772" s="26"/>
      <c r="N4772" s="26"/>
      <c r="O4772" s="14" t="str">
        <f>HYPERLINK("https://otsuka-europe-crm.veevavault.com/ui/#object/email_activity__v/V8C00000004A602", "EN-002106106")</f>
        <v>EN-002106106</v>
      </c>
    </row>
    <row r="4773" spans="1:15" ht="16" x14ac:dyDescent="0.2">
      <c r="A4773" s="19"/>
      <c r="B4773" s="19"/>
      <c r="C4773" s="19"/>
      <c r="D4773" s="19"/>
      <c r="E4773" s="19"/>
      <c r="F4773" s="19"/>
      <c r="G4773" s="19"/>
      <c r="H4773" s="19"/>
      <c r="I4773" s="19"/>
      <c r="J4773" s="19"/>
      <c r="K4773" s="19"/>
      <c r="L4773" s="19"/>
      <c r="M4773" s="19"/>
      <c r="N4773" s="19"/>
      <c r="O4773" s="14" t="str">
        <f>HYPERLINK("https://otsuka-europe-crm.veevavault.com/ui/#object/email_activity__v/V8C00000004A620", "EN-002106146")</f>
        <v>EN-002106146</v>
      </c>
    </row>
    <row r="4774" spans="1:15" ht="16" x14ac:dyDescent="0.2">
      <c r="A4774" s="18" t="str">
        <f>HYPERLINK("https://otsuka-europe-crm.veevavault.com/ui/#object/account__v/V4TZ025E84K1HHV", "Mohammad Bakhtiar")</f>
        <v>Mohammad Bakhtiar</v>
      </c>
      <c r="B4774" s="18" t="str">
        <f>HYPERLINK("https://otsuka-europe-crm.veevavault.com/ui/#object/vcountry__v/VENZ000004SONFK", "GB")</f>
        <v>GB</v>
      </c>
      <c r="C4774" s="20" t="s">
        <v>41</v>
      </c>
      <c r="D4774" s="21" t="str">
        <f>HYPERLINK("https://otsuka-europe-crm.veevavault.com/ui/#object/approved_document__v/V5O00000001V001", "LDM DR P2P Invite 12-Nov-26 v2 [digital]")</f>
        <v>LDM DR P2P Invite 12-Nov-26 v2 [digital]</v>
      </c>
      <c r="E4774" s="22" t="str">
        <f>HYPERLINK("https://otsuka-europe-crm.veevavault.com/ui/#object/sent_email__v/VBL000000037282", "SE-001443978")</f>
        <v>SE-001443978</v>
      </c>
      <c r="F4774" s="25">
        <v>46217.655798611115</v>
      </c>
      <c r="G4774" s="24">
        <v>1</v>
      </c>
      <c r="H4774" s="24">
        <v>1</v>
      </c>
      <c r="I4774" s="24">
        <v>1</v>
      </c>
      <c r="J4774" s="25">
        <v>46217.655798611115</v>
      </c>
      <c r="K4774" s="24">
        <v>1</v>
      </c>
      <c r="L4774" s="22" t="str">
        <f>HYPERLINK("https://otsuka-europe-crm.veevavault.com/ui/#object/approved_document__v/V5O00000001V001", "LDM DR P2P Invite 12-Nov-26 v2 [digital]")</f>
        <v>LDM DR P2P Invite 12-Nov-26 v2 [digital]</v>
      </c>
      <c r="M4774" s="22" t="str">
        <f>HYPERLINK("mailto:draval@crm.otsuka-europe.com", "draval@crm.otsuka-europe.com")</f>
        <v>draval@crm.otsuka-europe.com</v>
      </c>
      <c r="N4774" s="25">
        <v>46217.655752314815</v>
      </c>
      <c r="O4774" s="14" t="str">
        <f>HYPERLINK("https://otsuka-europe-crm.veevavault.com/ui/#object/email_activity__v/V8C000000049604", "EN-002106005")</f>
        <v>EN-002106005</v>
      </c>
    </row>
    <row r="4775" spans="1:15" ht="16" x14ac:dyDescent="0.2">
      <c r="A4775" s="26"/>
      <c r="B4775" s="26"/>
      <c r="C4775" s="26"/>
      <c r="D4775" s="26"/>
      <c r="E4775" s="26"/>
      <c r="F4775" s="26"/>
      <c r="G4775" s="26"/>
      <c r="H4775" s="26"/>
      <c r="I4775" s="26"/>
      <c r="J4775" s="26"/>
      <c r="K4775" s="26"/>
      <c r="L4775" s="26"/>
      <c r="M4775" s="26"/>
      <c r="N4775" s="26"/>
      <c r="O4775" s="14" t="str">
        <f>HYPERLINK("https://otsuka-europe-crm.veevavault.com/ui/#object/email_activity__v/V8C000000049605", "EN-002106004")</f>
        <v>EN-002106004</v>
      </c>
    </row>
    <row r="4776" spans="1:15" ht="16" x14ac:dyDescent="0.2">
      <c r="A4776" s="19"/>
      <c r="B4776" s="19"/>
      <c r="C4776" s="19"/>
      <c r="D4776" s="19"/>
      <c r="E4776" s="19"/>
      <c r="F4776" s="19"/>
      <c r="G4776" s="19"/>
      <c r="H4776" s="19"/>
      <c r="I4776" s="19"/>
      <c r="J4776" s="19"/>
      <c r="K4776" s="19"/>
      <c r="L4776" s="19"/>
      <c r="M4776" s="19"/>
      <c r="N4776" s="19"/>
      <c r="O4776" s="14" t="str">
        <f>HYPERLINK("https://otsuka-europe-crm.veevavault.com/ui/#object/email_activity__v/V8C00000004A534", "EN-002106003")</f>
        <v>EN-002106003</v>
      </c>
    </row>
    <row r="4777" spans="1:15" ht="32" x14ac:dyDescent="0.2">
      <c r="A4777" s="7" t="str">
        <f>HYPERLINK("https://otsuka-europe-crm.veevavault.com/ui/#object/account__v/V4TZ025E84XA9B2", "Srinath Bejjenki")</f>
        <v>Srinath Bejjenki</v>
      </c>
      <c r="B4777" s="7" t="str">
        <f>HYPERLINK("https://otsuka-europe-crm.veevavault.com/ui/#object/vcountry__v/VENZ000004SONFK", "GB")</f>
        <v>GB</v>
      </c>
      <c r="C4777" s="8" t="s">
        <v>41</v>
      </c>
      <c r="D4777" s="9" t="str">
        <f>HYPERLINK("https://otsuka-europe-crm.veevavault.com/ui/#object/approved_document__v/V5O00000001V001", "LDM DR P2P Invite 12-Nov-26 v2 [digital]")</f>
        <v>LDM DR P2P Invite 12-Nov-26 v2 [digital]</v>
      </c>
      <c r="E4777" s="10" t="str">
        <f>HYPERLINK("https://otsuka-europe-crm.veevavault.com/ui/#object/sent_email__v/VBL000000037283", "SE-001443979")</f>
        <v>SE-001443979</v>
      </c>
      <c r="F4777" s="11"/>
      <c r="G4777" s="12">
        <v>0</v>
      </c>
      <c r="H4777" s="12">
        <v>0</v>
      </c>
      <c r="I4777" s="12">
        <v>0</v>
      </c>
      <c r="J4777" s="11"/>
      <c r="K4777" s="12">
        <v>0</v>
      </c>
      <c r="L4777" s="10" t="str">
        <f>HYPERLINK("https://otsuka-europe-crm.veevavault.com/ui/#object/approved_document__v/V5O00000001V001", "LDM DR P2P Invite 12-Nov-26 v2 [digital]")</f>
        <v>LDM DR P2P Invite 12-Nov-26 v2 [digital]</v>
      </c>
      <c r="M4777" s="10" t="str">
        <f>HYPERLINK("mailto:draval@crm.otsuka-europe.com", "draval@crm.otsuka-europe.com")</f>
        <v>draval@crm.otsuka-europe.com</v>
      </c>
      <c r="N4777" s="13">
        <v>46217.655775462961</v>
      </c>
      <c r="O4777" s="14" t="str">
        <f>HYPERLINK("https://otsuka-europe-crm.veevavault.com/ui/#object/email_activity__v/V8C000000049606", "EN-002106006")</f>
        <v>EN-002106006</v>
      </c>
    </row>
    <row r="4778" spans="1:15" ht="16" x14ac:dyDescent="0.2">
      <c r="A4778" s="18" t="str">
        <f>HYPERLINK("https://otsuka-europe-crm.veevavault.com/ui/#object/account__v/V4TZ04ASG7A062O", "Gurbachan Bilku")</f>
        <v>Gurbachan Bilku</v>
      </c>
      <c r="B4778" s="18" t="str">
        <f>HYPERLINK("https://otsuka-europe-crm.veevavault.com/ui/#object/vcountry__v/VENZ000004SONFK", "GB")</f>
        <v>GB</v>
      </c>
      <c r="C4778" s="20" t="s">
        <v>41</v>
      </c>
      <c r="D4778" s="21" t="str">
        <f>HYPERLINK("https://otsuka-europe-crm.veevavault.com/ui/#object/approved_document__v/V5O00000001V001", "LDM DR P2P Invite 12-Nov-26 v2 [digital]")</f>
        <v>LDM DR P2P Invite 12-Nov-26 v2 [digital]</v>
      </c>
      <c r="E4778" s="22" t="str">
        <f>HYPERLINK("https://otsuka-europe-crm.veevavault.com/ui/#object/sent_email__v/VBL000000037284", "SE-001443980")</f>
        <v>SE-001443980</v>
      </c>
      <c r="F4778" s="25">
        <v>46218.372083333335</v>
      </c>
      <c r="G4778" s="24">
        <v>1</v>
      </c>
      <c r="H4778" s="24">
        <v>1</v>
      </c>
      <c r="I4778" s="24">
        <v>0</v>
      </c>
      <c r="J4778" s="23"/>
      <c r="K4778" s="24">
        <v>0</v>
      </c>
      <c r="L4778" s="22" t="str">
        <f>HYPERLINK("https://otsuka-europe-crm.veevavault.com/ui/#object/approved_document__v/V5O00000001V001", "LDM DR P2P Invite 12-Nov-26 v2 [digital]")</f>
        <v>LDM DR P2P Invite 12-Nov-26 v2 [digital]</v>
      </c>
      <c r="M4778" s="22" t="str">
        <f>HYPERLINK("mailto:draval@crm.otsuka-europe.com", "draval@crm.otsuka-europe.com")</f>
        <v>draval@crm.otsuka-europe.com</v>
      </c>
      <c r="N4778" s="25">
        <v>46217.655925925923</v>
      </c>
      <c r="O4778" s="14" t="str">
        <f>HYPERLINK("https://otsuka-europe-crm.veevavault.com/ui/#object/email_activity__v/V8C000000049607", "EN-002106007")</f>
        <v>EN-002106007</v>
      </c>
    </row>
    <row r="4779" spans="1:15" ht="16" x14ac:dyDescent="0.2">
      <c r="A4779" s="19"/>
      <c r="B4779" s="19"/>
      <c r="C4779" s="19"/>
      <c r="D4779" s="19"/>
      <c r="E4779" s="19"/>
      <c r="F4779" s="19"/>
      <c r="G4779" s="19"/>
      <c r="H4779" s="19"/>
      <c r="I4779" s="19"/>
      <c r="J4779" s="19"/>
      <c r="K4779" s="19"/>
      <c r="L4779" s="19"/>
      <c r="M4779" s="19"/>
      <c r="N4779" s="19"/>
      <c r="O4779" s="14" t="str">
        <f>HYPERLINK("https://otsuka-europe-crm.veevavault.com/ui/#object/email_activity__v/V8C00000004A656", "EN-002106224")</f>
        <v>EN-002106224</v>
      </c>
    </row>
    <row r="4780" spans="1:15" ht="16" x14ac:dyDescent="0.2">
      <c r="A4780" s="18" t="str">
        <f>HYPERLINK("https://otsuka-europe-crm.veevavault.com/ui/#object/account__v/V4TZ06G6O90MCZP", "Celestine Buluma")</f>
        <v>Celestine Buluma</v>
      </c>
      <c r="B4780" s="18" t="str">
        <f>HYPERLINK("https://otsuka-europe-crm.veevavault.com/ui/#object/vcountry__v/VENZ000004SONFK", "GB")</f>
        <v>GB</v>
      </c>
      <c r="C4780" s="20" t="s">
        <v>41</v>
      </c>
      <c r="D4780" s="21" t="str">
        <f>HYPERLINK("https://otsuka-europe-crm.veevavault.com/ui/#object/approved_document__v/V5O00000001V001", "LDM DR P2P Invite 12-Nov-26 v2 [digital]")</f>
        <v>LDM DR P2P Invite 12-Nov-26 v2 [digital]</v>
      </c>
      <c r="E4780" s="22" t="str">
        <f>HYPERLINK("https://otsuka-europe-crm.veevavault.com/ui/#object/sent_email__v/VBL000000037285", "SE-001443981")</f>
        <v>SE-001443981</v>
      </c>
      <c r="F4780" s="25">
        <v>46217.672106481485</v>
      </c>
      <c r="G4780" s="24">
        <v>1</v>
      </c>
      <c r="H4780" s="24">
        <v>3</v>
      </c>
      <c r="I4780" s="24">
        <v>0</v>
      </c>
      <c r="J4780" s="23"/>
      <c r="K4780" s="24">
        <v>0</v>
      </c>
      <c r="L4780" s="22" t="str">
        <f>HYPERLINK("https://otsuka-europe-crm.veevavault.com/ui/#object/approved_document__v/V5O00000001V001", "LDM DR P2P Invite 12-Nov-26 v2 [digital]")</f>
        <v>LDM DR P2P Invite 12-Nov-26 v2 [digital]</v>
      </c>
      <c r="M4780" s="22" t="str">
        <f>HYPERLINK("mailto:draval@crm.otsuka-europe.com", "draval@crm.otsuka-europe.com")</f>
        <v>draval@crm.otsuka-europe.com</v>
      </c>
      <c r="N4780" s="25">
        <v>46217.656111111108</v>
      </c>
      <c r="O4780" s="14" t="str">
        <f>HYPERLINK("https://otsuka-europe-crm.veevavault.com/ui/#object/email_activity__v/V8C000000049608", "EN-002106008")</f>
        <v>EN-002106008</v>
      </c>
    </row>
    <row r="4781" spans="1:15" ht="16" x14ac:dyDescent="0.2">
      <c r="A4781" s="26"/>
      <c r="B4781" s="26"/>
      <c r="C4781" s="26"/>
      <c r="D4781" s="26"/>
      <c r="E4781" s="26"/>
      <c r="F4781" s="26"/>
      <c r="G4781" s="26"/>
      <c r="H4781" s="26"/>
      <c r="I4781" s="26"/>
      <c r="J4781" s="26"/>
      <c r="K4781" s="26"/>
      <c r="L4781" s="26"/>
      <c r="M4781" s="26"/>
      <c r="N4781" s="26"/>
      <c r="O4781" s="14" t="str">
        <f>HYPERLINK("https://otsuka-europe-crm.veevavault.com/ui/#object/email_activity__v/V8C00000004A594", "EN-002106092")</f>
        <v>EN-002106092</v>
      </c>
    </row>
    <row r="4782" spans="1:15" ht="16" x14ac:dyDescent="0.2">
      <c r="A4782" s="26"/>
      <c r="B4782" s="26"/>
      <c r="C4782" s="26"/>
      <c r="D4782" s="26"/>
      <c r="E4782" s="26"/>
      <c r="F4782" s="26"/>
      <c r="G4782" s="26"/>
      <c r="H4782" s="26"/>
      <c r="I4782" s="26"/>
      <c r="J4782" s="26"/>
      <c r="K4782" s="26"/>
      <c r="L4782" s="26"/>
      <c r="M4782" s="26"/>
      <c r="N4782" s="26"/>
      <c r="O4782" s="14" t="str">
        <f>HYPERLINK("https://otsuka-europe-crm.veevavault.com/ui/#object/email_activity__v/V8C00000004A596", "EN-002106094")</f>
        <v>EN-002106094</v>
      </c>
    </row>
    <row r="4783" spans="1:15" ht="16" x14ac:dyDescent="0.2">
      <c r="A4783" s="19"/>
      <c r="B4783" s="19"/>
      <c r="C4783" s="19"/>
      <c r="D4783" s="19"/>
      <c r="E4783" s="19"/>
      <c r="F4783" s="19"/>
      <c r="G4783" s="19"/>
      <c r="H4783" s="19"/>
      <c r="I4783" s="19"/>
      <c r="J4783" s="19"/>
      <c r="K4783" s="19"/>
      <c r="L4783" s="19"/>
      <c r="M4783" s="19"/>
      <c r="N4783" s="19"/>
      <c r="O4783" s="14" t="str">
        <f>HYPERLINK("https://otsuka-europe-crm.veevavault.com/ui/#object/email_activity__v/V8C00000004A598", "EN-002106096")</f>
        <v>EN-002106096</v>
      </c>
    </row>
    <row r="4784" spans="1:15" ht="16" x14ac:dyDescent="0.2">
      <c r="A4784" s="18" t="str">
        <f>HYPERLINK("https://otsuka-europe-crm.veevavault.com/ui/#object/account__v/V4TZ0000062PDFZ", "Mazin Burhan")</f>
        <v>Mazin Burhan</v>
      </c>
      <c r="B4784" s="18" t="str">
        <f>HYPERLINK("https://otsuka-europe-crm.veevavault.com/ui/#object/vcountry__v/VENZ000004SONFK", "GB")</f>
        <v>GB</v>
      </c>
      <c r="C4784" s="20" t="s">
        <v>41</v>
      </c>
      <c r="D4784" s="21" t="str">
        <f>HYPERLINK("https://otsuka-europe-crm.veevavault.com/ui/#object/approved_document__v/V5O00000001V001", "LDM DR P2P Invite 12-Nov-26 v2 [digital]")</f>
        <v>LDM DR P2P Invite 12-Nov-26 v2 [digital]</v>
      </c>
      <c r="E4784" s="22" t="str">
        <f>HYPERLINK("https://otsuka-europe-crm.veevavault.com/ui/#object/sent_email__v/VBL000000037286", "SE-001443982")</f>
        <v>SE-001443982</v>
      </c>
      <c r="F4784" s="25">
        <v>46217.690520833334</v>
      </c>
      <c r="G4784" s="24">
        <v>1</v>
      </c>
      <c r="H4784" s="24">
        <v>1</v>
      </c>
      <c r="I4784" s="24">
        <v>0</v>
      </c>
      <c r="J4784" s="23"/>
      <c r="K4784" s="24">
        <v>0</v>
      </c>
      <c r="L4784" s="22" t="str">
        <f>HYPERLINK("https://otsuka-europe-crm.veevavault.com/ui/#object/approved_document__v/V5O00000001V001", "LDM DR P2P Invite 12-Nov-26 v2 [digital]")</f>
        <v>LDM DR P2P Invite 12-Nov-26 v2 [digital]</v>
      </c>
      <c r="M4784" s="22" t="str">
        <f>HYPERLINK("mailto:draval@crm.otsuka-europe.com", "draval@crm.otsuka-europe.com")</f>
        <v>draval@crm.otsuka-europe.com</v>
      </c>
      <c r="N4784" s="25">
        <v>46217.656469907408</v>
      </c>
      <c r="O4784" s="14" t="str">
        <f>HYPERLINK("https://otsuka-europe-crm.veevavault.com/ui/#object/email_activity__v/V8C000000049609", "EN-002106009")</f>
        <v>EN-002106009</v>
      </c>
    </row>
    <row r="4785" spans="1:15" ht="16" x14ac:dyDescent="0.2">
      <c r="A4785" s="19"/>
      <c r="B4785" s="19"/>
      <c r="C4785" s="19"/>
      <c r="D4785" s="19"/>
      <c r="E4785" s="19"/>
      <c r="F4785" s="19"/>
      <c r="G4785" s="19"/>
      <c r="H4785" s="19"/>
      <c r="I4785" s="19"/>
      <c r="J4785" s="19"/>
      <c r="K4785" s="19"/>
      <c r="L4785" s="19"/>
      <c r="M4785" s="19"/>
      <c r="N4785" s="19"/>
      <c r="O4785" s="14" t="str">
        <f>HYPERLINK("https://otsuka-europe-crm.veevavault.com/ui/#object/email_activity__v/V8C000000049647", "EN-002106121")</f>
        <v>EN-002106121</v>
      </c>
    </row>
    <row r="4786" spans="1:15" ht="32" x14ac:dyDescent="0.2">
      <c r="A4786" s="7" t="str">
        <f>HYPERLINK("https://otsuka-europe-crm.veevavault.com/ui/#object/account__v/V4TZ0000062POWK", "Edgar Chan")</f>
        <v>Edgar Chan</v>
      </c>
      <c r="B4786" s="7" t="str">
        <f>HYPERLINK("https://otsuka-europe-crm.veevavault.com/ui/#object/vcountry__v/VENZ000004SONFK", "GB")</f>
        <v>GB</v>
      </c>
      <c r="C4786" s="8" t="s">
        <v>41</v>
      </c>
      <c r="D4786" s="9" t="str">
        <f>HYPERLINK("https://otsuka-europe-crm.veevavault.com/ui/#object/approved_document__v/V5O00000001V001", "LDM DR P2P Invite 12-Nov-26 v2 [digital]")</f>
        <v>LDM DR P2P Invite 12-Nov-26 v2 [digital]</v>
      </c>
      <c r="E4786" s="10" t="str">
        <f>HYPERLINK("https://otsuka-europe-crm.veevavault.com/ui/#object/sent_email__v/VBL000000037287", "SE-001443983")</f>
        <v>SE-001443983</v>
      </c>
      <c r="F4786" s="11"/>
      <c r="G4786" s="12">
        <v>0</v>
      </c>
      <c r="H4786" s="12">
        <v>0</v>
      </c>
      <c r="I4786" s="12">
        <v>0</v>
      </c>
      <c r="J4786" s="11"/>
      <c r="K4786" s="12">
        <v>0</v>
      </c>
      <c r="L4786" s="10" t="str">
        <f>HYPERLINK("https://otsuka-europe-crm.veevavault.com/ui/#object/approved_document__v/V5O00000001V001", "LDM DR P2P Invite 12-Nov-26 v2 [digital]")</f>
        <v>LDM DR P2P Invite 12-Nov-26 v2 [digital]</v>
      </c>
      <c r="M4786" s="10" t="str">
        <f>HYPERLINK("mailto:draval@crm.otsuka-europe.com", "draval@crm.otsuka-europe.com")</f>
        <v>draval@crm.otsuka-europe.com</v>
      </c>
      <c r="N4786" s="13">
        <v>46217.656539351854</v>
      </c>
      <c r="O4786" s="14" t="str">
        <f>HYPERLINK("https://otsuka-europe-crm.veevavault.com/ui/#object/email_activity__v/V8C000000049610", "EN-002106010")</f>
        <v>EN-002106010</v>
      </c>
    </row>
    <row r="4787" spans="1:15" ht="16" x14ac:dyDescent="0.2">
      <c r="A4787" s="18" t="str">
        <f>HYPERLINK("https://otsuka-europe-crm.veevavault.com/ui/#object/account__v/V4TZ025E82D8171", "Pradish Dreepaul")</f>
        <v>Pradish Dreepaul</v>
      </c>
      <c r="B4787" s="18" t="str">
        <f>HYPERLINK("https://otsuka-europe-crm.veevavault.com/ui/#object/vcountry__v/VENZ000004SONFK", "GB")</f>
        <v>GB</v>
      </c>
      <c r="C4787" s="20" t="s">
        <v>41</v>
      </c>
      <c r="D4787" s="21" t="str">
        <f>HYPERLINK("https://otsuka-europe-crm.veevavault.com/ui/#object/approved_document__v/V5O00000001V001", "LDM DR P2P Invite 12-Nov-26 v2 [digital]")</f>
        <v>LDM DR P2P Invite 12-Nov-26 v2 [digital]</v>
      </c>
      <c r="E4787" s="22" t="str">
        <f>HYPERLINK("https://otsuka-europe-crm.veevavault.com/ui/#object/sent_email__v/VBL000000037288", "SE-001443984")</f>
        <v>SE-001443984</v>
      </c>
      <c r="F4787" s="23"/>
      <c r="G4787" s="24">
        <v>0</v>
      </c>
      <c r="H4787" s="24">
        <v>0</v>
      </c>
      <c r="I4787" s="24">
        <v>0</v>
      </c>
      <c r="J4787" s="23"/>
      <c r="K4787" s="24">
        <v>0</v>
      </c>
      <c r="L4787" s="22" t="str">
        <f>HYPERLINK("https://otsuka-europe-crm.veevavault.com/ui/#object/approved_document__v/V5O00000001V001", "LDM DR P2P Invite 12-Nov-26 v2 [digital]")</f>
        <v>LDM DR P2P Invite 12-Nov-26 v2 [digital]</v>
      </c>
      <c r="M4787" s="22" t="str">
        <f>HYPERLINK("mailto:draval@crm.otsuka-europe.com", "draval@crm.otsuka-europe.com")</f>
        <v>draval@crm.otsuka-europe.com</v>
      </c>
      <c r="N4787" s="25">
        <v>46217.65697916667</v>
      </c>
      <c r="O4787" s="14" t="str">
        <f>HYPERLINK("https://otsuka-europe-crm.veevavault.com/ui/#object/email_activity__v/V8C000000049612", "EN-002106012")</f>
        <v>EN-002106012</v>
      </c>
    </row>
    <row r="4788" spans="1:15" ht="16" x14ac:dyDescent="0.2">
      <c r="A4788" s="19"/>
      <c r="B4788" s="19"/>
      <c r="C4788" s="19"/>
      <c r="D4788" s="19"/>
      <c r="E4788" s="19"/>
      <c r="F4788" s="19"/>
      <c r="G4788" s="19"/>
      <c r="H4788" s="19"/>
      <c r="I4788" s="19"/>
      <c r="J4788" s="19"/>
      <c r="K4788" s="19"/>
      <c r="L4788" s="19"/>
      <c r="M4788" s="19"/>
      <c r="N4788" s="19"/>
      <c r="O4788" s="14" t="str">
        <f>HYPERLINK("https://otsuka-europe-crm.veevavault.com/ui/#object/email_activity__v/V8C00000004A605", "EN-002106116")</f>
        <v>EN-002106116</v>
      </c>
    </row>
    <row r="4789" spans="1:15" ht="16" x14ac:dyDescent="0.2">
      <c r="A4789" s="18" t="str">
        <f>HYPERLINK("https://otsuka-europe-crm.veevavault.com/ui/#object/account__v/V4TZ025E889JNEQ", "Hilal Dundar")</f>
        <v>Hilal Dundar</v>
      </c>
      <c r="B4789" s="18" t="str">
        <f>HYPERLINK("https://otsuka-europe-crm.veevavault.com/ui/#object/vcountry__v/VENZ000004SONFK", "GB")</f>
        <v>GB</v>
      </c>
      <c r="C4789" s="20" t="s">
        <v>41</v>
      </c>
      <c r="D4789" s="21" t="str">
        <f>HYPERLINK("https://otsuka-europe-crm.veevavault.com/ui/#object/approved_document__v/V5O00000001V001", "LDM DR P2P Invite 12-Nov-26 v2 [digital]")</f>
        <v>LDM DR P2P Invite 12-Nov-26 v2 [digital]</v>
      </c>
      <c r="E4789" s="22" t="str">
        <f>HYPERLINK("https://otsuka-europe-crm.veevavault.com/ui/#object/sent_email__v/VBL000000038208", "SE-001443985")</f>
        <v>SE-001443985</v>
      </c>
      <c r="F4789" s="25">
        <v>46218.411956018521</v>
      </c>
      <c r="G4789" s="24">
        <v>1</v>
      </c>
      <c r="H4789" s="24">
        <v>2</v>
      </c>
      <c r="I4789" s="24">
        <v>0</v>
      </c>
      <c r="J4789" s="23"/>
      <c r="K4789" s="24">
        <v>0</v>
      </c>
      <c r="L4789" s="22" t="str">
        <f>HYPERLINK("https://otsuka-europe-crm.veevavault.com/ui/#object/approved_document__v/V5O00000001V001", "LDM DR P2P Invite 12-Nov-26 v2 [digital]")</f>
        <v>LDM DR P2P Invite 12-Nov-26 v2 [digital]</v>
      </c>
      <c r="M4789" s="22" t="str">
        <f>HYPERLINK("mailto:draval@crm.otsuka-europe.com", "draval@crm.otsuka-europe.com")</f>
        <v>draval@crm.otsuka-europe.com</v>
      </c>
      <c r="N4789" s="25">
        <v>46217.657037037039</v>
      </c>
      <c r="O4789" s="14" t="str">
        <f>HYPERLINK("https://otsuka-europe-crm.veevavault.com/ui/#object/email_activity__v/V8C000000049611", "EN-002106011")</f>
        <v>EN-002106011</v>
      </c>
    </row>
    <row r="4790" spans="1:15" ht="16" x14ac:dyDescent="0.2">
      <c r="A4790" s="26"/>
      <c r="B4790" s="26"/>
      <c r="C4790" s="26"/>
      <c r="D4790" s="26"/>
      <c r="E4790" s="26"/>
      <c r="F4790" s="26"/>
      <c r="G4790" s="26"/>
      <c r="H4790" s="26"/>
      <c r="I4790" s="26"/>
      <c r="J4790" s="26"/>
      <c r="K4790" s="26"/>
      <c r="L4790" s="26"/>
      <c r="M4790" s="26"/>
      <c r="N4790" s="26"/>
      <c r="O4790" s="14" t="str">
        <f>HYPERLINK("https://otsuka-europe-crm.veevavault.com/ui/#object/email_activity__v/V8C00000004A722", "EN-002106341")</f>
        <v>EN-002106341</v>
      </c>
    </row>
    <row r="4791" spans="1:15" ht="16" x14ac:dyDescent="0.2">
      <c r="A4791" s="19"/>
      <c r="B4791" s="19"/>
      <c r="C4791" s="19"/>
      <c r="D4791" s="19"/>
      <c r="E4791" s="19"/>
      <c r="F4791" s="19"/>
      <c r="G4791" s="19"/>
      <c r="H4791" s="19"/>
      <c r="I4791" s="19"/>
      <c r="J4791" s="19"/>
      <c r="K4791" s="19"/>
      <c r="L4791" s="19"/>
      <c r="M4791" s="19"/>
      <c r="N4791" s="19"/>
      <c r="O4791" s="14" t="str">
        <f>HYPERLINK("https://otsuka-europe-crm.veevavault.com/ui/#object/email_activity__v/V8C00000004A724", "EN-002106348")</f>
        <v>EN-002106348</v>
      </c>
    </row>
    <row r="4792" spans="1:15" ht="32" x14ac:dyDescent="0.2">
      <c r="A4792" s="7" t="str">
        <f>HYPERLINK("https://otsuka-europe-crm.veevavault.com/ui/#object/account__v/V4TZ0000062PDTQ", "Nadia Durani")</f>
        <v>Nadia Durani</v>
      </c>
      <c r="B4792" s="7" t="str">
        <f>HYPERLINK("https://otsuka-europe-crm.veevavault.com/ui/#object/vcountry__v/VENZ000004SONFK", "GB")</f>
        <v>GB</v>
      </c>
      <c r="C4792" s="8" t="s">
        <v>41</v>
      </c>
      <c r="D4792" s="9" t="str">
        <f>HYPERLINK("https://otsuka-europe-crm.veevavault.com/ui/#object/approved_document__v/V5O00000001V001", "LDM DR P2P Invite 12-Nov-26 v2 [digital]")</f>
        <v>LDM DR P2P Invite 12-Nov-26 v2 [digital]</v>
      </c>
      <c r="E4792" s="10" t="str">
        <f>HYPERLINK("https://otsuka-europe-crm.veevavault.com/ui/#object/sent_email__v/VBL000000038209", "SE-001443986")</f>
        <v>SE-001443986</v>
      </c>
      <c r="F4792" s="11"/>
      <c r="G4792" s="12">
        <v>0</v>
      </c>
      <c r="H4792" s="12">
        <v>0</v>
      </c>
      <c r="I4792" s="12">
        <v>0</v>
      </c>
      <c r="J4792" s="11"/>
      <c r="K4792" s="12">
        <v>0</v>
      </c>
      <c r="L4792" s="10" t="str">
        <f>HYPERLINK("https://otsuka-europe-crm.veevavault.com/ui/#object/approved_document__v/V5O00000001V001", "LDM DR P2P Invite 12-Nov-26 v2 [digital]")</f>
        <v>LDM DR P2P Invite 12-Nov-26 v2 [digital]</v>
      </c>
      <c r="M4792" s="10" t="str">
        <f>HYPERLINK("mailto:draval@crm.otsuka-europe.com", "draval@crm.otsuka-europe.com")</f>
        <v>draval@crm.otsuka-europe.com</v>
      </c>
      <c r="N4792" s="13">
        <v>46217.657199074078</v>
      </c>
      <c r="O4792" s="14" t="str">
        <f>HYPERLINK("https://otsuka-europe-crm.veevavault.com/ui/#object/email_activity__v/V8C000000049613", "EN-002106013")</f>
        <v>EN-002106013</v>
      </c>
    </row>
    <row r="4793" spans="1:15" ht="32" x14ac:dyDescent="0.2">
      <c r="A4793" s="7" t="str">
        <f>HYPERLINK("https://otsuka-europe-crm.veevavault.com/ui/#object/account__v/V4TZ000006DGGW5", "Wasse Efimba")</f>
        <v>Wasse Efimba</v>
      </c>
      <c r="B4793" s="7" t="str">
        <f>HYPERLINK("https://otsuka-europe-crm.veevavault.com/ui/#object/vcountry__v/VENZ000004SONFK", "GB")</f>
        <v>GB</v>
      </c>
      <c r="C4793" s="8" t="s">
        <v>41</v>
      </c>
      <c r="D4793" s="9" t="str">
        <f>HYPERLINK("https://otsuka-europe-crm.veevavault.com/ui/#object/approved_document__v/V5O00000001V001", "LDM DR P2P Invite 12-Nov-26 v2 [digital]")</f>
        <v>LDM DR P2P Invite 12-Nov-26 v2 [digital]</v>
      </c>
      <c r="E4793" s="10" t="str">
        <f>HYPERLINK("https://otsuka-europe-crm.veevavault.com/ui/#object/sent_email__v/VBL000000038210", "SE-001443987")</f>
        <v>SE-001443987</v>
      </c>
      <c r="F4793" s="11"/>
      <c r="G4793" s="12">
        <v>0</v>
      </c>
      <c r="H4793" s="12">
        <v>0</v>
      </c>
      <c r="I4793" s="12">
        <v>0</v>
      </c>
      <c r="J4793" s="11"/>
      <c r="K4793" s="12">
        <v>0</v>
      </c>
      <c r="L4793" s="10" t="str">
        <f>HYPERLINK("https://otsuka-europe-crm.veevavault.com/ui/#object/approved_document__v/V5O00000001V001", "LDM DR P2P Invite 12-Nov-26 v2 [digital]")</f>
        <v>LDM DR P2P Invite 12-Nov-26 v2 [digital]</v>
      </c>
      <c r="M4793" s="10" t="str">
        <f>HYPERLINK("mailto:draval@crm.otsuka-europe.com", "draval@crm.otsuka-europe.com")</f>
        <v>draval@crm.otsuka-europe.com</v>
      </c>
      <c r="N4793" s="13">
        <v>46217.657361111109</v>
      </c>
      <c r="O4793" s="14" t="str">
        <f>HYPERLINK("https://otsuka-europe-crm.veevavault.com/ui/#object/email_activity__v/V8C00000004A535", "EN-002106014")</f>
        <v>EN-002106014</v>
      </c>
    </row>
    <row r="4794" spans="1:15" ht="16" x14ac:dyDescent="0.2">
      <c r="A4794" s="18" t="str">
        <f>HYPERLINK("https://otsuka-europe-crm.veevavault.com/ui/#object/account__v/V4TZ04ASGGHZJ53", "Maja Elia")</f>
        <v>Maja Elia</v>
      </c>
      <c r="B4794" s="18" t="str">
        <f>HYPERLINK("https://otsuka-europe-crm.veevavault.com/ui/#object/vcountry__v/VENZ000004SONFK", "GB")</f>
        <v>GB</v>
      </c>
      <c r="C4794" s="20" t="s">
        <v>41</v>
      </c>
      <c r="D4794" s="21" t="str">
        <f>HYPERLINK("https://otsuka-europe-crm.veevavault.com/ui/#object/approved_document__v/V5O00000001V001", "LDM DR P2P Invite 12-Nov-26 v2 [digital]")</f>
        <v>LDM DR P2P Invite 12-Nov-26 v2 [digital]</v>
      </c>
      <c r="E4794" s="22" t="str">
        <f>HYPERLINK("https://otsuka-europe-crm.veevavault.com/ui/#object/sent_email__v/VBL000000037289", "SE-001443988")</f>
        <v>SE-001443988</v>
      </c>
      <c r="F4794" s="25">
        <v>46218.677048611113</v>
      </c>
      <c r="G4794" s="24">
        <v>1</v>
      </c>
      <c r="H4794" s="24">
        <v>3</v>
      </c>
      <c r="I4794" s="24">
        <v>0</v>
      </c>
      <c r="J4794" s="23"/>
      <c r="K4794" s="24">
        <v>0</v>
      </c>
      <c r="L4794" s="22" t="str">
        <f>HYPERLINK("https://otsuka-europe-crm.veevavault.com/ui/#object/approved_document__v/V5O00000001V001", "LDM DR P2P Invite 12-Nov-26 v2 [digital]")</f>
        <v>LDM DR P2P Invite 12-Nov-26 v2 [digital]</v>
      </c>
      <c r="M4794" s="22" t="str">
        <f>HYPERLINK("mailto:draval@crm.otsuka-europe.com", "draval@crm.otsuka-europe.com")</f>
        <v>draval@crm.otsuka-europe.com</v>
      </c>
      <c r="N4794" s="25">
        <v>46217.657546296294</v>
      </c>
      <c r="O4794" s="14" t="str">
        <f>HYPERLINK("https://otsuka-europe-crm.veevavault.com/ui/#object/email_activity__v/V8C000000049614", "EN-002106015")</f>
        <v>EN-002106015</v>
      </c>
    </row>
    <row r="4795" spans="1:15" ht="16" x14ac:dyDescent="0.2">
      <c r="A4795" s="26"/>
      <c r="B4795" s="26"/>
      <c r="C4795" s="26"/>
      <c r="D4795" s="26"/>
      <c r="E4795" s="26"/>
      <c r="F4795" s="26"/>
      <c r="G4795" s="26"/>
      <c r="H4795" s="26"/>
      <c r="I4795" s="26"/>
      <c r="J4795" s="26"/>
      <c r="K4795" s="26"/>
      <c r="L4795" s="26"/>
      <c r="M4795" s="26"/>
      <c r="N4795" s="26"/>
      <c r="O4795" s="14" t="str">
        <f>HYPERLINK("https://otsuka-europe-crm.veevavault.com/ui/#object/email_activity__v/V8C000000049824", "EN-002106482")</f>
        <v>EN-002106482</v>
      </c>
    </row>
    <row r="4796" spans="1:15" ht="16" x14ac:dyDescent="0.2">
      <c r="A4796" s="26"/>
      <c r="B4796" s="26"/>
      <c r="C4796" s="26"/>
      <c r="D4796" s="26"/>
      <c r="E4796" s="26"/>
      <c r="F4796" s="26"/>
      <c r="G4796" s="26"/>
      <c r="H4796" s="26"/>
      <c r="I4796" s="26"/>
      <c r="J4796" s="26"/>
      <c r="K4796" s="26"/>
      <c r="L4796" s="26"/>
      <c r="M4796" s="26"/>
      <c r="N4796" s="26"/>
      <c r="O4796" s="14" t="str">
        <f>HYPERLINK("https://otsuka-europe-crm.veevavault.com/ui/#object/email_activity__v/V8C00000004A603", "EN-002106114")</f>
        <v>EN-002106114</v>
      </c>
    </row>
    <row r="4797" spans="1:15" ht="16" x14ac:dyDescent="0.2">
      <c r="A4797" s="19"/>
      <c r="B4797" s="19"/>
      <c r="C4797" s="19"/>
      <c r="D4797" s="19"/>
      <c r="E4797" s="19"/>
      <c r="F4797" s="19"/>
      <c r="G4797" s="19"/>
      <c r="H4797" s="19"/>
      <c r="I4797" s="19"/>
      <c r="J4797" s="19"/>
      <c r="K4797" s="19"/>
      <c r="L4797" s="19"/>
      <c r="M4797" s="19"/>
      <c r="N4797" s="19"/>
      <c r="O4797" s="14" t="str">
        <f>HYPERLINK("https://otsuka-europe-crm.veevavault.com/ui/#object/email_activity__v/V8C00000004A604", "EN-002106115")</f>
        <v>EN-002106115</v>
      </c>
    </row>
    <row r="4798" spans="1:15" ht="16" x14ac:dyDescent="0.2">
      <c r="A4798" s="18" t="str">
        <f>HYPERLINK("https://otsuka-europe-crm.veevavault.com/ui/#object/account__v/V4TZ025E845HGIX", "Noran Elshahawy")</f>
        <v>Noran Elshahawy</v>
      </c>
      <c r="B4798" s="18" t="str">
        <f>HYPERLINK("https://otsuka-europe-crm.veevavault.com/ui/#object/vcountry__v/VENZ000004SONFK", "GB")</f>
        <v>GB</v>
      </c>
      <c r="C4798" s="20" t="s">
        <v>41</v>
      </c>
      <c r="D4798" s="21" t="str">
        <f>HYPERLINK("https://otsuka-europe-crm.veevavault.com/ui/#object/approved_document__v/V5O00000001V001", "LDM DR P2P Invite 12-Nov-26 v2 [digital]")</f>
        <v>LDM DR P2P Invite 12-Nov-26 v2 [digital]</v>
      </c>
      <c r="E4798" s="22" t="str">
        <f>HYPERLINK("https://otsuka-europe-crm.veevavault.com/ui/#object/sent_email__v/VBL000000038211", "SE-001443989")</f>
        <v>SE-001443989</v>
      </c>
      <c r="F4798" s="25">
        <v>46217.660069444442</v>
      </c>
      <c r="G4798" s="24">
        <v>1</v>
      </c>
      <c r="H4798" s="24">
        <v>2</v>
      </c>
      <c r="I4798" s="24">
        <v>0</v>
      </c>
      <c r="J4798" s="23"/>
      <c r="K4798" s="24">
        <v>0</v>
      </c>
      <c r="L4798" s="22" t="str">
        <f>HYPERLINK("https://otsuka-europe-crm.veevavault.com/ui/#object/approved_document__v/V5O00000001V001", "LDM DR P2P Invite 12-Nov-26 v2 [digital]")</f>
        <v>LDM DR P2P Invite 12-Nov-26 v2 [digital]</v>
      </c>
      <c r="M4798" s="22" t="str">
        <f>HYPERLINK("mailto:draval@crm.otsuka-europe.com", "draval@crm.otsuka-europe.com")</f>
        <v>draval@crm.otsuka-europe.com</v>
      </c>
      <c r="N4798" s="25">
        <v>46217.658078703702</v>
      </c>
      <c r="O4798" s="14" t="str">
        <f>HYPERLINK("https://otsuka-europe-crm.veevavault.com/ui/#object/email_activity__v/V8C000000049615", "EN-002106016")</f>
        <v>EN-002106016</v>
      </c>
    </row>
    <row r="4799" spans="1:15" ht="16" x14ac:dyDescent="0.2">
      <c r="A4799" s="26"/>
      <c r="B4799" s="26"/>
      <c r="C4799" s="26"/>
      <c r="D4799" s="26"/>
      <c r="E4799" s="26"/>
      <c r="F4799" s="26"/>
      <c r="G4799" s="26"/>
      <c r="H4799" s="26"/>
      <c r="I4799" s="26"/>
      <c r="J4799" s="26"/>
      <c r="K4799" s="26"/>
      <c r="L4799" s="26"/>
      <c r="M4799" s="26"/>
      <c r="N4799" s="26"/>
      <c r="O4799" s="14" t="str">
        <f>HYPERLINK("https://otsuka-europe-crm.veevavault.com/ui/#object/email_activity__v/V8C000000049619", "EN-002106032")</f>
        <v>EN-002106032</v>
      </c>
    </row>
    <row r="4800" spans="1:15" ht="16" x14ac:dyDescent="0.2">
      <c r="A4800" s="19"/>
      <c r="B4800" s="19"/>
      <c r="C4800" s="19"/>
      <c r="D4800" s="19"/>
      <c r="E4800" s="19"/>
      <c r="F4800" s="19"/>
      <c r="G4800" s="19"/>
      <c r="H4800" s="19"/>
      <c r="I4800" s="19"/>
      <c r="J4800" s="19"/>
      <c r="K4800" s="19"/>
      <c r="L4800" s="19"/>
      <c r="M4800" s="19"/>
      <c r="N4800" s="19"/>
      <c r="O4800" s="14" t="str">
        <f>HYPERLINK("https://otsuka-europe-crm.veevavault.com/ui/#object/email_activity__v/V8C00000004A546", "EN-002106030")</f>
        <v>EN-002106030</v>
      </c>
    </row>
    <row r="4801" spans="1:15" ht="32" x14ac:dyDescent="0.2">
      <c r="A4801" s="7" t="str">
        <f>HYPERLINK("https://otsuka-europe-crm.veevavault.com/ui/#object/account__v/V4TZ06G6OB497T2", "Sally Elzayat")</f>
        <v>Sally Elzayat</v>
      </c>
      <c r="B4801" s="7" t="str">
        <f>HYPERLINK("https://otsuka-europe-crm.veevavault.com/ui/#object/vcountry__v/VENZ000004SONFK", "GB")</f>
        <v>GB</v>
      </c>
      <c r="C4801" s="8" t="s">
        <v>41</v>
      </c>
      <c r="D4801" s="9" t="str">
        <f>HYPERLINK("https://otsuka-europe-crm.veevavault.com/ui/#object/approved_document__v/V5O00000001V001", "LDM DR P2P Invite 12-Nov-26 v2 [digital]")</f>
        <v>LDM DR P2P Invite 12-Nov-26 v2 [digital]</v>
      </c>
      <c r="E4801" s="10" t="str">
        <f>HYPERLINK("https://otsuka-europe-crm.veevavault.com/ui/#object/sent_email__v/VBL000000038212", "SE-001443990")</f>
        <v>SE-001443990</v>
      </c>
      <c r="F4801" s="11"/>
      <c r="G4801" s="12">
        <v>0</v>
      </c>
      <c r="H4801" s="12">
        <v>0</v>
      </c>
      <c r="I4801" s="12">
        <v>0</v>
      </c>
      <c r="J4801" s="11"/>
      <c r="K4801" s="12">
        <v>0</v>
      </c>
      <c r="L4801" s="10" t="str">
        <f>HYPERLINK("https://otsuka-europe-crm.veevavault.com/ui/#object/approved_document__v/V5O00000001V001", "LDM DR P2P Invite 12-Nov-26 v2 [digital]")</f>
        <v>LDM DR P2P Invite 12-Nov-26 v2 [digital]</v>
      </c>
      <c r="M4801" s="10" t="str">
        <f>HYPERLINK("mailto:draval@crm.otsuka-europe.com", "draval@crm.otsuka-europe.com")</f>
        <v>draval@crm.otsuka-europe.com</v>
      </c>
      <c r="N4801" s="13">
        <v>46217.658159722225</v>
      </c>
      <c r="O4801" s="14" t="str">
        <f>HYPERLINK("https://otsuka-europe-crm.veevavault.com/ui/#object/email_activity__v/V8C00000004A536", "EN-002106017")</f>
        <v>EN-002106017</v>
      </c>
    </row>
    <row r="4802" spans="1:15" ht="32" x14ac:dyDescent="0.2">
      <c r="A4802" s="7" t="str">
        <f>HYPERLINK("https://otsuka-europe-crm.veevavault.com/ui/#object/account__v/V4TZ025E88S4X35", "Naika Ferruccio")</f>
        <v>Naika Ferruccio</v>
      </c>
      <c r="B4802" s="7" t="str">
        <f>HYPERLINK("https://otsuka-europe-crm.veevavault.com/ui/#object/vcountry__v/VENZ000004SONFK", "GB")</f>
        <v>GB</v>
      </c>
      <c r="C4802" s="8" t="s">
        <v>41</v>
      </c>
      <c r="D4802" s="9" t="str">
        <f>HYPERLINK("https://otsuka-europe-crm.veevavault.com/ui/#object/approved_document__v/V5O00000001V001", "LDM DR P2P Invite 12-Nov-26 v2 [digital]")</f>
        <v>LDM DR P2P Invite 12-Nov-26 v2 [digital]</v>
      </c>
      <c r="E4802" s="10" t="str">
        <f>HYPERLINK("https://otsuka-europe-crm.veevavault.com/ui/#object/sent_email__v/VBL000000037290", "SE-001443991")</f>
        <v>SE-001443991</v>
      </c>
      <c r="F4802" s="11"/>
      <c r="G4802" s="12">
        <v>0</v>
      </c>
      <c r="H4802" s="12">
        <v>0</v>
      </c>
      <c r="I4802" s="12">
        <v>0</v>
      </c>
      <c r="J4802" s="11"/>
      <c r="K4802" s="12">
        <v>0</v>
      </c>
      <c r="L4802" s="10" t="str">
        <f>HYPERLINK("https://otsuka-europe-crm.veevavault.com/ui/#object/approved_document__v/V5O00000001V001", "LDM DR P2P Invite 12-Nov-26 v2 [digital]")</f>
        <v>LDM DR P2P Invite 12-Nov-26 v2 [digital]</v>
      </c>
      <c r="M4802" s="10" t="str">
        <f>HYPERLINK("mailto:draval@crm.otsuka-europe.com", "draval@crm.otsuka-europe.com")</f>
        <v>draval@crm.otsuka-europe.com</v>
      </c>
      <c r="N4802" s="13">
        <v>46217.658391203702</v>
      </c>
      <c r="O4802" s="14" t="str">
        <f>HYPERLINK("https://otsuka-europe-crm.veevavault.com/ui/#object/email_activity__v/V8C00000004A537", "EN-002106018")</f>
        <v>EN-002106018</v>
      </c>
    </row>
    <row r="4803" spans="1:15" ht="32" x14ac:dyDescent="0.2">
      <c r="A4803" s="7" t="str">
        <f>HYPERLINK("https://otsuka-europe-crm.veevavault.com/ui/#object/account__v/V4TZ04ASG8VBSEL", "Karise Graham")</f>
        <v>Karise Graham</v>
      </c>
      <c r="B4803" s="7" t="str">
        <f>HYPERLINK("https://otsuka-europe-crm.veevavault.com/ui/#object/vcountry__v/VENZ000004SONFK", "GB")</f>
        <v>GB</v>
      </c>
      <c r="C4803" s="8" t="s">
        <v>41</v>
      </c>
      <c r="D4803" s="9" t="str">
        <f>HYPERLINK("https://otsuka-europe-crm.veevavault.com/ui/#object/approved_document__v/V5O00000001V001", "LDM DR P2P Invite 12-Nov-26 v2 [digital]")</f>
        <v>LDM DR P2P Invite 12-Nov-26 v2 [digital]</v>
      </c>
      <c r="E4803" s="10" t="str">
        <f>HYPERLINK("https://otsuka-europe-crm.veevavault.com/ui/#object/sent_email__v/VBL000000038213", "SE-001443992")</f>
        <v>SE-001443992</v>
      </c>
      <c r="F4803" s="11"/>
      <c r="G4803" s="12">
        <v>0</v>
      </c>
      <c r="H4803" s="12">
        <v>0</v>
      </c>
      <c r="I4803" s="12">
        <v>0</v>
      </c>
      <c r="J4803" s="11"/>
      <c r="K4803" s="12">
        <v>0</v>
      </c>
      <c r="L4803" s="10" t="str">
        <f>HYPERLINK("https://otsuka-europe-crm.veevavault.com/ui/#object/approved_document__v/V5O00000001V001", "LDM DR P2P Invite 12-Nov-26 v2 [digital]")</f>
        <v>LDM DR P2P Invite 12-Nov-26 v2 [digital]</v>
      </c>
      <c r="M4803" s="10" t="str">
        <f>HYPERLINK("mailto:draval@crm.otsuka-europe.com", "draval@crm.otsuka-europe.com")</f>
        <v>draval@crm.otsuka-europe.com</v>
      </c>
      <c r="N4803" s="13">
        <v>46217.658460648148</v>
      </c>
      <c r="O4803" s="14" t="str">
        <f>HYPERLINK("https://otsuka-europe-crm.veevavault.com/ui/#object/email_activity__v/V8C00000004A538", "EN-002106019")</f>
        <v>EN-002106019</v>
      </c>
    </row>
    <row r="4804" spans="1:15" ht="16" x14ac:dyDescent="0.2">
      <c r="A4804" s="18" t="str">
        <f>HYPERLINK("https://otsuka-europe-crm.veevavault.com/ui/#object/account__v/V4TZ0000062PE8R", "Regina Gunaseelan")</f>
        <v>Regina Gunaseelan</v>
      </c>
      <c r="B4804" s="18" t="str">
        <f>HYPERLINK("https://otsuka-europe-crm.veevavault.com/ui/#object/vcountry__v/VENZ000004SONFK", "GB")</f>
        <v>GB</v>
      </c>
      <c r="C4804" s="20" t="s">
        <v>41</v>
      </c>
      <c r="D4804" s="21" t="str">
        <f>HYPERLINK("https://otsuka-europe-crm.veevavault.com/ui/#object/approved_document__v/V5O00000001V001", "LDM DR P2P Invite 12-Nov-26 v2 [digital]")</f>
        <v>LDM DR P2P Invite 12-Nov-26 v2 [digital]</v>
      </c>
      <c r="E4804" s="22" t="str">
        <f>HYPERLINK("https://otsuka-europe-crm.veevavault.com/ui/#object/sent_email__v/VBL000000038214", "SE-001443993")</f>
        <v>SE-001443993</v>
      </c>
      <c r="F4804" s="25">
        <v>46226.470590277779</v>
      </c>
      <c r="G4804" s="24">
        <v>1</v>
      </c>
      <c r="H4804" s="24">
        <v>2</v>
      </c>
      <c r="I4804" s="24">
        <v>0</v>
      </c>
      <c r="J4804" s="23"/>
      <c r="K4804" s="24">
        <v>0</v>
      </c>
      <c r="L4804" s="22" t="str">
        <f>HYPERLINK("https://otsuka-europe-crm.veevavault.com/ui/#object/approved_document__v/V5O00000001V001", "LDM DR P2P Invite 12-Nov-26 v2 [digital]")</f>
        <v>LDM DR P2P Invite 12-Nov-26 v2 [digital]</v>
      </c>
      <c r="M4804" s="22" t="str">
        <f>HYPERLINK("mailto:draval@crm.otsuka-europe.com", "draval@crm.otsuka-europe.com")</f>
        <v>draval@crm.otsuka-europe.com</v>
      </c>
      <c r="N4804" s="25">
        <v>46217.658715277779</v>
      </c>
      <c r="O4804" s="14" t="str">
        <f>HYPERLINK("https://otsuka-europe-crm.veevavault.com/ui/#object/email_activity__v/V8C000000049616", "EN-002106020")</f>
        <v>EN-002106020</v>
      </c>
    </row>
    <row r="4805" spans="1:15" ht="16" x14ac:dyDescent="0.2">
      <c r="A4805" s="26"/>
      <c r="B4805" s="26"/>
      <c r="C4805" s="26"/>
      <c r="D4805" s="26"/>
      <c r="E4805" s="26"/>
      <c r="F4805" s="26"/>
      <c r="G4805" s="26"/>
      <c r="H4805" s="26"/>
      <c r="I4805" s="26"/>
      <c r="J4805" s="26"/>
      <c r="K4805" s="26"/>
      <c r="L4805" s="26"/>
      <c r="M4805" s="26"/>
      <c r="N4805" s="26"/>
      <c r="O4805" s="14" t="str">
        <f>HYPERLINK("https://otsuka-europe-crm.veevavault.com/ui/#object/email_activity__v/V8C000000049680", "EN-002106182")</f>
        <v>EN-002106182</v>
      </c>
    </row>
    <row r="4806" spans="1:15" ht="16" x14ac:dyDescent="0.2">
      <c r="A4806" s="26"/>
      <c r="B4806" s="26"/>
      <c r="C4806" s="26"/>
      <c r="D4806" s="26"/>
      <c r="E4806" s="26"/>
      <c r="F4806" s="26"/>
      <c r="G4806" s="26"/>
      <c r="H4806" s="26"/>
      <c r="I4806" s="26"/>
      <c r="J4806" s="26"/>
      <c r="K4806" s="26"/>
      <c r="L4806" s="26"/>
      <c r="M4806" s="26"/>
      <c r="N4806" s="26"/>
      <c r="O4806" s="14" t="str">
        <f>HYPERLINK("https://otsuka-europe-crm.veevavault.com/ui/#object/email_activity__v/V8C000000049689", "EN-002106197")</f>
        <v>EN-002106197</v>
      </c>
    </row>
    <row r="4807" spans="1:15" ht="16" x14ac:dyDescent="0.2">
      <c r="A4807" s="26"/>
      <c r="B4807" s="26"/>
      <c r="C4807" s="26"/>
      <c r="D4807" s="26"/>
      <c r="E4807" s="26"/>
      <c r="F4807" s="26"/>
      <c r="G4807" s="26"/>
      <c r="H4807" s="26"/>
      <c r="I4807" s="26"/>
      <c r="J4807" s="26"/>
      <c r="K4807" s="26"/>
      <c r="L4807" s="26"/>
      <c r="M4807" s="26"/>
      <c r="N4807" s="26"/>
      <c r="O4807" s="14" t="str">
        <f>HYPERLINK("https://otsuka-europe-crm.veevavault.com/ui/#object/email_activity__v/V8C00000004A634", "EN-002106171")</f>
        <v>EN-002106171</v>
      </c>
    </row>
    <row r="4808" spans="1:15" ht="16" x14ac:dyDescent="0.2">
      <c r="A4808" s="26"/>
      <c r="B4808" s="26"/>
      <c r="C4808" s="26"/>
      <c r="D4808" s="26"/>
      <c r="E4808" s="26"/>
      <c r="F4808" s="26"/>
      <c r="G4808" s="26"/>
      <c r="H4808" s="26"/>
      <c r="I4808" s="26"/>
      <c r="J4808" s="26"/>
      <c r="K4808" s="26"/>
      <c r="L4808" s="26"/>
      <c r="M4808" s="26"/>
      <c r="N4808" s="26"/>
      <c r="O4808" s="14" t="str">
        <f>HYPERLINK("https://otsuka-europe-crm.veevavault.com/ui/#object/email_activity__v/V8C00000004A799", "EN-002106491")</f>
        <v>EN-002106491</v>
      </c>
    </row>
    <row r="4809" spans="1:15" ht="16" x14ac:dyDescent="0.2">
      <c r="A4809" s="26"/>
      <c r="B4809" s="26"/>
      <c r="C4809" s="26"/>
      <c r="D4809" s="26"/>
      <c r="E4809" s="26"/>
      <c r="F4809" s="26"/>
      <c r="G4809" s="26"/>
      <c r="H4809" s="26"/>
      <c r="I4809" s="26"/>
      <c r="J4809" s="26"/>
      <c r="K4809" s="26"/>
      <c r="L4809" s="26"/>
      <c r="M4809" s="26"/>
      <c r="N4809" s="26"/>
      <c r="O4809" s="14" t="str">
        <f>HYPERLINK("https://otsuka-europe-crm.veevavault.com/ui/#object/email_activity__v/V8C00000004B248", "EN-002107148")</f>
        <v>EN-002107148</v>
      </c>
    </row>
    <row r="4810" spans="1:15" ht="16" x14ac:dyDescent="0.2">
      <c r="A4810" s="26"/>
      <c r="B4810" s="26"/>
      <c r="C4810" s="26"/>
      <c r="D4810" s="26"/>
      <c r="E4810" s="26"/>
      <c r="F4810" s="26"/>
      <c r="G4810" s="26"/>
      <c r="H4810" s="26"/>
      <c r="I4810" s="26"/>
      <c r="J4810" s="26"/>
      <c r="K4810" s="26"/>
      <c r="L4810" s="26"/>
      <c r="M4810" s="26"/>
      <c r="N4810" s="26"/>
      <c r="O4810" s="14" t="str">
        <f>HYPERLINK("https://otsuka-europe-crm.veevavault.com/ui/#object/email_activity__v/V8C00000004B726", "EN-002107904")</f>
        <v>EN-002107904</v>
      </c>
    </row>
    <row r="4811" spans="1:15" ht="16" x14ac:dyDescent="0.2">
      <c r="A4811" s="26"/>
      <c r="B4811" s="26"/>
      <c r="C4811" s="26"/>
      <c r="D4811" s="26"/>
      <c r="E4811" s="26"/>
      <c r="F4811" s="26"/>
      <c r="G4811" s="26"/>
      <c r="H4811" s="26"/>
      <c r="I4811" s="26"/>
      <c r="J4811" s="26"/>
      <c r="K4811" s="26"/>
      <c r="L4811" s="26"/>
      <c r="M4811" s="26"/>
      <c r="N4811" s="26"/>
      <c r="O4811" s="14" t="str">
        <f>HYPERLINK("https://otsuka-europe-crm.veevavault.com/ui/#object/email_activity__v/V8C00000004C450", "EN-002107902")</f>
        <v>EN-002107902</v>
      </c>
    </row>
    <row r="4812" spans="1:15" ht="16" x14ac:dyDescent="0.2">
      <c r="A4812" s="26"/>
      <c r="B4812" s="26"/>
      <c r="C4812" s="26"/>
      <c r="D4812" s="26"/>
      <c r="E4812" s="26"/>
      <c r="F4812" s="26"/>
      <c r="G4812" s="26"/>
      <c r="H4812" s="26"/>
      <c r="I4812" s="26"/>
      <c r="J4812" s="26"/>
      <c r="K4812" s="26"/>
      <c r="L4812" s="26"/>
      <c r="M4812" s="26"/>
      <c r="N4812" s="26"/>
      <c r="O4812" s="14" t="str">
        <f>HYPERLINK("https://otsuka-europe-crm.veevavault.com/ui/#object/email_activity__v/V8C00000004D028", "EN-002108251")</f>
        <v>EN-002108251</v>
      </c>
    </row>
    <row r="4813" spans="1:15" ht="16" x14ac:dyDescent="0.2">
      <c r="A4813" s="26"/>
      <c r="B4813" s="26"/>
      <c r="C4813" s="26"/>
      <c r="D4813" s="26"/>
      <c r="E4813" s="26"/>
      <c r="F4813" s="26"/>
      <c r="G4813" s="26"/>
      <c r="H4813" s="26"/>
      <c r="I4813" s="26"/>
      <c r="J4813" s="26"/>
      <c r="K4813" s="26"/>
      <c r="L4813" s="26"/>
      <c r="M4813" s="26"/>
      <c r="N4813" s="26"/>
      <c r="O4813" s="14" t="str">
        <f>HYPERLINK("https://otsuka-europe-crm.veevavault.com/ui/#object/email_activity__v/V8C00000004G022", "EN-002109816")</f>
        <v>EN-002109816</v>
      </c>
    </row>
    <row r="4814" spans="1:15" ht="16" x14ac:dyDescent="0.2">
      <c r="A4814" s="19"/>
      <c r="B4814" s="19"/>
      <c r="C4814" s="19"/>
      <c r="D4814" s="19"/>
      <c r="E4814" s="19"/>
      <c r="F4814" s="19"/>
      <c r="G4814" s="19"/>
      <c r="H4814" s="19"/>
      <c r="I4814" s="19"/>
      <c r="J4814" s="19"/>
      <c r="K4814" s="19"/>
      <c r="L4814" s="19"/>
      <c r="M4814" s="19"/>
      <c r="N4814" s="19"/>
      <c r="O4814" s="14" t="str">
        <f>HYPERLINK("https://otsuka-europe-crm.veevavault.com/ui/#object/email_activity__v/V8C00000004H016", "EN-002110966")</f>
        <v>EN-002110966</v>
      </c>
    </row>
    <row r="4815" spans="1:15" ht="16" x14ac:dyDescent="0.2">
      <c r="A4815" s="18" t="str">
        <f>HYPERLINK("https://otsuka-europe-crm.veevavault.com/ui/#object/account__v/V4TZ0000062PCBM", "Maria Ivanov")</f>
        <v>Maria Ivanov</v>
      </c>
      <c r="B4815" s="18" t="str">
        <f>HYPERLINK("https://otsuka-europe-crm.veevavault.com/ui/#object/vcountry__v/VENZ000004SONFK", "GB")</f>
        <v>GB</v>
      </c>
      <c r="C4815" s="20" t="s">
        <v>41</v>
      </c>
      <c r="D4815" s="21" t="str">
        <f>HYPERLINK("https://otsuka-europe-crm.veevavault.com/ui/#object/approved_document__v/V5O00000001V001", "LDM DR P2P Invite 12-Nov-26 v2 [digital]")</f>
        <v>LDM DR P2P Invite 12-Nov-26 v2 [digital]</v>
      </c>
      <c r="E4815" s="22" t="str">
        <f>HYPERLINK("https://otsuka-europe-crm.veevavault.com/ui/#object/sent_email__v/VBL000000038215", "SE-001443994")</f>
        <v>SE-001443994</v>
      </c>
      <c r="F4815" s="25">
        <v>46229.777025462965</v>
      </c>
      <c r="G4815" s="24">
        <v>1</v>
      </c>
      <c r="H4815" s="24">
        <v>2</v>
      </c>
      <c r="I4815" s="24">
        <v>0</v>
      </c>
      <c r="J4815" s="23"/>
      <c r="K4815" s="24">
        <v>0</v>
      </c>
      <c r="L4815" s="22" t="str">
        <f>HYPERLINK("https://otsuka-europe-crm.veevavault.com/ui/#object/approved_document__v/V5O00000001V001", "LDM DR P2P Invite 12-Nov-26 v2 [digital]")</f>
        <v>LDM DR P2P Invite 12-Nov-26 v2 [digital]</v>
      </c>
      <c r="M4815" s="22" t="str">
        <f>HYPERLINK("mailto:draval@crm.otsuka-europe.com", "draval@crm.otsuka-europe.com")</f>
        <v>draval@crm.otsuka-europe.com</v>
      </c>
      <c r="N4815" s="25">
        <v>46217.658807870372</v>
      </c>
      <c r="O4815" s="14" t="str">
        <f>HYPERLINK("https://otsuka-europe-crm.veevavault.com/ui/#object/email_activity__v/V8C00000004A539", "EN-002106021")</f>
        <v>EN-002106021</v>
      </c>
    </row>
    <row r="4816" spans="1:15" ht="16" x14ac:dyDescent="0.2">
      <c r="A4816" s="26"/>
      <c r="B4816" s="26"/>
      <c r="C4816" s="26"/>
      <c r="D4816" s="26"/>
      <c r="E4816" s="26"/>
      <c r="F4816" s="26"/>
      <c r="G4816" s="26"/>
      <c r="H4816" s="26"/>
      <c r="I4816" s="26"/>
      <c r="J4816" s="26"/>
      <c r="K4816" s="26"/>
      <c r="L4816" s="26"/>
      <c r="M4816" s="26"/>
      <c r="N4816" s="26"/>
      <c r="O4816" s="14" t="str">
        <f>HYPERLINK("https://otsuka-europe-crm.veevavault.com/ui/#object/email_activity__v/V8C00000004D484", "EN-002109047")</f>
        <v>EN-002109047</v>
      </c>
    </row>
    <row r="4817" spans="1:15" ht="16" x14ac:dyDescent="0.2">
      <c r="A4817" s="19"/>
      <c r="B4817" s="19"/>
      <c r="C4817" s="19"/>
      <c r="D4817" s="19"/>
      <c r="E4817" s="19"/>
      <c r="F4817" s="19"/>
      <c r="G4817" s="19"/>
      <c r="H4817" s="19"/>
      <c r="I4817" s="19"/>
      <c r="J4817" s="19"/>
      <c r="K4817" s="19"/>
      <c r="L4817" s="19"/>
      <c r="M4817" s="19"/>
      <c r="N4817" s="19"/>
      <c r="O4817" s="14" t="str">
        <f>HYPERLINK("https://otsuka-europe-crm.veevavault.com/ui/#object/email_activity__v/V8C00000004E346", "EN-002109048")</f>
        <v>EN-002109048</v>
      </c>
    </row>
    <row r="4818" spans="1:15" ht="16" x14ac:dyDescent="0.2">
      <c r="A4818" s="18" t="str">
        <f>HYPERLINK("https://otsuka-europe-crm.veevavault.com/ui/#object/account__v/V4TZ0000062PELC", "Ahmed Jalal")</f>
        <v>Ahmed Jalal</v>
      </c>
      <c r="B4818" s="18" t="str">
        <f>HYPERLINK("https://otsuka-europe-crm.veevavault.com/ui/#object/vcountry__v/VENZ000004SONFK", "GB")</f>
        <v>GB</v>
      </c>
      <c r="C4818" s="20" t="s">
        <v>41</v>
      </c>
      <c r="D4818" s="21" t="str">
        <f>HYPERLINK("https://otsuka-europe-crm.veevavault.com/ui/#object/approved_document__v/V5O00000001V001", "LDM DR P2P Invite 12-Nov-26 v2 [digital]")</f>
        <v>LDM DR P2P Invite 12-Nov-26 v2 [digital]</v>
      </c>
      <c r="E4818" s="22" t="str">
        <f>HYPERLINK("https://otsuka-europe-crm.veevavault.com/ui/#object/sent_email__v/VBL000000038216", "SE-001443995")</f>
        <v>SE-001443995</v>
      </c>
      <c r="F4818" s="25">
        <v>46219.618159722224</v>
      </c>
      <c r="G4818" s="24">
        <v>1</v>
      </c>
      <c r="H4818" s="24">
        <v>20</v>
      </c>
      <c r="I4818" s="24">
        <v>0</v>
      </c>
      <c r="J4818" s="23"/>
      <c r="K4818" s="24">
        <v>0</v>
      </c>
      <c r="L4818" s="22" t="str">
        <f>HYPERLINK("https://otsuka-europe-crm.veevavault.com/ui/#object/approved_document__v/V5O00000001V001", "LDM DR P2P Invite 12-Nov-26 v2 [digital]")</f>
        <v>LDM DR P2P Invite 12-Nov-26 v2 [digital]</v>
      </c>
      <c r="M4818" s="22" t="str">
        <f>HYPERLINK("mailto:draval@crm.otsuka-europe.com", "draval@crm.otsuka-europe.com")</f>
        <v>draval@crm.otsuka-europe.com</v>
      </c>
      <c r="N4818" s="25">
        <v>46217.658935185187</v>
      </c>
      <c r="O4818" s="14" t="str">
        <f>HYPERLINK("https://otsuka-europe-crm.veevavault.com/ui/#object/email_activity__v/V8C000000049763", "EN-002106361")</f>
        <v>EN-002106361</v>
      </c>
    </row>
    <row r="4819" spans="1:15" ht="16" x14ac:dyDescent="0.2">
      <c r="A4819" s="26"/>
      <c r="B4819" s="26"/>
      <c r="C4819" s="26"/>
      <c r="D4819" s="26"/>
      <c r="E4819" s="26"/>
      <c r="F4819" s="26"/>
      <c r="G4819" s="26"/>
      <c r="H4819" s="26"/>
      <c r="I4819" s="26"/>
      <c r="J4819" s="26"/>
      <c r="K4819" s="26"/>
      <c r="L4819" s="26"/>
      <c r="M4819" s="26"/>
      <c r="N4819" s="26"/>
      <c r="O4819" s="14" t="str">
        <f>HYPERLINK("https://otsuka-europe-crm.veevavault.com/ui/#object/email_activity__v/V8C000000049776", "EN-002106398")</f>
        <v>EN-002106398</v>
      </c>
    </row>
    <row r="4820" spans="1:15" ht="16" x14ac:dyDescent="0.2">
      <c r="A4820" s="26"/>
      <c r="B4820" s="26"/>
      <c r="C4820" s="26"/>
      <c r="D4820" s="26"/>
      <c r="E4820" s="26"/>
      <c r="F4820" s="26"/>
      <c r="G4820" s="26"/>
      <c r="H4820" s="26"/>
      <c r="I4820" s="26"/>
      <c r="J4820" s="26"/>
      <c r="K4820" s="26"/>
      <c r="L4820" s="26"/>
      <c r="M4820" s="26"/>
      <c r="N4820" s="26"/>
      <c r="O4820" s="14" t="str">
        <f>HYPERLINK("https://otsuka-europe-crm.veevavault.com/ui/#object/email_activity__v/V8C000000049777", "EN-002106399")</f>
        <v>EN-002106399</v>
      </c>
    </row>
    <row r="4821" spans="1:15" ht="16" x14ac:dyDescent="0.2">
      <c r="A4821" s="26"/>
      <c r="B4821" s="26"/>
      <c r="C4821" s="26"/>
      <c r="D4821" s="26"/>
      <c r="E4821" s="26"/>
      <c r="F4821" s="26"/>
      <c r="G4821" s="26"/>
      <c r="H4821" s="26"/>
      <c r="I4821" s="26"/>
      <c r="J4821" s="26"/>
      <c r="K4821" s="26"/>
      <c r="L4821" s="26"/>
      <c r="M4821" s="26"/>
      <c r="N4821" s="26"/>
      <c r="O4821" s="14" t="str">
        <f>HYPERLINK("https://otsuka-europe-crm.veevavault.com/ui/#object/email_activity__v/V8C000000049778", "EN-002106400")</f>
        <v>EN-002106400</v>
      </c>
    </row>
    <row r="4822" spans="1:15" ht="16" x14ac:dyDescent="0.2">
      <c r="A4822" s="26"/>
      <c r="B4822" s="26"/>
      <c r="C4822" s="26"/>
      <c r="D4822" s="26"/>
      <c r="E4822" s="26"/>
      <c r="F4822" s="26"/>
      <c r="G4822" s="26"/>
      <c r="H4822" s="26"/>
      <c r="I4822" s="26"/>
      <c r="J4822" s="26"/>
      <c r="K4822" s="26"/>
      <c r="L4822" s="26"/>
      <c r="M4822" s="26"/>
      <c r="N4822" s="26"/>
      <c r="O4822" s="14" t="str">
        <f>HYPERLINK("https://otsuka-europe-crm.veevavault.com/ui/#object/email_activity__v/V8C000000049790", "EN-002106419")</f>
        <v>EN-002106419</v>
      </c>
    </row>
    <row r="4823" spans="1:15" ht="16" x14ac:dyDescent="0.2">
      <c r="A4823" s="26"/>
      <c r="B4823" s="26"/>
      <c r="C4823" s="26"/>
      <c r="D4823" s="26"/>
      <c r="E4823" s="26"/>
      <c r="F4823" s="26"/>
      <c r="G4823" s="26"/>
      <c r="H4823" s="26"/>
      <c r="I4823" s="26"/>
      <c r="J4823" s="26"/>
      <c r="K4823" s="26"/>
      <c r="L4823" s="26"/>
      <c r="M4823" s="26"/>
      <c r="N4823" s="26"/>
      <c r="O4823" s="14" t="str">
        <f>HYPERLINK("https://otsuka-europe-crm.veevavault.com/ui/#object/email_activity__v/V8C000000049794", "EN-002106425")</f>
        <v>EN-002106425</v>
      </c>
    </row>
    <row r="4824" spans="1:15" ht="16" x14ac:dyDescent="0.2">
      <c r="A4824" s="26"/>
      <c r="B4824" s="26"/>
      <c r="C4824" s="26"/>
      <c r="D4824" s="26"/>
      <c r="E4824" s="26"/>
      <c r="F4824" s="26"/>
      <c r="G4824" s="26"/>
      <c r="H4824" s="26"/>
      <c r="I4824" s="26"/>
      <c r="J4824" s="26"/>
      <c r="K4824" s="26"/>
      <c r="L4824" s="26"/>
      <c r="M4824" s="26"/>
      <c r="N4824" s="26"/>
      <c r="O4824" s="14" t="str">
        <f>HYPERLINK("https://otsuka-europe-crm.veevavault.com/ui/#object/email_activity__v/V8C000000049795", "EN-002106429")</f>
        <v>EN-002106429</v>
      </c>
    </row>
    <row r="4825" spans="1:15" ht="16" x14ac:dyDescent="0.2">
      <c r="A4825" s="26"/>
      <c r="B4825" s="26"/>
      <c r="C4825" s="26"/>
      <c r="D4825" s="26"/>
      <c r="E4825" s="26"/>
      <c r="F4825" s="26"/>
      <c r="G4825" s="26"/>
      <c r="H4825" s="26"/>
      <c r="I4825" s="26"/>
      <c r="J4825" s="26"/>
      <c r="K4825" s="26"/>
      <c r="L4825" s="26"/>
      <c r="M4825" s="26"/>
      <c r="N4825" s="26"/>
      <c r="O4825" s="14" t="str">
        <f>HYPERLINK("https://otsuka-europe-crm.veevavault.com/ui/#object/email_activity__v/V8C00000004A540", "EN-002106022")</f>
        <v>EN-002106022</v>
      </c>
    </row>
    <row r="4826" spans="1:15" ht="16" x14ac:dyDescent="0.2">
      <c r="A4826" s="26"/>
      <c r="B4826" s="26"/>
      <c r="C4826" s="26"/>
      <c r="D4826" s="26"/>
      <c r="E4826" s="26"/>
      <c r="F4826" s="26"/>
      <c r="G4826" s="26"/>
      <c r="H4826" s="26"/>
      <c r="I4826" s="26"/>
      <c r="J4826" s="26"/>
      <c r="K4826" s="26"/>
      <c r="L4826" s="26"/>
      <c r="M4826" s="26"/>
      <c r="N4826" s="26"/>
      <c r="O4826" s="14" t="str">
        <f>HYPERLINK("https://otsuka-europe-crm.veevavault.com/ui/#object/email_activity__v/V8C00000004A730", "EN-002106358")</f>
        <v>EN-002106358</v>
      </c>
    </row>
    <row r="4827" spans="1:15" ht="16" x14ac:dyDescent="0.2">
      <c r="A4827" s="26"/>
      <c r="B4827" s="26"/>
      <c r="C4827" s="26"/>
      <c r="D4827" s="26"/>
      <c r="E4827" s="26"/>
      <c r="F4827" s="26"/>
      <c r="G4827" s="26"/>
      <c r="H4827" s="26"/>
      <c r="I4827" s="26"/>
      <c r="J4827" s="26"/>
      <c r="K4827" s="26"/>
      <c r="L4827" s="26"/>
      <c r="M4827" s="26"/>
      <c r="N4827" s="26"/>
      <c r="O4827" s="14" t="str">
        <f>HYPERLINK("https://otsuka-europe-crm.veevavault.com/ui/#object/email_activity__v/V8C00000004A731", "EN-002106359")</f>
        <v>EN-002106359</v>
      </c>
    </row>
    <row r="4828" spans="1:15" ht="16" x14ac:dyDescent="0.2">
      <c r="A4828" s="26"/>
      <c r="B4828" s="26"/>
      <c r="C4828" s="26"/>
      <c r="D4828" s="26"/>
      <c r="E4828" s="26"/>
      <c r="F4828" s="26"/>
      <c r="G4828" s="26"/>
      <c r="H4828" s="26"/>
      <c r="I4828" s="26"/>
      <c r="J4828" s="26"/>
      <c r="K4828" s="26"/>
      <c r="L4828" s="26"/>
      <c r="M4828" s="26"/>
      <c r="N4828" s="26"/>
      <c r="O4828" s="14" t="str">
        <f>HYPERLINK("https://otsuka-europe-crm.veevavault.com/ui/#object/email_activity__v/V8C00000004A732", "EN-002106360")</f>
        <v>EN-002106360</v>
      </c>
    </row>
    <row r="4829" spans="1:15" ht="16" x14ac:dyDescent="0.2">
      <c r="A4829" s="26"/>
      <c r="B4829" s="26"/>
      <c r="C4829" s="26"/>
      <c r="D4829" s="26"/>
      <c r="E4829" s="26"/>
      <c r="F4829" s="26"/>
      <c r="G4829" s="26"/>
      <c r="H4829" s="26"/>
      <c r="I4829" s="26"/>
      <c r="J4829" s="26"/>
      <c r="K4829" s="26"/>
      <c r="L4829" s="26"/>
      <c r="M4829" s="26"/>
      <c r="N4829" s="26"/>
      <c r="O4829" s="14" t="str">
        <f>HYPERLINK("https://otsuka-europe-crm.veevavault.com/ui/#object/email_activity__v/V8C00000004A756", "EN-002106397")</f>
        <v>EN-002106397</v>
      </c>
    </row>
    <row r="4830" spans="1:15" ht="16" x14ac:dyDescent="0.2">
      <c r="A4830" s="26"/>
      <c r="B4830" s="26"/>
      <c r="C4830" s="26"/>
      <c r="D4830" s="26"/>
      <c r="E4830" s="26"/>
      <c r="F4830" s="26"/>
      <c r="G4830" s="26"/>
      <c r="H4830" s="26"/>
      <c r="I4830" s="26"/>
      <c r="J4830" s="26"/>
      <c r="K4830" s="26"/>
      <c r="L4830" s="26"/>
      <c r="M4830" s="26"/>
      <c r="N4830" s="26"/>
      <c r="O4830" s="14" t="str">
        <f>HYPERLINK("https://otsuka-europe-crm.veevavault.com/ui/#object/email_activity__v/V8C00000004A757", "EN-002106401")</f>
        <v>EN-002106401</v>
      </c>
    </row>
    <row r="4831" spans="1:15" ht="16" x14ac:dyDescent="0.2">
      <c r="A4831" s="26"/>
      <c r="B4831" s="26"/>
      <c r="C4831" s="26"/>
      <c r="D4831" s="26"/>
      <c r="E4831" s="26"/>
      <c r="F4831" s="26"/>
      <c r="G4831" s="26"/>
      <c r="H4831" s="26"/>
      <c r="I4831" s="26"/>
      <c r="J4831" s="26"/>
      <c r="K4831" s="26"/>
      <c r="L4831" s="26"/>
      <c r="M4831" s="26"/>
      <c r="N4831" s="26"/>
      <c r="O4831" s="14" t="str">
        <f>HYPERLINK("https://otsuka-europe-crm.veevavault.com/ui/#object/email_activity__v/V8C00000004A764", "EN-002106420")</f>
        <v>EN-002106420</v>
      </c>
    </row>
    <row r="4832" spans="1:15" ht="16" x14ac:dyDescent="0.2">
      <c r="A4832" s="26"/>
      <c r="B4832" s="26"/>
      <c r="C4832" s="26"/>
      <c r="D4832" s="26"/>
      <c r="E4832" s="26"/>
      <c r="F4832" s="26"/>
      <c r="G4832" s="26"/>
      <c r="H4832" s="26"/>
      <c r="I4832" s="26"/>
      <c r="J4832" s="26"/>
      <c r="K4832" s="26"/>
      <c r="L4832" s="26"/>
      <c r="M4832" s="26"/>
      <c r="N4832" s="26"/>
      <c r="O4832" s="14" t="str">
        <f>HYPERLINK("https://otsuka-europe-crm.veevavault.com/ui/#object/email_activity__v/V8C00000004A765", "EN-002106424")</f>
        <v>EN-002106424</v>
      </c>
    </row>
    <row r="4833" spans="1:15" ht="16" x14ac:dyDescent="0.2">
      <c r="A4833" s="26"/>
      <c r="B4833" s="26"/>
      <c r="C4833" s="26"/>
      <c r="D4833" s="26"/>
      <c r="E4833" s="26"/>
      <c r="F4833" s="26"/>
      <c r="G4833" s="26"/>
      <c r="H4833" s="26"/>
      <c r="I4833" s="26"/>
      <c r="J4833" s="26"/>
      <c r="K4833" s="26"/>
      <c r="L4833" s="26"/>
      <c r="M4833" s="26"/>
      <c r="N4833" s="26"/>
      <c r="O4833" s="14" t="str">
        <f>HYPERLINK("https://otsuka-europe-crm.veevavault.com/ui/#object/email_activity__v/V8C00000004A766", "EN-002106426")</f>
        <v>EN-002106426</v>
      </c>
    </row>
    <row r="4834" spans="1:15" ht="16" x14ac:dyDescent="0.2">
      <c r="A4834" s="26"/>
      <c r="B4834" s="26"/>
      <c r="C4834" s="26"/>
      <c r="D4834" s="26"/>
      <c r="E4834" s="26"/>
      <c r="F4834" s="26"/>
      <c r="G4834" s="26"/>
      <c r="H4834" s="26"/>
      <c r="I4834" s="26"/>
      <c r="J4834" s="26"/>
      <c r="K4834" s="26"/>
      <c r="L4834" s="26"/>
      <c r="M4834" s="26"/>
      <c r="N4834" s="26"/>
      <c r="O4834" s="14" t="str">
        <f>HYPERLINK("https://otsuka-europe-crm.veevavault.com/ui/#object/email_activity__v/V8C00000004A769", "EN-002106430")</f>
        <v>EN-002106430</v>
      </c>
    </row>
    <row r="4835" spans="1:15" ht="16" x14ac:dyDescent="0.2">
      <c r="A4835" s="26"/>
      <c r="B4835" s="26"/>
      <c r="C4835" s="26"/>
      <c r="D4835" s="26"/>
      <c r="E4835" s="26"/>
      <c r="F4835" s="26"/>
      <c r="G4835" s="26"/>
      <c r="H4835" s="26"/>
      <c r="I4835" s="26"/>
      <c r="J4835" s="26"/>
      <c r="K4835" s="26"/>
      <c r="L4835" s="26"/>
      <c r="M4835" s="26"/>
      <c r="N4835" s="26"/>
      <c r="O4835" s="14" t="str">
        <f>HYPERLINK("https://otsuka-europe-crm.veevavault.com/ui/#object/email_activity__v/V8C00000004A879", "EN-002106616")</f>
        <v>EN-002106616</v>
      </c>
    </row>
    <row r="4836" spans="1:15" ht="16" x14ac:dyDescent="0.2">
      <c r="A4836" s="26"/>
      <c r="B4836" s="26"/>
      <c r="C4836" s="26"/>
      <c r="D4836" s="26"/>
      <c r="E4836" s="26"/>
      <c r="F4836" s="26"/>
      <c r="G4836" s="26"/>
      <c r="H4836" s="26"/>
      <c r="I4836" s="26"/>
      <c r="J4836" s="26"/>
      <c r="K4836" s="26"/>
      <c r="L4836" s="26"/>
      <c r="M4836" s="26"/>
      <c r="N4836" s="26"/>
      <c r="O4836" s="14" t="str">
        <f>HYPERLINK("https://otsuka-europe-crm.veevavault.com/ui/#object/email_activity__v/V8C00000004A880", "EN-002106617")</f>
        <v>EN-002106617</v>
      </c>
    </row>
    <row r="4837" spans="1:15" ht="16" x14ac:dyDescent="0.2">
      <c r="A4837" s="26"/>
      <c r="B4837" s="26"/>
      <c r="C4837" s="26"/>
      <c r="D4837" s="26"/>
      <c r="E4837" s="26"/>
      <c r="F4837" s="26"/>
      <c r="G4837" s="26"/>
      <c r="H4837" s="26"/>
      <c r="I4837" s="26"/>
      <c r="J4837" s="26"/>
      <c r="K4837" s="26"/>
      <c r="L4837" s="26"/>
      <c r="M4837" s="26"/>
      <c r="N4837" s="26"/>
      <c r="O4837" s="14" t="str">
        <f>HYPERLINK("https://otsuka-europe-crm.veevavault.com/ui/#object/email_activity__v/V8C00000004A907", "EN-002106670")</f>
        <v>EN-002106670</v>
      </c>
    </row>
    <row r="4838" spans="1:15" ht="16" x14ac:dyDescent="0.2">
      <c r="A4838" s="19"/>
      <c r="B4838" s="19"/>
      <c r="C4838" s="19"/>
      <c r="D4838" s="19"/>
      <c r="E4838" s="19"/>
      <c r="F4838" s="19"/>
      <c r="G4838" s="19"/>
      <c r="H4838" s="19"/>
      <c r="I4838" s="19"/>
      <c r="J4838" s="19"/>
      <c r="K4838" s="19"/>
      <c r="L4838" s="19"/>
      <c r="M4838" s="19"/>
      <c r="N4838" s="19"/>
      <c r="O4838" s="14" t="str">
        <f>HYPERLINK("https://otsuka-europe-crm.veevavault.com/ui/#object/email_activity__v/V8C00000004A908", "EN-002106671")</f>
        <v>EN-002106671</v>
      </c>
    </row>
    <row r="4839" spans="1:15" ht="16" x14ac:dyDescent="0.2">
      <c r="A4839" s="18" t="str">
        <f>HYPERLINK("https://otsuka-europe-crm.veevavault.com/ui/#object/account__v/V4TZ025E88R0JM4", "Ahmed Jawad")</f>
        <v>Ahmed Jawad</v>
      </c>
      <c r="B4839" s="18" t="str">
        <f>HYPERLINK("https://otsuka-europe-crm.veevavault.com/ui/#object/vcountry__v/VENZ000004SONFK", "GB")</f>
        <v>GB</v>
      </c>
      <c r="C4839" s="20" t="s">
        <v>41</v>
      </c>
      <c r="D4839" s="21" t="str">
        <f>HYPERLINK("https://otsuka-europe-crm.veevavault.com/ui/#object/approved_document__v/V5O00000001V001", "LDM DR P2P Invite 12-Nov-26 v2 [digital]")</f>
        <v>LDM DR P2P Invite 12-Nov-26 v2 [digital]</v>
      </c>
      <c r="E4839" s="22" t="str">
        <f>HYPERLINK("https://otsuka-europe-crm.veevavault.com/ui/#object/sent_email__v/VBL000000038217", "SE-001443996")</f>
        <v>SE-001443996</v>
      </c>
      <c r="F4839" s="25">
        <v>46219.4921412037</v>
      </c>
      <c r="G4839" s="24">
        <v>1</v>
      </c>
      <c r="H4839" s="24">
        <v>21</v>
      </c>
      <c r="I4839" s="24">
        <v>0</v>
      </c>
      <c r="J4839" s="23"/>
      <c r="K4839" s="24">
        <v>0</v>
      </c>
      <c r="L4839" s="22" t="str">
        <f>HYPERLINK("https://otsuka-europe-crm.veevavault.com/ui/#object/approved_document__v/V5O00000001V001", "LDM DR P2P Invite 12-Nov-26 v2 [digital]")</f>
        <v>LDM DR P2P Invite 12-Nov-26 v2 [digital]</v>
      </c>
      <c r="M4839" s="22" t="str">
        <f>HYPERLINK("mailto:draval@crm.otsuka-europe.com", "draval@crm.otsuka-europe.com")</f>
        <v>draval@crm.otsuka-europe.com</v>
      </c>
      <c r="N4839" s="25">
        <v>46217.659074074072</v>
      </c>
      <c r="O4839" s="14" t="str">
        <f>HYPERLINK("https://otsuka-europe-crm.veevavault.com/ui/#object/email_activity__v/V8C000000049698", "EN-002106213")</f>
        <v>EN-002106213</v>
      </c>
    </row>
    <row r="4840" spans="1:15" ht="16" x14ac:dyDescent="0.2">
      <c r="A4840" s="26"/>
      <c r="B4840" s="26"/>
      <c r="C4840" s="26"/>
      <c r="D4840" s="26"/>
      <c r="E4840" s="26"/>
      <c r="F4840" s="26"/>
      <c r="G4840" s="26"/>
      <c r="H4840" s="26"/>
      <c r="I4840" s="26"/>
      <c r="J4840" s="26"/>
      <c r="K4840" s="26"/>
      <c r="L4840" s="26"/>
      <c r="M4840" s="26"/>
      <c r="N4840" s="26"/>
      <c r="O4840" s="14" t="str">
        <f>HYPERLINK("https://otsuka-europe-crm.veevavault.com/ui/#object/email_activity__v/V8C000000049699", "EN-002106214")</f>
        <v>EN-002106214</v>
      </c>
    </row>
    <row r="4841" spans="1:15" ht="16" x14ac:dyDescent="0.2">
      <c r="A4841" s="26"/>
      <c r="B4841" s="26"/>
      <c r="C4841" s="26"/>
      <c r="D4841" s="26"/>
      <c r="E4841" s="26"/>
      <c r="F4841" s="26"/>
      <c r="G4841" s="26"/>
      <c r="H4841" s="26"/>
      <c r="I4841" s="26"/>
      <c r="J4841" s="26"/>
      <c r="K4841" s="26"/>
      <c r="L4841" s="26"/>
      <c r="M4841" s="26"/>
      <c r="N4841" s="26"/>
      <c r="O4841" s="14" t="str">
        <f>HYPERLINK("https://otsuka-europe-crm.veevavault.com/ui/#object/email_activity__v/V8C000000049765", "EN-002106364")</f>
        <v>EN-002106364</v>
      </c>
    </row>
    <row r="4842" spans="1:15" ht="16" x14ac:dyDescent="0.2">
      <c r="A4842" s="26"/>
      <c r="B4842" s="26"/>
      <c r="C4842" s="26"/>
      <c r="D4842" s="26"/>
      <c r="E4842" s="26"/>
      <c r="F4842" s="26"/>
      <c r="G4842" s="26"/>
      <c r="H4842" s="26"/>
      <c r="I4842" s="26"/>
      <c r="J4842" s="26"/>
      <c r="K4842" s="26"/>
      <c r="L4842" s="26"/>
      <c r="M4842" s="26"/>
      <c r="N4842" s="26"/>
      <c r="O4842" s="14" t="str">
        <f>HYPERLINK("https://otsuka-europe-crm.veevavault.com/ui/#object/email_activity__v/V8C000000049773", "EN-002106389")</f>
        <v>EN-002106389</v>
      </c>
    </row>
    <row r="4843" spans="1:15" ht="16" x14ac:dyDescent="0.2">
      <c r="A4843" s="26"/>
      <c r="B4843" s="26"/>
      <c r="C4843" s="26"/>
      <c r="D4843" s="26"/>
      <c r="E4843" s="26"/>
      <c r="F4843" s="26"/>
      <c r="G4843" s="26"/>
      <c r="H4843" s="26"/>
      <c r="I4843" s="26"/>
      <c r="J4843" s="26"/>
      <c r="K4843" s="26"/>
      <c r="L4843" s="26"/>
      <c r="M4843" s="26"/>
      <c r="N4843" s="26"/>
      <c r="O4843" s="14" t="str">
        <f>HYPERLINK("https://otsuka-europe-crm.veevavault.com/ui/#object/email_activity__v/V8C000000049774", "EN-002106391")</f>
        <v>EN-002106391</v>
      </c>
    </row>
    <row r="4844" spans="1:15" ht="16" x14ac:dyDescent="0.2">
      <c r="A4844" s="26"/>
      <c r="B4844" s="26"/>
      <c r="C4844" s="26"/>
      <c r="D4844" s="26"/>
      <c r="E4844" s="26"/>
      <c r="F4844" s="26"/>
      <c r="G4844" s="26"/>
      <c r="H4844" s="26"/>
      <c r="I4844" s="26"/>
      <c r="J4844" s="26"/>
      <c r="K4844" s="26"/>
      <c r="L4844" s="26"/>
      <c r="M4844" s="26"/>
      <c r="N4844" s="26"/>
      <c r="O4844" s="14" t="str">
        <f>HYPERLINK("https://otsuka-europe-crm.veevavault.com/ui/#object/email_activity__v/V8C000000049781", "EN-002106405")</f>
        <v>EN-002106405</v>
      </c>
    </row>
    <row r="4845" spans="1:15" ht="16" x14ac:dyDescent="0.2">
      <c r="A4845" s="26"/>
      <c r="B4845" s="26"/>
      <c r="C4845" s="26"/>
      <c r="D4845" s="26"/>
      <c r="E4845" s="26"/>
      <c r="F4845" s="26"/>
      <c r="G4845" s="26"/>
      <c r="H4845" s="26"/>
      <c r="I4845" s="26"/>
      <c r="J4845" s="26"/>
      <c r="K4845" s="26"/>
      <c r="L4845" s="26"/>
      <c r="M4845" s="26"/>
      <c r="N4845" s="26"/>
      <c r="O4845" s="14" t="str">
        <f>HYPERLINK("https://otsuka-europe-crm.veevavault.com/ui/#object/email_activity__v/V8C000000049785", "EN-002106411")</f>
        <v>EN-002106411</v>
      </c>
    </row>
    <row r="4846" spans="1:15" ht="16" x14ac:dyDescent="0.2">
      <c r="A4846" s="26"/>
      <c r="B4846" s="26"/>
      <c r="C4846" s="26"/>
      <c r="D4846" s="26"/>
      <c r="E4846" s="26"/>
      <c r="F4846" s="26"/>
      <c r="G4846" s="26"/>
      <c r="H4846" s="26"/>
      <c r="I4846" s="26"/>
      <c r="J4846" s="26"/>
      <c r="K4846" s="26"/>
      <c r="L4846" s="26"/>
      <c r="M4846" s="26"/>
      <c r="N4846" s="26"/>
      <c r="O4846" s="14" t="str">
        <f>HYPERLINK("https://otsuka-europe-crm.veevavault.com/ui/#object/email_activity__v/V8C000000049787", "EN-002106415")</f>
        <v>EN-002106415</v>
      </c>
    </row>
    <row r="4847" spans="1:15" ht="16" x14ac:dyDescent="0.2">
      <c r="A4847" s="26"/>
      <c r="B4847" s="26"/>
      <c r="C4847" s="26"/>
      <c r="D4847" s="26"/>
      <c r="E4847" s="26"/>
      <c r="F4847" s="26"/>
      <c r="G4847" s="26"/>
      <c r="H4847" s="26"/>
      <c r="I4847" s="26"/>
      <c r="J4847" s="26"/>
      <c r="K4847" s="26"/>
      <c r="L4847" s="26"/>
      <c r="M4847" s="26"/>
      <c r="N4847" s="26"/>
      <c r="O4847" s="14" t="str">
        <f>HYPERLINK("https://otsuka-europe-crm.veevavault.com/ui/#object/email_activity__v/V8C000000049788", "EN-002106416")</f>
        <v>EN-002106416</v>
      </c>
    </row>
    <row r="4848" spans="1:15" ht="16" x14ac:dyDescent="0.2">
      <c r="A4848" s="26"/>
      <c r="B4848" s="26"/>
      <c r="C4848" s="26"/>
      <c r="D4848" s="26"/>
      <c r="E4848" s="26"/>
      <c r="F4848" s="26"/>
      <c r="G4848" s="26"/>
      <c r="H4848" s="26"/>
      <c r="I4848" s="26"/>
      <c r="J4848" s="26"/>
      <c r="K4848" s="26"/>
      <c r="L4848" s="26"/>
      <c r="M4848" s="26"/>
      <c r="N4848" s="26"/>
      <c r="O4848" s="14" t="str">
        <f>HYPERLINK("https://otsuka-europe-crm.veevavault.com/ui/#object/email_activity__v/V8C000000049791", "EN-002106421")</f>
        <v>EN-002106421</v>
      </c>
    </row>
    <row r="4849" spans="1:15" ht="16" x14ac:dyDescent="0.2">
      <c r="A4849" s="26"/>
      <c r="B4849" s="26"/>
      <c r="C4849" s="26"/>
      <c r="D4849" s="26"/>
      <c r="E4849" s="26"/>
      <c r="F4849" s="26"/>
      <c r="G4849" s="26"/>
      <c r="H4849" s="26"/>
      <c r="I4849" s="26"/>
      <c r="J4849" s="26"/>
      <c r="K4849" s="26"/>
      <c r="L4849" s="26"/>
      <c r="M4849" s="26"/>
      <c r="N4849" s="26"/>
      <c r="O4849" s="14" t="str">
        <f>HYPERLINK("https://otsuka-europe-crm.veevavault.com/ui/#object/email_activity__v/V8C00000004A541", "EN-002106023")</f>
        <v>EN-002106023</v>
      </c>
    </row>
    <row r="4850" spans="1:15" ht="16" x14ac:dyDescent="0.2">
      <c r="A4850" s="26"/>
      <c r="B4850" s="26"/>
      <c r="C4850" s="26"/>
      <c r="D4850" s="26"/>
      <c r="E4850" s="26"/>
      <c r="F4850" s="26"/>
      <c r="G4850" s="26"/>
      <c r="H4850" s="26"/>
      <c r="I4850" s="26"/>
      <c r="J4850" s="26"/>
      <c r="K4850" s="26"/>
      <c r="L4850" s="26"/>
      <c r="M4850" s="26"/>
      <c r="N4850" s="26"/>
      <c r="O4850" s="14" t="str">
        <f>HYPERLINK("https://otsuka-europe-crm.veevavault.com/ui/#object/email_activity__v/V8C00000004A573", "EN-002106067")</f>
        <v>EN-002106067</v>
      </c>
    </row>
    <row r="4851" spans="1:15" ht="16" x14ac:dyDescent="0.2">
      <c r="A4851" s="26"/>
      <c r="B4851" s="26"/>
      <c r="C4851" s="26"/>
      <c r="D4851" s="26"/>
      <c r="E4851" s="26"/>
      <c r="F4851" s="26"/>
      <c r="G4851" s="26"/>
      <c r="H4851" s="26"/>
      <c r="I4851" s="26"/>
      <c r="J4851" s="26"/>
      <c r="K4851" s="26"/>
      <c r="L4851" s="26"/>
      <c r="M4851" s="26"/>
      <c r="N4851" s="26"/>
      <c r="O4851" s="14" t="str">
        <f>HYPERLINK("https://otsuka-europe-crm.veevavault.com/ui/#object/email_activity__v/V8C00000004A734", "EN-002106365")</f>
        <v>EN-002106365</v>
      </c>
    </row>
    <row r="4852" spans="1:15" ht="16" x14ac:dyDescent="0.2">
      <c r="A4852" s="26"/>
      <c r="B4852" s="26"/>
      <c r="C4852" s="26"/>
      <c r="D4852" s="26"/>
      <c r="E4852" s="26"/>
      <c r="F4852" s="26"/>
      <c r="G4852" s="26"/>
      <c r="H4852" s="26"/>
      <c r="I4852" s="26"/>
      <c r="J4852" s="26"/>
      <c r="K4852" s="26"/>
      <c r="L4852" s="26"/>
      <c r="M4852" s="26"/>
      <c r="N4852" s="26"/>
      <c r="O4852" s="14" t="str">
        <f>HYPERLINK("https://otsuka-europe-crm.veevavault.com/ui/#object/email_activity__v/V8C00000004A735", "EN-002106366")</f>
        <v>EN-002106366</v>
      </c>
    </row>
    <row r="4853" spans="1:15" ht="16" x14ac:dyDescent="0.2">
      <c r="A4853" s="26"/>
      <c r="B4853" s="26"/>
      <c r="C4853" s="26"/>
      <c r="D4853" s="26"/>
      <c r="E4853" s="26"/>
      <c r="F4853" s="26"/>
      <c r="G4853" s="26"/>
      <c r="H4853" s="26"/>
      <c r="I4853" s="26"/>
      <c r="J4853" s="26"/>
      <c r="K4853" s="26"/>
      <c r="L4853" s="26"/>
      <c r="M4853" s="26"/>
      <c r="N4853" s="26"/>
      <c r="O4853" s="14" t="str">
        <f>HYPERLINK("https://otsuka-europe-crm.veevavault.com/ui/#object/email_activity__v/V8C00000004A742", "EN-002106374")</f>
        <v>EN-002106374</v>
      </c>
    </row>
    <row r="4854" spans="1:15" ht="16" x14ac:dyDescent="0.2">
      <c r="A4854" s="26"/>
      <c r="B4854" s="26"/>
      <c r="C4854" s="26"/>
      <c r="D4854" s="26"/>
      <c r="E4854" s="26"/>
      <c r="F4854" s="26"/>
      <c r="G4854" s="26"/>
      <c r="H4854" s="26"/>
      <c r="I4854" s="26"/>
      <c r="J4854" s="26"/>
      <c r="K4854" s="26"/>
      <c r="L4854" s="26"/>
      <c r="M4854" s="26"/>
      <c r="N4854" s="26"/>
      <c r="O4854" s="14" t="str">
        <f>HYPERLINK("https://otsuka-europe-crm.veevavault.com/ui/#object/email_activity__v/V8C00000004A743", "EN-002106375")</f>
        <v>EN-002106375</v>
      </c>
    </row>
    <row r="4855" spans="1:15" ht="16" x14ac:dyDescent="0.2">
      <c r="A4855" s="26"/>
      <c r="B4855" s="26"/>
      <c r="C4855" s="26"/>
      <c r="D4855" s="26"/>
      <c r="E4855" s="26"/>
      <c r="F4855" s="26"/>
      <c r="G4855" s="26"/>
      <c r="H4855" s="26"/>
      <c r="I4855" s="26"/>
      <c r="J4855" s="26"/>
      <c r="K4855" s="26"/>
      <c r="L4855" s="26"/>
      <c r="M4855" s="26"/>
      <c r="N4855" s="26"/>
      <c r="O4855" s="14" t="str">
        <f>HYPERLINK("https://otsuka-europe-crm.veevavault.com/ui/#object/email_activity__v/V8C00000004A744", "EN-002106376")</f>
        <v>EN-002106376</v>
      </c>
    </row>
    <row r="4856" spans="1:15" ht="16" x14ac:dyDescent="0.2">
      <c r="A4856" s="26"/>
      <c r="B4856" s="26"/>
      <c r="C4856" s="26"/>
      <c r="D4856" s="26"/>
      <c r="E4856" s="26"/>
      <c r="F4856" s="26"/>
      <c r="G4856" s="26"/>
      <c r="H4856" s="26"/>
      <c r="I4856" s="26"/>
      <c r="J4856" s="26"/>
      <c r="K4856" s="26"/>
      <c r="L4856" s="26"/>
      <c r="M4856" s="26"/>
      <c r="N4856" s="26"/>
      <c r="O4856" s="14" t="str">
        <f>HYPERLINK("https://otsuka-europe-crm.veevavault.com/ui/#object/email_activity__v/V8C00000004A752", "EN-002106392")</f>
        <v>EN-002106392</v>
      </c>
    </row>
    <row r="4857" spans="1:15" ht="16" x14ac:dyDescent="0.2">
      <c r="A4857" s="26"/>
      <c r="B4857" s="26"/>
      <c r="C4857" s="26"/>
      <c r="D4857" s="26"/>
      <c r="E4857" s="26"/>
      <c r="F4857" s="26"/>
      <c r="G4857" s="26"/>
      <c r="H4857" s="26"/>
      <c r="I4857" s="26"/>
      <c r="J4857" s="26"/>
      <c r="K4857" s="26"/>
      <c r="L4857" s="26"/>
      <c r="M4857" s="26"/>
      <c r="N4857" s="26"/>
      <c r="O4857" s="14" t="str">
        <f>HYPERLINK("https://otsuka-europe-crm.veevavault.com/ui/#object/email_activity__v/V8C00000004A758", "EN-002106404")</f>
        <v>EN-002106404</v>
      </c>
    </row>
    <row r="4858" spans="1:15" ht="16" x14ac:dyDescent="0.2">
      <c r="A4858" s="26"/>
      <c r="B4858" s="26"/>
      <c r="C4858" s="26"/>
      <c r="D4858" s="26"/>
      <c r="E4858" s="26"/>
      <c r="F4858" s="26"/>
      <c r="G4858" s="26"/>
      <c r="H4858" s="26"/>
      <c r="I4858" s="26"/>
      <c r="J4858" s="26"/>
      <c r="K4858" s="26"/>
      <c r="L4858" s="26"/>
      <c r="M4858" s="26"/>
      <c r="N4858" s="26"/>
      <c r="O4858" s="14" t="str">
        <f>HYPERLINK("https://otsuka-europe-crm.veevavault.com/ui/#object/email_activity__v/V8C00000004A882", "EN-002106619")</f>
        <v>EN-002106619</v>
      </c>
    </row>
    <row r="4859" spans="1:15" ht="16" x14ac:dyDescent="0.2">
      <c r="A4859" s="26"/>
      <c r="B4859" s="26"/>
      <c r="C4859" s="26"/>
      <c r="D4859" s="26"/>
      <c r="E4859" s="26"/>
      <c r="F4859" s="26"/>
      <c r="G4859" s="26"/>
      <c r="H4859" s="26"/>
      <c r="I4859" s="26"/>
      <c r="J4859" s="26"/>
      <c r="K4859" s="26"/>
      <c r="L4859" s="26"/>
      <c r="M4859" s="26"/>
      <c r="N4859" s="26"/>
      <c r="O4859" s="14" t="str">
        <f>HYPERLINK("https://otsuka-europe-crm.veevavault.com/ui/#object/email_activity__v/V8C00000004A883", "EN-002106620")</f>
        <v>EN-002106620</v>
      </c>
    </row>
    <row r="4860" spans="1:15" ht="16" x14ac:dyDescent="0.2">
      <c r="A4860" s="19"/>
      <c r="B4860" s="19"/>
      <c r="C4860" s="19"/>
      <c r="D4860" s="19"/>
      <c r="E4860" s="19"/>
      <c r="F4860" s="19"/>
      <c r="G4860" s="19"/>
      <c r="H4860" s="19"/>
      <c r="I4860" s="19"/>
      <c r="J4860" s="19"/>
      <c r="K4860" s="19"/>
      <c r="L4860" s="19"/>
      <c r="M4860" s="19"/>
      <c r="N4860" s="19"/>
      <c r="O4860" s="14" t="str">
        <f>HYPERLINK("https://otsuka-europe-crm.veevavault.com/ui/#object/email_activity__v/V8C00000004A890", "EN-002106634")</f>
        <v>EN-002106634</v>
      </c>
    </row>
    <row r="4861" spans="1:15" ht="32" x14ac:dyDescent="0.2">
      <c r="A4861" s="7" t="str">
        <f>HYPERLINK("https://otsuka-europe-crm.veevavault.com/ui/#object/account__v/V4TZ025E82C72VG", "Thamara Jayasinghe")</f>
        <v>Thamara Jayasinghe</v>
      </c>
      <c r="B4861" s="7" t="str">
        <f t="shared" ref="B4861:B4867" si="226">HYPERLINK("https://otsuka-europe-crm.veevavault.com/ui/#object/vcountry__v/VENZ000004SONFK", "GB")</f>
        <v>GB</v>
      </c>
      <c r="C4861" s="8" t="s">
        <v>41</v>
      </c>
      <c r="D4861" s="9" t="str">
        <f t="shared" ref="D4861:D4867" si="227">HYPERLINK("https://otsuka-europe-crm.veevavault.com/ui/#object/approved_document__v/V5O00000001V001", "LDM DR P2P Invite 12-Nov-26 v2 [digital]")</f>
        <v>LDM DR P2P Invite 12-Nov-26 v2 [digital]</v>
      </c>
      <c r="E4861" s="10" t="str">
        <f>HYPERLINK("https://otsuka-europe-crm.veevavault.com/ui/#object/sent_email__v/VBL000000037291", "SE-001443997")</f>
        <v>SE-001443997</v>
      </c>
      <c r="F4861" s="11"/>
      <c r="G4861" s="12">
        <v>0</v>
      </c>
      <c r="H4861" s="12">
        <v>0</v>
      </c>
      <c r="I4861" s="12">
        <v>0</v>
      </c>
      <c r="J4861" s="11"/>
      <c r="K4861" s="12">
        <v>0</v>
      </c>
      <c r="L4861" s="10" t="str">
        <f t="shared" ref="L4861:L4867" si="228">HYPERLINK("https://otsuka-europe-crm.veevavault.com/ui/#object/approved_document__v/V5O00000001V001", "LDM DR P2P Invite 12-Nov-26 v2 [digital]")</f>
        <v>LDM DR P2P Invite 12-Nov-26 v2 [digital]</v>
      </c>
      <c r="M4861" s="10" t="str">
        <f t="shared" ref="M4861:M4867" si="229">HYPERLINK("mailto:draval@crm.otsuka-europe.com", "draval@crm.otsuka-europe.com")</f>
        <v>draval@crm.otsuka-europe.com</v>
      </c>
      <c r="N4861" s="13">
        <v>46217.659282407411</v>
      </c>
      <c r="O4861" s="14" t="str">
        <f>HYPERLINK("https://otsuka-europe-crm.veevavault.com/ui/#object/email_activity__v/V8C00000004A542", "EN-002106024")</f>
        <v>EN-002106024</v>
      </c>
    </row>
    <row r="4862" spans="1:15" ht="32" x14ac:dyDescent="0.2">
      <c r="A4862" s="7" t="str">
        <f>HYPERLINK("https://otsuka-europe-crm.veevavault.com/ui/#object/account__v/V4TZ06G6OB43VYQ", "Alicia Jones")</f>
        <v>Alicia Jones</v>
      </c>
      <c r="B4862" s="7" t="str">
        <f t="shared" si="226"/>
        <v>GB</v>
      </c>
      <c r="C4862" s="8" t="s">
        <v>41</v>
      </c>
      <c r="D4862" s="9" t="str">
        <f t="shared" si="227"/>
        <v>LDM DR P2P Invite 12-Nov-26 v2 [digital]</v>
      </c>
      <c r="E4862" s="10" t="str">
        <f>HYPERLINK("https://otsuka-europe-crm.veevavault.com/ui/#object/sent_email__v/VBL000000037292", "SE-001443998")</f>
        <v>SE-001443998</v>
      </c>
      <c r="F4862" s="11"/>
      <c r="G4862" s="12">
        <v>0</v>
      </c>
      <c r="H4862" s="12">
        <v>0</v>
      </c>
      <c r="I4862" s="12">
        <v>0</v>
      </c>
      <c r="J4862" s="11"/>
      <c r="K4862" s="12">
        <v>0</v>
      </c>
      <c r="L4862" s="10" t="str">
        <f t="shared" si="228"/>
        <v>LDM DR P2P Invite 12-Nov-26 v2 [digital]</v>
      </c>
      <c r="M4862" s="10" t="str">
        <f t="shared" si="229"/>
        <v>draval@crm.otsuka-europe.com</v>
      </c>
      <c r="N4862" s="13">
        <v>46217.659421296295</v>
      </c>
      <c r="O4862" s="14" t="str">
        <f>HYPERLINK("https://otsuka-europe-crm.veevavault.com/ui/#object/email_activity__v/V8C000000049617", "EN-002106025")</f>
        <v>EN-002106025</v>
      </c>
    </row>
    <row r="4863" spans="1:15" ht="32" x14ac:dyDescent="0.2">
      <c r="A4863" s="7" t="str">
        <f>HYPERLINK("https://otsuka-europe-crm.veevavault.com/ui/#object/account__v/V4TZ04ASGECDVVK", "Rachel Kent")</f>
        <v>Rachel Kent</v>
      </c>
      <c r="B4863" s="7" t="str">
        <f t="shared" si="226"/>
        <v>GB</v>
      </c>
      <c r="C4863" s="8" t="s">
        <v>41</v>
      </c>
      <c r="D4863" s="9" t="str">
        <f t="shared" si="227"/>
        <v>LDM DR P2P Invite 12-Nov-26 v2 [digital]</v>
      </c>
      <c r="E4863" s="10" t="str">
        <f>HYPERLINK("https://otsuka-europe-crm.veevavault.com/ui/#object/sent_email__v/VBL000000038218", "SE-001443999")</f>
        <v>SE-001443999</v>
      </c>
      <c r="F4863" s="11"/>
      <c r="G4863" s="12">
        <v>0</v>
      </c>
      <c r="H4863" s="12">
        <v>0</v>
      </c>
      <c r="I4863" s="12">
        <v>0</v>
      </c>
      <c r="J4863" s="11"/>
      <c r="K4863" s="12">
        <v>0</v>
      </c>
      <c r="L4863" s="10" t="str">
        <f t="shared" si="228"/>
        <v>LDM DR P2P Invite 12-Nov-26 v2 [digital]</v>
      </c>
      <c r="M4863" s="10" t="str">
        <f t="shared" si="229"/>
        <v>draval@crm.otsuka-europe.com</v>
      </c>
      <c r="N4863" s="13">
        <v>46217.659594907411</v>
      </c>
      <c r="O4863" s="14" t="str">
        <f>HYPERLINK("https://otsuka-europe-crm.veevavault.com/ui/#object/email_activity__v/V8C000000049618", "EN-002106026")</f>
        <v>EN-002106026</v>
      </c>
    </row>
    <row r="4864" spans="1:15" ht="32" x14ac:dyDescent="0.2">
      <c r="A4864" s="7" t="str">
        <f>HYPERLINK("https://otsuka-europe-crm.veevavault.com/ui/#object/account__v/V4TZ0000062PBLT", "Anupam Kishore")</f>
        <v>Anupam Kishore</v>
      </c>
      <c r="B4864" s="7" t="str">
        <f t="shared" si="226"/>
        <v>GB</v>
      </c>
      <c r="C4864" s="8" t="s">
        <v>41</v>
      </c>
      <c r="D4864" s="9" t="str">
        <f t="shared" si="227"/>
        <v>LDM DR P2P Invite 12-Nov-26 v2 [digital]</v>
      </c>
      <c r="E4864" s="10" t="str">
        <f>HYPERLINK("https://otsuka-europe-crm.veevavault.com/ui/#object/sent_email__v/VBL000000037293", "SE-001444000")</f>
        <v>SE-001444000</v>
      </c>
      <c r="F4864" s="11"/>
      <c r="G4864" s="12">
        <v>0</v>
      </c>
      <c r="H4864" s="12">
        <v>0</v>
      </c>
      <c r="I4864" s="12">
        <v>0</v>
      </c>
      <c r="J4864" s="11"/>
      <c r="K4864" s="12">
        <v>0</v>
      </c>
      <c r="L4864" s="10" t="str">
        <f t="shared" si="228"/>
        <v>LDM DR P2P Invite 12-Nov-26 v2 [digital]</v>
      </c>
      <c r="M4864" s="10" t="str">
        <f t="shared" si="229"/>
        <v>draval@crm.otsuka-europe.com</v>
      </c>
      <c r="N4864" s="13">
        <v>46217.659710648149</v>
      </c>
      <c r="O4864" s="14" t="str">
        <f>HYPERLINK("https://otsuka-europe-crm.veevavault.com/ui/#object/email_activity__v/V8C00000004A543", "EN-002106027")</f>
        <v>EN-002106027</v>
      </c>
    </row>
    <row r="4865" spans="1:15" ht="32" x14ac:dyDescent="0.2">
      <c r="A4865" s="7" t="str">
        <f>HYPERLINK("https://otsuka-europe-crm.veevavault.com/ui/#object/account__v/V4TZ0000062PBT8", "Petar Kolarov")</f>
        <v>Petar Kolarov</v>
      </c>
      <c r="B4865" s="7" t="str">
        <f t="shared" si="226"/>
        <v>GB</v>
      </c>
      <c r="C4865" s="8" t="s">
        <v>41</v>
      </c>
      <c r="D4865" s="9" t="str">
        <f t="shared" si="227"/>
        <v>LDM DR P2P Invite 12-Nov-26 v2 [digital]</v>
      </c>
      <c r="E4865" s="10" t="str">
        <f>HYPERLINK("https://otsuka-europe-crm.veevavault.com/ui/#object/sent_email__v/VBL000000037294", "SE-001444001")</f>
        <v>SE-001444001</v>
      </c>
      <c r="F4865" s="11"/>
      <c r="G4865" s="12">
        <v>0</v>
      </c>
      <c r="H4865" s="12">
        <v>0</v>
      </c>
      <c r="I4865" s="12">
        <v>0</v>
      </c>
      <c r="J4865" s="11"/>
      <c r="K4865" s="12">
        <v>0</v>
      </c>
      <c r="L4865" s="10" t="str">
        <f t="shared" si="228"/>
        <v>LDM DR P2P Invite 12-Nov-26 v2 [digital]</v>
      </c>
      <c r="M4865" s="10" t="str">
        <f t="shared" si="229"/>
        <v>draval@crm.otsuka-europe.com</v>
      </c>
      <c r="N4865" s="13">
        <v>46217.659942129627</v>
      </c>
      <c r="O4865" s="14" t="str">
        <f>HYPERLINK("https://otsuka-europe-crm.veevavault.com/ui/#object/email_activity__v/V8C00000004A544", "EN-002106028")</f>
        <v>EN-002106028</v>
      </c>
    </row>
    <row r="4866" spans="1:15" ht="32" x14ac:dyDescent="0.2">
      <c r="A4866" s="7" t="str">
        <f>HYPERLINK("https://otsuka-europe-crm.veevavault.com/ui/#object/account__v/V4TZ0000062PFEX", "Girija Kottalgi")</f>
        <v>Girija Kottalgi</v>
      </c>
      <c r="B4866" s="7" t="str">
        <f t="shared" si="226"/>
        <v>GB</v>
      </c>
      <c r="C4866" s="8" t="s">
        <v>41</v>
      </c>
      <c r="D4866" s="9" t="str">
        <f t="shared" si="227"/>
        <v>LDM DR P2P Invite 12-Nov-26 v2 [digital]</v>
      </c>
      <c r="E4866" s="10" t="str">
        <f>HYPERLINK("https://otsuka-europe-crm.veevavault.com/ui/#object/sent_email__v/VBL000000037295", "SE-001444002")</f>
        <v>SE-001444002</v>
      </c>
      <c r="F4866" s="11"/>
      <c r="G4866" s="12">
        <v>0</v>
      </c>
      <c r="H4866" s="12">
        <v>0</v>
      </c>
      <c r="I4866" s="12">
        <v>0</v>
      </c>
      <c r="J4866" s="11"/>
      <c r="K4866" s="12">
        <v>0</v>
      </c>
      <c r="L4866" s="10" t="str">
        <f t="shared" si="228"/>
        <v>LDM DR P2P Invite 12-Nov-26 v2 [digital]</v>
      </c>
      <c r="M4866" s="10" t="str">
        <f t="shared" si="229"/>
        <v>draval@crm.otsuka-europe.com</v>
      </c>
      <c r="N4866" s="13">
        <v>46217.659988425927</v>
      </c>
      <c r="O4866" s="14" t="str">
        <f>HYPERLINK("https://otsuka-europe-crm.veevavault.com/ui/#object/email_activity__v/V8C00000004A545", "EN-002106029")</f>
        <v>EN-002106029</v>
      </c>
    </row>
    <row r="4867" spans="1:15" ht="16" x14ac:dyDescent="0.2">
      <c r="A4867" s="18" t="str">
        <f>HYPERLINK("https://otsuka-europe-crm.veevavault.com/ui/#object/account__v/V4TZ0000062PB3F", "Ajai Kumar")</f>
        <v>Ajai Kumar</v>
      </c>
      <c r="B4867" s="18" t="str">
        <f t="shared" si="226"/>
        <v>GB</v>
      </c>
      <c r="C4867" s="20" t="s">
        <v>41</v>
      </c>
      <c r="D4867" s="21" t="str">
        <f t="shared" si="227"/>
        <v>LDM DR P2P Invite 12-Nov-26 v2 [digital]</v>
      </c>
      <c r="E4867" s="22" t="str">
        <f>HYPERLINK("https://otsuka-europe-crm.veevavault.com/ui/#object/sent_email__v/VBL000000038219", "SE-001444003")</f>
        <v>SE-001444003</v>
      </c>
      <c r="F4867" s="23"/>
      <c r="G4867" s="24">
        <v>0</v>
      </c>
      <c r="H4867" s="24">
        <v>0</v>
      </c>
      <c r="I4867" s="24">
        <v>0</v>
      </c>
      <c r="J4867" s="23"/>
      <c r="K4867" s="24">
        <v>0</v>
      </c>
      <c r="L4867" s="22" t="str">
        <f t="shared" si="228"/>
        <v>LDM DR P2P Invite 12-Nov-26 v2 [digital]</v>
      </c>
      <c r="M4867" s="22" t="str">
        <f t="shared" si="229"/>
        <v>draval@crm.otsuka-europe.com</v>
      </c>
      <c r="N4867" s="25">
        <v>46217.660104166665</v>
      </c>
      <c r="O4867" s="14" t="str">
        <f>HYPERLINK("https://otsuka-europe-crm.veevavault.com/ui/#object/email_activity__v/V8C00000004A547", "EN-002106031")</f>
        <v>EN-002106031</v>
      </c>
    </row>
    <row r="4868" spans="1:15" ht="16" x14ac:dyDescent="0.2">
      <c r="A4868" s="19"/>
      <c r="B4868" s="19"/>
      <c r="C4868" s="19"/>
      <c r="D4868" s="19"/>
      <c r="E4868" s="19"/>
      <c r="F4868" s="19"/>
      <c r="G4868" s="19"/>
      <c r="H4868" s="19"/>
      <c r="I4868" s="19"/>
      <c r="J4868" s="19"/>
      <c r="K4868" s="19"/>
      <c r="L4868" s="19"/>
      <c r="M4868" s="19"/>
      <c r="N4868" s="19"/>
      <c r="O4868" s="14" t="str">
        <f>HYPERLINK("https://otsuka-europe-crm.veevavault.com/ui/#object/email_activity__v/V8C00000004A801", "EN-002106493")</f>
        <v>EN-002106493</v>
      </c>
    </row>
    <row r="4869" spans="1:15" ht="32" x14ac:dyDescent="0.2">
      <c r="A4869" s="7" t="str">
        <f>HYPERLINK("https://otsuka-europe-crm.veevavault.com/ui/#object/account__v/V4TZ0000062PBNG", "Wei Lim")</f>
        <v>Wei Lim</v>
      </c>
      <c r="B4869" s="7" t="str">
        <f>HYPERLINK("https://otsuka-europe-crm.veevavault.com/ui/#object/vcountry__v/VENZ000004SONFK", "GB")</f>
        <v>GB</v>
      </c>
      <c r="C4869" s="8" t="s">
        <v>41</v>
      </c>
      <c r="D4869" s="9" t="str">
        <f>HYPERLINK("https://otsuka-europe-crm.veevavault.com/ui/#object/approved_document__v/V5O00000001V001", "LDM DR P2P Invite 12-Nov-26 v2 [digital]")</f>
        <v>LDM DR P2P Invite 12-Nov-26 v2 [digital]</v>
      </c>
      <c r="E4869" s="10" t="str">
        <f>HYPERLINK("https://otsuka-europe-crm.veevavault.com/ui/#object/sent_email__v/VBL000000037296", "SE-001444004")</f>
        <v>SE-001444004</v>
      </c>
      <c r="F4869" s="11"/>
      <c r="G4869" s="12">
        <v>0</v>
      </c>
      <c r="H4869" s="12">
        <v>0</v>
      </c>
      <c r="I4869" s="12">
        <v>0</v>
      </c>
      <c r="J4869" s="11"/>
      <c r="K4869" s="12">
        <v>0</v>
      </c>
      <c r="L4869" s="10" t="str">
        <f>HYPERLINK("https://otsuka-europe-crm.veevavault.com/ui/#object/approved_document__v/V5O00000001V001", "LDM DR P2P Invite 12-Nov-26 v2 [digital]")</f>
        <v>LDM DR P2P Invite 12-Nov-26 v2 [digital]</v>
      </c>
      <c r="M4869" s="10" t="str">
        <f>HYPERLINK("mailto:draval@crm.otsuka-europe.com", "draval@crm.otsuka-europe.com")</f>
        <v>draval@crm.otsuka-europe.com</v>
      </c>
      <c r="N4869" s="13">
        <v>46217.660300925927</v>
      </c>
      <c r="O4869" s="14" t="str">
        <f>HYPERLINK("https://otsuka-europe-crm.veevavault.com/ui/#object/email_activity__v/V8C00000004A548", "EN-002106033")</f>
        <v>EN-002106033</v>
      </c>
    </row>
    <row r="4870" spans="1:15" ht="32" x14ac:dyDescent="0.2">
      <c r="A4870" s="7" t="str">
        <f>HYPERLINK("https://otsuka-europe-crm.veevavault.com/ui/#object/account__v/V4TZ0000062PFU1", "Olive Lynn")</f>
        <v>Olive Lynn</v>
      </c>
      <c r="B4870" s="7" t="str">
        <f>HYPERLINK("https://otsuka-europe-crm.veevavault.com/ui/#object/vcountry__v/VENZ000004SONFK", "GB")</f>
        <v>GB</v>
      </c>
      <c r="C4870" s="8" t="s">
        <v>41</v>
      </c>
      <c r="D4870" s="9" t="str">
        <f>HYPERLINK("https://otsuka-europe-crm.veevavault.com/ui/#object/approved_document__v/V5O00000001V001", "LDM DR P2P Invite 12-Nov-26 v2 [digital]")</f>
        <v>LDM DR P2P Invite 12-Nov-26 v2 [digital]</v>
      </c>
      <c r="E4870" s="10" t="str">
        <f>HYPERLINK("https://otsuka-europe-crm.veevavault.com/ui/#object/sent_email__v/VBL000000037297", "SE-001444005")</f>
        <v>SE-001444005</v>
      </c>
      <c r="F4870" s="11"/>
      <c r="G4870" s="12">
        <v>0</v>
      </c>
      <c r="H4870" s="12">
        <v>0</v>
      </c>
      <c r="I4870" s="12">
        <v>0</v>
      </c>
      <c r="J4870" s="11"/>
      <c r="K4870" s="12">
        <v>0</v>
      </c>
      <c r="L4870" s="10" t="str">
        <f>HYPERLINK("https://otsuka-europe-crm.veevavault.com/ui/#object/approved_document__v/V5O00000001V001", "LDM DR P2P Invite 12-Nov-26 v2 [digital]")</f>
        <v>LDM DR P2P Invite 12-Nov-26 v2 [digital]</v>
      </c>
      <c r="M4870" s="10" t="str">
        <f>HYPERLINK("mailto:draval@crm.otsuka-europe.com", "draval@crm.otsuka-europe.com")</f>
        <v>draval@crm.otsuka-europe.com</v>
      </c>
      <c r="N4870" s="13">
        <v>46217.660393518519</v>
      </c>
      <c r="O4870" s="14" t="str">
        <f>HYPERLINK("https://otsuka-europe-crm.veevavault.com/ui/#object/email_activity__v/V8C000000049620", "EN-002106034")</f>
        <v>EN-002106034</v>
      </c>
    </row>
    <row r="4871" spans="1:15" ht="16" x14ac:dyDescent="0.2">
      <c r="A4871" s="18" t="str">
        <f>HYPERLINK("https://otsuka-europe-crm.veevavault.com/ui/#object/account__v/V4TZ0000062PAS2", "Thomas Maclaren")</f>
        <v>Thomas Maclaren</v>
      </c>
      <c r="B4871" s="18" t="str">
        <f>HYPERLINK("https://otsuka-europe-crm.veevavault.com/ui/#object/vcountry__v/VENZ000004SONFK", "GB")</f>
        <v>GB</v>
      </c>
      <c r="C4871" s="20" t="s">
        <v>41</v>
      </c>
      <c r="D4871" s="21" t="str">
        <f>HYPERLINK("https://otsuka-europe-crm.veevavault.com/ui/#object/approved_document__v/V5O00000001V001", "LDM DR P2P Invite 12-Nov-26 v2 [digital]")</f>
        <v>LDM DR P2P Invite 12-Nov-26 v2 [digital]</v>
      </c>
      <c r="E4871" s="22" t="str">
        <f>HYPERLINK("https://otsuka-europe-crm.veevavault.com/ui/#object/sent_email__v/VBL000000037298", "SE-001444006")</f>
        <v>SE-001444006</v>
      </c>
      <c r="F4871" s="25">
        <v>46223.479143518518</v>
      </c>
      <c r="G4871" s="24">
        <v>1</v>
      </c>
      <c r="H4871" s="24">
        <v>1</v>
      </c>
      <c r="I4871" s="24">
        <v>0</v>
      </c>
      <c r="J4871" s="23"/>
      <c r="K4871" s="24">
        <v>0</v>
      </c>
      <c r="L4871" s="22" t="str">
        <f>HYPERLINK("https://otsuka-europe-crm.veevavault.com/ui/#object/approved_document__v/V5O00000001V001", "LDM DR P2P Invite 12-Nov-26 v2 [digital]")</f>
        <v>LDM DR P2P Invite 12-Nov-26 v2 [digital]</v>
      </c>
      <c r="M4871" s="22" t="str">
        <f>HYPERLINK("mailto:draval@crm.otsuka-europe.com", "draval@crm.otsuka-europe.com")</f>
        <v>draval@crm.otsuka-europe.com</v>
      </c>
      <c r="N4871" s="25">
        <v>46217.66064814815</v>
      </c>
      <c r="O4871" s="14" t="str">
        <f>HYPERLINK("https://otsuka-europe-crm.veevavault.com/ui/#object/email_activity__v/V8C000000049623", "EN-002106037")</f>
        <v>EN-002106037</v>
      </c>
    </row>
    <row r="4872" spans="1:15" ht="16" x14ac:dyDescent="0.2">
      <c r="A4872" s="26"/>
      <c r="B4872" s="26"/>
      <c r="C4872" s="26"/>
      <c r="D4872" s="26"/>
      <c r="E4872" s="26"/>
      <c r="F4872" s="26"/>
      <c r="G4872" s="26"/>
      <c r="H4872" s="26"/>
      <c r="I4872" s="26"/>
      <c r="J4872" s="26"/>
      <c r="K4872" s="26"/>
      <c r="L4872" s="26"/>
      <c r="M4872" s="26"/>
      <c r="N4872" s="26"/>
      <c r="O4872" s="14" t="str">
        <f>HYPERLINK("https://otsuka-europe-crm.veevavault.com/ui/#object/email_activity__v/V8C000000049679", "EN-002106180")</f>
        <v>EN-002106180</v>
      </c>
    </row>
    <row r="4873" spans="1:15" ht="16" x14ac:dyDescent="0.2">
      <c r="A4873" s="19"/>
      <c r="B4873" s="19"/>
      <c r="C4873" s="19"/>
      <c r="D4873" s="19"/>
      <c r="E4873" s="19"/>
      <c r="F4873" s="19"/>
      <c r="G4873" s="19"/>
      <c r="H4873" s="19"/>
      <c r="I4873" s="19"/>
      <c r="J4873" s="19"/>
      <c r="K4873" s="19"/>
      <c r="L4873" s="19"/>
      <c r="M4873" s="19"/>
      <c r="N4873" s="19"/>
      <c r="O4873" s="14" t="str">
        <f>HYPERLINK("https://otsuka-europe-crm.veevavault.com/ui/#object/email_activity__v/V8C00000004B216", "EN-002107077")</f>
        <v>EN-002107077</v>
      </c>
    </row>
    <row r="4874" spans="1:15" ht="16" x14ac:dyDescent="0.2">
      <c r="A4874" s="18" t="str">
        <f>HYPERLINK("https://otsuka-europe-crm.veevavault.com/ui/#object/account__v/V4TZ06G6OBU7F67", "Carmen Madicu Verdugo")</f>
        <v>Carmen Madicu Verdugo</v>
      </c>
      <c r="B4874" s="18" t="str">
        <f>HYPERLINK("https://otsuka-europe-crm.veevavault.com/ui/#object/vcountry__v/VENZ000004SONFK", "GB")</f>
        <v>GB</v>
      </c>
      <c r="C4874" s="20" t="s">
        <v>41</v>
      </c>
      <c r="D4874" s="21" t="str">
        <f>HYPERLINK("https://otsuka-europe-crm.veevavault.com/ui/#object/approved_document__v/V5O00000001V001", "LDM DR P2P Invite 12-Nov-26 v2 [digital]")</f>
        <v>LDM DR P2P Invite 12-Nov-26 v2 [digital]</v>
      </c>
      <c r="E4874" s="22" t="str">
        <f>HYPERLINK("https://otsuka-europe-crm.veevavault.com/ui/#object/sent_email__v/VBL000000038220", "SE-001444007")</f>
        <v>SE-001444007</v>
      </c>
      <c r="F4874" s="25">
        <v>46218.360717592594</v>
      </c>
      <c r="G4874" s="24">
        <v>1</v>
      </c>
      <c r="H4874" s="24">
        <v>2</v>
      </c>
      <c r="I4874" s="24">
        <v>0</v>
      </c>
      <c r="J4874" s="23"/>
      <c r="K4874" s="24">
        <v>0</v>
      </c>
      <c r="L4874" s="22" t="str">
        <f>HYPERLINK("https://otsuka-europe-crm.veevavault.com/ui/#object/approved_document__v/V5O00000001V001", "LDM DR P2P Invite 12-Nov-26 v2 [digital]")</f>
        <v>LDM DR P2P Invite 12-Nov-26 v2 [digital]</v>
      </c>
      <c r="M4874" s="22" t="str">
        <f>HYPERLINK("mailto:draval@crm.otsuka-europe.com", "draval@crm.otsuka-europe.com")</f>
        <v>draval@crm.otsuka-europe.com</v>
      </c>
      <c r="N4874" s="25">
        <v>46217.66065972222</v>
      </c>
      <c r="O4874" s="14" t="str">
        <f>HYPERLINK("https://otsuka-europe-crm.veevavault.com/ui/#object/email_activity__v/V8C000000049621", "EN-002106035")</f>
        <v>EN-002106035</v>
      </c>
    </row>
    <row r="4875" spans="1:15" ht="16" x14ac:dyDescent="0.2">
      <c r="A4875" s="26"/>
      <c r="B4875" s="26"/>
      <c r="C4875" s="26"/>
      <c r="D4875" s="26"/>
      <c r="E4875" s="26"/>
      <c r="F4875" s="26"/>
      <c r="G4875" s="26"/>
      <c r="H4875" s="26"/>
      <c r="I4875" s="26"/>
      <c r="J4875" s="26"/>
      <c r="K4875" s="26"/>
      <c r="L4875" s="26"/>
      <c r="M4875" s="26"/>
      <c r="N4875" s="26"/>
      <c r="O4875" s="14" t="str">
        <f>HYPERLINK("https://otsuka-europe-crm.veevavault.com/ui/#object/email_activity__v/V8C000000049700", "EN-002106218")</f>
        <v>EN-002106218</v>
      </c>
    </row>
    <row r="4876" spans="1:15" ht="16" x14ac:dyDescent="0.2">
      <c r="A4876" s="19"/>
      <c r="B4876" s="19"/>
      <c r="C4876" s="19"/>
      <c r="D4876" s="19"/>
      <c r="E4876" s="19"/>
      <c r="F4876" s="19"/>
      <c r="G4876" s="19"/>
      <c r="H4876" s="19"/>
      <c r="I4876" s="19"/>
      <c r="J4876" s="19"/>
      <c r="K4876" s="19"/>
      <c r="L4876" s="19"/>
      <c r="M4876" s="19"/>
      <c r="N4876" s="19"/>
      <c r="O4876" s="14" t="str">
        <f>HYPERLINK("https://otsuka-europe-crm.veevavault.com/ui/#object/email_activity__v/V8C000000049701", "EN-002106219")</f>
        <v>EN-002106219</v>
      </c>
    </row>
    <row r="4877" spans="1:15" ht="16" x14ac:dyDescent="0.2">
      <c r="A4877" s="18" t="str">
        <f>HYPERLINK("https://otsuka-europe-crm.veevavault.com/ui/#object/account__v/V4TZ0000062PB4C", "Alessandro Malfatto")</f>
        <v>Alessandro Malfatto</v>
      </c>
      <c r="B4877" s="18" t="str">
        <f>HYPERLINK("https://otsuka-europe-crm.veevavault.com/ui/#object/vcountry__v/VENZ000004SONFK", "GB")</f>
        <v>GB</v>
      </c>
      <c r="C4877" s="20" t="s">
        <v>41</v>
      </c>
      <c r="D4877" s="21" t="str">
        <f>HYPERLINK("https://otsuka-europe-crm.veevavault.com/ui/#object/approved_document__v/V5O00000001V001", "LDM DR P2P Invite 12-Nov-26 v2 [digital]")</f>
        <v>LDM DR P2P Invite 12-Nov-26 v2 [digital]</v>
      </c>
      <c r="E4877" s="22" t="str">
        <f>HYPERLINK("https://otsuka-europe-crm.veevavault.com/ui/#object/sent_email__v/VBL000000037299", "SE-001444008")</f>
        <v>SE-001444008</v>
      </c>
      <c r="F4877" s="23"/>
      <c r="G4877" s="24">
        <v>0</v>
      </c>
      <c r="H4877" s="24">
        <v>0</v>
      </c>
      <c r="I4877" s="24">
        <v>0</v>
      </c>
      <c r="J4877" s="23"/>
      <c r="K4877" s="24">
        <v>0</v>
      </c>
      <c r="L4877" s="22" t="str">
        <f>HYPERLINK("https://otsuka-europe-crm.veevavault.com/ui/#object/approved_document__v/V5O00000001V001", "LDM DR P2P Invite 12-Nov-26 v2 [digital]")</f>
        <v>LDM DR P2P Invite 12-Nov-26 v2 [digital]</v>
      </c>
      <c r="M4877" s="22" t="str">
        <f>HYPERLINK("mailto:draval@crm.otsuka-europe.com", "draval@crm.otsuka-europe.com")</f>
        <v>draval@crm.otsuka-europe.com</v>
      </c>
      <c r="N4877" s="25">
        <v>46217.660775462966</v>
      </c>
      <c r="O4877" s="14" t="str">
        <f>HYPERLINK("https://otsuka-europe-crm.veevavault.com/ui/#object/email_activity__v/V8C000000049622", "EN-002106036")</f>
        <v>EN-002106036</v>
      </c>
    </row>
    <row r="4878" spans="1:15" ht="16" x14ac:dyDescent="0.2">
      <c r="A4878" s="19"/>
      <c r="B4878" s="19"/>
      <c r="C4878" s="19"/>
      <c r="D4878" s="19"/>
      <c r="E4878" s="19"/>
      <c r="F4878" s="19"/>
      <c r="G4878" s="19"/>
      <c r="H4878" s="19"/>
      <c r="I4878" s="19"/>
      <c r="J4878" s="19"/>
      <c r="K4878" s="19"/>
      <c r="L4878" s="19"/>
      <c r="M4878" s="19"/>
      <c r="N4878" s="19"/>
      <c r="O4878" s="14" t="str">
        <f>HYPERLINK("https://otsuka-europe-crm.veevavault.com/ui/#object/email_activity__v/V8C000000049740", "EN-002106314")</f>
        <v>EN-002106314</v>
      </c>
    </row>
    <row r="4879" spans="1:15" ht="32" x14ac:dyDescent="0.2">
      <c r="A4879" s="7" t="str">
        <f>HYPERLINK("https://otsuka-europe-crm.veevavault.com/ui/#object/account__v/V4TZ0000062PFXI", "Ajay Mansingh")</f>
        <v>Ajay Mansingh</v>
      </c>
      <c r="B4879" s="7" t="str">
        <f>HYPERLINK("https://otsuka-europe-crm.veevavault.com/ui/#object/vcountry__v/VENZ000004SONFK", "GB")</f>
        <v>GB</v>
      </c>
      <c r="C4879" s="8" t="s">
        <v>41</v>
      </c>
      <c r="D4879" s="9" t="str">
        <f>HYPERLINK("https://otsuka-europe-crm.veevavault.com/ui/#object/approved_document__v/V5O00000001V001", "LDM DR P2P Invite 12-Nov-26 v2 [digital]")</f>
        <v>LDM DR P2P Invite 12-Nov-26 v2 [digital]</v>
      </c>
      <c r="E4879" s="10" t="str">
        <f>HYPERLINK("https://otsuka-europe-crm.veevavault.com/ui/#object/sent_email__v/VBL000000038221", "SE-001444009")</f>
        <v>SE-001444009</v>
      </c>
      <c r="F4879" s="11"/>
      <c r="G4879" s="12">
        <v>0</v>
      </c>
      <c r="H4879" s="12">
        <v>0</v>
      </c>
      <c r="I4879" s="12">
        <v>0</v>
      </c>
      <c r="J4879" s="11"/>
      <c r="K4879" s="12">
        <v>0</v>
      </c>
      <c r="L4879" s="10" t="str">
        <f>HYPERLINK("https://otsuka-europe-crm.veevavault.com/ui/#object/approved_document__v/V5O00000001V001", "LDM DR P2P Invite 12-Nov-26 v2 [digital]")</f>
        <v>LDM DR P2P Invite 12-Nov-26 v2 [digital]</v>
      </c>
      <c r="M4879" s="10" t="str">
        <f>HYPERLINK("mailto:draval@crm.otsuka-europe.com", "draval@crm.otsuka-europe.com")</f>
        <v>draval@crm.otsuka-europe.com</v>
      </c>
      <c r="N4879" s="13">
        <v>46217.660983796297</v>
      </c>
      <c r="O4879" s="14" t="str">
        <f>HYPERLINK("https://otsuka-europe-crm.veevavault.com/ui/#object/email_activity__v/V8C000000049624", "EN-002106038")</f>
        <v>EN-002106038</v>
      </c>
    </row>
    <row r="4880" spans="1:15" ht="16" x14ac:dyDescent="0.2">
      <c r="A4880" s="18" t="str">
        <f>HYPERLINK("https://otsuka-europe-crm.veevavault.com/ui/#object/account__v/V4TZ025E83S7D6L", "Theodoros Mavrogiannidis")</f>
        <v>Theodoros Mavrogiannidis</v>
      </c>
      <c r="B4880" s="18" t="str">
        <f>HYPERLINK("https://otsuka-europe-crm.veevavault.com/ui/#object/vcountry__v/VENZ000004SONFK", "GB")</f>
        <v>GB</v>
      </c>
      <c r="C4880" s="20" t="s">
        <v>41</v>
      </c>
      <c r="D4880" s="21" t="str">
        <f>HYPERLINK("https://otsuka-europe-crm.veevavault.com/ui/#object/approved_document__v/V5O00000001V001", "LDM DR P2P Invite 12-Nov-26 v2 [digital]")</f>
        <v>LDM DR P2P Invite 12-Nov-26 v2 [digital]</v>
      </c>
      <c r="E4880" s="22" t="str">
        <f>HYPERLINK("https://otsuka-europe-crm.veevavault.com/ui/#object/sent_email__v/VBL000000037300", "SE-001444010")</f>
        <v>SE-001444010</v>
      </c>
      <c r="F4880" s="25">
        <v>46218.670254629629</v>
      </c>
      <c r="G4880" s="24">
        <v>1</v>
      </c>
      <c r="H4880" s="24">
        <v>3</v>
      </c>
      <c r="I4880" s="24">
        <v>0</v>
      </c>
      <c r="J4880" s="23"/>
      <c r="K4880" s="24">
        <v>0</v>
      </c>
      <c r="L4880" s="22" t="str">
        <f>HYPERLINK("https://otsuka-europe-crm.veevavault.com/ui/#object/approved_document__v/V5O00000001V001", "LDM DR P2P Invite 12-Nov-26 v2 [digital]")</f>
        <v>LDM DR P2P Invite 12-Nov-26 v2 [digital]</v>
      </c>
      <c r="M4880" s="22" t="str">
        <f>HYPERLINK("mailto:draval@crm.otsuka-europe.com", "draval@crm.otsuka-europe.com")</f>
        <v>draval@crm.otsuka-europe.com</v>
      </c>
      <c r="N4880" s="25">
        <v>46217.661087962966</v>
      </c>
      <c r="O4880" s="14" t="str">
        <f>HYPERLINK("https://otsuka-europe-crm.veevavault.com/ui/#object/email_activity__v/V8C00000004A549", "EN-002106039")</f>
        <v>EN-002106039</v>
      </c>
    </row>
    <row r="4881" spans="1:15" ht="16" x14ac:dyDescent="0.2">
      <c r="A4881" s="26"/>
      <c r="B4881" s="26"/>
      <c r="C4881" s="26"/>
      <c r="D4881" s="26"/>
      <c r="E4881" s="26"/>
      <c r="F4881" s="26"/>
      <c r="G4881" s="26"/>
      <c r="H4881" s="26"/>
      <c r="I4881" s="26"/>
      <c r="J4881" s="26"/>
      <c r="K4881" s="26"/>
      <c r="L4881" s="26"/>
      <c r="M4881" s="26"/>
      <c r="N4881" s="26"/>
      <c r="O4881" s="14" t="str">
        <f>HYPERLINK("https://otsuka-europe-crm.veevavault.com/ui/#object/email_activity__v/V8C00000004A586", "EN-002106082")</f>
        <v>EN-002106082</v>
      </c>
    </row>
    <row r="4882" spans="1:15" ht="16" x14ac:dyDescent="0.2">
      <c r="A4882" s="26"/>
      <c r="B4882" s="26"/>
      <c r="C4882" s="26"/>
      <c r="D4882" s="26"/>
      <c r="E4882" s="26"/>
      <c r="F4882" s="26"/>
      <c r="G4882" s="26"/>
      <c r="H4882" s="26"/>
      <c r="I4882" s="26"/>
      <c r="J4882" s="26"/>
      <c r="K4882" s="26"/>
      <c r="L4882" s="26"/>
      <c r="M4882" s="26"/>
      <c r="N4882" s="26"/>
      <c r="O4882" s="14" t="str">
        <f>HYPERLINK("https://otsuka-europe-crm.veevavault.com/ui/#object/email_activity__v/V8C00000004A791", "EN-002106480")</f>
        <v>EN-002106480</v>
      </c>
    </row>
    <row r="4883" spans="1:15" ht="16" x14ac:dyDescent="0.2">
      <c r="A4883" s="19"/>
      <c r="B4883" s="19"/>
      <c r="C4883" s="19"/>
      <c r="D4883" s="19"/>
      <c r="E4883" s="19"/>
      <c r="F4883" s="19"/>
      <c r="G4883" s="19"/>
      <c r="H4883" s="19"/>
      <c r="I4883" s="19"/>
      <c r="J4883" s="19"/>
      <c r="K4883" s="19"/>
      <c r="L4883" s="19"/>
      <c r="M4883" s="19"/>
      <c r="N4883" s="19"/>
      <c r="O4883" s="14" t="str">
        <f>HYPERLINK("https://otsuka-europe-crm.veevavault.com/ui/#object/email_activity__v/V8C00000004A792", "EN-002106481")</f>
        <v>EN-002106481</v>
      </c>
    </row>
    <row r="4884" spans="1:15" ht="32" x14ac:dyDescent="0.2">
      <c r="A4884" s="7" t="str">
        <f>HYPERLINK("https://otsuka-europe-crm.veevavault.com/ui/#object/account__v/V4TZ0000062PD9N", "Paola McNally")</f>
        <v>Paola McNally</v>
      </c>
      <c r="B4884" s="7" t="str">
        <f>HYPERLINK("https://otsuka-europe-crm.veevavault.com/ui/#object/vcountry__v/VENZ000004SONFK", "GB")</f>
        <v>GB</v>
      </c>
      <c r="C4884" s="8" t="s">
        <v>41</v>
      </c>
      <c r="D4884" s="9" t="str">
        <f>HYPERLINK("https://otsuka-europe-crm.veevavault.com/ui/#object/approved_document__v/V5O00000001V001", "LDM DR P2P Invite 12-Nov-26 v2 [digital]")</f>
        <v>LDM DR P2P Invite 12-Nov-26 v2 [digital]</v>
      </c>
      <c r="E4884" s="10" t="str">
        <f>HYPERLINK("https://otsuka-europe-crm.veevavault.com/ui/#object/sent_email__v/VBL000000037301", "SE-001444011")</f>
        <v>SE-001444011</v>
      </c>
      <c r="F4884" s="11"/>
      <c r="G4884" s="12">
        <v>0</v>
      </c>
      <c r="H4884" s="12">
        <v>0</v>
      </c>
      <c r="I4884" s="12">
        <v>0</v>
      </c>
      <c r="J4884" s="11"/>
      <c r="K4884" s="12">
        <v>0</v>
      </c>
      <c r="L4884" s="10" t="str">
        <f>HYPERLINK("https://otsuka-europe-crm.veevavault.com/ui/#object/approved_document__v/V5O00000001V001", "LDM DR P2P Invite 12-Nov-26 v2 [digital]")</f>
        <v>LDM DR P2P Invite 12-Nov-26 v2 [digital]</v>
      </c>
      <c r="M4884" s="10" t="str">
        <f>HYPERLINK("mailto:draval@crm.otsuka-europe.com", "draval@crm.otsuka-europe.com")</f>
        <v>draval@crm.otsuka-europe.com</v>
      </c>
      <c r="N4884" s="13">
        <v>46217.66134259259</v>
      </c>
      <c r="O4884" s="14" t="str">
        <f>HYPERLINK("https://otsuka-europe-crm.veevavault.com/ui/#object/email_activity__v/V8C00000004A550", "EN-002106040")</f>
        <v>EN-002106040</v>
      </c>
    </row>
    <row r="4885" spans="1:15" ht="16" x14ac:dyDescent="0.2">
      <c r="A4885" s="18" t="str">
        <f>HYPERLINK("https://otsuka-europe-crm.veevavault.com/ui/#object/account__v/V4TZ0000062PAQO", "Spiro Milic")</f>
        <v>Spiro Milic</v>
      </c>
      <c r="B4885" s="18" t="str">
        <f>HYPERLINK("https://otsuka-europe-crm.veevavault.com/ui/#object/vcountry__v/VENZ000004SONFK", "GB")</f>
        <v>GB</v>
      </c>
      <c r="C4885" s="20" t="s">
        <v>41</v>
      </c>
      <c r="D4885" s="21" t="str">
        <f>HYPERLINK("https://otsuka-europe-crm.veevavault.com/ui/#object/approved_document__v/V5O00000001V001", "LDM DR P2P Invite 12-Nov-26 v2 [digital]")</f>
        <v>LDM DR P2P Invite 12-Nov-26 v2 [digital]</v>
      </c>
      <c r="E4885" s="22" t="str">
        <f>HYPERLINK("https://otsuka-europe-crm.veevavault.com/ui/#object/sent_email__v/VBL000000038222", "SE-001444012")</f>
        <v>SE-001444012</v>
      </c>
      <c r="F4885" s="25">
        <v>46218.623888888891</v>
      </c>
      <c r="G4885" s="24">
        <v>1</v>
      </c>
      <c r="H4885" s="24">
        <v>6</v>
      </c>
      <c r="I4885" s="24">
        <v>0</v>
      </c>
      <c r="J4885" s="23"/>
      <c r="K4885" s="24">
        <v>0</v>
      </c>
      <c r="L4885" s="22" t="str">
        <f>HYPERLINK("https://otsuka-europe-crm.veevavault.com/ui/#object/approved_document__v/V5O00000001V001", "LDM DR P2P Invite 12-Nov-26 v2 [digital]")</f>
        <v>LDM DR P2P Invite 12-Nov-26 v2 [digital]</v>
      </c>
      <c r="M4885" s="22" t="str">
        <f>HYPERLINK("mailto:draval@crm.otsuka-europe.com", "draval@crm.otsuka-europe.com")</f>
        <v>draval@crm.otsuka-europe.com</v>
      </c>
      <c r="N4885" s="25">
        <v>46217.661377314813</v>
      </c>
      <c r="O4885" s="14" t="str">
        <f>HYPERLINK("https://otsuka-europe-crm.veevavault.com/ui/#object/email_activity__v/V8C000000049633", "EN-002106098")</f>
        <v>EN-002106098</v>
      </c>
    </row>
    <row r="4886" spans="1:15" ht="16" x14ac:dyDescent="0.2">
      <c r="A4886" s="26"/>
      <c r="B4886" s="26"/>
      <c r="C4886" s="26"/>
      <c r="D4886" s="26"/>
      <c r="E4886" s="26"/>
      <c r="F4886" s="26"/>
      <c r="G4886" s="26"/>
      <c r="H4886" s="26"/>
      <c r="I4886" s="26"/>
      <c r="J4886" s="26"/>
      <c r="K4886" s="26"/>
      <c r="L4886" s="26"/>
      <c r="M4886" s="26"/>
      <c r="N4886" s="26"/>
      <c r="O4886" s="14" t="str">
        <f>HYPERLINK("https://otsuka-europe-crm.veevavault.com/ui/#object/email_activity__v/V8C000000049641", "EN-002106109")</f>
        <v>EN-002106109</v>
      </c>
    </row>
    <row r="4887" spans="1:15" ht="16" x14ac:dyDescent="0.2">
      <c r="A4887" s="26"/>
      <c r="B4887" s="26"/>
      <c r="C4887" s="26"/>
      <c r="D4887" s="26"/>
      <c r="E4887" s="26"/>
      <c r="F4887" s="26"/>
      <c r="G4887" s="26"/>
      <c r="H4887" s="26"/>
      <c r="I4887" s="26"/>
      <c r="J4887" s="26"/>
      <c r="K4887" s="26"/>
      <c r="L4887" s="26"/>
      <c r="M4887" s="26"/>
      <c r="N4887" s="26"/>
      <c r="O4887" s="14" t="str">
        <f>HYPERLINK("https://otsuka-europe-crm.veevavault.com/ui/#object/email_activity__v/V8C000000049648", "EN-002106122")</f>
        <v>EN-002106122</v>
      </c>
    </row>
    <row r="4888" spans="1:15" ht="16" x14ac:dyDescent="0.2">
      <c r="A4888" s="26"/>
      <c r="B4888" s="26"/>
      <c r="C4888" s="26"/>
      <c r="D4888" s="26"/>
      <c r="E4888" s="26"/>
      <c r="F4888" s="26"/>
      <c r="G4888" s="26"/>
      <c r="H4888" s="26"/>
      <c r="I4888" s="26"/>
      <c r="J4888" s="26"/>
      <c r="K4888" s="26"/>
      <c r="L4888" s="26"/>
      <c r="M4888" s="26"/>
      <c r="N4888" s="26"/>
      <c r="O4888" s="14" t="str">
        <f>HYPERLINK("https://otsuka-europe-crm.veevavault.com/ui/#object/email_activity__v/V8C000000049815", "EN-002106468")</f>
        <v>EN-002106468</v>
      </c>
    </row>
    <row r="4889" spans="1:15" ht="16" x14ac:dyDescent="0.2">
      <c r="A4889" s="26"/>
      <c r="B4889" s="26"/>
      <c r="C4889" s="26"/>
      <c r="D4889" s="26"/>
      <c r="E4889" s="26"/>
      <c r="F4889" s="26"/>
      <c r="G4889" s="26"/>
      <c r="H4889" s="26"/>
      <c r="I4889" s="26"/>
      <c r="J4889" s="26"/>
      <c r="K4889" s="26"/>
      <c r="L4889" s="26"/>
      <c r="M4889" s="26"/>
      <c r="N4889" s="26"/>
      <c r="O4889" s="14" t="str">
        <f>HYPERLINK("https://otsuka-europe-crm.veevavault.com/ui/#object/email_activity__v/V8C00000004A551", "EN-002106041")</f>
        <v>EN-002106041</v>
      </c>
    </row>
    <row r="4890" spans="1:15" ht="16" x14ac:dyDescent="0.2">
      <c r="A4890" s="26"/>
      <c r="B4890" s="26"/>
      <c r="C4890" s="26"/>
      <c r="D4890" s="26"/>
      <c r="E4890" s="26"/>
      <c r="F4890" s="26"/>
      <c r="G4890" s="26"/>
      <c r="H4890" s="26"/>
      <c r="I4890" s="26"/>
      <c r="J4890" s="26"/>
      <c r="K4890" s="26"/>
      <c r="L4890" s="26"/>
      <c r="M4890" s="26"/>
      <c r="N4890" s="26"/>
      <c r="O4890" s="14" t="str">
        <f>HYPERLINK("https://otsuka-europe-crm.veevavault.com/ui/#object/email_activity__v/V8C00000004A554", "EN-002106046")</f>
        <v>EN-002106046</v>
      </c>
    </row>
    <row r="4891" spans="1:15" ht="16" x14ac:dyDescent="0.2">
      <c r="A4891" s="19"/>
      <c r="B4891" s="19"/>
      <c r="C4891" s="19"/>
      <c r="D4891" s="19"/>
      <c r="E4891" s="19"/>
      <c r="F4891" s="19"/>
      <c r="G4891" s="19"/>
      <c r="H4891" s="19"/>
      <c r="I4891" s="19"/>
      <c r="J4891" s="19"/>
      <c r="K4891" s="19"/>
      <c r="L4891" s="19"/>
      <c r="M4891" s="19"/>
      <c r="N4891" s="19"/>
      <c r="O4891" s="14" t="str">
        <f>HYPERLINK("https://otsuka-europe-crm.veevavault.com/ui/#object/email_activity__v/V8C00000004A565", "EN-002106058")</f>
        <v>EN-002106058</v>
      </c>
    </row>
    <row r="4892" spans="1:15" ht="16" x14ac:dyDescent="0.2">
      <c r="A4892" s="18" t="str">
        <f>HYPERLINK("https://otsuka-europe-crm.veevavault.com/ui/#object/account__v/V4TZ0000062PGK0", "Abdolali Mohammadi")</f>
        <v>Abdolali Mohammadi</v>
      </c>
      <c r="B4892" s="18" t="str">
        <f>HYPERLINK("https://otsuka-europe-crm.veevavault.com/ui/#object/vcountry__v/VENZ000004SONFK", "GB")</f>
        <v>GB</v>
      </c>
      <c r="C4892" s="20" t="s">
        <v>41</v>
      </c>
      <c r="D4892" s="21" t="str">
        <f>HYPERLINK("https://otsuka-europe-crm.veevavault.com/ui/#object/approved_document__v/V5O00000001V001", "LDM DR P2P Invite 12-Nov-26 v2 [digital]")</f>
        <v>LDM DR P2P Invite 12-Nov-26 v2 [digital]</v>
      </c>
      <c r="E4892" s="22" t="str">
        <f>HYPERLINK("https://otsuka-europe-crm.veevavault.com/ui/#object/sent_email__v/VBL000000037302", "SE-001444013")</f>
        <v>SE-001444013</v>
      </c>
      <c r="F4892" s="25">
        <v>46217.689097222225</v>
      </c>
      <c r="G4892" s="24">
        <v>1</v>
      </c>
      <c r="H4892" s="24">
        <v>1</v>
      </c>
      <c r="I4892" s="24">
        <v>0</v>
      </c>
      <c r="J4892" s="23"/>
      <c r="K4892" s="24">
        <v>0</v>
      </c>
      <c r="L4892" s="22" t="str">
        <f>HYPERLINK("https://otsuka-europe-crm.veevavault.com/ui/#object/approved_document__v/V5O00000001V001", "LDM DR P2P Invite 12-Nov-26 v2 [digital]")</f>
        <v>LDM DR P2P Invite 12-Nov-26 v2 [digital]</v>
      </c>
      <c r="M4892" s="22" t="str">
        <f>HYPERLINK("mailto:draval@crm.otsuka-europe.com", "draval@crm.otsuka-europe.com")</f>
        <v>draval@crm.otsuka-europe.com</v>
      </c>
      <c r="N4892" s="25">
        <v>46217.661562499998</v>
      </c>
      <c r="O4892" s="14" t="str">
        <f>HYPERLINK("https://otsuka-europe-crm.veevavault.com/ui/#object/email_activity__v/V8C000000049625", "EN-002106043")</f>
        <v>EN-002106043</v>
      </c>
    </row>
    <row r="4893" spans="1:15" ht="16" x14ac:dyDescent="0.2">
      <c r="A4893" s="19"/>
      <c r="B4893" s="19"/>
      <c r="C4893" s="19"/>
      <c r="D4893" s="19"/>
      <c r="E4893" s="19"/>
      <c r="F4893" s="19"/>
      <c r="G4893" s="19"/>
      <c r="H4893" s="19"/>
      <c r="I4893" s="19"/>
      <c r="J4893" s="19"/>
      <c r="K4893" s="19"/>
      <c r="L4893" s="19"/>
      <c r="M4893" s="19"/>
      <c r="N4893" s="19"/>
      <c r="O4893" s="14" t="str">
        <f>HYPERLINK("https://otsuka-europe-crm.veevavault.com/ui/#object/email_activity__v/V8C000000049646", "EN-002106120")</f>
        <v>EN-002106120</v>
      </c>
    </row>
    <row r="4894" spans="1:15" ht="16" x14ac:dyDescent="0.2">
      <c r="A4894" s="18" t="str">
        <f>HYPERLINK("https://otsuka-europe-crm.veevavault.com/ui/#object/account__v/V4TZ0000062PGYC", "Jasna Munjiza")</f>
        <v>Jasna Munjiza</v>
      </c>
      <c r="B4894" s="18" t="str">
        <f>HYPERLINK("https://otsuka-europe-crm.veevavault.com/ui/#object/vcountry__v/VENZ000004SONFK", "GB")</f>
        <v>GB</v>
      </c>
      <c r="C4894" s="20" t="s">
        <v>41</v>
      </c>
      <c r="D4894" s="21" t="str">
        <f>HYPERLINK("https://otsuka-europe-crm.veevavault.com/ui/#object/approved_document__v/V5O00000001V001", "LDM DR P2P Invite 12-Nov-26 v2 [digital]")</f>
        <v>LDM DR P2P Invite 12-Nov-26 v2 [digital]</v>
      </c>
      <c r="E4894" s="22" t="str">
        <f>HYPERLINK("https://otsuka-europe-crm.veevavault.com/ui/#object/sent_email__v/VBL000000037303", "SE-001444014")</f>
        <v>SE-001444014</v>
      </c>
      <c r="F4894" s="23"/>
      <c r="G4894" s="24">
        <v>0</v>
      </c>
      <c r="H4894" s="24">
        <v>0</v>
      </c>
      <c r="I4894" s="24">
        <v>0</v>
      </c>
      <c r="J4894" s="23"/>
      <c r="K4894" s="24">
        <v>0</v>
      </c>
      <c r="L4894" s="22" t="str">
        <f>HYPERLINK("https://otsuka-europe-crm.veevavault.com/ui/#object/approved_document__v/V5O00000001V001", "LDM DR P2P Invite 12-Nov-26 v2 [digital]")</f>
        <v>LDM DR P2P Invite 12-Nov-26 v2 [digital]</v>
      </c>
      <c r="M4894" s="22" t="str">
        <f>HYPERLINK("mailto:draval@crm.otsuka-europe.com", "draval@crm.otsuka-europe.com")</f>
        <v>draval@crm.otsuka-europe.com</v>
      </c>
      <c r="N4894" s="25">
        <v>46217.661712962959</v>
      </c>
      <c r="O4894" s="14" t="str">
        <f>HYPERLINK("https://otsuka-europe-crm.veevavault.com/ui/#object/email_activity__v/V8C00000004A552", "EN-002106042")</f>
        <v>EN-002106042</v>
      </c>
    </row>
    <row r="4895" spans="1:15" ht="16" x14ac:dyDescent="0.2">
      <c r="A4895" s="19"/>
      <c r="B4895" s="19"/>
      <c r="C4895" s="19"/>
      <c r="D4895" s="19"/>
      <c r="E4895" s="19"/>
      <c r="F4895" s="19"/>
      <c r="G4895" s="19"/>
      <c r="H4895" s="19"/>
      <c r="I4895" s="19"/>
      <c r="J4895" s="19"/>
      <c r="K4895" s="19"/>
      <c r="L4895" s="19"/>
      <c r="M4895" s="19"/>
      <c r="N4895" s="19"/>
      <c r="O4895" s="14" t="str">
        <f>HYPERLINK("https://otsuka-europe-crm.veevavault.com/ui/#object/email_activity__v/V8C00000004B096", "EN-002106895")</f>
        <v>EN-002106895</v>
      </c>
    </row>
    <row r="4896" spans="1:15" ht="32" x14ac:dyDescent="0.2">
      <c r="A4896" s="7" t="str">
        <f>HYPERLINK("https://otsuka-europe-crm.veevavault.com/ui/#object/account__v/V4TZ0000062PPPW", "Reginald Musara")</f>
        <v>Reginald Musara</v>
      </c>
      <c r="B4896" s="7" t="str">
        <f>HYPERLINK("https://otsuka-europe-crm.veevavault.com/ui/#object/vcountry__v/VENZ000004SONFK", "GB")</f>
        <v>GB</v>
      </c>
      <c r="C4896" s="8" t="s">
        <v>41</v>
      </c>
      <c r="D4896" s="9" t="str">
        <f>HYPERLINK("https://otsuka-europe-crm.veevavault.com/ui/#object/approved_document__v/V5O00000001V001", "LDM DR P2P Invite 12-Nov-26 v2 [digital]")</f>
        <v>LDM DR P2P Invite 12-Nov-26 v2 [digital]</v>
      </c>
      <c r="E4896" s="10" t="str">
        <f>HYPERLINK("https://otsuka-europe-crm.veevavault.com/ui/#object/sent_email__v/VBL000000038223", "SE-001444015")</f>
        <v>SE-001444015</v>
      </c>
      <c r="F4896" s="11"/>
      <c r="G4896" s="12">
        <v>0</v>
      </c>
      <c r="H4896" s="12">
        <v>0</v>
      </c>
      <c r="I4896" s="12">
        <v>0</v>
      </c>
      <c r="J4896" s="11"/>
      <c r="K4896" s="12">
        <v>0</v>
      </c>
      <c r="L4896" s="10" t="str">
        <f>HYPERLINK("https://otsuka-europe-crm.veevavault.com/ui/#object/approved_document__v/V5O00000001V001", "LDM DR P2P Invite 12-Nov-26 v2 [digital]")</f>
        <v>LDM DR P2P Invite 12-Nov-26 v2 [digital]</v>
      </c>
      <c r="M4896" s="10" t="str">
        <f>HYPERLINK("mailto:draval@crm.otsuka-europe.com", "draval@crm.otsuka-europe.com")</f>
        <v>draval@crm.otsuka-europe.com</v>
      </c>
      <c r="N4896" s="13">
        <v>46217.661909722221</v>
      </c>
      <c r="O4896" s="14" t="str">
        <f>HYPERLINK("https://otsuka-europe-crm.veevavault.com/ui/#object/email_activity__v/V8C00000004A553", "EN-002106044")</f>
        <v>EN-002106044</v>
      </c>
    </row>
    <row r="4897" spans="1:15" ht="32" x14ac:dyDescent="0.2">
      <c r="A4897" s="7" t="str">
        <f>HYPERLINK("https://otsuka-europe-crm.veevavault.com/ui/#object/account__v/V4TZ0000062PH48", "Chan Nyein")</f>
        <v>Chan Nyein</v>
      </c>
      <c r="B4897" s="7" t="str">
        <f>HYPERLINK("https://otsuka-europe-crm.veevavault.com/ui/#object/vcountry__v/VENZ000004SONFK", "GB")</f>
        <v>GB</v>
      </c>
      <c r="C4897" s="8" t="s">
        <v>41</v>
      </c>
      <c r="D4897" s="9" t="str">
        <f>HYPERLINK("https://otsuka-europe-crm.veevavault.com/ui/#object/approved_document__v/V5O00000001V001", "LDM DR P2P Invite 12-Nov-26 v2 [digital]")</f>
        <v>LDM DR P2P Invite 12-Nov-26 v2 [digital]</v>
      </c>
      <c r="E4897" s="10" t="str">
        <f>HYPERLINK("https://otsuka-europe-crm.veevavault.com/ui/#object/sent_email__v/VBL000000038224", "SE-001444016")</f>
        <v>SE-001444016</v>
      </c>
      <c r="F4897" s="11"/>
      <c r="G4897" s="12">
        <v>0</v>
      </c>
      <c r="H4897" s="12">
        <v>0</v>
      </c>
      <c r="I4897" s="12">
        <v>0</v>
      </c>
      <c r="J4897" s="11"/>
      <c r="K4897" s="12">
        <v>0</v>
      </c>
      <c r="L4897" s="10" t="str">
        <f>HYPERLINK("https://otsuka-europe-crm.veevavault.com/ui/#object/approved_document__v/V5O00000001V001", "LDM DR P2P Invite 12-Nov-26 v2 [digital]")</f>
        <v>LDM DR P2P Invite 12-Nov-26 v2 [digital]</v>
      </c>
      <c r="M4897" s="10" t="str">
        <f>HYPERLINK("mailto:draval@crm.otsuka-europe.com", "draval@crm.otsuka-europe.com")</f>
        <v>draval@crm.otsuka-europe.com</v>
      </c>
      <c r="N4897" s="13">
        <v>46217.662037037036</v>
      </c>
      <c r="O4897" s="14" t="str">
        <f>HYPERLINK("https://otsuka-europe-crm.veevavault.com/ui/#object/email_activity__v/V8C000000049626", "EN-002106045")</f>
        <v>EN-002106045</v>
      </c>
    </row>
    <row r="4898" spans="1:15" ht="16" x14ac:dyDescent="0.2">
      <c r="A4898" s="18" t="str">
        <f>HYPERLINK("https://otsuka-europe-crm.veevavault.com/ui/#object/account__v/V4TZ0000062PC55", "Moustafa Okda")</f>
        <v>Moustafa Okda</v>
      </c>
      <c r="B4898" s="18" t="str">
        <f>HYPERLINK("https://otsuka-europe-crm.veevavault.com/ui/#object/vcountry__v/VENZ000004SONFK", "GB")</f>
        <v>GB</v>
      </c>
      <c r="C4898" s="20" t="s">
        <v>41</v>
      </c>
      <c r="D4898" s="21" t="str">
        <f>HYPERLINK("https://otsuka-europe-crm.veevavault.com/ui/#object/approved_document__v/V5O00000001V001", "LDM DR P2P Invite 12-Nov-26 v2 [digital]")</f>
        <v>LDM DR P2P Invite 12-Nov-26 v2 [digital]</v>
      </c>
      <c r="E4898" s="22" t="str">
        <f>HYPERLINK("https://otsuka-europe-crm.veevavault.com/ui/#object/sent_email__v/VBL000000037304", "SE-001444017")</f>
        <v>SE-001444017</v>
      </c>
      <c r="F4898" s="25">
        <v>46219.400023148148</v>
      </c>
      <c r="G4898" s="24">
        <v>1</v>
      </c>
      <c r="H4898" s="24">
        <v>2</v>
      </c>
      <c r="I4898" s="24">
        <v>0</v>
      </c>
      <c r="J4898" s="23"/>
      <c r="K4898" s="24">
        <v>0</v>
      </c>
      <c r="L4898" s="22" t="str">
        <f>HYPERLINK("https://otsuka-europe-crm.veevavault.com/ui/#object/approved_document__v/V5O00000001V001", "LDM DR P2P Invite 12-Nov-26 v2 [digital]")</f>
        <v>LDM DR P2P Invite 12-Nov-26 v2 [digital]</v>
      </c>
      <c r="M4898" s="22" t="str">
        <f>HYPERLINK("mailto:draval@crm.otsuka-europe.com", "draval@crm.otsuka-europe.com")</f>
        <v>draval@crm.otsuka-europe.com</v>
      </c>
      <c r="N4898" s="25">
        <v>46217.662245370368</v>
      </c>
      <c r="O4898" s="14" t="str">
        <f>HYPERLINK("https://otsuka-europe-crm.veevavault.com/ui/#object/email_activity__v/V8C000000049857", "EN-002106590")</f>
        <v>EN-002106590</v>
      </c>
    </row>
    <row r="4899" spans="1:15" ht="16" x14ac:dyDescent="0.2">
      <c r="A4899" s="26"/>
      <c r="B4899" s="26"/>
      <c r="C4899" s="26"/>
      <c r="D4899" s="26"/>
      <c r="E4899" s="26"/>
      <c r="F4899" s="26"/>
      <c r="G4899" s="26"/>
      <c r="H4899" s="26"/>
      <c r="I4899" s="26"/>
      <c r="J4899" s="26"/>
      <c r="K4899" s="26"/>
      <c r="L4899" s="26"/>
      <c r="M4899" s="26"/>
      <c r="N4899" s="26"/>
      <c r="O4899" s="14" t="str">
        <f>HYPERLINK("https://otsuka-europe-crm.veevavault.com/ui/#object/email_activity__v/V8C00000004A556", "EN-002106048")</f>
        <v>EN-002106048</v>
      </c>
    </row>
    <row r="4900" spans="1:15" ht="16" x14ac:dyDescent="0.2">
      <c r="A4900" s="19"/>
      <c r="B4900" s="19"/>
      <c r="C4900" s="19"/>
      <c r="D4900" s="19"/>
      <c r="E4900" s="19"/>
      <c r="F4900" s="19"/>
      <c r="G4900" s="19"/>
      <c r="H4900" s="19"/>
      <c r="I4900" s="19"/>
      <c r="J4900" s="19"/>
      <c r="K4900" s="19"/>
      <c r="L4900" s="19"/>
      <c r="M4900" s="19"/>
      <c r="N4900" s="19"/>
      <c r="O4900" s="14" t="str">
        <f>HYPERLINK("https://otsuka-europe-crm.veevavault.com/ui/#object/email_activity__v/V8C00000004A867", "EN-002106587")</f>
        <v>EN-002106587</v>
      </c>
    </row>
    <row r="4901" spans="1:15" ht="32" x14ac:dyDescent="0.2">
      <c r="A4901" s="7" t="str">
        <f>HYPERLINK("https://otsuka-europe-crm.veevavault.com/ui/#object/account__v/V4TZ025E891UT5A", "Wunmi Olajide")</f>
        <v>Wunmi Olajide</v>
      </c>
      <c r="B4901" s="7" t="str">
        <f>HYPERLINK("https://otsuka-europe-crm.veevavault.com/ui/#object/vcountry__v/VENZ000004SONFK", "GB")</f>
        <v>GB</v>
      </c>
      <c r="C4901" s="8" t="s">
        <v>41</v>
      </c>
      <c r="D4901" s="9" t="str">
        <f>HYPERLINK("https://otsuka-europe-crm.veevavault.com/ui/#object/approved_document__v/V5O00000001V001", "LDM DR P2P Invite 12-Nov-26 v2 [digital]")</f>
        <v>LDM DR P2P Invite 12-Nov-26 v2 [digital]</v>
      </c>
      <c r="E4901" s="10" t="str">
        <f>HYPERLINK("https://otsuka-europe-crm.veevavault.com/ui/#object/sent_email__v/VBL000000038225", "SE-001444018")</f>
        <v>SE-001444018</v>
      </c>
      <c r="F4901" s="11"/>
      <c r="G4901" s="12">
        <v>0</v>
      </c>
      <c r="H4901" s="12">
        <v>0</v>
      </c>
      <c r="I4901" s="12">
        <v>0</v>
      </c>
      <c r="J4901" s="11"/>
      <c r="K4901" s="12">
        <v>0</v>
      </c>
      <c r="L4901" s="10" t="str">
        <f>HYPERLINK("https://otsuka-europe-crm.veevavault.com/ui/#object/approved_document__v/V5O00000001V001", "LDM DR P2P Invite 12-Nov-26 v2 [digital]")</f>
        <v>LDM DR P2P Invite 12-Nov-26 v2 [digital]</v>
      </c>
      <c r="M4901" s="10" t="str">
        <f>HYPERLINK("mailto:draval@crm.otsuka-europe.com", "draval@crm.otsuka-europe.com")</f>
        <v>draval@crm.otsuka-europe.com</v>
      </c>
      <c r="N4901" s="13">
        <v>46217.662326388891</v>
      </c>
      <c r="O4901" s="14" t="str">
        <f>HYPERLINK("https://otsuka-europe-crm.veevavault.com/ui/#object/email_activity__v/V8C00000004A555", "EN-002106047")</f>
        <v>EN-002106047</v>
      </c>
    </row>
    <row r="4902" spans="1:15" ht="32" x14ac:dyDescent="0.2">
      <c r="A4902" s="7" t="str">
        <f>HYPERLINK("https://otsuka-europe-crm.veevavault.com/ui/#object/account__v/V4TZ025E881E57Q", "Ijeoma Onwere")</f>
        <v>Ijeoma Onwere</v>
      </c>
      <c r="B4902" s="7" t="str">
        <f>HYPERLINK("https://otsuka-europe-crm.veevavault.com/ui/#object/vcountry__v/VENZ000004SONFK", "GB")</f>
        <v>GB</v>
      </c>
      <c r="C4902" s="8" t="s">
        <v>41</v>
      </c>
      <c r="D4902" s="9" t="str">
        <f>HYPERLINK("https://otsuka-europe-crm.veevavault.com/ui/#object/approved_document__v/V5O00000001V001", "LDM DR P2P Invite 12-Nov-26 v2 [digital]")</f>
        <v>LDM DR P2P Invite 12-Nov-26 v2 [digital]</v>
      </c>
      <c r="E4902" s="10" t="str">
        <f>HYPERLINK("https://otsuka-europe-crm.veevavault.com/ui/#object/sent_email__v/VBL000000037305", "SE-001444019")</f>
        <v>SE-001444019</v>
      </c>
      <c r="F4902" s="11"/>
      <c r="G4902" s="12">
        <v>0</v>
      </c>
      <c r="H4902" s="12">
        <v>0</v>
      </c>
      <c r="I4902" s="12">
        <v>0</v>
      </c>
      <c r="J4902" s="11"/>
      <c r="K4902" s="12">
        <v>0</v>
      </c>
      <c r="L4902" s="10" t="str">
        <f>HYPERLINK("https://otsuka-europe-crm.veevavault.com/ui/#object/approved_document__v/V5O00000001V001", "LDM DR P2P Invite 12-Nov-26 v2 [digital]")</f>
        <v>LDM DR P2P Invite 12-Nov-26 v2 [digital]</v>
      </c>
      <c r="M4902" s="10" t="str">
        <f>HYPERLINK("mailto:draval@crm.otsuka-europe.com", "draval@crm.otsuka-europe.com")</f>
        <v>draval@crm.otsuka-europe.com</v>
      </c>
      <c r="N4902" s="13">
        <v>46217.662557870368</v>
      </c>
      <c r="O4902" s="14" t="str">
        <f>HYPERLINK("https://otsuka-europe-crm.veevavault.com/ui/#object/email_activity__v/V8C00000004A557", "EN-002106049")</f>
        <v>EN-002106049</v>
      </c>
    </row>
    <row r="4903" spans="1:15" ht="16" x14ac:dyDescent="0.2">
      <c r="A4903" s="18" t="str">
        <f>HYPERLINK("https://otsuka-europe-crm.veevavault.com/ui/#object/account__v/V4TZ04ASGETGE26", "Sadik Orhan")</f>
        <v>Sadik Orhan</v>
      </c>
      <c r="B4903" s="18" t="str">
        <f>HYPERLINK("https://otsuka-europe-crm.veevavault.com/ui/#object/vcountry__v/VENZ000004SONFK", "GB")</f>
        <v>GB</v>
      </c>
      <c r="C4903" s="20" t="s">
        <v>41</v>
      </c>
      <c r="D4903" s="21" t="str">
        <f>HYPERLINK("https://otsuka-europe-crm.veevavault.com/ui/#object/approved_document__v/V5O00000001V001", "LDM DR P2P Invite 12-Nov-26 v2 [digital]")</f>
        <v>LDM DR P2P Invite 12-Nov-26 v2 [digital]</v>
      </c>
      <c r="E4903" s="22" t="str">
        <f>HYPERLINK("https://otsuka-europe-crm.veevavault.com/ui/#object/sent_email__v/VBL000000037306", "SE-001444020")</f>
        <v>SE-001444020</v>
      </c>
      <c r="F4903" s="25">
        <v>46218.374363425923</v>
      </c>
      <c r="G4903" s="24">
        <v>1</v>
      </c>
      <c r="H4903" s="24">
        <v>2</v>
      </c>
      <c r="I4903" s="24">
        <v>0</v>
      </c>
      <c r="J4903" s="23"/>
      <c r="K4903" s="24">
        <v>0</v>
      </c>
      <c r="L4903" s="22" t="str">
        <f>HYPERLINK("https://otsuka-europe-crm.veevavault.com/ui/#object/approved_document__v/V5O00000001V001", "LDM DR P2P Invite 12-Nov-26 v2 [digital]")</f>
        <v>LDM DR P2P Invite 12-Nov-26 v2 [digital]</v>
      </c>
      <c r="M4903" s="22" t="str">
        <f>HYPERLINK("mailto:draval@crm.otsuka-europe.com", "draval@crm.otsuka-europe.com")</f>
        <v>draval@crm.otsuka-europe.com</v>
      </c>
      <c r="N4903" s="25">
        <v>46217.662627314814</v>
      </c>
      <c r="O4903" s="14" t="str">
        <f>HYPERLINK("https://otsuka-europe-crm.veevavault.com/ui/#object/email_activity__v/V8C000000049704", "EN-002106228")</f>
        <v>EN-002106228</v>
      </c>
    </row>
    <row r="4904" spans="1:15" ht="16" x14ac:dyDescent="0.2">
      <c r="A4904" s="26"/>
      <c r="B4904" s="26"/>
      <c r="C4904" s="26"/>
      <c r="D4904" s="26"/>
      <c r="E4904" s="26"/>
      <c r="F4904" s="26"/>
      <c r="G4904" s="26"/>
      <c r="H4904" s="26"/>
      <c r="I4904" s="26"/>
      <c r="J4904" s="26"/>
      <c r="K4904" s="26"/>
      <c r="L4904" s="26"/>
      <c r="M4904" s="26"/>
      <c r="N4904" s="26"/>
      <c r="O4904" s="14" t="str">
        <f>HYPERLINK("https://otsuka-europe-crm.veevavault.com/ui/#object/email_activity__v/V8C00000004A558", "EN-002106050")</f>
        <v>EN-002106050</v>
      </c>
    </row>
    <row r="4905" spans="1:15" ht="16" x14ac:dyDescent="0.2">
      <c r="A4905" s="19"/>
      <c r="B4905" s="19"/>
      <c r="C4905" s="19"/>
      <c r="D4905" s="19"/>
      <c r="E4905" s="19"/>
      <c r="F4905" s="19"/>
      <c r="G4905" s="19"/>
      <c r="H4905" s="19"/>
      <c r="I4905" s="19"/>
      <c r="J4905" s="19"/>
      <c r="K4905" s="19"/>
      <c r="L4905" s="19"/>
      <c r="M4905" s="19"/>
      <c r="N4905" s="19"/>
      <c r="O4905" s="14" t="str">
        <f>HYPERLINK("https://otsuka-europe-crm.veevavault.com/ui/#object/email_activity__v/V8C00000004A569", "EN-002106063")</f>
        <v>EN-002106063</v>
      </c>
    </row>
    <row r="4906" spans="1:15" ht="16" x14ac:dyDescent="0.2">
      <c r="A4906" s="18" t="str">
        <f>HYPERLINK("https://otsuka-europe-crm.veevavault.com/ui/#object/account__v/V4TZ0000062PH9G", "Felix Osode")</f>
        <v>Felix Osode</v>
      </c>
      <c r="B4906" s="18" t="str">
        <f>HYPERLINK("https://otsuka-europe-crm.veevavault.com/ui/#object/vcountry__v/VENZ000004SONFK", "GB")</f>
        <v>GB</v>
      </c>
      <c r="C4906" s="20" t="s">
        <v>41</v>
      </c>
      <c r="D4906" s="21" t="str">
        <f>HYPERLINK("https://otsuka-europe-crm.veevavault.com/ui/#object/approved_document__v/V5O00000001V001", "LDM DR P2P Invite 12-Nov-26 v2 [digital]")</f>
        <v>LDM DR P2P Invite 12-Nov-26 v2 [digital]</v>
      </c>
      <c r="E4906" s="22" t="str">
        <f>HYPERLINK("https://otsuka-europe-crm.veevavault.com/ui/#object/sent_email__v/VBL000000037307", "SE-001444021")</f>
        <v>SE-001444021</v>
      </c>
      <c r="F4906" s="25">
        <v>46224.592291666668</v>
      </c>
      <c r="G4906" s="24">
        <v>1</v>
      </c>
      <c r="H4906" s="24">
        <v>2</v>
      </c>
      <c r="I4906" s="24">
        <v>0</v>
      </c>
      <c r="J4906" s="23"/>
      <c r="K4906" s="24">
        <v>0</v>
      </c>
      <c r="L4906" s="22" t="str">
        <f>HYPERLINK("https://otsuka-europe-crm.veevavault.com/ui/#object/approved_document__v/V5O00000001V001", "LDM DR P2P Invite 12-Nov-26 v2 [digital]")</f>
        <v>LDM DR P2P Invite 12-Nov-26 v2 [digital]</v>
      </c>
      <c r="M4906" s="22" t="str">
        <f>HYPERLINK("mailto:draval@crm.otsuka-europe.com", "draval@crm.otsuka-europe.com")</f>
        <v>draval@crm.otsuka-europe.com</v>
      </c>
      <c r="N4906" s="25">
        <v>46217.662766203706</v>
      </c>
      <c r="O4906" s="14" t="str">
        <f>HYPERLINK("https://otsuka-europe-crm.veevavault.com/ui/#object/email_activity__v/V8C000000049687", "EN-002106191")</f>
        <v>EN-002106191</v>
      </c>
    </row>
    <row r="4907" spans="1:15" ht="16" x14ac:dyDescent="0.2">
      <c r="A4907" s="26"/>
      <c r="B4907" s="26"/>
      <c r="C4907" s="26"/>
      <c r="D4907" s="26"/>
      <c r="E4907" s="26"/>
      <c r="F4907" s="26"/>
      <c r="G4907" s="26"/>
      <c r="H4907" s="26"/>
      <c r="I4907" s="26"/>
      <c r="J4907" s="26"/>
      <c r="K4907" s="26"/>
      <c r="L4907" s="26"/>
      <c r="M4907" s="26"/>
      <c r="N4907" s="26"/>
      <c r="O4907" s="14" t="str">
        <f>HYPERLINK("https://otsuka-europe-crm.veevavault.com/ui/#object/email_activity__v/V8C00000004A559", "EN-002106051")</f>
        <v>EN-002106051</v>
      </c>
    </row>
    <row r="4908" spans="1:15" ht="16" x14ac:dyDescent="0.2">
      <c r="A4908" s="19"/>
      <c r="B4908" s="19"/>
      <c r="C4908" s="19"/>
      <c r="D4908" s="19"/>
      <c r="E4908" s="19"/>
      <c r="F4908" s="19"/>
      <c r="G4908" s="19"/>
      <c r="H4908" s="19"/>
      <c r="I4908" s="19"/>
      <c r="J4908" s="19"/>
      <c r="K4908" s="19"/>
      <c r="L4908" s="19"/>
      <c r="M4908" s="19"/>
      <c r="N4908" s="19"/>
      <c r="O4908" s="14" t="str">
        <f>HYPERLINK("https://otsuka-europe-crm.veevavault.com/ui/#object/email_activity__v/V8C00000004C183", "EN-002107166")</f>
        <v>EN-002107166</v>
      </c>
    </row>
    <row r="4909" spans="1:15" ht="16" x14ac:dyDescent="0.2">
      <c r="A4909" s="18" t="str">
        <f>HYPERLINK("https://otsuka-europe-crm.veevavault.com/ui/#object/account__v/V4TZ04ASGGKMOAZ", "Muhammad Othman")</f>
        <v>Muhammad Othman</v>
      </c>
      <c r="B4909" s="18" t="str">
        <f>HYPERLINK("https://otsuka-europe-crm.veevavault.com/ui/#object/vcountry__v/VENZ000004SONFK", "GB")</f>
        <v>GB</v>
      </c>
      <c r="C4909" s="20" t="s">
        <v>41</v>
      </c>
      <c r="D4909" s="21" t="str">
        <f>HYPERLINK("https://otsuka-europe-crm.veevavault.com/ui/#object/approved_document__v/V5O00000001V001", "LDM DR P2P Invite 12-Nov-26 v2 [digital]")</f>
        <v>LDM DR P2P Invite 12-Nov-26 v2 [digital]</v>
      </c>
      <c r="E4909" s="22" t="str">
        <f>HYPERLINK("https://otsuka-europe-crm.veevavault.com/ui/#object/sent_email__v/VBL000000037308", "SE-001444022")</f>
        <v>SE-001444022</v>
      </c>
      <c r="F4909" s="25">
        <v>46217.730671296296</v>
      </c>
      <c r="G4909" s="24">
        <v>1</v>
      </c>
      <c r="H4909" s="24">
        <v>2</v>
      </c>
      <c r="I4909" s="24">
        <v>0</v>
      </c>
      <c r="J4909" s="23"/>
      <c r="K4909" s="24">
        <v>0</v>
      </c>
      <c r="L4909" s="22" t="str">
        <f>HYPERLINK("https://otsuka-europe-crm.veevavault.com/ui/#object/approved_document__v/V5O00000001V001", "LDM DR P2P Invite 12-Nov-26 v2 [digital]")</f>
        <v>LDM DR P2P Invite 12-Nov-26 v2 [digital]</v>
      </c>
      <c r="M4909" s="22" t="str">
        <f>HYPERLINK("mailto:draval@crm.otsuka-europe.com", "draval@crm.otsuka-europe.com")</f>
        <v>draval@crm.otsuka-europe.com</v>
      </c>
      <c r="N4909" s="25">
        <v>46217.662939814814</v>
      </c>
      <c r="O4909" s="14" t="str">
        <f>HYPERLINK("https://otsuka-europe-crm.veevavault.com/ui/#object/email_activity__v/V8C00000004A560", "EN-002106052")</f>
        <v>EN-002106052</v>
      </c>
    </row>
    <row r="4910" spans="1:15" ht="16" x14ac:dyDescent="0.2">
      <c r="A4910" s="26"/>
      <c r="B4910" s="26"/>
      <c r="C4910" s="26"/>
      <c r="D4910" s="26"/>
      <c r="E4910" s="26"/>
      <c r="F4910" s="26"/>
      <c r="G4910" s="26"/>
      <c r="H4910" s="26"/>
      <c r="I4910" s="26"/>
      <c r="J4910" s="26"/>
      <c r="K4910" s="26"/>
      <c r="L4910" s="26"/>
      <c r="M4910" s="26"/>
      <c r="N4910" s="26"/>
      <c r="O4910" s="14" t="str">
        <f>HYPERLINK("https://otsuka-europe-crm.veevavault.com/ui/#object/email_activity__v/V8C00000004A618", "EN-002106143")</f>
        <v>EN-002106143</v>
      </c>
    </row>
    <row r="4911" spans="1:15" ht="16" x14ac:dyDescent="0.2">
      <c r="A4911" s="19"/>
      <c r="B4911" s="19"/>
      <c r="C4911" s="19"/>
      <c r="D4911" s="19"/>
      <c r="E4911" s="19"/>
      <c r="F4911" s="19"/>
      <c r="G4911" s="19"/>
      <c r="H4911" s="19"/>
      <c r="I4911" s="19"/>
      <c r="J4911" s="19"/>
      <c r="K4911" s="19"/>
      <c r="L4911" s="19"/>
      <c r="M4911" s="19"/>
      <c r="N4911" s="19"/>
      <c r="O4911" s="14" t="str">
        <f>HYPERLINK("https://otsuka-europe-crm.veevavault.com/ui/#object/email_activity__v/V8C00000004A619", "EN-002106144")</f>
        <v>EN-002106144</v>
      </c>
    </row>
    <row r="4912" spans="1:15" ht="32" x14ac:dyDescent="0.2">
      <c r="A4912" s="7" t="str">
        <f>HYPERLINK("https://otsuka-europe-crm.veevavault.com/ui/#object/account__v/V4T000000022027", "Hakeem Perring")</f>
        <v>Hakeem Perring</v>
      </c>
      <c r="B4912" s="7" t="str">
        <f>HYPERLINK("https://otsuka-europe-crm.veevavault.com/ui/#object/vcountry__v/VENZ000004SONFK", "GB")</f>
        <v>GB</v>
      </c>
      <c r="C4912" s="8" t="s">
        <v>41</v>
      </c>
      <c r="D4912" s="9" t="str">
        <f>HYPERLINK("https://otsuka-europe-crm.veevavault.com/ui/#object/approved_document__v/V5O00000001V001", "LDM DR P2P Invite 12-Nov-26 v2 [digital]")</f>
        <v>LDM DR P2P Invite 12-Nov-26 v2 [digital]</v>
      </c>
      <c r="E4912" s="10" t="str">
        <f>HYPERLINK("https://otsuka-europe-crm.veevavault.com/ui/#object/sent_email__v/VBL000000037309", "SE-001444023")</f>
        <v>SE-001444023</v>
      </c>
      <c r="F4912" s="11"/>
      <c r="G4912" s="12">
        <v>0</v>
      </c>
      <c r="H4912" s="12">
        <v>0</v>
      </c>
      <c r="I4912" s="12">
        <v>0</v>
      </c>
      <c r="J4912" s="11"/>
      <c r="K4912" s="12">
        <v>0</v>
      </c>
      <c r="L4912" s="10" t="str">
        <f>HYPERLINK("https://otsuka-europe-crm.veevavault.com/ui/#object/approved_document__v/V5O00000001V001", "LDM DR P2P Invite 12-Nov-26 v2 [digital]")</f>
        <v>LDM DR P2P Invite 12-Nov-26 v2 [digital]</v>
      </c>
      <c r="M4912" s="10" t="str">
        <f>HYPERLINK("mailto:draval@crm.otsuka-europe.com", "draval@crm.otsuka-europe.com")</f>
        <v>draval@crm.otsuka-europe.com</v>
      </c>
      <c r="N4912" s="13">
        <v>46217.663113425922</v>
      </c>
      <c r="O4912" s="14" t="str">
        <f>HYPERLINK("https://otsuka-europe-crm.veevavault.com/ui/#object/email_activity__v/V8C000000049627", "EN-002106053")</f>
        <v>EN-002106053</v>
      </c>
    </row>
    <row r="4913" spans="1:15" ht="32" x14ac:dyDescent="0.2">
      <c r="A4913" s="7" t="str">
        <f>HYPERLINK("https://otsuka-europe-crm.veevavault.com/ui/#object/account__v/V4TZ0000062PL47", "Donna Perryman")</f>
        <v>Donna Perryman</v>
      </c>
      <c r="B4913" s="7" t="str">
        <f>HYPERLINK("https://otsuka-europe-crm.veevavault.com/ui/#object/vcountry__v/VENZ000004SONFK", "GB")</f>
        <v>GB</v>
      </c>
      <c r="C4913" s="8" t="s">
        <v>41</v>
      </c>
      <c r="D4913" s="9" t="str">
        <f>HYPERLINK("https://otsuka-europe-crm.veevavault.com/ui/#object/approved_document__v/V5O00000001V001", "LDM DR P2P Invite 12-Nov-26 v2 [digital]")</f>
        <v>LDM DR P2P Invite 12-Nov-26 v2 [digital]</v>
      </c>
      <c r="E4913" s="10" t="str">
        <f>HYPERLINK("https://otsuka-europe-crm.veevavault.com/ui/#object/sent_email__v/VBL000000037310", "SE-001444024")</f>
        <v>SE-001444024</v>
      </c>
      <c r="F4913" s="11"/>
      <c r="G4913" s="12">
        <v>0</v>
      </c>
      <c r="H4913" s="12">
        <v>0</v>
      </c>
      <c r="I4913" s="12">
        <v>0</v>
      </c>
      <c r="J4913" s="11"/>
      <c r="K4913" s="12">
        <v>0</v>
      </c>
      <c r="L4913" s="10" t="str">
        <f>HYPERLINK("https://otsuka-europe-crm.veevavault.com/ui/#object/approved_document__v/V5O00000001V001", "LDM DR P2P Invite 12-Nov-26 v2 [digital]")</f>
        <v>LDM DR P2P Invite 12-Nov-26 v2 [digital]</v>
      </c>
      <c r="M4913" s="10" t="str">
        <f>HYPERLINK("mailto:draval@crm.otsuka-europe.com", "draval@crm.otsuka-europe.com")</f>
        <v>draval@crm.otsuka-europe.com</v>
      </c>
      <c r="N4913" s="13">
        <v>46217.663240740738</v>
      </c>
      <c r="O4913" s="14" t="str">
        <f>HYPERLINK("https://otsuka-europe-crm.veevavault.com/ui/#object/email_activity__v/V8C00000004A561", "EN-002106054")</f>
        <v>EN-002106054</v>
      </c>
    </row>
    <row r="4914" spans="1:15" ht="16" x14ac:dyDescent="0.2">
      <c r="A4914" s="18" t="str">
        <f>HYPERLINK("https://otsuka-europe-crm.veevavault.com/ui/#object/account__v/V4TZ06G6O8KU1W1", "Mehtab Rahman")</f>
        <v>Mehtab Rahman</v>
      </c>
      <c r="B4914" s="18" t="str">
        <f>HYPERLINK("https://otsuka-europe-crm.veevavault.com/ui/#object/vcountry__v/VENZ000004SONFK", "GB")</f>
        <v>GB</v>
      </c>
      <c r="C4914" s="20" t="s">
        <v>41</v>
      </c>
      <c r="D4914" s="21" t="str">
        <f>HYPERLINK("https://otsuka-europe-crm.veevavault.com/ui/#object/approved_document__v/V5O00000001V001", "LDM DR P2P Invite 12-Nov-26 v2 [digital]")</f>
        <v>LDM DR P2P Invite 12-Nov-26 v2 [digital]</v>
      </c>
      <c r="E4914" s="22" t="str">
        <f>HYPERLINK("https://otsuka-europe-crm.veevavault.com/ui/#object/sent_email__v/VBL000000037311", "SE-001444025")</f>
        <v>SE-001444025</v>
      </c>
      <c r="F4914" s="25">
        <v>46217.678344907406</v>
      </c>
      <c r="G4914" s="24">
        <v>1</v>
      </c>
      <c r="H4914" s="24">
        <v>4</v>
      </c>
      <c r="I4914" s="24">
        <v>0</v>
      </c>
      <c r="J4914" s="23"/>
      <c r="K4914" s="24">
        <v>0</v>
      </c>
      <c r="L4914" s="22" t="str">
        <f>HYPERLINK("https://otsuka-europe-crm.veevavault.com/ui/#object/approved_document__v/V5O00000001V001", "LDM DR P2P Invite 12-Nov-26 v2 [digital]")</f>
        <v>LDM DR P2P Invite 12-Nov-26 v2 [digital]</v>
      </c>
      <c r="M4914" s="22" t="str">
        <f>HYPERLINK("mailto:draval@crm.otsuka-europe.com", "draval@crm.otsuka-europe.com")</f>
        <v>draval@crm.otsuka-europe.com</v>
      </c>
      <c r="N4914" s="25">
        <v>46217.663460648146</v>
      </c>
      <c r="O4914" s="14" t="str">
        <f>HYPERLINK("https://otsuka-europe-crm.veevavault.com/ui/#object/email_activity__v/V8C000000049642", "EN-002106110")</f>
        <v>EN-002106110</v>
      </c>
    </row>
    <row r="4915" spans="1:15" ht="16" x14ac:dyDescent="0.2">
      <c r="A4915" s="26"/>
      <c r="B4915" s="26"/>
      <c r="C4915" s="26"/>
      <c r="D4915" s="26"/>
      <c r="E4915" s="26"/>
      <c r="F4915" s="26"/>
      <c r="G4915" s="26"/>
      <c r="H4915" s="26"/>
      <c r="I4915" s="26"/>
      <c r="J4915" s="26"/>
      <c r="K4915" s="26"/>
      <c r="L4915" s="26"/>
      <c r="M4915" s="26"/>
      <c r="N4915" s="26"/>
      <c r="O4915" s="14" t="str">
        <f>HYPERLINK("https://otsuka-europe-crm.veevavault.com/ui/#object/email_activity__v/V8C000000049643", "EN-002106111")</f>
        <v>EN-002106111</v>
      </c>
    </row>
    <row r="4916" spans="1:15" ht="16" x14ac:dyDescent="0.2">
      <c r="A4916" s="26"/>
      <c r="B4916" s="26"/>
      <c r="C4916" s="26"/>
      <c r="D4916" s="26"/>
      <c r="E4916" s="26"/>
      <c r="F4916" s="26"/>
      <c r="G4916" s="26"/>
      <c r="H4916" s="26"/>
      <c r="I4916" s="26"/>
      <c r="J4916" s="26"/>
      <c r="K4916" s="26"/>
      <c r="L4916" s="26"/>
      <c r="M4916" s="26"/>
      <c r="N4916" s="26"/>
      <c r="O4916" s="14" t="str">
        <f>HYPERLINK("https://otsuka-europe-crm.veevavault.com/ui/#object/email_activity__v/V8C000000049644", "EN-002106112")</f>
        <v>EN-002106112</v>
      </c>
    </row>
    <row r="4917" spans="1:15" ht="16" x14ac:dyDescent="0.2">
      <c r="A4917" s="26"/>
      <c r="B4917" s="26"/>
      <c r="C4917" s="26"/>
      <c r="D4917" s="26"/>
      <c r="E4917" s="26"/>
      <c r="F4917" s="26"/>
      <c r="G4917" s="26"/>
      <c r="H4917" s="26"/>
      <c r="I4917" s="26"/>
      <c r="J4917" s="26"/>
      <c r="K4917" s="26"/>
      <c r="L4917" s="26"/>
      <c r="M4917" s="26"/>
      <c r="N4917" s="26"/>
      <c r="O4917" s="14" t="str">
        <f>HYPERLINK("https://otsuka-europe-crm.veevavault.com/ui/#object/email_activity__v/V8C000000049645", "EN-002106113")</f>
        <v>EN-002106113</v>
      </c>
    </row>
    <row r="4918" spans="1:15" ht="16" x14ac:dyDescent="0.2">
      <c r="A4918" s="19"/>
      <c r="B4918" s="19"/>
      <c r="C4918" s="19"/>
      <c r="D4918" s="19"/>
      <c r="E4918" s="19"/>
      <c r="F4918" s="19"/>
      <c r="G4918" s="19"/>
      <c r="H4918" s="19"/>
      <c r="I4918" s="19"/>
      <c r="J4918" s="19"/>
      <c r="K4918" s="19"/>
      <c r="L4918" s="19"/>
      <c r="M4918" s="19"/>
      <c r="N4918" s="19"/>
      <c r="O4918" s="14" t="str">
        <f>HYPERLINK("https://otsuka-europe-crm.veevavault.com/ui/#object/email_activity__v/V8C00000004A562", "EN-002106055")</f>
        <v>EN-002106055</v>
      </c>
    </row>
    <row r="4919" spans="1:15" ht="16" x14ac:dyDescent="0.2">
      <c r="A4919" s="18" t="str">
        <f>HYPERLINK("https://otsuka-europe-crm.veevavault.com/ui/#object/account__v/V4TZ0000062PHQ7", "Lawrence Ratnasabapathy")</f>
        <v>Lawrence Ratnasabapathy</v>
      </c>
      <c r="B4919" s="18" t="str">
        <f>HYPERLINK("https://otsuka-europe-crm.veevavault.com/ui/#object/vcountry__v/VENZ000004SONFK", "GB")</f>
        <v>GB</v>
      </c>
      <c r="C4919" s="20" t="s">
        <v>41</v>
      </c>
      <c r="D4919" s="21" t="str">
        <f>HYPERLINK("https://otsuka-europe-crm.veevavault.com/ui/#object/approved_document__v/V5O00000001V001", "LDM DR P2P Invite 12-Nov-26 v2 [digital]")</f>
        <v>LDM DR P2P Invite 12-Nov-26 v2 [digital]</v>
      </c>
      <c r="E4919" s="22" t="str">
        <f>HYPERLINK("https://otsuka-europe-crm.veevavault.com/ui/#object/sent_email__v/VBL000000037312", "SE-001444026")</f>
        <v>SE-001444026</v>
      </c>
      <c r="F4919" s="23"/>
      <c r="G4919" s="24">
        <v>0</v>
      </c>
      <c r="H4919" s="24">
        <v>0</v>
      </c>
      <c r="I4919" s="24">
        <v>0</v>
      </c>
      <c r="J4919" s="23"/>
      <c r="K4919" s="24">
        <v>0</v>
      </c>
      <c r="L4919" s="22" t="str">
        <f>HYPERLINK("https://otsuka-europe-crm.veevavault.com/ui/#object/approved_document__v/V5O00000001V001", "LDM DR P2P Invite 12-Nov-26 v2 [digital]")</f>
        <v>LDM DR P2P Invite 12-Nov-26 v2 [digital]</v>
      </c>
      <c r="M4919" s="22" t="str">
        <f>HYPERLINK("mailto:draval@crm.otsuka-europe.com", "draval@crm.otsuka-europe.com")</f>
        <v>draval@crm.otsuka-europe.com</v>
      </c>
      <c r="N4919" s="25">
        <v>46217.663564814815</v>
      </c>
      <c r="O4919" s="14" t="str">
        <f>HYPERLINK("https://otsuka-europe-crm.veevavault.com/ui/#object/email_activity__v/V8C000000049797", "EN-002106436")</f>
        <v>EN-002106436</v>
      </c>
    </row>
    <row r="4920" spans="1:15" ht="16" x14ac:dyDescent="0.2">
      <c r="A4920" s="26"/>
      <c r="B4920" s="26"/>
      <c r="C4920" s="26"/>
      <c r="D4920" s="26"/>
      <c r="E4920" s="26"/>
      <c r="F4920" s="26"/>
      <c r="G4920" s="26"/>
      <c r="H4920" s="26"/>
      <c r="I4920" s="26"/>
      <c r="J4920" s="26"/>
      <c r="K4920" s="26"/>
      <c r="L4920" s="26"/>
      <c r="M4920" s="26"/>
      <c r="N4920" s="26"/>
      <c r="O4920" s="14" t="str">
        <f>HYPERLINK("https://otsuka-europe-crm.veevavault.com/ui/#object/email_activity__v/V8C00000004A563", "EN-002106056")</f>
        <v>EN-002106056</v>
      </c>
    </row>
    <row r="4921" spans="1:15" ht="16" x14ac:dyDescent="0.2">
      <c r="A4921" s="19"/>
      <c r="B4921" s="19"/>
      <c r="C4921" s="19"/>
      <c r="D4921" s="19"/>
      <c r="E4921" s="19"/>
      <c r="F4921" s="19"/>
      <c r="G4921" s="19"/>
      <c r="H4921" s="19"/>
      <c r="I4921" s="19"/>
      <c r="J4921" s="19"/>
      <c r="K4921" s="19"/>
      <c r="L4921" s="19"/>
      <c r="M4921" s="19"/>
      <c r="N4921" s="19"/>
      <c r="O4921" s="14" t="str">
        <f>HYPERLINK("https://otsuka-europe-crm.veevavault.com/ui/#object/email_activity__v/V8C00000004B062", "EN-002106841")</f>
        <v>EN-002106841</v>
      </c>
    </row>
    <row r="4922" spans="1:15" ht="16" x14ac:dyDescent="0.2">
      <c r="A4922" s="18" t="str">
        <f>HYPERLINK("https://otsuka-europe-crm.veevavault.com/ui/#object/account__v/V4TZ025E87TXNUO", "David Rogalski")</f>
        <v>David Rogalski</v>
      </c>
      <c r="B4922" s="18" t="str">
        <f>HYPERLINK("https://otsuka-europe-crm.veevavault.com/ui/#object/vcountry__v/VENZ000004SONFK", "GB")</f>
        <v>GB</v>
      </c>
      <c r="C4922" s="20" t="s">
        <v>41</v>
      </c>
      <c r="D4922" s="21" t="str">
        <f>HYPERLINK("https://otsuka-europe-crm.veevavault.com/ui/#object/approved_document__v/V5O00000001V001", "LDM DR P2P Invite 12-Nov-26 v2 [digital]")</f>
        <v>LDM DR P2P Invite 12-Nov-26 v2 [digital]</v>
      </c>
      <c r="E4922" s="22" t="str">
        <f>HYPERLINK("https://otsuka-europe-crm.veevavault.com/ui/#object/sent_email__v/VBL000000038226", "SE-001444027")</f>
        <v>SE-001444027</v>
      </c>
      <c r="F4922" s="25">
        <v>46217.672395833331</v>
      </c>
      <c r="G4922" s="24">
        <v>1</v>
      </c>
      <c r="H4922" s="24">
        <v>2</v>
      </c>
      <c r="I4922" s="24">
        <v>0</v>
      </c>
      <c r="J4922" s="23"/>
      <c r="K4922" s="24">
        <v>0</v>
      </c>
      <c r="L4922" s="22" t="str">
        <f>HYPERLINK("https://otsuka-europe-crm.veevavault.com/ui/#object/approved_document__v/V5O00000001V001", "LDM DR P2P Invite 12-Nov-26 v2 [digital]")</f>
        <v>LDM DR P2P Invite 12-Nov-26 v2 [digital]</v>
      </c>
      <c r="M4922" s="22" t="str">
        <f>HYPERLINK("mailto:draval@crm.otsuka-europe.com", "draval@crm.otsuka-europe.com")</f>
        <v>draval@crm.otsuka-europe.com</v>
      </c>
      <c r="N4922" s="25">
        <v>46217.663773148146</v>
      </c>
      <c r="O4922" s="14" t="str">
        <f>HYPERLINK("https://otsuka-europe-crm.veevavault.com/ui/#object/email_activity__v/V8C000000049628", "EN-002106061")</f>
        <v>EN-002106061</v>
      </c>
    </row>
    <row r="4923" spans="1:15" ht="16" x14ac:dyDescent="0.2">
      <c r="A4923" s="26"/>
      <c r="B4923" s="26"/>
      <c r="C4923" s="26"/>
      <c r="D4923" s="26"/>
      <c r="E4923" s="26"/>
      <c r="F4923" s="26"/>
      <c r="G4923" s="26"/>
      <c r="H4923" s="26"/>
      <c r="I4923" s="26"/>
      <c r="J4923" s="26"/>
      <c r="K4923" s="26"/>
      <c r="L4923" s="26"/>
      <c r="M4923" s="26"/>
      <c r="N4923" s="26"/>
      <c r="O4923" s="14" t="str">
        <f>HYPERLINK("https://otsuka-europe-crm.veevavault.com/ui/#object/email_activity__v/V8C00000004A564", "EN-002106057")</f>
        <v>EN-002106057</v>
      </c>
    </row>
    <row r="4924" spans="1:15" ht="16" x14ac:dyDescent="0.2">
      <c r="A4924" s="19"/>
      <c r="B4924" s="19"/>
      <c r="C4924" s="19"/>
      <c r="D4924" s="19"/>
      <c r="E4924" s="19"/>
      <c r="F4924" s="19"/>
      <c r="G4924" s="19"/>
      <c r="H4924" s="19"/>
      <c r="I4924" s="19"/>
      <c r="J4924" s="19"/>
      <c r="K4924" s="19"/>
      <c r="L4924" s="19"/>
      <c r="M4924" s="19"/>
      <c r="N4924" s="19"/>
      <c r="O4924" s="14" t="str">
        <f>HYPERLINK("https://otsuka-europe-crm.veevavault.com/ui/#object/email_activity__v/V8C00000004A599", "EN-002106097")</f>
        <v>EN-002106097</v>
      </c>
    </row>
    <row r="4925" spans="1:15" ht="32" x14ac:dyDescent="0.2">
      <c r="A4925" s="7" t="str">
        <f>HYPERLINK("https://otsuka-europe-crm.veevavault.com/ui/#object/account__v/V4TZ0000062PHTY", "Victoria Robayo Castillo")</f>
        <v>Victoria Robayo Castillo</v>
      </c>
      <c r="B4925" s="7" t="str">
        <f>HYPERLINK("https://otsuka-europe-crm.veevavault.com/ui/#object/vcountry__v/VENZ000004SONFK", "GB")</f>
        <v>GB</v>
      </c>
      <c r="C4925" s="8" t="s">
        <v>41</v>
      </c>
      <c r="D4925" s="9" t="str">
        <f>HYPERLINK("https://otsuka-europe-crm.veevavault.com/ui/#object/approved_document__v/V5O00000001V001", "LDM DR P2P Invite 12-Nov-26 v2 [digital]")</f>
        <v>LDM DR P2P Invite 12-Nov-26 v2 [digital]</v>
      </c>
      <c r="E4925" s="10" t="str">
        <f>HYPERLINK("https://otsuka-europe-crm.veevavault.com/ui/#object/sent_email__v/VBL000000037313", "SE-001444028")</f>
        <v>SE-001444028</v>
      </c>
      <c r="F4925" s="11"/>
      <c r="G4925" s="12">
        <v>0</v>
      </c>
      <c r="H4925" s="12">
        <v>0</v>
      </c>
      <c r="I4925" s="12">
        <v>0</v>
      </c>
      <c r="J4925" s="11"/>
      <c r="K4925" s="12">
        <v>0</v>
      </c>
      <c r="L4925" s="10" t="str">
        <f>HYPERLINK("https://otsuka-europe-crm.veevavault.com/ui/#object/approved_document__v/V5O00000001V001", "LDM DR P2P Invite 12-Nov-26 v2 [digital]")</f>
        <v>LDM DR P2P Invite 12-Nov-26 v2 [digital]</v>
      </c>
      <c r="M4925" s="10" t="str">
        <f>HYPERLINK("mailto:draval@crm.otsuka-europe.com", "draval@crm.otsuka-europe.com")</f>
        <v>draval@crm.otsuka-europe.com</v>
      </c>
      <c r="N4925" s="13">
        <v>46217.663842592592</v>
      </c>
      <c r="O4925" s="14" t="str">
        <f>HYPERLINK("https://otsuka-europe-crm.veevavault.com/ui/#object/email_activity__v/V8C00000004A566", "EN-002106059")</f>
        <v>EN-002106059</v>
      </c>
    </row>
    <row r="4926" spans="1:15" ht="16" x14ac:dyDescent="0.2">
      <c r="A4926" s="18" t="str">
        <f>HYPERLINK("https://otsuka-europe-crm.veevavault.com/ui/#object/account__v/V4TZ0000062PBCG", "Risha Ruparelia")</f>
        <v>Risha Ruparelia</v>
      </c>
      <c r="B4926" s="18" t="str">
        <f>HYPERLINK("https://otsuka-europe-crm.veevavault.com/ui/#object/vcountry__v/VENZ000004SONFK", "GB")</f>
        <v>GB</v>
      </c>
      <c r="C4926" s="20" t="s">
        <v>41</v>
      </c>
      <c r="D4926" s="21" t="str">
        <f>HYPERLINK("https://otsuka-europe-crm.veevavault.com/ui/#object/approved_document__v/V5O00000001V001", "LDM DR P2P Invite 12-Nov-26 v2 [digital]")</f>
        <v>LDM DR P2P Invite 12-Nov-26 v2 [digital]</v>
      </c>
      <c r="E4926" s="22" t="str">
        <f>HYPERLINK("https://otsuka-europe-crm.veevavault.com/ui/#object/sent_email__v/VBL000000038227", "SE-001444029")</f>
        <v>SE-001444029</v>
      </c>
      <c r="F4926" s="25">
        <v>46238.706828703704</v>
      </c>
      <c r="G4926" s="24">
        <v>1</v>
      </c>
      <c r="H4926" s="24">
        <v>23</v>
      </c>
      <c r="I4926" s="24">
        <v>0</v>
      </c>
      <c r="J4926" s="23"/>
      <c r="K4926" s="24">
        <v>0</v>
      </c>
      <c r="L4926" s="22" t="str">
        <f>HYPERLINK("https://otsuka-europe-crm.veevavault.com/ui/#object/approved_document__v/V5O00000001V001", "LDM DR P2P Invite 12-Nov-26 v2 [digital]")</f>
        <v>LDM DR P2P Invite 12-Nov-26 v2 [digital]</v>
      </c>
      <c r="M4926" s="22" t="str">
        <f>HYPERLINK("mailto:draval@crm.otsuka-europe.com", "draval@crm.otsuka-europe.com")</f>
        <v>draval@crm.otsuka-europe.com</v>
      </c>
      <c r="N4926" s="25">
        <v>46217.663981481484</v>
      </c>
      <c r="O4926" s="14" t="str">
        <f>HYPERLINK("https://otsuka-europe-crm.veevavault.com/ui/#object/email_activity__v/V8C000000049654", "EN-002106135")</f>
        <v>EN-002106135</v>
      </c>
    </row>
    <row r="4927" spans="1:15" ht="16" x14ac:dyDescent="0.2">
      <c r="A4927" s="26"/>
      <c r="B4927" s="26"/>
      <c r="C4927" s="26"/>
      <c r="D4927" s="26"/>
      <c r="E4927" s="26"/>
      <c r="F4927" s="26"/>
      <c r="G4927" s="26"/>
      <c r="H4927" s="26"/>
      <c r="I4927" s="26"/>
      <c r="J4927" s="26"/>
      <c r="K4927" s="26"/>
      <c r="L4927" s="26"/>
      <c r="M4927" s="26"/>
      <c r="N4927" s="26"/>
      <c r="O4927" s="14" t="str">
        <f>HYPERLINK("https://otsuka-europe-crm.veevavault.com/ui/#object/email_activity__v/V8C000000049655", "EN-002106136")</f>
        <v>EN-002106136</v>
      </c>
    </row>
    <row r="4928" spans="1:15" ht="16" x14ac:dyDescent="0.2">
      <c r="A4928" s="26"/>
      <c r="B4928" s="26"/>
      <c r="C4928" s="26"/>
      <c r="D4928" s="26"/>
      <c r="E4928" s="26"/>
      <c r="F4928" s="26"/>
      <c r="G4928" s="26"/>
      <c r="H4928" s="26"/>
      <c r="I4928" s="26"/>
      <c r="J4928" s="26"/>
      <c r="K4928" s="26"/>
      <c r="L4928" s="26"/>
      <c r="M4928" s="26"/>
      <c r="N4928" s="26"/>
      <c r="O4928" s="14" t="str">
        <f>HYPERLINK("https://otsuka-europe-crm.veevavault.com/ui/#object/email_activity__v/V8C000000049660", "EN-002106145")</f>
        <v>EN-002106145</v>
      </c>
    </row>
    <row r="4929" spans="1:15" ht="16" x14ac:dyDescent="0.2">
      <c r="A4929" s="26"/>
      <c r="B4929" s="26"/>
      <c r="C4929" s="26"/>
      <c r="D4929" s="26"/>
      <c r="E4929" s="26"/>
      <c r="F4929" s="26"/>
      <c r="G4929" s="26"/>
      <c r="H4929" s="26"/>
      <c r="I4929" s="26"/>
      <c r="J4929" s="26"/>
      <c r="K4929" s="26"/>
      <c r="L4929" s="26"/>
      <c r="M4929" s="26"/>
      <c r="N4929" s="26"/>
      <c r="O4929" s="14" t="str">
        <f>HYPERLINK("https://otsuka-europe-crm.veevavault.com/ui/#object/email_activity__v/V8C000000049666", "EN-002106161")</f>
        <v>EN-002106161</v>
      </c>
    </row>
    <row r="4930" spans="1:15" ht="16" x14ac:dyDescent="0.2">
      <c r="A4930" s="26"/>
      <c r="B4930" s="26"/>
      <c r="C4930" s="26"/>
      <c r="D4930" s="26"/>
      <c r="E4930" s="26"/>
      <c r="F4930" s="26"/>
      <c r="G4930" s="26"/>
      <c r="H4930" s="26"/>
      <c r="I4930" s="26"/>
      <c r="J4930" s="26"/>
      <c r="K4930" s="26"/>
      <c r="L4930" s="26"/>
      <c r="M4930" s="26"/>
      <c r="N4930" s="26"/>
      <c r="O4930" s="14" t="str">
        <f>HYPERLINK("https://otsuka-europe-crm.veevavault.com/ui/#object/email_activity__v/V8C000000049672", "EN-002106172")</f>
        <v>EN-002106172</v>
      </c>
    </row>
    <row r="4931" spans="1:15" ht="16" x14ac:dyDescent="0.2">
      <c r="A4931" s="26"/>
      <c r="B4931" s="26"/>
      <c r="C4931" s="26"/>
      <c r="D4931" s="26"/>
      <c r="E4931" s="26"/>
      <c r="F4931" s="26"/>
      <c r="G4931" s="26"/>
      <c r="H4931" s="26"/>
      <c r="I4931" s="26"/>
      <c r="J4931" s="26"/>
      <c r="K4931" s="26"/>
      <c r="L4931" s="26"/>
      <c r="M4931" s="26"/>
      <c r="N4931" s="26"/>
      <c r="O4931" s="14" t="str">
        <f>HYPERLINK("https://otsuka-europe-crm.veevavault.com/ui/#object/email_activity__v/V8C000000049703", "EN-002106227")</f>
        <v>EN-002106227</v>
      </c>
    </row>
    <row r="4932" spans="1:15" ht="16" x14ac:dyDescent="0.2">
      <c r="A4932" s="26"/>
      <c r="B4932" s="26"/>
      <c r="C4932" s="26"/>
      <c r="D4932" s="26"/>
      <c r="E4932" s="26"/>
      <c r="F4932" s="26"/>
      <c r="G4932" s="26"/>
      <c r="H4932" s="26"/>
      <c r="I4932" s="26"/>
      <c r="J4932" s="26"/>
      <c r="K4932" s="26"/>
      <c r="L4932" s="26"/>
      <c r="M4932" s="26"/>
      <c r="N4932" s="26"/>
      <c r="O4932" s="14" t="str">
        <f>HYPERLINK("https://otsuka-europe-crm.veevavault.com/ui/#object/email_activity__v/V8C000000049708", "EN-002106233")</f>
        <v>EN-002106233</v>
      </c>
    </row>
    <row r="4933" spans="1:15" ht="16" x14ac:dyDescent="0.2">
      <c r="A4933" s="26"/>
      <c r="B4933" s="26"/>
      <c r="C4933" s="26"/>
      <c r="D4933" s="26"/>
      <c r="E4933" s="26"/>
      <c r="F4933" s="26"/>
      <c r="G4933" s="26"/>
      <c r="H4933" s="26"/>
      <c r="I4933" s="26"/>
      <c r="J4933" s="26"/>
      <c r="K4933" s="26"/>
      <c r="L4933" s="26"/>
      <c r="M4933" s="26"/>
      <c r="N4933" s="26"/>
      <c r="O4933" s="14" t="str">
        <f>HYPERLINK("https://otsuka-europe-crm.veevavault.com/ui/#object/email_activity__v/V8C00000004A567", "EN-002106060")</f>
        <v>EN-002106060</v>
      </c>
    </row>
    <row r="4934" spans="1:15" ht="16" x14ac:dyDescent="0.2">
      <c r="A4934" s="26"/>
      <c r="B4934" s="26"/>
      <c r="C4934" s="26"/>
      <c r="D4934" s="26"/>
      <c r="E4934" s="26"/>
      <c r="F4934" s="26"/>
      <c r="G4934" s="26"/>
      <c r="H4934" s="26"/>
      <c r="I4934" s="26"/>
      <c r="J4934" s="26"/>
      <c r="K4934" s="26"/>
      <c r="L4934" s="26"/>
      <c r="M4934" s="26"/>
      <c r="N4934" s="26"/>
      <c r="O4934" s="14" t="str">
        <f>HYPERLINK("https://otsuka-europe-crm.veevavault.com/ui/#object/email_activity__v/V8C00000004A611", "EN-002106126")</f>
        <v>EN-002106126</v>
      </c>
    </row>
    <row r="4935" spans="1:15" ht="16" x14ac:dyDescent="0.2">
      <c r="A4935" s="26"/>
      <c r="B4935" s="26"/>
      <c r="C4935" s="26"/>
      <c r="D4935" s="26"/>
      <c r="E4935" s="26"/>
      <c r="F4935" s="26"/>
      <c r="G4935" s="26"/>
      <c r="H4935" s="26"/>
      <c r="I4935" s="26"/>
      <c r="J4935" s="26"/>
      <c r="K4935" s="26"/>
      <c r="L4935" s="26"/>
      <c r="M4935" s="26"/>
      <c r="N4935" s="26"/>
      <c r="O4935" s="14" t="str">
        <f>HYPERLINK("https://otsuka-europe-crm.veevavault.com/ui/#object/email_activity__v/V8C00000004A614", "EN-002106133")</f>
        <v>EN-002106133</v>
      </c>
    </row>
    <row r="4936" spans="1:15" ht="16" x14ac:dyDescent="0.2">
      <c r="A4936" s="26"/>
      <c r="B4936" s="26"/>
      <c r="C4936" s="26"/>
      <c r="D4936" s="26"/>
      <c r="E4936" s="26"/>
      <c r="F4936" s="26"/>
      <c r="G4936" s="26"/>
      <c r="H4936" s="26"/>
      <c r="I4936" s="26"/>
      <c r="J4936" s="26"/>
      <c r="K4936" s="26"/>
      <c r="L4936" s="26"/>
      <c r="M4936" s="26"/>
      <c r="N4936" s="26"/>
      <c r="O4936" s="14" t="str">
        <f>HYPERLINK("https://otsuka-europe-crm.veevavault.com/ui/#object/email_activity__v/V8C00000004A615", "EN-002106134")</f>
        <v>EN-002106134</v>
      </c>
    </row>
    <row r="4937" spans="1:15" ht="16" x14ac:dyDescent="0.2">
      <c r="A4937" s="26"/>
      <c r="B4937" s="26"/>
      <c r="C4937" s="26"/>
      <c r="D4937" s="26"/>
      <c r="E4937" s="26"/>
      <c r="F4937" s="26"/>
      <c r="G4937" s="26"/>
      <c r="H4937" s="26"/>
      <c r="I4937" s="26"/>
      <c r="J4937" s="26"/>
      <c r="K4937" s="26"/>
      <c r="L4937" s="26"/>
      <c r="M4937" s="26"/>
      <c r="N4937" s="26"/>
      <c r="O4937" s="14" t="str">
        <f>HYPERLINK("https://otsuka-europe-crm.veevavault.com/ui/#object/email_activity__v/V8C00000004A626", "EN-002106154")</f>
        <v>EN-002106154</v>
      </c>
    </row>
    <row r="4938" spans="1:15" ht="16" x14ac:dyDescent="0.2">
      <c r="A4938" s="26"/>
      <c r="B4938" s="26"/>
      <c r="C4938" s="26"/>
      <c r="D4938" s="26"/>
      <c r="E4938" s="26"/>
      <c r="F4938" s="26"/>
      <c r="G4938" s="26"/>
      <c r="H4938" s="26"/>
      <c r="I4938" s="26"/>
      <c r="J4938" s="26"/>
      <c r="K4938" s="26"/>
      <c r="L4938" s="26"/>
      <c r="M4938" s="26"/>
      <c r="N4938" s="26"/>
      <c r="O4938" s="14" t="str">
        <f>HYPERLINK("https://otsuka-europe-crm.veevavault.com/ui/#object/email_activity__v/V8C00000004A628", "EN-002106159")</f>
        <v>EN-002106159</v>
      </c>
    </row>
    <row r="4939" spans="1:15" ht="16" x14ac:dyDescent="0.2">
      <c r="A4939" s="26"/>
      <c r="B4939" s="26"/>
      <c r="C4939" s="26"/>
      <c r="D4939" s="26"/>
      <c r="E4939" s="26"/>
      <c r="F4939" s="26"/>
      <c r="G4939" s="26"/>
      <c r="H4939" s="26"/>
      <c r="I4939" s="26"/>
      <c r="J4939" s="26"/>
      <c r="K4939" s="26"/>
      <c r="L4939" s="26"/>
      <c r="M4939" s="26"/>
      <c r="N4939" s="26"/>
      <c r="O4939" s="14" t="str">
        <f>HYPERLINK("https://otsuka-europe-crm.veevavault.com/ui/#object/email_activity__v/V8C00000004A629", "EN-002106160")</f>
        <v>EN-002106160</v>
      </c>
    </row>
    <row r="4940" spans="1:15" ht="16" x14ac:dyDescent="0.2">
      <c r="A4940" s="26"/>
      <c r="B4940" s="26"/>
      <c r="C4940" s="26"/>
      <c r="D4940" s="26"/>
      <c r="E4940" s="26"/>
      <c r="F4940" s="26"/>
      <c r="G4940" s="26"/>
      <c r="H4940" s="26"/>
      <c r="I4940" s="26"/>
      <c r="J4940" s="26"/>
      <c r="K4940" s="26"/>
      <c r="L4940" s="26"/>
      <c r="M4940" s="26"/>
      <c r="N4940" s="26"/>
      <c r="O4940" s="14" t="str">
        <f>HYPERLINK("https://otsuka-europe-crm.veevavault.com/ui/#object/email_activity__v/V8C00000004A635", "EN-002106173")</f>
        <v>EN-002106173</v>
      </c>
    </row>
    <row r="4941" spans="1:15" ht="16" x14ac:dyDescent="0.2">
      <c r="A4941" s="26"/>
      <c r="B4941" s="26"/>
      <c r="C4941" s="26"/>
      <c r="D4941" s="26"/>
      <c r="E4941" s="26"/>
      <c r="F4941" s="26"/>
      <c r="G4941" s="26"/>
      <c r="H4941" s="26"/>
      <c r="I4941" s="26"/>
      <c r="J4941" s="26"/>
      <c r="K4941" s="26"/>
      <c r="L4941" s="26"/>
      <c r="M4941" s="26"/>
      <c r="N4941" s="26"/>
      <c r="O4941" s="14" t="str">
        <f>HYPERLINK("https://otsuka-europe-crm.veevavault.com/ui/#object/email_activity__v/V8C00000004A658", "EN-002106226")</f>
        <v>EN-002106226</v>
      </c>
    </row>
    <row r="4942" spans="1:15" ht="16" x14ac:dyDescent="0.2">
      <c r="A4942" s="26"/>
      <c r="B4942" s="26"/>
      <c r="C4942" s="26"/>
      <c r="D4942" s="26"/>
      <c r="E4942" s="26"/>
      <c r="F4942" s="26"/>
      <c r="G4942" s="26"/>
      <c r="H4942" s="26"/>
      <c r="I4942" s="26"/>
      <c r="J4942" s="26"/>
      <c r="K4942" s="26"/>
      <c r="L4942" s="26"/>
      <c r="M4942" s="26"/>
      <c r="N4942" s="26"/>
      <c r="O4942" s="14" t="str">
        <f>HYPERLINK("https://otsuka-europe-crm.veevavault.com/ui/#object/email_activity__v/V8C00000004B082", "EN-002106873")</f>
        <v>EN-002106873</v>
      </c>
    </row>
    <row r="4943" spans="1:15" ht="16" x14ac:dyDescent="0.2">
      <c r="A4943" s="26"/>
      <c r="B4943" s="26"/>
      <c r="C4943" s="26"/>
      <c r="D4943" s="26"/>
      <c r="E4943" s="26"/>
      <c r="F4943" s="26"/>
      <c r="G4943" s="26"/>
      <c r="H4943" s="26"/>
      <c r="I4943" s="26"/>
      <c r="J4943" s="26"/>
      <c r="K4943" s="26"/>
      <c r="L4943" s="26"/>
      <c r="M4943" s="26"/>
      <c r="N4943" s="26"/>
      <c r="O4943" s="14" t="str">
        <f>HYPERLINK("https://otsuka-europe-crm.veevavault.com/ui/#object/email_activity__v/V8C00000004B083", "EN-002106874")</f>
        <v>EN-002106874</v>
      </c>
    </row>
    <row r="4944" spans="1:15" ht="16" x14ac:dyDescent="0.2">
      <c r="A4944" s="26"/>
      <c r="B4944" s="26"/>
      <c r="C4944" s="26"/>
      <c r="D4944" s="26"/>
      <c r="E4944" s="26"/>
      <c r="F4944" s="26"/>
      <c r="G4944" s="26"/>
      <c r="H4944" s="26"/>
      <c r="I4944" s="26"/>
      <c r="J4944" s="26"/>
      <c r="K4944" s="26"/>
      <c r="L4944" s="26"/>
      <c r="M4944" s="26"/>
      <c r="N4944" s="26"/>
      <c r="O4944" s="14" t="str">
        <f>HYPERLINK("https://otsuka-europe-crm.veevavault.com/ui/#object/email_activity__v/V8C00000004H054", "EN-002111030")</f>
        <v>EN-002111030</v>
      </c>
    </row>
    <row r="4945" spans="1:15" ht="16" x14ac:dyDescent="0.2">
      <c r="A4945" s="26"/>
      <c r="B4945" s="26"/>
      <c r="C4945" s="26"/>
      <c r="D4945" s="26"/>
      <c r="E4945" s="26"/>
      <c r="F4945" s="26"/>
      <c r="G4945" s="26"/>
      <c r="H4945" s="26"/>
      <c r="I4945" s="26"/>
      <c r="J4945" s="26"/>
      <c r="K4945" s="26"/>
      <c r="L4945" s="26"/>
      <c r="M4945" s="26"/>
      <c r="N4945" s="26"/>
      <c r="O4945" s="14" t="str">
        <f>HYPERLINK("https://otsuka-europe-crm.veevavault.com/ui/#object/email_activity__v/V8C00000004I026", "EN-002111029")</f>
        <v>EN-002111029</v>
      </c>
    </row>
    <row r="4946" spans="1:15" ht="16" x14ac:dyDescent="0.2">
      <c r="A4946" s="26"/>
      <c r="B4946" s="26"/>
      <c r="C4946" s="26"/>
      <c r="D4946" s="26"/>
      <c r="E4946" s="26"/>
      <c r="F4946" s="26"/>
      <c r="G4946" s="26"/>
      <c r="H4946" s="26"/>
      <c r="I4946" s="26"/>
      <c r="J4946" s="26"/>
      <c r="K4946" s="26"/>
      <c r="L4946" s="26"/>
      <c r="M4946" s="26"/>
      <c r="N4946" s="26"/>
      <c r="O4946" s="14" t="str">
        <f>HYPERLINK("https://otsuka-europe-crm.veevavault.com/ui/#object/email_activity__v/V8C00000004I027", "EN-002111031")</f>
        <v>EN-002111031</v>
      </c>
    </row>
    <row r="4947" spans="1:15" ht="16" x14ac:dyDescent="0.2">
      <c r="A4947" s="26"/>
      <c r="B4947" s="26"/>
      <c r="C4947" s="26"/>
      <c r="D4947" s="26"/>
      <c r="E4947" s="26"/>
      <c r="F4947" s="26"/>
      <c r="G4947" s="26"/>
      <c r="H4947" s="26"/>
      <c r="I4947" s="26"/>
      <c r="J4947" s="26"/>
      <c r="K4947" s="26"/>
      <c r="L4947" s="26"/>
      <c r="M4947" s="26"/>
      <c r="N4947" s="26"/>
      <c r="O4947" s="14" t="str">
        <f>HYPERLINK("https://otsuka-europe-crm.veevavault.com/ui/#object/email_activity__v/V8C00000004I028", "EN-002111032")</f>
        <v>EN-002111032</v>
      </c>
    </row>
    <row r="4948" spans="1:15" ht="16" x14ac:dyDescent="0.2">
      <c r="A4948" s="26"/>
      <c r="B4948" s="26"/>
      <c r="C4948" s="26"/>
      <c r="D4948" s="26"/>
      <c r="E4948" s="26"/>
      <c r="F4948" s="26"/>
      <c r="G4948" s="26"/>
      <c r="H4948" s="26"/>
      <c r="I4948" s="26"/>
      <c r="J4948" s="26"/>
      <c r="K4948" s="26"/>
      <c r="L4948" s="26"/>
      <c r="M4948" s="26"/>
      <c r="N4948" s="26"/>
      <c r="O4948" s="14" t="str">
        <f>HYPERLINK("https://otsuka-europe-crm.veevavault.com/ui/#object/email_activity__v/V8C00000004I258", "EN-002111542")</f>
        <v>EN-002111542</v>
      </c>
    </row>
    <row r="4949" spans="1:15" ht="16" x14ac:dyDescent="0.2">
      <c r="A4949" s="19"/>
      <c r="B4949" s="19"/>
      <c r="C4949" s="19"/>
      <c r="D4949" s="19"/>
      <c r="E4949" s="19"/>
      <c r="F4949" s="19"/>
      <c r="G4949" s="19"/>
      <c r="H4949" s="19"/>
      <c r="I4949" s="19"/>
      <c r="J4949" s="19"/>
      <c r="K4949" s="19"/>
      <c r="L4949" s="19"/>
      <c r="M4949" s="19"/>
      <c r="N4949" s="19"/>
      <c r="O4949" s="14" t="str">
        <f>HYPERLINK("https://otsuka-europe-crm.veevavault.com/ui/#object/email_activity__v/V8C00000004I259", "EN-002111543")</f>
        <v>EN-002111543</v>
      </c>
    </row>
    <row r="4950" spans="1:15" ht="32" x14ac:dyDescent="0.2">
      <c r="A4950" s="7" t="str">
        <f>HYPERLINK("https://otsuka-europe-crm.veevavault.com/ui/#object/account__v/V4TZ0000062PBNZ", "Rana Sahebpour-Lighvan")</f>
        <v>Rana Sahebpour-Lighvan</v>
      </c>
      <c r="B4950" s="7" t="str">
        <f>HYPERLINK("https://otsuka-europe-crm.veevavault.com/ui/#object/vcountry__v/VENZ000004SONFK", "GB")</f>
        <v>GB</v>
      </c>
      <c r="C4950" s="8" t="s">
        <v>41</v>
      </c>
      <c r="D4950" s="9" t="str">
        <f>HYPERLINK("https://otsuka-europe-crm.veevavault.com/ui/#object/approved_document__v/V5O00000001V001", "LDM DR P2P Invite 12-Nov-26 v2 [digital]")</f>
        <v>LDM DR P2P Invite 12-Nov-26 v2 [digital]</v>
      </c>
      <c r="E4950" s="10" t="str">
        <f>HYPERLINK("https://otsuka-europe-crm.veevavault.com/ui/#object/sent_email__v/VBL000000037314", "SE-001444030")</f>
        <v>SE-001444030</v>
      </c>
      <c r="F4950" s="11"/>
      <c r="G4950" s="12">
        <v>0</v>
      </c>
      <c r="H4950" s="12">
        <v>0</v>
      </c>
      <c r="I4950" s="12">
        <v>0</v>
      </c>
      <c r="J4950" s="11"/>
      <c r="K4950" s="12">
        <v>0</v>
      </c>
      <c r="L4950" s="10" t="str">
        <f>HYPERLINK("https://otsuka-europe-crm.veevavault.com/ui/#object/approved_document__v/V5O00000001V001", "LDM DR P2P Invite 12-Nov-26 v2 [digital]")</f>
        <v>LDM DR P2P Invite 12-Nov-26 v2 [digital]</v>
      </c>
      <c r="M4950" s="10" t="str">
        <f>HYPERLINK("mailto:draval@crm.otsuka-europe.com", "draval@crm.otsuka-europe.com")</f>
        <v>draval@crm.otsuka-europe.com</v>
      </c>
      <c r="N4950" s="13">
        <v>46217.664131944446</v>
      </c>
      <c r="O4950" s="14" t="str">
        <f>HYPERLINK("https://otsuka-europe-crm.veevavault.com/ui/#object/email_activity__v/V8C00000004A568", "EN-002106062")</f>
        <v>EN-002106062</v>
      </c>
    </row>
    <row r="4951" spans="1:15" ht="16" x14ac:dyDescent="0.2">
      <c r="A4951" s="18" t="str">
        <f>HYPERLINK("https://otsuka-europe-crm.veevavault.com/ui/#object/account__v/V4TZ04ASG6P00GS", "Anup Sakha")</f>
        <v>Anup Sakha</v>
      </c>
      <c r="B4951" s="18" t="str">
        <f>HYPERLINK("https://otsuka-europe-crm.veevavault.com/ui/#object/vcountry__v/VENZ000004SONFK", "GB")</f>
        <v>GB</v>
      </c>
      <c r="C4951" s="20" t="s">
        <v>41</v>
      </c>
      <c r="D4951" s="21" t="str">
        <f>HYPERLINK("https://otsuka-europe-crm.veevavault.com/ui/#object/approved_document__v/V5O00000001V001", "LDM DR P2P Invite 12-Nov-26 v2 [digital]")</f>
        <v>LDM DR P2P Invite 12-Nov-26 v2 [digital]</v>
      </c>
      <c r="E4951" s="22" t="str">
        <f>HYPERLINK("https://otsuka-europe-crm.veevavault.com/ui/#object/sent_email__v/VBL000000037315", "SE-001444031")</f>
        <v>SE-001444031</v>
      </c>
      <c r="F4951" s="25">
        <v>46217.766516203701</v>
      </c>
      <c r="G4951" s="24">
        <v>1</v>
      </c>
      <c r="H4951" s="24">
        <v>1</v>
      </c>
      <c r="I4951" s="24">
        <v>0</v>
      </c>
      <c r="J4951" s="23"/>
      <c r="K4951" s="24">
        <v>0</v>
      </c>
      <c r="L4951" s="22" t="str">
        <f>HYPERLINK("https://otsuka-europe-crm.veevavault.com/ui/#object/approved_document__v/V5O00000001V001", "LDM DR P2P Invite 12-Nov-26 v2 [digital]")</f>
        <v>LDM DR P2P Invite 12-Nov-26 v2 [digital]</v>
      </c>
      <c r="M4951" s="22" t="str">
        <f>HYPERLINK("mailto:draval@crm.otsuka-europe.com", "draval@crm.otsuka-europe.com")</f>
        <v>draval@crm.otsuka-europe.com</v>
      </c>
      <c r="N4951" s="25">
        <v>46217.664293981485</v>
      </c>
      <c r="O4951" s="14" t="str">
        <f>HYPERLINK("https://otsuka-europe-crm.veevavault.com/ui/#object/email_activity__v/V8C00000004A570", "EN-002106064")</f>
        <v>EN-002106064</v>
      </c>
    </row>
    <row r="4952" spans="1:15" ht="16" x14ac:dyDescent="0.2">
      <c r="A4952" s="19"/>
      <c r="B4952" s="19"/>
      <c r="C4952" s="19"/>
      <c r="D4952" s="19"/>
      <c r="E4952" s="19"/>
      <c r="F4952" s="19"/>
      <c r="G4952" s="19"/>
      <c r="H4952" s="19"/>
      <c r="I4952" s="19"/>
      <c r="J4952" s="19"/>
      <c r="K4952" s="19"/>
      <c r="L4952" s="19"/>
      <c r="M4952" s="19"/>
      <c r="N4952" s="19"/>
      <c r="O4952" s="14" t="str">
        <f>HYPERLINK("https://otsuka-europe-crm.veevavault.com/ui/#object/email_activity__v/V8C00000004A623", "EN-002106150")</f>
        <v>EN-002106150</v>
      </c>
    </row>
    <row r="4953" spans="1:15" ht="16" x14ac:dyDescent="0.2">
      <c r="A4953" s="18" t="str">
        <f>HYPERLINK("https://otsuka-europe-crm.veevavault.com/ui/#object/account__v/V4TZ0000062PAPE", "Matthew Sawa")</f>
        <v>Matthew Sawa</v>
      </c>
      <c r="B4953" s="18" t="str">
        <f>HYPERLINK("https://otsuka-europe-crm.veevavault.com/ui/#object/vcountry__v/VENZ000004SONFK", "GB")</f>
        <v>GB</v>
      </c>
      <c r="C4953" s="20" t="s">
        <v>41</v>
      </c>
      <c r="D4953" s="21" t="str">
        <f>HYPERLINK("https://otsuka-europe-crm.veevavault.com/ui/#object/approved_document__v/V5O00000001V001", "LDM DR P2P Invite 12-Nov-26 v2 [digital]")</f>
        <v>LDM DR P2P Invite 12-Nov-26 v2 [digital]</v>
      </c>
      <c r="E4953" s="22" t="str">
        <f>HYPERLINK("https://otsuka-europe-crm.veevavault.com/ui/#object/sent_email__v/VBL000000037316", "SE-001444032")</f>
        <v>SE-001444032</v>
      </c>
      <c r="F4953" s="25">
        <v>46218.686469907407</v>
      </c>
      <c r="G4953" s="24">
        <v>1</v>
      </c>
      <c r="H4953" s="24">
        <v>1</v>
      </c>
      <c r="I4953" s="24">
        <v>0</v>
      </c>
      <c r="J4953" s="23"/>
      <c r="K4953" s="24">
        <v>0</v>
      </c>
      <c r="L4953" s="22" t="str">
        <f>HYPERLINK("https://otsuka-europe-crm.veevavault.com/ui/#object/approved_document__v/V5O00000001V001", "LDM DR P2P Invite 12-Nov-26 v2 [digital]")</f>
        <v>LDM DR P2P Invite 12-Nov-26 v2 [digital]</v>
      </c>
      <c r="M4953" s="22" t="str">
        <f>HYPERLINK("mailto:draval@crm.otsuka-europe.com", "draval@crm.otsuka-europe.com")</f>
        <v>draval@crm.otsuka-europe.com</v>
      </c>
      <c r="N4953" s="25">
        <v>46217.664444444446</v>
      </c>
      <c r="O4953" s="14" t="str">
        <f>HYPERLINK("https://otsuka-europe-crm.veevavault.com/ui/#object/email_activity__v/V8C00000004A571", "EN-002106065")</f>
        <v>EN-002106065</v>
      </c>
    </row>
    <row r="4954" spans="1:15" ht="16" x14ac:dyDescent="0.2">
      <c r="A4954" s="19"/>
      <c r="B4954" s="19"/>
      <c r="C4954" s="19"/>
      <c r="D4954" s="19"/>
      <c r="E4954" s="19"/>
      <c r="F4954" s="19"/>
      <c r="G4954" s="19"/>
      <c r="H4954" s="19"/>
      <c r="I4954" s="19"/>
      <c r="J4954" s="19"/>
      <c r="K4954" s="19"/>
      <c r="L4954" s="19"/>
      <c r="M4954" s="19"/>
      <c r="N4954" s="19"/>
      <c r="O4954" s="14" t="str">
        <f>HYPERLINK("https://otsuka-europe-crm.veevavault.com/ui/#object/email_activity__v/V8C00000004A795", "EN-002106485")</f>
        <v>EN-002106485</v>
      </c>
    </row>
    <row r="4955" spans="1:15" ht="32" x14ac:dyDescent="0.2">
      <c r="A4955" s="7" t="str">
        <f>HYPERLINK("https://otsuka-europe-crm.veevavault.com/ui/#object/account__v/V4TZ0000062PEFC", "Johanna Schipperheijn")</f>
        <v>Johanna Schipperheijn</v>
      </c>
      <c r="B4955" s="7" t="str">
        <f>HYPERLINK("https://otsuka-europe-crm.veevavault.com/ui/#object/vcountry__v/VENZ000004SONFK", "GB")</f>
        <v>GB</v>
      </c>
      <c r="C4955" s="8" t="s">
        <v>41</v>
      </c>
      <c r="D4955" s="9" t="str">
        <f>HYPERLINK("https://otsuka-europe-crm.veevavault.com/ui/#object/approved_document__v/V5O00000001V001", "LDM DR P2P Invite 12-Nov-26 v2 [digital]")</f>
        <v>LDM DR P2P Invite 12-Nov-26 v2 [digital]</v>
      </c>
      <c r="E4955" s="10" t="str">
        <f>HYPERLINK("https://otsuka-europe-crm.veevavault.com/ui/#object/sent_email__v/VBL000000037317", "SE-001444033")</f>
        <v>SE-001444033</v>
      </c>
      <c r="F4955" s="11"/>
      <c r="G4955" s="12">
        <v>0</v>
      </c>
      <c r="H4955" s="12">
        <v>0</v>
      </c>
      <c r="I4955" s="12">
        <v>0</v>
      </c>
      <c r="J4955" s="11"/>
      <c r="K4955" s="12">
        <v>0</v>
      </c>
      <c r="L4955" s="10" t="str">
        <f>HYPERLINK("https://otsuka-europe-crm.veevavault.com/ui/#object/approved_document__v/V5O00000001V001", "LDM DR P2P Invite 12-Nov-26 v2 [digital]")</f>
        <v>LDM DR P2P Invite 12-Nov-26 v2 [digital]</v>
      </c>
      <c r="M4955" s="10" t="str">
        <f>HYPERLINK("mailto:draval@crm.otsuka-europe.com", "draval@crm.otsuka-europe.com")</f>
        <v>draval@crm.otsuka-europe.com</v>
      </c>
      <c r="N4955" s="13">
        <v>46217.664629629631</v>
      </c>
      <c r="O4955" s="14" t="str">
        <f>HYPERLINK("https://otsuka-europe-crm.veevavault.com/ui/#object/email_activity__v/V8C00000004A572", "EN-002106066")</f>
        <v>EN-002106066</v>
      </c>
    </row>
    <row r="4956" spans="1:15" ht="16" x14ac:dyDescent="0.2">
      <c r="A4956" s="18" t="str">
        <f>HYPERLINK("https://otsuka-europe-crm.veevavault.com/ui/#object/account__v/V4TZ04ASGETC09K", "Andrew Sedra")</f>
        <v>Andrew Sedra</v>
      </c>
      <c r="B4956" s="18" t="str">
        <f>HYPERLINK("https://otsuka-europe-crm.veevavault.com/ui/#object/vcountry__v/VENZ000004SONFK", "GB")</f>
        <v>GB</v>
      </c>
      <c r="C4956" s="20" t="s">
        <v>41</v>
      </c>
      <c r="D4956" s="21" t="str">
        <f>HYPERLINK("https://otsuka-europe-crm.veevavault.com/ui/#object/approved_document__v/V5O00000001V001", "LDM DR P2P Invite 12-Nov-26 v2 [digital]")</f>
        <v>LDM DR P2P Invite 12-Nov-26 v2 [digital]</v>
      </c>
      <c r="E4956" s="22" t="str">
        <f>HYPERLINK("https://otsuka-europe-crm.veevavault.com/ui/#object/sent_email__v/VBL000000037318", "SE-001444034")</f>
        <v>SE-001444034</v>
      </c>
      <c r="F4956" s="25">
        <v>46218.349988425929</v>
      </c>
      <c r="G4956" s="24">
        <v>1</v>
      </c>
      <c r="H4956" s="24">
        <v>2</v>
      </c>
      <c r="I4956" s="24">
        <v>0</v>
      </c>
      <c r="J4956" s="23"/>
      <c r="K4956" s="24">
        <v>0</v>
      </c>
      <c r="L4956" s="22" t="str">
        <f>HYPERLINK("https://otsuka-europe-crm.veevavault.com/ui/#object/approved_document__v/V5O00000001V001", "LDM DR P2P Invite 12-Nov-26 v2 [digital]")</f>
        <v>LDM DR P2P Invite 12-Nov-26 v2 [digital]</v>
      </c>
      <c r="M4956" s="22" t="str">
        <f>HYPERLINK("mailto:draval@crm.otsuka-europe.com", "draval@crm.otsuka-europe.com")</f>
        <v>draval@crm.otsuka-europe.com</v>
      </c>
      <c r="N4956" s="25">
        <v>46217.664722222224</v>
      </c>
      <c r="O4956" s="14" t="str">
        <f>HYPERLINK("https://otsuka-europe-crm.veevavault.com/ui/#object/email_activity__v/V8C00000004A574", "EN-002106068")</f>
        <v>EN-002106068</v>
      </c>
    </row>
    <row r="4957" spans="1:15" ht="16" x14ac:dyDescent="0.2">
      <c r="A4957" s="26"/>
      <c r="B4957" s="26"/>
      <c r="C4957" s="26"/>
      <c r="D4957" s="26"/>
      <c r="E4957" s="26"/>
      <c r="F4957" s="26"/>
      <c r="G4957" s="26"/>
      <c r="H4957" s="26"/>
      <c r="I4957" s="26"/>
      <c r="J4957" s="26"/>
      <c r="K4957" s="26"/>
      <c r="L4957" s="26"/>
      <c r="M4957" s="26"/>
      <c r="N4957" s="26"/>
      <c r="O4957" s="14" t="str">
        <f>HYPERLINK("https://otsuka-europe-crm.veevavault.com/ui/#object/email_activity__v/V8C00000004A651", "EN-002106216")</f>
        <v>EN-002106216</v>
      </c>
    </row>
    <row r="4958" spans="1:15" ht="16" x14ac:dyDescent="0.2">
      <c r="A4958" s="19"/>
      <c r="B4958" s="19"/>
      <c r="C4958" s="19"/>
      <c r="D4958" s="19"/>
      <c r="E4958" s="19"/>
      <c r="F4958" s="19"/>
      <c r="G4958" s="19"/>
      <c r="H4958" s="19"/>
      <c r="I4958" s="19"/>
      <c r="J4958" s="19"/>
      <c r="K4958" s="19"/>
      <c r="L4958" s="19"/>
      <c r="M4958" s="19"/>
      <c r="N4958" s="19"/>
      <c r="O4958" s="14" t="str">
        <f>HYPERLINK("https://otsuka-europe-crm.veevavault.com/ui/#object/email_activity__v/V8C00000004A652", "EN-002106217")</f>
        <v>EN-002106217</v>
      </c>
    </row>
    <row r="4959" spans="1:15" ht="16" x14ac:dyDescent="0.2">
      <c r="A4959" s="18" t="str">
        <f>HYPERLINK("https://otsuka-europe-crm.veevavault.com/ui/#object/account__v/V4TZ025E85JSC1F", "Rohin Sharma")</f>
        <v>Rohin Sharma</v>
      </c>
      <c r="B4959" s="18" t="str">
        <f>HYPERLINK("https://otsuka-europe-crm.veevavault.com/ui/#object/vcountry__v/VENZ000004SONFK", "GB")</f>
        <v>GB</v>
      </c>
      <c r="C4959" s="20" t="s">
        <v>41</v>
      </c>
      <c r="D4959" s="21" t="str">
        <f>HYPERLINK("https://otsuka-europe-crm.veevavault.com/ui/#object/approved_document__v/V5O00000001V001", "LDM DR P2P Invite 12-Nov-26 v2 [digital]")</f>
        <v>LDM DR P2P Invite 12-Nov-26 v2 [digital]</v>
      </c>
      <c r="E4959" s="22" t="str">
        <f>HYPERLINK("https://otsuka-europe-crm.veevavault.com/ui/#object/sent_email__v/VBL000000037319", "SE-001444035")</f>
        <v>SE-001444035</v>
      </c>
      <c r="F4959" s="25">
        <v>46217.749872685185</v>
      </c>
      <c r="G4959" s="24">
        <v>1</v>
      </c>
      <c r="H4959" s="24">
        <v>2</v>
      </c>
      <c r="I4959" s="24">
        <v>0</v>
      </c>
      <c r="J4959" s="23"/>
      <c r="K4959" s="24">
        <v>0</v>
      </c>
      <c r="L4959" s="22" t="str">
        <f>HYPERLINK("https://otsuka-europe-crm.veevavault.com/ui/#object/approved_document__v/V5O00000001V001", "LDM DR P2P Invite 12-Nov-26 v2 [digital]")</f>
        <v>LDM DR P2P Invite 12-Nov-26 v2 [digital]</v>
      </c>
      <c r="M4959" s="22" t="str">
        <f>HYPERLINK("mailto:draval@crm.otsuka-europe.com", "draval@crm.otsuka-europe.com")</f>
        <v>draval@crm.otsuka-europe.com</v>
      </c>
      <c r="N4959" s="25">
        <v>46217.664976851855</v>
      </c>
      <c r="O4959" s="14" t="str">
        <f>HYPERLINK("https://otsuka-europe-crm.veevavault.com/ui/#object/email_activity__v/V8C00000004A576", "EN-002106070")</f>
        <v>EN-002106070</v>
      </c>
    </row>
    <row r="4960" spans="1:15" ht="16" x14ac:dyDescent="0.2">
      <c r="A4960" s="26"/>
      <c r="B4960" s="26"/>
      <c r="C4960" s="26"/>
      <c r="D4960" s="26"/>
      <c r="E4960" s="26"/>
      <c r="F4960" s="26"/>
      <c r="G4960" s="26"/>
      <c r="H4960" s="26"/>
      <c r="I4960" s="26"/>
      <c r="J4960" s="26"/>
      <c r="K4960" s="26"/>
      <c r="L4960" s="26"/>
      <c r="M4960" s="26"/>
      <c r="N4960" s="26"/>
      <c r="O4960" s="14" t="str">
        <f>HYPERLINK("https://otsuka-europe-crm.veevavault.com/ui/#object/email_activity__v/V8C00000004A621", "EN-002106147")</f>
        <v>EN-002106147</v>
      </c>
    </row>
    <row r="4961" spans="1:15" ht="16" x14ac:dyDescent="0.2">
      <c r="A4961" s="19"/>
      <c r="B4961" s="19"/>
      <c r="C4961" s="19"/>
      <c r="D4961" s="19"/>
      <c r="E4961" s="19"/>
      <c r="F4961" s="19"/>
      <c r="G4961" s="19"/>
      <c r="H4961" s="19"/>
      <c r="I4961" s="19"/>
      <c r="J4961" s="19"/>
      <c r="K4961" s="19"/>
      <c r="L4961" s="19"/>
      <c r="M4961" s="19"/>
      <c r="N4961" s="19"/>
      <c r="O4961" s="14" t="str">
        <f>HYPERLINK("https://otsuka-europe-crm.veevavault.com/ui/#object/email_activity__v/V8C00000004A622", "EN-002106148")</f>
        <v>EN-002106148</v>
      </c>
    </row>
    <row r="4962" spans="1:15" ht="16" x14ac:dyDescent="0.2">
      <c r="A4962" s="18" t="str">
        <f>HYPERLINK("https://otsuka-europe-crm.veevavault.com/ui/#object/account__v/V4TZ0000062PC1U", "Jagdish Sidhu")</f>
        <v>Jagdish Sidhu</v>
      </c>
      <c r="B4962" s="18" t="str">
        <f>HYPERLINK("https://otsuka-europe-crm.veevavault.com/ui/#object/vcountry__v/VENZ000004SONFK", "GB")</f>
        <v>GB</v>
      </c>
      <c r="C4962" s="20" t="s">
        <v>41</v>
      </c>
      <c r="D4962" s="21" t="str">
        <f>HYPERLINK("https://otsuka-europe-crm.veevavault.com/ui/#object/approved_document__v/V5O00000001V001", "LDM DR P2P Invite 12-Nov-26 v2 [digital]")</f>
        <v>LDM DR P2P Invite 12-Nov-26 v2 [digital]</v>
      </c>
      <c r="E4962" s="22" t="str">
        <f>HYPERLINK("https://otsuka-europe-crm.veevavault.com/ui/#object/sent_email__v/VBL000000037320", "SE-001444036")</f>
        <v>SE-001444036</v>
      </c>
      <c r="F4962" s="25">
        <v>46217.687268518515</v>
      </c>
      <c r="G4962" s="24">
        <v>1</v>
      </c>
      <c r="H4962" s="24">
        <v>3</v>
      </c>
      <c r="I4962" s="24">
        <v>0</v>
      </c>
      <c r="J4962" s="23"/>
      <c r="K4962" s="24">
        <v>0</v>
      </c>
      <c r="L4962" s="22" t="str">
        <f>HYPERLINK("https://otsuka-europe-crm.veevavault.com/ui/#object/approved_document__v/V5O00000001V001", "LDM DR P2P Invite 12-Nov-26 v2 [digital]")</f>
        <v>LDM DR P2P Invite 12-Nov-26 v2 [digital]</v>
      </c>
      <c r="M4962" s="22" t="str">
        <f>HYPERLINK("mailto:draval@crm.otsuka-europe.com", "draval@crm.otsuka-europe.com")</f>
        <v>draval@crm.otsuka-europe.com</v>
      </c>
      <c r="N4962" s="25">
        <v>46217.665034722224</v>
      </c>
      <c r="O4962" s="14" t="str">
        <f>HYPERLINK("https://otsuka-europe-crm.veevavault.com/ui/#object/email_activity__v/V8C000000049629", "EN-002106073")</f>
        <v>EN-002106073</v>
      </c>
    </row>
    <row r="4963" spans="1:15" ht="16" x14ac:dyDescent="0.2">
      <c r="A4963" s="26"/>
      <c r="B4963" s="26"/>
      <c r="C4963" s="26"/>
      <c r="D4963" s="26"/>
      <c r="E4963" s="26"/>
      <c r="F4963" s="26"/>
      <c r="G4963" s="26"/>
      <c r="H4963" s="26"/>
      <c r="I4963" s="26"/>
      <c r="J4963" s="26"/>
      <c r="K4963" s="26"/>
      <c r="L4963" s="26"/>
      <c r="M4963" s="26"/>
      <c r="N4963" s="26"/>
      <c r="O4963" s="14" t="str">
        <f>HYPERLINK("https://otsuka-europe-crm.veevavault.com/ui/#object/email_activity__v/V8C00000004A575", "EN-002106069")</f>
        <v>EN-002106069</v>
      </c>
    </row>
    <row r="4964" spans="1:15" ht="16" x14ac:dyDescent="0.2">
      <c r="A4964" s="26"/>
      <c r="B4964" s="26"/>
      <c r="C4964" s="26"/>
      <c r="D4964" s="26"/>
      <c r="E4964" s="26"/>
      <c r="F4964" s="26"/>
      <c r="G4964" s="26"/>
      <c r="H4964" s="26"/>
      <c r="I4964" s="26"/>
      <c r="J4964" s="26"/>
      <c r="K4964" s="26"/>
      <c r="L4964" s="26"/>
      <c r="M4964" s="26"/>
      <c r="N4964" s="26"/>
      <c r="O4964" s="14" t="str">
        <f>HYPERLINK("https://otsuka-europe-crm.veevavault.com/ui/#object/email_activity__v/V8C00000004A578", "EN-002106072")</f>
        <v>EN-002106072</v>
      </c>
    </row>
    <row r="4965" spans="1:15" ht="16" x14ac:dyDescent="0.2">
      <c r="A4965" s="19"/>
      <c r="B4965" s="19"/>
      <c r="C4965" s="19"/>
      <c r="D4965" s="19"/>
      <c r="E4965" s="19"/>
      <c r="F4965" s="19"/>
      <c r="G4965" s="19"/>
      <c r="H4965" s="19"/>
      <c r="I4965" s="19"/>
      <c r="J4965" s="19"/>
      <c r="K4965" s="19"/>
      <c r="L4965" s="19"/>
      <c r="M4965" s="19"/>
      <c r="N4965" s="19"/>
      <c r="O4965" s="14" t="str">
        <f>HYPERLINK("https://otsuka-europe-crm.veevavault.com/ui/#object/email_activity__v/V8C00000004A607", "EN-002106118")</f>
        <v>EN-002106118</v>
      </c>
    </row>
    <row r="4966" spans="1:15" ht="16" x14ac:dyDescent="0.2">
      <c r="A4966" s="18" t="str">
        <f>HYPERLINK("https://otsuka-europe-crm.veevavault.com/ui/#object/account__v/V4TZ06G6OBI5WC2", "Felcy Silveira")</f>
        <v>Felcy Silveira</v>
      </c>
      <c r="B4966" s="18" t="str">
        <f>HYPERLINK("https://otsuka-europe-crm.veevavault.com/ui/#object/vcountry__v/VENZ000004SONFK", "GB")</f>
        <v>GB</v>
      </c>
      <c r="C4966" s="20" t="s">
        <v>41</v>
      </c>
      <c r="D4966" s="21" t="str">
        <f>HYPERLINK("https://otsuka-europe-crm.veevavault.com/ui/#object/approved_document__v/V5O00000001V001", "LDM DR P2P Invite 12-Nov-26 v2 [digital]")</f>
        <v>LDM DR P2P Invite 12-Nov-26 v2 [digital]</v>
      </c>
      <c r="E4966" s="22" t="str">
        <f>HYPERLINK("https://otsuka-europe-crm.veevavault.com/ui/#object/sent_email__v/VBL000000038228", "SE-001444037")</f>
        <v>SE-001444037</v>
      </c>
      <c r="F4966" s="25">
        <v>46217.686412037037</v>
      </c>
      <c r="G4966" s="24">
        <v>1</v>
      </c>
      <c r="H4966" s="24">
        <v>1</v>
      </c>
      <c r="I4966" s="24">
        <v>0</v>
      </c>
      <c r="J4966" s="23"/>
      <c r="K4966" s="24">
        <v>0</v>
      </c>
      <c r="L4966" s="22" t="str">
        <f>HYPERLINK("https://otsuka-europe-crm.veevavault.com/ui/#object/approved_document__v/V5O00000001V001", "LDM DR P2P Invite 12-Nov-26 v2 [digital]")</f>
        <v>LDM DR P2P Invite 12-Nov-26 v2 [digital]</v>
      </c>
      <c r="M4966" s="22" t="str">
        <f>HYPERLINK("mailto:draval@crm.otsuka-europe.com", "draval@crm.otsuka-europe.com")</f>
        <v>draval@crm.otsuka-europe.com</v>
      </c>
      <c r="N4966" s="25">
        <v>46217.668009259258</v>
      </c>
      <c r="O4966" s="14" t="str">
        <f>HYPERLINK("https://otsuka-europe-crm.veevavault.com/ui/#object/email_activity__v/V8C00000004A579", "EN-002106074")</f>
        <v>EN-002106074</v>
      </c>
    </row>
    <row r="4967" spans="1:15" ht="16" x14ac:dyDescent="0.2">
      <c r="A4967" s="19"/>
      <c r="B4967" s="19"/>
      <c r="C4967" s="19"/>
      <c r="D4967" s="19"/>
      <c r="E4967" s="19"/>
      <c r="F4967" s="19"/>
      <c r="G4967" s="19"/>
      <c r="H4967" s="19"/>
      <c r="I4967" s="19"/>
      <c r="J4967" s="19"/>
      <c r="K4967" s="19"/>
      <c r="L4967" s="19"/>
      <c r="M4967" s="19"/>
      <c r="N4967" s="19"/>
      <c r="O4967" s="14" t="str">
        <f>HYPERLINK("https://otsuka-europe-crm.veevavault.com/ui/#object/email_activity__v/V8C00000004A606", "EN-002106117")</f>
        <v>EN-002106117</v>
      </c>
    </row>
    <row r="4968" spans="1:15" ht="16" x14ac:dyDescent="0.2">
      <c r="A4968" s="18" t="str">
        <f>HYPERLINK("https://otsuka-europe-crm.veevavault.com/ui/#object/account__v/V4TZ0000062PIFF", "Mala Singh")</f>
        <v>Mala Singh</v>
      </c>
      <c r="B4968" s="18" t="str">
        <f>HYPERLINK("https://otsuka-europe-crm.veevavault.com/ui/#object/vcountry__v/VENZ000004SONFK", "GB")</f>
        <v>GB</v>
      </c>
      <c r="C4968" s="20" t="s">
        <v>41</v>
      </c>
      <c r="D4968" s="21" t="str">
        <f>HYPERLINK("https://otsuka-europe-crm.veevavault.com/ui/#object/approved_document__v/V5O00000001V001", "LDM DR P2P Invite 12-Nov-26 v2 [digital]")</f>
        <v>LDM DR P2P Invite 12-Nov-26 v2 [digital]</v>
      </c>
      <c r="E4968" s="22" t="str">
        <f>HYPERLINK("https://otsuka-europe-crm.veevavault.com/ui/#object/sent_email__v/VBL000000038229", "SE-001444038")</f>
        <v>SE-001444038</v>
      </c>
      <c r="F4968" s="25">
        <v>46217.706331018519</v>
      </c>
      <c r="G4968" s="24">
        <v>1</v>
      </c>
      <c r="H4968" s="24">
        <v>1</v>
      </c>
      <c r="I4968" s="24">
        <v>0</v>
      </c>
      <c r="J4968" s="23"/>
      <c r="K4968" s="24">
        <v>0</v>
      </c>
      <c r="L4968" s="22" t="str">
        <f>HYPERLINK("https://otsuka-europe-crm.veevavault.com/ui/#object/approved_document__v/V5O00000001V001", "LDM DR P2P Invite 12-Nov-26 v2 [digital]")</f>
        <v>LDM DR P2P Invite 12-Nov-26 v2 [digital]</v>
      </c>
      <c r="M4968" s="22" t="str">
        <f>HYPERLINK("mailto:draval@crm.otsuka-europe.com", "draval@crm.otsuka-europe.com")</f>
        <v>draval@crm.otsuka-europe.com</v>
      </c>
      <c r="N4968" s="25">
        <v>46217.66814814815</v>
      </c>
      <c r="O4968" s="14" t="str">
        <f>HYPERLINK("https://otsuka-europe-crm.veevavault.com/ui/#object/email_activity__v/V8C00000004A580", "EN-002106075")</f>
        <v>EN-002106075</v>
      </c>
    </row>
    <row r="4969" spans="1:15" ht="16" x14ac:dyDescent="0.2">
      <c r="A4969" s="19"/>
      <c r="B4969" s="19"/>
      <c r="C4969" s="19"/>
      <c r="D4969" s="19"/>
      <c r="E4969" s="19"/>
      <c r="F4969" s="19"/>
      <c r="G4969" s="19"/>
      <c r="H4969" s="19"/>
      <c r="I4969" s="19"/>
      <c r="J4969" s="19"/>
      <c r="K4969" s="19"/>
      <c r="L4969" s="19"/>
      <c r="M4969" s="19"/>
      <c r="N4969" s="19"/>
      <c r="O4969" s="14" t="str">
        <f>HYPERLINK("https://otsuka-europe-crm.veevavault.com/ui/#object/email_activity__v/V8C00000004A609", "EN-002106124")</f>
        <v>EN-002106124</v>
      </c>
    </row>
    <row r="4970" spans="1:15" ht="16" x14ac:dyDescent="0.2">
      <c r="A4970" s="18" t="str">
        <f>HYPERLINK("https://otsuka-europe-crm.veevavault.com/ui/#object/account__v/V4TZ0000062PQ8C", "Logavadee Soobrayen")</f>
        <v>Logavadee Soobrayen</v>
      </c>
      <c r="B4970" s="18" t="str">
        <f>HYPERLINK("https://otsuka-europe-crm.veevavault.com/ui/#object/vcountry__v/VENZ000004SONFK", "GB")</f>
        <v>GB</v>
      </c>
      <c r="C4970" s="20" t="s">
        <v>41</v>
      </c>
      <c r="D4970" s="21" t="str">
        <f>HYPERLINK("https://otsuka-europe-crm.veevavault.com/ui/#object/approved_document__v/V5O00000001V001", "LDM DR P2P Invite 12-Nov-26 v2 [digital]")</f>
        <v>LDM DR P2P Invite 12-Nov-26 v2 [digital]</v>
      </c>
      <c r="E4970" s="22" t="str">
        <f>HYPERLINK("https://otsuka-europe-crm.veevavault.com/ui/#object/sent_email__v/VBL000000038230", "SE-001444039")</f>
        <v>SE-001444039</v>
      </c>
      <c r="F4970" s="25">
        <v>46217.676770833335</v>
      </c>
      <c r="G4970" s="24">
        <v>1</v>
      </c>
      <c r="H4970" s="24">
        <v>1</v>
      </c>
      <c r="I4970" s="24">
        <v>0</v>
      </c>
      <c r="J4970" s="23"/>
      <c r="K4970" s="24">
        <v>0</v>
      </c>
      <c r="L4970" s="22" t="str">
        <f>HYPERLINK("https://otsuka-europe-crm.veevavault.com/ui/#object/approved_document__v/V5O00000001V001", "LDM DR P2P Invite 12-Nov-26 v2 [digital]")</f>
        <v>LDM DR P2P Invite 12-Nov-26 v2 [digital]</v>
      </c>
      <c r="M4970" s="22" t="str">
        <f>HYPERLINK("mailto:draval@crm.otsuka-europe.com", "draval@crm.otsuka-europe.com")</f>
        <v>draval@crm.otsuka-europe.com</v>
      </c>
      <c r="N4970" s="25">
        <v>46217.668333333335</v>
      </c>
      <c r="O4970" s="14" t="str">
        <f>HYPERLINK("https://otsuka-europe-crm.veevavault.com/ui/#object/email_activity__v/V8C000000049639", "EN-002106107")</f>
        <v>EN-002106107</v>
      </c>
    </row>
    <row r="4971" spans="1:15" ht="16" x14ac:dyDescent="0.2">
      <c r="A4971" s="19"/>
      <c r="B4971" s="19"/>
      <c r="C4971" s="19"/>
      <c r="D4971" s="19"/>
      <c r="E4971" s="19"/>
      <c r="F4971" s="19"/>
      <c r="G4971" s="19"/>
      <c r="H4971" s="19"/>
      <c r="I4971" s="19"/>
      <c r="J4971" s="19"/>
      <c r="K4971" s="19"/>
      <c r="L4971" s="19"/>
      <c r="M4971" s="19"/>
      <c r="N4971" s="19"/>
      <c r="O4971" s="14" t="str">
        <f>HYPERLINK("https://otsuka-europe-crm.veevavault.com/ui/#object/email_activity__v/V8C00000004A581", "EN-002106076")</f>
        <v>EN-002106076</v>
      </c>
    </row>
    <row r="4972" spans="1:15" ht="32" x14ac:dyDescent="0.2">
      <c r="A4972" s="7" t="str">
        <f>HYPERLINK("https://otsuka-europe-crm.veevavault.com/ui/#object/account__v/V4TZ0000062PB2J", "Sucharita Sriranjan")</f>
        <v>Sucharita Sriranjan</v>
      </c>
      <c r="B4972" s="7" t="str">
        <f>HYPERLINK("https://otsuka-europe-crm.veevavault.com/ui/#object/vcountry__v/VENZ000004SONFK", "GB")</f>
        <v>GB</v>
      </c>
      <c r="C4972" s="8" t="s">
        <v>41</v>
      </c>
      <c r="D4972" s="9" t="str">
        <f>HYPERLINK("https://otsuka-europe-crm.veevavault.com/ui/#object/approved_document__v/V5O00000001V001", "LDM DR P2P Invite 12-Nov-26 v2 [digital]")</f>
        <v>LDM DR P2P Invite 12-Nov-26 v2 [digital]</v>
      </c>
      <c r="E4972" s="10" t="str">
        <f>HYPERLINK("https://otsuka-europe-crm.veevavault.com/ui/#object/sent_email__v/VBL000000038231", "SE-001444040")</f>
        <v>SE-001444040</v>
      </c>
      <c r="F4972" s="11"/>
      <c r="G4972" s="12">
        <v>0</v>
      </c>
      <c r="H4972" s="12">
        <v>0</v>
      </c>
      <c r="I4972" s="12">
        <v>0</v>
      </c>
      <c r="J4972" s="11"/>
      <c r="K4972" s="12">
        <v>0</v>
      </c>
      <c r="L4972" s="10" t="str">
        <f>HYPERLINK("https://otsuka-europe-crm.veevavault.com/ui/#object/approved_document__v/V5O00000001V001", "LDM DR P2P Invite 12-Nov-26 v2 [digital]")</f>
        <v>LDM DR P2P Invite 12-Nov-26 v2 [digital]</v>
      </c>
      <c r="M4972" s="10" t="str">
        <f>HYPERLINK("mailto:draval@crm.otsuka-europe.com", "draval@crm.otsuka-europe.com")</f>
        <v>draval@crm.otsuka-europe.com</v>
      </c>
      <c r="N4972" s="13">
        <v>46217.668506944443</v>
      </c>
      <c r="O4972" s="14" t="str">
        <f>HYPERLINK("https://otsuka-europe-crm.veevavault.com/ui/#object/email_activity__v/V8C00000004A582", "EN-002106077")</f>
        <v>EN-002106077</v>
      </c>
    </row>
    <row r="4973" spans="1:15" ht="32" x14ac:dyDescent="0.2">
      <c r="A4973" s="7" t="str">
        <f>HYPERLINK("https://otsuka-europe-crm.veevavault.com/ui/#object/account__v/V4TZ025E876H154", "Zurima Toloza Diaz")</f>
        <v>Zurima Toloza Diaz</v>
      </c>
      <c r="B4973" s="7" t="str">
        <f>HYPERLINK("https://otsuka-europe-crm.veevavault.com/ui/#object/vcountry__v/VENZ000004SONFK", "GB")</f>
        <v>GB</v>
      </c>
      <c r="C4973" s="8" t="s">
        <v>41</v>
      </c>
      <c r="D4973" s="9" t="str">
        <f>HYPERLINK("https://otsuka-europe-crm.veevavault.com/ui/#object/approved_document__v/V5O00000001V001", "LDM DR P2P Invite 12-Nov-26 v2 [digital]")</f>
        <v>LDM DR P2P Invite 12-Nov-26 v2 [digital]</v>
      </c>
      <c r="E4973" s="10" t="str">
        <f>HYPERLINK("https://otsuka-europe-crm.veevavault.com/ui/#object/sent_email__v/VBL000000038232", "SE-001444041")</f>
        <v>SE-001444041</v>
      </c>
      <c r="F4973" s="11"/>
      <c r="G4973" s="12">
        <v>0</v>
      </c>
      <c r="H4973" s="12">
        <v>0</v>
      </c>
      <c r="I4973" s="12">
        <v>0</v>
      </c>
      <c r="J4973" s="11"/>
      <c r="K4973" s="12">
        <v>0</v>
      </c>
      <c r="L4973" s="10" t="str">
        <f>HYPERLINK("https://otsuka-europe-crm.veevavault.com/ui/#object/approved_document__v/V5O00000001V001", "LDM DR P2P Invite 12-Nov-26 v2 [digital]")</f>
        <v>LDM DR P2P Invite 12-Nov-26 v2 [digital]</v>
      </c>
      <c r="M4973" s="10" t="str">
        <f>HYPERLINK("mailto:draval@crm.otsuka-europe.com", "draval@crm.otsuka-europe.com")</f>
        <v>draval@crm.otsuka-europe.com</v>
      </c>
      <c r="N4973" s="13">
        <v>46217.668981481482</v>
      </c>
      <c r="O4973" s="14" t="str">
        <f>HYPERLINK("https://otsuka-europe-crm.veevavault.com/ui/#object/email_activity__v/V8C000000049630", "EN-002106078")</f>
        <v>EN-002106078</v>
      </c>
    </row>
    <row r="4974" spans="1:15" ht="16" x14ac:dyDescent="0.2">
      <c r="A4974" s="18" t="str">
        <f>HYPERLINK("https://otsuka-europe-crm.veevavault.com/ui/#object/account__v/V4TZ04ASGDUAVUM", "Diana Toma")</f>
        <v>Diana Toma</v>
      </c>
      <c r="B4974" s="18" t="str">
        <f>HYPERLINK("https://otsuka-europe-crm.veevavault.com/ui/#object/vcountry__v/VENZ000004SONFK", "GB")</f>
        <v>GB</v>
      </c>
      <c r="C4974" s="20" t="s">
        <v>41</v>
      </c>
      <c r="D4974" s="21" t="str">
        <f>HYPERLINK("https://otsuka-europe-crm.veevavault.com/ui/#object/approved_document__v/V5O00000001V001", "LDM DR P2P Invite 12-Nov-26 v2 [digital]")</f>
        <v>LDM DR P2P Invite 12-Nov-26 v2 [digital]</v>
      </c>
      <c r="E4974" s="22" t="str">
        <f>HYPERLINK("https://otsuka-europe-crm.veevavault.com/ui/#object/sent_email__v/VBL000000038233", "SE-001444042")</f>
        <v>SE-001444042</v>
      </c>
      <c r="F4974" s="25">
        <v>46231.370335648149</v>
      </c>
      <c r="G4974" s="24">
        <v>1</v>
      </c>
      <c r="H4974" s="24">
        <v>8</v>
      </c>
      <c r="I4974" s="24">
        <v>0</v>
      </c>
      <c r="J4974" s="23"/>
      <c r="K4974" s="24">
        <v>0</v>
      </c>
      <c r="L4974" s="22" t="str">
        <f>HYPERLINK("https://otsuka-europe-crm.veevavault.com/ui/#object/approved_document__v/V5O00000001V001", "LDM DR P2P Invite 12-Nov-26 v2 [digital]")</f>
        <v>LDM DR P2P Invite 12-Nov-26 v2 [digital]</v>
      </c>
      <c r="M4974" s="22" t="str">
        <f>HYPERLINK("mailto:draval@crm.otsuka-europe.com", "draval@crm.otsuka-europe.com")</f>
        <v>draval@crm.otsuka-europe.com</v>
      </c>
      <c r="N4974" s="25">
        <v>46217.669050925928</v>
      </c>
      <c r="O4974" s="14" t="str">
        <f>HYPERLINK("https://otsuka-europe-crm.veevavault.com/ui/#object/email_activity__v/V8C000000049650", "EN-002106127")</f>
        <v>EN-002106127</v>
      </c>
    </row>
    <row r="4975" spans="1:15" ht="16" x14ac:dyDescent="0.2">
      <c r="A4975" s="26"/>
      <c r="B4975" s="26"/>
      <c r="C4975" s="26"/>
      <c r="D4975" s="26"/>
      <c r="E4975" s="26"/>
      <c r="F4975" s="26"/>
      <c r="G4975" s="26"/>
      <c r="H4975" s="26"/>
      <c r="I4975" s="26"/>
      <c r="J4975" s="26"/>
      <c r="K4975" s="26"/>
      <c r="L4975" s="26"/>
      <c r="M4975" s="26"/>
      <c r="N4975" s="26"/>
      <c r="O4975" s="14" t="str">
        <f>HYPERLINK("https://otsuka-europe-crm.veevavault.com/ui/#object/email_activity__v/V8C00000004A583", "EN-002106079")</f>
        <v>EN-002106079</v>
      </c>
    </row>
    <row r="4976" spans="1:15" ht="16" x14ac:dyDescent="0.2">
      <c r="A4976" s="26"/>
      <c r="B4976" s="26"/>
      <c r="C4976" s="26"/>
      <c r="D4976" s="26"/>
      <c r="E4976" s="26"/>
      <c r="F4976" s="26"/>
      <c r="G4976" s="26"/>
      <c r="H4976" s="26"/>
      <c r="I4976" s="26"/>
      <c r="J4976" s="26"/>
      <c r="K4976" s="26"/>
      <c r="L4976" s="26"/>
      <c r="M4976" s="26"/>
      <c r="N4976" s="26"/>
      <c r="O4976" s="14" t="str">
        <f>HYPERLINK("https://otsuka-europe-crm.veevavault.com/ui/#object/email_activity__v/V8C00000004A613", "EN-002106132")</f>
        <v>EN-002106132</v>
      </c>
    </row>
    <row r="4977" spans="1:15" ht="16" x14ac:dyDescent="0.2">
      <c r="A4977" s="26"/>
      <c r="B4977" s="26"/>
      <c r="C4977" s="26"/>
      <c r="D4977" s="26"/>
      <c r="E4977" s="26"/>
      <c r="F4977" s="26"/>
      <c r="G4977" s="26"/>
      <c r="H4977" s="26"/>
      <c r="I4977" s="26"/>
      <c r="J4977" s="26"/>
      <c r="K4977" s="26"/>
      <c r="L4977" s="26"/>
      <c r="M4977" s="26"/>
      <c r="N4977" s="26"/>
      <c r="O4977" s="14" t="str">
        <f>HYPERLINK("https://otsuka-europe-crm.veevavault.com/ui/#object/email_activity__v/V8C00000004D516", "EN-002109125")</f>
        <v>EN-002109125</v>
      </c>
    </row>
    <row r="4978" spans="1:15" ht="16" x14ac:dyDescent="0.2">
      <c r="A4978" s="26"/>
      <c r="B4978" s="26"/>
      <c r="C4978" s="26"/>
      <c r="D4978" s="26"/>
      <c r="E4978" s="26"/>
      <c r="F4978" s="26"/>
      <c r="G4978" s="26"/>
      <c r="H4978" s="26"/>
      <c r="I4978" s="26"/>
      <c r="J4978" s="26"/>
      <c r="K4978" s="26"/>
      <c r="L4978" s="26"/>
      <c r="M4978" s="26"/>
      <c r="N4978" s="26"/>
      <c r="O4978" s="14" t="str">
        <f>HYPERLINK("https://otsuka-europe-crm.veevavault.com/ui/#object/email_activity__v/V8C00000004E365", "EN-002109076")</f>
        <v>EN-002109076</v>
      </c>
    </row>
    <row r="4979" spans="1:15" ht="16" x14ac:dyDescent="0.2">
      <c r="A4979" s="26"/>
      <c r="B4979" s="26"/>
      <c r="C4979" s="26"/>
      <c r="D4979" s="26"/>
      <c r="E4979" s="26"/>
      <c r="F4979" s="26"/>
      <c r="G4979" s="26"/>
      <c r="H4979" s="26"/>
      <c r="I4979" s="26"/>
      <c r="J4979" s="26"/>
      <c r="K4979" s="26"/>
      <c r="L4979" s="26"/>
      <c r="M4979" s="26"/>
      <c r="N4979" s="26"/>
      <c r="O4979" s="14" t="str">
        <f>HYPERLINK("https://otsuka-europe-crm.veevavault.com/ui/#object/email_activity__v/V8C00000004E378", "EN-002109101")</f>
        <v>EN-002109101</v>
      </c>
    </row>
    <row r="4980" spans="1:15" ht="16" x14ac:dyDescent="0.2">
      <c r="A4980" s="26"/>
      <c r="B4980" s="26"/>
      <c r="C4980" s="26"/>
      <c r="D4980" s="26"/>
      <c r="E4980" s="26"/>
      <c r="F4980" s="26"/>
      <c r="G4980" s="26"/>
      <c r="H4980" s="26"/>
      <c r="I4980" s="26"/>
      <c r="J4980" s="26"/>
      <c r="K4980" s="26"/>
      <c r="L4980" s="26"/>
      <c r="M4980" s="26"/>
      <c r="N4980" s="26"/>
      <c r="O4980" s="14" t="str">
        <f>HYPERLINK("https://otsuka-europe-crm.veevavault.com/ui/#object/email_activity__v/V8C00000004E379", "EN-002109102")</f>
        <v>EN-002109102</v>
      </c>
    </row>
    <row r="4981" spans="1:15" ht="16" x14ac:dyDescent="0.2">
      <c r="A4981" s="26"/>
      <c r="B4981" s="26"/>
      <c r="C4981" s="26"/>
      <c r="D4981" s="26"/>
      <c r="E4981" s="26"/>
      <c r="F4981" s="26"/>
      <c r="G4981" s="26"/>
      <c r="H4981" s="26"/>
      <c r="I4981" s="26"/>
      <c r="J4981" s="26"/>
      <c r="K4981" s="26"/>
      <c r="L4981" s="26"/>
      <c r="M4981" s="26"/>
      <c r="N4981" s="26"/>
      <c r="O4981" s="14" t="str">
        <f>HYPERLINK("https://otsuka-europe-crm.veevavault.com/ui/#object/email_activity__v/V8C00000004E392", "EN-002109126")</f>
        <v>EN-002109126</v>
      </c>
    </row>
    <row r="4982" spans="1:15" ht="16" x14ac:dyDescent="0.2">
      <c r="A4982" s="19"/>
      <c r="B4982" s="19"/>
      <c r="C4982" s="19"/>
      <c r="D4982" s="19"/>
      <c r="E4982" s="19"/>
      <c r="F4982" s="19"/>
      <c r="G4982" s="19"/>
      <c r="H4982" s="19"/>
      <c r="I4982" s="19"/>
      <c r="J4982" s="19"/>
      <c r="K4982" s="19"/>
      <c r="L4982" s="19"/>
      <c r="M4982" s="19"/>
      <c r="N4982" s="19"/>
      <c r="O4982" s="14" t="str">
        <f>HYPERLINK("https://otsuka-europe-crm.veevavault.com/ui/#object/email_activity__v/V8C00000004E409", "EN-002109162")</f>
        <v>EN-002109162</v>
      </c>
    </row>
    <row r="4983" spans="1:15" ht="16" x14ac:dyDescent="0.2">
      <c r="A4983" s="18" t="str">
        <f>HYPERLINK("https://otsuka-europe-crm.veevavault.com/ui/#object/account__v/V4TZ0000062PIL8", "Animesh Tripathi")</f>
        <v>Animesh Tripathi</v>
      </c>
      <c r="B4983" s="18" t="str">
        <f>HYPERLINK("https://otsuka-europe-crm.veevavault.com/ui/#object/vcountry__v/VENZ000004SONFK", "GB")</f>
        <v>GB</v>
      </c>
      <c r="C4983" s="20" t="s">
        <v>41</v>
      </c>
      <c r="D4983" s="21" t="str">
        <f>HYPERLINK("https://otsuka-europe-crm.veevavault.com/ui/#object/approved_document__v/V5O00000001V001", "LDM DR P2P Invite 12-Nov-26 v2 [digital]")</f>
        <v>LDM DR P2P Invite 12-Nov-26 v2 [digital]</v>
      </c>
      <c r="E4983" s="22" t="str">
        <f>HYPERLINK("https://otsuka-europe-crm.veevavault.com/ui/#object/sent_email__v/VBL000000038234", "SE-001444043")</f>
        <v>SE-001444043</v>
      </c>
      <c r="F4983" s="25">
        <v>46226.657997685186</v>
      </c>
      <c r="G4983" s="24">
        <v>1</v>
      </c>
      <c r="H4983" s="24">
        <v>1</v>
      </c>
      <c r="I4983" s="24">
        <v>0</v>
      </c>
      <c r="J4983" s="23"/>
      <c r="K4983" s="24">
        <v>0</v>
      </c>
      <c r="L4983" s="22" t="str">
        <f>HYPERLINK("https://otsuka-europe-crm.veevavault.com/ui/#object/approved_document__v/V5O00000001V001", "LDM DR P2P Invite 12-Nov-26 v2 [digital]")</f>
        <v>LDM DR P2P Invite 12-Nov-26 v2 [digital]</v>
      </c>
      <c r="M4983" s="22" t="str">
        <f>HYPERLINK("mailto:draval@crm.otsuka-europe.com", "draval@crm.otsuka-europe.com")</f>
        <v>draval@crm.otsuka-europe.com</v>
      </c>
      <c r="N4983" s="25">
        <v>46217.669328703705</v>
      </c>
      <c r="O4983" s="14" t="str">
        <f>HYPERLINK("https://otsuka-europe-crm.veevavault.com/ui/#object/email_activity__v/V8C00000004A584", "EN-002106080")</f>
        <v>EN-002106080</v>
      </c>
    </row>
    <row r="4984" spans="1:15" ht="16" x14ac:dyDescent="0.2">
      <c r="A4984" s="19"/>
      <c r="B4984" s="19"/>
      <c r="C4984" s="19"/>
      <c r="D4984" s="19"/>
      <c r="E4984" s="19"/>
      <c r="F4984" s="19"/>
      <c r="G4984" s="19"/>
      <c r="H4984" s="19"/>
      <c r="I4984" s="19"/>
      <c r="J4984" s="19"/>
      <c r="K4984" s="19"/>
      <c r="L4984" s="19"/>
      <c r="M4984" s="19"/>
      <c r="N4984" s="19"/>
      <c r="O4984" s="14" t="str">
        <f>HYPERLINK("https://otsuka-europe-crm.veevavault.com/ui/#object/email_activity__v/V8C00000004B851", "EN-002108159")</f>
        <v>EN-002108159</v>
      </c>
    </row>
    <row r="4985" spans="1:15" ht="32" x14ac:dyDescent="0.2">
      <c r="A4985" s="7" t="str">
        <f>HYPERLINK("https://otsuka-europe-crm.veevavault.com/ui/#object/account__v/V4TZ0000062PIMD", "Adebisi Twins")</f>
        <v>Adebisi Twins</v>
      </c>
      <c r="B4985" s="7" t="str">
        <f>HYPERLINK("https://otsuka-europe-crm.veevavault.com/ui/#object/vcountry__v/VENZ000004SONFK", "GB")</f>
        <v>GB</v>
      </c>
      <c r="C4985" s="8" t="s">
        <v>41</v>
      </c>
      <c r="D4985" s="9" t="str">
        <f>HYPERLINK("https://otsuka-europe-crm.veevavault.com/ui/#object/approved_document__v/V5O00000001V001", "LDM DR P2P Invite 12-Nov-26 v2 [digital]")</f>
        <v>LDM DR P2P Invite 12-Nov-26 v2 [digital]</v>
      </c>
      <c r="E4985" s="10" t="str">
        <f>HYPERLINK("https://otsuka-europe-crm.veevavault.com/ui/#object/sent_email__v/VBL000000038235", "SE-001444044")</f>
        <v>SE-001444044</v>
      </c>
      <c r="F4985" s="11"/>
      <c r="G4985" s="12">
        <v>0</v>
      </c>
      <c r="H4985" s="12">
        <v>0</v>
      </c>
      <c r="I4985" s="12">
        <v>0</v>
      </c>
      <c r="J4985" s="11"/>
      <c r="K4985" s="12">
        <v>0</v>
      </c>
      <c r="L4985" s="10" t="str">
        <f>HYPERLINK("https://otsuka-europe-crm.veevavault.com/ui/#object/approved_document__v/V5O00000001V001", "LDM DR P2P Invite 12-Nov-26 v2 [digital]")</f>
        <v>LDM DR P2P Invite 12-Nov-26 v2 [digital]</v>
      </c>
      <c r="M4985" s="10" t="str">
        <f>HYPERLINK("mailto:draval@crm.otsuka-europe.com", "draval@crm.otsuka-europe.com")</f>
        <v>draval@crm.otsuka-europe.com</v>
      </c>
      <c r="N4985" s="13">
        <v>46217.669386574074</v>
      </c>
      <c r="O4985" s="14" t="str">
        <f>HYPERLINK("https://otsuka-europe-crm.veevavault.com/ui/#object/email_activity__v/V8C00000004A587", "EN-002106083")</f>
        <v>EN-002106083</v>
      </c>
    </row>
    <row r="4986" spans="1:15" ht="16" x14ac:dyDescent="0.2">
      <c r="A4986" s="18" t="str">
        <f>HYPERLINK("https://otsuka-europe-crm.veevavault.com/ui/#object/account__v/V4TZ04ASGGKMK6P", "Saam Uddin")</f>
        <v>Saam Uddin</v>
      </c>
      <c r="B4986" s="18" t="str">
        <f>HYPERLINK("https://otsuka-europe-crm.veevavault.com/ui/#object/vcountry__v/VENZ000004SONFK", "GB")</f>
        <v>GB</v>
      </c>
      <c r="C4986" s="20" t="s">
        <v>41</v>
      </c>
      <c r="D4986" s="21" t="str">
        <f>HYPERLINK("https://otsuka-europe-crm.veevavault.com/ui/#object/approved_document__v/V5O00000001V001", "LDM DR P2P Invite 12-Nov-26 v2 [digital]")</f>
        <v>LDM DR P2P Invite 12-Nov-26 v2 [digital]</v>
      </c>
      <c r="E4986" s="22" t="str">
        <f>HYPERLINK("https://otsuka-europe-crm.veevavault.com/ui/#object/sent_email__v/VBL000000038236", "SE-001444045")</f>
        <v>SE-001444045</v>
      </c>
      <c r="F4986" s="25">
        <v>46220.802164351851</v>
      </c>
      <c r="G4986" s="24">
        <v>1</v>
      </c>
      <c r="H4986" s="24">
        <v>1</v>
      </c>
      <c r="I4986" s="24">
        <v>0</v>
      </c>
      <c r="J4986" s="23"/>
      <c r="K4986" s="24">
        <v>0</v>
      </c>
      <c r="L4986" s="22" t="str">
        <f>HYPERLINK("https://otsuka-europe-crm.veevavault.com/ui/#object/approved_document__v/V5O00000001V001", "LDM DR P2P Invite 12-Nov-26 v2 [digital]")</f>
        <v>LDM DR P2P Invite 12-Nov-26 v2 [digital]</v>
      </c>
      <c r="M4986" s="22" t="str">
        <f>HYPERLINK("mailto:draval@crm.otsuka-europe.com", "draval@crm.otsuka-europe.com")</f>
        <v>draval@crm.otsuka-europe.com</v>
      </c>
      <c r="N4986" s="25">
        <v>46217.669594907406</v>
      </c>
      <c r="O4986" s="14" t="str">
        <f>HYPERLINK("https://otsuka-europe-crm.veevavault.com/ui/#object/email_activity__v/V8C00000004A585", "EN-002106081")</f>
        <v>EN-002106081</v>
      </c>
    </row>
    <row r="4987" spans="1:15" ht="16" x14ac:dyDescent="0.2">
      <c r="A4987" s="19"/>
      <c r="B4987" s="19"/>
      <c r="C4987" s="19"/>
      <c r="D4987" s="19"/>
      <c r="E4987" s="19"/>
      <c r="F4987" s="19"/>
      <c r="G4987" s="19"/>
      <c r="H4987" s="19"/>
      <c r="I4987" s="19"/>
      <c r="J4987" s="19"/>
      <c r="K4987" s="19"/>
      <c r="L4987" s="19"/>
      <c r="M4987" s="19"/>
      <c r="N4987" s="19"/>
      <c r="O4987" s="14" t="str">
        <f>HYPERLINK("https://otsuka-europe-crm.veevavault.com/ui/#object/email_activity__v/V8C00000004C055", "EN-002106848")</f>
        <v>EN-002106848</v>
      </c>
    </row>
    <row r="4988" spans="1:15" ht="16" x14ac:dyDescent="0.2">
      <c r="A4988" s="18" t="str">
        <f>HYPERLINK("https://otsuka-europe-crm.veevavault.com/ui/#object/account__v/V4TZ0000062PIOX", "Chinyere Ukpo")</f>
        <v>Chinyere Ukpo</v>
      </c>
      <c r="B4988" s="18" t="str">
        <f>HYPERLINK("https://otsuka-europe-crm.veevavault.com/ui/#object/vcountry__v/VENZ000004SONFK", "GB")</f>
        <v>GB</v>
      </c>
      <c r="C4988" s="20" t="s">
        <v>41</v>
      </c>
      <c r="D4988" s="21" t="str">
        <f>HYPERLINK("https://otsuka-europe-crm.veevavault.com/ui/#object/approved_document__v/V5O00000001V001", "LDM DR P2P Invite 12-Nov-26 v2 [digital]")</f>
        <v>LDM DR P2P Invite 12-Nov-26 v2 [digital]</v>
      </c>
      <c r="E4988" s="22" t="str">
        <f>HYPERLINK("https://otsuka-europe-crm.veevavault.com/ui/#object/sent_email__v/VBL000000038237", "SE-001444046")</f>
        <v>SE-001444046</v>
      </c>
      <c r="F4988" s="25">
        <v>46217.7106712963</v>
      </c>
      <c r="G4988" s="24">
        <v>1</v>
      </c>
      <c r="H4988" s="24">
        <v>1</v>
      </c>
      <c r="I4988" s="24">
        <v>0</v>
      </c>
      <c r="J4988" s="23"/>
      <c r="K4988" s="24">
        <v>0</v>
      </c>
      <c r="L4988" s="22" t="str">
        <f>HYPERLINK("https://otsuka-europe-crm.veevavault.com/ui/#object/approved_document__v/V5O00000001V001", "LDM DR P2P Invite 12-Nov-26 v2 [digital]")</f>
        <v>LDM DR P2P Invite 12-Nov-26 v2 [digital]</v>
      </c>
      <c r="M4988" s="22" t="str">
        <f>HYPERLINK("mailto:draval@crm.otsuka-europe.com", "draval@crm.otsuka-europe.com")</f>
        <v>draval@crm.otsuka-europe.com</v>
      </c>
      <c r="N4988" s="25">
        <v>46217.669652777775</v>
      </c>
      <c r="O4988" s="14" t="str">
        <f>HYPERLINK("https://otsuka-europe-crm.veevavault.com/ui/#object/email_activity__v/V8C000000049631", "EN-002106084")</f>
        <v>EN-002106084</v>
      </c>
    </row>
    <row r="4989" spans="1:15" ht="16" x14ac:dyDescent="0.2">
      <c r="A4989" s="19"/>
      <c r="B4989" s="19"/>
      <c r="C4989" s="19"/>
      <c r="D4989" s="19"/>
      <c r="E4989" s="19"/>
      <c r="F4989" s="19"/>
      <c r="G4989" s="19"/>
      <c r="H4989" s="19"/>
      <c r="I4989" s="19"/>
      <c r="J4989" s="19"/>
      <c r="K4989" s="19"/>
      <c r="L4989" s="19"/>
      <c r="M4989" s="19"/>
      <c r="N4989" s="19"/>
      <c r="O4989" s="14" t="str">
        <f>HYPERLINK("https://otsuka-europe-crm.veevavault.com/ui/#object/email_activity__v/V8C000000049653", "EN-002106130")</f>
        <v>EN-002106130</v>
      </c>
    </row>
    <row r="4990" spans="1:15" ht="32" x14ac:dyDescent="0.2">
      <c r="A4990" s="7" t="str">
        <f>HYPERLINK("https://otsuka-europe-crm.veevavault.com/ui/#object/account__v/V4TZ025E83RBVDX", "Uzochukwu Uwa")</f>
        <v>Uzochukwu Uwa</v>
      </c>
      <c r="B4990" s="7" t="str">
        <f>HYPERLINK("https://otsuka-europe-crm.veevavault.com/ui/#object/vcountry__v/VENZ000004SONFK", "GB")</f>
        <v>GB</v>
      </c>
      <c r="C4990" s="8" t="s">
        <v>41</v>
      </c>
      <c r="D4990" s="9" t="str">
        <f>HYPERLINK("https://otsuka-europe-crm.veevavault.com/ui/#object/approved_document__v/V5O00000001V001", "LDM DR P2P Invite 12-Nov-26 v2 [digital]")</f>
        <v>LDM DR P2P Invite 12-Nov-26 v2 [digital]</v>
      </c>
      <c r="E4990" s="10" t="str">
        <f>HYPERLINK("https://otsuka-europe-crm.veevavault.com/ui/#object/sent_email__v/VBL000000038238", "SE-001444047")</f>
        <v>SE-001444047</v>
      </c>
      <c r="F4990" s="11"/>
      <c r="G4990" s="12">
        <v>0</v>
      </c>
      <c r="H4990" s="12">
        <v>0</v>
      </c>
      <c r="I4990" s="12">
        <v>0</v>
      </c>
      <c r="J4990" s="11"/>
      <c r="K4990" s="12">
        <v>0</v>
      </c>
      <c r="L4990" s="10" t="str">
        <f>HYPERLINK("https://otsuka-europe-crm.veevavault.com/ui/#object/approved_document__v/V5O00000001V001", "LDM DR P2P Invite 12-Nov-26 v2 [digital]")</f>
        <v>LDM DR P2P Invite 12-Nov-26 v2 [digital]</v>
      </c>
      <c r="M4990" s="10" t="str">
        <f>HYPERLINK("mailto:draval@crm.otsuka-europe.com", "draval@crm.otsuka-europe.com")</f>
        <v>draval@crm.otsuka-europe.com</v>
      </c>
      <c r="N4990" s="13">
        <v>46217.669861111113</v>
      </c>
      <c r="O4990" s="14" t="str">
        <f>HYPERLINK("https://otsuka-europe-crm.veevavault.com/ui/#object/email_activity__v/V8C00000004A589", "EN-002106086")</f>
        <v>EN-002106086</v>
      </c>
    </row>
    <row r="4991" spans="1:15" ht="32" x14ac:dyDescent="0.2">
      <c r="A4991" s="7" t="str">
        <f>HYPERLINK("https://otsuka-europe-crm.veevavault.com/ui/#object/account__v/V4TZ0000062PIX2", "Sally Williams")</f>
        <v>Sally Williams</v>
      </c>
      <c r="B4991" s="7" t="str">
        <f>HYPERLINK("https://otsuka-europe-crm.veevavault.com/ui/#object/vcountry__v/VENZ000004SONFK", "GB")</f>
        <v>GB</v>
      </c>
      <c r="C4991" s="8" t="s">
        <v>41</v>
      </c>
      <c r="D4991" s="9" t="str">
        <f>HYPERLINK("https://otsuka-europe-crm.veevavault.com/ui/#object/approved_document__v/V5O00000001V001", "LDM DR P2P Invite 12-Nov-26 v2 [digital]")</f>
        <v>LDM DR P2P Invite 12-Nov-26 v2 [digital]</v>
      </c>
      <c r="E4991" s="10" t="str">
        <f>HYPERLINK("https://otsuka-europe-crm.veevavault.com/ui/#object/sent_email__v/VBL000000038239", "SE-001444048")</f>
        <v>SE-001444048</v>
      </c>
      <c r="F4991" s="11"/>
      <c r="G4991" s="12">
        <v>0</v>
      </c>
      <c r="H4991" s="12">
        <v>0</v>
      </c>
      <c r="I4991" s="12">
        <v>0</v>
      </c>
      <c r="J4991" s="11"/>
      <c r="K4991" s="12">
        <v>0</v>
      </c>
      <c r="L4991" s="10" t="str">
        <f>HYPERLINK("https://otsuka-europe-crm.veevavault.com/ui/#object/approved_document__v/V5O00000001V001", "LDM DR P2P Invite 12-Nov-26 v2 [digital]")</f>
        <v>LDM DR P2P Invite 12-Nov-26 v2 [digital]</v>
      </c>
      <c r="M4991" s="10" t="str">
        <f>HYPERLINK("mailto:draval@crm.otsuka-europe.com", "draval@crm.otsuka-europe.com")</f>
        <v>draval@crm.otsuka-europe.com</v>
      </c>
      <c r="N4991" s="13">
        <v>46217.669942129629</v>
      </c>
      <c r="O4991" s="14" t="str">
        <f>HYPERLINK("https://otsuka-europe-crm.veevavault.com/ui/#object/email_activity__v/V8C00000004A588", "EN-002106085")</f>
        <v>EN-002106085</v>
      </c>
    </row>
    <row r="4992" spans="1:15" ht="16" x14ac:dyDescent="0.2">
      <c r="A4992" s="18" t="str">
        <f>HYPERLINK("https://otsuka-europe-crm.veevavault.com/ui/#object/account__v/V4TZ0000062PJ0B", "Solomon Wong")</f>
        <v>Solomon Wong</v>
      </c>
      <c r="B4992" s="18" t="str">
        <f>HYPERLINK("https://otsuka-europe-crm.veevavault.com/ui/#object/vcountry__v/VENZ000004SONFK", "GB")</f>
        <v>GB</v>
      </c>
      <c r="C4992" s="20" t="s">
        <v>41</v>
      </c>
      <c r="D4992" s="21" t="str">
        <f>HYPERLINK("https://otsuka-europe-crm.veevavault.com/ui/#object/approved_document__v/V5O00000001V001", "LDM DR P2P Invite 12-Nov-26 v2 [digital]")</f>
        <v>LDM DR P2P Invite 12-Nov-26 v2 [digital]</v>
      </c>
      <c r="E4992" s="22" t="str">
        <f>HYPERLINK("https://otsuka-europe-crm.veevavault.com/ui/#object/sent_email__v/VBL000000038240", "SE-001444049")</f>
        <v>SE-001444049</v>
      </c>
      <c r="F4992" s="23"/>
      <c r="G4992" s="24">
        <v>0</v>
      </c>
      <c r="H4992" s="24">
        <v>0</v>
      </c>
      <c r="I4992" s="24">
        <v>0</v>
      </c>
      <c r="J4992" s="23"/>
      <c r="K4992" s="24">
        <v>0</v>
      </c>
      <c r="L4992" s="22" t="str">
        <f>HYPERLINK("https://otsuka-europe-crm.veevavault.com/ui/#object/approved_document__v/V5O00000001V001", "LDM DR P2P Invite 12-Nov-26 v2 [digital]")</f>
        <v>LDM DR P2P Invite 12-Nov-26 v2 [digital]</v>
      </c>
      <c r="M4992" s="22" t="str">
        <f>HYPERLINK("mailto:draval@crm.otsuka-europe.com", "draval@crm.otsuka-europe.com")</f>
        <v>draval@crm.otsuka-europe.com</v>
      </c>
      <c r="N4992" s="25">
        <v>46217.670092592591</v>
      </c>
      <c r="O4992" s="14" t="str">
        <f>HYPERLINK("https://otsuka-europe-crm.veevavault.com/ui/#object/email_activity__v/V8C000000049632", "EN-002106087")</f>
        <v>EN-002106087</v>
      </c>
    </row>
    <row r="4993" spans="1:15" ht="16" x14ac:dyDescent="0.2">
      <c r="A4993" s="19"/>
      <c r="B4993" s="19"/>
      <c r="C4993" s="19"/>
      <c r="D4993" s="19"/>
      <c r="E4993" s="19"/>
      <c r="F4993" s="19"/>
      <c r="G4993" s="19"/>
      <c r="H4993" s="19"/>
      <c r="I4993" s="19"/>
      <c r="J4993" s="19"/>
      <c r="K4993" s="19"/>
      <c r="L4993" s="19"/>
      <c r="M4993" s="19"/>
      <c r="N4993" s="19"/>
      <c r="O4993" s="14" t="str">
        <f>HYPERLINK("https://otsuka-europe-crm.veevavault.com/ui/#object/email_activity__v/V8C00000004A631", "EN-002106164")</f>
        <v>EN-002106164</v>
      </c>
    </row>
    <row r="4994" spans="1:15" ht="16" x14ac:dyDescent="0.2">
      <c r="A4994" s="18" t="str">
        <f>HYPERLINK("https://otsuka-europe-crm.veevavault.com/ui/#object/account__v/V4TZ025E85XA055", "Ramachandra Venkateshwara")</f>
        <v>Ramachandra Venkateshwara</v>
      </c>
      <c r="B4994" s="18" t="str">
        <f>HYPERLINK("https://otsuka-europe-crm.veevavault.com/ui/#object/vcountry__v/VENZ000004SONFK", "GB")</f>
        <v>GB</v>
      </c>
      <c r="C4994" s="20" t="s">
        <v>41</v>
      </c>
      <c r="D4994" s="21" t="str">
        <f>HYPERLINK("https://otsuka-europe-crm.veevavault.com/ui/#object/approved_document__v/V5O00000001V001", "LDM DR P2P Invite 12-Nov-26 v2 [digital]")</f>
        <v>LDM DR P2P Invite 12-Nov-26 v2 [digital]</v>
      </c>
      <c r="E4994" s="22" t="str">
        <f>HYPERLINK("https://otsuka-europe-crm.veevavault.com/ui/#object/sent_email__v/VBL000000038241", "SE-001444050")</f>
        <v>SE-001444050</v>
      </c>
      <c r="F4994" s="25">
        <v>46230.398472222223</v>
      </c>
      <c r="G4994" s="24">
        <v>1</v>
      </c>
      <c r="H4994" s="24">
        <v>1</v>
      </c>
      <c r="I4994" s="24">
        <v>0</v>
      </c>
      <c r="J4994" s="23"/>
      <c r="K4994" s="24">
        <v>0</v>
      </c>
      <c r="L4994" s="22" t="str">
        <f>HYPERLINK("https://otsuka-europe-crm.veevavault.com/ui/#object/approved_document__v/V5O00000001V001", "LDM DR P2P Invite 12-Nov-26 v2 [digital]")</f>
        <v>LDM DR P2P Invite 12-Nov-26 v2 [digital]</v>
      </c>
      <c r="M4994" s="22" t="str">
        <f>HYPERLINK("mailto:draval@crm.otsuka-europe.com", "draval@crm.otsuka-europe.com")</f>
        <v>draval@crm.otsuka-europe.com</v>
      </c>
      <c r="N4994" s="25">
        <v>46217.670381944445</v>
      </c>
      <c r="O4994" s="14" t="str">
        <f>HYPERLINK("https://otsuka-europe-crm.veevavault.com/ui/#object/email_activity__v/V8C00000004A590", "EN-002106088")</f>
        <v>EN-002106088</v>
      </c>
    </row>
    <row r="4995" spans="1:15" ht="16" x14ac:dyDescent="0.2">
      <c r="A4995" s="19"/>
      <c r="B4995" s="19"/>
      <c r="C4995" s="19"/>
      <c r="D4995" s="19"/>
      <c r="E4995" s="19"/>
      <c r="F4995" s="19"/>
      <c r="G4995" s="19"/>
      <c r="H4995" s="19"/>
      <c r="I4995" s="19"/>
      <c r="J4995" s="19"/>
      <c r="K4995" s="19"/>
      <c r="L4995" s="19"/>
      <c r="M4995" s="19"/>
      <c r="N4995" s="19"/>
      <c r="O4995" s="14" t="str">
        <f>HYPERLINK("https://otsuka-europe-crm.veevavault.com/ui/#object/email_activity__v/V8C00000004E368", "EN-002109085")</f>
        <v>EN-002109085</v>
      </c>
    </row>
    <row r="4996" spans="1:15" ht="32" x14ac:dyDescent="0.2">
      <c r="A4996" s="7" t="str">
        <f>HYPERLINK("https://otsuka-europe-crm.veevavault.com/ui/#object/account__v/V4T00000001E005", "Shaileen Shah")</f>
        <v>Shaileen Shah</v>
      </c>
      <c r="B4996" s="7" t="str">
        <f>HYPERLINK("https://otsuka-europe-crm.veevavault.com/ui/#object/vcountry__v/VENZ000004SONFK", "GB")</f>
        <v>GB</v>
      </c>
      <c r="C4996" s="8" t="s">
        <v>41</v>
      </c>
      <c r="D4996" s="9" t="str">
        <f>HYPERLINK("https://otsuka-europe-crm.veevavault.com/ui/#object/approved_document__v/V5O00000001V001", "LDM DR P2P Invite 12-Nov-26 v2 [digital]")</f>
        <v>LDM DR P2P Invite 12-Nov-26 v2 [digital]</v>
      </c>
      <c r="E4996" s="10" t="str">
        <f>HYPERLINK("https://otsuka-europe-crm.veevavault.com/ui/#object/sent_email__v/VBL000000038242", "SE-001444051")</f>
        <v>SE-001444051</v>
      </c>
      <c r="F4996" s="11"/>
      <c r="G4996" s="12">
        <v>0</v>
      </c>
      <c r="H4996" s="12">
        <v>0</v>
      </c>
      <c r="I4996" s="12">
        <v>0</v>
      </c>
      <c r="J4996" s="11"/>
      <c r="K4996" s="12">
        <v>0</v>
      </c>
      <c r="L4996" s="10" t="str">
        <f>HYPERLINK("https://otsuka-europe-crm.veevavault.com/ui/#object/approved_document__v/V5O00000001V001", "LDM DR P2P Invite 12-Nov-26 v2 [digital]")</f>
        <v>LDM DR P2P Invite 12-Nov-26 v2 [digital]</v>
      </c>
      <c r="M4996" s="10" t="str">
        <f>HYPERLINK("mailto:draval@crm.otsuka-europe.com", "draval@crm.otsuka-europe.com")</f>
        <v>draval@crm.otsuka-europe.com</v>
      </c>
      <c r="N4996" s="13">
        <v>46217.670775462961</v>
      </c>
      <c r="O4996" s="14" t="str">
        <f>HYPERLINK("https://otsuka-europe-crm.veevavault.com/ui/#object/email_activity__v/V8C00000004A591", "EN-002106089")</f>
        <v>EN-002106089</v>
      </c>
    </row>
    <row r="4997" spans="1:15" ht="16" x14ac:dyDescent="0.2">
      <c r="A4997" s="18" t="str">
        <f>HYPERLINK("https://otsuka-europe-crm.veevavault.com/ui/#object/account__v/V4TZ04ASG9HDC9T", "Mohammed Rahman")</f>
        <v>Mohammed Rahman</v>
      </c>
      <c r="B4997" s="18" t="str">
        <f>HYPERLINK("https://otsuka-europe-crm.veevavault.com/ui/#object/vcountry__v/VENZ000004SONFK", "GB")</f>
        <v>GB</v>
      </c>
      <c r="C4997" s="20" t="s">
        <v>41</v>
      </c>
      <c r="D4997" s="21" t="str">
        <f>HYPERLINK("https://otsuka-europe-crm.veevavault.com/ui/#object/approved_document__v/V5O00000001V001", "LDM DR P2P Invite 12-Nov-26 v2 [digital]")</f>
        <v>LDM DR P2P Invite 12-Nov-26 v2 [digital]</v>
      </c>
      <c r="E4997" s="22" t="str">
        <f>HYPERLINK("https://otsuka-europe-crm.veevavault.com/ui/#object/sent_email__v/VBL000000038243", "SE-001444052")</f>
        <v>SE-001444052</v>
      </c>
      <c r="F4997" s="25">
        <v>46217.672106481485</v>
      </c>
      <c r="G4997" s="24">
        <v>1</v>
      </c>
      <c r="H4997" s="24">
        <v>2</v>
      </c>
      <c r="I4997" s="24">
        <v>0</v>
      </c>
      <c r="J4997" s="23"/>
      <c r="K4997" s="24">
        <v>0</v>
      </c>
      <c r="L4997" s="22" t="str">
        <f>HYPERLINK("https://otsuka-europe-crm.veevavault.com/ui/#object/approved_document__v/V5O00000001V001", "LDM DR P2P Invite 12-Nov-26 v2 [digital]")</f>
        <v>LDM DR P2P Invite 12-Nov-26 v2 [digital]</v>
      </c>
      <c r="M4997" s="22" t="str">
        <f>HYPERLINK("mailto:draval@crm.otsuka-europe.com", "draval@crm.otsuka-europe.com")</f>
        <v>draval@crm.otsuka-europe.com</v>
      </c>
      <c r="N4997" s="25">
        <v>46217.671249999999</v>
      </c>
      <c r="O4997" s="14" t="str">
        <f>HYPERLINK("https://otsuka-europe-crm.veevavault.com/ui/#object/email_activity__v/V8C00000004A592", "EN-002106090")</f>
        <v>EN-002106090</v>
      </c>
    </row>
    <row r="4998" spans="1:15" ht="16" x14ac:dyDescent="0.2">
      <c r="A4998" s="26"/>
      <c r="B4998" s="26"/>
      <c r="C4998" s="26"/>
      <c r="D4998" s="26"/>
      <c r="E4998" s="26"/>
      <c r="F4998" s="26"/>
      <c r="G4998" s="26"/>
      <c r="H4998" s="26"/>
      <c r="I4998" s="26"/>
      <c r="J4998" s="26"/>
      <c r="K4998" s="26"/>
      <c r="L4998" s="26"/>
      <c r="M4998" s="26"/>
      <c r="N4998" s="26"/>
      <c r="O4998" s="14" t="str">
        <f>HYPERLINK("https://otsuka-europe-crm.veevavault.com/ui/#object/email_activity__v/V8C00000004A595", "EN-002106093")</f>
        <v>EN-002106093</v>
      </c>
    </row>
    <row r="4999" spans="1:15" ht="16" x14ac:dyDescent="0.2">
      <c r="A4999" s="19"/>
      <c r="B4999" s="19"/>
      <c r="C4999" s="19"/>
      <c r="D4999" s="19"/>
      <c r="E4999" s="19"/>
      <c r="F4999" s="19"/>
      <c r="G4999" s="19"/>
      <c r="H4999" s="19"/>
      <c r="I4999" s="19"/>
      <c r="J4999" s="19"/>
      <c r="K4999" s="19"/>
      <c r="L4999" s="19"/>
      <c r="M4999" s="19"/>
      <c r="N4999" s="19"/>
      <c r="O4999" s="14" t="str">
        <f>HYPERLINK("https://otsuka-europe-crm.veevavault.com/ui/#object/email_activity__v/V8C00000004A597", "EN-002106095")</f>
        <v>EN-002106095</v>
      </c>
    </row>
    <row r="5000" spans="1:15" ht="32" x14ac:dyDescent="0.2">
      <c r="A5000" s="7" t="str">
        <f>HYPERLINK("https://otsuka-europe-crm.veevavault.com/ui/#object/account__v/V4T000000010132", "Xiyan Fernandes")</f>
        <v>Xiyan Fernandes</v>
      </c>
      <c r="B5000" s="7" t="str">
        <f>HYPERLINK("https://otsuka-europe-crm.veevavault.com/ui/#object/vcountry__v/VENZ000004SONFK", "GB")</f>
        <v>GB</v>
      </c>
      <c r="C5000" s="8" t="s">
        <v>41</v>
      </c>
      <c r="D5000" s="9" t="str">
        <f>HYPERLINK("https://otsuka-europe-crm.veevavault.com/ui/#object/approved_document__v/V5O00000001V001", "LDM DR P2P Invite 12-Nov-26 v2 [digital]")</f>
        <v>LDM DR P2P Invite 12-Nov-26 v2 [digital]</v>
      </c>
      <c r="E5000" s="10" t="str">
        <f>HYPERLINK("https://otsuka-europe-crm.veevavault.com/ui/#object/sent_email__v/VBL000000038244", "SE-001444053")</f>
        <v>SE-001444053</v>
      </c>
      <c r="F5000" s="11"/>
      <c r="G5000" s="12">
        <v>0</v>
      </c>
      <c r="H5000" s="12">
        <v>0</v>
      </c>
      <c r="I5000" s="12">
        <v>0</v>
      </c>
      <c r="J5000" s="11"/>
      <c r="K5000" s="12">
        <v>0</v>
      </c>
      <c r="L5000" s="10" t="str">
        <f>HYPERLINK("https://otsuka-europe-crm.veevavault.com/ui/#object/approved_document__v/V5O00000001V001", "LDM DR P2P Invite 12-Nov-26 v2 [digital]")</f>
        <v>LDM DR P2P Invite 12-Nov-26 v2 [digital]</v>
      </c>
      <c r="M5000" s="10" t="str">
        <f>HYPERLINK("mailto:draval@crm.otsuka-europe.com", "draval@crm.otsuka-europe.com")</f>
        <v>draval@crm.otsuka-europe.com</v>
      </c>
      <c r="N5000" s="13">
        <v>46217.671770833331</v>
      </c>
      <c r="O5000" s="14" t="str">
        <f>HYPERLINK("https://otsuka-europe-crm.veevavault.com/ui/#object/email_activity__v/V8C00000004A593", "EN-002106091")</f>
        <v>EN-002106091</v>
      </c>
    </row>
    <row r="5001" spans="1:15" ht="16" x14ac:dyDescent="0.2">
      <c r="A5001" s="18" t="str">
        <f>HYPERLINK("https://otsuka-europe-crm.veevavault.com/ui/#object/account__v/V4TZ00000633RFH", "FLORENCE DUVIVIER")</f>
        <v>FLORENCE DUVIVIER</v>
      </c>
      <c r="B5001" s="18" t="str">
        <f>HYPERLINK("https://otsuka-europe-crm.veevavault.com/ui/#object/vcountry__v/VENZ000004SONFA", "FR")</f>
        <v>FR</v>
      </c>
      <c r="C5001" s="20" t="s">
        <v>40</v>
      </c>
      <c r="D5001" s="21" t="str">
        <f>HYPERLINK("https://otsuka-europe-crm.veevavault.com/ui/#object/approved_document__v/V5OZ04ASG4G02Y6", "INVITATION_VAD_2023")</f>
        <v>INVITATION_VAD_2023</v>
      </c>
      <c r="E5001" s="22" t="str">
        <f>HYPERLINK("https://otsuka-europe-crm.veevavault.com/ui/#object/sent_email__v/VBL000000037321", "SE-001444054")</f>
        <v>SE-001444054</v>
      </c>
      <c r="F5001" s="23"/>
      <c r="G5001" s="24">
        <v>0</v>
      </c>
      <c r="H5001" s="24">
        <v>0</v>
      </c>
      <c r="I5001" s="24">
        <v>0</v>
      </c>
      <c r="J5001" s="23"/>
      <c r="K5001" s="24">
        <v>0</v>
      </c>
      <c r="L5001" s="22" t="str">
        <f>HYPERLINK("https://otsuka-europe-crm.veevavault.com/ui/#object/approved_document__v/V5OZ04ASG4G02Y6", "INVITATION_VAD_2023")</f>
        <v>INVITATION_VAD_2023</v>
      </c>
      <c r="M5001" s="22" t="str">
        <f>HYPERLINK("mailto:cchevalliermiserole@crm.otsuka-europe.com", "cchevalliermiserole@crm.otsuka-europe.com")</f>
        <v>cchevalliermiserole@crm.otsuka-europe.com</v>
      </c>
      <c r="N5001" s="25">
        <v>46218.311932870369</v>
      </c>
      <c r="O5001" s="14" t="str">
        <f>HYPERLINK("https://otsuka-europe-crm.veevavault.com/ui/#object/email_activity__v/V8C00000004A647", "EN-002106206")</f>
        <v>EN-002106206</v>
      </c>
    </row>
    <row r="5002" spans="1:15" ht="16" x14ac:dyDescent="0.2">
      <c r="A5002" s="19"/>
      <c r="B5002" s="19"/>
      <c r="C5002" s="19"/>
      <c r="D5002" s="19"/>
      <c r="E5002" s="19"/>
      <c r="F5002" s="19"/>
      <c r="G5002" s="19"/>
      <c r="H5002" s="19"/>
      <c r="I5002" s="19"/>
      <c r="J5002" s="19"/>
      <c r="K5002" s="19"/>
      <c r="L5002" s="19"/>
      <c r="M5002" s="19"/>
      <c r="N5002" s="19"/>
      <c r="O5002" s="14" t="str">
        <f>HYPERLINK("https://otsuka-europe-crm.veevavault.com/ui/#object/email_activity__v/V8C00000004A648", "EN-002106207")</f>
        <v>EN-002106207</v>
      </c>
    </row>
    <row r="5003" spans="1:15" ht="16" x14ac:dyDescent="0.2">
      <c r="A5003" s="18" t="str">
        <f>HYPERLINK("https://otsuka-europe-crm.veevavault.com/ui/#object/account__v/V4TZ00000633RFH", "FLORENCE DUVIVIER")</f>
        <v>FLORENCE DUVIVIER</v>
      </c>
      <c r="B5003" s="18" t="str">
        <f>HYPERLINK("https://otsuka-europe-crm.veevavault.com/ui/#object/vcountry__v/VENZ000004SONFA", "FR")</f>
        <v>FR</v>
      </c>
      <c r="C5003" s="20" t="s">
        <v>40</v>
      </c>
      <c r="D5003" s="21" t="str">
        <f>HYPERLINK("https://otsuka-europe-crm.veevavault.com/ui/#object/approved_document__v/V5OZ04ASG4G02Y7", "REMERCIEMENTS_VAD_2023")</f>
        <v>REMERCIEMENTS_VAD_2023</v>
      </c>
      <c r="E5003" s="22" t="str">
        <f>HYPERLINK("https://otsuka-europe-crm.veevavault.com/ui/#object/sent_email__v/VBL000000038245", "SE-001444055")</f>
        <v>SE-001444055</v>
      </c>
      <c r="F5003" s="23"/>
      <c r="G5003" s="24">
        <v>0</v>
      </c>
      <c r="H5003" s="24">
        <v>0</v>
      </c>
      <c r="I5003" s="24">
        <v>0</v>
      </c>
      <c r="J5003" s="23"/>
      <c r="K5003" s="24">
        <v>0</v>
      </c>
      <c r="L5003" s="22" t="str">
        <f>HYPERLINK("https://otsuka-europe-crm.veevavault.com/ui/#object/approved_document__v/V5OZ04ASG4G02Y7", "REMERCIEMENTS_VAD_2023")</f>
        <v>REMERCIEMENTS_VAD_2023</v>
      </c>
      <c r="M5003" s="22" t="str">
        <f>HYPERLINK("mailto:cchevalliermiserole@crm.otsuka-europe.com", "cchevalliermiserole@crm.otsuka-europe.com")</f>
        <v>cchevalliermiserole@crm.otsuka-europe.com</v>
      </c>
      <c r="N5003" s="25">
        <v>46218.317476851851</v>
      </c>
      <c r="O5003" s="14" t="str">
        <f>HYPERLINK("https://otsuka-europe-crm.veevavault.com/ui/#object/email_activity__v/V8C00000004A649", "EN-002106208")</f>
        <v>EN-002106208</v>
      </c>
    </row>
    <row r="5004" spans="1:15" ht="16" x14ac:dyDescent="0.2">
      <c r="A5004" s="19"/>
      <c r="B5004" s="19"/>
      <c r="C5004" s="19"/>
      <c r="D5004" s="19"/>
      <c r="E5004" s="19"/>
      <c r="F5004" s="19"/>
      <c r="G5004" s="19"/>
      <c r="H5004" s="19"/>
      <c r="I5004" s="19"/>
      <c r="J5004" s="19"/>
      <c r="K5004" s="19"/>
      <c r="L5004" s="19"/>
      <c r="M5004" s="19"/>
      <c r="N5004" s="19"/>
      <c r="O5004" s="14" t="str">
        <f>HYPERLINK("https://otsuka-europe-crm.veevavault.com/ui/#object/email_activity__v/V8C00000004C011", "EN-002106758")</f>
        <v>EN-002106758</v>
      </c>
    </row>
    <row r="5005" spans="1:15" ht="16" x14ac:dyDescent="0.2">
      <c r="A5005" s="18" t="str">
        <f>HYPERLINK("https://otsuka-europe-crm.veevavault.com/ui/#object/account__v/V4TZ00000633RFH", "FLORENCE DUVIVIER")</f>
        <v>FLORENCE DUVIVIER</v>
      </c>
      <c r="B5005" s="18" t="str">
        <f>HYPERLINK("https://otsuka-europe-crm.veevavault.com/ui/#object/vcountry__v/VENZ000004SONFA", "FR")</f>
        <v>FR</v>
      </c>
      <c r="C5005" s="20" t="s">
        <v>40</v>
      </c>
      <c r="D5005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005" s="22" t="str">
        <f>HYPERLINK("https://otsuka-europe-crm.veevavault.com/ui/#object/sent_email__v/VBL000000038246", "SE-001444056")</f>
        <v>SE-001444056</v>
      </c>
      <c r="F5005" s="23"/>
      <c r="G5005" s="24">
        <v>0</v>
      </c>
      <c r="H5005" s="24">
        <v>0</v>
      </c>
      <c r="I5005" s="24">
        <v>0</v>
      </c>
      <c r="J5005" s="23"/>
      <c r="K5005" s="24">
        <v>0</v>
      </c>
      <c r="L5005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005" s="22" t="str">
        <f>HYPERLINK("mailto:cchevalliermiserole@crm.otsuka-europe.com", "cchevalliermiserole@crm.otsuka-europe.com")</f>
        <v>cchevalliermiserole@crm.otsuka-europe.com</v>
      </c>
      <c r="N5005" s="25">
        <v>46219.090428240743</v>
      </c>
      <c r="O5005" s="14" t="str">
        <f>HYPERLINK("https://otsuka-europe-crm.veevavault.com/ui/#object/email_activity__v/V8C00000004A821", "EN-002106524")</f>
        <v>EN-002106524</v>
      </c>
    </row>
    <row r="5006" spans="1:15" ht="16" x14ac:dyDescent="0.2">
      <c r="A5006" s="19"/>
      <c r="B5006" s="19"/>
      <c r="C5006" s="19"/>
      <c r="D5006" s="19"/>
      <c r="E5006" s="19"/>
      <c r="F5006" s="19"/>
      <c r="G5006" s="19"/>
      <c r="H5006" s="19"/>
      <c r="I5006" s="19"/>
      <c r="J5006" s="19"/>
      <c r="K5006" s="19"/>
      <c r="L5006" s="19"/>
      <c r="M5006" s="19"/>
      <c r="N5006" s="19"/>
      <c r="O5006" s="14" t="str">
        <f>HYPERLINK("https://otsuka-europe-crm.veevavault.com/ui/#object/email_activity__v/V8C00000004A822", "EN-002106527")</f>
        <v>EN-002106527</v>
      </c>
    </row>
    <row r="5007" spans="1:15" ht="32" x14ac:dyDescent="0.2">
      <c r="A5007" s="7" t="str">
        <f>HYPERLINK("https://otsuka-europe-crm.veevavault.com/ui/#object/account__v/V4TZ0000062PO2S", "Ravindranath Ram")</f>
        <v>Ravindranath Ram</v>
      </c>
      <c r="B5007" s="7" t="str">
        <f t="shared" ref="B5007:B5012" si="230">HYPERLINK("https://otsuka-europe-crm.veevavault.com/ui/#object/vcountry__v/VENZ000004SONFK", "GB")</f>
        <v>GB</v>
      </c>
      <c r="C5007" s="8" t="s">
        <v>41</v>
      </c>
      <c r="D5007" s="9" t="str">
        <f t="shared" ref="D5007:D5012" si="231">HYPERLINK("https://otsuka-europe-crm.veevavault.com/ui/#object/approved_document__v/V5O00000001V001", "LDM DR P2P Invite 12-Nov-26 v2 [digital]")</f>
        <v>LDM DR P2P Invite 12-Nov-26 v2 [digital]</v>
      </c>
      <c r="E5007" s="10" t="str">
        <f>HYPERLINK("https://otsuka-europe-crm.veevavault.com/ui/#object/sent_email__v/VBL000000038247", "SE-001444058")</f>
        <v>SE-001444058</v>
      </c>
      <c r="F5007" s="11"/>
      <c r="G5007" s="12">
        <v>0</v>
      </c>
      <c r="H5007" s="12">
        <v>0</v>
      </c>
      <c r="I5007" s="12">
        <v>0</v>
      </c>
      <c r="J5007" s="11"/>
      <c r="K5007" s="12">
        <v>0</v>
      </c>
      <c r="L5007" s="10" t="str">
        <f t="shared" ref="L5007:L5012" si="232">HYPERLINK("https://otsuka-europe-crm.veevavault.com/ui/#object/approved_document__v/V5O00000001V001", "LDM DR P2P Invite 12-Nov-26 v2 [digital]")</f>
        <v>LDM DR P2P Invite 12-Nov-26 v2 [digital]</v>
      </c>
      <c r="M5007" s="10" t="str">
        <f t="shared" ref="M5007:M5012" si="233">HYPERLINK("mailto:draval@crm.otsuka-europe.com", "draval@crm.otsuka-europe.com")</f>
        <v>draval@crm.otsuka-europe.com</v>
      </c>
      <c r="N5007" s="13">
        <v>46218.362384259257</v>
      </c>
      <c r="O5007" s="14" t="str">
        <f>HYPERLINK("https://otsuka-europe-crm.veevavault.com/ui/#object/email_activity__v/V8C00000004A653", "EN-002106220")</f>
        <v>EN-002106220</v>
      </c>
    </row>
    <row r="5008" spans="1:15" ht="32" x14ac:dyDescent="0.2">
      <c r="A5008" s="7" t="str">
        <f>HYPERLINK("https://otsuka-europe-crm.veevavault.com/ui/#object/account__v/V4TZ025E86LENR1", "Camilla Afren")</f>
        <v>Camilla Afren</v>
      </c>
      <c r="B5008" s="7" t="str">
        <f t="shared" si="230"/>
        <v>GB</v>
      </c>
      <c r="C5008" s="8" t="s">
        <v>41</v>
      </c>
      <c r="D5008" s="9" t="str">
        <f t="shared" si="231"/>
        <v>LDM DR P2P Invite 12-Nov-26 v2 [digital]</v>
      </c>
      <c r="E5008" s="10" t="str">
        <f>HYPERLINK("https://otsuka-europe-crm.veevavault.com/ui/#object/sent_email__v/VBL000000038248", "SE-001444059")</f>
        <v>SE-001444059</v>
      </c>
      <c r="F5008" s="11"/>
      <c r="G5008" s="12">
        <v>0</v>
      </c>
      <c r="H5008" s="12">
        <v>0</v>
      </c>
      <c r="I5008" s="12">
        <v>0</v>
      </c>
      <c r="J5008" s="11"/>
      <c r="K5008" s="12">
        <v>0</v>
      </c>
      <c r="L5008" s="10" t="str">
        <f t="shared" si="232"/>
        <v>LDM DR P2P Invite 12-Nov-26 v2 [digital]</v>
      </c>
      <c r="M5008" s="10" t="str">
        <f t="shared" si="233"/>
        <v>draval@crm.otsuka-europe.com</v>
      </c>
      <c r="N5008" s="13">
        <v>46218.373692129629</v>
      </c>
      <c r="O5008" s="14" t="str">
        <f>HYPERLINK("https://otsuka-europe-crm.veevavault.com/ui/#object/email_activity__v/V8C00000004A657", "EN-002106225")</f>
        <v>EN-002106225</v>
      </c>
    </row>
    <row r="5009" spans="1:15" ht="32" x14ac:dyDescent="0.2">
      <c r="A5009" s="7" t="str">
        <f>HYPERLINK("https://otsuka-europe-crm.veevavault.com/ui/#object/account__v/V4TZ0000062PB6W", "Anju Sahay")</f>
        <v>Anju Sahay</v>
      </c>
      <c r="B5009" s="7" t="str">
        <f t="shared" si="230"/>
        <v>GB</v>
      </c>
      <c r="C5009" s="8" t="s">
        <v>41</v>
      </c>
      <c r="D5009" s="9" t="str">
        <f t="shared" si="231"/>
        <v>LDM DR P2P Invite 12-Nov-26 v2 [digital]</v>
      </c>
      <c r="E5009" s="10" t="str">
        <f>HYPERLINK("https://otsuka-europe-crm.veevavault.com/ui/#object/sent_email__v/VBL000000038249", "SE-001444060")</f>
        <v>SE-001444060</v>
      </c>
      <c r="F5009" s="11"/>
      <c r="G5009" s="12">
        <v>0</v>
      </c>
      <c r="H5009" s="12">
        <v>0</v>
      </c>
      <c r="I5009" s="12">
        <v>0</v>
      </c>
      <c r="J5009" s="11"/>
      <c r="K5009" s="12">
        <v>0</v>
      </c>
      <c r="L5009" s="10" t="str">
        <f t="shared" si="232"/>
        <v>LDM DR P2P Invite 12-Nov-26 v2 [digital]</v>
      </c>
      <c r="M5009" s="10" t="str">
        <f t="shared" si="233"/>
        <v>draval@crm.otsuka-europe.com</v>
      </c>
      <c r="N5009" s="13">
        <v>46218.376273148147</v>
      </c>
      <c r="O5009" s="14" t="str">
        <f>HYPERLINK("https://otsuka-europe-crm.veevavault.com/ui/#object/email_activity__v/V8C00000004A659", "EN-002106229")</f>
        <v>EN-002106229</v>
      </c>
    </row>
    <row r="5010" spans="1:15" ht="32" x14ac:dyDescent="0.2">
      <c r="A5010" s="7" t="str">
        <f>HYPERLINK("https://otsuka-europe-crm.veevavault.com/ui/#object/account__v/V4TZ0000062PC21", "Asma Bhutto")</f>
        <v>Asma Bhutto</v>
      </c>
      <c r="B5010" s="7" t="str">
        <f t="shared" si="230"/>
        <v>GB</v>
      </c>
      <c r="C5010" s="8" t="s">
        <v>41</v>
      </c>
      <c r="D5010" s="9" t="str">
        <f t="shared" si="231"/>
        <v>LDM DR P2P Invite 12-Nov-26 v2 [digital]</v>
      </c>
      <c r="E5010" s="10" t="str">
        <f>HYPERLINK("https://otsuka-europe-crm.veevavault.com/ui/#object/sent_email__v/VBL000000037323", "SE-001444061")</f>
        <v>SE-001444061</v>
      </c>
      <c r="F5010" s="11"/>
      <c r="G5010" s="12">
        <v>0</v>
      </c>
      <c r="H5010" s="12">
        <v>0</v>
      </c>
      <c r="I5010" s="12">
        <v>0</v>
      </c>
      <c r="J5010" s="11"/>
      <c r="K5010" s="12">
        <v>0</v>
      </c>
      <c r="L5010" s="10" t="str">
        <f t="shared" si="232"/>
        <v>LDM DR P2P Invite 12-Nov-26 v2 [digital]</v>
      </c>
      <c r="M5010" s="10" t="str">
        <f t="shared" si="233"/>
        <v>draval@crm.otsuka-europe.com</v>
      </c>
      <c r="N5010" s="13">
        <v>46218.376377314817</v>
      </c>
      <c r="O5010" s="14" t="str">
        <f>HYPERLINK("https://otsuka-europe-crm.veevavault.com/ui/#object/email_activity__v/V8C000000049705", "EN-002106230")</f>
        <v>EN-002106230</v>
      </c>
    </row>
    <row r="5011" spans="1:15" ht="32" x14ac:dyDescent="0.2">
      <c r="A5011" s="7" t="str">
        <f>HYPERLINK("https://otsuka-europe-crm.veevavault.com/ui/#object/account__v/V4TZ0000062PB4M", "Talha Ahmed")</f>
        <v>Talha Ahmed</v>
      </c>
      <c r="B5011" s="7" t="str">
        <f t="shared" si="230"/>
        <v>GB</v>
      </c>
      <c r="C5011" s="8" t="s">
        <v>41</v>
      </c>
      <c r="D5011" s="9" t="str">
        <f t="shared" si="231"/>
        <v>LDM DR P2P Invite 12-Nov-26 v2 [digital]</v>
      </c>
      <c r="E5011" s="10" t="str">
        <f>HYPERLINK("https://otsuka-europe-crm.veevavault.com/ui/#object/sent_email__v/VBL000000038250", "SE-001444062")</f>
        <v>SE-001444062</v>
      </c>
      <c r="F5011" s="11"/>
      <c r="G5011" s="12">
        <v>0</v>
      </c>
      <c r="H5011" s="12">
        <v>0</v>
      </c>
      <c r="I5011" s="12">
        <v>0</v>
      </c>
      <c r="J5011" s="11"/>
      <c r="K5011" s="12">
        <v>0</v>
      </c>
      <c r="L5011" s="10" t="str">
        <f t="shared" si="232"/>
        <v>LDM DR P2P Invite 12-Nov-26 v2 [digital]</v>
      </c>
      <c r="M5011" s="10" t="str">
        <f t="shared" si="233"/>
        <v>draval@crm.otsuka-europe.com</v>
      </c>
      <c r="N5011" s="13">
        <v>46218.376620370371</v>
      </c>
      <c r="O5011" s="14" t="str">
        <f>HYPERLINK("https://otsuka-europe-crm.veevavault.com/ui/#object/email_activity__v/V8C000000049706", "EN-002106231")</f>
        <v>EN-002106231</v>
      </c>
    </row>
    <row r="5012" spans="1:15" ht="16" x14ac:dyDescent="0.2">
      <c r="A5012" s="18" t="str">
        <f>HYPERLINK("https://otsuka-europe-crm.veevavault.com/ui/#object/account__v/V4TZ025E82D8D5K", "Beedianand Ajay")</f>
        <v>Beedianand Ajay</v>
      </c>
      <c r="B5012" s="18" t="str">
        <f t="shared" si="230"/>
        <v>GB</v>
      </c>
      <c r="C5012" s="20" t="s">
        <v>41</v>
      </c>
      <c r="D5012" s="21" t="str">
        <f t="shared" si="231"/>
        <v>LDM DR P2P Invite 12-Nov-26 v2 [digital]</v>
      </c>
      <c r="E5012" s="22" t="str">
        <f>HYPERLINK("https://otsuka-europe-crm.veevavault.com/ui/#object/sent_email__v/VBL000000037324", "SE-001444063")</f>
        <v>SE-001444063</v>
      </c>
      <c r="F5012" s="25">
        <v>46229.673043981478</v>
      </c>
      <c r="G5012" s="24">
        <v>1</v>
      </c>
      <c r="H5012" s="24">
        <v>5</v>
      </c>
      <c r="I5012" s="24">
        <v>0</v>
      </c>
      <c r="J5012" s="23"/>
      <c r="K5012" s="24">
        <v>0</v>
      </c>
      <c r="L5012" s="22" t="str">
        <f t="shared" si="232"/>
        <v>LDM DR P2P Invite 12-Nov-26 v2 [digital]</v>
      </c>
      <c r="M5012" s="22" t="str">
        <f t="shared" si="233"/>
        <v>draval@crm.otsuka-europe.com</v>
      </c>
      <c r="N5012" s="25">
        <v>46218.376712962963</v>
      </c>
      <c r="O5012" s="14" t="str">
        <f>HYPERLINK("https://otsuka-europe-crm.veevavault.com/ui/#object/email_activity__v/V8C000000049707", "EN-002106232")</f>
        <v>EN-002106232</v>
      </c>
    </row>
    <row r="5013" spans="1:15" ht="16" x14ac:dyDescent="0.2">
      <c r="A5013" s="26"/>
      <c r="B5013" s="26"/>
      <c r="C5013" s="26"/>
      <c r="D5013" s="26"/>
      <c r="E5013" s="26"/>
      <c r="F5013" s="26"/>
      <c r="G5013" s="26"/>
      <c r="H5013" s="26"/>
      <c r="I5013" s="26"/>
      <c r="J5013" s="26"/>
      <c r="K5013" s="26"/>
      <c r="L5013" s="26"/>
      <c r="M5013" s="26"/>
      <c r="N5013" s="26"/>
      <c r="O5013" s="14" t="str">
        <f>HYPERLINK("https://otsuka-europe-crm.veevavault.com/ui/#object/email_activity__v/V8C00000004A793", "EN-002106483")</f>
        <v>EN-002106483</v>
      </c>
    </row>
    <row r="5014" spans="1:15" ht="16" x14ac:dyDescent="0.2">
      <c r="A5014" s="26"/>
      <c r="B5014" s="26"/>
      <c r="C5014" s="26"/>
      <c r="D5014" s="26"/>
      <c r="E5014" s="26"/>
      <c r="F5014" s="26"/>
      <c r="G5014" s="26"/>
      <c r="H5014" s="26"/>
      <c r="I5014" s="26"/>
      <c r="J5014" s="26"/>
      <c r="K5014" s="26"/>
      <c r="L5014" s="26"/>
      <c r="M5014" s="26"/>
      <c r="N5014" s="26"/>
      <c r="O5014" s="14" t="str">
        <f>HYPERLINK("https://otsuka-europe-crm.veevavault.com/ui/#object/email_activity__v/V8C00000004A794", "EN-002106484")</f>
        <v>EN-002106484</v>
      </c>
    </row>
    <row r="5015" spans="1:15" ht="16" x14ac:dyDescent="0.2">
      <c r="A5015" s="26"/>
      <c r="B5015" s="26"/>
      <c r="C5015" s="26"/>
      <c r="D5015" s="26"/>
      <c r="E5015" s="26"/>
      <c r="F5015" s="26"/>
      <c r="G5015" s="26"/>
      <c r="H5015" s="26"/>
      <c r="I5015" s="26"/>
      <c r="J5015" s="26"/>
      <c r="K5015" s="26"/>
      <c r="L5015" s="26"/>
      <c r="M5015" s="26"/>
      <c r="N5015" s="26"/>
      <c r="O5015" s="14" t="str">
        <f>HYPERLINK("https://otsuka-europe-crm.veevavault.com/ui/#object/email_activity__v/V8C00000004D465", "EN-002109016")</f>
        <v>EN-002109016</v>
      </c>
    </row>
    <row r="5016" spans="1:15" ht="16" x14ac:dyDescent="0.2">
      <c r="A5016" s="26"/>
      <c r="B5016" s="26"/>
      <c r="C5016" s="26"/>
      <c r="D5016" s="26"/>
      <c r="E5016" s="26"/>
      <c r="F5016" s="26"/>
      <c r="G5016" s="26"/>
      <c r="H5016" s="26"/>
      <c r="I5016" s="26"/>
      <c r="J5016" s="26"/>
      <c r="K5016" s="26"/>
      <c r="L5016" s="26"/>
      <c r="M5016" s="26"/>
      <c r="N5016" s="26"/>
      <c r="O5016" s="14" t="str">
        <f>HYPERLINK("https://otsuka-europe-crm.veevavault.com/ui/#object/email_activity__v/V8C00000004D466", "EN-002109017")</f>
        <v>EN-002109017</v>
      </c>
    </row>
    <row r="5017" spans="1:15" ht="16" x14ac:dyDescent="0.2">
      <c r="A5017" s="19"/>
      <c r="B5017" s="19"/>
      <c r="C5017" s="19"/>
      <c r="D5017" s="19"/>
      <c r="E5017" s="19"/>
      <c r="F5017" s="19"/>
      <c r="G5017" s="19"/>
      <c r="H5017" s="19"/>
      <c r="I5017" s="19"/>
      <c r="J5017" s="19"/>
      <c r="K5017" s="19"/>
      <c r="L5017" s="19"/>
      <c r="M5017" s="19"/>
      <c r="N5017" s="19"/>
      <c r="O5017" s="14" t="str">
        <f>HYPERLINK("https://otsuka-europe-crm.veevavault.com/ui/#object/email_activity__v/V8C00000004E343", "EN-002109041")</f>
        <v>EN-002109041</v>
      </c>
    </row>
    <row r="5018" spans="1:15" ht="32" x14ac:dyDescent="0.2">
      <c r="A5018" s="7" t="str">
        <f>HYPERLINK("https://otsuka-europe-crm.veevavault.com/ui/#object/account__v/V4TZ025E85S5E01", "Ifeoluwa Akintayo")</f>
        <v>Ifeoluwa Akintayo</v>
      </c>
      <c r="B5018" s="7" t="str">
        <f>HYPERLINK("https://otsuka-europe-crm.veevavault.com/ui/#object/vcountry__v/VENZ000004SONFK", "GB")</f>
        <v>GB</v>
      </c>
      <c r="C5018" s="8" t="s">
        <v>41</v>
      </c>
      <c r="D5018" s="9" t="str">
        <f>HYPERLINK("https://otsuka-europe-crm.veevavault.com/ui/#object/approved_document__v/V5O00000001V001", "LDM DR P2P Invite 12-Nov-26 v2 [digital]")</f>
        <v>LDM DR P2P Invite 12-Nov-26 v2 [digital]</v>
      </c>
      <c r="E5018" s="10" t="str">
        <f>HYPERLINK("https://otsuka-europe-crm.veevavault.com/ui/#object/sent_email__v/VBL000000037325", "SE-001444064")</f>
        <v>SE-001444064</v>
      </c>
      <c r="F5018" s="11"/>
      <c r="G5018" s="12">
        <v>0</v>
      </c>
      <c r="H5018" s="12">
        <v>0</v>
      </c>
      <c r="I5018" s="12">
        <v>0</v>
      </c>
      <c r="J5018" s="11"/>
      <c r="K5018" s="12">
        <v>0</v>
      </c>
      <c r="L5018" s="10" t="str">
        <f>HYPERLINK("https://otsuka-europe-crm.veevavault.com/ui/#object/approved_document__v/V5O00000001V001", "LDM DR P2P Invite 12-Nov-26 v2 [digital]")</f>
        <v>LDM DR P2P Invite 12-Nov-26 v2 [digital]</v>
      </c>
      <c r="M5018" s="10" t="str">
        <f>HYPERLINK("mailto:draval@crm.otsuka-europe.com", "draval@crm.otsuka-europe.com")</f>
        <v>draval@crm.otsuka-europe.com</v>
      </c>
      <c r="N5018" s="13">
        <v>46218.376967592594</v>
      </c>
      <c r="O5018" s="14" t="str">
        <f>HYPERLINK("https://otsuka-europe-crm.veevavault.com/ui/#object/email_activity__v/V8C000000049709", "EN-002106234")</f>
        <v>EN-002106234</v>
      </c>
    </row>
    <row r="5019" spans="1:15" ht="32" x14ac:dyDescent="0.2">
      <c r="A5019" s="7" t="str">
        <f>HYPERLINK("https://otsuka-europe-crm.veevavault.com/ui/#object/account__v/V4TZ0000062PAU1", "Antonio Albanese")</f>
        <v>Antonio Albanese</v>
      </c>
      <c r="B5019" s="7" t="str">
        <f>HYPERLINK("https://otsuka-europe-crm.veevavault.com/ui/#object/vcountry__v/VENZ000004SONFK", "GB")</f>
        <v>GB</v>
      </c>
      <c r="C5019" s="8" t="s">
        <v>41</v>
      </c>
      <c r="D5019" s="9" t="str">
        <f>HYPERLINK("https://otsuka-europe-crm.veevavault.com/ui/#object/approved_document__v/V5O00000001V001", "LDM DR P2P Invite 12-Nov-26 v2 [digital]")</f>
        <v>LDM DR P2P Invite 12-Nov-26 v2 [digital]</v>
      </c>
      <c r="E5019" s="10" t="str">
        <f>HYPERLINK("https://otsuka-europe-crm.veevavault.com/ui/#object/sent_email__v/VBL000000038251", "SE-001444065")</f>
        <v>SE-001444065</v>
      </c>
      <c r="F5019" s="11"/>
      <c r="G5019" s="12">
        <v>0</v>
      </c>
      <c r="H5019" s="12">
        <v>0</v>
      </c>
      <c r="I5019" s="12">
        <v>0</v>
      </c>
      <c r="J5019" s="11"/>
      <c r="K5019" s="12">
        <v>0</v>
      </c>
      <c r="L5019" s="10" t="str">
        <f>HYPERLINK("https://otsuka-europe-crm.veevavault.com/ui/#object/approved_document__v/V5O00000001V001", "LDM DR P2P Invite 12-Nov-26 v2 [digital]")</f>
        <v>LDM DR P2P Invite 12-Nov-26 v2 [digital]</v>
      </c>
      <c r="M5019" s="10" t="str">
        <f>HYPERLINK("mailto:draval@crm.otsuka-europe.com", "draval@crm.otsuka-europe.com")</f>
        <v>draval@crm.otsuka-europe.com</v>
      </c>
      <c r="N5019" s="13">
        <v>46218.37709490741</v>
      </c>
      <c r="O5019" s="14" t="str">
        <f>HYPERLINK("https://otsuka-europe-crm.veevavault.com/ui/#object/email_activity__v/V8C00000004A660", "EN-002106235")</f>
        <v>EN-002106235</v>
      </c>
    </row>
    <row r="5020" spans="1:15" ht="16" x14ac:dyDescent="0.2">
      <c r="A5020" s="18" t="str">
        <f>HYPERLINK("https://otsuka-europe-crm.veevavault.com/ui/#object/account__v/V4TZ06G6O71YSO3", "Ellen Apaw")</f>
        <v>Ellen Apaw</v>
      </c>
      <c r="B5020" s="18" t="str">
        <f>HYPERLINK("https://otsuka-europe-crm.veevavault.com/ui/#object/vcountry__v/VENZ000004SONFK", "GB")</f>
        <v>GB</v>
      </c>
      <c r="C5020" s="20" t="s">
        <v>41</v>
      </c>
      <c r="D5020" s="21" t="str">
        <f>HYPERLINK("https://otsuka-europe-crm.veevavault.com/ui/#object/approved_document__v/V5O00000001V001", "LDM DR P2P Invite 12-Nov-26 v2 [digital]")</f>
        <v>LDM DR P2P Invite 12-Nov-26 v2 [digital]</v>
      </c>
      <c r="E5020" s="22" t="str">
        <f>HYPERLINK("https://otsuka-europe-crm.veevavault.com/ui/#object/sent_email__v/VBL000000038252", "SE-001444066")</f>
        <v>SE-001444066</v>
      </c>
      <c r="F5020" s="25">
        <v>46218.37740740741</v>
      </c>
      <c r="G5020" s="24">
        <v>1</v>
      </c>
      <c r="H5020" s="24">
        <v>1</v>
      </c>
      <c r="I5020" s="24">
        <v>0</v>
      </c>
      <c r="J5020" s="23"/>
      <c r="K5020" s="24">
        <v>0</v>
      </c>
      <c r="L5020" s="22" t="str">
        <f>HYPERLINK("https://otsuka-europe-crm.veevavault.com/ui/#object/approved_document__v/V5O00000001V001", "LDM DR P2P Invite 12-Nov-26 v2 [digital]")</f>
        <v>LDM DR P2P Invite 12-Nov-26 v2 [digital]</v>
      </c>
      <c r="M5020" s="22" t="str">
        <f>HYPERLINK("mailto:draval@crm.otsuka-europe.com", "draval@crm.otsuka-europe.com")</f>
        <v>draval@crm.otsuka-europe.com</v>
      </c>
      <c r="N5020" s="25">
        <v>46218.377326388887</v>
      </c>
      <c r="O5020" s="14" t="str">
        <f>HYPERLINK("https://otsuka-europe-crm.veevavault.com/ui/#object/email_activity__v/V8C000000049710", "EN-002106237")</f>
        <v>EN-002106237</v>
      </c>
    </row>
    <row r="5021" spans="1:15" ht="16" x14ac:dyDescent="0.2">
      <c r="A5021" s="19"/>
      <c r="B5021" s="19"/>
      <c r="C5021" s="19"/>
      <c r="D5021" s="19"/>
      <c r="E5021" s="19"/>
      <c r="F5021" s="19"/>
      <c r="G5021" s="19"/>
      <c r="H5021" s="19"/>
      <c r="I5021" s="19"/>
      <c r="J5021" s="19"/>
      <c r="K5021" s="19"/>
      <c r="L5021" s="19"/>
      <c r="M5021" s="19"/>
      <c r="N5021" s="19"/>
      <c r="O5021" s="14" t="str">
        <f>HYPERLINK("https://otsuka-europe-crm.veevavault.com/ui/#object/email_activity__v/V8C00000004A661", "EN-002106236")</f>
        <v>EN-002106236</v>
      </c>
    </row>
    <row r="5022" spans="1:15" ht="32" x14ac:dyDescent="0.2">
      <c r="A5022" s="7" t="str">
        <f>HYPERLINK("https://otsuka-europe-crm.veevavault.com/ui/#object/account__v/V4TZ025E897IKSN", "Hoda Auda")</f>
        <v>Hoda Auda</v>
      </c>
      <c r="B5022" s="7" t="str">
        <f>HYPERLINK("https://otsuka-europe-crm.veevavault.com/ui/#object/vcountry__v/VENZ000004SONFK", "GB")</f>
        <v>GB</v>
      </c>
      <c r="C5022" s="8" t="s">
        <v>41</v>
      </c>
      <c r="D5022" s="9" t="str">
        <f>HYPERLINK("https://otsuka-europe-crm.veevavault.com/ui/#object/approved_document__v/V5O00000001V001", "LDM DR P2P Invite 12-Nov-26 v2 [digital]")</f>
        <v>LDM DR P2P Invite 12-Nov-26 v2 [digital]</v>
      </c>
      <c r="E5022" s="10" t="str">
        <f>HYPERLINK("https://otsuka-europe-crm.veevavault.com/ui/#object/sent_email__v/VBL000000037326", "SE-001444067")</f>
        <v>SE-001444067</v>
      </c>
      <c r="F5022" s="11"/>
      <c r="G5022" s="12">
        <v>0</v>
      </c>
      <c r="H5022" s="12">
        <v>0</v>
      </c>
      <c r="I5022" s="12">
        <v>0</v>
      </c>
      <c r="J5022" s="11"/>
      <c r="K5022" s="12">
        <v>0</v>
      </c>
      <c r="L5022" s="10" t="str">
        <f>HYPERLINK("https://otsuka-europe-crm.veevavault.com/ui/#object/approved_document__v/V5O00000001V001", "LDM DR P2P Invite 12-Nov-26 v2 [digital]")</f>
        <v>LDM DR P2P Invite 12-Nov-26 v2 [digital]</v>
      </c>
      <c r="M5022" s="10" t="str">
        <f>HYPERLINK("mailto:draval@crm.otsuka-europe.com", "draval@crm.otsuka-europe.com")</f>
        <v>draval@crm.otsuka-europe.com</v>
      </c>
      <c r="N5022" s="13">
        <v>46218.377662037034</v>
      </c>
      <c r="O5022" s="14" t="str">
        <f>HYPERLINK("https://otsuka-europe-crm.veevavault.com/ui/#object/email_activity__v/V8C000000049711", "EN-002106239")</f>
        <v>EN-002106239</v>
      </c>
    </row>
    <row r="5023" spans="1:15" ht="32" x14ac:dyDescent="0.2">
      <c r="A5023" s="7" t="str">
        <f>HYPERLINK("https://otsuka-europe-crm.veevavault.com/ui/#object/account__v/V4TZ0000062PD07", "Massimo Bernini")</f>
        <v>Massimo Bernini</v>
      </c>
      <c r="B5023" s="7" t="str">
        <f>HYPERLINK("https://otsuka-europe-crm.veevavault.com/ui/#object/vcountry__v/VENZ000004SONFK", "GB")</f>
        <v>GB</v>
      </c>
      <c r="C5023" s="8" t="s">
        <v>41</v>
      </c>
      <c r="D5023" s="9" t="str">
        <f>HYPERLINK("https://otsuka-europe-crm.veevavault.com/ui/#object/approved_document__v/V5O00000001V001", "LDM DR P2P Invite 12-Nov-26 v2 [digital]")</f>
        <v>LDM DR P2P Invite 12-Nov-26 v2 [digital]</v>
      </c>
      <c r="E5023" s="10" t="str">
        <f>HYPERLINK("https://otsuka-europe-crm.veevavault.com/ui/#object/sent_email__v/VBL000000038253", "SE-001444068")</f>
        <v>SE-001444068</v>
      </c>
      <c r="F5023" s="11"/>
      <c r="G5023" s="12">
        <v>0</v>
      </c>
      <c r="H5023" s="12">
        <v>0</v>
      </c>
      <c r="I5023" s="12">
        <v>0</v>
      </c>
      <c r="J5023" s="11"/>
      <c r="K5023" s="12">
        <v>0</v>
      </c>
      <c r="L5023" s="10" t="str">
        <f>HYPERLINK("https://otsuka-europe-crm.veevavault.com/ui/#object/approved_document__v/V5O00000001V001", "LDM DR P2P Invite 12-Nov-26 v2 [digital]")</f>
        <v>LDM DR P2P Invite 12-Nov-26 v2 [digital]</v>
      </c>
      <c r="M5023" s="10" t="str">
        <f>HYPERLINK("mailto:draval@crm.otsuka-europe.com", "draval@crm.otsuka-europe.com")</f>
        <v>draval@crm.otsuka-europe.com</v>
      </c>
      <c r="N5023" s="13">
        <v>46218.377662037034</v>
      </c>
      <c r="O5023" s="14" t="str">
        <f>HYPERLINK("https://otsuka-europe-crm.veevavault.com/ui/#object/email_activity__v/V8C00000004A662", "EN-002106238")</f>
        <v>EN-002106238</v>
      </c>
    </row>
    <row r="5024" spans="1:15" ht="16" x14ac:dyDescent="0.2">
      <c r="A5024" s="18" t="str">
        <f>HYPERLINK("https://otsuka-europe-crm.veevavault.com/ui/#object/account__v/V4TZ025E857679V", "Faizah Bucksee")</f>
        <v>Faizah Bucksee</v>
      </c>
      <c r="B5024" s="18" t="str">
        <f>HYPERLINK("https://otsuka-europe-crm.veevavault.com/ui/#object/vcountry__v/VENZ000004SONFK", "GB")</f>
        <v>GB</v>
      </c>
      <c r="C5024" s="20" t="s">
        <v>41</v>
      </c>
      <c r="D5024" s="21" t="str">
        <f>HYPERLINK("https://otsuka-europe-crm.veevavault.com/ui/#object/approved_document__v/V5O00000001V001", "LDM DR P2P Invite 12-Nov-26 v2 [digital]")</f>
        <v>LDM DR P2P Invite 12-Nov-26 v2 [digital]</v>
      </c>
      <c r="E5024" s="22" t="str">
        <f>HYPERLINK("https://otsuka-europe-crm.veevavault.com/ui/#object/sent_email__v/VBL000000038254", "SE-001444069")</f>
        <v>SE-001444069</v>
      </c>
      <c r="F5024" s="25">
        <v>46218.806562500002</v>
      </c>
      <c r="G5024" s="24">
        <v>1</v>
      </c>
      <c r="H5024" s="24">
        <v>1</v>
      </c>
      <c r="I5024" s="24">
        <v>0</v>
      </c>
      <c r="J5024" s="23"/>
      <c r="K5024" s="24">
        <v>0</v>
      </c>
      <c r="L5024" s="22" t="str">
        <f>HYPERLINK("https://otsuka-europe-crm.veevavault.com/ui/#object/approved_document__v/V5O00000001V001", "LDM DR P2P Invite 12-Nov-26 v2 [digital]")</f>
        <v>LDM DR P2P Invite 12-Nov-26 v2 [digital]</v>
      </c>
      <c r="M5024" s="22" t="str">
        <f>HYPERLINK("mailto:draval@crm.otsuka-europe.com", "draval@crm.otsuka-europe.com")</f>
        <v>draval@crm.otsuka-europe.com</v>
      </c>
      <c r="N5024" s="25">
        <v>46218.378009259257</v>
      </c>
      <c r="O5024" s="14" t="str">
        <f>HYPERLINK("https://otsuka-europe-crm.veevavault.com/ui/#object/email_activity__v/V8C00000004A663", "EN-002106240")</f>
        <v>EN-002106240</v>
      </c>
    </row>
    <row r="5025" spans="1:15" ht="16" x14ac:dyDescent="0.2">
      <c r="A5025" s="19"/>
      <c r="B5025" s="19"/>
      <c r="C5025" s="19"/>
      <c r="D5025" s="19"/>
      <c r="E5025" s="19"/>
      <c r="F5025" s="19"/>
      <c r="G5025" s="19"/>
      <c r="H5025" s="19"/>
      <c r="I5025" s="19"/>
      <c r="J5025" s="19"/>
      <c r="K5025" s="19"/>
      <c r="L5025" s="19"/>
      <c r="M5025" s="19"/>
      <c r="N5025" s="19"/>
      <c r="O5025" s="14" t="str">
        <f>HYPERLINK("https://otsuka-europe-crm.veevavault.com/ui/#object/email_activity__v/V8C00000004A807", "EN-002106500")</f>
        <v>EN-002106500</v>
      </c>
    </row>
    <row r="5026" spans="1:15" ht="32" x14ac:dyDescent="0.2">
      <c r="A5026" s="7" t="str">
        <f>HYPERLINK("https://otsuka-europe-crm.veevavault.com/ui/#object/account__v/V4TZ06G6OC6NHLN", "Wendy Cawley")</f>
        <v>Wendy Cawley</v>
      </c>
      <c r="B5026" s="7" t="str">
        <f>HYPERLINK("https://otsuka-europe-crm.veevavault.com/ui/#object/vcountry__v/VENZ000004SONFK", "GB")</f>
        <v>GB</v>
      </c>
      <c r="C5026" s="8" t="s">
        <v>41</v>
      </c>
      <c r="D5026" s="9" t="str">
        <f>HYPERLINK("https://otsuka-europe-crm.veevavault.com/ui/#object/approved_document__v/V5O00000001V001", "LDM DR P2P Invite 12-Nov-26 v2 [digital]")</f>
        <v>LDM DR P2P Invite 12-Nov-26 v2 [digital]</v>
      </c>
      <c r="E5026" s="10" t="str">
        <f>HYPERLINK("https://otsuka-europe-crm.veevavault.com/ui/#object/sent_email__v/VBL000000038255", "SE-001444070")</f>
        <v>SE-001444070</v>
      </c>
      <c r="F5026" s="11"/>
      <c r="G5026" s="12">
        <v>0</v>
      </c>
      <c r="H5026" s="12">
        <v>0</v>
      </c>
      <c r="I5026" s="12">
        <v>0</v>
      </c>
      <c r="J5026" s="11"/>
      <c r="K5026" s="12">
        <v>0</v>
      </c>
      <c r="L5026" s="10" t="str">
        <f>HYPERLINK("https://otsuka-europe-crm.veevavault.com/ui/#object/approved_document__v/V5O00000001V001", "LDM DR P2P Invite 12-Nov-26 v2 [digital]")</f>
        <v>LDM DR P2P Invite 12-Nov-26 v2 [digital]</v>
      </c>
      <c r="M5026" s="10" t="str">
        <f>HYPERLINK("mailto:draval@crm.otsuka-europe.com", "draval@crm.otsuka-europe.com")</f>
        <v>draval@crm.otsuka-europe.com</v>
      </c>
      <c r="N5026" s="13">
        <v>46218.378020833334</v>
      </c>
      <c r="O5026" s="14" t="str">
        <f>HYPERLINK("https://otsuka-europe-crm.veevavault.com/ui/#object/email_activity__v/V8C00000004A664", "EN-002106241")</f>
        <v>EN-002106241</v>
      </c>
    </row>
    <row r="5027" spans="1:15" ht="16" x14ac:dyDescent="0.2">
      <c r="A5027" s="18" t="str">
        <f>HYPERLINK("https://otsuka-europe-crm.veevavault.com/ui/#object/account__v/V4TZ0000062PBEZ", "Vikramjeet Chawla")</f>
        <v>Vikramjeet Chawla</v>
      </c>
      <c r="B5027" s="18" t="str">
        <f>HYPERLINK("https://otsuka-europe-crm.veevavault.com/ui/#object/vcountry__v/VENZ000004SONFK", "GB")</f>
        <v>GB</v>
      </c>
      <c r="C5027" s="20" t="s">
        <v>41</v>
      </c>
      <c r="D5027" s="21" t="str">
        <f>HYPERLINK("https://otsuka-europe-crm.veevavault.com/ui/#object/approved_document__v/V5O00000001V001", "LDM DR P2P Invite 12-Nov-26 v2 [digital]")</f>
        <v>LDM DR P2P Invite 12-Nov-26 v2 [digital]</v>
      </c>
      <c r="E5027" s="22" t="str">
        <f>HYPERLINK("https://otsuka-europe-crm.veevavault.com/ui/#object/sent_email__v/VBL000000037327", "SE-001444071")</f>
        <v>SE-001444071</v>
      </c>
      <c r="F5027" s="25">
        <v>46229.233703703707</v>
      </c>
      <c r="G5027" s="24">
        <v>1</v>
      </c>
      <c r="H5027" s="24">
        <v>14</v>
      </c>
      <c r="I5027" s="24">
        <v>0</v>
      </c>
      <c r="J5027" s="23"/>
      <c r="K5027" s="24">
        <v>0</v>
      </c>
      <c r="L5027" s="22" t="str">
        <f>HYPERLINK("https://otsuka-europe-crm.veevavault.com/ui/#object/approved_document__v/V5O00000001V001", "LDM DR P2P Invite 12-Nov-26 v2 [digital]")</f>
        <v>LDM DR P2P Invite 12-Nov-26 v2 [digital]</v>
      </c>
      <c r="M5027" s="22" t="str">
        <f>HYPERLINK("mailto:draval@crm.otsuka-europe.com", "draval@crm.otsuka-europe.com")</f>
        <v>draval@crm.otsuka-europe.com</v>
      </c>
      <c r="N5027" s="25">
        <v>46218.378171296295</v>
      </c>
      <c r="O5027" s="14" t="str">
        <f>HYPERLINK("https://otsuka-europe-crm.veevavault.com/ui/#object/email_activity__v/V8C00000004A665", "EN-002106242")</f>
        <v>EN-002106242</v>
      </c>
    </row>
    <row r="5028" spans="1:15" ht="16" x14ac:dyDescent="0.2">
      <c r="A5028" s="26"/>
      <c r="B5028" s="26"/>
      <c r="C5028" s="26"/>
      <c r="D5028" s="26"/>
      <c r="E5028" s="26"/>
      <c r="F5028" s="26"/>
      <c r="G5028" s="26"/>
      <c r="H5028" s="26"/>
      <c r="I5028" s="26"/>
      <c r="J5028" s="26"/>
      <c r="K5028" s="26"/>
      <c r="L5028" s="26"/>
      <c r="M5028" s="26"/>
      <c r="N5028" s="26"/>
      <c r="O5028" s="14" t="str">
        <f>HYPERLINK("https://otsuka-europe-crm.veevavault.com/ui/#object/email_activity__v/V8C00000004B052", "EN-002106821")</f>
        <v>EN-002106821</v>
      </c>
    </row>
    <row r="5029" spans="1:15" ht="16" x14ac:dyDescent="0.2">
      <c r="A5029" s="26"/>
      <c r="B5029" s="26"/>
      <c r="C5029" s="26"/>
      <c r="D5029" s="26"/>
      <c r="E5029" s="26"/>
      <c r="F5029" s="26"/>
      <c r="G5029" s="26"/>
      <c r="H5029" s="26"/>
      <c r="I5029" s="26"/>
      <c r="J5029" s="26"/>
      <c r="K5029" s="26"/>
      <c r="L5029" s="26"/>
      <c r="M5029" s="26"/>
      <c r="N5029" s="26"/>
      <c r="O5029" s="14" t="str">
        <f>HYPERLINK("https://otsuka-europe-crm.veevavault.com/ui/#object/email_activity__v/V8C00000004B072", "EN-002106859")</f>
        <v>EN-002106859</v>
      </c>
    </row>
    <row r="5030" spans="1:15" ht="16" x14ac:dyDescent="0.2">
      <c r="A5030" s="26"/>
      <c r="B5030" s="26"/>
      <c r="C5030" s="26"/>
      <c r="D5030" s="26"/>
      <c r="E5030" s="26"/>
      <c r="F5030" s="26"/>
      <c r="G5030" s="26"/>
      <c r="H5030" s="26"/>
      <c r="I5030" s="26"/>
      <c r="J5030" s="26"/>
      <c r="K5030" s="26"/>
      <c r="L5030" s="26"/>
      <c r="M5030" s="26"/>
      <c r="N5030" s="26"/>
      <c r="O5030" s="14" t="str">
        <f>HYPERLINK("https://otsuka-europe-crm.veevavault.com/ui/#object/email_activity__v/V8C00000004B197", "EN-002107048")</f>
        <v>EN-002107048</v>
      </c>
    </row>
    <row r="5031" spans="1:15" ht="16" x14ac:dyDescent="0.2">
      <c r="A5031" s="26"/>
      <c r="B5031" s="26"/>
      <c r="C5031" s="26"/>
      <c r="D5031" s="26"/>
      <c r="E5031" s="26"/>
      <c r="F5031" s="26"/>
      <c r="G5031" s="26"/>
      <c r="H5031" s="26"/>
      <c r="I5031" s="26"/>
      <c r="J5031" s="26"/>
      <c r="K5031" s="26"/>
      <c r="L5031" s="26"/>
      <c r="M5031" s="26"/>
      <c r="N5031" s="26"/>
      <c r="O5031" s="14" t="str">
        <f>HYPERLINK("https://otsuka-europe-crm.veevavault.com/ui/#object/email_activity__v/V8C00000004B232", "EN-002107110")</f>
        <v>EN-002107110</v>
      </c>
    </row>
    <row r="5032" spans="1:15" ht="16" x14ac:dyDescent="0.2">
      <c r="A5032" s="26"/>
      <c r="B5032" s="26"/>
      <c r="C5032" s="26"/>
      <c r="D5032" s="26"/>
      <c r="E5032" s="26"/>
      <c r="F5032" s="26"/>
      <c r="G5032" s="26"/>
      <c r="H5032" s="26"/>
      <c r="I5032" s="26"/>
      <c r="J5032" s="26"/>
      <c r="K5032" s="26"/>
      <c r="L5032" s="26"/>
      <c r="M5032" s="26"/>
      <c r="N5032" s="26"/>
      <c r="O5032" s="14" t="str">
        <f>HYPERLINK("https://otsuka-europe-crm.veevavault.com/ui/#object/email_activity__v/V8C00000004B233", "EN-002107111")</f>
        <v>EN-002107111</v>
      </c>
    </row>
    <row r="5033" spans="1:15" ht="16" x14ac:dyDescent="0.2">
      <c r="A5033" s="26"/>
      <c r="B5033" s="26"/>
      <c r="C5033" s="26"/>
      <c r="D5033" s="26"/>
      <c r="E5033" s="26"/>
      <c r="F5033" s="26"/>
      <c r="G5033" s="26"/>
      <c r="H5033" s="26"/>
      <c r="I5033" s="26"/>
      <c r="J5033" s="26"/>
      <c r="K5033" s="26"/>
      <c r="L5033" s="26"/>
      <c r="M5033" s="26"/>
      <c r="N5033" s="26"/>
      <c r="O5033" s="14" t="str">
        <f>HYPERLINK("https://otsuka-europe-crm.veevavault.com/ui/#object/email_activity__v/V8C00000004B234", "EN-002107114")</f>
        <v>EN-002107114</v>
      </c>
    </row>
    <row r="5034" spans="1:15" ht="16" x14ac:dyDescent="0.2">
      <c r="A5034" s="26"/>
      <c r="B5034" s="26"/>
      <c r="C5034" s="26"/>
      <c r="D5034" s="26"/>
      <c r="E5034" s="26"/>
      <c r="F5034" s="26"/>
      <c r="G5034" s="26"/>
      <c r="H5034" s="26"/>
      <c r="I5034" s="26"/>
      <c r="J5034" s="26"/>
      <c r="K5034" s="26"/>
      <c r="L5034" s="26"/>
      <c r="M5034" s="26"/>
      <c r="N5034" s="26"/>
      <c r="O5034" s="14" t="str">
        <f>HYPERLINK("https://otsuka-europe-crm.veevavault.com/ui/#object/email_activity__v/V8C00000004B235", "EN-002107116")</f>
        <v>EN-002107116</v>
      </c>
    </row>
    <row r="5035" spans="1:15" ht="16" x14ac:dyDescent="0.2">
      <c r="A5035" s="26"/>
      <c r="B5035" s="26"/>
      <c r="C5035" s="26"/>
      <c r="D5035" s="26"/>
      <c r="E5035" s="26"/>
      <c r="F5035" s="26"/>
      <c r="G5035" s="26"/>
      <c r="H5035" s="26"/>
      <c r="I5035" s="26"/>
      <c r="J5035" s="26"/>
      <c r="K5035" s="26"/>
      <c r="L5035" s="26"/>
      <c r="M5035" s="26"/>
      <c r="N5035" s="26"/>
      <c r="O5035" s="14" t="str">
        <f>HYPERLINK("https://otsuka-europe-crm.veevavault.com/ui/#object/email_activity__v/V8C00000004B236", "EN-002107117")</f>
        <v>EN-002107117</v>
      </c>
    </row>
    <row r="5036" spans="1:15" ht="16" x14ac:dyDescent="0.2">
      <c r="A5036" s="26"/>
      <c r="B5036" s="26"/>
      <c r="C5036" s="26"/>
      <c r="D5036" s="26"/>
      <c r="E5036" s="26"/>
      <c r="F5036" s="26"/>
      <c r="G5036" s="26"/>
      <c r="H5036" s="26"/>
      <c r="I5036" s="26"/>
      <c r="J5036" s="26"/>
      <c r="K5036" s="26"/>
      <c r="L5036" s="26"/>
      <c r="M5036" s="26"/>
      <c r="N5036" s="26"/>
      <c r="O5036" s="14" t="str">
        <f>HYPERLINK("https://otsuka-europe-crm.veevavault.com/ui/#object/email_activity__v/V8C00000004B268", "EN-002107183")</f>
        <v>EN-002107183</v>
      </c>
    </row>
    <row r="5037" spans="1:15" ht="16" x14ac:dyDescent="0.2">
      <c r="A5037" s="26"/>
      <c r="B5037" s="26"/>
      <c r="C5037" s="26"/>
      <c r="D5037" s="26"/>
      <c r="E5037" s="26"/>
      <c r="F5037" s="26"/>
      <c r="G5037" s="26"/>
      <c r="H5037" s="26"/>
      <c r="I5037" s="26"/>
      <c r="J5037" s="26"/>
      <c r="K5037" s="26"/>
      <c r="L5037" s="26"/>
      <c r="M5037" s="26"/>
      <c r="N5037" s="26"/>
      <c r="O5037" s="14" t="str">
        <f>HYPERLINK("https://otsuka-europe-crm.veevavault.com/ui/#object/email_activity__v/V8C00000004B700", "EN-002107828")</f>
        <v>EN-002107828</v>
      </c>
    </row>
    <row r="5038" spans="1:15" ht="16" x14ac:dyDescent="0.2">
      <c r="A5038" s="26"/>
      <c r="B5038" s="26"/>
      <c r="C5038" s="26"/>
      <c r="D5038" s="26"/>
      <c r="E5038" s="26"/>
      <c r="F5038" s="26"/>
      <c r="G5038" s="26"/>
      <c r="H5038" s="26"/>
      <c r="I5038" s="26"/>
      <c r="J5038" s="26"/>
      <c r="K5038" s="26"/>
      <c r="L5038" s="26"/>
      <c r="M5038" s="26"/>
      <c r="N5038" s="26"/>
      <c r="O5038" s="14" t="str">
        <f>HYPERLINK("https://otsuka-europe-crm.veevavault.com/ui/#object/email_activity__v/V8C00000004C153", "EN-002107115")</f>
        <v>EN-002107115</v>
      </c>
    </row>
    <row r="5039" spans="1:15" ht="16" x14ac:dyDescent="0.2">
      <c r="A5039" s="26"/>
      <c r="B5039" s="26"/>
      <c r="C5039" s="26"/>
      <c r="D5039" s="26"/>
      <c r="E5039" s="26"/>
      <c r="F5039" s="26"/>
      <c r="G5039" s="26"/>
      <c r="H5039" s="26"/>
      <c r="I5039" s="26"/>
      <c r="J5039" s="26"/>
      <c r="K5039" s="26"/>
      <c r="L5039" s="26"/>
      <c r="M5039" s="26"/>
      <c r="N5039" s="26"/>
      <c r="O5039" s="14" t="str">
        <f>HYPERLINK("https://otsuka-europe-crm.veevavault.com/ui/#object/email_activity__v/V8C00000004C154", "EN-002107118")</f>
        <v>EN-002107118</v>
      </c>
    </row>
    <row r="5040" spans="1:15" ht="16" x14ac:dyDescent="0.2">
      <c r="A5040" s="26"/>
      <c r="B5040" s="26"/>
      <c r="C5040" s="26"/>
      <c r="D5040" s="26"/>
      <c r="E5040" s="26"/>
      <c r="F5040" s="26"/>
      <c r="G5040" s="26"/>
      <c r="H5040" s="26"/>
      <c r="I5040" s="26"/>
      <c r="J5040" s="26"/>
      <c r="K5040" s="26"/>
      <c r="L5040" s="26"/>
      <c r="M5040" s="26"/>
      <c r="N5040" s="26"/>
      <c r="O5040" s="14" t="str">
        <f>HYPERLINK("https://otsuka-europe-crm.veevavault.com/ui/#object/email_activity__v/V8C00000004C160", "EN-002107129")</f>
        <v>EN-002107129</v>
      </c>
    </row>
    <row r="5041" spans="1:15" ht="16" x14ac:dyDescent="0.2">
      <c r="A5041" s="26"/>
      <c r="B5041" s="26"/>
      <c r="C5041" s="26"/>
      <c r="D5041" s="26"/>
      <c r="E5041" s="26"/>
      <c r="F5041" s="26"/>
      <c r="G5041" s="26"/>
      <c r="H5041" s="26"/>
      <c r="I5041" s="26"/>
      <c r="J5041" s="26"/>
      <c r="K5041" s="26"/>
      <c r="L5041" s="26"/>
      <c r="M5041" s="26"/>
      <c r="N5041" s="26"/>
      <c r="O5041" s="14" t="str">
        <f>HYPERLINK("https://otsuka-europe-crm.veevavault.com/ui/#object/email_activity__v/V8C00000004C171", "EN-002107143")</f>
        <v>EN-002107143</v>
      </c>
    </row>
    <row r="5042" spans="1:15" ht="16" x14ac:dyDescent="0.2">
      <c r="A5042" s="26"/>
      <c r="B5042" s="26"/>
      <c r="C5042" s="26"/>
      <c r="D5042" s="26"/>
      <c r="E5042" s="26"/>
      <c r="F5042" s="26"/>
      <c r="G5042" s="26"/>
      <c r="H5042" s="26"/>
      <c r="I5042" s="26"/>
      <c r="J5042" s="26"/>
      <c r="K5042" s="26"/>
      <c r="L5042" s="26"/>
      <c r="M5042" s="26"/>
      <c r="N5042" s="26"/>
      <c r="O5042" s="14" t="str">
        <f>HYPERLINK("https://otsuka-europe-crm.veevavault.com/ui/#object/email_activity__v/V8C00000004C182", "EN-002107165")</f>
        <v>EN-002107165</v>
      </c>
    </row>
    <row r="5043" spans="1:15" ht="16" x14ac:dyDescent="0.2">
      <c r="A5043" s="26"/>
      <c r="B5043" s="26"/>
      <c r="C5043" s="26"/>
      <c r="D5043" s="26"/>
      <c r="E5043" s="26"/>
      <c r="F5043" s="26"/>
      <c r="G5043" s="26"/>
      <c r="H5043" s="26"/>
      <c r="I5043" s="26"/>
      <c r="J5043" s="26"/>
      <c r="K5043" s="26"/>
      <c r="L5043" s="26"/>
      <c r="M5043" s="26"/>
      <c r="N5043" s="26"/>
      <c r="O5043" s="14" t="str">
        <f>HYPERLINK("https://otsuka-europe-crm.veevavault.com/ui/#object/email_activity__v/V8C00000004C496", "EN-002107976")</f>
        <v>EN-002107976</v>
      </c>
    </row>
    <row r="5044" spans="1:15" ht="16" x14ac:dyDescent="0.2">
      <c r="A5044" s="26"/>
      <c r="B5044" s="26"/>
      <c r="C5044" s="26"/>
      <c r="D5044" s="26"/>
      <c r="E5044" s="26"/>
      <c r="F5044" s="26"/>
      <c r="G5044" s="26"/>
      <c r="H5044" s="26"/>
      <c r="I5044" s="26"/>
      <c r="J5044" s="26"/>
      <c r="K5044" s="26"/>
      <c r="L5044" s="26"/>
      <c r="M5044" s="26"/>
      <c r="N5044" s="26"/>
      <c r="O5044" s="14" t="str">
        <f>HYPERLINK("https://otsuka-europe-crm.veevavault.com/ui/#object/email_activity__v/V8C00000004E333", "EN-002109015")</f>
        <v>EN-002109015</v>
      </c>
    </row>
    <row r="5045" spans="1:15" ht="16" x14ac:dyDescent="0.2">
      <c r="A5045" s="19"/>
      <c r="B5045" s="19"/>
      <c r="C5045" s="19"/>
      <c r="D5045" s="19"/>
      <c r="E5045" s="19"/>
      <c r="F5045" s="19"/>
      <c r="G5045" s="19"/>
      <c r="H5045" s="19"/>
      <c r="I5045" s="19"/>
      <c r="J5045" s="19"/>
      <c r="K5045" s="19"/>
      <c r="L5045" s="19"/>
      <c r="M5045" s="19"/>
      <c r="N5045" s="19"/>
      <c r="O5045" s="14" t="str">
        <f>HYPERLINK("https://otsuka-europe-crm.veevavault.com/ui/#object/email_activity__v/V8C00000004G634", "EN-002110884")</f>
        <v>EN-002110884</v>
      </c>
    </row>
    <row r="5046" spans="1:15" ht="16" x14ac:dyDescent="0.2">
      <c r="A5046" s="18" t="str">
        <f>HYPERLINK("https://otsuka-europe-crm.veevavault.com/ui/#object/account__v/V4TZ06G6O8A3YNZ", "Jasminka Cindori")</f>
        <v>Jasminka Cindori</v>
      </c>
      <c r="B5046" s="18" t="str">
        <f>HYPERLINK("https://otsuka-europe-crm.veevavault.com/ui/#object/vcountry__v/VENZ000004SONFK", "GB")</f>
        <v>GB</v>
      </c>
      <c r="C5046" s="20" t="s">
        <v>41</v>
      </c>
      <c r="D5046" s="21" t="str">
        <f>HYPERLINK("https://otsuka-europe-crm.veevavault.com/ui/#object/approved_document__v/V5O00000001V001", "LDM DR P2P Invite 12-Nov-26 v2 [digital]")</f>
        <v>LDM DR P2P Invite 12-Nov-26 v2 [digital]</v>
      </c>
      <c r="E5046" s="22" t="str">
        <f>HYPERLINK("https://otsuka-europe-crm.veevavault.com/ui/#object/sent_email__v/VBL000000038256", "SE-001444072")</f>
        <v>SE-001444072</v>
      </c>
      <c r="F5046" s="23"/>
      <c r="G5046" s="24">
        <v>0</v>
      </c>
      <c r="H5046" s="24">
        <v>0</v>
      </c>
      <c r="I5046" s="24">
        <v>0</v>
      </c>
      <c r="J5046" s="23"/>
      <c r="K5046" s="24">
        <v>0</v>
      </c>
      <c r="L5046" s="22" t="str">
        <f>HYPERLINK("https://otsuka-europe-crm.veevavault.com/ui/#object/approved_document__v/V5O00000001V001", "LDM DR P2P Invite 12-Nov-26 v2 [digital]")</f>
        <v>LDM DR P2P Invite 12-Nov-26 v2 [digital]</v>
      </c>
      <c r="M5046" s="22" t="str">
        <f>HYPERLINK("mailto:draval@crm.otsuka-europe.com", "draval@crm.otsuka-europe.com")</f>
        <v>draval@crm.otsuka-europe.com</v>
      </c>
      <c r="N5046" s="25">
        <v>46218.37835648148</v>
      </c>
      <c r="O5046" s="14" t="str">
        <f>HYPERLINK("https://otsuka-europe-crm.veevavault.com/ui/#object/email_activity__v/V8C000000049713", "EN-002106244")</f>
        <v>EN-002106244</v>
      </c>
    </row>
    <row r="5047" spans="1:15" ht="16" x14ac:dyDescent="0.2">
      <c r="A5047" s="26"/>
      <c r="B5047" s="26"/>
      <c r="C5047" s="26"/>
      <c r="D5047" s="26"/>
      <c r="E5047" s="26"/>
      <c r="F5047" s="26"/>
      <c r="G5047" s="26"/>
      <c r="H5047" s="26"/>
      <c r="I5047" s="26"/>
      <c r="J5047" s="26"/>
      <c r="K5047" s="26"/>
      <c r="L5047" s="26"/>
      <c r="M5047" s="26"/>
      <c r="N5047" s="26"/>
      <c r="O5047" s="14" t="str">
        <f>HYPERLINK("https://otsuka-europe-crm.veevavault.com/ui/#object/email_activity__v/V8C00000004A808", "EN-002106502")</f>
        <v>EN-002106502</v>
      </c>
    </row>
    <row r="5048" spans="1:15" ht="16" x14ac:dyDescent="0.2">
      <c r="A5048" s="19"/>
      <c r="B5048" s="19"/>
      <c r="C5048" s="19"/>
      <c r="D5048" s="19"/>
      <c r="E5048" s="19"/>
      <c r="F5048" s="19"/>
      <c r="G5048" s="19"/>
      <c r="H5048" s="19"/>
      <c r="I5048" s="19"/>
      <c r="J5048" s="19"/>
      <c r="K5048" s="19"/>
      <c r="L5048" s="19"/>
      <c r="M5048" s="19"/>
      <c r="N5048" s="19"/>
      <c r="O5048" s="14" t="str">
        <f>HYPERLINK("https://otsuka-europe-crm.veevavault.com/ui/#object/email_activity__v/V8C00000004B078", "EN-002106867")</f>
        <v>EN-002106867</v>
      </c>
    </row>
    <row r="5049" spans="1:15" ht="32" x14ac:dyDescent="0.2">
      <c r="A5049" s="7" t="str">
        <f>HYPERLINK("https://otsuka-europe-crm.veevavault.com/ui/#object/account__v/V4TZ0000062PP9B", "Simon Clark")</f>
        <v>Simon Clark</v>
      </c>
      <c r="B5049" s="7" t="str">
        <f>HYPERLINK("https://otsuka-europe-crm.veevavault.com/ui/#object/vcountry__v/VENZ000004SONFK", "GB")</f>
        <v>GB</v>
      </c>
      <c r="C5049" s="8" t="s">
        <v>41</v>
      </c>
      <c r="D5049" s="9" t="str">
        <f>HYPERLINK("https://otsuka-europe-crm.veevavault.com/ui/#object/approved_document__v/V5O00000001V001", "LDM DR P2P Invite 12-Nov-26 v2 [digital]")</f>
        <v>LDM DR P2P Invite 12-Nov-26 v2 [digital]</v>
      </c>
      <c r="E5049" s="10" t="str">
        <f>HYPERLINK("https://otsuka-europe-crm.veevavault.com/ui/#object/sent_email__v/VBL000000038257", "SE-001444073")</f>
        <v>SE-001444073</v>
      </c>
      <c r="F5049" s="11"/>
      <c r="G5049" s="12">
        <v>0</v>
      </c>
      <c r="H5049" s="12">
        <v>0</v>
      </c>
      <c r="I5049" s="12">
        <v>0</v>
      </c>
      <c r="J5049" s="11"/>
      <c r="K5049" s="12">
        <v>0</v>
      </c>
      <c r="L5049" s="10" t="str">
        <f>HYPERLINK("https://otsuka-europe-crm.veevavault.com/ui/#object/approved_document__v/V5O00000001V001", "LDM DR P2P Invite 12-Nov-26 v2 [digital]")</f>
        <v>LDM DR P2P Invite 12-Nov-26 v2 [digital]</v>
      </c>
      <c r="M5049" s="10" t="str">
        <f>HYPERLINK("mailto:draval@crm.otsuka-europe.com", "draval@crm.otsuka-europe.com")</f>
        <v>draval@crm.otsuka-europe.com</v>
      </c>
      <c r="N5049" s="13">
        <v>46218.378460648149</v>
      </c>
      <c r="O5049" s="14" t="str">
        <f>HYPERLINK("https://otsuka-europe-crm.veevavault.com/ui/#object/email_activity__v/V8C000000049712", "EN-002106243")</f>
        <v>EN-002106243</v>
      </c>
    </row>
    <row r="5050" spans="1:15" ht="16" x14ac:dyDescent="0.2">
      <c r="A5050" s="18" t="str">
        <f>HYPERLINK("https://otsuka-europe-crm.veevavault.com/ui/#object/account__v/V4TZ0000062PDLI", "Manjeestha Das")</f>
        <v>Manjeestha Das</v>
      </c>
      <c r="B5050" s="18" t="str">
        <f>HYPERLINK("https://otsuka-europe-crm.veevavault.com/ui/#object/vcountry__v/VENZ000004SONFK", "GB")</f>
        <v>GB</v>
      </c>
      <c r="C5050" s="20" t="s">
        <v>41</v>
      </c>
      <c r="D5050" s="21" t="str">
        <f>HYPERLINK("https://otsuka-europe-crm.veevavault.com/ui/#object/approved_document__v/V5O00000001V001", "LDM DR P2P Invite 12-Nov-26 v2 [digital]")</f>
        <v>LDM DR P2P Invite 12-Nov-26 v2 [digital]</v>
      </c>
      <c r="E5050" s="22" t="str">
        <f>HYPERLINK("https://otsuka-europe-crm.veevavault.com/ui/#object/sent_email__v/VBL000000038258", "SE-001444074")</f>
        <v>SE-001444074</v>
      </c>
      <c r="F5050" s="25">
        <v>46218.523761574077</v>
      </c>
      <c r="G5050" s="24">
        <v>1</v>
      </c>
      <c r="H5050" s="24">
        <v>1</v>
      </c>
      <c r="I5050" s="24">
        <v>0</v>
      </c>
      <c r="J5050" s="23"/>
      <c r="K5050" s="24">
        <v>0</v>
      </c>
      <c r="L5050" s="22" t="str">
        <f>HYPERLINK("https://otsuka-europe-crm.veevavault.com/ui/#object/approved_document__v/V5O00000001V001", "LDM DR P2P Invite 12-Nov-26 v2 [digital]")</f>
        <v>LDM DR P2P Invite 12-Nov-26 v2 [digital]</v>
      </c>
      <c r="M5050" s="22" t="str">
        <f>HYPERLINK("mailto:draval@crm.otsuka-europe.com", "draval@crm.otsuka-europe.com")</f>
        <v>draval@crm.otsuka-europe.com</v>
      </c>
      <c r="N5050" s="25">
        <v>46218.378703703704</v>
      </c>
      <c r="O5050" s="14" t="str">
        <f>HYPERLINK("https://otsuka-europe-crm.veevavault.com/ui/#object/email_activity__v/V8C000000049715", "EN-002106246")</f>
        <v>EN-002106246</v>
      </c>
    </row>
    <row r="5051" spans="1:15" ht="16" x14ac:dyDescent="0.2">
      <c r="A5051" s="26"/>
      <c r="B5051" s="26"/>
      <c r="C5051" s="26"/>
      <c r="D5051" s="26"/>
      <c r="E5051" s="26"/>
      <c r="F5051" s="26"/>
      <c r="G5051" s="26"/>
      <c r="H5051" s="26"/>
      <c r="I5051" s="26"/>
      <c r="J5051" s="26"/>
      <c r="K5051" s="26"/>
      <c r="L5051" s="26"/>
      <c r="M5051" s="26"/>
      <c r="N5051" s="26"/>
      <c r="O5051" s="14" t="str">
        <f>HYPERLINK("https://otsuka-europe-crm.veevavault.com/ui/#object/email_activity__v/V8C000000049779", "EN-002106402")</f>
        <v>EN-002106402</v>
      </c>
    </row>
    <row r="5052" spans="1:15" ht="16" x14ac:dyDescent="0.2">
      <c r="A5052" s="26"/>
      <c r="B5052" s="26"/>
      <c r="C5052" s="26"/>
      <c r="D5052" s="26"/>
      <c r="E5052" s="26"/>
      <c r="F5052" s="26"/>
      <c r="G5052" s="26"/>
      <c r="H5052" s="26"/>
      <c r="I5052" s="26"/>
      <c r="J5052" s="26"/>
      <c r="K5052" s="26"/>
      <c r="L5052" s="26"/>
      <c r="M5052" s="26"/>
      <c r="N5052" s="26"/>
      <c r="O5052" s="14" t="str">
        <f>HYPERLINK("https://otsuka-europe-crm.veevavault.com/ui/#object/email_activity__v/V8C000000049827", "EN-002106499")</f>
        <v>EN-002106499</v>
      </c>
    </row>
    <row r="5053" spans="1:15" ht="16" x14ac:dyDescent="0.2">
      <c r="A5053" s="19"/>
      <c r="B5053" s="19"/>
      <c r="C5053" s="19"/>
      <c r="D5053" s="19"/>
      <c r="E5053" s="19"/>
      <c r="F5053" s="19"/>
      <c r="G5053" s="19"/>
      <c r="H5053" s="19"/>
      <c r="I5053" s="19"/>
      <c r="J5053" s="19"/>
      <c r="K5053" s="19"/>
      <c r="L5053" s="19"/>
      <c r="M5053" s="19"/>
      <c r="N5053" s="19"/>
      <c r="O5053" s="14" t="str">
        <f>HYPERLINK("https://otsuka-europe-crm.veevavault.com/ui/#object/email_activity__v/V8C00000004A770", "EN-002106431")</f>
        <v>EN-002106431</v>
      </c>
    </row>
    <row r="5054" spans="1:15" ht="16" x14ac:dyDescent="0.2">
      <c r="A5054" s="18" t="str">
        <f>HYPERLINK("https://otsuka-europe-crm.veevavault.com/ui/#object/account__v/V4TZ025E887977A", "Allan Dinala")</f>
        <v>Allan Dinala</v>
      </c>
      <c r="B5054" s="18" t="str">
        <f>HYPERLINK("https://otsuka-europe-crm.veevavault.com/ui/#object/vcountry__v/VENZ000004SONFK", "GB")</f>
        <v>GB</v>
      </c>
      <c r="C5054" s="20" t="s">
        <v>41</v>
      </c>
      <c r="D5054" s="21" t="str">
        <f>HYPERLINK("https://otsuka-europe-crm.veevavault.com/ui/#object/approved_document__v/V5O00000001V001", "LDM DR P2P Invite 12-Nov-26 v2 [digital]")</f>
        <v>LDM DR P2P Invite 12-Nov-26 v2 [digital]</v>
      </c>
      <c r="E5054" s="22" t="str">
        <f>HYPERLINK("https://otsuka-europe-crm.veevavault.com/ui/#object/sent_email__v/VBL000000038259", "SE-001444075")</f>
        <v>SE-001444075</v>
      </c>
      <c r="F5054" s="25">
        <v>46220.44054398148</v>
      </c>
      <c r="G5054" s="24">
        <v>1</v>
      </c>
      <c r="H5054" s="24">
        <v>11</v>
      </c>
      <c r="I5054" s="24">
        <v>0</v>
      </c>
      <c r="J5054" s="23"/>
      <c r="K5054" s="24">
        <v>0</v>
      </c>
      <c r="L5054" s="22" t="str">
        <f>HYPERLINK("https://otsuka-europe-crm.veevavault.com/ui/#object/approved_document__v/V5O00000001V001", "LDM DR P2P Invite 12-Nov-26 v2 [digital]")</f>
        <v>LDM DR P2P Invite 12-Nov-26 v2 [digital]</v>
      </c>
      <c r="M5054" s="22" t="str">
        <f>HYPERLINK("mailto:draval@crm.otsuka-europe.com", "draval@crm.otsuka-europe.com")</f>
        <v>draval@crm.otsuka-europe.com</v>
      </c>
      <c r="N5054" s="25">
        <v>46218.378738425927</v>
      </c>
      <c r="O5054" s="14" t="str">
        <f>HYPERLINK("https://otsuka-europe-crm.veevavault.com/ui/#object/email_activity__v/V8C000000049714", "EN-002106245")</f>
        <v>EN-002106245</v>
      </c>
    </row>
    <row r="5055" spans="1:15" ht="16" x14ac:dyDescent="0.2">
      <c r="A5055" s="26"/>
      <c r="B5055" s="26"/>
      <c r="C5055" s="26"/>
      <c r="D5055" s="26"/>
      <c r="E5055" s="26"/>
      <c r="F5055" s="26"/>
      <c r="G5055" s="26"/>
      <c r="H5055" s="26"/>
      <c r="I5055" s="26"/>
      <c r="J5055" s="26"/>
      <c r="K5055" s="26"/>
      <c r="L5055" s="26"/>
      <c r="M5055" s="26"/>
      <c r="N5055" s="26"/>
      <c r="O5055" s="14" t="str">
        <f>HYPERLINK("https://otsuka-europe-crm.veevavault.com/ui/#object/email_activity__v/V8C000000049733", "EN-002106297")</f>
        <v>EN-002106297</v>
      </c>
    </row>
    <row r="5056" spans="1:15" ht="16" x14ac:dyDescent="0.2">
      <c r="A5056" s="26"/>
      <c r="B5056" s="26"/>
      <c r="C5056" s="26"/>
      <c r="D5056" s="26"/>
      <c r="E5056" s="26"/>
      <c r="F5056" s="26"/>
      <c r="G5056" s="26"/>
      <c r="H5056" s="26"/>
      <c r="I5056" s="26"/>
      <c r="J5056" s="26"/>
      <c r="K5056" s="26"/>
      <c r="L5056" s="26"/>
      <c r="M5056" s="26"/>
      <c r="N5056" s="26"/>
      <c r="O5056" s="14" t="str">
        <f>HYPERLINK("https://otsuka-europe-crm.veevavault.com/ui/#object/email_activity__v/V8C000000049800", "EN-002106439")</f>
        <v>EN-002106439</v>
      </c>
    </row>
    <row r="5057" spans="1:15" ht="16" x14ac:dyDescent="0.2">
      <c r="A5057" s="26"/>
      <c r="B5057" s="26"/>
      <c r="C5057" s="26"/>
      <c r="D5057" s="26"/>
      <c r="E5057" s="26"/>
      <c r="F5057" s="26"/>
      <c r="G5057" s="26"/>
      <c r="H5057" s="26"/>
      <c r="I5057" s="26"/>
      <c r="J5057" s="26"/>
      <c r="K5057" s="26"/>
      <c r="L5057" s="26"/>
      <c r="M5057" s="26"/>
      <c r="N5057" s="26"/>
      <c r="O5057" s="14" t="str">
        <f>HYPERLINK("https://otsuka-europe-crm.veevavault.com/ui/#object/email_activity__v/V8C000000049802", "EN-002106441")</f>
        <v>EN-002106441</v>
      </c>
    </row>
    <row r="5058" spans="1:15" ht="16" x14ac:dyDescent="0.2">
      <c r="A5058" s="26"/>
      <c r="B5058" s="26"/>
      <c r="C5058" s="26"/>
      <c r="D5058" s="26"/>
      <c r="E5058" s="26"/>
      <c r="F5058" s="26"/>
      <c r="G5058" s="26"/>
      <c r="H5058" s="26"/>
      <c r="I5058" s="26"/>
      <c r="J5058" s="26"/>
      <c r="K5058" s="26"/>
      <c r="L5058" s="26"/>
      <c r="M5058" s="26"/>
      <c r="N5058" s="26"/>
      <c r="O5058" s="14" t="str">
        <f>HYPERLINK("https://otsuka-europe-crm.veevavault.com/ui/#object/email_activity__v/V8C000000049818", "EN-002106472")</f>
        <v>EN-002106472</v>
      </c>
    </row>
    <row r="5059" spans="1:15" ht="16" x14ac:dyDescent="0.2">
      <c r="A5059" s="26"/>
      <c r="B5059" s="26"/>
      <c r="C5059" s="26"/>
      <c r="D5059" s="26"/>
      <c r="E5059" s="26"/>
      <c r="F5059" s="26"/>
      <c r="G5059" s="26"/>
      <c r="H5059" s="26"/>
      <c r="I5059" s="26"/>
      <c r="J5059" s="26"/>
      <c r="K5059" s="26"/>
      <c r="L5059" s="26"/>
      <c r="M5059" s="26"/>
      <c r="N5059" s="26"/>
      <c r="O5059" s="14" t="str">
        <f>HYPERLINK("https://otsuka-europe-crm.veevavault.com/ui/#object/email_activity__v/V8C000000049819", "EN-002106473")</f>
        <v>EN-002106473</v>
      </c>
    </row>
    <row r="5060" spans="1:15" ht="16" x14ac:dyDescent="0.2">
      <c r="A5060" s="26"/>
      <c r="B5060" s="26"/>
      <c r="C5060" s="26"/>
      <c r="D5060" s="26"/>
      <c r="E5060" s="26"/>
      <c r="F5060" s="26"/>
      <c r="G5060" s="26"/>
      <c r="H5060" s="26"/>
      <c r="I5060" s="26"/>
      <c r="J5060" s="26"/>
      <c r="K5060" s="26"/>
      <c r="L5060" s="26"/>
      <c r="M5060" s="26"/>
      <c r="N5060" s="26"/>
      <c r="O5060" s="14" t="str">
        <f>HYPERLINK("https://otsuka-europe-crm.veevavault.com/ui/#object/email_activity__v/V8C00000004A695", "EN-002106286")</f>
        <v>EN-002106286</v>
      </c>
    </row>
    <row r="5061" spans="1:15" ht="16" x14ac:dyDescent="0.2">
      <c r="A5061" s="26"/>
      <c r="B5061" s="26"/>
      <c r="C5061" s="26"/>
      <c r="D5061" s="26"/>
      <c r="E5061" s="26"/>
      <c r="F5061" s="26"/>
      <c r="G5061" s="26"/>
      <c r="H5061" s="26"/>
      <c r="I5061" s="26"/>
      <c r="J5061" s="26"/>
      <c r="K5061" s="26"/>
      <c r="L5061" s="26"/>
      <c r="M5061" s="26"/>
      <c r="N5061" s="26"/>
      <c r="O5061" s="14" t="str">
        <f>HYPERLINK("https://otsuka-europe-crm.veevavault.com/ui/#object/email_activity__v/V8C00000004A774", "EN-002106445")</f>
        <v>EN-002106445</v>
      </c>
    </row>
    <row r="5062" spans="1:15" ht="16" x14ac:dyDescent="0.2">
      <c r="A5062" s="26"/>
      <c r="B5062" s="26"/>
      <c r="C5062" s="26"/>
      <c r="D5062" s="26"/>
      <c r="E5062" s="26"/>
      <c r="F5062" s="26"/>
      <c r="G5062" s="26"/>
      <c r="H5062" s="26"/>
      <c r="I5062" s="26"/>
      <c r="J5062" s="26"/>
      <c r="K5062" s="26"/>
      <c r="L5062" s="26"/>
      <c r="M5062" s="26"/>
      <c r="N5062" s="26"/>
      <c r="O5062" s="14" t="str">
        <f>HYPERLINK("https://otsuka-europe-crm.veevavault.com/ui/#object/email_activity__v/V8C00000004A775", "EN-002106446")</f>
        <v>EN-002106446</v>
      </c>
    </row>
    <row r="5063" spans="1:15" ht="16" x14ac:dyDescent="0.2">
      <c r="A5063" s="26"/>
      <c r="B5063" s="26"/>
      <c r="C5063" s="26"/>
      <c r="D5063" s="26"/>
      <c r="E5063" s="26"/>
      <c r="F5063" s="26"/>
      <c r="G5063" s="26"/>
      <c r="H5063" s="26"/>
      <c r="I5063" s="26"/>
      <c r="J5063" s="26"/>
      <c r="K5063" s="26"/>
      <c r="L5063" s="26"/>
      <c r="M5063" s="26"/>
      <c r="N5063" s="26"/>
      <c r="O5063" s="14" t="str">
        <f>HYPERLINK("https://otsuka-europe-crm.veevavault.com/ui/#object/email_activity__v/V8C00000004A776", "EN-002106448")</f>
        <v>EN-002106448</v>
      </c>
    </row>
    <row r="5064" spans="1:15" ht="16" x14ac:dyDescent="0.2">
      <c r="A5064" s="26"/>
      <c r="B5064" s="26"/>
      <c r="C5064" s="26"/>
      <c r="D5064" s="26"/>
      <c r="E5064" s="26"/>
      <c r="F5064" s="26"/>
      <c r="G5064" s="26"/>
      <c r="H5064" s="26"/>
      <c r="I5064" s="26"/>
      <c r="J5064" s="26"/>
      <c r="K5064" s="26"/>
      <c r="L5064" s="26"/>
      <c r="M5064" s="26"/>
      <c r="N5064" s="26"/>
      <c r="O5064" s="14" t="str">
        <f>HYPERLINK("https://otsuka-europe-crm.veevavault.com/ui/#object/email_activity__v/V8C00000004A777", "EN-002106449")</f>
        <v>EN-002106449</v>
      </c>
    </row>
    <row r="5065" spans="1:15" ht="16" x14ac:dyDescent="0.2">
      <c r="A5065" s="19"/>
      <c r="B5065" s="19"/>
      <c r="C5065" s="19"/>
      <c r="D5065" s="19"/>
      <c r="E5065" s="19"/>
      <c r="F5065" s="19"/>
      <c r="G5065" s="19"/>
      <c r="H5065" s="19"/>
      <c r="I5065" s="19"/>
      <c r="J5065" s="19"/>
      <c r="K5065" s="19"/>
      <c r="L5065" s="19"/>
      <c r="M5065" s="19"/>
      <c r="N5065" s="19"/>
      <c r="O5065" s="14" t="str">
        <f>HYPERLINK("https://otsuka-europe-crm.veevavault.com/ui/#object/email_activity__v/V8C00000004B035", "EN-002106792")</f>
        <v>EN-002106792</v>
      </c>
    </row>
    <row r="5066" spans="1:15" ht="16" x14ac:dyDescent="0.2">
      <c r="A5066" s="18" t="str">
        <f>HYPERLINK("https://otsuka-europe-crm.veevavault.com/ui/#object/account__v/V4T00000001Y002", "Patricia Jacob")</f>
        <v>Patricia Jacob</v>
      </c>
      <c r="B5066" s="18" t="str">
        <f>HYPERLINK("https://otsuka-europe-crm.veevavault.com/ui/#object/vcountry__v/VENZ000004SONFK", "GB")</f>
        <v>GB</v>
      </c>
      <c r="C5066" s="20" t="s">
        <v>41</v>
      </c>
      <c r="D5066" s="21" t="str">
        <f>HYPERLINK("https://otsuka-europe-crm.veevavault.com/ui/#object/approved_document__v/V5O00000001V001", "LDM DR P2P Invite 12-Nov-26 v2 [digital]")</f>
        <v>LDM DR P2P Invite 12-Nov-26 v2 [digital]</v>
      </c>
      <c r="E5066" s="22" t="str">
        <f>HYPERLINK("https://otsuka-europe-crm.veevavault.com/ui/#object/sent_email__v/VBL000000038260", "SE-001444076")</f>
        <v>SE-001444076</v>
      </c>
      <c r="F5066" s="25">
        <v>46218.48400462963</v>
      </c>
      <c r="G5066" s="24">
        <v>1</v>
      </c>
      <c r="H5066" s="24">
        <v>1</v>
      </c>
      <c r="I5066" s="24">
        <v>0</v>
      </c>
      <c r="J5066" s="23"/>
      <c r="K5066" s="24">
        <v>0</v>
      </c>
      <c r="L5066" s="22" t="str">
        <f>HYPERLINK("https://otsuka-europe-crm.veevavault.com/ui/#object/approved_document__v/V5O00000001V001", "LDM DR P2P Invite 12-Nov-26 v2 [digital]")</f>
        <v>LDM DR P2P Invite 12-Nov-26 v2 [digital]</v>
      </c>
      <c r="M5066" s="22" t="str">
        <f>HYPERLINK("mailto:draval@crm.otsuka-europe.com", "draval@crm.otsuka-europe.com")</f>
        <v>draval@crm.otsuka-europe.com</v>
      </c>
      <c r="N5066" s="25">
        <v>46218.379050925927</v>
      </c>
      <c r="O5066" s="14" t="str">
        <f>HYPERLINK("https://otsuka-europe-crm.veevavault.com/ui/#object/email_activity__v/V8C000000049716", "EN-002106247")</f>
        <v>EN-002106247</v>
      </c>
    </row>
    <row r="5067" spans="1:15" ht="16" x14ac:dyDescent="0.2">
      <c r="A5067" s="19"/>
      <c r="B5067" s="19"/>
      <c r="C5067" s="19"/>
      <c r="D5067" s="19"/>
      <c r="E5067" s="19"/>
      <c r="F5067" s="19"/>
      <c r="G5067" s="19"/>
      <c r="H5067" s="19"/>
      <c r="I5067" s="19"/>
      <c r="J5067" s="19"/>
      <c r="K5067" s="19"/>
      <c r="L5067" s="19"/>
      <c r="M5067" s="19"/>
      <c r="N5067" s="19"/>
      <c r="O5067" s="14" t="str">
        <f>HYPERLINK("https://otsuka-europe-crm.veevavault.com/ui/#object/email_activity__v/V8C00000004A760", "EN-002106407")</f>
        <v>EN-002106407</v>
      </c>
    </row>
    <row r="5068" spans="1:15" ht="32" x14ac:dyDescent="0.2">
      <c r="A5068" s="7" t="str">
        <f>HYPERLINK("https://otsuka-europe-crm.veevavault.com/ui/#object/account__v/V4TZ04ASGC7HTD7", "Ahmed El-Missiry")</f>
        <v>Ahmed El-Missiry</v>
      </c>
      <c r="B5068" s="7" t="str">
        <f>HYPERLINK("https://otsuka-europe-crm.veevavault.com/ui/#object/vcountry__v/VENZ000004SONFK", "GB")</f>
        <v>GB</v>
      </c>
      <c r="C5068" s="8" t="s">
        <v>41</v>
      </c>
      <c r="D5068" s="9" t="str">
        <f>HYPERLINK("https://otsuka-europe-crm.veevavault.com/ui/#object/approved_document__v/V5O00000001V001", "LDM DR P2P Invite 12-Nov-26 v2 [digital]")</f>
        <v>LDM DR P2P Invite 12-Nov-26 v2 [digital]</v>
      </c>
      <c r="E5068" s="10" t="str">
        <f>HYPERLINK("https://otsuka-europe-crm.veevavault.com/ui/#object/sent_email__v/VBL000000038261", "SE-001444077")</f>
        <v>SE-001444077</v>
      </c>
      <c r="F5068" s="11"/>
      <c r="G5068" s="12">
        <v>0</v>
      </c>
      <c r="H5068" s="12">
        <v>0</v>
      </c>
      <c r="I5068" s="12">
        <v>0</v>
      </c>
      <c r="J5068" s="11"/>
      <c r="K5068" s="12">
        <v>0</v>
      </c>
      <c r="L5068" s="10" t="str">
        <f>HYPERLINK("https://otsuka-europe-crm.veevavault.com/ui/#object/approved_document__v/V5O00000001V001", "LDM DR P2P Invite 12-Nov-26 v2 [digital]")</f>
        <v>LDM DR P2P Invite 12-Nov-26 v2 [digital]</v>
      </c>
      <c r="M5068" s="10" t="str">
        <f>HYPERLINK("mailto:draval@crm.otsuka-europe.com", "draval@crm.otsuka-europe.com")</f>
        <v>draval@crm.otsuka-europe.com</v>
      </c>
      <c r="N5068" s="13">
        <v>46218.379571759258</v>
      </c>
      <c r="O5068" s="14" t="str">
        <f>HYPERLINK("https://otsuka-europe-crm.veevavault.com/ui/#object/email_activity__v/V8C000000049717", "EN-002106248")</f>
        <v>EN-002106248</v>
      </c>
    </row>
    <row r="5069" spans="1:15" ht="32" x14ac:dyDescent="0.2">
      <c r="A5069" s="7" t="str">
        <f>HYPERLINK("https://otsuka-europe-crm.veevavault.com/ui/#object/account__v/V4TZ04ASG8UU77V", "Jay Faulkner")</f>
        <v>Jay Faulkner</v>
      </c>
      <c r="B5069" s="7" t="str">
        <f>HYPERLINK("https://otsuka-europe-crm.veevavault.com/ui/#object/vcountry__v/VENZ000004SONFK", "GB")</f>
        <v>GB</v>
      </c>
      <c r="C5069" s="8" t="s">
        <v>41</v>
      </c>
      <c r="D5069" s="9" t="str">
        <f>HYPERLINK("https://otsuka-europe-crm.veevavault.com/ui/#object/approved_document__v/V5O00000001V001", "LDM DR P2P Invite 12-Nov-26 v2 [digital]")</f>
        <v>LDM DR P2P Invite 12-Nov-26 v2 [digital]</v>
      </c>
      <c r="E5069" s="10" t="str">
        <f>HYPERLINK("https://otsuka-europe-crm.veevavault.com/ui/#object/sent_email__v/VBL000000038262", "SE-001444078")</f>
        <v>SE-001444078</v>
      </c>
      <c r="F5069" s="11"/>
      <c r="G5069" s="12">
        <v>0</v>
      </c>
      <c r="H5069" s="12">
        <v>0</v>
      </c>
      <c r="I5069" s="12">
        <v>0</v>
      </c>
      <c r="J5069" s="11"/>
      <c r="K5069" s="12">
        <v>0</v>
      </c>
      <c r="L5069" s="10" t="str">
        <f>HYPERLINK("https://otsuka-europe-crm.veevavault.com/ui/#object/approved_document__v/V5O00000001V001", "LDM DR P2P Invite 12-Nov-26 v2 [digital]")</f>
        <v>LDM DR P2P Invite 12-Nov-26 v2 [digital]</v>
      </c>
      <c r="M5069" s="10" t="str">
        <f>HYPERLINK("mailto:draval@crm.otsuka-europe.com", "draval@crm.otsuka-europe.com")</f>
        <v>draval@crm.otsuka-europe.com</v>
      </c>
      <c r="N5069" s="13">
        <v>46218.379652777781</v>
      </c>
      <c r="O5069" s="14" t="str">
        <f>HYPERLINK("https://otsuka-europe-crm.veevavault.com/ui/#object/email_activity__v/V8C000000049718", "EN-002106249")</f>
        <v>EN-002106249</v>
      </c>
    </row>
    <row r="5070" spans="1:15" ht="32" x14ac:dyDescent="0.2">
      <c r="A5070" s="7" t="str">
        <f>HYPERLINK("https://otsuka-europe-crm.veevavault.com/ui/#object/account__v/V4TZ06G6OBI9YDE", "Preeti Gour")</f>
        <v>Preeti Gour</v>
      </c>
      <c r="B5070" s="7" t="str">
        <f>HYPERLINK("https://otsuka-europe-crm.veevavault.com/ui/#object/vcountry__v/VENZ000004SONFK", "GB")</f>
        <v>GB</v>
      </c>
      <c r="C5070" s="8" t="s">
        <v>41</v>
      </c>
      <c r="D5070" s="9" t="str">
        <f>HYPERLINK("https://otsuka-europe-crm.veevavault.com/ui/#object/approved_document__v/V5O00000001V001", "LDM DR P2P Invite 12-Nov-26 v2 [digital]")</f>
        <v>LDM DR P2P Invite 12-Nov-26 v2 [digital]</v>
      </c>
      <c r="E5070" s="10" t="str">
        <f>HYPERLINK("https://otsuka-europe-crm.veevavault.com/ui/#object/sent_email__v/VBL000000038263", "SE-001444079")</f>
        <v>SE-001444079</v>
      </c>
      <c r="F5070" s="11"/>
      <c r="G5070" s="12">
        <v>0</v>
      </c>
      <c r="H5070" s="12">
        <v>0</v>
      </c>
      <c r="I5070" s="12">
        <v>0</v>
      </c>
      <c r="J5070" s="11"/>
      <c r="K5070" s="12">
        <v>0</v>
      </c>
      <c r="L5070" s="10" t="str">
        <f>HYPERLINK("https://otsuka-europe-crm.veevavault.com/ui/#object/approved_document__v/V5O00000001V001", "LDM DR P2P Invite 12-Nov-26 v2 [digital]")</f>
        <v>LDM DR P2P Invite 12-Nov-26 v2 [digital]</v>
      </c>
      <c r="M5070" s="10" t="str">
        <f>HYPERLINK("mailto:draval@crm.otsuka-europe.com", "draval@crm.otsuka-europe.com")</f>
        <v>draval@crm.otsuka-europe.com</v>
      </c>
      <c r="N5070" s="13">
        <v>46218.379930555559</v>
      </c>
      <c r="O5070" s="14" t="str">
        <f>HYPERLINK("https://otsuka-europe-crm.veevavault.com/ui/#object/email_activity__v/V8C00000004A666", "EN-002106251")</f>
        <v>EN-002106251</v>
      </c>
    </row>
    <row r="5071" spans="1:15" ht="32" x14ac:dyDescent="0.2">
      <c r="A5071" s="7" t="str">
        <f>HYPERLINK("https://otsuka-europe-crm.veevavault.com/ui/#object/account__v/V4TZ0000062PE8V", "Poonam Gupta")</f>
        <v>Poonam Gupta</v>
      </c>
      <c r="B5071" s="7" t="str">
        <f>HYPERLINK("https://otsuka-europe-crm.veevavault.com/ui/#object/vcountry__v/VENZ000004SONFK", "GB")</f>
        <v>GB</v>
      </c>
      <c r="C5071" s="8" t="s">
        <v>41</v>
      </c>
      <c r="D5071" s="9" t="str">
        <f>HYPERLINK("https://otsuka-europe-crm.veevavault.com/ui/#object/approved_document__v/V5O00000001V001", "LDM DR P2P Invite 12-Nov-26 v2 [digital]")</f>
        <v>LDM DR P2P Invite 12-Nov-26 v2 [digital]</v>
      </c>
      <c r="E5071" s="10" t="str">
        <f>HYPERLINK("https://otsuka-europe-crm.veevavault.com/ui/#object/sent_email__v/VBL000000037328", "SE-001444080")</f>
        <v>SE-001444080</v>
      </c>
      <c r="F5071" s="11"/>
      <c r="G5071" s="12">
        <v>0</v>
      </c>
      <c r="H5071" s="12">
        <v>0</v>
      </c>
      <c r="I5071" s="12">
        <v>0</v>
      </c>
      <c r="J5071" s="11"/>
      <c r="K5071" s="12">
        <v>0</v>
      </c>
      <c r="L5071" s="10" t="str">
        <f>HYPERLINK("https://otsuka-europe-crm.veevavault.com/ui/#object/approved_document__v/V5O00000001V001", "LDM DR P2P Invite 12-Nov-26 v2 [digital]")</f>
        <v>LDM DR P2P Invite 12-Nov-26 v2 [digital]</v>
      </c>
      <c r="M5071" s="10" t="str">
        <f>HYPERLINK("mailto:draval@crm.otsuka-europe.com", "draval@crm.otsuka-europe.com")</f>
        <v>draval@crm.otsuka-europe.com</v>
      </c>
      <c r="N5071" s="13">
        <v>46218.379965277774</v>
      </c>
      <c r="O5071" s="14" t="str">
        <f>HYPERLINK("https://otsuka-europe-crm.veevavault.com/ui/#object/email_activity__v/V8C000000049719", "EN-002106250")</f>
        <v>EN-002106250</v>
      </c>
    </row>
    <row r="5072" spans="1:15" ht="16" x14ac:dyDescent="0.2">
      <c r="A5072" s="18" t="str">
        <f>HYPERLINK("https://otsuka-europe-crm.veevavault.com/ui/#object/account__v/V4TZ025E82DCHDM", "Reem Hadawey")</f>
        <v>Reem Hadawey</v>
      </c>
      <c r="B5072" s="18" t="str">
        <f>HYPERLINK("https://otsuka-europe-crm.veevavault.com/ui/#object/vcountry__v/VENZ000004SONFK", "GB")</f>
        <v>GB</v>
      </c>
      <c r="C5072" s="20" t="s">
        <v>41</v>
      </c>
      <c r="D5072" s="21" t="str">
        <f>HYPERLINK("https://otsuka-europe-crm.veevavault.com/ui/#object/approved_document__v/V5O00000001V001", "LDM DR P2P Invite 12-Nov-26 v2 [digital]")</f>
        <v>LDM DR P2P Invite 12-Nov-26 v2 [digital]</v>
      </c>
      <c r="E5072" s="22" t="str">
        <f>HYPERLINK("https://otsuka-europe-crm.veevavault.com/ui/#object/sent_email__v/VBL000000038264", "SE-001444081")</f>
        <v>SE-001444081</v>
      </c>
      <c r="F5072" s="25">
        <v>46218.84778935185</v>
      </c>
      <c r="G5072" s="24">
        <v>1</v>
      </c>
      <c r="H5072" s="24">
        <v>2</v>
      </c>
      <c r="I5072" s="24">
        <v>0</v>
      </c>
      <c r="J5072" s="23"/>
      <c r="K5072" s="24">
        <v>0</v>
      </c>
      <c r="L5072" s="22" t="str">
        <f>HYPERLINK("https://otsuka-europe-crm.veevavault.com/ui/#object/approved_document__v/V5O00000001V001", "LDM DR P2P Invite 12-Nov-26 v2 [digital]")</f>
        <v>LDM DR P2P Invite 12-Nov-26 v2 [digital]</v>
      </c>
      <c r="M5072" s="22" t="str">
        <f>HYPERLINK("mailto:draval@crm.otsuka-europe.com", "draval@crm.otsuka-europe.com")</f>
        <v>draval@crm.otsuka-europe.com</v>
      </c>
      <c r="N5072" s="25">
        <v>46218.380266203705</v>
      </c>
      <c r="O5072" s="14" t="str">
        <f>HYPERLINK("https://otsuka-europe-crm.veevavault.com/ui/#object/email_activity__v/V8C000000049720", "EN-002106252")</f>
        <v>EN-002106252</v>
      </c>
    </row>
    <row r="5073" spans="1:15" ht="16" x14ac:dyDescent="0.2">
      <c r="A5073" s="26"/>
      <c r="B5073" s="26"/>
      <c r="C5073" s="26"/>
      <c r="D5073" s="26"/>
      <c r="E5073" s="26"/>
      <c r="F5073" s="26"/>
      <c r="G5073" s="26"/>
      <c r="H5073" s="26"/>
      <c r="I5073" s="26"/>
      <c r="J5073" s="26"/>
      <c r="K5073" s="26"/>
      <c r="L5073" s="26"/>
      <c r="M5073" s="26"/>
      <c r="N5073" s="26"/>
      <c r="O5073" s="14" t="str">
        <f>HYPERLINK("https://otsuka-europe-crm.veevavault.com/ui/#object/email_activity__v/V8C000000049830", "EN-002106508")</f>
        <v>EN-002106508</v>
      </c>
    </row>
    <row r="5074" spans="1:15" ht="16" x14ac:dyDescent="0.2">
      <c r="A5074" s="19"/>
      <c r="B5074" s="19"/>
      <c r="C5074" s="19"/>
      <c r="D5074" s="19"/>
      <c r="E5074" s="19"/>
      <c r="F5074" s="19"/>
      <c r="G5074" s="19"/>
      <c r="H5074" s="19"/>
      <c r="I5074" s="19"/>
      <c r="J5074" s="19"/>
      <c r="K5074" s="19"/>
      <c r="L5074" s="19"/>
      <c r="M5074" s="19"/>
      <c r="N5074" s="19"/>
      <c r="O5074" s="14" t="str">
        <f>HYPERLINK("https://otsuka-europe-crm.veevavault.com/ui/#object/email_activity__v/V8C000000049831", "EN-002106509")</f>
        <v>EN-002106509</v>
      </c>
    </row>
    <row r="5075" spans="1:15" ht="32" x14ac:dyDescent="0.2">
      <c r="A5075" s="7" t="str">
        <f>HYPERLINK("https://otsuka-europe-crm.veevavault.com/ui/#object/account__v/V4TZ0000062PPF8", "Bessie Laryea")</f>
        <v>Bessie Laryea</v>
      </c>
      <c r="B5075" s="7" t="str">
        <f>HYPERLINK("https://otsuka-europe-crm.veevavault.com/ui/#object/vcountry__v/VENZ000004SONFK", "GB")</f>
        <v>GB</v>
      </c>
      <c r="C5075" s="8" t="s">
        <v>41</v>
      </c>
      <c r="D5075" s="9" t="str">
        <f>HYPERLINK("https://otsuka-europe-crm.veevavault.com/ui/#object/approved_document__v/V5O00000001V001", "LDM DR P2P Invite 12-Nov-26 v2 [digital]")</f>
        <v>LDM DR P2P Invite 12-Nov-26 v2 [digital]</v>
      </c>
      <c r="E5075" s="10" t="str">
        <f>HYPERLINK("https://otsuka-europe-crm.veevavault.com/ui/#object/sent_email__v/VBL000000038265", "SE-001444082")</f>
        <v>SE-001444082</v>
      </c>
      <c r="F5075" s="11"/>
      <c r="G5075" s="12">
        <v>0</v>
      </c>
      <c r="H5075" s="12">
        <v>0</v>
      </c>
      <c r="I5075" s="12">
        <v>0</v>
      </c>
      <c r="J5075" s="11"/>
      <c r="K5075" s="12">
        <v>0</v>
      </c>
      <c r="L5075" s="10" t="str">
        <f>HYPERLINK("https://otsuka-europe-crm.veevavault.com/ui/#object/approved_document__v/V5O00000001V001", "LDM DR P2P Invite 12-Nov-26 v2 [digital]")</f>
        <v>LDM DR P2P Invite 12-Nov-26 v2 [digital]</v>
      </c>
      <c r="M5075" s="10" t="str">
        <f>HYPERLINK("mailto:draval@crm.otsuka-europe.com", "draval@crm.otsuka-europe.com")</f>
        <v>draval@crm.otsuka-europe.com</v>
      </c>
      <c r="N5075" s="13">
        <v>46218.380648148152</v>
      </c>
      <c r="O5075" s="14" t="str">
        <f>HYPERLINK("https://otsuka-europe-crm.veevavault.com/ui/#object/email_activity__v/V8C00000004A667", "EN-002106253")</f>
        <v>EN-002106253</v>
      </c>
    </row>
    <row r="5076" spans="1:15" ht="32" x14ac:dyDescent="0.2">
      <c r="A5076" s="7" t="str">
        <f>HYPERLINK("https://otsuka-europe-crm.veevavault.com/ui/#object/account__v/V4TZ06G6OCETYTK", "Ioannis Alafogiannis")</f>
        <v>Ioannis Alafogiannis</v>
      </c>
      <c r="B5076" s="7" t="str">
        <f>HYPERLINK("https://otsuka-europe-crm.veevavault.com/ui/#object/vcountry__v/VENZ000004SONFP", "DE")</f>
        <v>DE</v>
      </c>
      <c r="C5076" s="8" t="s">
        <v>43</v>
      </c>
      <c r="D5076" s="9" t="str">
        <f>HYPERLINK("https://otsuka-europe-crm.veevavault.com/ui/#object/approved_document__v/V5O00000001W001", "INA VAE DE – Zulassung INAQOVI Venetoclax")</f>
        <v>INA VAE DE – Zulassung INAQOVI Venetoclax</v>
      </c>
      <c r="E5076" s="10" t="str">
        <f>HYPERLINK("https://otsuka-europe-crm.veevavault.com/ui/#object/sent_email__v/VBL000000038266", "SE-001444083")</f>
        <v>SE-001444083</v>
      </c>
      <c r="F5076" s="11"/>
      <c r="G5076" s="12">
        <v>0</v>
      </c>
      <c r="H5076" s="12">
        <v>0</v>
      </c>
      <c r="I5076" s="12">
        <v>0</v>
      </c>
      <c r="J5076" s="11"/>
      <c r="K5076" s="12">
        <v>0</v>
      </c>
      <c r="L5076" s="10" t="str">
        <f>HYPERLINK("https://otsuka-europe-crm.veevavault.com/ui/#object/approved_document__v/V5O00000001W001", "INA VAE DE – Zulassung INAQOVI Venetoclax")</f>
        <v>INA VAE DE – Zulassung INAQOVI Venetoclax</v>
      </c>
      <c r="M5076" s="10" t="str">
        <f>HYPERLINK("mailto:mspiegel@crm.otsuka-europe.com", "mspiegel@crm.otsuka-europe.com")</f>
        <v>mspiegel@crm.otsuka-europe.com</v>
      </c>
      <c r="N5076" s="13">
        <v>46218.380648148152</v>
      </c>
      <c r="O5076" s="14" t="str">
        <f>HYPERLINK("https://otsuka-europe-crm.veevavault.com/ui/#object/email_activity__v/V8C00000004A668", "EN-002106254")</f>
        <v>EN-002106254</v>
      </c>
    </row>
    <row r="5077" spans="1:15" ht="16" x14ac:dyDescent="0.2">
      <c r="A5077" s="18" t="str">
        <f>HYPERLINK("https://otsuka-europe-crm.veevavault.com/ui/#object/account__v/V4TZ0000062PKGE", "Andrea Morkah")</f>
        <v>Andrea Morkah</v>
      </c>
      <c r="B5077" s="18" t="str">
        <f>HYPERLINK("https://otsuka-europe-crm.veevavault.com/ui/#object/vcountry__v/VENZ000004SONFK", "GB")</f>
        <v>GB</v>
      </c>
      <c r="C5077" s="20" t="s">
        <v>41</v>
      </c>
      <c r="D5077" s="21" t="str">
        <f>HYPERLINK("https://otsuka-europe-crm.veevavault.com/ui/#object/approved_document__v/V5O00000001V001", "LDM DR P2P Invite 12-Nov-26 v2 [digital]")</f>
        <v>LDM DR P2P Invite 12-Nov-26 v2 [digital]</v>
      </c>
      <c r="E5077" s="22" t="str">
        <f>HYPERLINK("https://otsuka-europe-crm.veevavault.com/ui/#object/sent_email__v/VBL000000038267", "SE-001444084")</f>
        <v>SE-001444084</v>
      </c>
      <c r="F5077" s="25">
        <v>46218.407986111109</v>
      </c>
      <c r="G5077" s="24">
        <v>1</v>
      </c>
      <c r="H5077" s="24">
        <v>2</v>
      </c>
      <c r="I5077" s="24">
        <v>0</v>
      </c>
      <c r="J5077" s="23"/>
      <c r="K5077" s="24">
        <v>0</v>
      </c>
      <c r="L5077" s="22" t="str">
        <f>HYPERLINK("https://otsuka-europe-crm.veevavault.com/ui/#object/approved_document__v/V5O00000001V001", "LDM DR P2P Invite 12-Nov-26 v2 [digital]")</f>
        <v>LDM DR P2P Invite 12-Nov-26 v2 [digital]</v>
      </c>
      <c r="M5077" s="22" t="str">
        <f>HYPERLINK("mailto:draval@crm.otsuka-europe.com", "draval@crm.otsuka-europe.com")</f>
        <v>draval@crm.otsuka-europe.com</v>
      </c>
      <c r="N5077" s="25">
        <v>46218.380972222221</v>
      </c>
      <c r="O5077" s="14" t="str">
        <f>HYPERLINK("https://otsuka-europe-crm.veevavault.com/ui/#object/email_activity__v/V8C000000049721", "EN-002106255")</f>
        <v>EN-002106255</v>
      </c>
    </row>
    <row r="5078" spans="1:15" ht="16" x14ac:dyDescent="0.2">
      <c r="A5078" s="26"/>
      <c r="B5078" s="26"/>
      <c r="C5078" s="26"/>
      <c r="D5078" s="26"/>
      <c r="E5078" s="26"/>
      <c r="F5078" s="26"/>
      <c r="G5078" s="26"/>
      <c r="H5078" s="26"/>
      <c r="I5078" s="26"/>
      <c r="J5078" s="26"/>
      <c r="K5078" s="26"/>
      <c r="L5078" s="26"/>
      <c r="M5078" s="26"/>
      <c r="N5078" s="26"/>
      <c r="O5078" s="14" t="str">
        <f>HYPERLINK("https://otsuka-europe-crm.veevavault.com/ui/#object/email_activity__v/V8C000000049755", "EN-002106344")</f>
        <v>EN-002106344</v>
      </c>
    </row>
    <row r="5079" spans="1:15" ht="16" x14ac:dyDescent="0.2">
      <c r="A5079" s="19"/>
      <c r="B5079" s="19"/>
      <c r="C5079" s="19"/>
      <c r="D5079" s="19"/>
      <c r="E5079" s="19"/>
      <c r="F5079" s="19"/>
      <c r="G5079" s="19"/>
      <c r="H5079" s="19"/>
      <c r="I5079" s="19"/>
      <c r="J5079" s="19"/>
      <c r="K5079" s="19"/>
      <c r="L5079" s="19"/>
      <c r="M5079" s="19"/>
      <c r="N5079" s="19"/>
      <c r="O5079" s="14" t="str">
        <f>HYPERLINK("https://otsuka-europe-crm.veevavault.com/ui/#object/email_activity__v/V8C00000004A720", "EN-002106333")</f>
        <v>EN-002106333</v>
      </c>
    </row>
    <row r="5080" spans="1:15" ht="32" x14ac:dyDescent="0.2">
      <c r="A5080" s="7" t="str">
        <f>HYPERLINK("https://otsuka-europe-crm.veevavault.com/ui/#object/account__v/V4TZ0000062PPPO", "Ishmael Mupfupi")</f>
        <v>Ishmael Mupfupi</v>
      </c>
      <c r="B5080" s="7" t="str">
        <f>HYPERLINK("https://otsuka-europe-crm.veevavault.com/ui/#object/vcountry__v/VENZ000004SONFK", "GB")</f>
        <v>GB</v>
      </c>
      <c r="C5080" s="8" t="s">
        <v>41</v>
      </c>
      <c r="D5080" s="9" t="str">
        <f>HYPERLINK("https://otsuka-europe-crm.veevavault.com/ui/#object/approved_document__v/V5O00000001V001", "LDM DR P2P Invite 12-Nov-26 v2 [digital]")</f>
        <v>LDM DR P2P Invite 12-Nov-26 v2 [digital]</v>
      </c>
      <c r="E5080" s="10" t="str">
        <f>HYPERLINK("https://otsuka-europe-crm.veevavault.com/ui/#object/sent_email__v/VBL000000037329", "SE-001444085")</f>
        <v>SE-001444085</v>
      </c>
      <c r="F5080" s="11"/>
      <c r="G5080" s="12">
        <v>0</v>
      </c>
      <c r="H5080" s="12">
        <v>0</v>
      </c>
      <c r="I5080" s="12">
        <v>0</v>
      </c>
      <c r="J5080" s="11"/>
      <c r="K5080" s="12">
        <v>0</v>
      </c>
      <c r="L5080" s="10" t="str">
        <f>HYPERLINK("https://otsuka-europe-crm.veevavault.com/ui/#object/approved_document__v/V5O00000001V001", "LDM DR P2P Invite 12-Nov-26 v2 [digital]")</f>
        <v>LDM DR P2P Invite 12-Nov-26 v2 [digital]</v>
      </c>
      <c r="M5080" s="10" t="str">
        <f>HYPERLINK("mailto:draval@crm.otsuka-europe.com", "draval@crm.otsuka-europe.com")</f>
        <v>draval@crm.otsuka-europe.com</v>
      </c>
      <c r="N5080" s="13">
        <v>46218.381099537037</v>
      </c>
      <c r="O5080" s="14" t="str">
        <f>HYPERLINK("https://otsuka-europe-crm.veevavault.com/ui/#object/email_activity__v/V8C000000049722", "EN-002106256")</f>
        <v>EN-002106256</v>
      </c>
    </row>
    <row r="5081" spans="1:15" ht="16" x14ac:dyDescent="0.2">
      <c r="A5081" s="18" t="str">
        <f>HYPERLINK("https://otsuka-europe-crm.veevavault.com/ui/#object/account__v/V4TZ0000062PC8Y", "Ammara Musood")</f>
        <v>Ammara Musood</v>
      </c>
      <c r="B5081" s="18" t="str">
        <f>HYPERLINK("https://otsuka-europe-crm.veevavault.com/ui/#object/vcountry__v/VENZ000004SONFK", "GB")</f>
        <v>GB</v>
      </c>
      <c r="C5081" s="20" t="s">
        <v>41</v>
      </c>
      <c r="D5081" s="21" t="str">
        <f>HYPERLINK("https://otsuka-europe-crm.veevavault.com/ui/#object/approved_document__v/V5O00000001V001", "LDM DR P2P Invite 12-Nov-26 v2 [digital]")</f>
        <v>LDM DR P2P Invite 12-Nov-26 v2 [digital]</v>
      </c>
      <c r="E5081" s="22" t="str">
        <f>HYPERLINK("https://otsuka-europe-crm.veevavault.com/ui/#object/sent_email__v/VBL000000037330", "SE-001444086")</f>
        <v>SE-001444086</v>
      </c>
      <c r="F5081" s="23"/>
      <c r="G5081" s="24">
        <v>0</v>
      </c>
      <c r="H5081" s="24">
        <v>0</v>
      </c>
      <c r="I5081" s="24">
        <v>0</v>
      </c>
      <c r="J5081" s="23"/>
      <c r="K5081" s="24">
        <v>0</v>
      </c>
      <c r="L5081" s="22" t="str">
        <f>HYPERLINK("https://otsuka-europe-crm.veevavault.com/ui/#object/approved_document__v/V5O00000001V001", "LDM DR P2P Invite 12-Nov-26 v2 [digital]")</f>
        <v>LDM DR P2P Invite 12-Nov-26 v2 [digital]</v>
      </c>
      <c r="M5081" s="22" t="str">
        <f>HYPERLINK("mailto:draval@crm.otsuka-europe.com", "draval@crm.otsuka-europe.com")</f>
        <v>draval@crm.otsuka-europe.com</v>
      </c>
      <c r="N5081" s="25">
        <v>46218.381319444445</v>
      </c>
      <c r="O5081" s="14" t="str">
        <f>HYPERLINK("https://otsuka-europe-crm.veevavault.com/ui/#object/email_activity__v/V8C000000049723", "EN-002106257")</f>
        <v>EN-002106257</v>
      </c>
    </row>
    <row r="5082" spans="1:15" ht="16" x14ac:dyDescent="0.2">
      <c r="A5082" s="19"/>
      <c r="B5082" s="19"/>
      <c r="C5082" s="19"/>
      <c r="D5082" s="19"/>
      <c r="E5082" s="19"/>
      <c r="F5082" s="19"/>
      <c r="G5082" s="19"/>
      <c r="H5082" s="19"/>
      <c r="I5082" s="19"/>
      <c r="J5082" s="19"/>
      <c r="K5082" s="19"/>
      <c r="L5082" s="19"/>
      <c r="M5082" s="19"/>
      <c r="N5082" s="19"/>
      <c r="O5082" s="14" t="str">
        <f>HYPERLINK("https://otsuka-europe-crm.veevavault.com/ui/#object/email_activity__v/V8C00000004A733", "EN-002106362")</f>
        <v>EN-002106362</v>
      </c>
    </row>
    <row r="5083" spans="1:15" ht="16" x14ac:dyDescent="0.2">
      <c r="A5083" s="18" t="str">
        <f>HYPERLINK("https://otsuka-europe-crm.veevavault.com/ui/#object/account__v/V4TZ04ASGBJRF56", "Mitra Nasri")</f>
        <v>Mitra Nasri</v>
      </c>
      <c r="B5083" s="18" t="str">
        <f>HYPERLINK("https://otsuka-europe-crm.veevavault.com/ui/#object/vcountry__v/VENZ000004SONFK", "GB")</f>
        <v>GB</v>
      </c>
      <c r="C5083" s="20" t="s">
        <v>41</v>
      </c>
      <c r="D5083" s="21" t="str">
        <f>HYPERLINK("https://otsuka-europe-crm.veevavault.com/ui/#object/approved_document__v/V5O00000001V001", "LDM DR P2P Invite 12-Nov-26 v2 [digital]")</f>
        <v>LDM DR P2P Invite 12-Nov-26 v2 [digital]</v>
      </c>
      <c r="E5083" s="22" t="str">
        <f>HYPERLINK("https://otsuka-europe-crm.veevavault.com/ui/#object/sent_email__v/VBL000000038268", "SE-001444087")</f>
        <v>SE-001444087</v>
      </c>
      <c r="F5083" s="25">
        <v>46227.561979166669</v>
      </c>
      <c r="G5083" s="24">
        <v>1</v>
      </c>
      <c r="H5083" s="24">
        <v>36</v>
      </c>
      <c r="I5083" s="24">
        <v>0</v>
      </c>
      <c r="J5083" s="23"/>
      <c r="K5083" s="24">
        <v>0</v>
      </c>
      <c r="L5083" s="22" t="str">
        <f>HYPERLINK("https://otsuka-europe-crm.veevavault.com/ui/#object/approved_document__v/V5O00000001V001", "LDM DR P2P Invite 12-Nov-26 v2 [digital]")</f>
        <v>LDM DR P2P Invite 12-Nov-26 v2 [digital]</v>
      </c>
      <c r="M5083" s="22" t="str">
        <f>HYPERLINK("mailto:draval@crm.otsuka-europe.com", "draval@crm.otsuka-europe.com")</f>
        <v>draval@crm.otsuka-europe.com</v>
      </c>
      <c r="N5083" s="25">
        <v>46218.381377314814</v>
      </c>
      <c r="O5083" s="14" t="str">
        <f>HYPERLINK("https://otsuka-europe-crm.veevavault.com/ui/#object/email_activity__v/V8C000000049724", "EN-002106258")</f>
        <v>EN-002106258</v>
      </c>
    </row>
    <row r="5084" spans="1:15" ht="16" x14ac:dyDescent="0.2">
      <c r="A5084" s="26"/>
      <c r="B5084" s="26"/>
      <c r="C5084" s="26"/>
      <c r="D5084" s="26"/>
      <c r="E5084" s="26"/>
      <c r="F5084" s="26"/>
      <c r="G5084" s="26"/>
      <c r="H5084" s="26"/>
      <c r="I5084" s="26"/>
      <c r="J5084" s="26"/>
      <c r="K5084" s="26"/>
      <c r="L5084" s="26"/>
      <c r="M5084" s="26"/>
      <c r="N5084" s="26"/>
      <c r="O5084" s="14" t="str">
        <f>HYPERLINK("https://otsuka-europe-crm.veevavault.com/ui/#object/email_activity__v/V8C000000049728", "EN-002106289")</f>
        <v>EN-002106289</v>
      </c>
    </row>
    <row r="5085" spans="1:15" ht="16" x14ac:dyDescent="0.2">
      <c r="A5085" s="26"/>
      <c r="B5085" s="26"/>
      <c r="C5085" s="26"/>
      <c r="D5085" s="26"/>
      <c r="E5085" s="26"/>
      <c r="F5085" s="26"/>
      <c r="G5085" s="26"/>
      <c r="H5085" s="26"/>
      <c r="I5085" s="26"/>
      <c r="J5085" s="26"/>
      <c r="K5085" s="26"/>
      <c r="L5085" s="26"/>
      <c r="M5085" s="26"/>
      <c r="N5085" s="26"/>
      <c r="O5085" s="14" t="str">
        <f>HYPERLINK("https://otsuka-europe-crm.veevavault.com/ui/#object/email_activity__v/V8C000000049742", "EN-002106323")</f>
        <v>EN-002106323</v>
      </c>
    </row>
    <row r="5086" spans="1:15" ht="16" x14ac:dyDescent="0.2">
      <c r="A5086" s="26"/>
      <c r="B5086" s="26"/>
      <c r="C5086" s="26"/>
      <c r="D5086" s="26"/>
      <c r="E5086" s="26"/>
      <c r="F5086" s="26"/>
      <c r="G5086" s="26"/>
      <c r="H5086" s="26"/>
      <c r="I5086" s="26"/>
      <c r="J5086" s="26"/>
      <c r="K5086" s="26"/>
      <c r="L5086" s="26"/>
      <c r="M5086" s="26"/>
      <c r="N5086" s="26"/>
      <c r="O5086" s="14" t="str">
        <f>HYPERLINK("https://otsuka-europe-crm.veevavault.com/ui/#object/email_activity__v/V8C000000049748", "EN-002106334")</f>
        <v>EN-002106334</v>
      </c>
    </row>
    <row r="5087" spans="1:15" ht="16" x14ac:dyDescent="0.2">
      <c r="A5087" s="26"/>
      <c r="B5087" s="26"/>
      <c r="C5087" s="26"/>
      <c r="D5087" s="26"/>
      <c r="E5087" s="26"/>
      <c r="F5087" s="26"/>
      <c r="G5087" s="26"/>
      <c r="H5087" s="26"/>
      <c r="I5087" s="26"/>
      <c r="J5087" s="26"/>
      <c r="K5087" s="26"/>
      <c r="L5087" s="26"/>
      <c r="M5087" s="26"/>
      <c r="N5087" s="26"/>
      <c r="O5087" s="14" t="str">
        <f>HYPERLINK("https://otsuka-europe-crm.veevavault.com/ui/#object/email_activity__v/V8C000000049749", "EN-002106335")</f>
        <v>EN-002106335</v>
      </c>
    </row>
    <row r="5088" spans="1:15" ht="16" x14ac:dyDescent="0.2">
      <c r="A5088" s="26"/>
      <c r="B5088" s="26"/>
      <c r="C5088" s="26"/>
      <c r="D5088" s="26"/>
      <c r="E5088" s="26"/>
      <c r="F5088" s="26"/>
      <c r="G5088" s="26"/>
      <c r="H5088" s="26"/>
      <c r="I5088" s="26"/>
      <c r="J5088" s="26"/>
      <c r="K5088" s="26"/>
      <c r="L5088" s="26"/>
      <c r="M5088" s="26"/>
      <c r="N5088" s="26"/>
      <c r="O5088" s="14" t="str">
        <f>HYPERLINK("https://otsuka-europe-crm.veevavault.com/ui/#object/email_activity__v/V8C000000049750", "EN-002106336")</f>
        <v>EN-002106336</v>
      </c>
    </row>
    <row r="5089" spans="1:15" ht="16" x14ac:dyDescent="0.2">
      <c r="A5089" s="26"/>
      <c r="B5089" s="26"/>
      <c r="C5089" s="26"/>
      <c r="D5089" s="26"/>
      <c r="E5089" s="26"/>
      <c r="F5089" s="26"/>
      <c r="G5089" s="26"/>
      <c r="H5089" s="26"/>
      <c r="I5089" s="26"/>
      <c r="J5089" s="26"/>
      <c r="K5089" s="26"/>
      <c r="L5089" s="26"/>
      <c r="M5089" s="26"/>
      <c r="N5089" s="26"/>
      <c r="O5089" s="14" t="str">
        <f>HYPERLINK("https://otsuka-europe-crm.veevavault.com/ui/#object/email_activity__v/V8C000000049751", "EN-002106337")</f>
        <v>EN-002106337</v>
      </c>
    </row>
    <row r="5090" spans="1:15" ht="16" x14ac:dyDescent="0.2">
      <c r="A5090" s="26"/>
      <c r="B5090" s="26"/>
      <c r="C5090" s="26"/>
      <c r="D5090" s="26"/>
      <c r="E5090" s="26"/>
      <c r="F5090" s="26"/>
      <c r="G5090" s="26"/>
      <c r="H5090" s="26"/>
      <c r="I5090" s="26"/>
      <c r="J5090" s="26"/>
      <c r="K5090" s="26"/>
      <c r="L5090" s="26"/>
      <c r="M5090" s="26"/>
      <c r="N5090" s="26"/>
      <c r="O5090" s="14" t="str">
        <f>HYPERLINK("https://otsuka-europe-crm.veevavault.com/ui/#object/email_activity__v/V8C000000049764", "EN-002106363")</f>
        <v>EN-002106363</v>
      </c>
    </row>
    <row r="5091" spans="1:15" ht="16" x14ac:dyDescent="0.2">
      <c r="A5091" s="26"/>
      <c r="B5091" s="26"/>
      <c r="C5091" s="26"/>
      <c r="D5091" s="26"/>
      <c r="E5091" s="26"/>
      <c r="F5091" s="26"/>
      <c r="G5091" s="26"/>
      <c r="H5091" s="26"/>
      <c r="I5091" s="26"/>
      <c r="J5091" s="26"/>
      <c r="K5091" s="26"/>
      <c r="L5091" s="26"/>
      <c r="M5091" s="26"/>
      <c r="N5091" s="26"/>
      <c r="O5091" s="14" t="str">
        <f>HYPERLINK("https://otsuka-europe-crm.veevavault.com/ui/#object/email_activity__v/V8C000000049825", "EN-002106486")</f>
        <v>EN-002106486</v>
      </c>
    </row>
    <row r="5092" spans="1:15" ht="16" x14ac:dyDescent="0.2">
      <c r="A5092" s="26"/>
      <c r="B5092" s="26"/>
      <c r="C5092" s="26"/>
      <c r="D5092" s="26"/>
      <c r="E5092" s="26"/>
      <c r="F5092" s="26"/>
      <c r="G5092" s="26"/>
      <c r="H5092" s="26"/>
      <c r="I5092" s="26"/>
      <c r="J5092" s="26"/>
      <c r="K5092" s="26"/>
      <c r="L5092" s="26"/>
      <c r="M5092" s="26"/>
      <c r="N5092" s="26"/>
      <c r="O5092" s="14" t="str">
        <f>HYPERLINK("https://otsuka-europe-crm.veevavault.com/ui/#object/email_activity__v/V8C00000004A698", "EN-002106294")</f>
        <v>EN-002106294</v>
      </c>
    </row>
    <row r="5093" spans="1:15" ht="16" x14ac:dyDescent="0.2">
      <c r="A5093" s="26"/>
      <c r="B5093" s="26"/>
      <c r="C5093" s="26"/>
      <c r="D5093" s="26"/>
      <c r="E5093" s="26"/>
      <c r="F5093" s="26"/>
      <c r="G5093" s="26"/>
      <c r="H5093" s="26"/>
      <c r="I5093" s="26"/>
      <c r="J5093" s="26"/>
      <c r="K5093" s="26"/>
      <c r="L5093" s="26"/>
      <c r="M5093" s="26"/>
      <c r="N5093" s="26"/>
      <c r="O5093" s="14" t="str">
        <f>HYPERLINK("https://otsuka-europe-crm.veevavault.com/ui/#object/email_activity__v/V8C00000004A700", "EN-002106300")</f>
        <v>EN-002106300</v>
      </c>
    </row>
    <row r="5094" spans="1:15" ht="16" x14ac:dyDescent="0.2">
      <c r="A5094" s="26"/>
      <c r="B5094" s="26"/>
      <c r="C5094" s="26"/>
      <c r="D5094" s="26"/>
      <c r="E5094" s="26"/>
      <c r="F5094" s="26"/>
      <c r="G5094" s="26"/>
      <c r="H5094" s="26"/>
      <c r="I5094" s="26"/>
      <c r="J5094" s="26"/>
      <c r="K5094" s="26"/>
      <c r="L5094" s="26"/>
      <c r="M5094" s="26"/>
      <c r="N5094" s="26"/>
      <c r="O5094" s="14" t="str">
        <f>HYPERLINK("https://otsuka-europe-crm.veevavault.com/ui/#object/email_activity__v/V8C00000004A712", "EN-002106319")</f>
        <v>EN-002106319</v>
      </c>
    </row>
    <row r="5095" spans="1:15" ht="16" x14ac:dyDescent="0.2">
      <c r="A5095" s="26"/>
      <c r="B5095" s="26"/>
      <c r="C5095" s="26"/>
      <c r="D5095" s="26"/>
      <c r="E5095" s="26"/>
      <c r="F5095" s="26"/>
      <c r="G5095" s="26"/>
      <c r="H5095" s="26"/>
      <c r="I5095" s="26"/>
      <c r="J5095" s="26"/>
      <c r="K5095" s="26"/>
      <c r="L5095" s="26"/>
      <c r="M5095" s="26"/>
      <c r="N5095" s="26"/>
      <c r="O5095" s="14" t="str">
        <f>HYPERLINK("https://otsuka-europe-crm.veevavault.com/ui/#object/email_activity__v/V8C00000004A715", "EN-002106322")</f>
        <v>EN-002106322</v>
      </c>
    </row>
    <row r="5096" spans="1:15" ht="16" x14ac:dyDescent="0.2">
      <c r="A5096" s="26"/>
      <c r="B5096" s="26"/>
      <c r="C5096" s="26"/>
      <c r="D5096" s="26"/>
      <c r="E5096" s="26"/>
      <c r="F5096" s="26"/>
      <c r="G5096" s="26"/>
      <c r="H5096" s="26"/>
      <c r="I5096" s="26"/>
      <c r="J5096" s="26"/>
      <c r="K5096" s="26"/>
      <c r="L5096" s="26"/>
      <c r="M5096" s="26"/>
      <c r="N5096" s="26"/>
      <c r="O5096" s="14" t="str">
        <f>HYPERLINK("https://otsuka-europe-crm.veevavault.com/ui/#object/email_activity__v/V8C00000004A796", "EN-002106487")</f>
        <v>EN-002106487</v>
      </c>
    </row>
    <row r="5097" spans="1:15" ht="16" x14ac:dyDescent="0.2">
      <c r="A5097" s="26"/>
      <c r="B5097" s="26"/>
      <c r="C5097" s="26"/>
      <c r="D5097" s="26"/>
      <c r="E5097" s="26"/>
      <c r="F5097" s="26"/>
      <c r="G5097" s="26"/>
      <c r="H5097" s="26"/>
      <c r="I5097" s="26"/>
      <c r="J5097" s="26"/>
      <c r="K5097" s="26"/>
      <c r="L5097" s="26"/>
      <c r="M5097" s="26"/>
      <c r="N5097" s="26"/>
      <c r="O5097" s="14" t="str">
        <f>HYPERLINK("https://otsuka-europe-crm.veevavault.com/ui/#object/email_activity__v/V8C00000004B103", "EN-002106917")</f>
        <v>EN-002106917</v>
      </c>
    </row>
    <row r="5098" spans="1:15" ht="16" x14ac:dyDescent="0.2">
      <c r="A5098" s="26"/>
      <c r="B5098" s="26"/>
      <c r="C5098" s="26"/>
      <c r="D5098" s="26"/>
      <c r="E5098" s="26"/>
      <c r="F5098" s="26"/>
      <c r="G5098" s="26"/>
      <c r="H5098" s="26"/>
      <c r="I5098" s="26"/>
      <c r="J5098" s="26"/>
      <c r="K5098" s="26"/>
      <c r="L5098" s="26"/>
      <c r="M5098" s="26"/>
      <c r="N5098" s="26"/>
      <c r="O5098" s="14" t="str">
        <f>HYPERLINK("https://otsuka-europe-crm.veevavault.com/ui/#object/email_activity__v/V8C00000004B198", "EN-002107051")</f>
        <v>EN-002107051</v>
      </c>
    </row>
    <row r="5099" spans="1:15" ht="16" x14ac:dyDescent="0.2">
      <c r="A5099" s="26"/>
      <c r="B5099" s="26"/>
      <c r="C5099" s="26"/>
      <c r="D5099" s="26"/>
      <c r="E5099" s="26"/>
      <c r="F5099" s="26"/>
      <c r="G5099" s="26"/>
      <c r="H5099" s="26"/>
      <c r="I5099" s="26"/>
      <c r="J5099" s="26"/>
      <c r="K5099" s="26"/>
      <c r="L5099" s="26"/>
      <c r="M5099" s="26"/>
      <c r="N5099" s="26"/>
      <c r="O5099" s="14" t="str">
        <f>HYPERLINK("https://otsuka-europe-crm.veevavault.com/ui/#object/email_activity__v/V8C00000004B199", "EN-002107052")</f>
        <v>EN-002107052</v>
      </c>
    </row>
    <row r="5100" spans="1:15" ht="16" x14ac:dyDescent="0.2">
      <c r="A5100" s="26"/>
      <c r="B5100" s="26"/>
      <c r="C5100" s="26"/>
      <c r="D5100" s="26"/>
      <c r="E5100" s="26"/>
      <c r="F5100" s="26"/>
      <c r="G5100" s="26"/>
      <c r="H5100" s="26"/>
      <c r="I5100" s="26"/>
      <c r="J5100" s="26"/>
      <c r="K5100" s="26"/>
      <c r="L5100" s="26"/>
      <c r="M5100" s="26"/>
      <c r="N5100" s="26"/>
      <c r="O5100" s="14" t="str">
        <f>HYPERLINK("https://otsuka-europe-crm.veevavault.com/ui/#object/email_activity__v/V8C00000004B200", "EN-002107053")</f>
        <v>EN-002107053</v>
      </c>
    </row>
    <row r="5101" spans="1:15" ht="16" x14ac:dyDescent="0.2">
      <c r="A5101" s="26"/>
      <c r="B5101" s="26"/>
      <c r="C5101" s="26"/>
      <c r="D5101" s="26"/>
      <c r="E5101" s="26"/>
      <c r="F5101" s="26"/>
      <c r="G5101" s="26"/>
      <c r="H5101" s="26"/>
      <c r="I5101" s="26"/>
      <c r="J5101" s="26"/>
      <c r="K5101" s="26"/>
      <c r="L5101" s="26"/>
      <c r="M5101" s="26"/>
      <c r="N5101" s="26"/>
      <c r="O5101" s="14" t="str">
        <f>HYPERLINK("https://otsuka-europe-crm.veevavault.com/ui/#object/email_activity__v/V8C00000004B201", "EN-002107055")</f>
        <v>EN-002107055</v>
      </c>
    </row>
    <row r="5102" spans="1:15" ht="16" x14ac:dyDescent="0.2">
      <c r="A5102" s="26"/>
      <c r="B5102" s="26"/>
      <c r="C5102" s="26"/>
      <c r="D5102" s="26"/>
      <c r="E5102" s="26"/>
      <c r="F5102" s="26"/>
      <c r="G5102" s="26"/>
      <c r="H5102" s="26"/>
      <c r="I5102" s="26"/>
      <c r="J5102" s="26"/>
      <c r="K5102" s="26"/>
      <c r="L5102" s="26"/>
      <c r="M5102" s="26"/>
      <c r="N5102" s="26"/>
      <c r="O5102" s="14" t="str">
        <f>HYPERLINK("https://otsuka-europe-crm.veevavault.com/ui/#object/email_activity__v/V8C00000004B203", "EN-002107057")</f>
        <v>EN-002107057</v>
      </c>
    </row>
    <row r="5103" spans="1:15" ht="16" x14ac:dyDescent="0.2">
      <c r="A5103" s="26"/>
      <c r="B5103" s="26"/>
      <c r="C5103" s="26"/>
      <c r="D5103" s="26"/>
      <c r="E5103" s="26"/>
      <c r="F5103" s="26"/>
      <c r="G5103" s="26"/>
      <c r="H5103" s="26"/>
      <c r="I5103" s="26"/>
      <c r="J5103" s="26"/>
      <c r="K5103" s="26"/>
      <c r="L5103" s="26"/>
      <c r="M5103" s="26"/>
      <c r="N5103" s="26"/>
      <c r="O5103" s="14" t="str">
        <f>HYPERLINK("https://otsuka-europe-crm.veevavault.com/ui/#object/email_activity__v/V8C00000004B204", "EN-002107058")</f>
        <v>EN-002107058</v>
      </c>
    </row>
    <row r="5104" spans="1:15" ht="16" x14ac:dyDescent="0.2">
      <c r="A5104" s="26"/>
      <c r="B5104" s="26"/>
      <c r="C5104" s="26"/>
      <c r="D5104" s="26"/>
      <c r="E5104" s="26"/>
      <c r="F5104" s="26"/>
      <c r="G5104" s="26"/>
      <c r="H5104" s="26"/>
      <c r="I5104" s="26"/>
      <c r="J5104" s="26"/>
      <c r="K5104" s="26"/>
      <c r="L5104" s="26"/>
      <c r="M5104" s="26"/>
      <c r="N5104" s="26"/>
      <c r="O5104" s="14" t="str">
        <f>HYPERLINK("https://otsuka-europe-crm.veevavault.com/ui/#object/email_activity__v/V8C00000004B206", "EN-002107064")</f>
        <v>EN-002107064</v>
      </c>
    </row>
    <row r="5105" spans="1:15" ht="16" x14ac:dyDescent="0.2">
      <c r="A5105" s="26"/>
      <c r="B5105" s="26"/>
      <c r="C5105" s="26"/>
      <c r="D5105" s="26"/>
      <c r="E5105" s="26"/>
      <c r="F5105" s="26"/>
      <c r="G5105" s="26"/>
      <c r="H5105" s="26"/>
      <c r="I5105" s="26"/>
      <c r="J5105" s="26"/>
      <c r="K5105" s="26"/>
      <c r="L5105" s="26"/>
      <c r="M5105" s="26"/>
      <c r="N5105" s="26"/>
      <c r="O5105" s="14" t="str">
        <f>HYPERLINK("https://otsuka-europe-crm.veevavault.com/ui/#object/email_activity__v/V8C00000004B210", "EN-002107071")</f>
        <v>EN-002107071</v>
      </c>
    </row>
    <row r="5106" spans="1:15" ht="16" x14ac:dyDescent="0.2">
      <c r="A5106" s="26"/>
      <c r="B5106" s="26"/>
      <c r="C5106" s="26"/>
      <c r="D5106" s="26"/>
      <c r="E5106" s="26"/>
      <c r="F5106" s="26"/>
      <c r="G5106" s="26"/>
      <c r="H5106" s="26"/>
      <c r="I5106" s="26"/>
      <c r="J5106" s="26"/>
      <c r="K5106" s="26"/>
      <c r="L5106" s="26"/>
      <c r="M5106" s="26"/>
      <c r="N5106" s="26"/>
      <c r="O5106" s="14" t="str">
        <f>HYPERLINK("https://otsuka-europe-crm.veevavault.com/ui/#object/email_activity__v/V8C00000004C023", "EN-002106783")</f>
        <v>EN-002106783</v>
      </c>
    </row>
    <row r="5107" spans="1:15" ht="16" x14ac:dyDescent="0.2">
      <c r="A5107" s="26"/>
      <c r="B5107" s="26"/>
      <c r="C5107" s="26"/>
      <c r="D5107" s="26"/>
      <c r="E5107" s="26"/>
      <c r="F5107" s="26"/>
      <c r="G5107" s="26"/>
      <c r="H5107" s="26"/>
      <c r="I5107" s="26"/>
      <c r="J5107" s="26"/>
      <c r="K5107" s="26"/>
      <c r="L5107" s="26"/>
      <c r="M5107" s="26"/>
      <c r="N5107" s="26"/>
      <c r="O5107" s="14" t="str">
        <f>HYPERLINK("https://otsuka-europe-crm.veevavault.com/ui/#object/email_activity__v/V8C00000004C125", "EN-002107050")</f>
        <v>EN-002107050</v>
      </c>
    </row>
    <row r="5108" spans="1:15" ht="16" x14ac:dyDescent="0.2">
      <c r="A5108" s="26"/>
      <c r="B5108" s="26"/>
      <c r="C5108" s="26"/>
      <c r="D5108" s="26"/>
      <c r="E5108" s="26"/>
      <c r="F5108" s="26"/>
      <c r="G5108" s="26"/>
      <c r="H5108" s="26"/>
      <c r="I5108" s="26"/>
      <c r="J5108" s="26"/>
      <c r="K5108" s="26"/>
      <c r="L5108" s="26"/>
      <c r="M5108" s="26"/>
      <c r="N5108" s="26"/>
      <c r="O5108" s="14" t="str">
        <f>HYPERLINK("https://otsuka-europe-crm.veevavault.com/ui/#object/email_activity__v/V8C00000004C126", "EN-002107054")</f>
        <v>EN-002107054</v>
      </c>
    </row>
    <row r="5109" spans="1:15" ht="16" x14ac:dyDescent="0.2">
      <c r="A5109" s="26"/>
      <c r="B5109" s="26"/>
      <c r="C5109" s="26"/>
      <c r="D5109" s="26"/>
      <c r="E5109" s="26"/>
      <c r="F5109" s="26"/>
      <c r="G5109" s="26"/>
      <c r="H5109" s="26"/>
      <c r="I5109" s="26"/>
      <c r="J5109" s="26"/>
      <c r="K5109" s="26"/>
      <c r="L5109" s="26"/>
      <c r="M5109" s="26"/>
      <c r="N5109" s="26"/>
      <c r="O5109" s="14" t="str">
        <f>HYPERLINK("https://otsuka-europe-crm.veevavault.com/ui/#object/email_activity__v/V8C00000004C127", "EN-002107059")</f>
        <v>EN-002107059</v>
      </c>
    </row>
    <row r="5110" spans="1:15" ht="16" x14ac:dyDescent="0.2">
      <c r="A5110" s="26"/>
      <c r="B5110" s="26"/>
      <c r="C5110" s="26"/>
      <c r="D5110" s="26"/>
      <c r="E5110" s="26"/>
      <c r="F5110" s="26"/>
      <c r="G5110" s="26"/>
      <c r="H5110" s="26"/>
      <c r="I5110" s="26"/>
      <c r="J5110" s="26"/>
      <c r="K5110" s="26"/>
      <c r="L5110" s="26"/>
      <c r="M5110" s="26"/>
      <c r="N5110" s="26"/>
      <c r="O5110" s="14" t="str">
        <f>HYPERLINK("https://otsuka-europe-crm.veevavault.com/ui/#object/email_activity__v/V8C00000004C129", "EN-002107061")</f>
        <v>EN-002107061</v>
      </c>
    </row>
    <row r="5111" spans="1:15" ht="16" x14ac:dyDescent="0.2">
      <c r="A5111" s="26"/>
      <c r="B5111" s="26"/>
      <c r="C5111" s="26"/>
      <c r="D5111" s="26"/>
      <c r="E5111" s="26"/>
      <c r="F5111" s="26"/>
      <c r="G5111" s="26"/>
      <c r="H5111" s="26"/>
      <c r="I5111" s="26"/>
      <c r="J5111" s="26"/>
      <c r="K5111" s="26"/>
      <c r="L5111" s="26"/>
      <c r="M5111" s="26"/>
      <c r="N5111" s="26"/>
      <c r="O5111" s="14" t="str">
        <f>HYPERLINK("https://otsuka-europe-crm.veevavault.com/ui/#object/email_activity__v/V8C00000004C130", "EN-002107062")</f>
        <v>EN-002107062</v>
      </c>
    </row>
    <row r="5112" spans="1:15" ht="16" x14ac:dyDescent="0.2">
      <c r="A5112" s="26"/>
      <c r="B5112" s="26"/>
      <c r="C5112" s="26"/>
      <c r="D5112" s="26"/>
      <c r="E5112" s="26"/>
      <c r="F5112" s="26"/>
      <c r="G5112" s="26"/>
      <c r="H5112" s="26"/>
      <c r="I5112" s="26"/>
      <c r="J5112" s="26"/>
      <c r="K5112" s="26"/>
      <c r="L5112" s="26"/>
      <c r="M5112" s="26"/>
      <c r="N5112" s="26"/>
      <c r="O5112" s="14" t="str">
        <f>HYPERLINK("https://otsuka-europe-crm.veevavault.com/ui/#object/email_activity__v/V8C00000004C142", "EN-002107097")</f>
        <v>EN-002107097</v>
      </c>
    </row>
    <row r="5113" spans="1:15" ht="16" x14ac:dyDescent="0.2">
      <c r="A5113" s="26"/>
      <c r="B5113" s="26"/>
      <c r="C5113" s="26"/>
      <c r="D5113" s="26"/>
      <c r="E5113" s="26"/>
      <c r="F5113" s="26"/>
      <c r="G5113" s="26"/>
      <c r="H5113" s="26"/>
      <c r="I5113" s="26"/>
      <c r="J5113" s="26"/>
      <c r="K5113" s="26"/>
      <c r="L5113" s="26"/>
      <c r="M5113" s="26"/>
      <c r="N5113" s="26"/>
      <c r="O5113" s="14" t="str">
        <f>HYPERLINK("https://otsuka-europe-crm.veevavault.com/ui/#object/email_activity__v/V8C00000004C144", "EN-002107100")</f>
        <v>EN-002107100</v>
      </c>
    </row>
    <row r="5114" spans="1:15" ht="16" x14ac:dyDescent="0.2">
      <c r="A5114" s="26"/>
      <c r="B5114" s="26"/>
      <c r="C5114" s="26"/>
      <c r="D5114" s="26"/>
      <c r="E5114" s="26"/>
      <c r="F5114" s="26"/>
      <c r="G5114" s="26"/>
      <c r="H5114" s="26"/>
      <c r="I5114" s="26"/>
      <c r="J5114" s="26"/>
      <c r="K5114" s="26"/>
      <c r="L5114" s="26"/>
      <c r="M5114" s="26"/>
      <c r="N5114" s="26"/>
      <c r="O5114" s="14" t="str">
        <f>HYPERLINK("https://otsuka-europe-crm.veevavault.com/ui/#object/email_activity__v/V8C00000004D071", "EN-002108310")</f>
        <v>EN-002108310</v>
      </c>
    </row>
    <row r="5115" spans="1:15" ht="16" x14ac:dyDescent="0.2">
      <c r="A5115" s="26"/>
      <c r="B5115" s="26"/>
      <c r="C5115" s="26"/>
      <c r="D5115" s="26"/>
      <c r="E5115" s="26"/>
      <c r="F5115" s="26"/>
      <c r="G5115" s="26"/>
      <c r="H5115" s="26"/>
      <c r="I5115" s="26"/>
      <c r="J5115" s="26"/>
      <c r="K5115" s="26"/>
      <c r="L5115" s="26"/>
      <c r="M5115" s="26"/>
      <c r="N5115" s="26"/>
      <c r="O5115" s="14" t="str">
        <f>HYPERLINK("https://otsuka-europe-crm.veevavault.com/ui/#object/email_activity__v/V8C00000004D072", "EN-002108311")</f>
        <v>EN-002108311</v>
      </c>
    </row>
    <row r="5116" spans="1:15" ht="16" x14ac:dyDescent="0.2">
      <c r="A5116" s="26"/>
      <c r="B5116" s="26"/>
      <c r="C5116" s="26"/>
      <c r="D5116" s="26"/>
      <c r="E5116" s="26"/>
      <c r="F5116" s="26"/>
      <c r="G5116" s="26"/>
      <c r="H5116" s="26"/>
      <c r="I5116" s="26"/>
      <c r="J5116" s="26"/>
      <c r="K5116" s="26"/>
      <c r="L5116" s="26"/>
      <c r="M5116" s="26"/>
      <c r="N5116" s="26"/>
      <c r="O5116" s="14" t="str">
        <f>HYPERLINK("https://otsuka-europe-crm.veevavault.com/ui/#object/email_activity__v/V8C00000004E021", "EN-002108309")</f>
        <v>EN-002108309</v>
      </c>
    </row>
    <row r="5117" spans="1:15" ht="16" x14ac:dyDescent="0.2">
      <c r="A5117" s="26"/>
      <c r="B5117" s="26"/>
      <c r="C5117" s="26"/>
      <c r="D5117" s="26"/>
      <c r="E5117" s="26"/>
      <c r="F5117" s="26"/>
      <c r="G5117" s="26"/>
      <c r="H5117" s="26"/>
      <c r="I5117" s="26"/>
      <c r="J5117" s="26"/>
      <c r="K5117" s="26"/>
      <c r="L5117" s="26"/>
      <c r="M5117" s="26"/>
      <c r="N5117" s="26"/>
      <c r="O5117" s="14" t="str">
        <f>HYPERLINK("https://otsuka-europe-crm.veevavault.com/ui/#object/email_activity__v/V8C00000004E022", "EN-002108312")</f>
        <v>EN-002108312</v>
      </c>
    </row>
    <row r="5118" spans="1:15" ht="16" x14ac:dyDescent="0.2">
      <c r="A5118" s="26"/>
      <c r="B5118" s="26"/>
      <c r="C5118" s="26"/>
      <c r="D5118" s="26"/>
      <c r="E5118" s="26"/>
      <c r="F5118" s="26"/>
      <c r="G5118" s="26"/>
      <c r="H5118" s="26"/>
      <c r="I5118" s="26"/>
      <c r="J5118" s="26"/>
      <c r="K5118" s="26"/>
      <c r="L5118" s="26"/>
      <c r="M5118" s="26"/>
      <c r="N5118" s="26"/>
      <c r="O5118" s="14" t="str">
        <f>HYPERLINK("https://otsuka-europe-crm.veevavault.com/ui/#object/email_activity__v/V8C00000004E198", "EN-002108783")</f>
        <v>EN-002108783</v>
      </c>
    </row>
    <row r="5119" spans="1:15" ht="16" x14ac:dyDescent="0.2">
      <c r="A5119" s="19"/>
      <c r="B5119" s="19"/>
      <c r="C5119" s="19"/>
      <c r="D5119" s="19"/>
      <c r="E5119" s="19"/>
      <c r="F5119" s="19"/>
      <c r="G5119" s="19"/>
      <c r="H5119" s="19"/>
      <c r="I5119" s="19"/>
      <c r="J5119" s="19"/>
      <c r="K5119" s="19"/>
      <c r="L5119" s="19"/>
      <c r="M5119" s="19"/>
      <c r="N5119" s="19"/>
      <c r="O5119" s="14" t="str">
        <f>HYPERLINK("https://otsuka-europe-crm.veevavault.com/ui/#object/email_activity__v/V8C00000004E199", "EN-002108784")</f>
        <v>EN-002108784</v>
      </c>
    </row>
    <row r="5120" spans="1:15" ht="32" x14ac:dyDescent="0.2">
      <c r="A5120" s="7" t="str">
        <f>HYPERLINK("https://otsuka-europe-crm.veevavault.com/ui/#object/account__v/V4TZ025E8562V85", "Blessing Nyahora")</f>
        <v>Blessing Nyahora</v>
      </c>
      <c r="B5120" s="7" t="str">
        <f>HYPERLINK("https://otsuka-europe-crm.veevavault.com/ui/#object/vcountry__v/VENZ000004SONFK", "GB")</f>
        <v>GB</v>
      </c>
      <c r="C5120" s="8" t="s">
        <v>41</v>
      </c>
      <c r="D5120" s="9" t="str">
        <f>HYPERLINK("https://otsuka-europe-crm.veevavault.com/ui/#object/approved_document__v/V5O00000001V001", "LDM DR P2P Invite 12-Nov-26 v2 [digital]")</f>
        <v>LDM DR P2P Invite 12-Nov-26 v2 [digital]</v>
      </c>
      <c r="E5120" s="10" t="str">
        <f>HYPERLINK("https://otsuka-europe-crm.veevavault.com/ui/#object/sent_email__v/VBL000000038269", "SE-001444088")</f>
        <v>SE-001444088</v>
      </c>
      <c r="F5120" s="11"/>
      <c r="G5120" s="12">
        <v>0</v>
      </c>
      <c r="H5120" s="12">
        <v>0</v>
      </c>
      <c r="I5120" s="12">
        <v>0</v>
      </c>
      <c r="J5120" s="11"/>
      <c r="K5120" s="12">
        <v>0</v>
      </c>
      <c r="L5120" s="10" t="str">
        <f>HYPERLINK("https://otsuka-europe-crm.veevavault.com/ui/#object/approved_document__v/V5O00000001V001", "LDM DR P2P Invite 12-Nov-26 v2 [digital]")</f>
        <v>LDM DR P2P Invite 12-Nov-26 v2 [digital]</v>
      </c>
      <c r="M5120" s="10" t="str">
        <f>HYPERLINK("mailto:draval@crm.otsuka-europe.com", "draval@crm.otsuka-europe.com")</f>
        <v>draval@crm.otsuka-europe.com</v>
      </c>
      <c r="N5120" s="13">
        <v>46218.381666666668</v>
      </c>
      <c r="O5120" s="14" t="str">
        <f>HYPERLINK("https://otsuka-europe-crm.veevavault.com/ui/#object/email_activity__v/V8C00000004A669", "EN-002106259")</f>
        <v>EN-002106259</v>
      </c>
    </row>
    <row r="5121" spans="1:15" ht="16" x14ac:dyDescent="0.2">
      <c r="A5121" s="18" t="str">
        <f>HYPERLINK("https://otsuka-europe-crm.veevavault.com/ui/#object/account__v/V4TZ0000062PAXC", "Ruchit Patel")</f>
        <v>Ruchit Patel</v>
      </c>
      <c r="B5121" s="18" t="str">
        <f>HYPERLINK("https://otsuka-europe-crm.veevavault.com/ui/#object/vcountry__v/VENZ000004SONFK", "GB")</f>
        <v>GB</v>
      </c>
      <c r="C5121" s="20" t="s">
        <v>41</v>
      </c>
      <c r="D5121" s="21" t="str">
        <f>HYPERLINK("https://otsuka-europe-crm.veevavault.com/ui/#object/approved_document__v/V5O00000001V001", "LDM DR P2P Invite 12-Nov-26 v2 [digital]")</f>
        <v>LDM DR P2P Invite 12-Nov-26 v2 [digital]</v>
      </c>
      <c r="E5121" s="22" t="str">
        <f>HYPERLINK("https://otsuka-europe-crm.veevavault.com/ui/#object/sent_email__v/VBL000000038270", "SE-001444089")</f>
        <v>SE-001444089</v>
      </c>
      <c r="F5121" s="23"/>
      <c r="G5121" s="24">
        <v>0</v>
      </c>
      <c r="H5121" s="24">
        <v>0</v>
      </c>
      <c r="I5121" s="24">
        <v>0</v>
      </c>
      <c r="J5121" s="23"/>
      <c r="K5121" s="24">
        <v>0</v>
      </c>
      <c r="L5121" s="22" t="str">
        <f>HYPERLINK("https://otsuka-europe-crm.veevavault.com/ui/#object/approved_document__v/V5O00000001V001", "LDM DR P2P Invite 12-Nov-26 v2 [digital]")</f>
        <v>LDM DR P2P Invite 12-Nov-26 v2 [digital]</v>
      </c>
      <c r="M5121" s="22" t="str">
        <f>HYPERLINK("mailto:draval@crm.otsuka-europe.com", "draval@crm.otsuka-europe.com")</f>
        <v>draval@crm.otsuka-europe.com</v>
      </c>
      <c r="N5121" s="25">
        <v>46218.382025462961</v>
      </c>
      <c r="O5121" s="14" t="str">
        <f>HYPERLINK("https://otsuka-europe-crm.veevavault.com/ui/#object/email_activity__v/V8C000000049813", "EN-002106462")</f>
        <v>EN-002106462</v>
      </c>
    </row>
    <row r="5122" spans="1:15" ht="16" x14ac:dyDescent="0.2">
      <c r="A5122" s="19"/>
      <c r="B5122" s="19"/>
      <c r="C5122" s="19"/>
      <c r="D5122" s="19"/>
      <c r="E5122" s="19"/>
      <c r="F5122" s="19"/>
      <c r="G5122" s="19"/>
      <c r="H5122" s="19"/>
      <c r="I5122" s="19"/>
      <c r="J5122" s="19"/>
      <c r="K5122" s="19"/>
      <c r="L5122" s="19"/>
      <c r="M5122" s="19"/>
      <c r="N5122" s="19"/>
      <c r="O5122" s="14" t="str">
        <f>HYPERLINK("https://otsuka-europe-crm.veevavault.com/ui/#object/email_activity__v/V8C00000004A671", "EN-002106261")</f>
        <v>EN-002106261</v>
      </c>
    </row>
    <row r="5123" spans="1:15" ht="16" x14ac:dyDescent="0.2">
      <c r="A5123" s="18" t="str">
        <f>HYPERLINK("https://otsuka-europe-crm.veevavault.com/ui/#object/account__v/V4TZ000006352ZP", "Nadine Feyen")</f>
        <v>Nadine Feyen</v>
      </c>
      <c r="B5123" s="18" t="str">
        <f>HYPERLINK("https://otsuka-europe-crm.veevavault.com/ui/#object/vcountry__v/VENZ000004SONFP", "DE")</f>
        <v>DE</v>
      </c>
      <c r="C5123" s="20" t="s">
        <v>43</v>
      </c>
      <c r="D5123" s="21" t="str">
        <f>HYPERLINK("https://otsuka-europe-crm.veevavault.com/ui/#object/approved_document__v/V5O00000001W001", "INA VAE DE – Zulassung INAQOVI Venetoclax")</f>
        <v>INA VAE DE – Zulassung INAQOVI Venetoclax</v>
      </c>
      <c r="E5123" s="22" t="str">
        <f>HYPERLINK("https://otsuka-europe-crm.veevavault.com/ui/#object/sent_email__v/VBL000000037331", "SE-001444090")</f>
        <v>SE-001444090</v>
      </c>
      <c r="F5123" s="25">
        <v>46218.382488425923</v>
      </c>
      <c r="G5123" s="24">
        <v>1</v>
      </c>
      <c r="H5123" s="24">
        <v>1</v>
      </c>
      <c r="I5123" s="24">
        <v>1</v>
      </c>
      <c r="J5123" s="25">
        <v>46218.382488425923</v>
      </c>
      <c r="K5123" s="24">
        <v>1</v>
      </c>
      <c r="L5123" s="22" t="str">
        <f>HYPERLINK("https://otsuka-europe-crm.veevavault.com/ui/#object/approved_document__v/V5O00000001W001", "INA VAE DE – Zulassung INAQOVI Venetoclax")</f>
        <v>INA VAE DE – Zulassung INAQOVI Venetoclax</v>
      </c>
      <c r="M5123" s="22" t="str">
        <f>HYPERLINK("mailto:mspiegel@crm.otsuka-europe.com", "mspiegel@crm.otsuka-europe.com")</f>
        <v>mspiegel@crm.otsuka-europe.com</v>
      </c>
      <c r="N5123" s="25">
        <v>46218.382013888891</v>
      </c>
      <c r="O5123" s="14" t="str">
        <f>HYPERLINK("https://otsuka-europe-crm.veevavault.com/ui/#object/email_activity__v/V8C00000004A673", "EN-002106263")</f>
        <v>EN-002106263</v>
      </c>
    </row>
    <row r="5124" spans="1:15" ht="16" x14ac:dyDescent="0.2">
      <c r="A5124" s="26"/>
      <c r="B5124" s="26"/>
      <c r="C5124" s="26"/>
      <c r="D5124" s="26"/>
      <c r="E5124" s="26"/>
      <c r="F5124" s="26"/>
      <c r="G5124" s="26"/>
      <c r="H5124" s="26"/>
      <c r="I5124" s="26"/>
      <c r="J5124" s="26"/>
      <c r="K5124" s="26"/>
      <c r="L5124" s="26"/>
      <c r="M5124" s="26"/>
      <c r="N5124" s="26"/>
      <c r="O5124" s="14" t="str">
        <f>HYPERLINK("https://otsuka-europe-crm.veevavault.com/ui/#object/email_activity__v/V8C00000004A676", "EN-002106267")</f>
        <v>EN-002106267</v>
      </c>
    </row>
    <row r="5125" spans="1:15" ht="16" x14ac:dyDescent="0.2">
      <c r="A5125" s="19"/>
      <c r="B5125" s="19"/>
      <c r="C5125" s="19"/>
      <c r="D5125" s="19"/>
      <c r="E5125" s="19"/>
      <c r="F5125" s="19"/>
      <c r="G5125" s="19"/>
      <c r="H5125" s="19"/>
      <c r="I5125" s="19"/>
      <c r="J5125" s="19"/>
      <c r="K5125" s="19"/>
      <c r="L5125" s="19"/>
      <c r="M5125" s="19"/>
      <c r="N5125" s="19"/>
      <c r="O5125" s="14" t="str">
        <f>HYPERLINK("https://otsuka-europe-crm.veevavault.com/ui/#object/email_activity__v/V8C00000004A677", "EN-002106266")</f>
        <v>EN-002106266</v>
      </c>
    </row>
    <row r="5126" spans="1:15" ht="16" x14ac:dyDescent="0.2">
      <c r="A5126" s="18" t="str">
        <f>HYPERLINK("https://otsuka-europe-crm.veevavault.com/ui/#object/account__v/V4TZ0000062PHL3", "Kiran Purandare")</f>
        <v>Kiran Purandare</v>
      </c>
      <c r="B5126" s="18" t="str">
        <f>HYPERLINK("https://otsuka-europe-crm.veevavault.com/ui/#object/vcountry__v/VENZ000004SONFK", "GB")</f>
        <v>GB</v>
      </c>
      <c r="C5126" s="20" t="s">
        <v>41</v>
      </c>
      <c r="D5126" s="21" t="str">
        <f>HYPERLINK("https://otsuka-europe-crm.veevavault.com/ui/#object/approved_document__v/V5O00000001V001", "LDM DR P2P Invite 12-Nov-26 v2 [digital]")</f>
        <v>LDM DR P2P Invite 12-Nov-26 v2 [digital]</v>
      </c>
      <c r="E5126" s="22" t="str">
        <f>HYPERLINK("https://otsuka-europe-crm.veevavault.com/ui/#object/sent_email__v/VBL000000038271", "SE-001444091")</f>
        <v>SE-001444091</v>
      </c>
      <c r="F5126" s="25">
        <v>46218.389108796298</v>
      </c>
      <c r="G5126" s="24">
        <v>1</v>
      </c>
      <c r="H5126" s="24">
        <v>1</v>
      </c>
      <c r="I5126" s="24">
        <v>0</v>
      </c>
      <c r="J5126" s="23"/>
      <c r="K5126" s="24">
        <v>0</v>
      </c>
      <c r="L5126" s="22" t="str">
        <f>HYPERLINK("https://otsuka-europe-crm.veevavault.com/ui/#object/approved_document__v/V5O00000001V001", "LDM DR P2P Invite 12-Nov-26 v2 [digital]")</f>
        <v>LDM DR P2P Invite 12-Nov-26 v2 [digital]</v>
      </c>
      <c r="M5126" s="22" t="str">
        <f>HYPERLINK("mailto:draval@crm.otsuka-europe.com", "draval@crm.otsuka-europe.com")</f>
        <v>draval@crm.otsuka-europe.com</v>
      </c>
      <c r="N5126" s="25">
        <v>46218.38208333333</v>
      </c>
      <c r="O5126" s="14" t="str">
        <f>HYPERLINK("https://otsuka-europe-crm.veevavault.com/ui/#object/email_activity__v/V8C000000049734", "EN-002106298")</f>
        <v>EN-002106298</v>
      </c>
    </row>
    <row r="5127" spans="1:15" ht="16" x14ac:dyDescent="0.2">
      <c r="A5127" s="19"/>
      <c r="B5127" s="19"/>
      <c r="C5127" s="19"/>
      <c r="D5127" s="19"/>
      <c r="E5127" s="19"/>
      <c r="F5127" s="19"/>
      <c r="G5127" s="19"/>
      <c r="H5127" s="19"/>
      <c r="I5127" s="19"/>
      <c r="J5127" s="19"/>
      <c r="K5127" s="19"/>
      <c r="L5127" s="19"/>
      <c r="M5127" s="19"/>
      <c r="N5127" s="19"/>
      <c r="O5127" s="14" t="str">
        <f>HYPERLINK("https://otsuka-europe-crm.veevavault.com/ui/#object/email_activity__v/V8C00000004A672", "EN-002106262")</f>
        <v>EN-002106262</v>
      </c>
    </row>
    <row r="5128" spans="1:15" ht="16" x14ac:dyDescent="0.2">
      <c r="A5128" s="18" t="str">
        <f>HYPERLINK("https://otsuka-europe-crm.veevavault.com/ui/#object/account__v/V4TZ0000062PHMX", "Nikola Rahaman")</f>
        <v>Nikola Rahaman</v>
      </c>
      <c r="B5128" s="18" t="str">
        <f>HYPERLINK("https://otsuka-europe-crm.veevavault.com/ui/#object/vcountry__v/VENZ000004SONFK", "GB")</f>
        <v>GB</v>
      </c>
      <c r="C5128" s="20" t="s">
        <v>41</v>
      </c>
      <c r="D5128" s="21" t="str">
        <f>HYPERLINK("https://otsuka-europe-crm.veevavault.com/ui/#object/approved_document__v/V5O00000001V001", "LDM DR P2P Invite 12-Nov-26 v2 [digital]")</f>
        <v>LDM DR P2P Invite 12-Nov-26 v2 [digital]</v>
      </c>
      <c r="E5128" s="22" t="str">
        <f>HYPERLINK("https://otsuka-europe-crm.veevavault.com/ui/#object/sent_email__v/VBL000000038272", "SE-001444092")</f>
        <v>SE-001444092</v>
      </c>
      <c r="F5128" s="25">
        <v>46237.605671296296</v>
      </c>
      <c r="G5128" s="24">
        <v>1</v>
      </c>
      <c r="H5128" s="24">
        <v>3</v>
      </c>
      <c r="I5128" s="24">
        <v>0</v>
      </c>
      <c r="J5128" s="23"/>
      <c r="K5128" s="24">
        <v>0</v>
      </c>
      <c r="L5128" s="22" t="str">
        <f>HYPERLINK("https://otsuka-europe-crm.veevavault.com/ui/#object/approved_document__v/V5O00000001V001", "LDM DR P2P Invite 12-Nov-26 v2 [digital]")</f>
        <v>LDM DR P2P Invite 12-Nov-26 v2 [digital]</v>
      </c>
      <c r="M5128" s="22" t="str">
        <f>HYPERLINK("mailto:draval@crm.otsuka-europe.com", "draval@crm.otsuka-europe.com")</f>
        <v>draval@crm.otsuka-europe.com</v>
      </c>
      <c r="N5128" s="25">
        <v>46218.382210648146</v>
      </c>
      <c r="O5128" s="14" t="str">
        <f>HYPERLINK("https://otsuka-europe-crm.veevavault.com/ui/#object/email_activity__v/V8C00000004A674", "EN-002106264")</f>
        <v>EN-002106264</v>
      </c>
    </row>
    <row r="5129" spans="1:15" ht="16" x14ac:dyDescent="0.2">
      <c r="A5129" s="26"/>
      <c r="B5129" s="26"/>
      <c r="C5129" s="26"/>
      <c r="D5129" s="26"/>
      <c r="E5129" s="26"/>
      <c r="F5129" s="26"/>
      <c r="G5129" s="26"/>
      <c r="H5129" s="26"/>
      <c r="I5129" s="26"/>
      <c r="J5129" s="26"/>
      <c r="K5129" s="26"/>
      <c r="L5129" s="26"/>
      <c r="M5129" s="26"/>
      <c r="N5129" s="26"/>
      <c r="O5129" s="14" t="str">
        <f>HYPERLINK("https://otsuka-europe-crm.veevavault.com/ui/#object/email_activity__v/V8C00000004D666", "EN-002109427")</f>
        <v>EN-002109427</v>
      </c>
    </row>
    <row r="5130" spans="1:15" ht="16" x14ac:dyDescent="0.2">
      <c r="A5130" s="26"/>
      <c r="B5130" s="26"/>
      <c r="C5130" s="26"/>
      <c r="D5130" s="26"/>
      <c r="E5130" s="26"/>
      <c r="F5130" s="26"/>
      <c r="G5130" s="26"/>
      <c r="H5130" s="26"/>
      <c r="I5130" s="26"/>
      <c r="J5130" s="26"/>
      <c r="K5130" s="26"/>
      <c r="L5130" s="26"/>
      <c r="M5130" s="26"/>
      <c r="N5130" s="26"/>
      <c r="O5130" s="14" t="str">
        <f>HYPERLINK("https://otsuka-europe-crm.veevavault.com/ui/#object/email_activity__v/V8C00000004E532", "EN-002109403")</f>
        <v>EN-002109403</v>
      </c>
    </row>
    <row r="5131" spans="1:15" ht="16" x14ac:dyDescent="0.2">
      <c r="A5131" s="19"/>
      <c r="B5131" s="19"/>
      <c r="C5131" s="19"/>
      <c r="D5131" s="19"/>
      <c r="E5131" s="19"/>
      <c r="F5131" s="19"/>
      <c r="G5131" s="19"/>
      <c r="H5131" s="19"/>
      <c r="I5131" s="19"/>
      <c r="J5131" s="19"/>
      <c r="K5131" s="19"/>
      <c r="L5131" s="19"/>
      <c r="M5131" s="19"/>
      <c r="N5131" s="19"/>
      <c r="O5131" s="14" t="str">
        <f>HYPERLINK("https://otsuka-europe-crm.veevavault.com/ui/#object/email_activity__v/V8C00000004I156", "EN-002111330")</f>
        <v>EN-002111330</v>
      </c>
    </row>
    <row r="5132" spans="1:15" ht="32" x14ac:dyDescent="0.2">
      <c r="A5132" s="7" t="str">
        <f>HYPERLINK("https://otsuka-europe-crm.veevavault.com/ui/#object/account__v/V4TZ025E87FTMYT", "Imrana Puttaroo")</f>
        <v>Imrana Puttaroo</v>
      </c>
      <c r="B5132" s="7" t="str">
        <f>HYPERLINK("https://otsuka-europe-crm.veevavault.com/ui/#object/vcountry__v/VENZ000004SONFK", "GB")</f>
        <v>GB</v>
      </c>
      <c r="C5132" s="8" t="s">
        <v>41</v>
      </c>
      <c r="D5132" s="9" t="str">
        <f>HYPERLINK("https://otsuka-europe-crm.veevavault.com/ui/#object/approved_document__v/V5O00000001V001", "LDM DR P2P Invite 12-Nov-26 v2 [digital]")</f>
        <v>LDM DR P2P Invite 12-Nov-26 v2 [digital]</v>
      </c>
      <c r="E5132" s="10" t="str">
        <f>HYPERLINK("https://otsuka-europe-crm.veevavault.com/ui/#object/sent_email__v/VBL000000038273", "SE-001444093")</f>
        <v>SE-001444093</v>
      </c>
      <c r="F5132" s="11"/>
      <c r="G5132" s="12">
        <v>0</v>
      </c>
      <c r="H5132" s="12">
        <v>0</v>
      </c>
      <c r="I5132" s="12">
        <v>0</v>
      </c>
      <c r="J5132" s="11"/>
      <c r="K5132" s="12">
        <v>0</v>
      </c>
      <c r="L5132" s="10" t="str">
        <f>HYPERLINK("https://otsuka-europe-crm.veevavault.com/ui/#object/approved_document__v/V5O00000001V001", "LDM DR P2P Invite 12-Nov-26 v2 [digital]")</f>
        <v>LDM DR P2P Invite 12-Nov-26 v2 [digital]</v>
      </c>
      <c r="M5132" s="10" t="str">
        <f>HYPERLINK("mailto:draval@crm.otsuka-europe.com", "draval@crm.otsuka-europe.com")</f>
        <v>draval@crm.otsuka-europe.com</v>
      </c>
      <c r="N5132" s="13">
        <v>46218.382326388892</v>
      </c>
      <c r="O5132" s="14" t="str">
        <f>HYPERLINK("https://otsuka-europe-crm.veevavault.com/ui/#object/email_activity__v/V8C00000004A675", "EN-002106265")</f>
        <v>EN-002106265</v>
      </c>
    </row>
    <row r="5133" spans="1:15" ht="32" x14ac:dyDescent="0.2">
      <c r="A5133" s="7" t="str">
        <f>HYPERLINK("https://otsuka-europe-crm.veevavault.com/ui/#object/account__v/V4TZ0000062PL0J", "Pravish Sadhari")</f>
        <v>Pravish Sadhari</v>
      </c>
      <c r="B5133" s="7" t="str">
        <f>HYPERLINK("https://otsuka-europe-crm.veevavault.com/ui/#object/vcountry__v/VENZ000004SONFK", "GB")</f>
        <v>GB</v>
      </c>
      <c r="C5133" s="8" t="s">
        <v>41</v>
      </c>
      <c r="D5133" s="9" t="str">
        <f>HYPERLINK("https://otsuka-europe-crm.veevavault.com/ui/#object/approved_document__v/V5O00000001V001", "LDM DR P2P Invite 12-Nov-26 v2 [digital]")</f>
        <v>LDM DR P2P Invite 12-Nov-26 v2 [digital]</v>
      </c>
      <c r="E5133" s="10" t="str">
        <f>HYPERLINK("https://otsuka-europe-crm.veevavault.com/ui/#object/sent_email__v/VBL000000038274", "SE-001444094")</f>
        <v>SE-001444094</v>
      </c>
      <c r="F5133" s="11"/>
      <c r="G5133" s="12">
        <v>0</v>
      </c>
      <c r="H5133" s="12">
        <v>0</v>
      </c>
      <c r="I5133" s="12">
        <v>0</v>
      </c>
      <c r="J5133" s="11"/>
      <c r="K5133" s="12">
        <v>0</v>
      </c>
      <c r="L5133" s="10" t="str">
        <f>HYPERLINK("https://otsuka-europe-crm.veevavault.com/ui/#object/approved_document__v/V5O00000001V001", "LDM DR P2P Invite 12-Nov-26 v2 [digital]")</f>
        <v>LDM DR P2P Invite 12-Nov-26 v2 [digital]</v>
      </c>
      <c r="M5133" s="10" t="str">
        <f>HYPERLINK("mailto:draval@crm.otsuka-europe.com", "draval@crm.otsuka-europe.com")</f>
        <v>draval@crm.otsuka-europe.com</v>
      </c>
      <c r="N5133" s="13">
        <v>46218.382708333331</v>
      </c>
      <c r="O5133" s="14" t="str">
        <f>HYPERLINK("https://otsuka-europe-crm.veevavault.com/ui/#object/email_activity__v/V8C00000004A678", "EN-002106268")</f>
        <v>EN-002106268</v>
      </c>
    </row>
    <row r="5134" spans="1:15" ht="32" x14ac:dyDescent="0.2">
      <c r="A5134" s="7" t="str">
        <f>HYPERLINK("https://otsuka-europe-crm.veevavault.com/ui/#object/account__v/V4TZ0000062PN90", "Krishan Sahota")</f>
        <v>Krishan Sahota</v>
      </c>
      <c r="B5134" s="7" t="str">
        <f>HYPERLINK("https://otsuka-europe-crm.veevavault.com/ui/#object/vcountry__v/VENZ000004SONFK", "GB")</f>
        <v>GB</v>
      </c>
      <c r="C5134" s="8" t="s">
        <v>41</v>
      </c>
      <c r="D5134" s="9" t="str">
        <f>HYPERLINK("https://otsuka-europe-crm.veevavault.com/ui/#object/approved_document__v/V5O00000001V001", "LDM DR P2P Invite 12-Nov-26 v2 [digital]")</f>
        <v>LDM DR P2P Invite 12-Nov-26 v2 [digital]</v>
      </c>
      <c r="E5134" s="10" t="str">
        <f>HYPERLINK("https://otsuka-europe-crm.veevavault.com/ui/#object/sent_email__v/VBL000000037332", "SE-001444095")</f>
        <v>SE-001444095</v>
      </c>
      <c r="F5134" s="11"/>
      <c r="G5134" s="12">
        <v>0</v>
      </c>
      <c r="H5134" s="12">
        <v>0</v>
      </c>
      <c r="I5134" s="12">
        <v>0</v>
      </c>
      <c r="J5134" s="11"/>
      <c r="K5134" s="12">
        <v>0</v>
      </c>
      <c r="L5134" s="10" t="str">
        <f>HYPERLINK("https://otsuka-europe-crm.veevavault.com/ui/#object/approved_document__v/V5O00000001V001", "LDM DR P2P Invite 12-Nov-26 v2 [digital]")</f>
        <v>LDM DR P2P Invite 12-Nov-26 v2 [digital]</v>
      </c>
      <c r="M5134" s="10" t="str">
        <f>HYPERLINK("mailto:draval@crm.otsuka-europe.com", "draval@crm.otsuka-europe.com")</f>
        <v>draval@crm.otsuka-europe.com</v>
      </c>
      <c r="N5134" s="13">
        <v>46218.382777777777</v>
      </c>
      <c r="O5134" s="14" t="str">
        <f>HYPERLINK("https://otsuka-europe-crm.veevavault.com/ui/#object/email_activity__v/V8C00000004A679", "EN-002106269")</f>
        <v>EN-002106269</v>
      </c>
    </row>
    <row r="5135" spans="1:15" ht="16" x14ac:dyDescent="0.2">
      <c r="A5135" s="18" t="str">
        <f>HYPERLINK("https://otsuka-europe-crm.veevavault.com/ui/#object/account__v/V4TZ04ASGFD581L", "Prashant Sanghani")</f>
        <v>Prashant Sanghani</v>
      </c>
      <c r="B5135" s="18" t="str">
        <f>HYPERLINK("https://otsuka-europe-crm.veevavault.com/ui/#object/vcountry__v/VENZ000004SONFK", "GB")</f>
        <v>GB</v>
      </c>
      <c r="C5135" s="20" t="s">
        <v>41</v>
      </c>
      <c r="D5135" s="21" t="str">
        <f>HYPERLINK("https://otsuka-europe-crm.veevavault.com/ui/#object/approved_document__v/V5O00000001V001", "LDM DR P2P Invite 12-Nov-26 v2 [digital]")</f>
        <v>LDM DR P2P Invite 12-Nov-26 v2 [digital]</v>
      </c>
      <c r="E5135" s="22" t="str">
        <f>HYPERLINK("https://otsuka-europe-crm.veevavault.com/ui/#object/sent_email__v/VBL000000037333", "SE-001444096")</f>
        <v>SE-001444096</v>
      </c>
      <c r="F5135" s="25">
        <v>46218.652858796297</v>
      </c>
      <c r="G5135" s="24">
        <v>1</v>
      </c>
      <c r="H5135" s="24">
        <v>1</v>
      </c>
      <c r="I5135" s="24">
        <v>0</v>
      </c>
      <c r="J5135" s="23"/>
      <c r="K5135" s="24">
        <v>0</v>
      </c>
      <c r="L5135" s="22" t="str">
        <f>HYPERLINK("https://otsuka-europe-crm.veevavault.com/ui/#object/approved_document__v/V5O00000001V001", "LDM DR P2P Invite 12-Nov-26 v2 [digital]")</f>
        <v>LDM DR P2P Invite 12-Nov-26 v2 [digital]</v>
      </c>
      <c r="M5135" s="22" t="str">
        <f>HYPERLINK("mailto:draval@crm.otsuka-europe.com", "draval@crm.otsuka-europe.com")</f>
        <v>draval@crm.otsuka-europe.com</v>
      </c>
      <c r="N5135" s="25">
        <v>46218.383055555554</v>
      </c>
      <c r="O5135" s="14" t="str">
        <f>HYPERLINK("https://otsuka-europe-crm.veevavault.com/ui/#object/email_activity__v/V8C000000049822", "EN-002106477")</f>
        <v>EN-002106477</v>
      </c>
    </row>
    <row r="5136" spans="1:15" ht="16" x14ac:dyDescent="0.2">
      <c r="A5136" s="19"/>
      <c r="B5136" s="19"/>
      <c r="C5136" s="19"/>
      <c r="D5136" s="19"/>
      <c r="E5136" s="19"/>
      <c r="F5136" s="19"/>
      <c r="G5136" s="19"/>
      <c r="H5136" s="19"/>
      <c r="I5136" s="19"/>
      <c r="J5136" s="19"/>
      <c r="K5136" s="19"/>
      <c r="L5136" s="19"/>
      <c r="M5136" s="19"/>
      <c r="N5136" s="19"/>
      <c r="O5136" s="14" t="str">
        <f>HYPERLINK("https://otsuka-europe-crm.veevavault.com/ui/#object/email_activity__v/V8C00000004A680", "EN-002106270")</f>
        <v>EN-002106270</v>
      </c>
    </row>
    <row r="5137" spans="1:15" ht="32" x14ac:dyDescent="0.2">
      <c r="A5137" s="7" t="str">
        <f>HYPERLINK("https://otsuka-europe-crm.veevavault.com/ui/#object/account__v/V4TZ00000634Y3X", "Bastian Fleischmann")</f>
        <v>Bastian Fleischmann</v>
      </c>
      <c r="B5137" s="7" t="str">
        <f>HYPERLINK("https://otsuka-europe-crm.veevavault.com/ui/#object/vcountry__v/VENZ000004SONFP", "DE")</f>
        <v>DE</v>
      </c>
      <c r="C5137" s="8" t="s">
        <v>43</v>
      </c>
      <c r="D5137" s="9" t="str">
        <f>HYPERLINK("https://otsuka-europe-crm.veevavault.com/ui/#object/approved_document__v/V5O00000001W001", "INA VAE DE – Zulassung INAQOVI Venetoclax")</f>
        <v>INA VAE DE – Zulassung INAQOVI Venetoclax</v>
      </c>
      <c r="E5137" s="10" t="str">
        <f>HYPERLINK("https://otsuka-europe-crm.veevavault.com/ui/#object/sent_email__v/VBL000000037334", "SE-001444097")</f>
        <v>SE-001444097</v>
      </c>
      <c r="F5137" s="11"/>
      <c r="G5137" s="12">
        <v>0</v>
      </c>
      <c r="H5137" s="12">
        <v>0</v>
      </c>
      <c r="I5137" s="12">
        <v>0</v>
      </c>
      <c r="J5137" s="11"/>
      <c r="K5137" s="12">
        <v>0</v>
      </c>
      <c r="L5137" s="10" t="str">
        <f>HYPERLINK("https://otsuka-europe-crm.veevavault.com/ui/#object/approved_document__v/V5O00000001W001", "INA VAE DE – Zulassung INAQOVI Venetoclax")</f>
        <v>INA VAE DE – Zulassung INAQOVI Venetoclax</v>
      </c>
      <c r="M5137" s="10" t="str">
        <f>HYPERLINK("mailto:mspiegel@crm.otsuka-europe.com", "mspiegel@crm.otsuka-europe.com")</f>
        <v>mspiegel@crm.otsuka-europe.com</v>
      </c>
      <c r="N5137" s="13">
        <v>46218.383067129631</v>
      </c>
      <c r="O5137" s="14" t="str">
        <f>HYPERLINK("https://otsuka-europe-crm.veevavault.com/ui/#object/email_activity__v/V8C00000004A681", "EN-002106271")</f>
        <v>EN-002106271</v>
      </c>
    </row>
    <row r="5138" spans="1:15" ht="32" x14ac:dyDescent="0.2">
      <c r="A5138" s="7" t="str">
        <f>HYPERLINK("https://otsuka-europe-crm.veevavault.com/ui/#object/account__v/V4TZ025E870Y1HF", "Petronella Savanhu")</f>
        <v>Petronella Savanhu</v>
      </c>
      <c r="B5138" s="7" t="str">
        <f>HYPERLINK("https://otsuka-europe-crm.veevavault.com/ui/#object/vcountry__v/VENZ000004SONFK", "GB")</f>
        <v>GB</v>
      </c>
      <c r="C5138" s="8" t="s">
        <v>41</v>
      </c>
      <c r="D5138" s="9" t="str">
        <f>HYPERLINK("https://otsuka-europe-crm.veevavault.com/ui/#object/approved_document__v/V5O00000001V001", "LDM DR P2P Invite 12-Nov-26 v2 [digital]")</f>
        <v>LDM DR P2P Invite 12-Nov-26 v2 [digital]</v>
      </c>
      <c r="E5138" s="10" t="str">
        <f>HYPERLINK("https://otsuka-europe-crm.veevavault.com/ui/#object/sent_email__v/VBL000000038275", "SE-001444098")</f>
        <v>SE-001444098</v>
      </c>
      <c r="F5138" s="11"/>
      <c r="G5138" s="12">
        <v>0</v>
      </c>
      <c r="H5138" s="12">
        <v>0</v>
      </c>
      <c r="I5138" s="12">
        <v>0</v>
      </c>
      <c r="J5138" s="11"/>
      <c r="K5138" s="12">
        <v>0</v>
      </c>
      <c r="L5138" s="10" t="str">
        <f>HYPERLINK("https://otsuka-europe-crm.veevavault.com/ui/#object/approved_document__v/V5O00000001V001", "LDM DR P2P Invite 12-Nov-26 v2 [digital]")</f>
        <v>LDM DR P2P Invite 12-Nov-26 v2 [digital]</v>
      </c>
      <c r="M5138" s="10" t="str">
        <f>HYPERLINK("mailto:draval@crm.otsuka-europe.com", "draval@crm.otsuka-europe.com")</f>
        <v>draval@crm.otsuka-europe.com</v>
      </c>
      <c r="N5138" s="13">
        <v>46218.383113425924</v>
      </c>
      <c r="O5138" s="14" t="str">
        <f>HYPERLINK("https://otsuka-europe-crm.veevavault.com/ui/#object/email_activity__v/V8C00000004A682", "EN-002106272")</f>
        <v>EN-002106272</v>
      </c>
    </row>
    <row r="5139" spans="1:15" ht="16" x14ac:dyDescent="0.2">
      <c r="A5139" s="18" t="str">
        <f>HYPERLINK("https://otsuka-europe-crm.veevavault.com/ui/#object/account__v/V4TZ025E833FL8X", "Muhammed Shafi")</f>
        <v>Muhammed Shafi</v>
      </c>
      <c r="B5139" s="18" t="str">
        <f>HYPERLINK("https://otsuka-europe-crm.veevavault.com/ui/#object/vcountry__v/VENZ000004SONFK", "GB")</f>
        <v>GB</v>
      </c>
      <c r="C5139" s="20" t="s">
        <v>41</v>
      </c>
      <c r="D5139" s="21" t="str">
        <f>HYPERLINK("https://otsuka-europe-crm.veevavault.com/ui/#object/approved_document__v/V5O00000001V001", "LDM DR P2P Invite 12-Nov-26 v2 [digital]")</f>
        <v>LDM DR P2P Invite 12-Nov-26 v2 [digital]</v>
      </c>
      <c r="E5139" s="22" t="str">
        <f>HYPERLINK("https://otsuka-europe-crm.veevavault.com/ui/#object/sent_email__v/VBL000000037335", "SE-001444099")</f>
        <v>SE-001444099</v>
      </c>
      <c r="F5139" s="25">
        <v>46218.414004629631</v>
      </c>
      <c r="G5139" s="24">
        <v>1</v>
      </c>
      <c r="H5139" s="24">
        <v>1</v>
      </c>
      <c r="I5139" s="24">
        <v>0</v>
      </c>
      <c r="J5139" s="23"/>
      <c r="K5139" s="24">
        <v>0</v>
      </c>
      <c r="L5139" s="22" t="str">
        <f>HYPERLINK("https://otsuka-europe-crm.veevavault.com/ui/#object/approved_document__v/V5O00000001V001", "LDM DR P2P Invite 12-Nov-26 v2 [digital]")</f>
        <v>LDM DR P2P Invite 12-Nov-26 v2 [digital]</v>
      </c>
      <c r="M5139" s="22" t="str">
        <f>HYPERLINK("mailto:draval@crm.otsuka-europe.com", "draval@crm.otsuka-europe.com")</f>
        <v>draval@crm.otsuka-europe.com</v>
      </c>
      <c r="N5139" s="25">
        <v>46218.383402777778</v>
      </c>
      <c r="O5139" s="14" t="str">
        <f>HYPERLINK("https://otsuka-europe-crm.veevavault.com/ui/#object/email_activity__v/V8C000000049759", "EN-002106353")</f>
        <v>EN-002106353</v>
      </c>
    </row>
    <row r="5140" spans="1:15" ht="16" x14ac:dyDescent="0.2">
      <c r="A5140" s="19"/>
      <c r="B5140" s="19"/>
      <c r="C5140" s="19"/>
      <c r="D5140" s="19"/>
      <c r="E5140" s="19"/>
      <c r="F5140" s="19"/>
      <c r="G5140" s="19"/>
      <c r="H5140" s="19"/>
      <c r="I5140" s="19"/>
      <c r="J5140" s="19"/>
      <c r="K5140" s="19"/>
      <c r="L5140" s="19"/>
      <c r="M5140" s="19"/>
      <c r="N5140" s="19"/>
      <c r="O5140" s="14" t="str">
        <f>HYPERLINK("https://otsuka-europe-crm.veevavault.com/ui/#object/email_activity__v/V8C00000004A683", "EN-002106273")</f>
        <v>EN-002106273</v>
      </c>
    </row>
    <row r="5141" spans="1:15" ht="16" x14ac:dyDescent="0.2">
      <c r="A5141" s="18" t="str">
        <f>HYPERLINK("https://otsuka-europe-crm.veevavault.com/ui/#object/account__v/V4TZ04ASGE7OUC3", "Animisha Singh")</f>
        <v>Animisha Singh</v>
      </c>
      <c r="B5141" s="18" t="str">
        <f>HYPERLINK("https://otsuka-europe-crm.veevavault.com/ui/#object/vcountry__v/VENZ000004SONFK", "GB")</f>
        <v>GB</v>
      </c>
      <c r="C5141" s="20" t="s">
        <v>41</v>
      </c>
      <c r="D5141" s="21" t="str">
        <f>HYPERLINK("https://otsuka-europe-crm.veevavault.com/ui/#object/approved_document__v/V5O00000001V001", "LDM DR P2P Invite 12-Nov-26 v2 [digital]")</f>
        <v>LDM DR P2P Invite 12-Nov-26 v2 [digital]</v>
      </c>
      <c r="E5141" s="22" t="str">
        <f>HYPERLINK("https://otsuka-europe-crm.veevavault.com/ui/#object/sent_email__v/VBL000000038276", "SE-001444100")</f>
        <v>SE-001444100</v>
      </c>
      <c r="F5141" s="25">
        <v>46218.411412037036</v>
      </c>
      <c r="G5141" s="24">
        <v>1</v>
      </c>
      <c r="H5141" s="24">
        <v>1</v>
      </c>
      <c r="I5141" s="24">
        <v>0</v>
      </c>
      <c r="J5141" s="23"/>
      <c r="K5141" s="24">
        <v>0</v>
      </c>
      <c r="L5141" s="22" t="str">
        <f>HYPERLINK("https://otsuka-europe-crm.veevavault.com/ui/#object/approved_document__v/V5O00000001V001", "LDM DR P2P Invite 12-Nov-26 v2 [digital]")</f>
        <v>LDM DR P2P Invite 12-Nov-26 v2 [digital]</v>
      </c>
      <c r="M5141" s="22" t="str">
        <f>HYPERLINK("mailto:draval@crm.otsuka-europe.com", "draval@crm.otsuka-europe.com")</f>
        <v>draval@crm.otsuka-europe.com</v>
      </c>
      <c r="N5141" s="25">
        <v>46218.383518518516</v>
      </c>
      <c r="O5141" s="14" t="str">
        <f>HYPERLINK("https://otsuka-europe-crm.veevavault.com/ui/#object/email_activity__v/V8C000000049758", "EN-002106347")</f>
        <v>EN-002106347</v>
      </c>
    </row>
    <row r="5142" spans="1:15" ht="16" x14ac:dyDescent="0.2">
      <c r="A5142" s="19"/>
      <c r="B5142" s="19"/>
      <c r="C5142" s="19"/>
      <c r="D5142" s="19"/>
      <c r="E5142" s="19"/>
      <c r="F5142" s="19"/>
      <c r="G5142" s="19"/>
      <c r="H5142" s="19"/>
      <c r="I5142" s="19"/>
      <c r="J5142" s="19"/>
      <c r="K5142" s="19"/>
      <c r="L5142" s="19"/>
      <c r="M5142" s="19"/>
      <c r="N5142" s="19"/>
      <c r="O5142" s="14" t="str">
        <f>HYPERLINK("https://otsuka-europe-crm.veevavault.com/ui/#object/email_activity__v/V8C00000004A684", "EN-002106274")</f>
        <v>EN-002106274</v>
      </c>
    </row>
    <row r="5143" spans="1:15" ht="32" x14ac:dyDescent="0.2">
      <c r="A5143" s="7" t="str">
        <f>HYPERLINK("https://otsuka-europe-crm.veevavault.com/ui/#object/account__v/V4TZ0000062PMW2", "Gurjeet Singh")</f>
        <v>Gurjeet Singh</v>
      </c>
      <c r="B5143" s="7" t="str">
        <f>HYPERLINK("https://otsuka-europe-crm.veevavault.com/ui/#object/vcountry__v/VENZ000004SONFK", "GB")</f>
        <v>GB</v>
      </c>
      <c r="C5143" s="8" t="s">
        <v>41</v>
      </c>
      <c r="D5143" s="9" t="str">
        <f>HYPERLINK("https://otsuka-europe-crm.veevavault.com/ui/#object/approved_document__v/V5O00000001V001", "LDM DR P2P Invite 12-Nov-26 v2 [digital]")</f>
        <v>LDM DR P2P Invite 12-Nov-26 v2 [digital]</v>
      </c>
      <c r="E5143" s="10" t="str">
        <f>HYPERLINK("https://otsuka-europe-crm.veevavault.com/ui/#object/sent_email__v/VBL000000038277", "SE-001444101")</f>
        <v>SE-001444101</v>
      </c>
      <c r="F5143" s="11"/>
      <c r="G5143" s="12">
        <v>0</v>
      </c>
      <c r="H5143" s="12">
        <v>0</v>
      </c>
      <c r="I5143" s="12">
        <v>0</v>
      </c>
      <c r="J5143" s="11"/>
      <c r="K5143" s="12">
        <v>0</v>
      </c>
      <c r="L5143" s="10" t="str">
        <f>HYPERLINK("https://otsuka-europe-crm.veevavault.com/ui/#object/approved_document__v/V5O00000001V001", "LDM DR P2P Invite 12-Nov-26 v2 [digital]")</f>
        <v>LDM DR P2P Invite 12-Nov-26 v2 [digital]</v>
      </c>
      <c r="M5143" s="10" t="str">
        <f>HYPERLINK("mailto:draval@crm.otsuka-europe.com", "draval@crm.otsuka-europe.com")</f>
        <v>draval@crm.otsuka-europe.com</v>
      </c>
      <c r="N5143" s="13">
        <v>46218.383750000001</v>
      </c>
      <c r="O5143" s="14" t="str">
        <f>HYPERLINK("https://otsuka-europe-crm.veevavault.com/ui/#object/email_activity__v/V8C00000004A685", "EN-002106275")</f>
        <v>EN-002106275</v>
      </c>
    </row>
    <row r="5144" spans="1:15" ht="32" x14ac:dyDescent="0.2">
      <c r="A5144" s="7" t="str">
        <f>HYPERLINK("https://otsuka-europe-crm.veevavault.com/ui/#object/account__v/V4TZ0000062PQ8G", "Samad Sohomow")</f>
        <v>Samad Sohomow</v>
      </c>
      <c r="B5144" s="7" t="str">
        <f>HYPERLINK("https://otsuka-europe-crm.veevavault.com/ui/#object/vcountry__v/VENZ000004SONFK", "GB")</f>
        <v>GB</v>
      </c>
      <c r="C5144" s="8" t="s">
        <v>41</v>
      </c>
      <c r="D5144" s="9" t="str">
        <f>HYPERLINK("https://otsuka-europe-crm.veevavault.com/ui/#object/approved_document__v/V5O00000001V001", "LDM DR P2P Invite 12-Nov-26 v2 [digital]")</f>
        <v>LDM DR P2P Invite 12-Nov-26 v2 [digital]</v>
      </c>
      <c r="E5144" s="10" t="str">
        <f>HYPERLINK("https://otsuka-europe-crm.veevavault.com/ui/#object/sent_email__v/VBL000000038278", "SE-001444102")</f>
        <v>SE-001444102</v>
      </c>
      <c r="F5144" s="11"/>
      <c r="G5144" s="12">
        <v>0</v>
      </c>
      <c r="H5144" s="12">
        <v>0</v>
      </c>
      <c r="I5144" s="12">
        <v>0</v>
      </c>
      <c r="J5144" s="11"/>
      <c r="K5144" s="12">
        <v>0</v>
      </c>
      <c r="L5144" s="10" t="str">
        <f>HYPERLINK("https://otsuka-europe-crm.veevavault.com/ui/#object/approved_document__v/V5O00000001V001", "LDM DR P2P Invite 12-Nov-26 v2 [digital]")</f>
        <v>LDM DR P2P Invite 12-Nov-26 v2 [digital]</v>
      </c>
      <c r="M5144" s="10" t="str">
        <f>HYPERLINK("mailto:draval@crm.otsuka-europe.com", "draval@crm.otsuka-europe.com")</f>
        <v>draval@crm.otsuka-europe.com</v>
      </c>
      <c r="N5144" s="13">
        <v>46218.383773148147</v>
      </c>
      <c r="O5144" s="14" t="str">
        <f>HYPERLINK("https://otsuka-europe-crm.veevavault.com/ui/#object/email_activity__v/V8C00000004A686", "EN-002106276")</f>
        <v>EN-002106276</v>
      </c>
    </row>
    <row r="5145" spans="1:15" ht="32" x14ac:dyDescent="0.2">
      <c r="A5145" s="7" t="str">
        <f>HYPERLINK("https://otsuka-europe-crm.veevavault.com/ui/#object/account__v/V4TZ00000634WUN", "Jan Hastka")</f>
        <v>Jan Hastka</v>
      </c>
      <c r="B5145" s="7" t="str">
        <f>HYPERLINK("https://otsuka-europe-crm.veevavault.com/ui/#object/vcountry__v/VENZ000004SONFP", "DE")</f>
        <v>DE</v>
      </c>
      <c r="C5145" s="8" t="s">
        <v>43</v>
      </c>
      <c r="D5145" s="9" t="str">
        <f>HYPERLINK("https://otsuka-europe-crm.veevavault.com/ui/#object/approved_document__v/V5O00000001W001", "INA VAE DE – Zulassung INAQOVI Venetoclax")</f>
        <v>INA VAE DE – Zulassung INAQOVI Venetoclax</v>
      </c>
      <c r="E5145" s="10" t="str">
        <f>HYPERLINK("https://otsuka-europe-crm.veevavault.com/ui/#object/sent_email__v/VBL000000038279", "SE-001444103")</f>
        <v>SE-001444103</v>
      </c>
      <c r="F5145" s="11"/>
      <c r="G5145" s="12">
        <v>0</v>
      </c>
      <c r="H5145" s="12">
        <v>0</v>
      </c>
      <c r="I5145" s="12">
        <v>0</v>
      </c>
      <c r="J5145" s="11"/>
      <c r="K5145" s="12">
        <v>0</v>
      </c>
      <c r="L5145" s="10" t="str">
        <f>HYPERLINK("https://otsuka-europe-crm.veevavault.com/ui/#object/approved_document__v/V5O00000001W001", "INA VAE DE – Zulassung INAQOVI Venetoclax")</f>
        <v>INA VAE DE – Zulassung INAQOVI Venetoclax</v>
      </c>
      <c r="M5145" s="10" t="str">
        <f>HYPERLINK("mailto:mspiegel@crm.otsuka-europe.com", "mspiegel@crm.otsuka-europe.com")</f>
        <v>mspiegel@crm.otsuka-europe.com</v>
      </c>
      <c r="N5145" s="13">
        <v>46218.38385416667</v>
      </c>
      <c r="O5145" s="14" t="str">
        <f>HYPERLINK("https://otsuka-europe-crm.veevavault.com/ui/#object/email_activity__v/V8C00000004A687", "EN-002106277")</f>
        <v>EN-002106277</v>
      </c>
    </row>
    <row r="5146" spans="1:15" ht="16" x14ac:dyDescent="0.2">
      <c r="A5146" s="18" t="str">
        <f>HYPERLINK("https://otsuka-europe-crm.veevavault.com/ui/#object/account__v/V4TZ0000062PIAC", "Rahul Suchde")</f>
        <v>Rahul Suchde</v>
      </c>
      <c r="B5146" s="18" t="str">
        <f>HYPERLINK("https://otsuka-europe-crm.veevavault.com/ui/#object/vcountry__v/VENZ000004SONFK", "GB")</f>
        <v>GB</v>
      </c>
      <c r="C5146" s="20" t="s">
        <v>41</v>
      </c>
      <c r="D5146" s="21" t="str">
        <f>HYPERLINK("https://otsuka-europe-crm.veevavault.com/ui/#object/approved_document__v/V5O00000001V001", "LDM DR P2P Invite 12-Nov-26 v2 [digital]")</f>
        <v>LDM DR P2P Invite 12-Nov-26 v2 [digital]</v>
      </c>
      <c r="E5146" s="22" t="str">
        <f>HYPERLINK("https://otsuka-europe-crm.veevavault.com/ui/#object/sent_email__v/VBL000000038280", "SE-001444104")</f>
        <v>SE-001444104</v>
      </c>
      <c r="F5146" s="25">
        <v>46220.440995370373</v>
      </c>
      <c r="G5146" s="24">
        <v>1</v>
      </c>
      <c r="H5146" s="24">
        <v>9</v>
      </c>
      <c r="I5146" s="24">
        <v>1</v>
      </c>
      <c r="J5146" s="25">
        <v>46218.384305555555</v>
      </c>
      <c r="K5146" s="24">
        <v>1</v>
      </c>
      <c r="L5146" s="22" t="str">
        <f>HYPERLINK("https://otsuka-europe-crm.veevavault.com/ui/#object/approved_document__v/V5O00000001V001", "LDM DR P2P Invite 12-Nov-26 v2 [digital]")</f>
        <v>LDM DR P2P Invite 12-Nov-26 v2 [digital]</v>
      </c>
      <c r="M5146" s="22" t="str">
        <f>HYPERLINK("mailto:draval@crm.otsuka-europe.com", "draval@crm.otsuka-europe.com")</f>
        <v>draval@crm.otsuka-europe.com</v>
      </c>
      <c r="N5146" s="25">
        <v>46218.384270833332</v>
      </c>
      <c r="O5146" s="14" t="str">
        <f>HYPERLINK("https://otsuka-europe-crm.veevavault.com/ui/#object/email_activity__v/V8C000000049730", "EN-002106291")</f>
        <v>EN-002106291</v>
      </c>
    </row>
    <row r="5147" spans="1:15" ht="16" x14ac:dyDescent="0.2">
      <c r="A5147" s="26"/>
      <c r="B5147" s="26"/>
      <c r="C5147" s="26"/>
      <c r="D5147" s="26"/>
      <c r="E5147" s="26"/>
      <c r="F5147" s="26"/>
      <c r="G5147" s="26"/>
      <c r="H5147" s="26"/>
      <c r="I5147" s="26"/>
      <c r="J5147" s="26"/>
      <c r="K5147" s="26"/>
      <c r="L5147" s="26"/>
      <c r="M5147" s="26"/>
      <c r="N5147" s="26"/>
      <c r="O5147" s="14" t="str">
        <f>HYPERLINK("https://otsuka-europe-crm.veevavault.com/ui/#object/email_activity__v/V8C00000004A688", "EN-002106279")</f>
        <v>EN-002106279</v>
      </c>
    </row>
    <row r="5148" spans="1:15" ht="16" x14ac:dyDescent="0.2">
      <c r="A5148" s="26"/>
      <c r="B5148" s="26"/>
      <c r="C5148" s="26"/>
      <c r="D5148" s="26"/>
      <c r="E5148" s="26"/>
      <c r="F5148" s="26"/>
      <c r="G5148" s="26"/>
      <c r="H5148" s="26"/>
      <c r="I5148" s="26"/>
      <c r="J5148" s="26"/>
      <c r="K5148" s="26"/>
      <c r="L5148" s="26"/>
      <c r="M5148" s="26"/>
      <c r="N5148" s="26"/>
      <c r="O5148" s="14" t="str">
        <f>HYPERLINK("https://otsuka-europe-crm.veevavault.com/ui/#object/email_activity__v/V8C00000004A689", "EN-002106278")</f>
        <v>EN-002106278</v>
      </c>
    </row>
    <row r="5149" spans="1:15" ht="16" x14ac:dyDescent="0.2">
      <c r="A5149" s="26"/>
      <c r="B5149" s="26"/>
      <c r="C5149" s="26"/>
      <c r="D5149" s="26"/>
      <c r="E5149" s="26"/>
      <c r="F5149" s="26"/>
      <c r="G5149" s="26"/>
      <c r="H5149" s="26"/>
      <c r="I5149" s="26"/>
      <c r="J5149" s="26"/>
      <c r="K5149" s="26"/>
      <c r="L5149" s="26"/>
      <c r="M5149" s="26"/>
      <c r="N5149" s="26"/>
      <c r="O5149" s="14" t="str">
        <f>HYPERLINK("https://otsuka-europe-crm.veevavault.com/ui/#object/email_activity__v/V8C00000004A690", "EN-002106280")</f>
        <v>EN-002106280</v>
      </c>
    </row>
    <row r="5150" spans="1:15" ht="16" x14ac:dyDescent="0.2">
      <c r="A5150" s="26"/>
      <c r="B5150" s="26"/>
      <c r="C5150" s="26"/>
      <c r="D5150" s="26"/>
      <c r="E5150" s="26"/>
      <c r="F5150" s="26"/>
      <c r="G5150" s="26"/>
      <c r="H5150" s="26"/>
      <c r="I5150" s="26"/>
      <c r="J5150" s="26"/>
      <c r="K5150" s="26"/>
      <c r="L5150" s="26"/>
      <c r="M5150" s="26"/>
      <c r="N5150" s="26"/>
      <c r="O5150" s="14" t="str">
        <f>HYPERLINK("https://otsuka-europe-crm.veevavault.com/ui/#object/email_activity__v/V8C00000004B036", "EN-002106793")</f>
        <v>EN-002106793</v>
      </c>
    </row>
    <row r="5151" spans="1:15" ht="16" x14ac:dyDescent="0.2">
      <c r="A5151" s="26"/>
      <c r="B5151" s="26"/>
      <c r="C5151" s="26"/>
      <c r="D5151" s="26"/>
      <c r="E5151" s="26"/>
      <c r="F5151" s="26"/>
      <c r="G5151" s="26"/>
      <c r="H5151" s="26"/>
      <c r="I5151" s="26"/>
      <c r="J5151" s="26"/>
      <c r="K5151" s="26"/>
      <c r="L5151" s="26"/>
      <c r="M5151" s="26"/>
      <c r="N5151" s="26"/>
      <c r="O5151" s="14" t="str">
        <f>HYPERLINK("https://otsuka-europe-crm.veevavault.com/ui/#object/email_activity__v/V8C00000004C001", "EN-002106734")</f>
        <v>EN-002106734</v>
      </c>
    </row>
    <row r="5152" spans="1:15" ht="16" x14ac:dyDescent="0.2">
      <c r="A5152" s="26"/>
      <c r="B5152" s="26"/>
      <c r="C5152" s="26"/>
      <c r="D5152" s="26"/>
      <c r="E5152" s="26"/>
      <c r="F5152" s="26"/>
      <c r="G5152" s="26"/>
      <c r="H5152" s="26"/>
      <c r="I5152" s="26"/>
      <c r="J5152" s="26"/>
      <c r="K5152" s="26"/>
      <c r="L5152" s="26"/>
      <c r="M5152" s="26"/>
      <c r="N5152" s="26"/>
      <c r="O5152" s="14" t="str">
        <f>HYPERLINK("https://otsuka-europe-crm.veevavault.com/ui/#object/email_activity__v/V8C00000004C002", "EN-002106735")</f>
        <v>EN-002106735</v>
      </c>
    </row>
    <row r="5153" spans="1:15" ht="16" x14ac:dyDescent="0.2">
      <c r="A5153" s="26"/>
      <c r="B5153" s="26"/>
      <c r="C5153" s="26"/>
      <c r="D5153" s="26"/>
      <c r="E5153" s="26"/>
      <c r="F5153" s="26"/>
      <c r="G5153" s="26"/>
      <c r="H5153" s="26"/>
      <c r="I5153" s="26"/>
      <c r="J5153" s="26"/>
      <c r="K5153" s="26"/>
      <c r="L5153" s="26"/>
      <c r="M5153" s="26"/>
      <c r="N5153" s="26"/>
      <c r="O5153" s="14" t="str">
        <f>HYPERLINK("https://otsuka-europe-crm.veevavault.com/ui/#object/email_activity__v/V8C00000004C003", "EN-002106736")</f>
        <v>EN-002106736</v>
      </c>
    </row>
    <row r="5154" spans="1:15" ht="16" x14ac:dyDescent="0.2">
      <c r="A5154" s="26"/>
      <c r="B5154" s="26"/>
      <c r="C5154" s="26"/>
      <c r="D5154" s="26"/>
      <c r="E5154" s="26"/>
      <c r="F5154" s="26"/>
      <c r="G5154" s="26"/>
      <c r="H5154" s="26"/>
      <c r="I5154" s="26"/>
      <c r="J5154" s="26"/>
      <c r="K5154" s="26"/>
      <c r="L5154" s="26"/>
      <c r="M5154" s="26"/>
      <c r="N5154" s="26"/>
      <c r="O5154" s="14" t="str">
        <f>HYPERLINK("https://otsuka-europe-crm.veevavault.com/ui/#object/email_activity__v/V8C00000004C004", "EN-002106737")</f>
        <v>EN-002106737</v>
      </c>
    </row>
    <row r="5155" spans="1:15" ht="16" x14ac:dyDescent="0.2">
      <c r="A5155" s="26"/>
      <c r="B5155" s="26"/>
      <c r="C5155" s="26"/>
      <c r="D5155" s="26"/>
      <c r="E5155" s="26"/>
      <c r="F5155" s="26"/>
      <c r="G5155" s="26"/>
      <c r="H5155" s="26"/>
      <c r="I5155" s="26"/>
      <c r="J5155" s="26"/>
      <c r="K5155" s="26"/>
      <c r="L5155" s="26"/>
      <c r="M5155" s="26"/>
      <c r="N5155" s="26"/>
      <c r="O5155" s="14" t="str">
        <f>HYPERLINK("https://otsuka-europe-crm.veevavault.com/ui/#object/email_activity__v/V8C00000004C005", "EN-002106738")</f>
        <v>EN-002106738</v>
      </c>
    </row>
    <row r="5156" spans="1:15" ht="16" x14ac:dyDescent="0.2">
      <c r="A5156" s="19"/>
      <c r="B5156" s="19"/>
      <c r="C5156" s="19"/>
      <c r="D5156" s="19"/>
      <c r="E5156" s="19"/>
      <c r="F5156" s="19"/>
      <c r="G5156" s="19"/>
      <c r="H5156" s="19"/>
      <c r="I5156" s="19"/>
      <c r="J5156" s="19"/>
      <c r="K5156" s="19"/>
      <c r="L5156" s="19"/>
      <c r="M5156" s="19"/>
      <c r="N5156" s="19"/>
      <c r="O5156" s="14" t="str">
        <f>HYPERLINK("https://otsuka-europe-crm.veevavault.com/ui/#object/email_activity__v/V8C00000004C024", "EN-002106784")</f>
        <v>EN-002106784</v>
      </c>
    </row>
    <row r="5157" spans="1:15" ht="16" x14ac:dyDescent="0.2">
      <c r="A5157" s="18" t="str">
        <f>HYPERLINK("https://otsuka-europe-crm.veevavault.com/ui/#object/account__v/V4TZ0000062PJ6Q", "Seema Vekaria")</f>
        <v>Seema Vekaria</v>
      </c>
      <c r="B5157" s="18" t="str">
        <f>HYPERLINK("https://otsuka-europe-crm.veevavault.com/ui/#object/vcountry__v/VENZ000004SONFK", "GB")</f>
        <v>GB</v>
      </c>
      <c r="C5157" s="20" t="s">
        <v>41</v>
      </c>
      <c r="D5157" s="21" t="str">
        <f>HYPERLINK("https://otsuka-europe-crm.veevavault.com/ui/#object/approved_document__v/V5O00000001V001", "LDM DR P2P Invite 12-Nov-26 v2 [digital]")</f>
        <v>LDM DR P2P Invite 12-Nov-26 v2 [digital]</v>
      </c>
      <c r="E5157" s="22" t="str">
        <f>HYPERLINK("https://otsuka-europe-crm.veevavault.com/ui/#object/sent_email__v/VBL000000037336", "SE-001444105")</f>
        <v>SE-001444105</v>
      </c>
      <c r="F5157" s="25">
        <v>46223.384039351855</v>
      </c>
      <c r="G5157" s="24">
        <v>1</v>
      </c>
      <c r="H5157" s="24">
        <v>2</v>
      </c>
      <c r="I5157" s="24">
        <v>0</v>
      </c>
      <c r="J5157" s="23"/>
      <c r="K5157" s="24">
        <v>0</v>
      </c>
      <c r="L5157" s="22" t="str">
        <f>HYPERLINK("https://otsuka-europe-crm.veevavault.com/ui/#object/approved_document__v/V5O00000001V001", "LDM DR P2P Invite 12-Nov-26 v2 [digital]")</f>
        <v>LDM DR P2P Invite 12-Nov-26 v2 [digital]</v>
      </c>
      <c r="M5157" s="22" t="str">
        <f>HYPERLINK("mailto:draval@crm.otsuka-europe.com", "draval@crm.otsuka-europe.com")</f>
        <v>draval@crm.otsuka-europe.com</v>
      </c>
      <c r="N5157" s="25">
        <v>46218.384629629632</v>
      </c>
      <c r="O5157" s="14" t="str">
        <f>HYPERLINK("https://otsuka-europe-crm.veevavault.com/ui/#object/email_activity__v/V8C000000049725", "EN-002106282")</f>
        <v>EN-002106282</v>
      </c>
    </row>
    <row r="5158" spans="1:15" ht="16" x14ac:dyDescent="0.2">
      <c r="A5158" s="26"/>
      <c r="B5158" s="26"/>
      <c r="C5158" s="26"/>
      <c r="D5158" s="26"/>
      <c r="E5158" s="26"/>
      <c r="F5158" s="26"/>
      <c r="G5158" s="26"/>
      <c r="H5158" s="26"/>
      <c r="I5158" s="26"/>
      <c r="J5158" s="26"/>
      <c r="K5158" s="26"/>
      <c r="L5158" s="26"/>
      <c r="M5158" s="26"/>
      <c r="N5158" s="26"/>
      <c r="O5158" s="14" t="str">
        <f>HYPERLINK("https://otsuka-europe-crm.veevavault.com/ui/#object/email_activity__v/V8C00000004A691", "EN-002106281")</f>
        <v>EN-002106281</v>
      </c>
    </row>
    <row r="5159" spans="1:15" ht="16" x14ac:dyDescent="0.2">
      <c r="A5159" s="19"/>
      <c r="B5159" s="19"/>
      <c r="C5159" s="19"/>
      <c r="D5159" s="19"/>
      <c r="E5159" s="19"/>
      <c r="F5159" s="19"/>
      <c r="G5159" s="19"/>
      <c r="H5159" s="19"/>
      <c r="I5159" s="19"/>
      <c r="J5159" s="19"/>
      <c r="K5159" s="19"/>
      <c r="L5159" s="19"/>
      <c r="M5159" s="19"/>
      <c r="N5159" s="19"/>
      <c r="O5159" s="14" t="str">
        <f>HYPERLINK("https://otsuka-europe-crm.veevavault.com/ui/#object/email_activity__v/V8C00000004B174", "EN-002107017")</f>
        <v>EN-002107017</v>
      </c>
    </row>
    <row r="5160" spans="1:15" ht="32" x14ac:dyDescent="0.2">
      <c r="A5160" s="7" t="str">
        <f>HYPERLINK("https://otsuka-europe-crm.veevavault.com/ui/#object/account__v/V4TZ0000062T0VX", "Gerhard Held")</f>
        <v>Gerhard Held</v>
      </c>
      <c r="B5160" s="7" t="str">
        <f>HYPERLINK("https://otsuka-europe-crm.veevavault.com/ui/#object/vcountry__v/VENZ000004SONFP", "DE")</f>
        <v>DE</v>
      </c>
      <c r="C5160" s="8" t="s">
        <v>43</v>
      </c>
      <c r="D5160" s="9" t="str">
        <f>HYPERLINK("https://otsuka-europe-crm.veevavault.com/ui/#object/approved_document__v/V5O00000001W001", "INA VAE DE – Zulassung INAQOVI Venetoclax")</f>
        <v>INA VAE DE – Zulassung INAQOVI Venetoclax</v>
      </c>
      <c r="E5160" s="10" t="str">
        <f>HYPERLINK("https://otsuka-europe-crm.veevavault.com/ui/#object/sent_email__v/VBL000000037337", "SE-001444106")</f>
        <v>SE-001444106</v>
      </c>
      <c r="F5160" s="11"/>
      <c r="G5160" s="12">
        <v>0</v>
      </c>
      <c r="H5160" s="12">
        <v>0</v>
      </c>
      <c r="I5160" s="12">
        <v>0</v>
      </c>
      <c r="J5160" s="11"/>
      <c r="K5160" s="12">
        <v>0</v>
      </c>
      <c r="L5160" s="10" t="str">
        <f>HYPERLINK("https://otsuka-europe-crm.veevavault.com/ui/#object/approved_document__v/V5O00000001W001", "INA VAE DE – Zulassung INAQOVI Venetoclax")</f>
        <v>INA VAE DE – Zulassung INAQOVI Venetoclax</v>
      </c>
      <c r="M5160" s="10" t="str">
        <f>HYPERLINK("mailto:mspiegel@crm.otsuka-europe.com", "mspiegel@crm.otsuka-europe.com")</f>
        <v>mspiegel@crm.otsuka-europe.com</v>
      </c>
      <c r="N5160" s="13">
        <v>46218.385324074072</v>
      </c>
      <c r="O5160" s="14" t="str">
        <f>HYPERLINK("https://otsuka-europe-crm.veevavault.com/ui/#object/email_activity__v/V8C00000004A692", "EN-002106283")</f>
        <v>EN-002106283</v>
      </c>
    </row>
    <row r="5161" spans="1:15" ht="32" x14ac:dyDescent="0.2">
      <c r="A5161" s="7" t="str">
        <f>HYPERLINK("https://otsuka-europe-crm.veevavault.com/ui/#object/account__v/V4TZ025E85N9RMH", "Sharad Juneja")</f>
        <v>Sharad Juneja</v>
      </c>
      <c r="B5161" s="7" t="str">
        <f>HYPERLINK("https://otsuka-europe-crm.veevavault.com/ui/#object/vcountry__v/VENZ000004SONFP", "DE")</f>
        <v>DE</v>
      </c>
      <c r="C5161" s="8" t="s">
        <v>43</v>
      </c>
      <c r="D5161" s="9" t="str">
        <f>HYPERLINK("https://otsuka-europe-crm.veevavault.com/ui/#object/approved_document__v/V5O00000001W001", "INA VAE DE – Zulassung INAQOVI Venetoclax")</f>
        <v>INA VAE DE – Zulassung INAQOVI Venetoclax</v>
      </c>
      <c r="E5161" s="10" t="str">
        <f>HYPERLINK("https://otsuka-europe-crm.veevavault.com/ui/#object/sent_email__v/VBL000000038281", "SE-001444107")</f>
        <v>SE-001444107</v>
      </c>
      <c r="F5161" s="11"/>
      <c r="G5161" s="12">
        <v>0</v>
      </c>
      <c r="H5161" s="12">
        <v>0</v>
      </c>
      <c r="I5161" s="12">
        <v>0</v>
      </c>
      <c r="J5161" s="11"/>
      <c r="K5161" s="12">
        <v>0</v>
      </c>
      <c r="L5161" s="10" t="str">
        <f>HYPERLINK("https://otsuka-europe-crm.veevavault.com/ui/#object/approved_document__v/V5O00000001W001", "INA VAE DE – Zulassung INAQOVI Venetoclax")</f>
        <v>INA VAE DE – Zulassung INAQOVI Venetoclax</v>
      </c>
      <c r="M5161" s="10" t="str">
        <f>HYPERLINK("mailto:mspiegel@crm.otsuka-europe.com", "mspiegel@crm.otsuka-europe.com")</f>
        <v>mspiegel@crm.otsuka-europe.com</v>
      </c>
      <c r="N5161" s="13">
        <v>46218.385671296295</v>
      </c>
      <c r="O5161" s="14" t="str">
        <f>HYPERLINK("https://otsuka-europe-crm.veevavault.com/ui/#object/email_activity__v/V8C00000004A693", "EN-002106284")</f>
        <v>EN-002106284</v>
      </c>
    </row>
    <row r="5162" spans="1:15" ht="32" x14ac:dyDescent="0.2">
      <c r="A5162" s="7" t="str">
        <f>HYPERLINK("https://otsuka-europe-crm.veevavault.com/ui/#object/account__v/V4TZ00000634ZI0", "Georg Köchling")</f>
        <v>Georg Köchling</v>
      </c>
      <c r="B5162" s="7" t="str">
        <f>HYPERLINK("https://otsuka-europe-crm.veevavault.com/ui/#object/vcountry__v/VENZ000004SONFP", "DE")</f>
        <v>DE</v>
      </c>
      <c r="C5162" s="8" t="s">
        <v>43</v>
      </c>
      <c r="D5162" s="9" t="str">
        <f>HYPERLINK("https://otsuka-europe-crm.veevavault.com/ui/#object/approved_document__v/V5O00000001W001", "INA VAE DE – Zulassung INAQOVI Venetoclax")</f>
        <v>INA VAE DE – Zulassung INAQOVI Venetoclax</v>
      </c>
      <c r="E5162" s="10" t="str">
        <f>HYPERLINK("https://otsuka-europe-crm.veevavault.com/ui/#object/sent_email__v/VBL000000038282", "SE-001444108")</f>
        <v>SE-001444108</v>
      </c>
      <c r="F5162" s="11"/>
      <c r="G5162" s="12">
        <v>0</v>
      </c>
      <c r="H5162" s="12">
        <v>0</v>
      </c>
      <c r="I5162" s="12">
        <v>0</v>
      </c>
      <c r="J5162" s="11"/>
      <c r="K5162" s="12">
        <v>0</v>
      </c>
      <c r="L5162" s="10" t="str">
        <f>HYPERLINK("https://otsuka-europe-crm.veevavault.com/ui/#object/approved_document__v/V5O00000001W001", "INA VAE DE – Zulassung INAQOVI Venetoclax")</f>
        <v>INA VAE DE – Zulassung INAQOVI Venetoclax</v>
      </c>
      <c r="M5162" s="10" t="str">
        <f>HYPERLINK("mailto:mspiegel@crm.otsuka-europe.com", "mspiegel@crm.otsuka-europe.com")</f>
        <v>mspiegel@crm.otsuka-europe.com</v>
      </c>
      <c r="N5162" s="13">
        <v>46218.38653935185</v>
      </c>
      <c r="O5162" s="14" t="str">
        <f>HYPERLINK("https://otsuka-europe-crm.veevavault.com/ui/#object/email_activity__v/V8C00000004A694", "EN-002106285")</f>
        <v>EN-002106285</v>
      </c>
    </row>
    <row r="5163" spans="1:15" ht="16" x14ac:dyDescent="0.2">
      <c r="A5163" s="18" t="str">
        <f>HYPERLINK("https://otsuka-europe-crm.veevavault.com/ui/#object/account__v/V4TZ000006350IC", "Nicole Kranzhöfer")</f>
        <v>Nicole Kranzhöfer</v>
      </c>
      <c r="B5163" s="18" t="str">
        <f>HYPERLINK("https://otsuka-europe-crm.veevavault.com/ui/#object/vcountry__v/VENZ000004SONFP", "DE")</f>
        <v>DE</v>
      </c>
      <c r="C5163" s="20" t="s">
        <v>43</v>
      </c>
      <c r="D5163" s="21" t="str">
        <f>HYPERLINK("https://otsuka-europe-crm.veevavault.com/ui/#object/approved_document__v/V5O00000001W001", "INA VAE DE – Zulassung INAQOVI Venetoclax")</f>
        <v>INA VAE DE – Zulassung INAQOVI Venetoclax</v>
      </c>
      <c r="E5163" s="22" t="str">
        <f>HYPERLINK("https://otsuka-europe-crm.veevavault.com/ui/#object/sent_email__v/VBL000000037338", "SE-001444109")</f>
        <v>SE-001444109</v>
      </c>
      <c r="F5163" s="23"/>
      <c r="G5163" s="24">
        <v>0</v>
      </c>
      <c r="H5163" s="24">
        <v>0</v>
      </c>
      <c r="I5163" s="24">
        <v>0</v>
      </c>
      <c r="J5163" s="23"/>
      <c r="K5163" s="24">
        <v>0</v>
      </c>
      <c r="L5163" s="22" t="str">
        <f>HYPERLINK("https://otsuka-europe-crm.veevavault.com/ui/#object/approved_document__v/V5O00000001W001", "INA VAE DE – Zulassung INAQOVI Venetoclax")</f>
        <v>INA VAE DE – Zulassung INAQOVI Venetoclax</v>
      </c>
      <c r="M5163" s="22" t="str">
        <f>HYPERLINK("mailto:mspiegel@crm.otsuka-europe.com", "mspiegel@crm.otsuka-europe.com")</f>
        <v>mspiegel@crm.otsuka-europe.com</v>
      </c>
      <c r="N5163" s="25">
        <v>46218.387615740743</v>
      </c>
      <c r="O5163" s="14" t="str">
        <f>HYPERLINK("https://otsuka-europe-crm.veevavault.com/ui/#object/email_activity__v/V8C000000049726", "EN-002106287")</f>
        <v>EN-002106287</v>
      </c>
    </row>
    <row r="5164" spans="1:15" ht="16" x14ac:dyDescent="0.2">
      <c r="A5164" s="19"/>
      <c r="B5164" s="19"/>
      <c r="C5164" s="19"/>
      <c r="D5164" s="19"/>
      <c r="E5164" s="19"/>
      <c r="F5164" s="19"/>
      <c r="G5164" s="19"/>
      <c r="H5164" s="19"/>
      <c r="I5164" s="19"/>
      <c r="J5164" s="19"/>
      <c r="K5164" s="19"/>
      <c r="L5164" s="19"/>
      <c r="M5164" s="19"/>
      <c r="N5164" s="19"/>
      <c r="O5164" s="14" t="str">
        <f>HYPERLINK("https://otsuka-europe-crm.veevavault.com/ui/#object/email_activity__v/V8C000000049832", "EN-002106510")</f>
        <v>EN-002106510</v>
      </c>
    </row>
    <row r="5165" spans="1:15" ht="32" x14ac:dyDescent="0.2">
      <c r="A5165" s="7" t="str">
        <f>HYPERLINK("https://otsuka-europe-crm.veevavault.com/ui/#object/account__v/V4TZ00000634U0D", "Christian Kuhn")</f>
        <v>Christian Kuhn</v>
      </c>
      <c r="B5165" s="7" t="str">
        <f>HYPERLINK("https://otsuka-europe-crm.veevavault.com/ui/#object/vcountry__v/VENZ000004SONFP", "DE")</f>
        <v>DE</v>
      </c>
      <c r="C5165" s="8" t="s">
        <v>43</v>
      </c>
      <c r="D5165" s="9" t="str">
        <f>HYPERLINK("https://otsuka-europe-crm.veevavault.com/ui/#object/approved_document__v/V5O00000001W001", "INA VAE DE – Zulassung INAQOVI Venetoclax")</f>
        <v>INA VAE DE – Zulassung INAQOVI Venetoclax</v>
      </c>
      <c r="E5165" s="10" t="str">
        <f>HYPERLINK("https://otsuka-europe-crm.veevavault.com/ui/#object/sent_email__v/VBL000000037339", "SE-001444110")</f>
        <v>SE-001444110</v>
      </c>
      <c r="F5165" s="11"/>
      <c r="G5165" s="12">
        <v>0</v>
      </c>
      <c r="H5165" s="12">
        <v>0</v>
      </c>
      <c r="I5165" s="12">
        <v>0</v>
      </c>
      <c r="J5165" s="11"/>
      <c r="K5165" s="12">
        <v>0</v>
      </c>
      <c r="L5165" s="10" t="str">
        <f>HYPERLINK("https://otsuka-europe-crm.veevavault.com/ui/#object/approved_document__v/V5O00000001W001", "INA VAE DE – Zulassung INAQOVI Venetoclax")</f>
        <v>INA VAE DE – Zulassung INAQOVI Venetoclax</v>
      </c>
      <c r="M5165" s="10" t="str">
        <f>HYPERLINK("mailto:mspiegel@crm.otsuka-europe.com", "mspiegel@crm.otsuka-europe.com")</f>
        <v>mspiegel@crm.otsuka-europe.com</v>
      </c>
      <c r="N5165" s="13">
        <v>46218.387731481482</v>
      </c>
      <c r="O5165" s="14" t="str">
        <f>HYPERLINK("https://otsuka-europe-crm.veevavault.com/ui/#object/email_activity__v/V8C000000049727", "EN-002106288")</f>
        <v>EN-002106288</v>
      </c>
    </row>
    <row r="5166" spans="1:15" ht="32" x14ac:dyDescent="0.2">
      <c r="A5166" s="7" t="str">
        <f>HYPERLINK("https://otsuka-europe-crm.veevavault.com/ui/#object/account__v/V4TZ06G6OBI63C6", "Claudia Lengerke")</f>
        <v>Claudia Lengerke</v>
      </c>
      <c r="B5166" s="7" t="str">
        <f>HYPERLINK("https://otsuka-europe-crm.veevavault.com/ui/#object/vcountry__v/VENZ000004SONFP", "DE")</f>
        <v>DE</v>
      </c>
      <c r="C5166" s="8" t="s">
        <v>43</v>
      </c>
      <c r="D5166" s="9" t="str">
        <f>HYPERLINK("https://otsuka-europe-crm.veevavault.com/ui/#object/approved_document__v/V5O00000001W001", "INA VAE DE – Zulassung INAQOVI Venetoclax")</f>
        <v>INA VAE DE – Zulassung INAQOVI Venetoclax</v>
      </c>
      <c r="E5166" s="10" t="str">
        <f>HYPERLINK("https://otsuka-europe-crm.veevavault.com/ui/#object/sent_email__v/VBL000000037340", "SE-001444111")</f>
        <v>SE-001444111</v>
      </c>
      <c r="F5166" s="11"/>
      <c r="G5166" s="12">
        <v>0</v>
      </c>
      <c r="H5166" s="12">
        <v>0</v>
      </c>
      <c r="I5166" s="12">
        <v>0</v>
      </c>
      <c r="J5166" s="11"/>
      <c r="K5166" s="12">
        <v>0</v>
      </c>
      <c r="L5166" s="10" t="str">
        <f>HYPERLINK("https://otsuka-europe-crm.veevavault.com/ui/#object/approved_document__v/V5O00000001W001", "INA VAE DE – Zulassung INAQOVI Venetoclax")</f>
        <v>INA VAE DE – Zulassung INAQOVI Venetoclax</v>
      </c>
      <c r="M5166" s="10" t="str">
        <f>HYPERLINK("mailto:mspiegel@crm.otsuka-europe.com", "mspiegel@crm.otsuka-europe.com")</f>
        <v>mspiegel@crm.otsuka-europe.com</v>
      </c>
      <c r="N5166" s="13">
        <v>46218.388101851851</v>
      </c>
      <c r="O5166" s="14" t="str">
        <f>HYPERLINK("https://otsuka-europe-crm.veevavault.com/ui/#object/email_activity__v/V8C000000049729", "EN-002106290")</f>
        <v>EN-002106290</v>
      </c>
    </row>
    <row r="5167" spans="1:15" ht="32" x14ac:dyDescent="0.2">
      <c r="A5167" s="7" t="str">
        <f>HYPERLINK("https://otsuka-europe-crm.veevavault.com/ui/#object/account__v/V4TZ04ASGBX77CI", "Nikolaus Magios")</f>
        <v>Nikolaus Magios</v>
      </c>
      <c r="B5167" s="7" t="str">
        <f>HYPERLINK("https://otsuka-europe-crm.veevavault.com/ui/#object/vcountry__v/VENZ000004SONFP", "DE")</f>
        <v>DE</v>
      </c>
      <c r="C5167" s="8" t="s">
        <v>43</v>
      </c>
      <c r="D5167" s="9" t="str">
        <f>HYPERLINK("https://otsuka-europe-crm.veevavault.com/ui/#object/approved_document__v/V5O00000001W001", "INA VAE DE – Zulassung INAQOVI Venetoclax")</f>
        <v>INA VAE DE – Zulassung INAQOVI Venetoclax</v>
      </c>
      <c r="E5167" s="10" t="str">
        <f>HYPERLINK("https://otsuka-europe-crm.veevavault.com/ui/#object/sent_email__v/VBL000000037341", "SE-001444112")</f>
        <v>SE-001444112</v>
      </c>
      <c r="F5167" s="11"/>
      <c r="G5167" s="12">
        <v>0</v>
      </c>
      <c r="H5167" s="12">
        <v>0</v>
      </c>
      <c r="I5167" s="12">
        <v>0</v>
      </c>
      <c r="J5167" s="11"/>
      <c r="K5167" s="12">
        <v>0</v>
      </c>
      <c r="L5167" s="10" t="str">
        <f>HYPERLINK("https://otsuka-europe-crm.veevavault.com/ui/#object/approved_document__v/V5O00000001W001", "INA VAE DE – Zulassung INAQOVI Venetoclax")</f>
        <v>INA VAE DE – Zulassung INAQOVI Venetoclax</v>
      </c>
      <c r="M5167" s="10" t="str">
        <f>HYPERLINK("mailto:mspiegel@crm.otsuka-europe.com", "mspiegel@crm.otsuka-europe.com")</f>
        <v>mspiegel@crm.otsuka-europe.com</v>
      </c>
      <c r="N5167" s="13">
        <v>46218.388460648152</v>
      </c>
      <c r="O5167" s="14" t="str">
        <f>HYPERLINK("https://otsuka-europe-crm.veevavault.com/ui/#object/email_activity__v/V8C00000004A696", "EN-002106292")</f>
        <v>EN-002106292</v>
      </c>
    </row>
    <row r="5168" spans="1:15" ht="16" x14ac:dyDescent="0.2">
      <c r="A5168" s="18" t="str">
        <f>HYPERLINK("https://otsuka-europe-crm.veevavault.com/ui/#object/account__v/V4TZ000006351OE", "Thomas Mandel")</f>
        <v>Thomas Mandel</v>
      </c>
      <c r="B5168" s="18" t="str">
        <f>HYPERLINK("https://otsuka-europe-crm.veevavault.com/ui/#object/vcountry__v/VENZ000004SONFP", "DE")</f>
        <v>DE</v>
      </c>
      <c r="C5168" s="20" t="s">
        <v>43</v>
      </c>
      <c r="D5168" s="21" t="str">
        <f>HYPERLINK("https://otsuka-europe-crm.veevavault.com/ui/#object/approved_document__v/V5O00000001W001", "INA VAE DE – Zulassung INAQOVI Venetoclax")</f>
        <v>INA VAE DE – Zulassung INAQOVI Venetoclax</v>
      </c>
      <c r="E5168" s="22" t="str">
        <f>HYPERLINK("https://otsuka-europe-crm.veevavault.com/ui/#object/sent_email__v/VBL000000037342", "SE-001444113")</f>
        <v>SE-001444113</v>
      </c>
      <c r="F5168" s="25">
        <v>46218.389618055553</v>
      </c>
      <c r="G5168" s="24">
        <v>1</v>
      </c>
      <c r="H5168" s="24">
        <v>1</v>
      </c>
      <c r="I5168" s="24">
        <v>1</v>
      </c>
      <c r="J5168" s="25">
        <v>46218.389618055553</v>
      </c>
      <c r="K5168" s="24">
        <v>1</v>
      </c>
      <c r="L5168" s="22" t="str">
        <f>HYPERLINK("https://otsuka-europe-crm.veevavault.com/ui/#object/approved_document__v/V5O00000001W001", "INA VAE DE – Zulassung INAQOVI Venetoclax")</f>
        <v>INA VAE DE – Zulassung INAQOVI Venetoclax</v>
      </c>
      <c r="M5168" s="22" t="str">
        <f>HYPERLINK("mailto:mspiegel@crm.otsuka-europe.com", "mspiegel@crm.otsuka-europe.com")</f>
        <v>mspiegel@crm.otsuka-europe.com</v>
      </c>
      <c r="N5168" s="25">
        <v>46218.388611111113</v>
      </c>
      <c r="O5168" s="14" t="str">
        <f>HYPERLINK("https://otsuka-europe-crm.veevavault.com/ui/#object/email_activity__v/V8C00000004A697", "EN-002106293")</f>
        <v>EN-002106293</v>
      </c>
    </row>
    <row r="5169" spans="1:15" ht="16" x14ac:dyDescent="0.2">
      <c r="A5169" s="26"/>
      <c r="B5169" s="26"/>
      <c r="C5169" s="26"/>
      <c r="D5169" s="26"/>
      <c r="E5169" s="26"/>
      <c r="F5169" s="26"/>
      <c r="G5169" s="26"/>
      <c r="H5169" s="26"/>
      <c r="I5169" s="26"/>
      <c r="J5169" s="26"/>
      <c r="K5169" s="26"/>
      <c r="L5169" s="26"/>
      <c r="M5169" s="26"/>
      <c r="N5169" s="26"/>
      <c r="O5169" s="14" t="str">
        <f>HYPERLINK("https://otsuka-europe-crm.veevavault.com/ui/#object/email_activity__v/V8C00000004A703", "EN-002106304")</f>
        <v>EN-002106304</v>
      </c>
    </row>
    <row r="5170" spans="1:15" ht="16" x14ac:dyDescent="0.2">
      <c r="A5170" s="19"/>
      <c r="B5170" s="19"/>
      <c r="C5170" s="19"/>
      <c r="D5170" s="19"/>
      <c r="E5170" s="19"/>
      <c r="F5170" s="19"/>
      <c r="G5170" s="19"/>
      <c r="H5170" s="19"/>
      <c r="I5170" s="19"/>
      <c r="J5170" s="19"/>
      <c r="K5170" s="19"/>
      <c r="L5170" s="19"/>
      <c r="M5170" s="19"/>
      <c r="N5170" s="19"/>
      <c r="O5170" s="14" t="str">
        <f>HYPERLINK("https://otsuka-europe-crm.veevavault.com/ui/#object/email_activity__v/V8C00000004A705", "EN-002106303")</f>
        <v>EN-002106303</v>
      </c>
    </row>
    <row r="5171" spans="1:15" ht="16" x14ac:dyDescent="0.2">
      <c r="A5171" s="18" t="str">
        <f>HYPERLINK("https://otsuka-europe-crm.veevavault.com/ui/#object/account__v/V4TZ000006351QR", "Sören Mannal")</f>
        <v>Sören Mannal</v>
      </c>
      <c r="B5171" s="18" t="str">
        <f>HYPERLINK("https://otsuka-europe-crm.veevavault.com/ui/#object/vcountry__v/VENZ000004SONFP", "DE")</f>
        <v>DE</v>
      </c>
      <c r="C5171" s="20" t="s">
        <v>43</v>
      </c>
      <c r="D5171" s="21" t="str">
        <f>HYPERLINK("https://otsuka-europe-crm.veevavault.com/ui/#object/approved_document__v/V5O00000001W001", "INA VAE DE – Zulassung INAQOVI Venetoclax")</f>
        <v>INA VAE DE – Zulassung INAQOVI Venetoclax</v>
      </c>
      <c r="E5171" s="22" t="str">
        <f>HYPERLINK("https://otsuka-europe-crm.veevavault.com/ui/#object/sent_email__v/VBL000000038283", "SE-001444114")</f>
        <v>SE-001444114</v>
      </c>
      <c r="F5171" s="25">
        <v>46218.389722222222</v>
      </c>
      <c r="G5171" s="24">
        <v>1</v>
      </c>
      <c r="H5171" s="24">
        <v>2</v>
      </c>
      <c r="I5171" s="24">
        <v>0</v>
      </c>
      <c r="J5171" s="23"/>
      <c r="K5171" s="24">
        <v>0</v>
      </c>
      <c r="L5171" s="22" t="str">
        <f>HYPERLINK("https://otsuka-europe-crm.veevavault.com/ui/#object/approved_document__v/V5O00000001W001", "INA VAE DE – Zulassung INAQOVI Venetoclax")</f>
        <v>INA VAE DE – Zulassung INAQOVI Venetoclax</v>
      </c>
      <c r="M5171" s="22" t="str">
        <f>HYPERLINK("mailto:mspiegel@crm.otsuka-europe.com", "mspiegel@crm.otsuka-europe.com")</f>
        <v>mspiegel@crm.otsuka-europe.com</v>
      </c>
      <c r="N5171" s="25">
        <v>46218.388969907406</v>
      </c>
      <c r="O5171" s="14" t="str">
        <f>HYPERLINK("https://otsuka-europe-crm.veevavault.com/ui/#object/email_activity__v/V8C000000049731", "EN-002106295")</f>
        <v>EN-002106295</v>
      </c>
    </row>
    <row r="5172" spans="1:15" ht="16" x14ac:dyDescent="0.2">
      <c r="A5172" s="26"/>
      <c r="B5172" s="26"/>
      <c r="C5172" s="26"/>
      <c r="D5172" s="26"/>
      <c r="E5172" s="26"/>
      <c r="F5172" s="26"/>
      <c r="G5172" s="26"/>
      <c r="H5172" s="26"/>
      <c r="I5172" s="26"/>
      <c r="J5172" s="26"/>
      <c r="K5172" s="26"/>
      <c r="L5172" s="26"/>
      <c r="M5172" s="26"/>
      <c r="N5172" s="26"/>
      <c r="O5172" s="14" t="str">
        <f>HYPERLINK("https://otsuka-europe-crm.veevavault.com/ui/#object/email_activity__v/V8C000000049735", "EN-002106306")</f>
        <v>EN-002106306</v>
      </c>
    </row>
    <row r="5173" spans="1:15" ht="16" x14ac:dyDescent="0.2">
      <c r="A5173" s="19"/>
      <c r="B5173" s="19"/>
      <c r="C5173" s="19"/>
      <c r="D5173" s="19"/>
      <c r="E5173" s="19"/>
      <c r="F5173" s="19"/>
      <c r="G5173" s="19"/>
      <c r="H5173" s="19"/>
      <c r="I5173" s="19"/>
      <c r="J5173" s="19"/>
      <c r="K5173" s="19"/>
      <c r="L5173" s="19"/>
      <c r="M5173" s="19"/>
      <c r="N5173" s="19"/>
      <c r="O5173" s="14" t="str">
        <f>HYPERLINK("https://otsuka-europe-crm.veevavault.com/ui/#object/email_activity__v/V8C00000004A699", "EN-002106299")</f>
        <v>EN-002106299</v>
      </c>
    </row>
    <row r="5174" spans="1:15" ht="32" x14ac:dyDescent="0.2">
      <c r="A5174" s="7" t="str">
        <f>HYPERLINK("https://otsuka-europe-crm.veevavault.com/ui/#object/account__v/V4TZ0000062PCHS", "Lubna Anwar")</f>
        <v>Lubna Anwar</v>
      </c>
      <c r="B5174" s="7" t="str">
        <f>HYPERLINK("https://otsuka-europe-crm.veevavault.com/ui/#object/vcountry__v/VENZ000004SONFK", "GB")</f>
        <v>GB</v>
      </c>
      <c r="C5174" s="8" t="s">
        <v>41</v>
      </c>
      <c r="D5174" s="9" t="str">
        <f>HYPERLINK("https://otsuka-europe-crm.veevavault.com/ui/#object/approved_document__v/V5O00000001V001", "LDM DR P2P Invite 12-Nov-26 v2 [digital]")</f>
        <v>LDM DR P2P Invite 12-Nov-26 v2 [digital]</v>
      </c>
      <c r="E5174" s="10" t="str">
        <f>HYPERLINK("https://otsuka-europe-crm.veevavault.com/ui/#object/sent_email__v/VBL000000037343", "SE-001444115")</f>
        <v>SE-001444115</v>
      </c>
      <c r="F5174" s="11"/>
      <c r="G5174" s="12">
        <v>0</v>
      </c>
      <c r="H5174" s="12">
        <v>0</v>
      </c>
      <c r="I5174" s="12">
        <v>0</v>
      </c>
      <c r="J5174" s="11"/>
      <c r="K5174" s="12">
        <v>0</v>
      </c>
      <c r="L5174" s="10" t="str">
        <f>HYPERLINK("https://otsuka-europe-crm.veevavault.com/ui/#object/approved_document__v/V5O00000001V001", "LDM DR P2P Invite 12-Nov-26 v2 [digital]")</f>
        <v>LDM DR P2P Invite 12-Nov-26 v2 [digital]</v>
      </c>
      <c r="M5174" s="10" t="str">
        <f>HYPERLINK("mailto:draval@crm.otsuka-europe.com", "draval@crm.otsuka-europe.com")</f>
        <v>draval@crm.otsuka-europe.com</v>
      </c>
      <c r="N5174" s="13">
        <v>46218.389004629629</v>
      </c>
      <c r="O5174" s="14" t="str">
        <f>HYPERLINK("https://otsuka-europe-crm.veevavault.com/ui/#object/email_activity__v/V8C000000049732", "EN-002106296")</f>
        <v>EN-002106296</v>
      </c>
    </row>
    <row r="5175" spans="1:15" ht="32" x14ac:dyDescent="0.2">
      <c r="A5175" s="7" t="str">
        <f>HYPERLINK("https://otsuka-europe-crm.veevavault.com/ui/#object/account__v/V4TZ025E84GGZC6", "Michael Medinger")</f>
        <v>Michael Medinger</v>
      </c>
      <c r="B5175" s="7" t="str">
        <f>HYPERLINK("https://otsuka-europe-crm.veevavault.com/ui/#object/vcountry__v/VENZ000004SONFP", "DE")</f>
        <v>DE</v>
      </c>
      <c r="C5175" s="8" t="s">
        <v>43</v>
      </c>
      <c r="D5175" s="9" t="str">
        <f>HYPERLINK("https://otsuka-europe-crm.veevavault.com/ui/#object/approved_document__v/V5O00000001W001", "INA VAE DE – Zulassung INAQOVI Venetoclax")</f>
        <v>INA VAE DE – Zulassung INAQOVI Venetoclax</v>
      </c>
      <c r="E5175" s="10" t="str">
        <f>HYPERLINK("https://otsuka-europe-crm.veevavault.com/ui/#object/sent_email__v/VBL000000037344", "SE-001444116")</f>
        <v>SE-001444116</v>
      </c>
      <c r="F5175" s="11"/>
      <c r="G5175" s="12">
        <v>0</v>
      </c>
      <c r="H5175" s="12">
        <v>0</v>
      </c>
      <c r="I5175" s="12">
        <v>0</v>
      </c>
      <c r="J5175" s="11"/>
      <c r="K5175" s="12">
        <v>0</v>
      </c>
      <c r="L5175" s="10" t="str">
        <f>HYPERLINK("https://otsuka-europe-crm.veevavault.com/ui/#object/approved_document__v/V5O00000001W001", "INA VAE DE – Zulassung INAQOVI Venetoclax")</f>
        <v>INA VAE DE – Zulassung INAQOVI Venetoclax</v>
      </c>
      <c r="M5175" s="10" t="str">
        <f>HYPERLINK("mailto:mspiegel@crm.otsuka-europe.com", "mspiegel@crm.otsuka-europe.com")</f>
        <v>mspiegel@crm.otsuka-europe.com</v>
      </c>
      <c r="N5175" s="13">
        <v>46218.389155092591</v>
      </c>
      <c r="O5175" s="14" t="str">
        <f>HYPERLINK("https://otsuka-europe-crm.veevavault.com/ui/#object/email_activity__v/V8C00000004A701", "EN-002106301")</f>
        <v>EN-002106301</v>
      </c>
    </row>
    <row r="5176" spans="1:15" ht="16" x14ac:dyDescent="0.2">
      <c r="A5176" s="18" t="str">
        <f>HYPERLINK("https://otsuka-europe-crm.veevavault.com/ui/#object/account__v/V4TZ0000062T732", "Uwe Martens")</f>
        <v>Uwe Martens</v>
      </c>
      <c r="B5176" s="18" t="str">
        <f>HYPERLINK("https://otsuka-europe-crm.veevavault.com/ui/#object/vcountry__v/VENZ000004SONFP", "DE")</f>
        <v>DE</v>
      </c>
      <c r="C5176" s="20" t="s">
        <v>43</v>
      </c>
      <c r="D5176" s="21" t="str">
        <f>HYPERLINK("https://otsuka-europe-crm.veevavault.com/ui/#object/approved_document__v/V5O00000001W001", "INA VAE DE – Zulassung INAQOVI Venetoclax")</f>
        <v>INA VAE DE – Zulassung INAQOVI Venetoclax</v>
      </c>
      <c r="E5176" s="22" t="str">
        <f>HYPERLINK("https://otsuka-europe-crm.veevavault.com/ui/#object/sent_email__v/VBL000000038284", "SE-001444117")</f>
        <v>SE-001444117</v>
      </c>
      <c r="F5176" s="23"/>
      <c r="G5176" s="24">
        <v>0</v>
      </c>
      <c r="H5176" s="24">
        <v>0</v>
      </c>
      <c r="I5176" s="24">
        <v>0</v>
      </c>
      <c r="J5176" s="23"/>
      <c r="K5176" s="24">
        <v>0</v>
      </c>
      <c r="L5176" s="22" t="str">
        <f>HYPERLINK("https://otsuka-europe-crm.veevavault.com/ui/#object/approved_document__v/V5O00000001W001", "INA VAE DE – Zulassung INAQOVI Venetoclax")</f>
        <v>INA VAE DE – Zulassung INAQOVI Venetoclax</v>
      </c>
      <c r="M5176" s="22" t="str">
        <f>HYPERLINK("mailto:mspiegel@crm.otsuka-europe.com", "mspiegel@crm.otsuka-europe.com")</f>
        <v>mspiegel@crm.otsuka-europe.com</v>
      </c>
      <c r="N5176" s="25">
        <v>46218.389560185184</v>
      </c>
      <c r="O5176" s="14" t="str">
        <f>HYPERLINK("https://otsuka-europe-crm.veevavault.com/ui/#object/email_activity__v/V8C00000004A702", "EN-002106302")</f>
        <v>EN-002106302</v>
      </c>
    </row>
    <row r="5177" spans="1:15" ht="16" x14ac:dyDescent="0.2">
      <c r="A5177" s="26"/>
      <c r="B5177" s="26"/>
      <c r="C5177" s="26"/>
      <c r="D5177" s="26"/>
      <c r="E5177" s="26"/>
      <c r="F5177" s="26"/>
      <c r="G5177" s="26"/>
      <c r="H5177" s="26"/>
      <c r="I5177" s="26"/>
      <c r="J5177" s="26"/>
      <c r="K5177" s="26"/>
      <c r="L5177" s="26"/>
      <c r="M5177" s="26"/>
      <c r="N5177" s="26"/>
      <c r="O5177" s="14" t="str">
        <f>HYPERLINK("https://otsuka-europe-crm.veevavault.com/ui/#object/email_activity__v/V8C00000004A817", "EN-002106517")</f>
        <v>EN-002106517</v>
      </c>
    </row>
    <row r="5178" spans="1:15" ht="16" x14ac:dyDescent="0.2">
      <c r="A5178" s="26"/>
      <c r="B5178" s="26"/>
      <c r="C5178" s="26"/>
      <c r="D5178" s="26"/>
      <c r="E5178" s="26"/>
      <c r="F5178" s="26"/>
      <c r="G5178" s="26"/>
      <c r="H5178" s="26"/>
      <c r="I5178" s="26"/>
      <c r="J5178" s="26"/>
      <c r="K5178" s="26"/>
      <c r="L5178" s="26"/>
      <c r="M5178" s="26"/>
      <c r="N5178" s="26"/>
      <c r="O5178" s="14" t="str">
        <f>HYPERLINK("https://otsuka-europe-crm.veevavault.com/ui/#object/email_activity__v/V8C00000004B011", "EN-002106747")</f>
        <v>EN-002106747</v>
      </c>
    </row>
    <row r="5179" spans="1:15" ht="16" x14ac:dyDescent="0.2">
      <c r="A5179" s="19"/>
      <c r="B5179" s="19"/>
      <c r="C5179" s="19"/>
      <c r="D5179" s="19"/>
      <c r="E5179" s="19"/>
      <c r="F5179" s="19"/>
      <c r="G5179" s="19"/>
      <c r="H5179" s="19"/>
      <c r="I5179" s="19"/>
      <c r="J5179" s="19"/>
      <c r="K5179" s="19"/>
      <c r="L5179" s="19"/>
      <c r="M5179" s="19"/>
      <c r="N5179" s="19"/>
      <c r="O5179" s="14" t="str">
        <f>HYPERLINK("https://otsuka-europe-crm.veevavault.com/ui/#object/email_activity__v/V8C00000004F495", "EN-002110934")</f>
        <v>EN-002110934</v>
      </c>
    </row>
    <row r="5180" spans="1:15" ht="32" x14ac:dyDescent="0.2">
      <c r="A5180" s="7" t="str">
        <f>HYPERLINK("https://otsuka-europe-crm.veevavault.com/ui/#object/account__v/V4TZ025E85WQRXR", "Sumaira Afzal")</f>
        <v>Sumaira Afzal</v>
      </c>
      <c r="B5180" s="7" t="str">
        <f>HYPERLINK("https://otsuka-europe-crm.veevavault.com/ui/#object/vcountry__v/VENZ000004SONFK", "GB")</f>
        <v>GB</v>
      </c>
      <c r="C5180" s="8" t="s">
        <v>41</v>
      </c>
      <c r="D5180" s="9" t="str">
        <f>HYPERLINK("https://otsuka-europe-crm.veevavault.com/ui/#object/approved_document__v/V5O00000001V001", "LDM DR P2P Invite 12-Nov-26 v2 [digital]")</f>
        <v>LDM DR P2P Invite 12-Nov-26 v2 [digital]</v>
      </c>
      <c r="E5180" s="10" t="str">
        <f>HYPERLINK("https://otsuka-europe-crm.veevavault.com/ui/#object/sent_email__v/VBL000000037345", "SE-001444118")</f>
        <v>SE-001444118</v>
      </c>
      <c r="F5180" s="11"/>
      <c r="G5180" s="12">
        <v>0</v>
      </c>
      <c r="H5180" s="12">
        <v>0</v>
      </c>
      <c r="I5180" s="12">
        <v>0</v>
      </c>
      <c r="J5180" s="11"/>
      <c r="K5180" s="12">
        <v>0</v>
      </c>
      <c r="L5180" s="10" t="str">
        <f>HYPERLINK("https://otsuka-europe-crm.veevavault.com/ui/#object/approved_document__v/V5O00000001V001", "LDM DR P2P Invite 12-Nov-26 v2 [digital]")</f>
        <v>LDM DR P2P Invite 12-Nov-26 v2 [digital]</v>
      </c>
      <c r="M5180" s="10" t="str">
        <f>HYPERLINK("mailto:draval@crm.otsuka-europe.com", "draval@crm.otsuka-europe.com")</f>
        <v>draval@crm.otsuka-europe.com</v>
      </c>
      <c r="N5180" s="13">
        <v>46218.389618055553</v>
      </c>
      <c r="O5180" s="14" t="str">
        <f>HYPERLINK("https://otsuka-europe-crm.veevavault.com/ui/#object/email_activity__v/V8C00000004A704", "EN-002106305")</f>
        <v>EN-002106305</v>
      </c>
    </row>
    <row r="5181" spans="1:15" ht="16" x14ac:dyDescent="0.2">
      <c r="A5181" s="18" t="str">
        <f>HYPERLINK("https://otsuka-europe-crm.veevavault.com/ui/#object/account__v/V4TZ0000062T73S", "Reinhard Marks")</f>
        <v>Reinhard Marks</v>
      </c>
      <c r="B5181" s="18" t="str">
        <f>HYPERLINK("https://otsuka-europe-crm.veevavault.com/ui/#object/vcountry__v/VENZ000004SONFP", "DE")</f>
        <v>DE</v>
      </c>
      <c r="C5181" s="20" t="s">
        <v>43</v>
      </c>
      <c r="D5181" s="21" t="str">
        <f>HYPERLINK("https://otsuka-europe-crm.veevavault.com/ui/#object/approved_document__v/V5O00000001W001", "INA VAE DE – Zulassung INAQOVI Venetoclax")</f>
        <v>INA VAE DE – Zulassung INAQOVI Venetoclax</v>
      </c>
      <c r="E5181" s="22" t="str">
        <f>HYPERLINK("https://otsuka-europe-crm.veevavault.com/ui/#object/sent_email__v/VBL000000038285", "SE-001444119")</f>
        <v>SE-001444119</v>
      </c>
      <c r="F5181" s="23"/>
      <c r="G5181" s="24">
        <v>0</v>
      </c>
      <c r="H5181" s="24">
        <v>0</v>
      </c>
      <c r="I5181" s="24">
        <v>0</v>
      </c>
      <c r="J5181" s="23"/>
      <c r="K5181" s="24">
        <v>0</v>
      </c>
      <c r="L5181" s="22" t="str">
        <f>HYPERLINK("https://otsuka-europe-crm.veevavault.com/ui/#object/approved_document__v/V5O00000001W001", "INA VAE DE – Zulassung INAQOVI Venetoclax")</f>
        <v>INA VAE DE – Zulassung INAQOVI Venetoclax</v>
      </c>
      <c r="M5181" s="22" t="str">
        <f>HYPERLINK("mailto:mspiegel@crm.otsuka-europe.com", "mspiegel@crm.otsuka-europe.com")</f>
        <v>mspiegel@crm.otsuka-europe.com</v>
      </c>
      <c r="N5181" s="25">
        <v>46218.389849537038</v>
      </c>
      <c r="O5181" s="14" t="str">
        <f>HYPERLINK("https://otsuka-europe-crm.veevavault.com/ui/#object/email_activity__v/V8C00000004A706", "EN-002106307")</f>
        <v>EN-002106307</v>
      </c>
    </row>
    <row r="5182" spans="1:15" ht="16" x14ac:dyDescent="0.2">
      <c r="A5182" s="19"/>
      <c r="B5182" s="19"/>
      <c r="C5182" s="19"/>
      <c r="D5182" s="19"/>
      <c r="E5182" s="19"/>
      <c r="F5182" s="19"/>
      <c r="G5182" s="19"/>
      <c r="H5182" s="19"/>
      <c r="I5182" s="19"/>
      <c r="J5182" s="19"/>
      <c r="K5182" s="19"/>
      <c r="L5182" s="19"/>
      <c r="M5182" s="19"/>
      <c r="N5182" s="19"/>
      <c r="O5182" s="14" t="str">
        <f>HYPERLINK("https://otsuka-europe-crm.veevavault.com/ui/#object/email_activity__v/V8C00000004C065", "EN-002106878")</f>
        <v>EN-002106878</v>
      </c>
    </row>
    <row r="5183" spans="1:15" ht="16" x14ac:dyDescent="0.2">
      <c r="A5183" s="18" t="str">
        <f>HYPERLINK("https://otsuka-europe-crm.veevavault.com/ui/#object/account__v/V4TZ000006351N5", "Barbara Metz")</f>
        <v>Barbara Metz</v>
      </c>
      <c r="B5183" s="18" t="str">
        <f>HYPERLINK("https://otsuka-europe-crm.veevavault.com/ui/#object/vcountry__v/VENZ000004SONFP", "DE")</f>
        <v>DE</v>
      </c>
      <c r="C5183" s="20" t="s">
        <v>43</v>
      </c>
      <c r="D5183" s="21" t="str">
        <f>HYPERLINK("https://otsuka-europe-crm.veevavault.com/ui/#object/approved_document__v/V5O00000001W001", "INA VAE DE – Zulassung INAQOVI Venetoclax")</f>
        <v>INA VAE DE – Zulassung INAQOVI Venetoclax</v>
      </c>
      <c r="E5183" s="22" t="str">
        <f>HYPERLINK("https://otsuka-europe-crm.veevavault.com/ui/#object/sent_email__v/VBL000000037346", "SE-001444120")</f>
        <v>SE-001444120</v>
      </c>
      <c r="F5183" s="25">
        <v>46218.390300925923</v>
      </c>
      <c r="G5183" s="24">
        <v>1</v>
      </c>
      <c r="H5183" s="24">
        <v>1</v>
      </c>
      <c r="I5183" s="24">
        <v>0</v>
      </c>
      <c r="J5183" s="23"/>
      <c r="K5183" s="24">
        <v>0</v>
      </c>
      <c r="L5183" s="22" t="str">
        <f>HYPERLINK("https://otsuka-europe-crm.veevavault.com/ui/#object/approved_document__v/V5O00000001W001", "INA VAE DE – Zulassung INAQOVI Venetoclax")</f>
        <v>INA VAE DE – Zulassung INAQOVI Venetoclax</v>
      </c>
      <c r="M5183" s="22" t="str">
        <f>HYPERLINK("mailto:mspiegel@crm.otsuka-europe.com", "mspiegel@crm.otsuka-europe.com")</f>
        <v>mspiegel@crm.otsuka-europe.com</v>
      </c>
      <c r="N5183" s="25">
        <v>46218.390208333331</v>
      </c>
      <c r="O5183" s="14" t="str">
        <f>HYPERLINK("https://otsuka-europe-crm.veevavault.com/ui/#object/email_activity__v/V8C000000049736", "EN-002106308")</f>
        <v>EN-002106308</v>
      </c>
    </row>
    <row r="5184" spans="1:15" ht="16" x14ac:dyDescent="0.2">
      <c r="A5184" s="19"/>
      <c r="B5184" s="19"/>
      <c r="C5184" s="19"/>
      <c r="D5184" s="19"/>
      <c r="E5184" s="19"/>
      <c r="F5184" s="19"/>
      <c r="G5184" s="19"/>
      <c r="H5184" s="19"/>
      <c r="I5184" s="19"/>
      <c r="J5184" s="19"/>
      <c r="K5184" s="19"/>
      <c r="L5184" s="19"/>
      <c r="M5184" s="19"/>
      <c r="N5184" s="19"/>
      <c r="O5184" s="14" t="str">
        <f>HYPERLINK("https://otsuka-europe-crm.veevavault.com/ui/#object/email_activity__v/V8C000000049737", "EN-002106310")</f>
        <v>EN-002106310</v>
      </c>
    </row>
    <row r="5185" spans="1:15" ht="32" x14ac:dyDescent="0.2">
      <c r="A5185" s="7" t="str">
        <f>HYPERLINK("https://otsuka-europe-crm.veevavault.com/ui/#object/account__v/V4TZ000006351NQ", "Christian Meyer zum Büschenfelde")</f>
        <v>Christian Meyer zum Büschenfelde</v>
      </c>
      <c r="B5185" s="7" t="str">
        <f>HYPERLINK("https://otsuka-europe-crm.veevavault.com/ui/#object/vcountry__v/VENZ000004SONFP", "DE")</f>
        <v>DE</v>
      </c>
      <c r="C5185" s="8" t="s">
        <v>43</v>
      </c>
      <c r="D5185" s="9" t="str">
        <f>HYPERLINK("https://otsuka-europe-crm.veevavault.com/ui/#object/approved_document__v/V5O00000001W001", "INA VAE DE – Zulassung INAQOVI Venetoclax")</f>
        <v>INA VAE DE – Zulassung INAQOVI Venetoclax</v>
      </c>
      <c r="E5185" s="10" t="str">
        <f>HYPERLINK("https://otsuka-europe-crm.veevavault.com/ui/#object/sent_email__v/VBL000000037347", "SE-001444121")</f>
        <v>SE-001444121</v>
      </c>
      <c r="F5185" s="11"/>
      <c r="G5185" s="12">
        <v>0</v>
      </c>
      <c r="H5185" s="12">
        <v>0</v>
      </c>
      <c r="I5185" s="12">
        <v>0</v>
      </c>
      <c r="J5185" s="11"/>
      <c r="K5185" s="12">
        <v>0</v>
      </c>
      <c r="L5185" s="10" t="str">
        <f>HYPERLINK("https://otsuka-europe-crm.veevavault.com/ui/#object/approved_document__v/V5O00000001W001", "INA VAE DE – Zulassung INAQOVI Venetoclax")</f>
        <v>INA VAE DE – Zulassung INAQOVI Venetoclax</v>
      </c>
      <c r="M5185" s="10" t="str">
        <f>HYPERLINK("mailto:mspiegel@crm.otsuka-europe.com", "mspiegel@crm.otsuka-europe.com")</f>
        <v>mspiegel@crm.otsuka-europe.com</v>
      </c>
      <c r="N5185" s="13">
        <v>46218.390289351853</v>
      </c>
      <c r="O5185" s="14" t="str">
        <f>HYPERLINK("https://otsuka-europe-crm.veevavault.com/ui/#object/email_activity__v/V8C00000004A707", "EN-002106309")</f>
        <v>EN-002106309</v>
      </c>
    </row>
    <row r="5186" spans="1:15" ht="32" x14ac:dyDescent="0.2">
      <c r="A5186" s="7" t="str">
        <f>HYPERLINK("https://otsuka-europe-crm.veevavault.com/ui/#object/account__v/V4T00000001N003", "Ali Mohammad")</f>
        <v>Ali Mohammad</v>
      </c>
      <c r="B5186" s="7" t="str">
        <f>HYPERLINK("https://otsuka-europe-crm.veevavault.com/ui/#object/vcountry__v/VENZ000004SONFP", "DE")</f>
        <v>DE</v>
      </c>
      <c r="C5186" s="8" t="s">
        <v>43</v>
      </c>
      <c r="D5186" s="9" t="str">
        <f>HYPERLINK("https://otsuka-europe-crm.veevavault.com/ui/#object/approved_document__v/V5O00000001W001", "INA VAE DE – Zulassung INAQOVI Venetoclax")</f>
        <v>INA VAE DE – Zulassung INAQOVI Venetoclax</v>
      </c>
      <c r="E5186" s="10" t="str">
        <f>HYPERLINK("https://otsuka-europe-crm.veevavault.com/ui/#object/sent_email__v/VBL000000037348", "SE-001444122")</f>
        <v>SE-001444122</v>
      </c>
      <c r="F5186" s="11"/>
      <c r="G5186" s="12">
        <v>0</v>
      </c>
      <c r="H5186" s="12">
        <v>0</v>
      </c>
      <c r="I5186" s="12">
        <v>0</v>
      </c>
      <c r="J5186" s="11"/>
      <c r="K5186" s="12">
        <v>0</v>
      </c>
      <c r="L5186" s="10" t="str">
        <f>HYPERLINK("https://otsuka-europe-crm.veevavault.com/ui/#object/approved_document__v/V5O00000001W001", "INA VAE DE – Zulassung INAQOVI Venetoclax")</f>
        <v>INA VAE DE – Zulassung INAQOVI Venetoclax</v>
      </c>
      <c r="M5186" s="10" t="str">
        <f>HYPERLINK("mailto:mspiegel@crm.otsuka-europe.com", "mspiegel@crm.otsuka-europe.com")</f>
        <v>mspiegel@crm.otsuka-europe.com</v>
      </c>
      <c r="N5186" s="13">
        <v>46218.390532407408</v>
      </c>
      <c r="O5186" s="14" t="str">
        <f>HYPERLINK("https://otsuka-europe-crm.veevavault.com/ui/#object/email_activity__v/V8C000000049738", "EN-002106311")</f>
        <v>EN-002106311</v>
      </c>
    </row>
    <row r="5187" spans="1:15" ht="32" x14ac:dyDescent="0.2">
      <c r="A5187" s="7" t="str">
        <f>HYPERLINK("https://otsuka-europe-crm.veevavault.com/ui/#object/account__v/V4TZ0000062T7DY", "Peter Müller")</f>
        <v>Peter Müller</v>
      </c>
      <c r="B5187" s="7" t="str">
        <f>HYPERLINK("https://otsuka-europe-crm.veevavault.com/ui/#object/vcountry__v/VENZ000004SONFP", "DE")</f>
        <v>DE</v>
      </c>
      <c r="C5187" s="8" t="s">
        <v>43</v>
      </c>
      <c r="D5187" s="9" t="str">
        <f>HYPERLINK("https://otsuka-europe-crm.veevavault.com/ui/#object/approved_document__v/V5O00000001W001", "INA VAE DE – Zulassung INAQOVI Venetoclax")</f>
        <v>INA VAE DE – Zulassung INAQOVI Venetoclax</v>
      </c>
      <c r="E5187" s="10" t="str">
        <f>HYPERLINK("https://otsuka-europe-crm.veevavault.com/ui/#object/sent_email__v/VBL000000038286", "SE-001444123")</f>
        <v>SE-001444123</v>
      </c>
      <c r="F5187" s="11"/>
      <c r="G5187" s="12">
        <v>0</v>
      </c>
      <c r="H5187" s="12">
        <v>0</v>
      </c>
      <c r="I5187" s="12">
        <v>0</v>
      </c>
      <c r="J5187" s="11"/>
      <c r="K5187" s="12">
        <v>0</v>
      </c>
      <c r="L5187" s="10" t="str">
        <f>HYPERLINK("https://otsuka-europe-crm.veevavault.com/ui/#object/approved_document__v/V5O00000001W001", "INA VAE DE – Zulassung INAQOVI Venetoclax")</f>
        <v>INA VAE DE – Zulassung INAQOVI Venetoclax</v>
      </c>
      <c r="M5187" s="10" t="str">
        <f>HYPERLINK("mailto:mspiegel@crm.otsuka-europe.com", "mspiegel@crm.otsuka-europe.com")</f>
        <v>mspiegel@crm.otsuka-europe.com</v>
      </c>
      <c r="N5187" s="13">
        <v>46218.3908912037</v>
      </c>
      <c r="O5187" s="14" t="str">
        <f>HYPERLINK("https://otsuka-europe-crm.veevavault.com/ui/#object/email_activity__v/V8C000000049739", "EN-002106312")</f>
        <v>EN-002106312</v>
      </c>
    </row>
    <row r="5188" spans="1:15" ht="32" x14ac:dyDescent="0.2">
      <c r="A5188" s="7" t="str">
        <f>HYPERLINK("https://otsuka-europe-crm.veevavault.com/ui/#object/account__v/V4TZ000006351Z7", "Carsten Müller-Tidow")</f>
        <v>Carsten Müller-Tidow</v>
      </c>
      <c r="B5188" s="7" t="str">
        <f>HYPERLINK("https://otsuka-europe-crm.veevavault.com/ui/#object/vcountry__v/VENZ000004SONFP", "DE")</f>
        <v>DE</v>
      </c>
      <c r="C5188" s="8" t="s">
        <v>43</v>
      </c>
      <c r="D5188" s="9" t="str">
        <f>HYPERLINK("https://otsuka-europe-crm.veevavault.com/ui/#object/approved_document__v/V5O00000001W001", "INA VAE DE – Zulassung INAQOVI Venetoclax")</f>
        <v>INA VAE DE – Zulassung INAQOVI Venetoclax</v>
      </c>
      <c r="E5188" s="10" t="str">
        <f>HYPERLINK("https://otsuka-europe-crm.veevavault.com/ui/#object/sent_email__v/VBL000000038287", "SE-001444124")</f>
        <v>SE-001444124</v>
      </c>
      <c r="F5188" s="11"/>
      <c r="G5188" s="12">
        <v>0</v>
      </c>
      <c r="H5188" s="12">
        <v>0</v>
      </c>
      <c r="I5188" s="12">
        <v>0</v>
      </c>
      <c r="J5188" s="11"/>
      <c r="K5188" s="12">
        <v>0</v>
      </c>
      <c r="L5188" s="10" t="str">
        <f>HYPERLINK("https://otsuka-europe-crm.veevavault.com/ui/#object/approved_document__v/V5O00000001W001", "INA VAE DE – Zulassung INAQOVI Venetoclax")</f>
        <v>INA VAE DE – Zulassung INAQOVI Venetoclax</v>
      </c>
      <c r="M5188" s="10" t="str">
        <f>HYPERLINK("mailto:mspiegel@crm.otsuka-europe.com", "mspiegel@crm.otsuka-europe.com")</f>
        <v>mspiegel@crm.otsuka-europe.com</v>
      </c>
      <c r="N5188" s="13">
        <v>46218.391041666669</v>
      </c>
      <c r="O5188" s="14" t="str">
        <f>HYPERLINK("https://otsuka-europe-crm.veevavault.com/ui/#object/email_activity__v/V8C00000004A708", "EN-002106313")</f>
        <v>EN-002106313</v>
      </c>
    </row>
    <row r="5189" spans="1:15" ht="16" x14ac:dyDescent="0.2">
      <c r="A5189" s="18" t="str">
        <f>HYPERLINK("https://otsuka-europe-crm.veevavault.com/ui/#object/account__v/V4TZ000006352HR", "Susanne Pfitzner-Dempfle")</f>
        <v>Susanne Pfitzner-Dempfle</v>
      </c>
      <c r="B5189" s="18" t="str">
        <f>HYPERLINK("https://otsuka-europe-crm.veevavault.com/ui/#object/vcountry__v/VENZ000004SONFP", "DE")</f>
        <v>DE</v>
      </c>
      <c r="C5189" s="20" t="s">
        <v>43</v>
      </c>
      <c r="D5189" s="21" t="str">
        <f>HYPERLINK("https://otsuka-europe-crm.veevavault.com/ui/#object/approved_document__v/V5O00000001W001", "INA VAE DE – Zulassung INAQOVI Venetoclax")</f>
        <v>INA VAE DE – Zulassung INAQOVI Venetoclax</v>
      </c>
      <c r="E5189" s="22" t="str">
        <f>HYPERLINK("https://otsuka-europe-crm.veevavault.com/ui/#object/sent_email__v/VBL000000038288", "SE-001444125")</f>
        <v>SE-001444125</v>
      </c>
      <c r="F5189" s="23"/>
      <c r="G5189" s="24">
        <v>0</v>
      </c>
      <c r="H5189" s="24">
        <v>0</v>
      </c>
      <c r="I5189" s="24">
        <v>0</v>
      </c>
      <c r="J5189" s="23"/>
      <c r="K5189" s="24">
        <v>0</v>
      </c>
      <c r="L5189" s="22" t="str">
        <f>HYPERLINK("https://otsuka-europe-crm.veevavault.com/ui/#object/approved_document__v/V5O00000001W001", "INA VAE DE – Zulassung INAQOVI Venetoclax")</f>
        <v>INA VAE DE – Zulassung INAQOVI Venetoclax</v>
      </c>
      <c r="M5189" s="22" t="str">
        <f>HYPERLINK("mailto:mspiegel@crm.otsuka-europe.com", "mspiegel@crm.otsuka-europe.com")</f>
        <v>mspiegel@crm.otsuka-europe.com</v>
      </c>
      <c r="N5189" s="25">
        <v>46218.391412037039</v>
      </c>
      <c r="O5189" s="14" t="str">
        <f>HYPERLINK("https://otsuka-europe-crm.veevavault.com/ui/#object/email_activity__v/V8C000000049741", "EN-002106315")</f>
        <v>EN-002106315</v>
      </c>
    </row>
    <row r="5190" spans="1:15" ht="16" x14ac:dyDescent="0.2">
      <c r="A5190" s="26"/>
      <c r="B5190" s="26"/>
      <c r="C5190" s="26"/>
      <c r="D5190" s="26"/>
      <c r="E5190" s="26"/>
      <c r="F5190" s="26"/>
      <c r="G5190" s="26"/>
      <c r="H5190" s="26"/>
      <c r="I5190" s="26"/>
      <c r="J5190" s="26"/>
      <c r="K5190" s="26"/>
      <c r="L5190" s="26"/>
      <c r="M5190" s="26"/>
      <c r="N5190" s="26"/>
      <c r="O5190" s="14" t="str">
        <f>HYPERLINK("https://otsuka-europe-crm.veevavault.com/ui/#object/email_activity__v/V8C000000049833", "EN-002106511")</f>
        <v>EN-002106511</v>
      </c>
    </row>
    <row r="5191" spans="1:15" ht="16" x14ac:dyDescent="0.2">
      <c r="A5191" s="19"/>
      <c r="B5191" s="19"/>
      <c r="C5191" s="19"/>
      <c r="D5191" s="19"/>
      <c r="E5191" s="19"/>
      <c r="F5191" s="19"/>
      <c r="G5191" s="19"/>
      <c r="H5191" s="19"/>
      <c r="I5191" s="19"/>
      <c r="J5191" s="19"/>
      <c r="K5191" s="19"/>
      <c r="L5191" s="19"/>
      <c r="M5191" s="19"/>
      <c r="N5191" s="19"/>
      <c r="O5191" s="14" t="str">
        <f>HYPERLINK("https://otsuka-europe-crm.veevavault.com/ui/#object/email_activity__v/V8C00000004B012", "EN-002106748")</f>
        <v>EN-002106748</v>
      </c>
    </row>
    <row r="5192" spans="1:15" ht="16" x14ac:dyDescent="0.2">
      <c r="A5192" s="18" t="str">
        <f>HYPERLINK("https://otsuka-europe-crm.veevavault.com/ui/#object/account__v/V4TZ000006352O1", "Gabriele Reiff")</f>
        <v>Gabriele Reiff</v>
      </c>
      <c r="B5192" s="18" t="str">
        <f>HYPERLINK("https://otsuka-europe-crm.veevavault.com/ui/#object/vcountry__v/VENZ000004SONFP", "DE")</f>
        <v>DE</v>
      </c>
      <c r="C5192" s="20" t="s">
        <v>43</v>
      </c>
      <c r="D5192" s="21" t="str">
        <f>HYPERLINK("https://otsuka-europe-crm.veevavault.com/ui/#object/approved_document__v/V5O00000001W001", "INA VAE DE – Zulassung INAQOVI Venetoclax")</f>
        <v>INA VAE DE – Zulassung INAQOVI Venetoclax</v>
      </c>
      <c r="E5192" s="22" t="str">
        <f>HYPERLINK("https://otsuka-europe-crm.veevavault.com/ui/#object/sent_email__v/VBL000000037349", "SE-001444126")</f>
        <v>SE-001444126</v>
      </c>
      <c r="F5192" s="25">
        <v>46218.391956018517</v>
      </c>
      <c r="G5192" s="24">
        <v>1</v>
      </c>
      <c r="H5192" s="24">
        <v>1</v>
      </c>
      <c r="I5192" s="24">
        <v>1</v>
      </c>
      <c r="J5192" s="25">
        <v>46218.391956018517</v>
      </c>
      <c r="K5192" s="24">
        <v>1</v>
      </c>
      <c r="L5192" s="22" t="str">
        <f>HYPERLINK("https://otsuka-europe-crm.veevavault.com/ui/#object/approved_document__v/V5O00000001W001", "INA VAE DE – Zulassung INAQOVI Venetoclax")</f>
        <v>INA VAE DE – Zulassung INAQOVI Venetoclax</v>
      </c>
      <c r="M5192" s="22" t="str">
        <f>HYPERLINK("mailto:mspiegel@crm.otsuka-europe.com", "mspiegel@crm.otsuka-europe.com")</f>
        <v>mspiegel@crm.otsuka-europe.com</v>
      </c>
      <c r="N5192" s="25">
        <v>46218.391770833332</v>
      </c>
      <c r="O5192" s="14" t="str">
        <f>HYPERLINK("https://otsuka-europe-crm.veevavault.com/ui/#object/email_activity__v/V8C00000004A709", "EN-002106316")</f>
        <v>EN-002106316</v>
      </c>
    </row>
    <row r="5193" spans="1:15" ht="16" x14ac:dyDescent="0.2">
      <c r="A5193" s="26"/>
      <c r="B5193" s="26"/>
      <c r="C5193" s="26"/>
      <c r="D5193" s="26"/>
      <c r="E5193" s="26"/>
      <c r="F5193" s="26"/>
      <c r="G5193" s="26"/>
      <c r="H5193" s="26"/>
      <c r="I5193" s="26"/>
      <c r="J5193" s="26"/>
      <c r="K5193" s="26"/>
      <c r="L5193" s="26"/>
      <c r="M5193" s="26"/>
      <c r="N5193" s="26"/>
      <c r="O5193" s="14" t="str">
        <f>HYPERLINK("https://otsuka-europe-crm.veevavault.com/ui/#object/email_activity__v/V8C00000004A710", "EN-002106318")</f>
        <v>EN-002106318</v>
      </c>
    </row>
    <row r="5194" spans="1:15" ht="16" x14ac:dyDescent="0.2">
      <c r="A5194" s="19"/>
      <c r="B5194" s="19"/>
      <c r="C5194" s="19"/>
      <c r="D5194" s="19"/>
      <c r="E5194" s="19"/>
      <c r="F5194" s="19"/>
      <c r="G5194" s="19"/>
      <c r="H5194" s="19"/>
      <c r="I5194" s="19"/>
      <c r="J5194" s="19"/>
      <c r="K5194" s="19"/>
      <c r="L5194" s="19"/>
      <c r="M5194" s="19"/>
      <c r="N5194" s="19"/>
      <c r="O5194" s="14" t="str">
        <f>HYPERLINK("https://otsuka-europe-crm.veevavault.com/ui/#object/email_activity__v/V8C00000004A711", "EN-002106317")</f>
        <v>EN-002106317</v>
      </c>
    </row>
    <row r="5195" spans="1:15" ht="32" x14ac:dyDescent="0.2">
      <c r="A5195" s="7" t="str">
        <f>HYPERLINK("https://otsuka-europe-crm.veevavault.com/ui/#object/account__v/V4TZ0000063531M", "Bettina Sandritter")</f>
        <v>Bettina Sandritter</v>
      </c>
      <c r="B5195" s="7" t="str">
        <f t="shared" ref="B5195:B5201" si="234">HYPERLINK("https://otsuka-europe-crm.veevavault.com/ui/#object/vcountry__v/VENZ000004SONFP", "DE")</f>
        <v>DE</v>
      </c>
      <c r="C5195" s="8" t="s">
        <v>43</v>
      </c>
      <c r="D5195" s="9" t="str">
        <f t="shared" ref="D5195:D5201" si="235">HYPERLINK("https://otsuka-europe-crm.veevavault.com/ui/#object/approved_document__v/V5O00000001W001", "INA VAE DE – Zulassung INAQOVI Venetoclax")</f>
        <v>INA VAE DE – Zulassung INAQOVI Venetoclax</v>
      </c>
      <c r="E5195" s="10" t="str">
        <f>HYPERLINK("https://otsuka-europe-crm.veevavault.com/ui/#object/sent_email__v/VBL000000038289", "SE-001444127")</f>
        <v>SE-001444127</v>
      </c>
      <c r="F5195" s="11"/>
      <c r="G5195" s="12">
        <v>0</v>
      </c>
      <c r="H5195" s="12">
        <v>0</v>
      </c>
      <c r="I5195" s="12">
        <v>0</v>
      </c>
      <c r="J5195" s="11"/>
      <c r="K5195" s="12">
        <v>0</v>
      </c>
      <c r="L5195" s="10" t="str">
        <f t="shared" ref="L5195:L5201" si="236">HYPERLINK("https://otsuka-europe-crm.veevavault.com/ui/#object/approved_document__v/V5O00000001W001", "INA VAE DE – Zulassung INAQOVI Venetoclax")</f>
        <v>INA VAE DE – Zulassung INAQOVI Venetoclax</v>
      </c>
      <c r="M5195" s="10" t="str">
        <f t="shared" ref="M5195:M5201" si="237">HYPERLINK("mailto:mspiegel@crm.otsuka-europe.com", "mspiegel@crm.otsuka-europe.com")</f>
        <v>mspiegel@crm.otsuka-europe.com</v>
      </c>
      <c r="N5195" s="13">
        <v>46218.392106481479</v>
      </c>
      <c r="O5195" s="14" t="str">
        <f>HYPERLINK("https://otsuka-europe-crm.veevavault.com/ui/#object/email_activity__v/V8C00000004A713", "EN-002106320")</f>
        <v>EN-002106320</v>
      </c>
    </row>
    <row r="5196" spans="1:15" ht="32" x14ac:dyDescent="0.2">
      <c r="A5196" s="7" t="str">
        <f>HYPERLINK("https://otsuka-europe-crm.veevavault.com/ui/#object/account__v/V4TZ06G6OBI66Q0", "Tim Sauer")</f>
        <v>Tim Sauer</v>
      </c>
      <c r="B5196" s="7" t="str">
        <f t="shared" si="234"/>
        <v>DE</v>
      </c>
      <c r="C5196" s="8" t="s">
        <v>43</v>
      </c>
      <c r="D5196" s="9" t="str">
        <f t="shared" si="235"/>
        <v>INA VAE DE – Zulassung INAQOVI Venetoclax</v>
      </c>
      <c r="E5196" s="10" t="str">
        <f>HYPERLINK("https://otsuka-europe-crm.veevavault.com/ui/#object/sent_email__v/VBL000000038290", "SE-001444128")</f>
        <v>SE-001444128</v>
      </c>
      <c r="F5196" s="11"/>
      <c r="G5196" s="12">
        <v>0</v>
      </c>
      <c r="H5196" s="12">
        <v>0</v>
      </c>
      <c r="I5196" s="12">
        <v>0</v>
      </c>
      <c r="J5196" s="11"/>
      <c r="K5196" s="12">
        <v>0</v>
      </c>
      <c r="L5196" s="10" t="str">
        <f t="shared" si="236"/>
        <v>INA VAE DE – Zulassung INAQOVI Venetoclax</v>
      </c>
      <c r="M5196" s="10" t="str">
        <f t="shared" si="237"/>
        <v>mspiegel@crm.otsuka-europe.com</v>
      </c>
      <c r="N5196" s="13">
        <v>46218.392256944448</v>
      </c>
      <c r="O5196" s="14" t="str">
        <f>HYPERLINK("https://otsuka-europe-crm.veevavault.com/ui/#object/email_activity__v/V8C00000004A714", "EN-002106321")</f>
        <v>EN-002106321</v>
      </c>
    </row>
    <row r="5197" spans="1:15" ht="32" x14ac:dyDescent="0.2">
      <c r="A5197" s="7" t="str">
        <f>HYPERLINK("https://otsuka-europe-crm.veevavault.com/ui/#object/account__v/V4TZ00000634YNQ", "Markus Schaich")</f>
        <v>Markus Schaich</v>
      </c>
      <c r="B5197" s="7" t="str">
        <f t="shared" si="234"/>
        <v>DE</v>
      </c>
      <c r="C5197" s="8" t="s">
        <v>43</v>
      </c>
      <c r="D5197" s="9" t="str">
        <f t="shared" si="235"/>
        <v>INA VAE DE – Zulassung INAQOVI Venetoclax</v>
      </c>
      <c r="E5197" s="10" t="str">
        <f>HYPERLINK("https://otsuka-europe-crm.veevavault.com/ui/#object/sent_email__v/VBL000000037350", "SE-001444129")</f>
        <v>SE-001444129</v>
      </c>
      <c r="F5197" s="11"/>
      <c r="G5197" s="12">
        <v>0</v>
      </c>
      <c r="H5197" s="12">
        <v>0</v>
      </c>
      <c r="I5197" s="12">
        <v>0</v>
      </c>
      <c r="J5197" s="11"/>
      <c r="K5197" s="12">
        <v>0</v>
      </c>
      <c r="L5197" s="10" t="str">
        <f t="shared" si="236"/>
        <v>INA VAE DE – Zulassung INAQOVI Venetoclax</v>
      </c>
      <c r="M5197" s="10" t="str">
        <f t="shared" si="237"/>
        <v>mspiegel@crm.otsuka-europe.com</v>
      </c>
      <c r="N5197" s="13">
        <v>46218.392650462964</v>
      </c>
      <c r="O5197" s="14" t="str">
        <f>HYPERLINK("https://otsuka-europe-crm.veevavault.com/ui/#object/email_activity__v/V8C000000049743", "EN-002106324")</f>
        <v>EN-002106324</v>
      </c>
    </row>
    <row r="5198" spans="1:15" ht="32" x14ac:dyDescent="0.2">
      <c r="A5198" s="7" t="str">
        <f>HYPERLINK("https://otsuka-europe-crm.veevavault.com/ui/#object/account__v/V4TZ00000634YZB", "Philipp Schauenberg")</f>
        <v>Philipp Schauenberg</v>
      </c>
      <c r="B5198" s="7" t="str">
        <f t="shared" si="234"/>
        <v>DE</v>
      </c>
      <c r="C5198" s="8" t="s">
        <v>43</v>
      </c>
      <c r="D5198" s="9" t="str">
        <f t="shared" si="235"/>
        <v>INA VAE DE – Zulassung INAQOVI Venetoclax</v>
      </c>
      <c r="E5198" s="10" t="str">
        <f>HYPERLINK("https://otsuka-europe-crm.veevavault.com/ui/#object/sent_email__v/VBL000000038291", "SE-001444130")</f>
        <v>SE-001444130</v>
      </c>
      <c r="F5198" s="11"/>
      <c r="G5198" s="12">
        <v>0</v>
      </c>
      <c r="H5198" s="12">
        <v>0</v>
      </c>
      <c r="I5198" s="12">
        <v>0</v>
      </c>
      <c r="J5198" s="11"/>
      <c r="K5198" s="12">
        <v>0</v>
      </c>
      <c r="L5198" s="10" t="str">
        <f t="shared" si="236"/>
        <v>INA VAE DE – Zulassung INAQOVI Venetoclax</v>
      </c>
      <c r="M5198" s="10" t="str">
        <f t="shared" si="237"/>
        <v>mspiegel@crm.otsuka-europe.com</v>
      </c>
      <c r="N5198" s="13">
        <v>46218.392974537041</v>
      </c>
      <c r="O5198" s="14" t="str">
        <f>HYPERLINK("https://otsuka-europe-crm.veevavault.com/ui/#object/email_activity__v/V8C00000004A716", "EN-002106325")</f>
        <v>EN-002106325</v>
      </c>
    </row>
    <row r="5199" spans="1:15" ht="32" x14ac:dyDescent="0.2">
      <c r="A5199" s="7" t="str">
        <f>HYPERLINK("https://otsuka-europe-crm.veevavault.com/ui/#object/account__v/V4TZ00000634YR1", "Burkhard Hans Scheuer")</f>
        <v>Burkhard Hans Scheuer</v>
      </c>
      <c r="B5199" s="7" t="str">
        <f t="shared" si="234"/>
        <v>DE</v>
      </c>
      <c r="C5199" s="8" t="s">
        <v>43</v>
      </c>
      <c r="D5199" s="9" t="str">
        <f t="shared" si="235"/>
        <v>INA VAE DE – Zulassung INAQOVI Venetoclax</v>
      </c>
      <c r="E5199" s="10" t="str">
        <f>HYPERLINK("https://otsuka-europe-crm.veevavault.com/ui/#object/sent_email__v/VBL000000038292", "SE-001444131")</f>
        <v>SE-001444131</v>
      </c>
      <c r="F5199" s="11"/>
      <c r="G5199" s="12">
        <v>0</v>
      </c>
      <c r="H5199" s="12">
        <v>0</v>
      </c>
      <c r="I5199" s="12">
        <v>0</v>
      </c>
      <c r="J5199" s="11"/>
      <c r="K5199" s="12">
        <v>0</v>
      </c>
      <c r="L5199" s="10" t="str">
        <f t="shared" si="236"/>
        <v>INA VAE DE – Zulassung INAQOVI Venetoclax</v>
      </c>
      <c r="M5199" s="10" t="str">
        <f t="shared" si="237"/>
        <v>mspiegel@crm.otsuka-europe.com</v>
      </c>
      <c r="N5199" s="13">
        <v>46218.393495370372</v>
      </c>
      <c r="O5199" s="14" t="str">
        <f>HYPERLINK("https://otsuka-europe-crm.veevavault.com/ui/#object/email_activity__v/V8C000000049744", "EN-002106326")</f>
        <v>EN-002106326</v>
      </c>
    </row>
    <row r="5200" spans="1:15" ht="32" x14ac:dyDescent="0.2">
      <c r="A5200" s="7" t="str">
        <f>HYPERLINK("https://otsuka-europe-crm.veevavault.com/ui/#object/account__v/V4TZ04ASGBX7795", "Manuela Schlicke")</f>
        <v>Manuela Schlicke</v>
      </c>
      <c r="B5200" s="7" t="str">
        <f t="shared" si="234"/>
        <v>DE</v>
      </c>
      <c r="C5200" s="8" t="s">
        <v>43</v>
      </c>
      <c r="D5200" s="9" t="str">
        <f t="shared" si="235"/>
        <v>INA VAE DE – Zulassung INAQOVI Venetoclax</v>
      </c>
      <c r="E5200" s="10" t="str">
        <f>HYPERLINK("https://otsuka-europe-crm.veevavault.com/ui/#object/sent_email__v/VBL000000037351", "SE-001444132")</f>
        <v>SE-001444132</v>
      </c>
      <c r="F5200" s="11"/>
      <c r="G5200" s="12">
        <v>0</v>
      </c>
      <c r="H5200" s="12">
        <v>0</v>
      </c>
      <c r="I5200" s="12">
        <v>0</v>
      </c>
      <c r="J5200" s="11"/>
      <c r="K5200" s="12">
        <v>0</v>
      </c>
      <c r="L5200" s="10" t="str">
        <f t="shared" si="236"/>
        <v>INA VAE DE – Zulassung INAQOVI Venetoclax</v>
      </c>
      <c r="M5200" s="10" t="str">
        <f t="shared" si="237"/>
        <v>mspiegel@crm.otsuka-europe.com</v>
      </c>
      <c r="N5200" s="13">
        <v>46218.393854166665</v>
      </c>
      <c r="O5200" s="14" t="str">
        <f>HYPERLINK("https://otsuka-europe-crm.veevavault.com/ui/#object/email_activity__v/V8C000000049745", "EN-002106327")</f>
        <v>EN-002106327</v>
      </c>
    </row>
    <row r="5201" spans="1:15" ht="16" x14ac:dyDescent="0.2">
      <c r="A5201" s="18" t="str">
        <f>HYPERLINK("https://otsuka-europe-crm.veevavault.com/ui/#object/account__v/V4TZ00000634YWL", "Gerhard Schmidt")</f>
        <v>Gerhard Schmidt</v>
      </c>
      <c r="B5201" s="18" t="str">
        <f t="shared" si="234"/>
        <v>DE</v>
      </c>
      <c r="C5201" s="20" t="s">
        <v>43</v>
      </c>
      <c r="D5201" s="21" t="str">
        <f t="shared" si="235"/>
        <v>INA VAE DE – Zulassung INAQOVI Venetoclax</v>
      </c>
      <c r="E5201" s="22" t="str">
        <f>HYPERLINK("https://otsuka-europe-crm.veevavault.com/ui/#object/sent_email__v/VBL000000038293", "SE-001444133")</f>
        <v>SE-001444133</v>
      </c>
      <c r="F5201" s="25">
        <v>46218.446886574071</v>
      </c>
      <c r="G5201" s="24">
        <v>1</v>
      </c>
      <c r="H5201" s="24">
        <v>1</v>
      </c>
      <c r="I5201" s="24">
        <v>0</v>
      </c>
      <c r="J5201" s="23"/>
      <c r="K5201" s="24">
        <v>0</v>
      </c>
      <c r="L5201" s="22" t="str">
        <f t="shared" si="236"/>
        <v>INA VAE DE – Zulassung INAQOVI Venetoclax</v>
      </c>
      <c r="M5201" s="22" t="str">
        <f t="shared" si="237"/>
        <v>mspiegel@crm.otsuka-europe.com</v>
      </c>
      <c r="N5201" s="25">
        <v>46218.39402777778</v>
      </c>
      <c r="O5201" s="14" t="str">
        <f>HYPERLINK("https://otsuka-europe-crm.veevavault.com/ui/#object/email_activity__v/V8C000000049746", "EN-002106328")</f>
        <v>EN-002106328</v>
      </c>
    </row>
    <row r="5202" spans="1:15" ht="16" x14ac:dyDescent="0.2">
      <c r="A5202" s="19"/>
      <c r="B5202" s="19"/>
      <c r="C5202" s="19"/>
      <c r="D5202" s="19"/>
      <c r="E5202" s="19"/>
      <c r="F5202" s="19"/>
      <c r="G5202" s="19"/>
      <c r="H5202" s="19"/>
      <c r="I5202" s="19"/>
      <c r="J5202" s="19"/>
      <c r="K5202" s="19"/>
      <c r="L5202" s="19"/>
      <c r="M5202" s="19"/>
      <c r="N5202" s="19"/>
      <c r="O5202" s="14" t="str">
        <f>HYPERLINK("https://otsuka-europe-crm.veevavault.com/ui/#object/email_activity__v/V8C00000004A737", "EN-002106369")</f>
        <v>EN-002106369</v>
      </c>
    </row>
    <row r="5203" spans="1:15" ht="32" x14ac:dyDescent="0.2">
      <c r="A5203" s="7" t="str">
        <f>HYPERLINK("https://otsuka-europe-crm.veevavault.com/ui/#object/account__v/V4TZ025E88LNQ9B", "Stefanie Sellner")</f>
        <v>Stefanie Sellner</v>
      </c>
      <c r="B5203" s="7" t="str">
        <f>HYPERLINK("https://otsuka-europe-crm.veevavault.com/ui/#object/vcountry__v/VENZ000004SONFP", "DE")</f>
        <v>DE</v>
      </c>
      <c r="C5203" s="8" t="s">
        <v>43</v>
      </c>
      <c r="D5203" s="9" t="str">
        <f>HYPERLINK("https://otsuka-europe-crm.veevavault.com/ui/#object/approved_document__v/V5O00000001W001", "INA VAE DE – Zulassung INAQOVI Venetoclax")</f>
        <v>INA VAE DE – Zulassung INAQOVI Venetoclax</v>
      </c>
      <c r="E5203" s="10" t="str">
        <f>HYPERLINK("https://otsuka-europe-crm.veevavault.com/ui/#object/sent_email__v/VBL000000038294", "SE-001444134")</f>
        <v>SE-001444134</v>
      </c>
      <c r="F5203" s="11"/>
      <c r="G5203" s="12">
        <v>0</v>
      </c>
      <c r="H5203" s="12">
        <v>0</v>
      </c>
      <c r="I5203" s="12">
        <v>0</v>
      </c>
      <c r="J5203" s="11"/>
      <c r="K5203" s="12">
        <v>0</v>
      </c>
      <c r="L5203" s="10" t="str">
        <f>HYPERLINK("https://otsuka-europe-crm.veevavault.com/ui/#object/approved_document__v/V5O00000001W001", "INA VAE DE – Zulassung INAQOVI Venetoclax")</f>
        <v>INA VAE DE – Zulassung INAQOVI Venetoclax</v>
      </c>
      <c r="M5203" s="10" t="str">
        <f>HYPERLINK("mailto:mspiegel@crm.otsuka-europe.com", "mspiegel@crm.otsuka-europe.com")</f>
        <v>mspiegel@crm.otsuka-europe.com</v>
      </c>
      <c r="N5203" s="13">
        <v>46218.39439814815</v>
      </c>
      <c r="O5203" s="14" t="str">
        <f>HYPERLINK("https://otsuka-europe-crm.veevavault.com/ui/#object/email_activity__v/V8C00000004A717", "EN-002106329")</f>
        <v>EN-002106329</v>
      </c>
    </row>
    <row r="5204" spans="1:15" ht="32" x14ac:dyDescent="0.2">
      <c r="A5204" s="7" t="str">
        <f>HYPERLINK("https://otsuka-europe-crm.veevavault.com/ui/#object/account__v/V4TZ0000063533X", "Michael Sigler")</f>
        <v>Michael Sigler</v>
      </c>
      <c r="B5204" s="7" t="str">
        <f>HYPERLINK("https://otsuka-europe-crm.veevavault.com/ui/#object/vcountry__v/VENZ000004SONFP", "DE")</f>
        <v>DE</v>
      </c>
      <c r="C5204" s="8" t="s">
        <v>43</v>
      </c>
      <c r="D5204" s="9" t="str">
        <f>HYPERLINK("https://otsuka-europe-crm.veevavault.com/ui/#object/approved_document__v/V5O00000001W001", "INA VAE DE – Zulassung INAQOVI Venetoclax")</f>
        <v>INA VAE DE – Zulassung INAQOVI Venetoclax</v>
      </c>
      <c r="E5204" s="10" t="str">
        <f>HYPERLINK("https://otsuka-europe-crm.veevavault.com/ui/#object/sent_email__v/VBL000000038295", "SE-001444135")</f>
        <v>SE-001444135</v>
      </c>
      <c r="F5204" s="11"/>
      <c r="G5204" s="12">
        <v>0</v>
      </c>
      <c r="H5204" s="12">
        <v>0</v>
      </c>
      <c r="I5204" s="12">
        <v>0</v>
      </c>
      <c r="J5204" s="11"/>
      <c r="K5204" s="12">
        <v>0</v>
      </c>
      <c r="L5204" s="10" t="str">
        <f>HYPERLINK("https://otsuka-europe-crm.veevavault.com/ui/#object/approved_document__v/V5O00000001W001", "INA VAE DE – Zulassung INAQOVI Venetoclax")</f>
        <v>INA VAE DE – Zulassung INAQOVI Venetoclax</v>
      </c>
      <c r="M5204" s="10" t="str">
        <f>HYPERLINK("mailto:mspiegel@crm.otsuka-europe.com", "mspiegel@crm.otsuka-europe.com")</f>
        <v>mspiegel@crm.otsuka-europe.com</v>
      </c>
      <c r="N5204" s="13">
        <v>46218.394756944443</v>
      </c>
      <c r="O5204" s="14" t="str">
        <f>HYPERLINK("https://otsuka-europe-crm.veevavault.com/ui/#object/email_activity__v/V8C000000049747", "EN-002106330")</f>
        <v>EN-002106330</v>
      </c>
    </row>
    <row r="5205" spans="1:15" ht="32" x14ac:dyDescent="0.2">
      <c r="A5205" s="7" t="str">
        <f>HYPERLINK("https://otsuka-europe-crm.veevavault.com/ui/#object/account__v/V4TZ000006353S2", "André Weinandy")</f>
        <v>André Weinandy</v>
      </c>
      <c r="B5205" s="7" t="str">
        <f>HYPERLINK("https://otsuka-europe-crm.veevavault.com/ui/#object/vcountry__v/VENZ000004SONFP", "DE")</f>
        <v>DE</v>
      </c>
      <c r="C5205" s="8" t="s">
        <v>43</v>
      </c>
      <c r="D5205" s="9" t="str">
        <f>HYPERLINK("https://otsuka-europe-crm.veevavault.com/ui/#object/approved_document__v/V5O00000001W001", "INA VAE DE – Zulassung INAQOVI Venetoclax")</f>
        <v>INA VAE DE – Zulassung INAQOVI Venetoclax</v>
      </c>
      <c r="E5205" s="10" t="str">
        <f>HYPERLINK("https://otsuka-europe-crm.veevavault.com/ui/#object/sent_email__v/VBL000000038296", "SE-001444136")</f>
        <v>SE-001444136</v>
      </c>
      <c r="F5205" s="11"/>
      <c r="G5205" s="12">
        <v>0</v>
      </c>
      <c r="H5205" s="12">
        <v>0</v>
      </c>
      <c r="I5205" s="12">
        <v>0</v>
      </c>
      <c r="J5205" s="11"/>
      <c r="K5205" s="12">
        <v>0</v>
      </c>
      <c r="L5205" s="10" t="str">
        <f>HYPERLINK("https://otsuka-europe-crm.veevavault.com/ui/#object/approved_document__v/V5O00000001W001", "INA VAE DE – Zulassung INAQOVI Venetoclax")</f>
        <v>INA VAE DE – Zulassung INAQOVI Venetoclax</v>
      </c>
      <c r="M5205" s="10" t="str">
        <f>HYPERLINK("mailto:mspiegel@crm.otsuka-europe.com", "mspiegel@crm.otsuka-europe.com")</f>
        <v>mspiegel@crm.otsuka-europe.com</v>
      </c>
      <c r="N5205" s="13">
        <v>46218.395069444443</v>
      </c>
      <c r="O5205" s="14" t="str">
        <f>HYPERLINK("https://otsuka-europe-crm.veevavault.com/ui/#object/email_activity__v/V8C00000004A718", "EN-002106331")</f>
        <v>EN-002106331</v>
      </c>
    </row>
    <row r="5206" spans="1:15" ht="32" x14ac:dyDescent="0.2">
      <c r="A5206" s="7" t="str">
        <f>HYPERLINK("https://otsuka-europe-crm.veevavault.com/ui/#object/account__v/V4TZ00000634TMA", "Bettina Whitlock")</f>
        <v>Bettina Whitlock</v>
      </c>
      <c r="B5206" s="7" t="str">
        <f>HYPERLINK("https://otsuka-europe-crm.veevavault.com/ui/#object/vcountry__v/VENZ000004SONFP", "DE")</f>
        <v>DE</v>
      </c>
      <c r="C5206" s="8" t="s">
        <v>43</v>
      </c>
      <c r="D5206" s="9" t="str">
        <f>HYPERLINK("https://otsuka-europe-crm.veevavault.com/ui/#object/approved_document__v/V5O00000001W001", "INA VAE DE – Zulassung INAQOVI Venetoclax")</f>
        <v>INA VAE DE – Zulassung INAQOVI Venetoclax</v>
      </c>
      <c r="E5206" s="10" t="str">
        <f>HYPERLINK("https://otsuka-europe-crm.veevavault.com/ui/#object/sent_email__v/VBL000000038297", "SE-001444137")</f>
        <v>SE-001444137</v>
      </c>
      <c r="F5206" s="11"/>
      <c r="G5206" s="12">
        <v>0</v>
      </c>
      <c r="H5206" s="12">
        <v>0</v>
      </c>
      <c r="I5206" s="12">
        <v>0</v>
      </c>
      <c r="J5206" s="11"/>
      <c r="K5206" s="12">
        <v>0</v>
      </c>
      <c r="L5206" s="10" t="str">
        <f>HYPERLINK("https://otsuka-europe-crm.veevavault.com/ui/#object/approved_document__v/V5O00000001W001", "INA VAE DE – Zulassung INAQOVI Venetoclax")</f>
        <v>INA VAE DE – Zulassung INAQOVI Venetoclax</v>
      </c>
      <c r="M5206" s="10" t="str">
        <f>HYPERLINK("mailto:mspiegel@crm.otsuka-europe.com", "mspiegel@crm.otsuka-europe.com")</f>
        <v>mspiegel@crm.otsuka-europe.com</v>
      </c>
      <c r="N5206" s="13">
        <v>46218.395208333335</v>
      </c>
      <c r="O5206" s="14" t="str">
        <f>HYPERLINK("https://otsuka-europe-crm.veevavault.com/ui/#object/email_activity__v/V8C00000004A719", "EN-002106332")</f>
        <v>EN-002106332</v>
      </c>
    </row>
    <row r="5207" spans="1:15" ht="16" x14ac:dyDescent="0.2">
      <c r="A5207" s="18" t="str">
        <f>HYPERLINK("https://otsuka-europe-crm.veevavault.com/ui/#object/account__v/V4TZ025E85JE48D", "VICTORIA GOMEZ DORANTES")</f>
        <v>VICTORIA GOMEZ DORANTES</v>
      </c>
      <c r="B5207" s="18" t="str">
        <f>HYPERLINK("https://otsuka-europe-crm.veevavault.com/ui/#object/vcountry__v/VENZ000004SONF5", "ES")</f>
        <v>ES</v>
      </c>
      <c r="C5207" s="20" t="s">
        <v>39</v>
      </c>
      <c r="D5207" s="21" t="str">
        <f>HYPERLINK("https://otsuka-europe-crm.veevavault.com/ui/#object/approved_document__v/V5OZ04ASG4FWKA9", "Documento Autorizaciขn Centro Empleador")</f>
        <v>Documento Autorizaciขn Centro Empleador</v>
      </c>
      <c r="E5207" s="22" t="str">
        <f>HYPERLINK("https://otsuka-europe-crm.veevavault.com/ui/#object/sent_email__v/VBL000000038298", "SE-001444138")</f>
        <v>SE-001444138</v>
      </c>
      <c r="F5207" s="25">
        <v>46218.408576388887</v>
      </c>
      <c r="G5207" s="24">
        <v>1</v>
      </c>
      <c r="H5207" s="24">
        <v>1</v>
      </c>
      <c r="I5207" s="24">
        <v>1</v>
      </c>
      <c r="J5207" s="25">
        <v>46218.408622685187</v>
      </c>
      <c r="K5207" s="24">
        <v>1</v>
      </c>
      <c r="L5207" s="22" t="str">
        <f>HYPERLINK("https://otsuka-europe-crm.veevavault.com/ui/#object/approved_document__v/V5OZ04ASG4FWKA9", "Documento Autorizaciขn Centro Empleador")</f>
        <v>Documento Autorizaciขn Centro Empleador</v>
      </c>
      <c r="M5207" s="22" t="str">
        <f>HYPERLINK("mailto:mgravan@crm.otsuka-europe.com", "mgravan@crm.otsuka-europe.com")</f>
        <v>mgravan@crm.otsuka-europe.com</v>
      </c>
      <c r="N5207" s="25">
        <v>46218.407789351855</v>
      </c>
      <c r="O5207" s="14" t="str">
        <f>HYPERLINK("https://otsuka-europe-crm.veevavault.com/ui/#object/email_activity__v/V8C000000049754", "EN-002106342")</f>
        <v>EN-002106342</v>
      </c>
    </row>
    <row r="5208" spans="1:15" ht="16" x14ac:dyDescent="0.2">
      <c r="A5208" s="26"/>
      <c r="B5208" s="26"/>
      <c r="C5208" s="26"/>
      <c r="D5208" s="26"/>
      <c r="E5208" s="26"/>
      <c r="F5208" s="26"/>
      <c r="G5208" s="26"/>
      <c r="H5208" s="26"/>
      <c r="I5208" s="26"/>
      <c r="J5208" s="26"/>
      <c r="K5208" s="26"/>
      <c r="L5208" s="26"/>
      <c r="M5208" s="26"/>
      <c r="N5208" s="26"/>
      <c r="O5208" s="14" t="str">
        <f>HYPERLINK("https://otsuka-europe-crm.veevavault.com/ui/#object/email_activity__v/V8C000000049756", "EN-002106345")</f>
        <v>EN-002106345</v>
      </c>
    </row>
    <row r="5209" spans="1:15" ht="16" x14ac:dyDescent="0.2">
      <c r="A5209" s="19"/>
      <c r="B5209" s="19"/>
      <c r="C5209" s="19"/>
      <c r="D5209" s="19"/>
      <c r="E5209" s="19"/>
      <c r="F5209" s="19"/>
      <c r="G5209" s="19"/>
      <c r="H5209" s="19"/>
      <c r="I5209" s="19"/>
      <c r="J5209" s="19"/>
      <c r="K5209" s="19"/>
      <c r="L5209" s="19"/>
      <c r="M5209" s="19"/>
      <c r="N5209" s="19"/>
      <c r="O5209" s="14" t="str">
        <f>HYPERLINK("https://otsuka-europe-crm.veevavault.com/ui/#object/email_activity__v/V8C000000049757", "EN-002106346")</f>
        <v>EN-002106346</v>
      </c>
    </row>
    <row r="5210" spans="1:15" ht="16" x14ac:dyDescent="0.2">
      <c r="A5210" s="18" t="str">
        <f>HYPERLINK("https://otsuka-europe-crm.veevavault.com/ui/#object/account__v/V4TZ025E85AY5SL", "MARTA CENTENO SANTANA")</f>
        <v>MARTA CENTENO SANTANA</v>
      </c>
      <c r="B5210" s="18" t="str">
        <f>HYPERLINK("https://otsuka-europe-crm.veevavault.com/ui/#object/vcountry__v/VENZ000004SONF5", "ES")</f>
        <v>ES</v>
      </c>
      <c r="C5210" s="20" t="s">
        <v>39</v>
      </c>
      <c r="D5210" s="21" t="str">
        <f>HYPERLINK("https://otsuka-europe-crm.veevavault.com/ui/#object/approved_document__v/V5OZ04ASG4FWKA9", "Documento Autorizaciขn Centro Empleador")</f>
        <v>Documento Autorizaciขn Centro Empleador</v>
      </c>
      <c r="E5210" s="22" t="str">
        <f>HYPERLINK("https://otsuka-europe-crm.veevavault.com/ui/#object/sent_email__v/VBL000000038299", "SE-001444139")</f>
        <v>SE-001444139</v>
      </c>
      <c r="F5210" s="25">
        <v>46218.412858796299</v>
      </c>
      <c r="G5210" s="24">
        <v>1</v>
      </c>
      <c r="H5210" s="24">
        <v>3</v>
      </c>
      <c r="I5210" s="24">
        <v>1</v>
      </c>
      <c r="J5210" s="25">
        <v>46218.412858796299</v>
      </c>
      <c r="K5210" s="24">
        <v>1</v>
      </c>
      <c r="L5210" s="22" t="str">
        <f>HYPERLINK("https://otsuka-europe-crm.veevavault.com/ui/#object/approved_document__v/V5OZ04ASG4FWKA9", "Documento Autorizaciขn Centro Empleador")</f>
        <v>Documento Autorizaciขn Centro Empleador</v>
      </c>
      <c r="M5210" s="22" t="str">
        <f>HYPERLINK("mailto:mgravan@crm.otsuka-europe.com", "mgravan@crm.otsuka-europe.com")</f>
        <v>mgravan@crm.otsuka-europe.com</v>
      </c>
      <c r="N5210" s="25">
        <v>46218.408125000002</v>
      </c>
      <c r="O5210" s="14" t="str">
        <f>HYPERLINK("https://otsuka-europe-crm.veevavault.com/ui/#object/email_activity__v/V8C00000004A723", "EN-002106343")</f>
        <v>EN-002106343</v>
      </c>
    </row>
    <row r="5211" spans="1:15" ht="16" x14ac:dyDescent="0.2">
      <c r="A5211" s="26"/>
      <c r="B5211" s="26"/>
      <c r="C5211" s="26"/>
      <c r="D5211" s="26"/>
      <c r="E5211" s="26"/>
      <c r="F5211" s="26"/>
      <c r="G5211" s="26"/>
      <c r="H5211" s="26"/>
      <c r="I5211" s="26"/>
      <c r="J5211" s="26"/>
      <c r="K5211" s="26"/>
      <c r="L5211" s="26"/>
      <c r="M5211" s="26"/>
      <c r="N5211" s="26"/>
      <c r="O5211" s="14" t="str">
        <f>HYPERLINK("https://otsuka-europe-crm.veevavault.com/ui/#object/email_activity__v/V8C00000004A725", "EN-002106351")</f>
        <v>EN-002106351</v>
      </c>
    </row>
    <row r="5212" spans="1:15" ht="16" x14ac:dyDescent="0.2">
      <c r="A5212" s="26"/>
      <c r="B5212" s="26"/>
      <c r="C5212" s="26"/>
      <c r="D5212" s="26"/>
      <c r="E5212" s="26"/>
      <c r="F5212" s="26"/>
      <c r="G5212" s="26"/>
      <c r="H5212" s="26"/>
      <c r="I5212" s="26"/>
      <c r="J5212" s="26"/>
      <c r="K5212" s="26"/>
      <c r="L5212" s="26"/>
      <c r="M5212" s="26"/>
      <c r="N5212" s="26"/>
      <c r="O5212" s="14" t="str">
        <f>HYPERLINK("https://otsuka-europe-crm.veevavault.com/ui/#object/email_activity__v/V8C00000004A726", "EN-002106349")</f>
        <v>EN-002106349</v>
      </c>
    </row>
    <row r="5213" spans="1:15" ht="16" x14ac:dyDescent="0.2">
      <c r="A5213" s="26"/>
      <c r="B5213" s="26"/>
      <c r="C5213" s="26"/>
      <c r="D5213" s="26"/>
      <c r="E5213" s="26"/>
      <c r="F5213" s="26"/>
      <c r="G5213" s="26"/>
      <c r="H5213" s="26"/>
      <c r="I5213" s="26"/>
      <c r="J5213" s="26"/>
      <c r="K5213" s="26"/>
      <c r="L5213" s="26"/>
      <c r="M5213" s="26"/>
      <c r="N5213" s="26"/>
      <c r="O5213" s="14" t="str">
        <f>HYPERLINK("https://otsuka-europe-crm.veevavault.com/ui/#object/email_activity__v/V8C00000004A727", "EN-002106350")</f>
        <v>EN-002106350</v>
      </c>
    </row>
    <row r="5214" spans="1:15" ht="16" x14ac:dyDescent="0.2">
      <c r="A5214" s="26"/>
      <c r="B5214" s="26"/>
      <c r="C5214" s="26"/>
      <c r="D5214" s="26"/>
      <c r="E5214" s="26"/>
      <c r="F5214" s="26"/>
      <c r="G5214" s="26"/>
      <c r="H5214" s="26"/>
      <c r="I5214" s="26"/>
      <c r="J5214" s="26"/>
      <c r="K5214" s="26"/>
      <c r="L5214" s="26"/>
      <c r="M5214" s="26"/>
      <c r="N5214" s="26"/>
      <c r="O5214" s="14" t="str">
        <f>HYPERLINK("https://otsuka-europe-crm.veevavault.com/ui/#object/email_activity__v/V8C00000004A728", "EN-002106352")</f>
        <v>EN-002106352</v>
      </c>
    </row>
    <row r="5215" spans="1:15" ht="16" x14ac:dyDescent="0.2">
      <c r="A5215" s="19"/>
      <c r="B5215" s="19"/>
      <c r="C5215" s="19"/>
      <c r="D5215" s="19"/>
      <c r="E5215" s="19"/>
      <c r="F5215" s="19"/>
      <c r="G5215" s="19"/>
      <c r="H5215" s="19"/>
      <c r="I5215" s="19"/>
      <c r="J5215" s="19"/>
      <c r="K5215" s="19"/>
      <c r="L5215" s="19"/>
      <c r="M5215" s="19"/>
      <c r="N5215" s="19"/>
      <c r="O5215" s="14" t="str">
        <f>HYPERLINK("https://otsuka-europe-crm.veevavault.com/ui/#object/email_activity__v/V8C00000004C081", "EN-002106909")</f>
        <v>EN-002106909</v>
      </c>
    </row>
    <row r="5216" spans="1:15" ht="16" x14ac:dyDescent="0.2">
      <c r="A5216" s="18" t="str">
        <f>HYPERLINK("https://otsuka-europe-crm.veevavault.com/ui/#object/account__v/V4TZ00000633V1P", "SOPHIE MAYEUR")</f>
        <v>SOPHIE MAYEUR</v>
      </c>
      <c r="B5216" s="18" t="str">
        <f>HYPERLINK("https://otsuka-europe-crm.veevavault.com/ui/#object/vcountry__v/VENZ000004SONFA", "FR")</f>
        <v>FR</v>
      </c>
      <c r="C5216" s="20" t="s">
        <v>40</v>
      </c>
      <c r="D5216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216" s="22" t="str">
        <f>HYPERLINK("https://otsuka-europe-crm.veevavault.com/ui/#object/sent_email__v/VBL000000038300", "SE-001444140")</f>
        <v>SE-001444140</v>
      </c>
      <c r="F5216" s="25">
        <v>46219.299525462964</v>
      </c>
      <c r="G5216" s="24">
        <v>1</v>
      </c>
      <c r="H5216" s="24">
        <v>1</v>
      </c>
      <c r="I5216" s="24">
        <v>0</v>
      </c>
      <c r="J5216" s="23"/>
      <c r="K5216" s="24">
        <v>0</v>
      </c>
      <c r="L5216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216" s="22" t="str">
        <f>HYPERLINK("mailto:cchevalliermiserole@crm.otsuka-europe.com", "cchevalliermiserole@crm.otsuka-europe.com")</f>
        <v>cchevalliermiserole@crm.otsuka-europe.com</v>
      </c>
      <c r="N5216" s="25">
        <v>46219.090428240743</v>
      </c>
      <c r="O5216" s="14" t="str">
        <f>HYPERLINK("https://otsuka-europe-crm.veevavault.com/ui/#object/email_activity__v/V8C000000049842", "EN-002106531")</f>
        <v>EN-002106531</v>
      </c>
    </row>
    <row r="5217" spans="1:15" ht="16" x14ac:dyDescent="0.2">
      <c r="A5217" s="19"/>
      <c r="B5217" s="19"/>
      <c r="C5217" s="19"/>
      <c r="D5217" s="19"/>
      <c r="E5217" s="19"/>
      <c r="F5217" s="19"/>
      <c r="G5217" s="19"/>
      <c r="H5217" s="19"/>
      <c r="I5217" s="19"/>
      <c r="J5217" s="19"/>
      <c r="K5217" s="19"/>
      <c r="L5217" s="19"/>
      <c r="M5217" s="19"/>
      <c r="N5217" s="19"/>
      <c r="O5217" s="14" t="str">
        <f>HYPERLINK("https://otsuka-europe-crm.veevavault.com/ui/#object/email_activity__v/V8C00000004A820", "EN-002106523")</f>
        <v>EN-002106523</v>
      </c>
    </row>
    <row r="5218" spans="1:15" ht="16" x14ac:dyDescent="0.2">
      <c r="A5218" s="18" t="str">
        <f>HYPERLINK("https://otsuka-europe-crm.veevavault.com/ui/#object/account__v/V4TZ00000633V1P", "SOPHIE MAYEUR")</f>
        <v>SOPHIE MAYEUR</v>
      </c>
      <c r="B5218" s="18" t="str">
        <f>HYPERLINK("https://otsuka-europe-crm.veevavault.com/ui/#object/vcountry__v/VENZ000004SONFA", "FR")</f>
        <v>FR</v>
      </c>
      <c r="C5218" s="20" t="s">
        <v>40</v>
      </c>
      <c r="D5218" s="21" t="str">
        <f>HYPERLINK("https://otsuka-europe-crm.veevavault.com/ui/#object/approved_document__v/V5OZ04ASG4G02Y7", "REMERCIEMENTS_VAD_2023")</f>
        <v>REMERCIEMENTS_VAD_2023</v>
      </c>
      <c r="E5218" s="22" t="str">
        <f>HYPERLINK("https://otsuka-europe-crm.veevavault.com/ui/#object/sent_email__v/VBL000000038301", "SE-001444141")</f>
        <v>SE-001444141</v>
      </c>
      <c r="F5218" s="25">
        <v>46218.552361111113</v>
      </c>
      <c r="G5218" s="24">
        <v>1</v>
      </c>
      <c r="H5218" s="24">
        <v>1</v>
      </c>
      <c r="I5218" s="24">
        <v>0</v>
      </c>
      <c r="J5218" s="23"/>
      <c r="K5218" s="24">
        <v>0</v>
      </c>
      <c r="L5218" s="22" t="str">
        <f>HYPERLINK("https://otsuka-europe-crm.veevavault.com/ui/#object/approved_document__v/V5OZ04ASG4G02Y7", "REMERCIEMENTS_VAD_2023")</f>
        <v>REMERCIEMENTS_VAD_2023</v>
      </c>
      <c r="M5218" s="22" t="str">
        <f>HYPERLINK("mailto:cchevalliermiserole@crm.otsuka-europe.com", "cchevalliermiserole@crm.otsuka-europe.com")</f>
        <v>cchevalliermiserole@crm.otsuka-europe.com</v>
      </c>
      <c r="N5218" s="25">
        <v>46218.439803240741</v>
      </c>
      <c r="O5218" s="14" t="str">
        <f>HYPERLINK("https://otsuka-europe-crm.veevavault.com/ui/#object/email_activity__v/V8C000000049766", "EN-002106367")</f>
        <v>EN-002106367</v>
      </c>
    </row>
    <row r="5219" spans="1:15" ht="16" x14ac:dyDescent="0.2">
      <c r="A5219" s="19"/>
      <c r="B5219" s="19"/>
      <c r="C5219" s="19"/>
      <c r="D5219" s="19"/>
      <c r="E5219" s="19"/>
      <c r="F5219" s="19"/>
      <c r="G5219" s="19"/>
      <c r="H5219" s="19"/>
      <c r="I5219" s="19"/>
      <c r="J5219" s="19"/>
      <c r="K5219" s="19"/>
      <c r="L5219" s="19"/>
      <c r="M5219" s="19"/>
      <c r="N5219" s="19"/>
      <c r="O5219" s="14" t="str">
        <f>HYPERLINK("https://otsuka-europe-crm.veevavault.com/ui/#object/email_activity__v/V8C000000049801", "EN-002106440")</f>
        <v>EN-002106440</v>
      </c>
    </row>
    <row r="5220" spans="1:15" ht="16" x14ac:dyDescent="0.2">
      <c r="A5220" s="18" t="str">
        <f>HYPERLINK("https://otsuka-europe-crm.veevavault.com/ui/#object/account__v/V4TZ06G6O71TBSR", "FRANCISCO RICOTE TRIGO")</f>
        <v>FRANCISCO RICOTE TRIGO</v>
      </c>
      <c r="B5220" s="18" t="str">
        <f>HYPERLINK("https://otsuka-europe-crm.veevavault.com/ui/#object/vcountry__v/VENZ000004SONF5", "ES")</f>
        <v>ES</v>
      </c>
      <c r="C5220" s="20" t="s">
        <v>39</v>
      </c>
      <c r="D5220" s="21" t="str">
        <f>HYPERLINK("https://otsuka-europe-crm.veevavault.com/ui/#object/approved_document__v/V5OZ04ASG4FWKA9", "Documento Autorizaciขn Centro Empleador")</f>
        <v>Documento Autorizaciขn Centro Empleador</v>
      </c>
      <c r="E5220" s="22" t="str">
        <f>HYPERLINK("https://otsuka-europe-crm.veevavault.com/ui/#object/sent_email__v/VBL000000037352", "SE-001444142")</f>
        <v>SE-001444142</v>
      </c>
      <c r="F5220" s="25">
        <v>46218.459224537037</v>
      </c>
      <c r="G5220" s="24">
        <v>1</v>
      </c>
      <c r="H5220" s="24">
        <v>3</v>
      </c>
      <c r="I5220" s="24">
        <v>1</v>
      </c>
      <c r="J5220" s="25">
        <v>46218.459108796298</v>
      </c>
      <c r="K5220" s="24">
        <v>2</v>
      </c>
      <c r="L5220" s="22" t="str">
        <f>HYPERLINK("https://otsuka-europe-crm.veevavault.com/ui/#object/approved_document__v/V5OZ04ASG4FWKA9", "Documento Autorizaciขn Centro Empleador")</f>
        <v>Documento Autorizaciขn Centro Empleador</v>
      </c>
      <c r="M5220" s="22" t="str">
        <f>HYPERLINK("mailto:oestevez@crm.otsuka-europe.com", "oestevez@crm.otsuka-europe.com")</f>
        <v>oestevez@crm.otsuka-europe.com</v>
      </c>
      <c r="N5220" s="25">
        <v>46218.454953703702</v>
      </c>
      <c r="O5220" s="14" t="str">
        <f>HYPERLINK("https://otsuka-europe-crm.veevavault.com/ui/#object/email_activity__v/V8C000000049767", "EN-002106378")</f>
        <v>EN-002106378</v>
      </c>
    </row>
    <row r="5221" spans="1:15" ht="16" x14ac:dyDescent="0.2">
      <c r="A5221" s="26"/>
      <c r="B5221" s="26"/>
      <c r="C5221" s="26"/>
      <c r="D5221" s="26"/>
      <c r="E5221" s="26"/>
      <c r="F5221" s="26"/>
      <c r="G5221" s="26"/>
      <c r="H5221" s="26"/>
      <c r="I5221" s="26"/>
      <c r="J5221" s="26"/>
      <c r="K5221" s="26"/>
      <c r="L5221" s="26"/>
      <c r="M5221" s="26"/>
      <c r="N5221" s="26"/>
      <c r="O5221" s="14" t="str">
        <f>HYPERLINK("https://otsuka-europe-crm.veevavault.com/ui/#object/email_activity__v/V8C000000049771", "EN-002106387")</f>
        <v>EN-002106387</v>
      </c>
    </row>
    <row r="5222" spans="1:15" ht="16" x14ac:dyDescent="0.2">
      <c r="A5222" s="26"/>
      <c r="B5222" s="26"/>
      <c r="C5222" s="26"/>
      <c r="D5222" s="26"/>
      <c r="E5222" s="26"/>
      <c r="F5222" s="26"/>
      <c r="G5222" s="26"/>
      <c r="H5222" s="26"/>
      <c r="I5222" s="26"/>
      <c r="J5222" s="26"/>
      <c r="K5222" s="26"/>
      <c r="L5222" s="26"/>
      <c r="M5222" s="26"/>
      <c r="N5222" s="26"/>
      <c r="O5222" s="14" t="str">
        <f>HYPERLINK("https://otsuka-europe-crm.veevavault.com/ui/#object/email_activity__v/V8C00000004A739", "EN-002106371")</f>
        <v>EN-002106371</v>
      </c>
    </row>
    <row r="5223" spans="1:15" ht="16" x14ac:dyDescent="0.2">
      <c r="A5223" s="26"/>
      <c r="B5223" s="26"/>
      <c r="C5223" s="26"/>
      <c r="D5223" s="26"/>
      <c r="E5223" s="26"/>
      <c r="F5223" s="26"/>
      <c r="G5223" s="26"/>
      <c r="H5223" s="26"/>
      <c r="I5223" s="26"/>
      <c r="J5223" s="26"/>
      <c r="K5223" s="26"/>
      <c r="L5223" s="26"/>
      <c r="M5223" s="26"/>
      <c r="N5223" s="26"/>
      <c r="O5223" s="14" t="str">
        <f>HYPERLINK("https://otsuka-europe-crm.veevavault.com/ui/#object/email_activity__v/V8C00000004A747", "EN-002106382")</f>
        <v>EN-002106382</v>
      </c>
    </row>
    <row r="5224" spans="1:15" ht="16" x14ac:dyDescent="0.2">
      <c r="A5224" s="26"/>
      <c r="B5224" s="26"/>
      <c r="C5224" s="26"/>
      <c r="D5224" s="26"/>
      <c r="E5224" s="26"/>
      <c r="F5224" s="26"/>
      <c r="G5224" s="26"/>
      <c r="H5224" s="26"/>
      <c r="I5224" s="26"/>
      <c r="J5224" s="26"/>
      <c r="K5224" s="26"/>
      <c r="L5224" s="26"/>
      <c r="M5224" s="26"/>
      <c r="N5224" s="26"/>
      <c r="O5224" s="14" t="str">
        <f>HYPERLINK("https://otsuka-europe-crm.veevavault.com/ui/#object/email_activity__v/V8C00000004A749", "EN-002106384")</f>
        <v>EN-002106384</v>
      </c>
    </row>
    <row r="5225" spans="1:15" ht="16" x14ac:dyDescent="0.2">
      <c r="A5225" s="19"/>
      <c r="B5225" s="19"/>
      <c r="C5225" s="19"/>
      <c r="D5225" s="19"/>
      <c r="E5225" s="19"/>
      <c r="F5225" s="19"/>
      <c r="G5225" s="19"/>
      <c r="H5225" s="19"/>
      <c r="I5225" s="19"/>
      <c r="J5225" s="19"/>
      <c r="K5225" s="19"/>
      <c r="L5225" s="19"/>
      <c r="M5225" s="19"/>
      <c r="N5225" s="19"/>
      <c r="O5225" s="14" t="str">
        <f>HYPERLINK("https://otsuka-europe-crm.veevavault.com/ui/#object/email_activity__v/V8C00000004A750", "EN-002106385")</f>
        <v>EN-002106385</v>
      </c>
    </row>
    <row r="5226" spans="1:15" ht="16" x14ac:dyDescent="0.2">
      <c r="A5226" s="18" t="str">
        <f>HYPERLINK("https://otsuka-europe-crm.veevavault.com/ui/#object/account__v/V4TZ06G6O71TBSR", "FRANCISCO RICOTE TRIGO")</f>
        <v>FRANCISCO RICOTE TRIGO</v>
      </c>
      <c r="B5226" s="18" t="str">
        <f>HYPERLINK("https://otsuka-europe-crm.veevavault.com/ui/#object/vcountry__v/VENZ000004SONF5", "ES")</f>
        <v>ES</v>
      </c>
      <c r="C5226" s="20" t="s">
        <v>39</v>
      </c>
      <c r="D5226" s="21" t="str">
        <f>HYPERLINK("https://otsuka-europe-crm.veevavault.com/ui/#object/approved_document__v/V5O00000000D100", "Spain - Consent Email 1 Aug 25")</f>
        <v>Spain - Consent Email 1 Aug 25</v>
      </c>
      <c r="E5226" s="22" t="str">
        <f>HYPERLINK("https://otsuka-europe-crm.veevavault.com/ui/#object/sent_email__v/VBL000000037353", "SE-001444143")</f>
        <v>SE-001444143</v>
      </c>
      <c r="F5226" s="25">
        <v>46218.458703703705</v>
      </c>
      <c r="G5226" s="24">
        <v>1</v>
      </c>
      <c r="H5226" s="24">
        <v>2</v>
      </c>
      <c r="I5226" s="24">
        <v>1</v>
      </c>
      <c r="J5226" s="25">
        <v>46218.458599537036</v>
      </c>
      <c r="K5226" s="24">
        <v>2</v>
      </c>
      <c r="L5226" s="22" t="str">
        <f>HYPERLINK("https://otsuka-europe-crm.veevavault.com/ui/#object/approved_document__v/V5O00000000D100", "Spain - Consent Email 1 Aug 25")</f>
        <v>Spain - Consent Email 1 Aug 25</v>
      </c>
      <c r="M5226" s="22" t="str">
        <f>HYPERLINK("mailto:oestevez@crm.otsuka-europe.com", "oestevez@crm.otsuka-europe.com")</f>
        <v>oestevez@crm.otsuka-europe.com</v>
      </c>
      <c r="N5226" s="25">
        <v>46218.454953703702</v>
      </c>
      <c r="O5226" s="14" t="str">
        <f>HYPERLINK("https://otsuka-europe-crm.veevavault.com/ui/#object/email_activity__v/V8C000000049768", "EN-002106379")</f>
        <v>EN-002106379</v>
      </c>
    </row>
    <row r="5227" spans="1:15" ht="16" x14ac:dyDescent="0.2">
      <c r="A5227" s="26"/>
      <c r="B5227" s="26"/>
      <c r="C5227" s="26"/>
      <c r="D5227" s="26"/>
      <c r="E5227" s="26"/>
      <c r="F5227" s="26"/>
      <c r="G5227" s="26"/>
      <c r="H5227" s="26"/>
      <c r="I5227" s="26"/>
      <c r="J5227" s="26"/>
      <c r="K5227" s="26"/>
      <c r="L5227" s="26"/>
      <c r="M5227" s="26"/>
      <c r="N5227" s="26"/>
      <c r="O5227" s="14" t="str">
        <f>HYPERLINK("https://otsuka-europe-crm.veevavault.com/ui/#object/email_activity__v/V8C000000049769", "EN-002106380")</f>
        <v>EN-002106380</v>
      </c>
    </row>
    <row r="5228" spans="1:15" ht="16" x14ac:dyDescent="0.2">
      <c r="A5228" s="26"/>
      <c r="B5228" s="26"/>
      <c r="C5228" s="26"/>
      <c r="D5228" s="26"/>
      <c r="E5228" s="26"/>
      <c r="F5228" s="26"/>
      <c r="G5228" s="26"/>
      <c r="H5228" s="26"/>
      <c r="I5228" s="26"/>
      <c r="J5228" s="26"/>
      <c r="K5228" s="26"/>
      <c r="L5228" s="26"/>
      <c r="M5228" s="26"/>
      <c r="N5228" s="26"/>
      <c r="O5228" s="14" t="str">
        <f>HYPERLINK("https://otsuka-europe-crm.veevavault.com/ui/#object/email_activity__v/V8C00000004A740", "EN-002106372")</f>
        <v>EN-002106372</v>
      </c>
    </row>
    <row r="5229" spans="1:15" ht="16" x14ac:dyDescent="0.2">
      <c r="A5229" s="26"/>
      <c r="B5229" s="26"/>
      <c r="C5229" s="26"/>
      <c r="D5229" s="26"/>
      <c r="E5229" s="26"/>
      <c r="F5229" s="26"/>
      <c r="G5229" s="26"/>
      <c r="H5229" s="26"/>
      <c r="I5229" s="26"/>
      <c r="J5229" s="26"/>
      <c r="K5229" s="26"/>
      <c r="L5229" s="26"/>
      <c r="M5229" s="26"/>
      <c r="N5229" s="26"/>
      <c r="O5229" s="14" t="str">
        <f>HYPERLINK("https://otsuka-europe-crm.veevavault.com/ui/#object/email_activity__v/V8C00000004A745", "EN-002106377")</f>
        <v>EN-002106377</v>
      </c>
    </row>
    <row r="5230" spans="1:15" ht="16" x14ac:dyDescent="0.2">
      <c r="A5230" s="19"/>
      <c r="B5230" s="19"/>
      <c r="C5230" s="19"/>
      <c r="D5230" s="19"/>
      <c r="E5230" s="19"/>
      <c r="F5230" s="19"/>
      <c r="G5230" s="19"/>
      <c r="H5230" s="19"/>
      <c r="I5230" s="19"/>
      <c r="J5230" s="19"/>
      <c r="K5230" s="19"/>
      <c r="L5230" s="19"/>
      <c r="M5230" s="19"/>
      <c r="N5230" s="19"/>
      <c r="O5230" s="14" t="str">
        <f>HYPERLINK("https://otsuka-europe-crm.veevavault.com/ui/#object/email_activity__v/V8C00000004A748", "EN-002106383")</f>
        <v>EN-002106383</v>
      </c>
    </row>
    <row r="5231" spans="1:15" ht="16" x14ac:dyDescent="0.2">
      <c r="A5231" s="18" t="str">
        <f>HYPERLINK("https://otsuka-europe-crm.veevavault.com/ui/#object/account__v/V4TZ06G6O71TBSR", "FRANCISCO RICOTE TRIGO")</f>
        <v>FRANCISCO RICOTE TRIGO</v>
      </c>
      <c r="B5231" s="18" t="str">
        <f>HYPERLINK("https://otsuka-europe-crm.veevavault.com/ui/#object/vcountry__v/VENZ000004SONF5", "ES")</f>
        <v>ES</v>
      </c>
      <c r="C5231" s="20" t="s">
        <v>39</v>
      </c>
      <c r="D5231" s="21" t="str">
        <f>HYPERLINK("https://otsuka-europe-crm.veevavault.com/ui/#object/approved_document__v/V5OZ04ASG4FWKA7", "Reuniones Online Consent - 2")</f>
        <v>Reuniones Online Consent - 2</v>
      </c>
      <c r="E5231" s="22" t="str">
        <f>HYPERLINK("https://otsuka-europe-crm.veevavault.com/ui/#object/sent_email__v/VBL000000037354", "SE-001444144")</f>
        <v>SE-001444144</v>
      </c>
      <c r="F5231" s="25">
        <v>46218.653726851851</v>
      </c>
      <c r="G5231" s="24">
        <v>1</v>
      </c>
      <c r="H5231" s="24">
        <v>3</v>
      </c>
      <c r="I5231" s="24">
        <v>1</v>
      </c>
      <c r="J5231" s="25">
        <v>46218.459490740737</v>
      </c>
      <c r="K5231" s="24">
        <v>2</v>
      </c>
      <c r="L5231" s="22" t="str">
        <f>HYPERLINK("https://otsuka-europe-crm.veevavault.com/ui/#object/approved_document__v/V5OZ04ASG4FWKA7", "Reuniones Online Consent - 2")</f>
        <v>Reuniones Online Consent - 2</v>
      </c>
      <c r="M5231" s="22" t="str">
        <f>HYPERLINK("mailto:oestevez@crm.otsuka-europe.com", "oestevez@crm.otsuka-europe.com")</f>
        <v>oestevez@crm.otsuka-europe.com</v>
      </c>
      <c r="N5231" s="25">
        <v>46218.454953703702</v>
      </c>
      <c r="O5231" s="14" t="str">
        <f>HYPERLINK("https://otsuka-europe-crm.veevavault.com/ui/#object/email_activity__v/V8C000000049770", "EN-002106386")</f>
        <v>EN-002106386</v>
      </c>
    </row>
    <row r="5232" spans="1:15" ht="16" x14ac:dyDescent="0.2">
      <c r="A5232" s="26"/>
      <c r="B5232" s="26"/>
      <c r="C5232" s="26"/>
      <c r="D5232" s="26"/>
      <c r="E5232" s="26"/>
      <c r="F5232" s="26"/>
      <c r="G5232" s="26"/>
      <c r="H5232" s="26"/>
      <c r="I5232" s="26"/>
      <c r="J5232" s="26"/>
      <c r="K5232" s="26"/>
      <c r="L5232" s="26"/>
      <c r="M5232" s="26"/>
      <c r="N5232" s="26"/>
      <c r="O5232" s="14" t="str">
        <f>HYPERLINK("https://otsuka-europe-crm.veevavault.com/ui/#object/email_activity__v/V8C000000049772", "EN-002106388")</f>
        <v>EN-002106388</v>
      </c>
    </row>
    <row r="5233" spans="1:15" ht="16" x14ac:dyDescent="0.2">
      <c r="A5233" s="26"/>
      <c r="B5233" s="26"/>
      <c r="C5233" s="26"/>
      <c r="D5233" s="26"/>
      <c r="E5233" s="26"/>
      <c r="F5233" s="26"/>
      <c r="G5233" s="26"/>
      <c r="H5233" s="26"/>
      <c r="I5233" s="26"/>
      <c r="J5233" s="26"/>
      <c r="K5233" s="26"/>
      <c r="L5233" s="26"/>
      <c r="M5233" s="26"/>
      <c r="N5233" s="26"/>
      <c r="O5233" s="14" t="str">
        <f>HYPERLINK("https://otsuka-europe-crm.veevavault.com/ui/#object/email_activity__v/V8C00000004A741", "EN-002106373")</f>
        <v>EN-002106373</v>
      </c>
    </row>
    <row r="5234" spans="1:15" ht="16" x14ac:dyDescent="0.2">
      <c r="A5234" s="26"/>
      <c r="B5234" s="26"/>
      <c r="C5234" s="26"/>
      <c r="D5234" s="26"/>
      <c r="E5234" s="26"/>
      <c r="F5234" s="26"/>
      <c r="G5234" s="26"/>
      <c r="H5234" s="26"/>
      <c r="I5234" s="26"/>
      <c r="J5234" s="26"/>
      <c r="K5234" s="26"/>
      <c r="L5234" s="26"/>
      <c r="M5234" s="26"/>
      <c r="N5234" s="26"/>
      <c r="O5234" s="14" t="str">
        <f>HYPERLINK("https://otsuka-europe-crm.veevavault.com/ui/#object/email_activity__v/V8C00000004A746", "EN-002106381")</f>
        <v>EN-002106381</v>
      </c>
    </row>
    <row r="5235" spans="1:15" ht="16" x14ac:dyDescent="0.2">
      <c r="A5235" s="26"/>
      <c r="B5235" s="26"/>
      <c r="C5235" s="26"/>
      <c r="D5235" s="26"/>
      <c r="E5235" s="26"/>
      <c r="F5235" s="26"/>
      <c r="G5235" s="26"/>
      <c r="H5235" s="26"/>
      <c r="I5235" s="26"/>
      <c r="J5235" s="26"/>
      <c r="K5235" s="26"/>
      <c r="L5235" s="26"/>
      <c r="M5235" s="26"/>
      <c r="N5235" s="26"/>
      <c r="O5235" s="14" t="str">
        <f>HYPERLINK("https://otsuka-europe-crm.veevavault.com/ui/#object/email_activity__v/V8C00000004A751", "EN-002106390")</f>
        <v>EN-002106390</v>
      </c>
    </row>
    <row r="5236" spans="1:15" ht="16" x14ac:dyDescent="0.2">
      <c r="A5236" s="19"/>
      <c r="B5236" s="19"/>
      <c r="C5236" s="19"/>
      <c r="D5236" s="19"/>
      <c r="E5236" s="19"/>
      <c r="F5236" s="19"/>
      <c r="G5236" s="19"/>
      <c r="H5236" s="19"/>
      <c r="I5236" s="19"/>
      <c r="J5236" s="19"/>
      <c r="K5236" s="19"/>
      <c r="L5236" s="19"/>
      <c r="M5236" s="19"/>
      <c r="N5236" s="19"/>
      <c r="O5236" s="14" t="str">
        <f>HYPERLINK("https://otsuka-europe-crm.veevavault.com/ui/#object/email_activity__v/V8C00000004A790", "EN-002106478")</f>
        <v>EN-002106478</v>
      </c>
    </row>
    <row r="5237" spans="1:15" ht="32" x14ac:dyDescent="0.2">
      <c r="A5237" s="7" t="str">
        <f>HYPERLINK("https://otsuka-europe-crm.veevavault.com/ui/#object/account__v/V4TZ0000062T11Q", "Jörg Heßling")</f>
        <v>Jörg Heßling</v>
      </c>
      <c r="B5237" s="7" t="str">
        <f>HYPERLINK("https://otsuka-europe-crm.veevavault.com/ui/#object/vcountry__v/VENZ000004SONFP", "DE")</f>
        <v>DE</v>
      </c>
      <c r="C5237" s="8" t="s">
        <v>43</v>
      </c>
      <c r="D5237" s="9" t="str">
        <f>HYPERLINK("https://otsuka-europe-crm.veevavault.com/ui/#object/approved_document__v/V5O00000001W001", "INA VAE DE – Zulassung INAQOVI Venetoclax")</f>
        <v>INA VAE DE – Zulassung INAQOVI Venetoclax</v>
      </c>
      <c r="E5237" s="10" t="str">
        <f>HYPERLINK("https://otsuka-europe-crm.veevavault.com/ui/#object/sent_email__v/VBL000000037355", "SE-001444145")</f>
        <v>SE-001444145</v>
      </c>
      <c r="F5237" s="11"/>
      <c r="G5237" s="12">
        <v>0</v>
      </c>
      <c r="H5237" s="12">
        <v>0</v>
      </c>
      <c r="I5237" s="12">
        <v>0</v>
      </c>
      <c r="J5237" s="11"/>
      <c r="K5237" s="12">
        <v>0</v>
      </c>
      <c r="L5237" s="10" t="str">
        <f>HYPERLINK("https://otsuka-europe-crm.veevavault.com/ui/#object/approved_document__v/V5O00000001W001", "INA VAE DE – Zulassung INAQOVI Venetoclax")</f>
        <v>INA VAE DE – Zulassung INAQOVI Venetoclax</v>
      </c>
      <c r="M5237" s="10" t="str">
        <f>HYPERLINK("mailto:skleber@crm.otsuka-europe.com", "skleber@crm.otsuka-europe.com")</f>
        <v>skleber@crm.otsuka-europe.com</v>
      </c>
      <c r="N5237" s="13">
        <v>46218.487476851849</v>
      </c>
      <c r="O5237" s="14" t="str">
        <f>HYPERLINK("https://otsuka-europe-crm.veevavault.com/ui/#object/email_activity__v/V8C000000049782", "EN-002106408")</f>
        <v>EN-002106408</v>
      </c>
    </row>
    <row r="5238" spans="1:15" ht="16" x14ac:dyDescent="0.2">
      <c r="A5238" s="18" t="str">
        <f>HYPERLINK("https://otsuka-europe-crm.veevavault.com/ui/#object/account__v/V4TZ025E85EEZ8I", "Ximena Gavilanes")</f>
        <v>Ximena Gavilanes</v>
      </c>
      <c r="B5238" s="18" t="str">
        <f>HYPERLINK("https://otsuka-europe-crm.veevavault.com/ui/#object/vcountry__v/VENZ000004SONFP", "DE")</f>
        <v>DE</v>
      </c>
      <c r="C5238" s="20" t="s">
        <v>43</v>
      </c>
      <c r="D5238" s="21" t="str">
        <f>HYPERLINK("https://otsuka-europe-crm.veevavault.com/ui/#object/approved_document__v/V5O00000001W001", "INA VAE DE – Zulassung INAQOVI Venetoclax")</f>
        <v>INA VAE DE – Zulassung INAQOVI Venetoclax</v>
      </c>
      <c r="E5238" s="22" t="str">
        <f>HYPERLINK("https://otsuka-europe-crm.veevavault.com/ui/#object/sent_email__v/VBL000000037356", "SE-001444146")</f>
        <v>SE-001444146</v>
      </c>
      <c r="F5238" s="25">
        <v>46232.25172453704</v>
      </c>
      <c r="G5238" s="24">
        <v>1</v>
      </c>
      <c r="H5238" s="24">
        <v>1</v>
      </c>
      <c r="I5238" s="24">
        <v>0</v>
      </c>
      <c r="J5238" s="23"/>
      <c r="K5238" s="24">
        <v>0</v>
      </c>
      <c r="L5238" s="22" t="str">
        <f>HYPERLINK("https://otsuka-europe-crm.veevavault.com/ui/#object/approved_document__v/V5O00000001W001", "INA VAE DE – Zulassung INAQOVI Venetoclax")</f>
        <v>INA VAE DE – Zulassung INAQOVI Venetoclax</v>
      </c>
      <c r="M5238" s="22" t="str">
        <f>HYPERLINK("mailto:skleber@crm.otsuka-europe.com", "skleber@crm.otsuka-europe.com")</f>
        <v>skleber@crm.otsuka-europe.com</v>
      </c>
      <c r="N5238" s="25">
        <v>46218.490925925929</v>
      </c>
      <c r="O5238" s="14" t="str">
        <f>HYPERLINK("https://otsuka-europe-crm.veevavault.com/ui/#object/email_activity__v/V8C000000049784", "EN-002106410")</f>
        <v>EN-002106410</v>
      </c>
    </row>
    <row r="5239" spans="1:15" ht="16" x14ac:dyDescent="0.2">
      <c r="A5239" s="19"/>
      <c r="B5239" s="19"/>
      <c r="C5239" s="19"/>
      <c r="D5239" s="19"/>
      <c r="E5239" s="19"/>
      <c r="F5239" s="19"/>
      <c r="G5239" s="19"/>
      <c r="H5239" s="19"/>
      <c r="I5239" s="19"/>
      <c r="J5239" s="19"/>
      <c r="K5239" s="19"/>
      <c r="L5239" s="19"/>
      <c r="M5239" s="19"/>
      <c r="N5239" s="19"/>
      <c r="O5239" s="14" t="str">
        <f>HYPERLINK("https://otsuka-europe-crm.veevavault.com/ui/#object/email_activity__v/V8C00000004E595", "EN-002109524")</f>
        <v>EN-002109524</v>
      </c>
    </row>
    <row r="5240" spans="1:15" ht="16" x14ac:dyDescent="0.2">
      <c r="A5240" s="18" t="str">
        <f>HYPERLINK("https://otsuka-europe-crm.veevavault.com/ui/#object/account__v/V4TZ0000062R6FJ", "Ulrike Lutsch")</f>
        <v>Ulrike Lutsch</v>
      </c>
      <c r="B5240" s="18" t="str">
        <f>HYPERLINK("https://otsuka-europe-crm.veevavault.com/ui/#object/vcountry__v/VENZ000004SONFN", "CH")</f>
        <v>CH</v>
      </c>
      <c r="C5240" s="20" t="s">
        <v>45</v>
      </c>
      <c r="D5240" s="21" t="str">
        <f>HYPERLINK("https://otsuka-europe-crm.veevavault.com/ui/#object/approved_document__v/V5O00000001L016", "ALL_Flexibilität_Ferienplanung_2026_AA_de")</f>
        <v>ALL_Flexibilität_Ferienplanung_2026_AA_de</v>
      </c>
      <c r="E5240" s="22" t="str">
        <f>HYPERLINK("https://otsuka-europe-crm.veevavault.com/ui/#object/sent_email__v/VBL000000038302", "SE-001444147")</f>
        <v>SE-001444147</v>
      </c>
      <c r="F5240" s="25">
        <v>46225.662824074076</v>
      </c>
      <c r="G5240" s="24">
        <v>1</v>
      </c>
      <c r="H5240" s="24">
        <v>2</v>
      </c>
      <c r="I5240" s="24">
        <v>0</v>
      </c>
      <c r="J5240" s="23"/>
      <c r="K5240" s="24">
        <v>0</v>
      </c>
      <c r="L5240" s="22" t="str">
        <f>HYPERLINK("https://otsuka-europe-crm.veevavault.com/ui/#object/approved_document__v/V5O00000001L016", "ALL_Flexibilität_Ferienplanung_2026_AA_de")</f>
        <v>ALL_Flexibilität_Ferienplanung_2026_AA_de</v>
      </c>
      <c r="M5240" s="22" t="str">
        <f>HYPERLINK("mailto:dharder@crm.otsuka-europe.com", "dharder@crm.otsuka-europe.com")</f>
        <v>dharder@crm.otsuka-europe.com</v>
      </c>
      <c r="N5240" s="25">
        <v>46218.500868055555</v>
      </c>
      <c r="O5240" s="14" t="str">
        <f>HYPERLINK("https://otsuka-europe-crm.veevavault.com/ui/#object/email_activity__v/V8C000000049793", "EN-002106423")</f>
        <v>EN-002106423</v>
      </c>
    </row>
    <row r="5241" spans="1:15" ht="16" x14ac:dyDescent="0.2">
      <c r="A5241" s="26"/>
      <c r="B5241" s="26"/>
      <c r="C5241" s="26"/>
      <c r="D5241" s="26"/>
      <c r="E5241" s="26"/>
      <c r="F5241" s="26"/>
      <c r="G5241" s="26"/>
      <c r="H5241" s="26"/>
      <c r="I5241" s="26"/>
      <c r="J5241" s="26"/>
      <c r="K5241" s="26"/>
      <c r="L5241" s="26"/>
      <c r="M5241" s="26"/>
      <c r="N5241" s="26"/>
      <c r="O5241" s="14" t="str">
        <f>HYPERLINK("https://otsuka-europe-crm.veevavault.com/ui/#object/email_activity__v/V8C00000004A762", "EN-002106413")</f>
        <v>EN-002106413</v>
      </c>
    </row>
    <row r="5242" spans="1:15" ht="16" x14ac:dyDescent="0.2">
      <c r="A5242" s="19"/>
      <c r="B5242" s="19"/>
      <c r="C5242" s="19"/>
      <c r="D5242" s="19"/>
      <c r="E5242" s="19"/>
      <c r="F5242" s="19"/>
      <c r="G5242" s="19"/>
      <c r="H5242" s="19"/>
      <c r="I5242" s="19"/>
      <c r="J5242" s="19"/>
      <c r="K5242" s="19"/>
      <c r="L5242" s="19"/>
      <c r="M5242" s="19"/>
      <c r="N5242" s="19"/>
      <c r="O5242" s="14" t="str">
        <f>HYPERLINK("https://otsuka-europe-crm.veevavault.com/ui/#object/email_activity__v/V8C00000004C539", "EN-002108047")</f>
        <v>EN-002108047</v>
      </c>
    </row>
    <row r="5243" spans="1:15" ht="32" x14ac:dyDescent="0.2">
      <c r="A5243" s="7" t="str">
        <f>HYPERLINK("https://otsuka-europe-crm.veevavault.com/ui/#object/account__v/V4TZ025E8780QUK", "Oliver Seemann")</f>
        <v>Oliver Seemann</v>
      </c>
      <c r="B5243" s="7" t="str">
        <f>HYPERLINK("https://otsuka-europe-crm.veevavault.com/ui/#object/vcountry__v/VENZ000004SONFN", "CH")</f>
        <v>CH</v>
      </c>
      <c r="C5243" s="8" t="s">
        <v>45</v>
      </c>
      <c r="D5243" s="9" t="str">
        <f>HYPERLINK("https://otsuka-europe-crm.veevavault.com/ui/#object/approved_document__v/V5O00000001L016", "ALL_Flexibilität_Ferienplanung_2026_AA_de")</f>
        <v>ALL_Flexibilität_Ferienplanung_2026_AA_de</v>
      </c>
      <c r="E5243" s="10" t="str">
        <f>HYPERLINK("https://otsuka-europe-crm.veevavault.com/ui/#object/sent_email__v/VBL000000038303", "SE-001444148")</f>
        <v>SE-001444148</v>
      </c>
      <c r="F5243" s="11"/>
      <c r="G5243" s="12">
        <v>0</v>
      </c>
      <c r="H5243" s="12">
        <v>0</v>
      </c>
      <c r="I5243" s="12">
        <v>0</v>
      </c>
      <c r="J5243" s="11"/>
      <c r="K5243" s="12">
        <v>0</v>
      </c>
      <c r="L5243" s="10" t="str">
        <f>HYPERLINK("https://otsuka-europe-crm.veevavault.com/ui/#object/approved_document__v/V5O00000001L016", "ALL_Flexibilität_Ferienplanung_2026_AA_de")</f>
        <v>ALL_Flexibilität_Ferienplanung_2026_AA_de</v>
      </c>
      <c r="M5243" s="10" t="str">
        <f>HYPERLINK("mailto:dharder@crm.otsuka-europe.com", "dharder@crm.otsuka-europe.com")</f>
        <v>dharder@crm.otsuka-europe.com</v>
      </c>
      <c r="N5243" s="13">
        <v>46218.502060185187</v>
      </c>
      <c r="O5243" s="14" t="str">
        <f>HYPERLINK("https://otsuka-europe-crm.veevavault.com/ui/#object/email_activity__v/V8C000000049786", "EN-002106414")</f>
        <v>EN-002106414</v>
      </c>
    </row>
    <row r="5244" spans="1:15" ht="16" x14ac:dyDescent="0.2">
      <c r="A5244" s="18" t="str">
        <f>HYPERLINK("https://otsuka-europe-crm.veevavault.com/ui/#object/account__v/V4TZ00000633UNS", "AURELIEN LAURENT")</f>
        <v>AURELIEN LAURENT</v>
      </c>
      <c r="B5244" s="18" t="str">
        <f>HYPERLINK("https://otsuka-europe-crm.veevavault.com/ui/#object/vcountry__v/VENZ000004SONFA", "FR")</f>
        <v>FR</v>
      </c>
      <c r="C5244" s="20" t="s">
        <v>40</v>
      </c>
      <c r="D5244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244" s="22" t="str">
        <f>HYPERLINK("https://otsuka-europe-crm.veevavault.com/ui/#object/sent_email__v/VBL000000037357", "SE-001444149")</f>
        <v>SE-001444149</v>
      </c>
      <c r="F5244" s="25">
        <v>46219.422025462962</v>
      </c>
      <c r="G5244" s="24">
        <v>1</v>
      </c>
      <c r="H5244" s="24">
        <v>2</v>
      </c>
      <c r="I5244" s="24">
        <v>1</v>
      </c>
      <c r="J5244" s="25">
        <v>46219.416238425925</v>
      </c>
      <c r="K5244" s="24">
        <v>4</v>
      </c>
      <c r="L5244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244" s="22" t="str">
        <f>HYPERLINK("mailto:cchevalliermiserole@crm.otsuka-europe.com", "cchevalliermiserole@crm.otsuka-europe.com")</f>
        <v>cchevalliermiserole@crm.otsuka-europe.com</v>
      </c>
      <c r="N5244" s="25">
        <v>46219.090474537035</v>
      </c>
      <c r="O5244" s="14" t="str">
        <f>HYPERLINK("https://otsuka-europe-crm.veevavault.com/ui/#object/email_activity__v/V8C000000049838", "EN-002106525")</f>
        <v>EN-002106525</v>
      </c>
    </row>
    <row r="5245" spans="1:15" ht="16" x14ac:dyDescent="0.2">
      <c r="A5245" s="26"/>
      <c r="B5245" s="26"/>
      <c r="C5245" s="26"/>
      <c r="D5245" s="26"/>
      <c r="E5245" s="26"/>
      <c r="F5245" s="26"/>
      <c r="G5245" s="26"/>
      <c r="H5245" s="26"/>
      <c r="I5245" s="26"/>
      <c r="J5245" s="26"/>
      <c r="K5245" s="26"/>
      <c r="L5245" s="26"/>
      <c r="M5245" s="26"/>
      <c r="N5245" s="26"/>
      <c r="O5245" s="14" t="str">
        <f>HYPERLINK("https://otsuka-europe-crm.veevavault.com/ui/#object/email_activity__v/V8C000000049863", "EN-002106601")</f>
        <v>EN-002106601</v>
      </c>
    </row>
    <row r="5246" spans="1:15" ht="16" x14ac:dyDescent="0.2">
      <c r="A5246" s="26"/>
      <c r="B5246" s="26"/>
      <c r="C5246" s="26"/>
      <c r="D5246" s="26"/>
      <c r="E5246" s="26"/>
      <c r="F5246" s="26"/>
      <c r="G5246" s="26"/>
      <c r="H5246" s="26"/>
      <c r="I5246" s="26"/>
      <c r="J5246" s="26"/>
      <c r="K5246" s="26"/>
      <c r="L5246" s="26"/>
      <c r="M5246" s="26"/>
      <c r="N5246" s="26"/>
      <c r="O5246" s="14" t="str">
        <f>HYPERLINK("https://otsuka-europe-crm.veevavault.com/ui/#object/email_activity__v/V8C000000049864", "EN-002106606")</f>
        <v>EN-002106606</v>
      </c>
    </row>
    <row r="5247" spans="1:15" ht="16" x14ac:dyDescent="0.2">
      <c r="A5247" s="26"/>
      <c r="B5247" s="26"/>
      <c r="C5247" s="26"/>
      <c r="D5247" s="26"/>
      <c r="E5247" s="26"/>
      <c r="F5247" s="26"/>
      <c r="G5247" s="26"/>
      <c r="H5247" s="26"/>
      <c r="I5247" s="26"/>
      <c r="J5247" s="26"/>
      <c r="K5247" s="26"/>
      <c r="L5247" s="26"/>
      <c r="M5247" s="26"/>
      <c r="N5247" s="26"/>
      <c r="O5247" s="14" t="str">
        <f>HYPERLINK("https://otsuka-europe-crm.veevavault.com/ui/#object/email_activity__v/V8C00000004A874", "EN-002106602")</f>
        <v>EN-002106602</v>
      </c>
    </row>
    <row r="5248" spans="1:15" ht="16" x14ac:dyDescent="0.2">
      <c r="A5248" s="26"/>
      <c r="B5248" s="26"/>
      <c r="C5248" s="26"/>
      <c r="D5248" s="26"/>
      <c r="E5248" s="26"/>
      <c r="F5248" s="26"/>
      <c r="G5248" s="26"/>
      <c r="H5248" s="26"/>
      <c r="I5248" s="26"/>
      <c r="J5248" s="26"/>
      <c r="K5248" s="26"/>
      <c r="L5248" s="26"/>
      <c r="M5248" s="26"/>
      <c r="N5248" s="26"/>
      <c r="O5248" s="14" t="str">
        <f>HYPERLINK("https://otsuka-europe-crm.veevavault.com/ui/#object/email_activity__v/V8C00000004A875", "EN-002106603")</f>
        <v>EN-002106603</v>
      </c>
    </row>
    <row r="5249" spans="1:15" ht="16" x14ac:dyDescent="0.2">
      <c r="A5249" s="26"/>
      <c r="B5249" s="26"/>
      <c r="C5249" s="26"/>
      <c r="D5249" s="26"/>
      <c r="E5249" s="26"/>
      <c r="F5249" s="26"/>
      <c r="G5249" s="26"/>
      <c r="H5249" s="26"/>
      <c r="I5249" s="26"/>
      <c r="J5249" s="26"/>
      <c r="K5249" s="26"/>
      <c r="L5249" s="26"/>
      <c r="M5249" s="26"/>
      <c r="N5249" s="26"/>
      <c r="O5249" s="14" t="str">
        <f>HYPERLINK("https://otsuka-europe-crm.veevavault.com/ui/#object/email_activity__v/V8C00000004A876", "EN-002106604")</f>
        <v>EN-002106604</v>
      </c>
    </row>
    <row r="5250" spans="1:15" ht="16" x14ac:dyDescent="0.2">
      <c r="A5250" s="19"/>
      <c r="B5250" s="19"/>
      <c r="C5250" s="19"/>
      <c r="D5250" s="19"/>
      <c r="E5250" s="19"/>
      <c r="F5250" s="19"/>
      <c r="G5250" s="19"/>
      <c r="H5250" s="19"/>
      <c r="I5250" s="19"/>
      <c r="J5250" s="19"/>
      <c r="K5250" s="19"/>
      <c r="L5250" s="19"/>
      <c r="M5250" s="19"/>
      <c r="N5250" s="19"/>
      <c r="O5250" s="14" t="str">
        <f>HYPERLINK("https://otsuka-europe-crm.veevavault.com/ui/#object/email_activity__v/V8C00000004A877", "EN-002106605")</f>
        <v>EN-002106605</v>
      </c>
    </row>
    <row r="5251" spans="1:15" ht="32" x14ac:dyDescent="0.2">
      <c r="A5251" s="7" t="str">
        <f>HYPERLINK("https://otsuka-europe-crm.veevavault.com/ui/#object/account__v/V4TZ00000633UNS", "AURELIEN LAURENT")</f>
        <v>AURELIEN LAURENT</v>
      </c>
      <c r="B5251" s="7" t="str">
        <f>HYPERLINK("https://otsuka-europe-crm.veevavault.com/ui/#object/vcountry__v/VENZ000004SONFA", "FR")</f>
        <v>FR</v>
      </c>
      <c r="C5251" s="8" t="s">
        <v>40</v>
      </c>
      <c r="D5251" s="9" t="str">
        <f>HYPERLINK("https://otsuka-europe-crm.veevavault.com/ui/#object/approved_document__v/V5OZ04ASG4G02Y7", "REMERCIEMENTS_VAD_2023")</f>
        <v>REMERCIEMENTS_VAD_2023</v>
      </c>
      <c r="E5251" s="10" t="str">
        <f>HYPERLINK("https://otsuka-europe-crm.veevavault.com/ui/#object/sent_email__v/VBL000000037358", "SE-001444150")</f>
        <v>SE-001444150</v>
      </c>
      <c r="F5251" s="11"/>
      <c r="G5251" s="12">
        <v>0</v>
      </c>
      <c r="H5251" s="12">
        <v>0</v>
      </c>
      <c r="I5251" s="12">
        <v>0</v>
      </c>
      <c r="J5251" s="11"/>
      <c r="K5251" s="12">
        <v>0</v>
      </c>
      <c r="L5251" s="10" t="str">
        <f>HYPERLINK("https://otsuka-europe-crm.veevavault.com/ui/#object/approved_document__v/V5OZ04ASG4G02Y7", "REMERCIEMENTS_VAD_2023")</f>
        <v>REMERCIEMENTS_VAD_2023</v>
      </c>
      <c r="M5251" s="10" t="str">
        <f>HYPERLINK("mailto:cchevalliermiserole@crm.otsuka-europe.com", "cchevalliermiserole@crm.otsuka-europe.com")</f>
        <v>cchevalliermiserole@crm.otsuka-europe.com</v>
      </c>
      <c r="N5251" s="13">
        <v>46218.505578703705</v>
      </c>
      <c r="O5251" s="14" t="str">
        <f>HYPERLINK("https://otsuka-europe-crm.veevavault.com/ui/#object/email_activity__v/V8C000000049789", "EN-002106417")</f>
        <v>EN-002106417</v>
      </c>
    </row>
    <row r="5252" spans="1:15" ht="16" x14ac:dyDescent="0.2">
      <c r="A5252" s="18" t="str">
        <f>HYPERLINK("https://otsuka-europe-crm.veevavault.com/ui/#object/account__v/V4TZ00000633KE1", "ALEXANDRE BOT")</f>
        <v>ALEXANDRE BOT</v>
      </c>
      <c r="B5252" s="18" t="str">
        <f>HYPERLINK("https://otsuka-europe-crm.veevavault.com/ui/#object/vcountry__v/VENZ000004SONFA", "FR")</f>
        <v>FR</v>
      </c>
      <c r="C5252" s="20" t="s">
        <v>40</v>
      </c>
      <c r="D5252" s="21" t="str">
        <f>HYPERLINK("https://otsuka-europe-crm.veevavault.com/ui/#object/approved_document__v/V5OZ04ASG4G02Y7", "REMERCIEMENTS_VAD_2023")</f>
        <v>REMERCIEMENTS_VAD_2023</v>
      </c>
      <c r="E5252" s="22" t="str">
        <f>HYPERLINK("https://otsuka-europe-crm.veevavault.com/ui/#object/sent_email__v/VBL000000037359", "SE-001444151")</f>
        <v>SE-001444151</v>
      </c>
      <c r="F5252" s="23"/>
      <c r="G5252" s="24">
        <v>0</v>
      </c>
      <c r="H5252" s="24">
        <v>0</v>
      </c>
      <c r="I5252" s="24">
        <v>1</v>
      </c>
      <c r="J5252" s="25">
        <v>46218.523877314816</v>
      </c>
      <c r="K5252" s="24">
        <v>1</v>
      </c>
      <c r="L5252" s="22" t="str">
        <f>HYPERLINK("https://otsuka-europe-crm.veevavault.com/ui/#object/approved_document__v/V5OZ04ASG4G02Y7", "REMERCIEMENTS_VAD_2023")</f>
        <v>REMERCIEMENTS_VAD_2023</v>
      </c>
      <c r="M5252" s="22" t="str">
        <f>HYPERLINK("mailto:cchevalliermiserole@crm.otsuka-europe.com", "cchevalliermiserole@crm.otsuka-europe.com")</f>
        <v>cchevalliermiserole@crm.otsuka-europe.com</v>
      </c>
      <c r="N5252" s="25">
        <v>46218.522430555553</v>
      </c>
      <c r="O5252" s="14" t="str">
        <f>HYPERLINK("https://otsuka-europe-crm.veevavault.com/ui/#object/email_activity__v/V8C000000049796", "EN-002106432")</f>
        <v>EN-002106432</v>
      </c>
    </row>
    <row r="5253" spans="1:15" ht="16" x14ac:dyDescent="0.2">
      <c r="A5253" s="26"/>
      <c r="B5253" s="26"/>
      <c r="C5253" s="26"/>
      <c r="D5253" s="26"/>
      <c r="E5253" s="26"/>
      <c r="F5253" s="26"/>
      <c r="G5253" s="26"/>
      <c r="H5253" s="26"/>
      <c r="I5253" s="26"/>
      <c r="J5253" s="26"/>
      <c r="K5253" s="26"/>
      <c r="L5253" s="26"/>
      <c r="M5253" s="26"/>
      <c r="N5253" s="26"/>
      <c r="O5253" s="14" t="str">
        <f>HYPERLINK("https://otsuka-europe-crm.veevavault.com/ui/#object/email_activity__v/V8C00000004A768", "EN-002106428")</f>
        <v>EN-002106428</v>
      </c>
    </row>
    <row r="5254" spans="1:15" ht="16" x14ac:dyDescent="0.2">
      <c r="A5254" s="26"/>
      <c r="B5254" s="26"/>
      <c r="C5254" s="26"/>
      <c r="D5254" s="26"/>
      <c r="E5254" s="26"/>
      <c r="F5254" s="26"/>
      <c r="G5254" s="26"/>
      <c r="H5254" s="26"/>
      <c r="I5254" s="26"/>
      <c r="J5254" s="26"/>
      <c r="K5254" s="26"/>
      <c r="L5254" s="26"/>
      <c r="M5254" s="26"/>
      <c r="N5254" s="26"/>
      <c r="O5254" s="14" t="str">
        <f>HYPERLINK("https://otsuka-europe-crm.veevavault.com/ui/#object/email_activity__v/V8C00000004A771", "EN-002106433")</f>
        <v>EN-002106433</v>
      </c>
    </row>
    <row r="5255" spans="1:15" ht="16" x14ac:dyDescent="0.2">
      <c r="A5255" s="26"/>
      <c r="B5255" s="26"/>
      <c r="C5255" s="26"/>
      <c r="D5255" s="26"/>
      <c r="E5255" s="26"/>
      <c r="F5255" s="26"/>
      <c r="G5255" s="26"/>
      <c r="H5255" s="26"/>
      <c r="I5255" s="26"/>
      <c r="J5255" s="26"/>
      <c r="K5255" s="26"/>
      <c r="L5255" s="26"/>
      <c r="M5255" s="26"/>
      <c r="N5255" s="26"/>
      <c r="O5255" s="14" t="str">
        <f>HYPERLINK("https://otsuka-europe-crm.veevavault.com/ui/#object/email_activity__v/V8C00000004A800", "EN-002106492")</f>
        <v>EN-002106492</v>
      </c>
    </row>
    <row r="5256" spans="1:15" ht="16" x14ac:dyDescent="0.2">
      <c r="A5256" s="19"/>
      <c r="B5256" s="19"/>
      <c r="C5256" s="19"/>
      <c r="D5256" s="19"/>
      <c r="E5256" s="19"/>
      <c r="F5256" s="19"/>
      <c r="G5256" s="19"/>
      <c r="H5256" s="19"/>
      <c r="I5256" s="19"/>
      <c r="J5256" s="19"/>
      <c r="K5256" s="19"/>
      <c r="L5256" s="19"/>
      <c r="M5256" s="19"/>
      <c r="N5256" s="19"/>
      <c r="O5256" s="14" t="str">
        <f>HYPERLINK("https://otsuka-europe-crm.veevavault.com/ui/#object/email_activity__v/V8C00000004C211", "EN-002107224")</f>
        <v>EN-002107224</v>
      </c>
    </row>
    <row r="5257" spans="1:15" ht="16" x14ac:dyDescent="0.2">
      <c r="A5257" s="18" t="str">
        <f>HYPERLINK("https://otsuka-europe-crm.veevavault.com/ui/#object/account__v/V4TZ00000633KE1", "ALEXANDRE BOT")</f>
        <v>ALEXANDRE BOT</v>
      </c>
      <c r="B5257" s="18" t="str">
        <f>HYPERLINK("https://otsuka-europe-crm.veevavault.com/ui/#object/vcountry__v/VENZ000004SONFA", "FR")</f>
        <v>FR</v>
      </c>
      <c r="C5257" s="20" t="s">
        <v>40</v>
      </c>
      <c r="D5257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257" s="22" t="str">
        <f>HYPERLINK("https://otsuka-europe-crm.veevavault.com/ui/#object/sent_email__v/VBL000000037360", "SE-001444152")</f>
        <v>SE-001444152</v>
      </c>
      <c r="F5257" s="23"/>
      <c r="G5257" s="24">
        <v>0</v>
      </c>
      <c r="H5257" s="24">
        <v>0</v>
      </c>
      <c r="I5257" s="24">
        <v>0</v>
      </c>
      <c r="J5257" s="23"/>
      <c r="K5257" s="24">
        <v>0</v>
      </c>
      <c r="L5257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257" s="22" t="str">
        <f>HYPERLINK("mailto:cchevalliermiserole@crm.otsuka-europe.com", "cchevalliermiserole@crm.otsuka-europe.com")</f>
        <v>cchevalliermiserole@crm.otsuka-europe.com</v>
      </c>
      <c r="N5257" s="25">
        <v>46219.090428240743</v>
      </c>
      <c r="O5257" s="14" t="str">
        <f>HYPERLINK("https://otsuka-europe-crm.veevavault.com/ui/#object/email_activity__v/V8C000000049840", "EN-002106528")</f>
        <v>EN-002106528</v>
      </c>
    </row>
    <row r="5258" spans="1:15" ht="16" x14ac:dyDescent="0.2">
      <c r="A5258" s="26"/>
      <c r="B5258" s="26"/>
      <c r="C5258" s="26"/>
      <c r="D5258" s="26"/>
      <c r="E5258" s="26"/>
      <c r="F5258" s="26"/>
      <c r="G5258" s="26"/>
      <c r="H5258" s="26"/>
      <c r="I5258" s="26"/>
      <c r="J5258" s="26"/>
      <c r="K5258" s="26"/>
      <c r="L5258" s="26"/>
      <c r="M5258" s="26"/>
      <c r="N5258" s="26"/>
      <c r="O5258" s="14" t="str">
        <f>HYPERLINK("https://otsuka-europe-crm.veevavault.com/ui/#object/email_activity__v/V8C00000004A819", "EN-002106522")</f>
        <v>EN-002106522</v>
      </c>
    </row>
    <row r="5259" spans="1:15" ht="16" x14ac:dyDescent="0.2">
      <c r="A5259" s="26"/>
      <c r="B5259" s="26"/>
      <c r="C5259" s="26"/>
      <c r="D5259" s="26"/>
      <c r="E5259" s="26"/>
      <c r="F5259" s="26"/>
      <c r="G5259" s="26"/>
      <c r="H5259" s="26"/>
      <c r="I5259" s="26"/>
      <c r="J5259" s="26"/>
      <c r="K5259" s="26"/>
      <c r="L5259" s="26"/>
      <c r="M5259" s="26"/>
      <c r="N5259" s="26"/>
      <c r="O5259" s="14" t="str">
        <f>HYPERLINK("https://otsuka-europe-crm.veevavault.com/ui/#object/email_activity__v/V8C00000004B187", "EN-002107034")</f>
        <v>EN-002107034</v>
      </c>
    </row>
    <row r="5260" spans="1:15" ht="16" x14ac:dyDescent="0.2">
      <c r="A5260" s="19"/>
      <c r="B5260" s="19"/>
      <c r="C5260" s="19"/>
      <c r="D5260" s="19"/>
      <c r="E5260" s="19"/>
      <c r="F5260" s="19"/>
      <c r="G5260" s="19"/>
      <c r="H5260" s="19"/>
      <c r="I5260" s="19"/>
      <c r="J5260" s="19"/>
      <c r="K5260" s="19"/>
      <c r="L5260" s="19"/>
      <c r="M5260" s="19"/>
      <c r="N5260" s="19"/>
      <c r="O5260" s="14" t="str">
        <f>HYPERLINK("https://otsuka-europe-crm.veevavault.com/ui/#object/email_activity__v/V8C00000004C205", "EN-002107216")</f>
        <v>EN-002107216</v>
      </c>
    </row>
    <row r="5261" spans="1:15" ht="16" x14ac:dyDescent="0.2">
      <c r="A5261" s="18" t="str">
        <f>HYPERLINK("https://otsuka-europe-crm.veevavault.com/ui/#object/account__v/V4TZ0000062R6HJ", "Marco Ackermann")</f>
        <v>Marco Ackermann</v>
      </c>
      <c r="B5261" s="18" t="str">
        <f>HYPERLINK("https://otsuka-europe-crm.veevavault.com/ui/#object/vcountry__v/VENZ000004SONFN", "CH")</f>
        <v>CH</v>
      </c>
      <c r="C5261" s="20" t="s">
        <v>45</v>
      </c>
      <c r="D5261" s="21" t="str">
        <f>HYPERLINK("https://otsuka-europe-crm.veevavault.com/ui/#object/approved_document__v/V5O00000001L016", "ALL_Flexibilität_Ferienplanung_2026_AA_de")</f>
        <v>ALL_Flexibilität_Ferienplanung_2026_AA_de</v>
      </c>
      <c r="E5261" s="22" t="str">
        <f>HYPERLINK("https://otsuka-europe-crm.veevavault.com/ui/#object/sent_email__v/VBL000000037361", "SE-001444153")</f>
        <v>SE-001444153</v>
      </c>
      <c r="F5261" s="25">
        <v>46218.563750000001</v>
      </c>
      <c r="G5261" s="24">
        <v>1</v>
      </c>
      <c r="H5261" s="24">
        <v>2</v>
      </c>
      <c r="I5261" s="24">
        <v>0</v>
      </c>
      <c r="J5261" s="23"/>
      <c r="K5261" s="24">
        <v>0</v>
      </c>
      <c r="L5261" s="22" t="str">
        <f>HYPERLINK("https://otsuka-europe-crm.veevavault.com/ui/#object/approved_document__v/V5O00000001L016", "ALL_Flexibilität_Ferienplanung_2026_AA_de")</f>
        <v>ALL_Flexibilität_Ferienplanung_2026_AA_de</v>
      </c>
      <c r="M5261" s="22" t="str">
        <f>HYPERLINK("mailto:dharder@crm.otsuka-europe.com", "dharder@crm.otsuka-europe.com")</f>
        <v>dharder@crm.otsuka-europe.com</v>
      </c>
      <c r="N5261" s="25">
        <v>46218.528668981482</v>
      </c>
      <c r="O5261" s="14" t="str">
        <f>HYPERLINK("https://otsuka-europe-crm.veevavault.com/ui/#object/email_activity__v/V8C000000049798", "EN-002106437")</f>
        <v>EN-002106437</v>
      </c>
    </row>
    <row r="5262" spans="1:15" ht="16" x14ac:dyDescent="0.2">
      <c r="A5262" s="26"/>
      <c r="B5262" s="26"/>
      <c r="C5262" s="26"/>
      <c r="D5262" s="26"/>
      <c r="E5262" s="26"/>
      <c r="F5262" s="26"/>
      <c r="G5262" s="26"/>
      <c r="H5262" s="26"/>
      <c r="I5262" s="26"/>
      <c r="J5262" s="26"/>
      <c r="K5262" s="26"/>
      <c r="L5262" s="26"/>
      <c r="M5262" s="26"/>
      <c r="N5262" s="26"/>
      <c r="O5262" s="14" t="str">
        <f>HYPERLINK("https://otsuka-europe-crm.veevavault.com/ui/#object/email_activity__v/V8C000000049806", "EN-002106447")</f>
        <v>EN-002106447</v>
      </c>
    </row>
    <row r="5263" spans="1:15" ht="16" x14ac:dyDescent="0.2">
      <c r="A5263" s="19"/>
      <c r="B5263" s="19"/>
      <c r="C5263" s="19"/>
      <c r="D5263" s="19"/>
      <c r="E5263" s="19"/>
      <c r="F5263" s="19"/>
      <c r="G5263" s="19"/>
      <c r="H5263" s="19"/>
      <c r="I5263" s="19"/>
      <c r="J5263" s="19"/>
      <c r="K5263" s="19"/>
      <c r="L5263" s="19"/>
      <c r="M5263" s="19"/>
      <c r="N5263" s="19"/>
      <c r="O5263" s="14" t="str">
        <f>HYPERLINK("https://otsuka-europe-crm.veevavault.com/ui/#object/email_activity__v/V8C00000004A772", "EN-002106434")</f>
        <v>EN-002106434</v>
      </c>
    </row>
    <row r="5264" spans="1:15" ht="32" x14ac:dyDescent="0.2">
      <c r="A5264" s="7" t="str">
        <f>HYPERLINK("https://otsuka-europe-crm.veevavault.com/ui/#object/account__v/V4TZ0000062R6S6", "Markus Baumgartner")</f>
        <v>Markus Baumgartner</v>
      </c>
      <c r="B5264" s="7" t="str">
        <f>HYPERLINK("https://otsuka-europe-crm.veevavault.com/ui/#object/vcountry__v/VENZ000004SONFN", "CH")</f>
        <v>CH</v>
      </c>
      <c r="C5264" s="8" t="s">
        <v>45</v>
      </c>
      <c r="D5264" s="9" t="str">
        <f>HYPERLINK("https://otsuka-europe-crm.veevavault.com/ui/#object/approved_document__v/V5O00000001L016", "ALL_Flexibilität_Ferienplanung_2026_AA_de")</f>
        <v>ALL_Flexibilität_Ferienplanung_2026_AA_de</v>
      </c>
      <c r="E5264" s="10" t="str">
        <f>HYPERLINK("https://otsuka-europe-crm.veevavault.com/ui/#object/sent_email__v/VBL000000038304", "SE-001444154")</f>
        <v>SE-001444154</v>
      </c>
      <c r="F5264" s="11"/>
      <c r="G5264" s="12">
        <v>0</v>
      </c>
      <c r="H5264" s="12">
        <v>0</v>
      </c>
      <c r="I5264" s="12">
        <v>0</v>
      </c>
      <c r="J5264" s="11"/>
      <c r="K5264" s="12">
        <v>0</v>
      </c>
      <c r="L5264" s="10" t="str">
        <f>HYPERLINK("https://otsuka-europe-crm.veevavault.com/ui/#object/approved_document__v/V5O00000001L016", "ALL_Flexibilität_Ferienplanung_2026_AA_de")</f>
        <v>ALL_Flexibilität_Ferienplanung_2026_AA_de</v>
      </c>
      <c r="M5264" s="10" t="str">
        <f>HYPERLINK("mailto:dharder@crm.otsuka-europe.com", "dharder@crm.otsuka-europe.com")</f>
        <v>dharder@crm.otsuka-europe.com</v>
      </c>
      <c r="N5264" s="13">
        <v>46218.52957175926</v>
      </c>
      <c r="O5264" s="14" t="str">
        <f>HYPERLINK("https://otsuka-europe-crm.veevavault.com/ui/#object/email_activity__v/V8C00000004A773", "EN-002106435")</f>
        <v>EN-002106435</v>
      </c>
    </row>
    <row r="5265" spans="1:15" ht="32" x14ac:dyDescent="0.2">
      <c r="A5265" s="7" t="str">
        <f>HYPERLINK("https://otsuka-europe-crm.veevavault.com/ui/#object/account__v/V4T00000002A126", "James Nicholson")</f>
        <v>James Nicholson</v>
      </c>
      <c r="B5265" s="7" t="str">
        <f>HYPERLINK("https://otsuka-europe-crm.veevavault.com/ui/#object/vcountry__v/VENZ000004SONFK", "GB")</f>
        <v>GB</v>
      </c>
      <c r="C5265" s="8" t="s">
        <v>41</v>
      </c>
      <c r="D5265" s="9" t="str">
        <f>HYPERLINK("https://otsuka-europe-crm.veevavault.com/ui/#object/approved_document__v/V5OZ025E82PXJSL", "Otsuka Privacy Notice - UK (v2)")</f>
        <v>Otsuka Privacy Notice - UK (v2)</v>
      </c>
      <c r="E5265" s="10" t="str">
        <f>HYPERLINK("https://otsuka-europe-crm.veevavault.com/ui/#object/sent_email__v/VBL000000038305", "SE-001444155")</f>
        <v>SE-001444155</v>
      </c>
      <c r="F5265" s="11"/>
      <c r="G5265" s="12">
        <v>0</v>
      </c>
      <c r="H5265" s="12">
        <v>0</v>
      </c>
      <c r="I5265" s="12">
        <v>0</v>
      </c>
      <c r="J5265" s="11"/>
      <c r="K5265" s="12">
        <v>0</v>
      </c>
      <c r="L5265" s="10" t="str">
        <f>HYPERLINK("https://otsuka-europe-crm.veevavault.com/ui/#object/approved_document__v/V5OZ025E82PXJSL", "Otsuka Privacy Notice - UK (v2)")</f>
        <v>Otsuka Privacy Notice - UK (v2)</v>
      </c>
      <c r="M5265" s="10" t="str">
        <f>HYPERLINK("mailto:ldimambro@crm.otsuka-europe.com", "ldimambro@crm.otsuka-europe.com")</f>
        <v>ldimambro@crm.otsuka-europe.com</v>
      </c>
      <c r="N5265" s="13">
        <v>46218.602800925924</v>
      </c>
      <c r="O5265" s="14" t="str">
        <f>HYPERLINK("https://otsuka-europe-crm.veevavault.com/ui/#object/email_activity__v/V8C000000049810", "EN-002106458")</f>
        <v>EN-002106458</v>
      </c>
    </row>
    <row r="5266" spans="1:15" ht="16" x14ac:dyDescent="0.2">
      <c r="A5266" s="18" t="str">
        <f>HYPERLINK("https://otsuka-europe-crm.veevavault.com/ui/#object/account__v/V4T00000002A126", "James Nicholson")</f>
        <v>James Nicholson</v>
      </c>
      <c r="B5266" s="18" t="str">
        <f>HYPERLINK("https://otsuka-europe-crm.veevavault.com/ui/#object/vcountry__v/VENZ000004SONFK", "GB")</f>
        <v>GB</v>
      </c>
      <c r="C5266" s="20" t="s">
        <v>41</v>
      </c>
      <c r="D5266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5266" s="22" t="str">
        <f>HYPERLINK("https://otsuka-europe-crm.veevavault.com/ui/#object/sent_email__v/VBL000000038306", "SE-001444156")</f>
        <v>SE-001444156</v>
      </c>
      <c r="F5266" s="25">
        <v>46218.622361111113</v>
      </c>
      <c r="G5266" s="24">
        <v>1</v>
      </c>
      <c r="H5266" s="24">
        <v>2</v>
      </c>
      <c r="I5266" s="24">
        <v>1</v>
      </c>
      <c r="J5266" s="25">
        <v>46218.622361111113</v>
      </c>
      <c r="K5266" s="24">
        <v>1</v>
      </c>
      <c r="L5266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5266" s="22" t="str">
        <f>HYPERLINK("mailto:ldimambro@crm.otsuka-europe.com", "ldimambro@crm.otsuka-europe.com")</f>
        <v>ldimambro@crm.otsuka-europe.com</v>
      </c>
      <c r="N5266" s="25">
        <v>46218.603495370371</v>
      </c>
      <c r="O5266" s="14" t="str">
        <f>HYPERLINK("https://otsuka-europe-crm.veevavault.com/ui/#object/email_activity__v/V8C000000049811", "EN-002106459")</f>
        <v>EN-002106459</v>
      </c>
    </row>
    <row r="5267" spans="1:15" ht="16" x14ac:dyDescent="0.2">
      <c r="A5267" s="26"/>
      <c r="B5267" s="26"/>
      <c r="C5267" s="26"/>
      <c r="D5267" s="26"/>
      <c r="E5267" s="26"/>
      <c r="F5267" s="26"/>
      <c r="G5267" s="26"/>
      <c r="H5267" s="26"/>
      <c r="I5267" s="26"/>
      <c r="J5267" s="26"/>
      <c r="K5267" s="26"/>
      <c r="L5267" s="26"/>
      <c r="M5267" s="26"/>
      <c r="N5267" s="26"/>
      <c r="O5267" s="14" t="str">
        <f>HYPERLINK("https://otsuka-europe-crm.veevavault.com/ui/#object/email_activity__v/V8C00000004A784", "EN-002106466")</f>
        <v>EN-002106466</v>
      </c>
    </row>
    <row r="5268" spans="1:15" ht="16" x14ac:dyDescent="0.2">
      <c r="A5268" s="26"/>
      <c r="B5268" s="26"/>
      <c r="C5268" s="26"/>
      <c r="D5268" s="26"/>
      <c r="E5268" s="26"/>
      <c r="F5268" s="26"/>
      <c r="G5268" s="26"/>
      <c r="H5268" s="26"/>
      <c r="I5268" s="26"/>
      <c r="J5268" s="26"/>
      <c r="K5268" s="26"/>
      <c r="L5268" s="26"/>
      <c r="M5268" s="26"/>
      <c r="N5268" s="26"/>
      <c r="O5268" s="14" t="str">
        <f>HYPERLINK("https://otsuka-europe-crm.veevavault.com/ui/#object/email_activity__v/V8C00000004A785", "EN-002106464")</f>
        <v>EN-002106464</v>
      </c>
    </row>
    <row r="5269" spans="1:15" ht="16" x14ac:dyDescent="0.2">
      <c r="A5269" s="19"/>
      <c r="B5269" s="19"/>
      <c r="C5269" s="19"/>
      <c r="D5269" s="19"/>
      <c r="E5269" s="19"/>
      <c r="F5269" s="19"/>
      <c r="G5269" s="19"/>
      <c r="H5269" s="19"/>
      <c r="I5269" s="19"/>
      <c r="J5269" s="19"/>
      <c r="K5269" s="19"/>
      <c r="L5269" s="19"/>
      <c r="M5269" s="19"/>
      <c r="N5269" s="19"/>
      <c r="O5269" s="14" t="str">
        <f>HYPERLINK("https://otsuka-europe-crm.veevavault.com/ui/#object/email_activity__v/V8C00000004A786", "EN-002106465")</f>
        <v>EN-002106465</v>
      </c>
    </row>
    <row r="5270" spans="1:15" ht="16" x14ac:dyDescent="0.2">
      <c r="A5270" s="18" t="str">
        <f>HYPERLINK("https://otsuka-europe-crm.veevavault.com/ui/#object/account__v/V4TZ0000062PK9D", "Ian Grace")</f>
        <v>Ian Grace</v>
      </c>
      <c r="B5270" s="18" t="str">
        <f>HYPERLINK("https://otsuka-europe-crm.veevavault.com/ui/#object/vcountry__v/VENZ000004SONFK", "GB")</f>
        <v>GB</v>
      </c>
      <c r="C5270" s="20" t="s">
        <v>41</v>
      </c>
      <c r="D5270" s="21" t="str">
        <f>HYPERLINK("https://otsuka-europe-crm.veevavault.com/ui/#object/approved_document__v/V5OZ025E82TSZBI", "Aripiprazole 960mg Fragment VAE")</f>
        <v>Aripiprazole 960mg Fragment VAE</v>
      </c>
      <c r="E5270" s="22" t="str">
        <f>HYPERLINK("https://otsuka-europe-crm.veevavault.com/ui/#object/sent_email__v/VBL000000038307", "SE-001444157")</f>
        <v>SE-001444157</v>
      </c>
      <c r="F5270" s="25">
        <v>46218.910046296296</v>
      </c>
      <c r="G5270" s="24">
        <v>1</v>
      </c>
      <c r="H5270" s="24">
        <v>4</v>
      </c>
      <c r="I5270" s="24">
        <v>0</v>
      </c>
      <c r="J5270" s="23"/>
      <c r="K5270" s="24">
        <v>0</v>
      </c>
      <c r="L5270" s="22" t="str">
        <f>HYPERLINK("https://otsuka-europe-crm.veevavault.com/ui/#object/approved_document__v/V5OZ025E82TSZBI", "Aripiprazole 960mg Fragment VAE")</f>
        <v>Aripiprazole 960mg Fragment VAE</v>
      </c>
      <c r="M5270" s="22" t="str">
        <f>HYPERLINK("mailto:ldimambro@crm.otsuka-europe.com", "ldimambro@crm.otsuka-europe.com")</f>
        <v>ldimambro@crm.otsuka-europe.com</v>
      </c>
      <c r="N5270" s="25">
        <v>46218.608032407406</v>
      </c>
      <c r="O5270" s="14" t="str">
        <f>HYPERLINK("https://otsuka-europe-crm.veevavault.com/ui/#object/email_activity__v/V8C000000049812", "EN-002106460")</f>
        <v>EN-002106460</v>
      </c>
    </row>
    <row r="5271" spans="1:15" ht="16" x14ac:dyDescent="0.2">
      <c r="A5271" s="26"/>
      <c r="B5271" s="26"/>
      <c r="C5271" s="26"/>
      <c r="D5271" s="26"/>
      <c r="E5271" s="26"/>
      <c r="F5271" s="26"/>
      <c r="G5271" s="26"/>
      <c r="H5271" s="26"/>
      <c r="I5271" s="26"/>
      <c r="J5271" s="26"/>
      <c r="K5271" s="26"/>
      <c r="L5271" s="26"/>
      <c r="M5271" s="26"/>
      <c r="N5271" s="26"/>
      <c r="O5271" s="14" t="str">
        <f>HYPERLINK("https://otsuka-europe-crm.veevavault.com/ui/#object/email_activity__v/V8C000000049814", "EN-002106463")</f>
        <v>EN-002106463</v>
      </c>
    </row>
    <row r="5272" spans="1:15" ht="16" x14ac:dyDescent="0.2">
      <c r="A5272" s="26"/>
      <c r="B5272" s="26"/>
      <c r="C5272" s="26"/>
      <c r="D5272" s="26"/>
      <c r="E5272" s="26"/>
      <c r="F5272" s="26"/>
      <c r="G5272" s="26"/>
      <c r="H5272" s="26"/>
      <c r="I5272" s="26"/>
      <c r="J5272" s="26"/>
      <c r="K5272" s="26"/>
      <c r="L5272" s="26"/>
      <c r="M5272" s="26"/>
      <c r="N5272" s="26"/>
      <c r="O5272" s="14" t="str">
        <f>HYPERLINK("https://otsuka-europe-crm.veevavault.com/ui/#object/email_activity__v/V8C00000004A783", "EN-002106461")</f>
        <v>EN-002106461</v>
      </c>
    </row>
    <row r="5273" spans="1:15" ht="16" x14ac:dyDescent="0.2">
      <c r="A5273" s="26"/>
      <c r="B5273" s="26"/>
      <c r="C5273" s="26"/>
      <c r="D5273" s="26"/>
      <c r="E5273" s="26"/>
      <c r="F5273" s="26"/>
      <c r="G5273" s="26"/>
      <c r="H5273" s="26"/>
      <c r="I5273" s="26"/>
      <c r="J5273" s="26"/>
      <c r="K5273" s="26"/>
      <c r="L5273" s="26"/>
      <c r="M5273" s="26"/>
      <c r="N5273" s="26"/>
      <c r="O5273" s="14" t="str">
        <f>HYPERLINK("https://otsuka-europe-crm.veevavault.com/ui/#object/email_activity__v/V8C00000004A815", "EN-002106514")</f>
        <v>EN-002106514</v>
      </c>
    </row>
    <row r="5274" spans="1:15" ht="16" x14ac:dyDescent="0.2">
      <c r="A5274" s="19"/>
      <c r="B5274" s="19"/>
      <c r="C5274" s="19"/>
      <c r="D5274" s="19"/>
      <c r="E5274" s="19"/>
      <c r="F5274" s="19"/>
      <c r="G5274" s="19"/>
      <c r="H5274" s="19"/>
      <c r="I5274" s="19"/>
      <c r="J5274" s="19"/>
      <c r="K5274" s="19"/>
      <c r="L5274" s="19"/>
      <c r="M5274" s="19"/>
      <c r="N5274" s="19"/>
      <c r="O5274" s="14" t="str">
        <f>HYPERLINK("https://otsuka-europe-crm.veevavault.com/ui/#object/email_activity__v/V8C00000004A816", "EN-002106515")</f>
        <v>EN-002106515</v>
      </c>
    </row>
    <row r="5275" spans="1:15" ht="16" x14ac:dyDescent="0.2">
      <c r="A5275" s="18" t="str">
        <f>HYPERLINK("https://otsuka-europe-crm.veevavault.com/ui/#object/account__v/V4TZ04ASG9GWPEJ", "Caroline Okolie")</f>
        <v>Caroline Okolie</v>
      </c>
      <c r="B5275" s="18" t="str">
        <f>HYPERLINK("https://otsuka-europe-crm.veevavault.com/ui/#object/vcountry__v/VENZ000004SONFK", "GB")</f>
        <v>GB</v>
      </c>
      <c r="C5275" s="20" t="s">
        <v>41</v>
      </c>
      <c r="D5275" s="21" t="str">
        <f>HYPERLINK("https://otsuka-europe-crm.veevavault.com/ui/#object/approved_document__v/V5O00000001V001", "LDM DR P2P Invite 12-Nov-26 v2 [digital]")</f>
        <v>LDM DR P2P Invite 12-Nov-26 v2 [digital]</v>
      </c>
      <c r="E5275" s="22" t="str">
        <f>HYPERLINK("https://otsuka-europe-crm.veevavault.com/ui/#object/sent_email__v/VBL000000037362", "SE-001444158")</f>
        <v>SE-001444158</v>
      </c>
      <c r="F5275" s="25">
        <v>46221.88653935185</v>
      </c>
      <c r="G5275" s="24">
        <v>1</v>
      </c>
      <c r="H5275" s="24">
        <v>1</v>
      </c>
      <c r="I5275" s="24">
        <v>0</v>
      </c>
      <c r="J5275" s="23"/>
      <c r="K5275" s="24">
        <v>0</v>
      </c>
      <c r="L5275" s="22" t="str">
        <f>HYPERLINK("https://otsuka-europe-crm.veevavault.com/ui/#object/approved_document__v/V5O00000001V001", "LDM DR P2P Invite 12-Nov-26 v2 [digital]")</f>
        <v>LDM DR P2P Invite 12-Nov-26 v2 [digital]</v>
      </c>
      <c r="M5275" s="22" t="str">
        <f>HYPERLINK("mailto:draval@crm.otsuka-europe.com", "draval@crm.otsuka-europe.com")</f>
        <v>draval@crm.otsuka-europe.com</v>
      </c>
      <c r="N5275" s="25">
        <v>46219.281018518515</v>
      </c>
      <c r="O5275" s="14" t="str">
        <f>HYPERLINK("https://otsuka-europe-crm.veevavault.com/ui/#object/email_activity__v/V8C00000004A823", "EN-002106529")</f>
        <v>EN-002106529</v>
      </c>
    </row>
    <row r="5276" spans="1:15" ht="16" x14ac:dyDescent="0.2">
      <c r="A5276" s="19"/>
      <c r="B5276" s="19"/>
      <c r="C5276" s="19"/>
      <c r="D5276" s="19"/>
      <c r="E5276" s="19"/>
      <c r="F5276" s="19"/>
      <c r="G5276" s="19"/>
      <c r="H5276" s="19"/>
      <c r="I5276" s="19"/>
      <c r="J5276" s="19"/>
      <c r="K5276" s="19"/>
      <c r="L5276" s="19"/>
      <c r="M5276" s="19"/>
      <c r="N5276" s="19"/>
      <c r="O5276" s="14" t="str">
        <f>HYPERLINK("https://otsuka-europe-crm.veevavault.com/ui/#object/email_activity__v/V8C00000004B092", "EN-002106888")</f>
        <v>EN-002106888</v>
      </c>
    </row>
    <row r="5277" spans="1:15" ht="32" x14ac:dyDescent="0.2">
      <c r="A5277" s="7" t="str">
        <f>HYPERLINK("https://otsuka-europe-crm.veevavault.com/ui/#object/account__v/V4TZ06G6OBI638L", "Ulf Schnetzke")</f>
        <v>Ulf Schnetzke</v>
      </c>
      <c r="B5277" s="7" t="str">
        <f>HYPERLINK("https://otsuka-europe-crm.veevavault.com/ui/#object/vcountry__v/VENZ000004SONFP", "DE")</f>
        <v>DE</v>
      </c>
      <c r="C5277" s="8" t="s">
        <v>43</v>
      </c>
      <c r="D5277" s="9" t="str">
        <f>HYPERLINK("https://otsuka-europe-crm.veevavault.com/ui/#object/approved_document__v/V5O00000001W001", "INA VAE DE – Zulassung INAQOVI Venetoclax")</f>
        <v>INA VAE DE – Zulassung INAQOVI Venetoclax</v>
      </c>
      <c r="E5277" s="10" t="str">
        <f>HYPERLINK("https://otsuka-europe-crm.veevavault.com/ui/#object/sent_email__v/VBL000000037363", "SE-001444159")</f>
        <v>SE-001444159</v>
      </c>
      <c r="F5277" s="11"/>
      <c r="G5277" s="12">
        <v>0</v>
      </c>
      <c r="H5277" s="12">
        <v>0</v>
      </c>
      <c r="I5277" s="12">
        <v>0</v>
      </c>
      <c r="J5277" s="11"/>
      <c r="K5277" s="12">
        <v>0</v>
      </c>
      <c r="L5277" s="10" t="str">
        <f>HYPERLINK("https://otsuka-europe-crm.veevavault.com/ui/#object/approved_document__v/V5O00000001W001", "INA VAE DE – Zulassung INAQOVI Venetoclax")</f>
        <v>INA VAE DE – Zulassung INAQOVI Venetoclax</v>
      </c>
      <c r="M5277" s="10" t="str">
        <f>HYPERLINK("mailto:sannowsky@crm.otsuka-europe.com", "sannowsky@crm.otsuka-europe.com")</f>
        <v>sannowsky@crm.otsuka-europe.com</v>
      </c>
      <c r="N5277" s="13">
        <v>46219.330949074072</v>
      </c>
      <c r="O5277" s="14" t="str">
        <f>HYPERLINK("https://otsuka-europe-crm.veevavault.com/ui/#object/email_activity__v/V8C000000049844", "EN-002106533")</f>
        <v>EN-002106533</v>
      </c>
    </row>
    <row r="5278" spans="1:15" ht="16" x14ac:dyDescent="0.2">
      <c r="A5278" s="18" t="str">
        <f>HYPERLINK("https://otsuka-europe-crm.veevavault.com/ui/#object/account__v/V4TZ00000634WR4", "Tabea Appel")</f>
        <v>Tabea Appel</v>
      </c>
      <c r="B5278" s="18" t="str">
        <f>HYPERLINK("https://otsuka-europe-crm.veevavault.com/ui/#object/vcountry__v/VENZ000004SONFP", "DE")</f>
        <v>DE</v>
      </c>
      <c r="C5278" s="20" t="s">
        <v>43</v>
      </c>
      <c r="D5278" s="21" t="str">
        <f>HYPERLINK("https://otsuka-europe-crm.veevavault.com/ui/#object/approved_document__v/V5O00000001W001", "INA VAE DE – Zulassung INAQOVI Venetoclax")</f>
        <v>INA VAE DE – Zulassung INAQOVI Venetoclax</v>
      </c>
      <c r="E5278" s="22" t="str">
        <f>HYPERLINK("https://otsuka-europe-crm.veevavault.com/ui/#object/sent_email__v/VBL000000038308", "SE-001444160")</f>
        <v>SE-001444160</v>
      </c>
      <c r="F5278" s="25">
        <v>46219.740127314813</v>
      </c>
      <c r="G5278" s="24">
        <v>1</v>
      </c>
      <c r="H5278" s="24">
        <v>3</v>
      </c>
      <c r="I5278" s="24">
        <v>0</v>
      </c>
      <c r="J5278" s="23"/>
      <c r="K5278" s="24">
        <v>0</v>
      </c>
      <c r="L5278" s="22" t="str">
        <f>HYPERLINK("https://otsuka-europe-crm.veevavault.com/ui/#object/approved_document__v/V5O00000001W001", "INA VAE DE – Zulassung INAQOVI Venetoclax")</f>
        <v>INA VAE DE – Zulassung INAQOVI Venetoclax</v>
      </c>
      <c r="M5278" s="22" t="str">
        <f>HYPERLINK("mailto:sannowsky@crm.otsuka-europe.com", "sannowsky@crm.otsuka-europe.com")</f>
        <v>sannowsky@crm.otsuka-europe.com</v>
      </c>
      <c r="N5278" s="25">
        <v>46219.331041666665</v>
      </c>
      <c r="O5278" s="14" t="str">
        <f>HYPERLINK("https://otsuka-europe-crm.veevavault.com/ui/#object/email_activity__v/V8C000000049926", "EN-002106724")</f>
        <v>EN-002106724</v>
      </c>
    </row>
    <row r="5279" spans="1:15" ht="16" x14ac:dyDescent="0.2">
      <c r="A5279" s="26"/>
      <c r="B5279" s="26"/>
      <c r="C5279" s="26"/>
      <c r="D5279" s="26"/>
      <c r="E5279" s="26"/>
      <c r="F5279" s="26"/>
      <c r="G5279" s="26"/>
      <c r="H5279" s="26"/>
      <c r="I5279" s="26"/>
      <c r="J5279" s="26"/>
      <c r="K5279" s="26"/>
      <c r="L5279" s="26"/>
      <c r="M5279" s="26"/>
      <c r="N5279" s="26"/>
      <c r="O5279" s="14" t="str">
        <f>HYPERLINK("https://otsuka-europe-crm.veevavault.com/ui/#object/email_activity__v/V8C00000004A824", "EN-002106534")</f>
        <v>EN-002106534</v>
      </c>
    </row>
    <row r="5280" spans="1:15" ht="16" x14ac:dyDescent="0.2">
      <c r="A5280" s="26"/>
      <c r="B5280" s="26"/>
      <c r="C5280" s="26"/>
      <c r="D5280" s="26"/>
      <c r="E5280" s="26"/>
      <c r="F5280" s="26"/>
      <c r="G5280" s="26"/>
      <c r="H5280" s="26"/>
      <c r="I5280" s="26"/>
      <c r="J5280" s="26"/>
      <c r="K5280" s="26"/>
      <c r="L5280" s="26"/>
      <c r="M5280" s="26"/>
      <c r="N5280" s="26"/>
      <c r="O5280" s="14" t="str">
        <f>HYPERLINK("https://otsuka-europe-crm.veevavault.com/ui/#object/email_activity__v/V8C00000004A932", "EN-002106722")</f>
        <v>EN-002106722</v>
      </c>
    </row>
    <row r="5281" spans="1:15" ht="16" x14ac:dyDescent="0.2">
      <c r="A5281" s="19"/>
      <c r="B5281" s="19"/>
      <c r="C5281" s="19"/>
      <c r="D5281" s="19"/>
      <c r="E5281" s="19"/>
      <c r="F5281" s="19"/>
      <c r="G5281" s="19"/>
      <c r="H5281" s="19"/>
      <c r="I5281" s="19"/>
      <c r="J5281" s="19"/>
      <c r="K5281" s="19"/>
      <c r="L5281" s="19"/>
      <c r="M5281" s="19"/>
      <c r="N5281" s="19"/>
      <c r="O5281" s="14" t="str">
        <f>HYPERLINK("https://otsuka-europe-crm.veevavault.com/ui/#object/email_activity__v/V8C00000004A933", "EN-002106723")</f>
        <v>EN-002106723</v>
      </c>
    </row>
    <row r="5282" spans="1:15" ht="32" x14ac:dyDescent="0.2">
      <c r="A5282" s="7" t="str">
        <f>HYPERLINK("https://otsuka-europe-crm.veevavault.com/ui/#object/account__v/V4TZ06G6OBI685Q", "Henning Blasberg")</f>
        <v>Henning Blasberg</v>
      </c>
      <c r="B5282" s="7" t="str">
        <f>HYPERLINK("https://otsuka-europe-crm.veevavault.com/ui/#object/vcountry__v/VENZ000004SONFP", "DE")</f>
        <v>DE</v>
      </c>
      <c r="C5282" s="8" t="s">
        <v>43</v>
      </c>
      <c r="D5282" s="9" t="str">
        <f>HYPERLINK("https://otsuka-europe-crm.veevavault.com/ui/#object/approved_document__v/V5O00000001W001", "INA VAE DE – Zulassung INAQOVI Venetoclax")</f>
        <v>INA VAE DE – Zulassung INAQOVI Venetoclax</v>
      </c>
      <c r="E5282" s="10" t="str">
        <f>HYPERLINK("https://otsuka-europe-crm.veevavault.com/ui/#object/sent_email__v/VBL000000037364", "SE-001444161")</f>
        <v>SE-001444161</v>
      </c>
      <c r="F5282" s="11"/>
      <c r="G5282" s="12">
        <v>0</v>
      </c>
      <c r="H5282" s="12">
        <v>0</v>
      </c>
      <c r="I5282" s="12">
        <v>0</v>
      </c>
      <c r="J5282" s="11"/>
      <c r="K5282" s="12">
        <v>0</v>
      </c>
      <c r="L5282" s="10" t="str">
        <f>HYPERLINK("https://otsuka-europe-crm.veevavault.com/ui/#object/approved_document__v/V5O00000001W001", "INA VAE DE – Zulassung INAQOVI Venetoclax")</f>
        <v>INA VAE DE – Zulassung INAQOVI Venetoclax</v>
      </c>
      <c r="M5282" s="10" t="str">
        <f>HYPERLINK("mailto:sannowsky@crm.otsuka-europe.com", "sannowsky@crm.otsuka-europe.com")</f>
        <v>sannowsky@crm.otsuka-europe.com</v>
      </c>
      <c r="N5282" s="13">
        <v>46219.331284722219</v>
      </c>
      <c r="O5282" s="14" t="str">
        <f>HYPERLINK("https://otsuka-europe-crm.veevavault.com/ui/#object/email_activity__v/V8C00000004A825", "EN-002106535")</f>
        <v>EN-002106535</v>
      </c>
    </row>
    <row r="5283" spans="1:15" ht="16" x14ac:dyDescent="0.2">
      <c r="A5283" s="18" t="str">
        <f>HYPERLINK("https://otsuka-europe-crm.veevavault.com/ui/#object/account__v/V4TZ00000634YJO", "Leanthe Braunert")</f>
        <v>Leanthe Braunert</v>
      </c>
      <c r="B5283" s="18" t="str">
        <f>HYPERLINK("https://otsuka-europe-crm.veevavault.com/ui/#object/vcountry__v/VENZ000004SONFP", "DE")</f>
        <v>DE</v>
      </c>
      <c r="C5283" s="20" t="s">
        <v>43</v>
      </c>
      <c r="D5283" s="21" t="str">
        <f>HYPERLINK("https://otsuka-europe-crm.veevavault.com/ui/#object/approved_document__v/V5O00000001W001", "INA VAE DE – Zulassung INAQOVI Venetoclax")</f>
        <v>INA VAE DE – Zulassung INAQOVI Venetoclax</v>
      </c>
      <c r="E5283" s="22" t="str">
        <f>HYPERLINK("https://otsuka-europe-crm.veevavault.com/ui/#object/sent_email__v/VBL000000037365", "SE-001444162")</f>
        <v>SE-001444162</v>
      </c>
      <c r="F5283" s="23"/>
      <c r="G5283" s="24">
        <v>0</v>
      </c>
      <c r="H5283" s="24">
        <v>0</v>
      </c>
      <c r="I5283" s="24">
        <v>0</v>
      </c>
      <c r="J5283" s="23"/>
      <c r="K5283" s="24">
        <v>0</v>
      </c>
      <c r="L5283" s="22" t="str">
        <f>HYPERLINK("https://otsuka-europe-crm.veevavault.com/ui/#object/approved_document__v/V5O00000001W001", "INA VAE DE – Zulassung INAQOVI Venetoclax")</f>
        <v>INA VAE DE – Zulassung INAQOVI Venetoclax</v>
      </c>
      <c r="M5283" s="22" t="str">
        <f>HYPERLINK("mailto:sannowsky@crm.otsuka-europe.com", "sannowsky@crm.otsuka-europe.com")</f>
        <v>sannowsky@crm.otsuka-europe.com</v>
      </c>
      <c r="N5283" s="25">
        <v>46219.331354166665</v>
      </c>
      <c r="O5283" s="14" t="str">
        <f>HYPERLINK("https://otsuka-europe-crm.veevavault.com/ui/#object/email_activity__v/V8C00000004A826", "EN-002106536")</f>
        <v>EN-002106536</v>
      </c>
    </row>
    <row r="5284" spans="1:15" ht="16" x14ac:dyDescent="0.2">
      <c r="A5284" s="26"/>
      <c r="B5284" s="26"/>
      <c r="C5284" s="26"/>
      <c r="D5284" s="26"/>
      <c r="E5284" s="26"/>
      <c r="F5284" s="26"/>
      <c r="G5284" s="26"/>
      <c r="H5284" s="26"/>
      <c r="I5284" s="26"/>
      <c r="J5284" s="26"/>
      <c r="K5284" s="26"/>
      <c r="L5284" s="26"/>
      <c r="M5284" s="26"/>
      <c r="N5284" s="26"/>
      <c r="O5284" s="14" t="str">
        <f>HYPERLINK("https://otsuka-europe-crm.veevavault.com/ui/#object/email_activity__v/V8C00000004A903", "EN-002106665")</f>
        <v>EN-002106665</v>
      </c>
    </row>
    <row r="5285" spans="1:15" ht="16" x14ac:dyDescent="0.2">
      <c r="A5285" s="26"/>
      <c r="B5285" s="26"/>
      <c r="C5285" s="26"/>
      <c r="D5285" s="26"/>
      <c r="E5285" s="26"/>
      <c r="F5285" s="26"/>
      <c r="G5285" s="26"/>
      <c r="H5285" s="26"/>
      <c r="I5285" s="26"/>
      <c r="J5285" s="26"/>
      <c r="K5285" s="26"/>
      <c r="L5285" s="26"/>
      <c r="M5285" s="26"/>
      <c r="N5285" s="26"/>
      <c r="O5285" s="14" t="str">
        <f>HYPERLINK("https://otsuka-europe-crm.veevavault.com/ui/#object/email_activity__v/V8C00000004B039", "EN-002106797")</f>
        <v>EN-002106797</v>
      </c>
    </row>
    <row r="5286" spans="1:15" ht="16" x14ac:dyDescent="0.2">
      <c r="A5286" s="19"/>
      <c r="B5286" s="19"/>
      <c r="C5286" s="19"/>
      <c r="D5286" s="19"/>
      <c r="E5286" s="19"/>
      <c r="F5286" s="19"/>
      <c r="G5286" s="19"/>
      <c r="H5286" s="19"/>
      <c r="I5286" s="19"/>
      <c r="J5286" s="19"/>
      <c r="K5286" s="19"/>
      <c r="L5286" s="19"/>
      <c r="M5286" s="19"/>
      <c r="N5286" s="19"/>
      <c r="O5286" s="14" t="str">
        <f>HYPERLINK("https://otsuka-europe-crm.veevavault.com/ui/#object/email_activity__v/V8C00000004C009", "EN-002106751")</f>
        <v>EN-002106751</v>
      </c>
    </row>
    <row r="5287" spans="1:15" ht="32" x14ac:dyDescent="0.2">
      <c r="A5287" s="7" t="str">
        <f>HYPERLINK("https://otsuka-europe-crm.veevavault.com/ui/#object/account__v/V4TZ06G6OBI68GV", "Christine Döhring")</f>
        <v>Christine Döhring</v>
      </c>
      <c r="B5287" s="7" t="str">
        <f t="shared" ref="B5287:B5294" si="238">HYPERLINK("https://otsuka-europe-crm.veevavault.com/ui/#object/vcountry__v/VENZ000004SONFP", "DE")</f>
        <v>DE</v>
      </c>
      <c r="C5287" s="8" t="s">
        <v>43</v>
      </c>
      <c r="D5287" s="9" t="str">
        <f t="shared" ref="D5287:D5294" si="239">HYPERLINK("https://otsuka-europe-crm.veevavault.com/ui/#object/approved_document__v/V5O00000001W001", "INA VAE DE – Zulassung INAQOVI Venetoclax")</f>
        <v>INA VAE DE – Zulassung INAQOVI Venetoclax</v>
      </c>
      <c r="E5287" s="10" t="str">
        <f>HYPERLINK("https://otsuka-europe-crm.veevavault.com/ui/#object/sent_email__v/VBL000000038309", "SE-001444163")</f>
        <v>SE-001444163</v>
      </c>
      <c r="F5287" s="11"/>
      <c r="G5287" s="12">
        <v>0</v>
      </c>
      <c r="H5287" s="12">
        <v>0</v>
      </c>
      <c r="I5287" s="12">
        <v>0</v>
      </c>
      <c r="J5287" s="11"/>
      <c r="K5287" s="12">
        <v>0</v>
      </c>
      <c r="L5287" s="10" t="str">
        <f t="shared" ref="L5287:L5294" si="240">HYPERLINK("https://otsuka-europe-crm.veevavault.com/ui/#object/approved_document__v/V5O00000001W001", "INA VAE DE – Zulassung INAQOVI Venetoclax")</f>
        <v>INA VAE DE – Zulassung INAQOVI Venetoclax</v>
      </c>
      <c r="M5287" s="10" t="str">
        <f t="shared" ref="M5287:M5294" si="241">HYPERLINK("mailto:sannowsky@crm.otsuka-europe.com", "sannowsky@crm.otsuka-europe.com")</f>
        <v>sannowsky@crm.otsuka-europe.com</v>
      </c>
      <c r="N5287" s="13">
        <v>46219.331608796296</v>
      </c>
      <c r="O5287" s="14" t="str">
        <f>HYPERLINK("https://otsuka-europe-crm.veevavault.com/ui/#object/email_activity__v/V8C00000004A827", "EN-002106537")</f>
        <v>EN-002106537</v>
      </c>
    </row>
    <row r="5288" spans="1:15" ht="32" x14ac:dyDescent="0.2">
      <c r="A5288" s="7" t="str">
        <f>HYPERLINK("https://otsuka-europe-crm.veevavault.com/ui/#object/account__v/V4TZ00000634WVI", "Ekkehard Eigendorff")</f>
        <v>Ekkehard Eigendorff</v>
      </c>
      <c r="B5288" s="7" t="str">
        <f t="shared" si="238"/>
        <v>DE</v>
      </c>
      <c r="C5288" s="8" t="s">
        <v>43</v>
      </c>
      <c r="D5288" s="9" t="str">
        <f t="shared" si="239"/>
        <v>INA VAE DE – Zulassung INAQOVI Venetoclax</v>
      </c>
      <c r="E5288" s="10" t="str">
        <f>HYPERLINK("https://otsuka-europe-crm.veevavault.com/ui/#object/sent_email__v/VBL000000037366", "SE-001444164")</f>
        <v>SE-001444164</v>
      </c>
      <c r="F5288" s="11"/>
      <c r="G5288" s="12">
        <v>0</v>
      </c>
      <c r="H5288" s="12">
        <v>0</v>
      </c>
      <c r="I5288" s="12">
        <v>0</v>
      </c>
      <c r="J5288" s="11"/>
      <c r="K5288" s="12">
        <v>0</v>
      </c>
      <c r="L5288" s="10" t="str">
        <f t="shared" si="240"/>
        <v>INA VAE DE – Zulassung INAQOVI Venetoclax</v>
      </c>
      <c r="M5288" s="10" t="str">
        <f t="shared" si="241"/>
        <v>sannowsky@crm.otsuka-europe.com</v>
      </c>
      <c r="N5288" s="13">
        <v>46219.331701388888</v>
      </c>
      <c r="O5288" s="14" t="str">
        <f>HYPERLINK("https://otsuka-europe-crm.veevavault.com/ui/#object/email_activity__v/V8C00000004A828", "EN-002106538")</f>
        <v>EN-002106538</v>
      </c>
    </row>
    <row r="5289" spans="1:15" ht="32" x14ac:dyDescent="0.2">
      <c r="A5289" s="7" t="str">
        <f>HYPERLINK("https://otsuka-europe-crm.veevavault.com/ui/#object/account__v/V4TZ00000635035", "Heiko Hütten")</f>
        <v>Heiko Hütten</v>
      </c>
      <c r="B5289" s="7" t="str">
        <f t="shared" si="238"/>
        <v>DE</v>
      </c>
      <c r="C5289" s="8" t="s">
        <v>43</v>
      </c>
      <c r="D5289" s="9" t="str">
        <f t="shared" si="239"/>
        <v>INA VAE DE – Zulassung INAQOVI Venetoclax</v>
      </c>
      <c r="E5289" s="10" t="str">
        <f>HYPERLINK("https://otsuka-europe-crm.veevavault.com/ui/#object/sent_email__v/VBL000000037367", "SE-001444165")</f>
        <v>SE-001444165</v>
      </c>
      <c r="F5289" s="11"/>
      <c r="G5289" s="12">
        <v>0</v>
      </c>
      <c r="H5289" s="12">
        <v>0</v>
      </c>
      <c r="I5289" s="12">
        <v>0</v>
      </c>
      <c r="J5289" s="11"/>
      <c r="K5289" s="12">
        <v>0</v>
      </c>
      <c r="L5289" s="10" t="str">
        <f t="shared" si="240"/>
        <v>INA VAE DE – Zulassung INAQOVI Venetoclax</v>
      </c>
      <c r="M5289" s="10" t="str">
        <f t="shared" si="241"/>
        <v>sannowsky@crm.otsuka-europe.com</v>
      </c>
      <c r="N5289" s="13">
        <v>46219.331967592596</v>
      </c>
      <c r="O5289" s="14" t="str">
        <f>HYPERLINK("https://otsuka-europe-crm.veevavault.com/ui/#object/email_activity__v/V8C00000004A829", "EN-002106539")</f>
        <v>EN-002106539</v>
      </c>
    </row>
    <row r="5290" spans="1:15" ht="32" x14ac:dyDescent="0.2">
      <c r="A5290" s="7" t="str">
        <f>HYPERLINK("https://otsuka-europe-crm.veevavault.com/ui/#object/account__v/V4TZ0000062T567", "Nadja Jäkel")</f>
        <v>Nadja Jäkel</v>
      </c>
      <c r="B5290" s="7" t="str">
        <f t="shared" si="238"/>
        <v>DE</v>
      </c>
      <c r="C5290" s="8" t="s">
        <v>43</v>
      </c>
      <c r="D5290" s="9" t="str">
        <f t="shared" si="239"/>
        <v>INA VAE DE – Zulassung INAQOVI Venetoclax</v>
      </c>
      <c r="E5290" s="10" t="str">
        <f>HYPERLINK("https://otsuka-europe-crm.veevavault.com/ui/#object/sent_email__v/VBL000000037368", "SE-001444166")</f>
        <v>SE-001444166</v>
      </c>
      <c r="F5290" s="11"/>
      <c r="G5290" s="12">
        <v>0</v>
      </c>
      <c r="H5290" s="12">
        <v>0</v>
      </c>
      <c r="I5290" s="12">
        <v>0</v>
      </c>
      <c r="J5290" s="11"/>
      <c r="K5290" s="12">
        <v>0</v>
      </c>
      <c r="L5290" s="10" t="str">
        <f t="shared" si="240"/>
        <v>INA VAE DE – Zulassung INAQOVI Venetoclax</v>
      </c>
      <c r="M5290" s="10" t="str">
        <f t="shared" si="241"/>
        <v>sannowsky@crm.otsuka-europe.com</v>
      </c>
      <c r="N5290" s="13">
        <v>46219.332013888888</v>
      </c>
      <c r="O5290" s="14" t="str">
        <f>HYPERLINK("https://otsuka-europe-crm.veevavault.com/ui/#object/email_activity__v/V8C00000004A830", "EN-002106540")</f>
        <v>EN-002106540</v>
      </c>
    </row>
    <row r="5291" spans="1:15" ht="32" x14ac:dyDescent="0.2">
      <c r="A5291" s="7" t="str">
        <f>HYPERLINK("https://otsuka-europe-crm.veevavault.com/ui/#object/account__v/V4TZ00000634ZMW", "Haytham Kamal")</f>
        <v>Haytham Kamal</v>
      </c>
      <c r="B5291" s="7" t="str">
        <f t="shared" si="238"/>
        <v>DE</v>
      </c>
      <c r="C5291" s="8" t="s">
        <v>43</v>
      </c>
      <c r="D5291" s="9" t="str">
        <f t="shared" si="239"/>
        <v>INA VAE DE – Zulassung INAQOVI Venetoclax</v>
      </c>
      <c r="E5291" s="10" t="str">
        <f>HYPERLINK("https://otsuka-europe-crm.veevavault.com/ui/#object/sent_email__v/VBL000000037369", "SE-001444167")</f>
        <v>SE-001444167</v>
      </c>
      <c r="F5291" s="11"/>
      <c r="G5291" s="12">
        <v>0</v>
      </c>
      <c r="H5291" s="12">
        <v>0</v>
      </c>
      <c r="I5291" s="12">
        <v>0</v>
      </c>
      <c r="J5291" s="11"/>
      <c r="K5291" s="12">
        <v>0</v>
      </c>
      <c r="L5291" s="10" t="str">
        <f t="shared" si="240"/>
        <v>INA VAE DE – Zulassung INAQOVI Venetoclax</v>
      </c>
      <c r="M5291" s="10" t="str">
        <f t="shared" si="241"/>
        <v>sannowsky@crm.otsuka-europe.com</v>
      </c>
      <c r="N5291" s="13">
        <v>46219.332326388889</v>
      </c>
      <c r="O5291" s="14" t="str">
        <f>HYPERLINK("https://otsuka-europe-crm.veevavault.com/ui/#object/email_activity__v/V8C00000004A831", "EN-002106541")</f>
        <v>EN-002106541</v>
      </c>
    </row>
    <row r="5292" spans="1:15" ht="32" x14ac:dyDescent="0.2">
      <c r="A5292" s="7" t="str">
        <f>HYPERLINK("https://otsuka-europe-crm.veevavault.com/ui/#object/account__v/V4TZ00000634ZL8", "Timo Kambach")</f>
        <v>Timo Kambach</v>
      </c>
      <c r="B5292" s="7" t="str">
        <f t="shared" si="238"/>
        <v>DE</v>
      </c>
      <c r="C5292" s="8" t="s">
        <v>43</v>
      </c>
      <c r="D5292" s="9" t="str">
        <f t="shared" si="239"/>
        <v>INA VAE DE – Zulassung INAQOVI Venetoclax</v>
      </c>
      <c r="E5292" s="10" t="str">
        <f>HYPERLINK("https://otsuka-europe-crm.veevavault.com/ui/#object/sent_email__v/VBL000000038310", "SE-001444168")</f>
        <v>SE-001444168</v>
      </c>
      <c r="F5292" s="11"/>
      <c r="G5292" s="12">
        <v>0</v>
      </c>
      <c r="H5292" s="12">
        <v>0</v>
      </c>
      <c r="I5292" s="12">
        <v>0</v>
      </c>
      <c r="J5292" s="11"/>
      <c r="K5292" s="12">
        <v>0</v>
      </c>
      <c r="L5292" s="10" t="str">
        <f t="shared" si="240"/>
        <v>INA VAE DE – Zulassung INAQOVI Venetoclax</v>
      </c>
      <c r="M5292" s="10" t="str">
        <f t="shared" si="241"/>
        <v>sannowsky@crm.otsuka-europe.com</v>
      </c>
      <c r="N5292" s="13">
        <v>46219.332349537035</v>
      </c>
      <c r="O5292" s="14" t="str">
        <f>HYPERLINK("https://otsuka-europe-crm.veevavault.com/ui/#object/email_activity__v/V8C00000004A832", "EN-002106542")</f>
        <v>EN-002106542</v>
      </c>
    </row>
    <row r="5293" spans="1:15" ht="32" x14ac:dyDescent="0.2">
      <c r="A5293" s="7" t="str">
        <f>HYPERLINK("https://otsuka-europe-crm.veevavault.com/ui/#object/account__v/V4TZ04ASGBX77ZA", "Anett Krziwanie")</f>
        <v>Anett Krziwanie</v>
      </c>
      <c r="B5293" s="7" t="str">
        <f t="shared" si="238"/>
        <v>DE</v>
      </c>
      <c r="C5293" s="8" t="s">
        <v>43</v>
      </c>
      <c r="D5293" s="9" t="str">
        <f t="shared" si="239"/>
        <v>INA VAE DE – Zulassung INAQOVI Venetoclax</v>
      </c>
      <c r="E5293" s="10" t="str">
        <f>HYPERLINK("https://otsuka-europe-crm.veevavault.com/ui/#object/sent_email__v/VBL000000037370", "SE-001444169")</f>
        <v>SE-001444169</v>
      </c>
      <c r="F5293" s="11"/>
      <c r="G5293" s="12">
        <v>0</v>
      </c>
      <c r="H5293" s="12">
        <v>0</v>
      </c>
      <c r="I5293" s="12">
        <v>0</v>
      </c>
      <c r="J5293" s="11"/>
      <c r="K5293" s="12">
        <v>0</v>
      </c>
      <c r="L5293" s="10" t="str">
        <f t="shared" si="240"/>
        <v>INA VAE DE – Zulassung INAQOVI Venetoclax</v>
      </c>
      <c r="M5293" s="10" t="str">
        <f t="shared" si="241"/>
        <v>sannowsky@crm.otsuka-europe.com</v>
      </c>
      <c r="N5293" s="13">
        <v>46219.332499999997</v>
      </c>
      <c r="O5293" s="14" t="str">
        <f>HYPERLINK("https://otsuka-europe-crm.veevavault.com/ui/#object/email_activity__v/V8C00000004A833", "EN-002106543")</f>
        <v>EN-002106543</v>
      </c>
    </row>
    <row r="5294" spans="1:15" ht="16" x14ac:dyDescent="0.2">
      <c r="A5294" s="18" t="str">
        <f>HYPERLINK("https://otsuka-europe-crm.veevavault.com/ui/#object/account__v/V4TZ000006350YT", "Dorit Kürschner")</f>
        <v>Dorit Kürschner</v>
      </c>
      <c r="B5294" s="18" t="str">
        <f t="shared" si="238"/>
        <v>DE</v>
      </c>
      <c r="C5294" s="20" t="s">
        <v>43</v>
      </c>
      <c r="D5294" s="21" t="str">
        <f t="shared" si="239"/>
        <v>INA VAE DE – Zulassung INAQOVI Venetoclax</v>
      </c>
      <c r="E5294" s="22" t="str">
        <f>HYPERLINK("https://otsuka-europe-crm.veevavault.com/ui/#object/sent_email__v/VBL000000037371", "SE-001444170")</f>
        <v>SE-001444170</v>
      </c>
      <c r="F5294" s="23"/>
      <c r="G5294" s="24">
        <v>0</v>
      </c>
      <c r="H5294" s="24">
        <v>0</v>
      </c>
      <c r="I5294" s="24">
        <v>0</v>
      </c>
      <c r="J5294" s="23"/>
      <c r="K5294" s="24">
        <v>0</v>
      </c>
      <c r="L5294" s="22" t="str">
        <f t="shared" si="240"/>
        <v>INA VAE DE – Zulassung INAQOVI Venetoclax</v>
      </c>
      <c r="M5294" s="22" t="str">
        <f t="shared" si="241"/>
        <v>sannowsky@crm.otsuka-europe.com</v>
      </c>
      <c r="N5294" s="25">
        <v>46219.332673611112</v>
      </c>
      <c r="O5294" s="14" t="str">
        <f>HYPERLINK("https://otsuka-europe-crm.veevavault.com/ui/#object/email_activity__v/V8C00000004A834", "EN-002106544")</f>
        <v>EN-002106544</v>
      </c>
    </row>
    <row r="5295" spans="1:15" ht="16" x14ac:dyDescent="0.2">
      <c r="A5295" s="19"/>
      <c r="B5295" s="19"/>
      <c r="C5295" s="19"/>
      <c r="D5295" s="19"/>
      <c r="E5295" s="19"/>
      <c r="F5295" s="19"/>
      <c r="G5295" s="19"/>
      <c r="H5295" s="19"/>
      <c r="I5295" s="19"/>
      <c r="J5295" s="19"/>
      <c r="K5295" s="19"/>
      <c r="L5295" s="19"/>
      <c r="M5295" s="19"/>
      <c r="N5295" s="19"/>
      <c r="O5295" s="14" t="str">
        <f>HYPERLINK("https://otsuka-europe-crm.veevavault.com/ui/#object/email_activity__v/V8C00000004B295", "EN-002107244")</f>
        <v>EN-002107244</v>
      </c>
    </row>
    <row r="5296" spans="1:15" ht="32" x14ac:dyDescent="0.2">
      <c r="A5296" s="7" t="str">
        <f>HYPERLINK("https://otsuka-europe-crm.veevavault.com/ui/#object/account__v/V4TZ000006351K4", "Regina Moeller")</f>
        <v>Regina Moeller</v>
      </c>
      <c r="B5296" s="7" t="str">
        <f>HYPERLINK("https://otsuka-europe-crm.veevavault.com/ui/#object/vcountry__v/VENZ000004SONFP", "DE")</f>
        <v>DE</v>
      </c>
      <c r="C5296" s="8" t="s">
        <v>43</v>
      </c>
      <c r="D5296" s="9" t="str">
        <f>HYPERLINK("https://otsuka-europe-crm.veevavault.com/ui/#object/approved_document__v/V5O00000001W001", "INA VAE DE – Zulassung INAQOVI Venetoclax")</f>
        <v>INA VAE DE – Zulassung INAQOVI Venetoclax</v>
      </c>
      <c r="E5296" s="10" t="str">
        <f>HYPERLINK("https://otsuka-europe-crm.veevavault.com/ui/#object/sent_email__v/VBL000000038311", "SE-001444171")</f>
        <v>SE-001444171</v>
      </c>
      <c r="F5296" s="11"/>
      <c r="G5296" s="12">
        <v>0</v>
      </c>
      <c r="H5296" s="12">
        <v>0</v>
      </c>
      <c r="I5296" s="12">
        <v>0</v>
      </c>
      <c r="J5296" s="11"/>
      <c r="K5296" s="12">
        <v>0</v>
      </c>
      <c r="L5296" s="10" t="str">
        <f>HYPERLINK("https://otsuka-europe-crm.veevavault.com/ui/#object/approved_document__v/V5O00000001W001", "INA VAE DE – Zulassung INAQOVI Venetoclax")</f>
        <v>INA VAE DE – Zulassung INAQOVI Venetoclax</v>
      </c>
      <c r="M5296" s="10" t="str">
        <f>HYPERLINK("mailto:sannowsky@crm.otsuka-europe.com", "sannowsky@crm.otsuka-europe.com")</f>
        <v>sannowsky@crm.otsuka-europe.com</v>
      </c>
      <c r="N5296" s="13">
        <v>46219.333055555559</v>
      </c>
      <c r="O5296" s="14" t="str">
        <f>HYPERLINK("https://otsuka-europe-crm.veevavault.com/ui/#object/email_activity__v/V8C00000004A835", "EN-002106545")</f>
        <v>EN-002106545</v>
      </c>
    </row>
    <row r="5297" spans="1:15" ht="32" x14ac:dyDescent="0.2">
      <c r="A5297" s="7" t="str">
        <f>HYPERLINK("https://otsuka-europe-crm.veevavault.com/ui/#object/account__v/V4TZ000006351ZL", "Martin Müller")</f>
        <v>Martin Müller</v>
      </c>
      <c r="B5297" s="7" t="str">
        <f>HYPERLINK("https://otsuka-europe-crm.veevavault.com/ui/#object/vcountry__v/VENZ000004SONFP", "DE")</f>
        <v>DE</v>
      </c>
      <c r="C5297" s="8" t="s">
        <v>43</v>
      </c>
      <c r="D5297" s="9" t="str">
        <f>HYPERLINK("https://otsuka-europe-crm.veevavault.com/ui/#object/approved_document__v/V5O00000001W001", "INA VAE DE – Zulassung INAQOVI Venetoclax")</f>
        <v>INA VAE DE – Zulassung INAQOVI Venetoclax</v>
      </c>
      <c r="E5297" s="10" t="str">
        <f>HYPERLINK("https://otsuka-europe-crm.veevavault.com/ui/#object/sent_email__v/VBL000000037372", "SE-001444172")</f>
        <v>SE-001444172</v>
      </c>
      <c r="F5297" s="11"/>
      <c r="G5297" s="12">
        <v>0</v>
      </c>
      <c r="H5297" s="12">
        <v>0</v>
      </c>
      <c r="I5297" s="12">
        <v>0</v>
      </c>
      <c r="J5297" s="11"/>
      <c r="K5297" s="12">
        <v>0</v>
      </c>
      <c r="L5297" s="10" t="str">
        <f>HYPERLINK("https://otsuka-europe-crm.veevavault.com/ui/#object/approved_document__v/V5O00000001W001", "INA VAE DE – Zulassung INAQOVI Venetoclax")</f>
        <v>INA VAE DE – Zulassung INAQOVI Venetoclax</v>
      </c>
      <c r="M5297" s="10" t="str">
        <f>HYPERLINK("mailto:sannowsky@crm.otsuka-europe.com", "sannowsky@crm.otsuka-europe.com")</f>
        <v>sannowsky@crm.otsuka-europe.com</v>
      </c>
      <c r="N5297" s="13">
        <v>46219.333148148151</v>
      </c>
      <c r="O5297" s="14" t="str">
        <f>HYPERLINK("https://otsuka-europe-crm.veevavault.com/ui/#object/email_activity__v/V8C00000004A836", "EN-002106546")</f>
        <v>EN-002106546</v>
      </c>
    </row>
    <row r="5298" spans="1:15" ht="16" x14ac:dyDescent="0.2">
      <c r="A5298" s="18" t="str">
        <f>HYPERLINK("https://otsuka-europe-crm.veevavault.com/ui/#object/account__v/V4TZ0000062T1MX", "Ulrike Nitschke")</f>
        <v>Ulrike Nitschke</v>
      </c>
      <c r="B5298" s="18" t="str">
        <f>HYPERLINK("https://otsuka-europe-crm.veevavault.com/ui/#object/vcountry__v/VENZ000004SONFP", "DE")</f>
        <v>DE</v>
      </c>
      <c r="C5298" s="20" t="s">
        <v>43</v>
      </c>
      <c r="D5298" s="21" t="str">
        <f>HYPERLINK("https://otsuka-europe-crm.veevavault.com/ui/#object/approved_document__v/V5O00000001W001", "INA VAE DE – Zulassung INAQOVI Venetoclax")</f>
        <v>INA VAE DE – Zulassung INAQOVI Venetoclax</v>
      </c>
      <c r="E5298" s="22" t="str">
        <f>HYPERLINK("https://otsuka-europe-crm.veevavault.com/ui/#object/sent_email__v/VBL000000037373", "SE-001444173")</f>
        <v>SE-001444173</v>
      </c>
      <c r="F5298" s="25">
        <v>46219.333622685182</v>
      </c>
      <c r="G5298" s="24">
        <v>1</v>
      </c>
      <c r="H5298" s="24">
        <v>1</v>
      </c>
      <c r="I5298" s="24">
        <v>1</v>
      </c>
      <c r="J5298" s="25">
        <v>46219.333680555559</v>
      </c>
      <c r="K5298" s="24">
        <v>3</v>
      </c>
      <c r="L5298" s="22" t="str">
        <f>HYPERLINK("https://otsuka-europe-crm.veevavault.com/ui/#object/approved_document__v/V5O00000001W001", "INA VAE DE – Zulassung INAQOVI Venetoclax")</f>
        <v>INA VAE DE – Zulassung INAQOVI Venetoclax</v>
      </c>
      <c r="M5298" s="22" t="str">
        <f>HYPERLINK("mailto:sannowsky@crm.otsuka-europe.com", "sannowsky@crm.otsuka-europe.com")</f>
        <v>sannowsky@crm.otsuka-europe.com</v>
      </c>
      <c r="N5298" s="25">
        <v>46219.33357638889</v>
      </c>
      <c r="O5298" s="14" t="str">
        <f>HYPERLINK("https://otsuka-europe-crm.veevavault.com/ui/#object/email_activity__v/V8C000000049845", "EN-002106551")</f>
        <v>EN-002106551</v>
      </c>
    </row>
    <row r="5299" spans="1:15" ht="16" x14ac:dyDescent="0.2">
      <c r="A5299" s="26"/>
      <c r="B5299" s="26"/>
      <c r="C5299" s="26"/>
      <c r="D5299" s="26"/>
      <c r="E5299" s="26"/>
      <c r="F5299" s="26"/>
      <c r="G5299" s="26"/>
      <c r="H5299" s="26"/>
      <c r="I5299" s="26"/>
      <c r="J5299" s="26"/>
      <c r="K5299" s="26"/>
      <c r="L5299" s="26"/>
      <c r="M5299" s="26"/>
      <c r="N5299" s="26"/>
      <c r="O5299" s="14" t="str">
        <f>HYPERLINK("https://otsuka-europe-crm.veevavault.com/ui/#object/email_activity__v/V8C00000004A837", "EN-002106549")</f>
        <v>EN-002106549</v>
      </c>
    </row>
    <row r="5300" spans="1:15" ht="16" x14ac:dyDescent="0.2">
      <c r="A5300" s="26"/>
      <c r="B5300" s="26"/>
      <c r="C5300" s="26"/>
      <c r="D5300" s="26"/>
      <c r="E5300" s="26"/>
      <c r="F5300" s="26"/>
      <c r="G5300" s="26"/>
      <c r="H5300" s="26"/>
      <c r="I5300" s="26"/>
      <c r="J5300" s="26"/>
      <c r="K5300" s="26"/>
      <c r="L5300" s="26"/>
      <c r="M5300" s="26"/>
      <c r="N5300" s="26"/>
      <c r="O5300" s="14" t="str">
        <f>HYPERLINK("https://otsuka-europe-crm.veevavault.com/ui/#object/email_activity__v/V8C00000004A838", "EN-002106547")</f>
        <v>EN-002106547</v>
      </c>
    </row>
    <row r="5301" spans="1:15" ht="16" x14ac:dyDescent="0.2">
      <c r="A5301" s="26"/>
      <c r="B5301" s="26"/>
      <c r="C5301" s="26"/>
      <c r="D5301" s="26"/>
      <c r="E5301" s="26"/>
      <c r="F5301" s="26"/>
      <c r="G5301" s="26"/>
      <c r="H5301" s="26"/>
      <c r="I5301" s="26"/>
      <c r="J5301" s="26"/>
      <c r="K5301" s="26"/>
      <c r="L5301" s="26"/>
      <c r="M5301" s="26"/>
      <c r="N5301" s="26"/>
      <c r="O5301" s="14" t="str">
        <f>HYPERLINK("https://otsuka-europe-crm.veevavault.com/ui/#object/email_activity__v/V8C00000004A839", "EN-002106548")</f>
        <v>EN-002106548</v>
      </c>
    </row>
    <row r="5302" spans="1:15" ht="16" x14ac:dyDescent="0.2">
      <c r="A5302" s="19"/>
      <c r="B5302" s="19"/>
      <c r="C5302" s="19"/>
      <c r="D5302" s="19"/>
      <c r="E5302" s="19"/>
      <c r="F5302" s="19"/>
      <c r="G5302" s="19"/>
      <c r="H5302" s="19"/>
      <c r="I5302" s="19"/>
      <c r="J5302" s="19"/>
      <c r="K5302" s="19"/>
      <c r="L5302" s="19"/>
      <c r="M5302" s="19"/>
      <c r="N5302" s="19"/>
      <c r="O5302" s="14" t="str">
        <f>HYPERLINK("https://otsuka-europe-crm.veevavault.com/ui/#object/email_activity__v/V8C00000004A840", "EN-002106550")</f>
        <v>EN-002106550</v>
      </c>
    </row>
    <row r="5303" spans="1:15" ht="16" x14ac:dyDescent="0.2">
      <c r="A5303" s="18" t="str">
        <f>HYPERLINK("https://otsuka-europe-crm.veevavault.com/ui/#object/account__v/V4TZ06G6OBI6450", "Florian Prims")</f>
        <v>Florian Prims</v>
      </c>
      <c r="B5303" s="18" t="str">
        <f>HYPERLINK("https://otsuka-europe-crm.veevavault.com/ui/#object/vcountry__v/VENZ000004SONFP", "DE")</f>
        <v>DE</v>
      </c>
      <c r="C5303" s="20" t="s">
        <v>43</v>
      </c>
      <c r="D5303" s="21" t="str">
        <f>HYPERLINK("https://otsuka-europe-crm.veevavault.com/ui/#object/approved_document__v/V5O00000001W001", "INA VAE DE – Zulassung INAQOVI Venetoclax")</f>
        <v>INA VAE DE – Zulassung INAQOVI Venetoclax</v>
      </c>
      <c r="E5303" s="22" t="str">
        <f>HYPERLINK("https://otsuka-europe-crm.veevavault.com/ui/#object/sent_email__v/VBL000000037374", "SE-001444174")</f>
        <v>SE-001444174</v>
      </c>
      <c r="F5303" s="25">
        <v>46219.333749999998</v>
      </c>
      <c r="G5303" s="24">
        <v>1</v>
      </c>
      <c r="H5303" s="24">
        <v>1</v>
      </c>
      <c r="I5303" s="24">
        <v>0</v>
      </c>
      <c r="J5303" s="23"/>
      <c r="K5303" s="24">
        <v>0</v>
      </c>
      <c r="L5303" s="22" t="str">
        <f>HYPERLINK("https://otsuka-europe-crm.veevavault.com/ui/#object/approved_document__v/V5O00000001W001", "INA VAE DE – Zulassung INAQOVI Venetoclax")</f>
        <v>INA VAE DE – Zulassung INAQOVI Venetoclax</v>
      </c>
      <c r="M5303" s="22" t="str">
        <f>HYPERLINK("mailto:sannowsky@crm.otsuka-europe.com", "sannowsky@crm.otsuka-europe.com")</f>
        <v>sannowsky@crm.otsuka-europe.com</v>
      </c>
      <c r="N5303" s="25">
        <v>46219.333564814813</v>
      </c>
      <c r="O5303" s="14" t="str">
        <f>HYPERLINK("https://otsuka-europe-crm.veevavault.com/ui/#object/email_activity__v/V8C00000004A841", "EN-002106552")</f>
        <v>EN-002106552</v>
      </c>
    </row>
    <row r="5304" spans="1:15" ht="16" x14ac:dyDescent="0.2">
      <c r="A5304" s="19"/>
      <c r="B5304" s="19"/>
      <c r="C5304" s="19"/>
      <c r="D5304" s="19"/>
      <c r="E5304" s="19"/>
      <c r="F5304" s="19"/>
      <c r="G5304" s="19"/>
      <c r="H5304" s="19"/>
      <c r="I5304" s="19"/>
      <c r="J5304" s="19"/>
      <c r="K5304" s="19"/>
      <c r="L5304" s="19"/>
      <c r="M5304" s="19"/>
      <c r="N5304" s="19"/>
      <c r="O5304" s="14" t="str">
        <f>HYPERLINK("https://otsuka-europe-crm.veevavault.com/ui/#object/email_activity__v/V8C00000004A842", "EN-002106553")</f>
        <v>EN-002106553</v>
      </c>
    </row>
    <row r="5305" spans="1:15" ht="16" x14ac:dyDescent="0.2">
      <c r="A5305" s="18" t="str">
        <f>HYPERLINK("https://otsuka-europe-crm.veevavault.com/ui/#object/account__v/V4TZ00000634XEM", "Beatrix Rebmann")</f>
        <v>Beatrix Rebmann</v>
      </c>
      <c r="B5305" s="18" t="str">
        <f>HYPERLINK("https://otsuka-europe-crm.veevavault.com/ui/#object/vcountry__v/VENZ000004SONFP", "DE")</f>
        <v>DE</v>
      </c>
      <c r="C5305" s="20" t="s">
        <v>43</v>
      </c>
      <c r="D5305" s="21" t="str">
        <f>HYPERLINK("https://otsuka-europe-crm.veevavault.com/ui/#object/approved_document__v/V5O00000001W001", "INA VAE DE – Zulassung INAQOVI Venetoclax")</f>
        <v>INA VAE DE – Zulassung INAQOVI Venetoclax</v>
      </c>
      <c r="E5305" s="22" t="str">
        <f>HYPERLINK("https://otsuka-europe-crm.veevavault.com/ui/#object/sent_email__v/VBL000000037375", "SE-001444175")</f>
        <v>SE-001444175</v>
      </c>
      <c r="F5305" s="25">
        <v>46237.551076388889</v>
      </c>
      <c r="G5305" s="24">
        <v>1</v>
      </c>
      <c r="H5305" s="24">
        <v>1</v>
      </c>
      <c r="I5305" s="24">
        <v>0</v>
      </c>
      <c r="J5305" s="23"/>
      <c r="K5305" s="24">
        <v>0</v>
      </c>
      <c r="L5305" s="22" t="str">
        <f>HYPERLINK("https://otsuka-europe-crm.veevavault.com/ui/#object/approved_document__v/V5O00000001W001", "INA VAE DE – Zulassung INAQOVI Venetoclax")</f>
        <v>INA VAE DE – Zulassung INAQOVI Venetoclax</v>
      </c>
      <c r="M5305" s="22" t="str">
        <f>HYPERLINK("mailto:sannowsky@crm.otsuka-europe.com", "sannowsky@crm.otsuka-europe.com")</f>
        <v>sannowsky@crm.otsuka-europe.com</v>
      </c>
      <c r="N5305" s="25">
        <v>46219.333877314813</v>
      </c>
      <c r="O5305" s="14" t="str">
        <f>HYPERLINK("https://otsuka-europe-crm.veevavault.com/ui/#object/email_activity__v/V8C00000004A844", "EN-002106555")</f>
        <v>EN-002106555</v>
      </c>
    </row>
    <row r="5306" spans="1:15" ht="16" x14ac:dyDescent="0.2">
      <c r="A5306" s="19"/>
      <c r="B5306" s="19"/>
      <c r="C5306" s="19"/>
      <c r="D5306" s="19"/>
      <c r="E5306" s="19"/>
      <c r="F5306" s="19"/>
      <c r="G5306" s="19"/>
      <c r="H5306" s="19"/>
      <c r="I5306" s="19"/>
      <c r="J5306" s="19"/>
      <c r="K5306" s="19"/>
      <c r="L5306" s="19"/>
      <c r="M5306" s="19"/>
      <c r="N5306" s="19"/>
      <c r="O5306" s="14" t="str">
        <f>HYPERLINK("https://otsuka-europe-crm.veevavault.com/ui/#object/email_activity__v/V8C00000004I151", "EN-002111320")</f>
        <v>EN-002111320</v>
      </c>
    </row>
    <row r="5307" spans="1:15" ht="32" x14ac:dyDescent="0.2">
      <c r="A5307" s="7" t="str">
        <f>HYPERLINK("https://otsuka-europe-crm.veevavault.com/ui/#object/account__v/V4TZ06G6OBI6BGU", "Jörn Rüssel")</f>
        <v>Jörn Rüssel</v>
      </c>
      <c r="B5307" s="7" t="str">
        <f>HYPERLINK("https://otsuka-europe-crm.veevavault.com/ui/#object/vcountry__v/VENZ000004SONFP", "DE")</f>
        <v>DE</v>
      </c>
      <c r="C5307" s="8" t="s">
        <v>43</v>
      </c>
      <c r="D5307" s="9" t="str">
        <f>HYPERLINK("https://otsuka-europe-crm.veevavault.com/ui/#object/approved_document__v/V5O00000001W001", "INA VAE DE – Zulassung INAQOVI Venetoclax")</f>
        <v>INA VAE DE – Zulassung INAQOVI Venetoclax</v>
      </c>
      <c r="E5307" s="10" t="str">
        <f>HYPERLINK("https://otsuka-europe-crm.veevavault.com/ui/#object/sent_email__v/VBL000000038312", "SE-001444176")</f>
        <v>SE-001444176</v>
      </c>
      <c r="F5307" s="11"/>
      <c r="G5307" s="12">
        <v>0</v>
      </c>
      <c r="H5307" s="12">
        <v>0</v>
      </c>
      <c r="I5307" s="12">
        <v>0</v>
      </c>
      <c r="J5307" s="11"/>
      <c r="K5307" s="12">
        <v>0</v>
      </c>
      <c r="L5307" s="10" t="str">
        <f>HYPERLINK("https://otsuka-europe-crm.veevavault.com/ui/#object/approved_document__v/V5O00000001W001", "INA VAE DE – Zulassung INAQOVI Venetoclax")</f>
        <v>INA VAE DE – Zulassung INAQOVI Venetoclax</v>
      </c>
      <c r="M5307" s="10" t="str">
        <f>HYPERLINK("mailto:sannowsky@crm.otsuka-europe.com", "sannowsky@crm.otsuka-europe.com")</f>
        <v>sannowsky@crm.otsuka-europe.com</v>
      </c>
      <c r="N5307" s="13">
        <v>46219.333958333336</v>
      </c>
      <c r="O5307" s="14" t="str">
        <f>HYPERLINK("https://otsuka-europe-crm.veevavault.com/ui/#object/email_activity__v/V8C00000004A843", "EN-002106554")</f>
        <v>EN-002106554</v>
      </c>
    </row>
    <row r="5308" spans="1:15" ht="32" x14ac:dyDescent="0.2">
      <c r="A5308" s="7" t="str">
        <f>HYPERLINK("https://otsuka-europe-crm.veevavault.com/ui/#object/account__v/V4TZ00000634YXP", "Claus-Peter Schneider")</f>
        <v>Claus-Peter Schneider</v>
      </c>
      <c r="B5308" s="7" t="str">
        <f>HYPERLINK("https://otsuka-europe-crm.veevavault.com/ui/#object/vcountry__v/VENZ000004SONFP", "DE")</f>
        <v>DE</v>
      </c>
      <c r="C5308" s="8" t="s">
        <v>43</v>
      </c>
      <c r="D5308" s="9" t="str">
        <f>HYPERLINK("https://otsuka-europe-crm.veevavault.com/ui/#object/approved_document__v/V5O00000001W001", "INA VAE DE – Zulassung INAQOVI Venetoclax")</f>
        <v>INA VAE DE – Zulassung INAQOVI Venetoclax</v>
      </c>
      <c r="E5308" s="10" t="str">
        <f>HYPERLINK("https://otsuka-europe-crm.veevavault.com/ui/#object/sent_email__v/VBL000000037376", "SE-001444177")</f>
        <v>SE-001444177</v>
      </c>
      <c r="F5308" s="11"/>
      <c r="G5308" s="12">
        <v>0</v>
      </c>
      <c r="H5308" s="12">
        <v>0</v>
      </c>
      <c r="I5308" s="12">
        <v>0</v>
      </c>
      <c r="J5308" s="11"/>
      <c r="K5308" s="12">
        <v>0</v>
      </c>
      <c r="L5308" s="10" t="str">
        <f>HYPERLINK("https://otsuka-europe-crm.veevavault.com/ui/#object/approved_document__v/V5O00000001W001", "INA VAE DE – Zulassung INAQOVI Venetoclax")</f>
        <v>INA VAE DE – Zulassung INAQOVI Venetoclax</v>
      </c>
      <c r="M5308" s="10" t="str">
        <f>HYPERLINK("mailto:sannowsky@crm.otsuka-europe.com", "sannowsky@crm.otsuka-europe.com")</f>
        <v>sannowsky@crm.otsuka-europe.com</v>
      </c>
      <c r="N5308" s="13">
        <v>46219.334224537037</v>
      </c>
      <c r="O5308" s="14" t="str">
        <f>HYPERLINK("https://otsuka-europe-crm.veevavault.com/ui/#object/email_activity__v/V8C000000049880", "EN-002106636")</f>
        <v>EN-002106636</v>
      </c>
    </row>
    <row r="5309" spans="1:15" ht="16" x14ac:dyDescent="0.2">
      <c r="A5309" s="18" t="str">
        <f>HYPERLINK("https://otsuka-europe-crm.veevavault.com/ui/#object/account__v/V4TZ06G6OBI638P", "Susann Schulze")</f>
        <v>Susann Schulze</v>
      </c>
      <c r="B5309" s="18" t="str">
        <f>HYPERLINK("https://otsuka-europe-crm.veevavault.com/ui/#object/vcountry__v/VENZ000004SONFP", "DE")</f>
        <v>DE</v>
      </c>
      <c r="C5309" s="20" t="s">
        <v>43</v>
      </c>
      <c r="D5309" s="21" t="str">
        <f>HYPERLINK("https://otsuka-europe-crm.veevavault.com/ui/#object/approved_document__v/V5O00000001W001", "INA VAE DE – Zulassung INAQOVI Venetoclax")</f>
        <v>INA VAE DE – Zulassung INAQOVI Venetoclax</v>
      </c>
      <c r="E5309" s="22" t="str">
        <f>HYPERLINK("https://otsuka-europe-crm.veevavault.com/ui/#object/sent_email__v/VBL000000037377", "SE-001444178")</f>
        <v>SE-001444178</v>
      </c>
      <c r="F5309" s="25">
        <v>46219.371817129628</v>
      </c>
      <c r="G5309" s="24">
        <v>1</v>
      </c>
      <c r="H5309" s="24">
        <v>1</v>
      </c>
      <c r="I5309" s="24">
        <v>0</v>
      </c>
      <c r="J5309" s="23"/>
      <c r="K5309" s="24">
        <v>0</v>
      </c>
      <c r="L5309" s="22" t="str">
        <f>HYPERLINK("https://otsuka-europe-crm.veevavault.com/ui/#object/approved_document__v/V5O00000001W001", "INA VAE DE – Zulassung INAQOVI Venetoclax")</f>
        <v>INA VAE DE – Zulassung INAQOVI Venetoclax</v>
      </c>
      <c r="M5309" s="22" t="str">
        <f>HYPERLINK("mailto:sannowsky@crm.otsuka-europe.com", "sannowsky@crm.otsuka-europe.com")</f>
        <v>sannowsky@crm.otsuka-europe.com</v>
      </c>
      <c r="N5309" s="25">
        <v>46219.334328703706</v>
      </c>
      <c r="O5309" s="14" t="str">
        <f>HYPERLINK("https://otsuka-europe-crm.veevavault.com/ui/#object/email_activity__v/V8C00000004A845", "EN-002106556")</f>
        <v>EN-002106556</v>
      </c>
    </row>
    <row r="5310" spans="1:15" ht="16" x14ac:dyDescent="0.2">
      <c r="A5310" s="19"/>
      <c r="B5310" s="19"/>
      <c r="C5310" s="19"/>
      <c r="D5310" s="19"/>
      <c r="E5310" s="19"/>
      <c r="F5310" s="19"/>
      <c r="G5310" s="19"/>
      <c r="H5310" s="19"/>
      <c r="I5310" s="19"/>
      <c r="J5310" s="19"/>
      <c r="K5310" s="19"/>
      <c r="L5310" s="19"/>
      <c r="M5310" s="19"/>
      <c r="N5310" s="19"/>
      <c r="O5310" s="14" t="str">
        <f>HYPERLINK("https://otsuka-europe-crm.veevavault.com/ui/#object/email_activity__v/V8C00000004A860", "EN-002106577")</f>
        <v>EN-002106577</v>
      </c>
    </row>
    <row r="5311" spans="1:15" ht="16" x14ac:dyDescent="0.2">
      <c r="A5311" s="18" t="str">
        <f>HYPERLINK("https://otsuka-europe-crm.veevavault.com/ui/#object/account__v/V4TZ00000634Z4K", "Andreas Schwarzer")</f>
        <v>Andreas Schwarzer</v>
      </c>
      <c r="B5311" s="18" t="str">
        <f>HYPERLINK("https://otsuka-europe-crm.veevavault.com/ui/#object/vcountry__v/VENZ000004SONFP", "DE")</f>
        <v>DE</v>
      </c>
      <c r="C5311" s="20" t="s">
        <v>43</v>
      </c>
      <c r="D5311" s="21" t="str">
        <f>HYPERLINK("https://otsuka-europe-crm.veevavault.com/ui/#object/approved_document__v/V5O00000001W001", "INA VAE DE – Zulassung INAQOVI Venetoclax")</f>
        <v>INA VAE DE – Zulassung INAQOVI Venetoclax</v>
      </c>
      <c r="E5311" s="22" t="str">
        <f>HYPERLINK("https://otsuka-europe-crm.veevavault.com/ui/#object/sent_email__v/VBL000000037378", "SE-001444179")</f>
        <v>SE-001444179</v>
      </c>
      <c r="F5311" s="25">
        <v>46222.669571759259</v>
      </c>
      <c r="G5311" s="24">
        <v>1</v>
      </c>
      <c r="H5311" s="24">
        <v>4</v>
      </c>
      <c r="I5311" s="24">
        <v>0</v>
      </c>
      <c r="J5311" s="23"/>
      <c r="K5311" s="24">
        <v>0</v>
      </c>
      <c r="L5311" s="22" t="str">
        <f>HYPERLINK("https://otsuka-europe-crm.veevavault.com/ui/#object/approved_document__v/V5O00000001W001", "INA VAE DE – Zulassung INAQOVI Venetoclax")</f>
        <v>INA VAE DE – Zulassung INAQOVI Venetoclax</v>
      </c>
      <c r="M5311" s="22" t="str">
        <f>HYPERLINK("mailto:sannowsky@crm.otsuka-europe.com", "sannowsky@crm.otsuka-europe.com")</f>
        <v>sannowsky@crm.otsuka-europe.com</v>
      </c>
      <c r="N5311" s="25">
        <v>46219.334560185183</v>
      </c>
      <c r="O5311" s="14" t="str">
        <f>HYPERLINK("https://otsuka-europe-crm.veevavault.com/ui/#object/email_activity__v/V8C000000049851", "EN-002106576")</f>
        <v>EN-002106576</v>
      </c>
    </row>
    <row r="5312" spans="1:15" ht="16" x14ac:dyDescent="0.2">
      <c r="A5312" s="26"/>
      <c r="B5312" s="26"/>
      <c r="C5312" s="26"/>
      <c r="D5312" s="26"/>
      <c r="E5312" s="26"/>
      <c r="F5312" s="26"/>
      <c r="G5312" s="26"/>
      <c r="H5312" s="26"/>
      <c r="I5312" s="26"/>
      <c r="J5312" s="26"/>
      <c r="K5312" s="26"/>
      <c r="L5312" s="26"/>
      <c r="M5312" s="26"/>
      <c r="N5312" s="26"/>
      <c r="O5312" s="14" t="str">
        <f>HYPERLINK("https://otsuka-europe-crm.veevavault.com/ui/#object/email_activity__v/V8C000000049869", "EN-002106612")</f>
        <v>EN-002106612</v>
      </c>
    </row>
    <row r="5313" spans="1:15" ht="16" x14ac:dyDescent="0.2">
      <c r="A5313" s="26"/>
      <c r="B5313" s="26"/>
      <c r="C5313" s="26"/>
      <c r="D5313" s="26"/>
      <c r="E5313" s="26"/>
      <c r="F5313" s="26"/>
      <c r="G5313" s="26"/>
      <c r="H5313" s="26"/>
      <c r="I5313" s="26"/>
      <c r="J5313" s="26"/>
      <c r="K5313" s="26"/>
      <c r="L5313" s="26"/>
      <c r="M5313" s="26"/>
      <c r="N5313" s="26"/>
      <c r="O5313" s="14" t="str">
        <f>HYPERLINK("https://otsuka-europe-crm.veevavault.com/ui/#object/email_activity__v/V8C00000004A847", "EN-002106558")</f>
        <v>EN-002106558</v>
      </c>
    </row>
    <row r="5314" spans="1:15" ht="16" x14ac:dyDescent="0.2">
      <c r="A5314" s="26"/>
      <c r="B5314" s="26"/>
      <c r="C5314" s="26"/>
      <c r="D5314" s="26"/>
      <c r="E5314" s="26"/>
      <c r="F5314" s="26"/>
      <c r="G5314" s="26"/>
      <c r="H5314" s="26"/>
      <c r="I5314" s="26"/>
      <c r="J5314" s="26"/>
      <c r="K5314" s="26"/>
      <c r="L5314" s="26"/>
      <c r="M5314" s="26"/>
      <c r="N5314" s="26"/>
      <c r="O5314" s="14" t="str">
        <f>HYPERLINK("https://otsuka-europe-crm.veevavault.com/ui/#object/email_activity__v/V8C00000004A851", "EN-002106562")</f>
        <v>EN-002106562</v>
      </c>
    </row>
    <row r="5315" spans="1:15" ht="16" x14ac:dyDescent="0.2">
      <c r="A5315" s="26"/>
      <c r="B5315" s="26"/>
      <c r="C5315" s="26"/>
      <c r="D5315" s="26"/>
      <c r="E5315" s="26"/>
      <c r="F5315" s="26"/>
      <c r="G5315" s="26"/>
      <c r="H5315" s="26"/>
      <c r="I5315" s="26"/>
      <c r="J5315" s="26"/>
      <c r="K5315" s="26"/>
      <c r="L5315" s="26"/>
      <c r="M5315" s="26"/>
      <c r="N5315" s="26"/>
      <c r="O5315" s="14" t="str">
        <f>HYPERLINK("https://otsuka-europe-crm.veevavault.com/ui/#object/email_activity__v/V8C00000004A856", "EN-002106567")</f>
        <v>EN-002106567</v>
      </c>
    </row>
    <row r="5316" spans="1:15" ht="16" x14ac:dyDescent="0.2">
      <c r="A5316" s="26"/>
      <c r="B5316" s="26"/>
      <c r="C5316" s="26"/>
      <c r="D5316" s="26"/>
      <c r="E5316" s="26"/>
      <c r="F5316" s="26"/>
      <c r="G5316" s="26"/>
      <c r="H5316" s="26"/>
      <c r="I5316" s="26"/>
      <c r="J5316" s="26"/>
      <c r="K5316" s="26"/>
      <c r="L5316" s="26"/>
      <c r="M5316" s="26"/>
      <c r="N5316" s="26"/>
      <c r="O5316" s="14" t="str">
        <f>HYPERLINK("https://otsuka-europe-crm.veevavault.com/ui/#object/email_activity__v/V8C00000004C073", "EN-002106898")</f>
        <v>EN-002106898</v>
      </c>
    </row>
    <row r="5317" spans="1:15" ht="16" x14ac:dyDescent="0.2">
      <c r="A5317" s="26"/>
      <c r="B5317" s="26"/>
      <c r="C5317" s="26"/>
      <c r="D5317" s="26"/>
      <c r="E5317" s="26"/>
      <c r="F5317" s="26"/>
      <c r="G5317" s="26"/>
      <c r="H5317" s="26"/>
      <c r="I5317" s="26"/>
      <c r="J5317" s="26"/>
      <c r="K5317" s="26"/>
      <c r="L5317" s="26"/>
      <c r="M5317" s="26"/>
      <c r="N5317" s="26"/>
      <c r="O5317" s="14" t="str">
        <f>HYPERLINK("https://otsuka-europe-crm.veevavault.com/ui/#object/email_activity__v/V8C00000004C158", "EN-002107126")</f>
        <v>EN-002107126</v>
      </c>
    </row>
    <row r="5318" spans="1:15" ht="16" x14ac:dyDescent="0.2">
      <c r="A5318" s="26"/>
      <c r="B5318" s="26"/>
      <c r="C5318" s="26"/>
      <c r="D5318" s="26"/>
      <c r="E5318" s="26"/>
      <c r="F5318" s="26"/>
      <c r="G5318" s="26"/>
      <c r="H5318" s="26"/>
      <c r="I5318" s="26"/>
      <c r="J5318" s="26"/>
      <c r="K5318" s="26"/>
      <c r="L5318" s="26"/>
      <c r="M5318" s="26"/>
      <c r="N5318" s="26"/>
      <c r="O5318" s="14" t="str">
        <f>HYPERLINK("https://otsuka-europe-crm.veevavault.com/ui/#object/email_activity__v/V8C00000004C174", "EN-002107153")</f>
        <v>EN-002107153</v>
      </c>
    </row>
    <row r="5319" spans="1:15" ht="16" x14ac:dyDescent="0.2">
      <c r="A5319" s="26"/>
      <c r="B5319" s="26"/>
      <c r="C5319" s="26"/>
      <c r="D5319" s="26"/>
      <c r="E5319" s="26"/>
      <c r="F5319" s="26"/>
      <c r="G5319" s="26"/>
      <c r="H5319" s="26"/>
      <c r="I5319" s="26"/>
      <c r="J5319" s="26"/>
      <c r="K5319" s="26"/>
      <c r="L5319" s="26"/>
      <c r="M5319" s="26"/>
      <c r="N5319" s="26"/>
      <c r="O5319" s="14" t="str">
        <f>HYPERLINK("https://otsuka-europe-crm.veevavault.com/ui/#object/email_activity__v/V8C00000004C175", "EN-002107155")</f>
        <v>EN-002107155</v>
      </c>
    </row>
    <row r="5320" spans="1:15" ht="16" x14ac:dyDescent="0.2">
      <c r="A5320" s="19"/>
      <c r="B5320" s="19"/>
      <c r="C5320" s="19"/>
      <c r="D5320" s="19"/>
      <c r="E5320" s="19"/>
      <c r="F5320" s="19"/>
      <c r="G5320" s="19"/>
      <c r="H5320" s="19"/>
      <c r="I5320" s="19"/>
      <c r="J5320" s="19"/>
      <c r="K5320" s="19"/>
      <c r="L5320" s="19"/>
      <c r="M5320" s="19"/>
      <c r="N5320" s="19"/>
      <c r="O5320" s="14" t="str">
        <f>HYPERLINK("https://otsuka-europe-crm.veevavault.com/ui/#object/email_activity__v/V8C00000004C176", "EN-002107156")</f>
        <v>EN-002107156</v>
      </c>
    </row>
    <row r="5321" spans="1:15" ht="32" x14ac:dyDescent="0.2">
      <c r="A5321" s="7" t="str">
        <f>HYPERLINK("https://otsuka-europe-crm.veevavault.com/ui/#object/account__v/V4TZ025E88YGT6L", "Panagiotis Tsampas")</f>
        <v>Panagiotis Tsampas</v>
      </c>
      <c r="B5321" s="7" t="str">
        <f>HYPERLINK("https://otsuka-europe-crm.veevavault.com/ui/#object/vcountry__v/VENZ000004SONFP", "DE")</f>
        <v>DE</v>
      </c>
      <c r="C5321" s="8" t="s">
        <v>43</v>
      </c>
      <c r="D5321" s="9" t="str">
        <f>HYPERLINK("https://otsuka-europe-crm.veevavault.com/ui/#object/approved_document__v/V5O00000001W001", "INA VAE DE – Zulassung INAQOVI Venetoclax")</f>
        <v>INA VAE DE – Zulassung INAQOVI Venetoclax</v>
      </c>
      <c r="E5321" s="10" t="str">
        <f>HYPERLINK("https://otsuka-europe-crm.veevavault.com/ui/#object/sent_email__v/VBL000000037379", "SE-001444180")</f>
        <v>SE-001444180</v>
      </c>
      <c r="F5321" s="11"/>
      <c r="G5321" s="12">
        <v>0</v>
      </c>
      <c r="H5321" s="12">
        <v>0</v>
      </c>
      <c r="I5321" s="12">
        <v>0</v>
      </c>
      <c r="J5321" s="11"/>
      <c r="K5321" s="12">
        <v>0</v>
      </c>
      <c r="L5321" s="10" t="str">
        <f>HYPERLINK("https://otsuka-europe-crm.veevavault.com/ui/#object/approved_document__v/V5O00000001W001", "INA VAE DE – Zulassung INAQOVI Venetoclax")</f>
        <v>INA VAE DE – Zulassung INAQOVI Venetoclax</v>
      </c>
      <c r="M5321" s="10" t="str">
        <f>HYPERLINK("mailto:sannowsky@crm.otsuka-europe.com", "sannowsky@crm.otsuka-europe.com")</f>
        <v>sannowsky@crm.otsuka-europe.com</v>
      </c>
      <c r="N5321" s="13">
        <v>46219.334675925929</v>
      </c>
      <c r="O5321" s="14" t="str">
        <f>HYPERLINK("https://otsuka-europe-crm.veevavault.com/ui/#object/email_activity__v/V8C00000004A846", "EN-002106557")</f>
        <v>EN-002106557</v>
      </c>
    </row>
    <row r="5322" spans="1:15" ht="16" x14ac:dyDescent="0.2">
      <c r="A5322" s="18" t="str">
        <f>HYPERLINK("https://otsuka-europe-crm.veevavault.com/ui/#object/account__v/V4TZ00000635436", "Johannes Volk")</f>
        <v>Johannes Volk</v>
      </c>
      <c r="B5322" s="18" t="str">
        <f>HYPERLINK("https://otsuka-europe-crm.veevavault.com/ui/#object/vcountry__v/VENZ000004SONFP", "DE")</f>
        <v>DE</v>
      </c>
      <c r="C5322" s="20" t="s">
        <v>43</v>
      </c>
      <c r="D5322" s="21" t="str">
        <f>HYPERLINK("https://otsuka-europe-crm.veevavault.com/ui/#object/approved_document__v/V5O00000001W001", "INA VAE DE – Zulassung INAQOVI Venetoclax")</f>
        <v>INA VAE DE – Zulassung INAQOVI Venetoclax</v>
      </c>
      <c r="E5322" s="22" t="str">
        <f>HYPERLINK("https://otsuka-europe-crm.veevavault.com/ui/#object/sent_email__v/VBL000000038313", "SE-001444181")</f>
        <v>SE-001444181</v>
      </c>
      <c r="F5322" s="25">
        <v>46220.253252314818</v>
      </c>
      <c r="G5322" s="24">
        <v>1</v>
      </c>
      <c r="H5322" s="24">
        <v>1</v>
      </c>
      <c r="I5322" s="24">
        <v>0</v>
      </c>
      <c r="J5322" s="23"/>
      <c r="K5322" s="24">
        <v>0</v>
      </c>
      <c r="L5322" s="22" t="str">
        <f>HYPERLINK("https://otsuka-europe-crm.veevavault.com/ui/#object/approved_document__v/V5O00000001W001", "INA VAE DE – Zulassung INAQOVI Venetoclax")</f>
        <v>INA VAE DE – Zulassung INAQOVI Venetoclax</v>
      </c>
      <c r="M5322" s="22" t="str">
        <f>HYPERLINK("mailto:sannowsky@crm.otsuka-europe.com", "sannowsky@crm.otsuka-europe.com")</f>
        <v>sannowsky@crm.otsuka-europe.com</v>
      </c>
      <c r="N5322" s="25">
        <v>46219.334710648145</v>
      </c>
      <c r="O5322" s="14" t="str">
        <f>HYPERLINK("https://otsuka-europe-crm.veevavault.com/ui/#object/email_activity__v/V8C00000004A848", "EN-002106559")</f>
        <v>EN-002106559</v>
      </c>
    </row>
    <row r="5323" spans="1:15" ht="16" x14ac:dyDescent="0.2">
      <c r="A5323" s="19"/>
      <c r="B5323" s="19"/>
      <c r="C5323" s="19"/>
      <c r="D5323" s="19"/>
      <c r="E5323" s="19"/>
      <c r="F5323" s="19"/>
      <c r="G5323" s="19"/>
      <c r="H5323" s="19"/>
      <c r="I5323" s="19"/>
      <c r="J5323" s="19"/>
      <c r="K5323" s="19"/>
      <c r="L5323" s="19"/>
      <c r="M5323" s="19"/>
      <c r="N5323" s="19"/>
      <c r="O5323" s="14" t="str">
        <f>HYPERLINK("https://otsuka-europe-crm.veevavault.com/ui/#object/email_activity__v/V8C00000004B017", "EN-002106756")</f>
        <v>EN-002106756</v>
      </c>
    </row>
    <row r="5324" spans="1:15" ht="16" x14ac:dyDescent="0.2">
      <c r="A5324" s="18" t="str">
        <f>HYPERLINK("https://otsuka-europe-crm.veevavault.com/ui/#object/account__v/V4TZ0000063544U", "Matthias Wußling")</f>
        <v>Matthias Wußling</v>
      </c>
      <c r="B5324" s="18" t="str">
        <f>HYPERLINK("https://otsuka-europe-crm.veevavault.com/ui/#object/vcountry__v/VENZ000004SONFP", "DE")</f>
        <v>DE</v>
      </c>
      <c r="C5324" s="20" t="s">
        <v>43</v>
      </c>
      <c r="D5324" s="21" t="str">
        <f>HYPERLINK("https://otsuka-europe-crm.veevavault.com/ui/#object/approved_document__v/V5O00000001W001", "INA VAE DE – Zulassung INAQOVI Venetoclax")</f>
        <v>INA VAE DE – Zulassung INAQOVI Venetoclax</v>
      </c>
      <c r="E5324" s="22" t="str">
        <f>HYPERLINK("https://otsuka-europe-crm.veevavault.com/ui/#object/sent_email__v/VBL000000037380", "SE-001444182")</f>
        <v>SE-001444182</v>
      </c>
      <c r="F5324" s="25">
        <v>46219.335312499999</v>
      </c>
      <c r="G5324" s="24">
        <v>1</v>
      </c>
      <c r="H5324" s="24">
        <v>1</v>
      </c>
      <c r="I5324" s="24">
        <v>0</v>
      </c>
      <c r="J5324" s="23"/>
      <c r="K5324" s="24">
        <v>0</v>
      </c>
      <c r="L5324" s="22" t="str">
        <f>HYPERLINK("https://otsuka-europe-crm.veevavault.com/ui/#object/approved_document__v/V5O00000001W001", "INA VAE DE – Zulassung INAQOVI Venetoclax")</f>
        <v>INA VAE DE – Zulassung INAQOVI Venetoclax</v>
      </c>
      <c r="M5324" s="22" t="str">
        <f>HYPERLINK("mailto:sannowsky@crm.otsuka-europe.com", "sannowsky@crm.otsuka-europe.com")</f>
        <v>sannowsky@crm.otsuka-europe.com</v>
      </c>
      <c r="N5324" s="25">
        <v>46219.334918981483</v>
      </c>
      <c r="O5324" s="14" t="str">
        <f>HYPERLINK("https://otsuka-europe-crm.veevavault.com/ui/#object/email_activity__v/V8C00000004A850", "EN-002106561")</f>
        <v>EN-002106561</v>
      </c>
    </row>
    <row r="5325" spans="1:15" ht="16" x14ac:dyDescent="0.2">
      <c r="A5325" s="26"/>
      <c r="B5325" s="26"/>
      <c r="C5325" s="26"/>
      <c r="D5325" s="26"/>
      <c r="E5325" s="26"/>
      <c r="F5325" s="26"/>
      <c r="G5325" s="26"/>
      <c r="H5325" s="26"/>
      <c r="I5325" s="26"/>
      <c r="J5325" s="26"/>
      <c r="K5325" s="26"/>
      <c r="L5325" s="26"/>
      <c r="M5325" s="26"/>
      <c r="N5325" s="26"/>
      <c r="O5325" s="14" t="str">
        <f>HYPERLINK("https://otsuka-europe-crm.veevavault.com/ui/#object/email_activity__v/V8C00000004A852", "EN-002106563")</f>
        <v>EN-002106563</v>
      </c>
    </row>
    <row r="5326" spans="1:15" ht="16" x14ac:dyDescent="0.2">
      <c r="A5326" s="19"/>
      <c r="B5326" s="19"/>
      <c r="C5326" s="19"/>
      <c r="D5326" s="19"/>
      <c r="E5326" s="19"/>
      <c r="F5326" s="19"/>
      <c r="G5326" s="19"/>
      <c r="H5326" s="19"/>
      <c r="I5326" s="19"/>
      <c r="J5326" s="19"/>
      <c r="K5326" s="19"/>
      <c r="L5326" s="19"/>
      <c r="M5326" s="19"/>
      <c r="N5326" s="19"/>
      <c r="O5326" s="14" t="str">
        <f>HYPERLINK("https://otsuka-europe-crm.veevavault.com/ui/#object/email_activity__v/V8C00000004B002", "EN-002106731")</f>
        <v>EN-002106731</v>
      </c>
    </row>
    <row r="5327" spans="1:15" ht="32" x14ac:dyDescent="0.2">
      <c r="A5327" s="7" t="str">
        <f>HYPERLINK("https://otsuka-europe-crm.veevavault.com/ui/#object/account__v/V4TZ06G6OBI69JP", "Olaposi Yomade")</f>
        <v>Olaposi Yomade</v>
      </c>
      <c r="B5327" s="7" t="str">
        <f>HYPERLINK("https://otsuka-europe-crm.veevavault.com/ui/#object/vcountry__v/VENZ000004SONFP", "DE")</f>
        <v>DE</v>
      </c>
      <c r="C5327" s="8" t="s">
        <v>43</v>
      </c>
      <c r="D5327" s="9" t="str">
        <f>HYPERLINK("https://otsuka-europe-crm.veevavault.com/ui/#object/approved_document__v/V5O00000001W001", "INA VAE DE – Zulassung INAQOVI Venetoclax")</f>
        <v>INA VAE DE – Zulassung INAQOVI Venetoclax</v>
      </c>
      <c r="E5327" s="10" t="str">
        <f>HYPERLINK("https://otsuka-europe-crm.veevavault.com/ui/#object/sent_email__v/VBL000000037381", "SE-001444183")</f>
        <v>SE-001444183</v>
      </c>
      <c r="F5327" s="11"/>
      <c r="G5327" s="12">
        <v>0</v>
      </c>
      <c r="H5327" s="12">
        <v>0</v>
      </c>
      <c r="I5327" s="12">
        <v>0</v>
      </c>
      <c r="J5327" s="11"/>
      <c r="K5327" s="12">
        <v>0</v>
      </c>
      <c r="L5327" s="10" t="str">
        <f>HYPERLINK("https://otsuka-europe-crm.veevavault.com/ui/#object/approved_document__v/V5O00000001W001", "INA VAE DE – Zulassung INAQOVI Venetoclax")</f>
        <v>INA VAE DE – Zulassung INAQOVI Venetoclax</v>
      </c>
      <c r="M5327" s="10" t="str">
        <f>HYPERLINK("mailto:sannowsky@crm.otsuka-europe.com", "sannowsky@crm.otsuka-europe.com")</f>
        <v>sannowsky@crm.otsuka-europe.com</v>
      </c>
      <c r="N5327" s="13">
        <v>46219.335081018522</v>
      </c>
      <c r="O5327" s="14" t="str">
        <f>HYPERLINK("https://otsuka-europe-crm.veevavault.com/ui/#object/email_activity__v/V8C00000004A849", "EN-002106560")</f>
        <v>EN-002106560</v>
      </c>
    </row>
    <row r="5328" spans="1:15" ht="32" x14ac:dyDescent="0.2">
      <c r="A5328" s="7" t="str">
        <f>HYPERLINK("https://otsuka-europe-crm.veevavault.com/ui/#object/account__v/V4TZ000006354A4", "Thomas Zehrfeld")</f>
        <v>Thomas Zehrfeld</v>
      </c>
      <c r="B5328" s="7" t="str">
        <f>HYPERLINK("https://otsuka-europe-crm.veevavault.com/ui/#object/vcountry__v/VENZ000004SONFP", "DE")</f>
        <v>DE</v>
      </c>
      <c r="C5328" s="8" t="s">
        <v>43</v>
      </c>
      <c r="D5328" s="9" t="str">
        <f>HYPERLINK("https://otsuka-europe-crm.veevavault.com/ui/#object/approved_document__v/V5O00000001W001", "INA VAE DE – Zulassung INAQOVI Venetoclax")</f>
        <v>INA VAE DE – Zulassung INAQOVI Venetoclax</v>
      </c>
      <c r="E5328" s="10" t="str">
        <f>HYPERLINK("https://otsuka-europe-crm.veevavault.com/ui/#object/sent_email__v/VBL000000038314", "SE-001444184")</f>
        <v>SE-001444184</v>
      </c>
      <c r="F5328" s="11"/>
      <c r="G5328" s="12">
        <v>0</v>
      </c>
      <c r="H5328" s="12">
        <v>0</v>
      </c>
      <c r="I5328" s="12">
        <v>0</v>
      </c>
      <c r="J5328" s="11"/>
      <c r="K5328" s="12">
        <v>0</v>
      </c>
      <c r="L5328" s="10" t="str">
        <f>HYPERLINK("https://otsuka-europe-crm.veevavault.com/ui/#object/approved_document__v/V5O00000001W001", "INA VAE DE – Zulassung INAQOVI Venetoclax")</f>
        <v>INA VAE DE – Zulassung INAQOVI Venetoclax</v>
      </c>
      <c r="M5328" s="10" t="str">
        <f>HYPERLINK("mailto:sannowsky@crm.otsuka-europe.com", "sannowsky@crm.otsuka-europe.com")</f>
        <v>sannowsky@crm.otsuka-europe.com</v>
      </c>
      <c r="N5328" s="13">
        <v>46219.335277777776</v>
      </c>
      <c r="O5328" s="14" t="str">
        <f>HYPERLINK("https://otsuka-europe-crm.veevavault.com/ui/#object/email_activity__v/V8C00000004A855", "EN-002106566")</f>
        <v>EN-002106566</v>
      </c>
    </row>
    <row r="5329" spans="1:15" ht="32" x14ac:dyDescent="0.2">
      <c r="A5329" s="7" t="str">
        <f>HYPERLINK("https://otsuka-europe-crm.veevavault.com/ui/#object/account__v/V4TZ000006354A4", "Thomas Zehrfeld")</f>
        <v>Thomas Zehrfeld</v>
      </c>
      <c r="B5329" s="7" t="str">
        <f>HYPERLINK("https://otsuka-europe-crm.veevavault.com/ui/#object/vcountry__v/VENZ000004SONFP", "DE")</f>
        <v>DE</v>
      </c>
      <c r="C5329" s="8" t="s">
        <v>43</v>
      </c>
      <c r="D5329" s="9" t="str">
        <f>HYPERLINK("https://otsuka-europe-crm.veevavault.com/ui/#object/approved_document__v/V5O00000001W001", "INA VAE DE – Zulassung INAQOVI Venetoclax")</f>
        <v>INA VAE DE – Zulassung INAQOVI Venetoclax</v>
      </c>
      <c r="E5329" s="10" t="str">
        <f>HYPERLINK("https://otsuka-europe-crm.veevavault.com/ui/#object/sent_email__v/VBL000000037382", "SE-001444185")</f>
        <v>SE-001444185</v>
      </c>
      <c r="F5329" s="11"/>
      <c r="G5329" s="12">
        <v>0</v>
      </c>
      <c r="H5329" s="12">
        <v>0</v>
      </c>
      <c r="I5329" s="12">
        <v>0</v>
      </c>
      <c r="J5329" s="11"/>
      <c r="K5329" s="12">
        <v>0</v>
      </c>
      <c r="L5329" s="10" t="str">
        <f>HYPERLINK("https://otsuka-europe-crm.veevavault.com/ui/#object/approved_document__v/V5O00000001W001", "INA VAE DE – Zulassung INAQOVI Venetoclax")</f>
        <v>INA VAE DE – Zulassung INAQOVI Venetoclax</v>
      </c>
      <c r="M5329" s="10" t="str">
        <f>HYPERLINK("mailto:sannowsky@crm.otsuka-europe.com", "sannowsky@crm.otsuka-europe.com")</f>
        <v>sannowsky@crm.otsuka-europe.com</v>
      </c>
      <c r="N5329" s="13">
        <v>46219.335277777776</v>
      </c>
      <c r="O5329" s="14" t="str">
        <f>HYPERLINK("https://otsuka-europe-crm.veevavault.com/ui/#object/email_activity__v/V8C00000004A853", "EN-002106564")</f>
        <v>EN-002106564</v>
      </c>
    </row>
    <row r="5330" spans="1:15" ht="32" x14ac:dyDescent="0.2">
      <c r="A5330" s="7" t="str">
        <f>HYPERLINK("https://otsuka-europe-crm.veevavault.com/ui/#object/account__v/V4TZ025E82R58MZ", "Maximilian Fleischmann")</f>
        <v>Maximilian Fleischmann</v>
      </c>
      <c r="B5330" s="7" t="str">
        <f>HYPERLINK("https://otsuka-europe-crm.veevavault.com/ui/#object/vcountry__v/VENZ000004SONFP", "DE")</f>
        <v>DE</v>
      </c>
      <c r="C5330" s="8" t="s">
        <v>43</v>
      </c>
      <c r="D5330" s="9" t="str">
        <f>HYPERLINK("https://otsuka-europe-crm.veevavault.com/ui/#object/approved_document__v/V5O00000001W001", "INA VAE DE – Zulassung INAQOVI Venetoclax")</f>
        <v>INA VAE DE – Zulassung INAQOVI Venetoclax</v>
      </c>
      <c r="E5330" s="10" t="str">
        <f>HYPERLINK("https://otsuka-europe-crm.veevavault.com/ui/#object/sent_email__v/VBL000000038315", "SE-001444186")</f>
        <v>SE-001444186</v>
      </c>
      <c r="F5330" s="11"/>
      <c r="G5330" s="12">
        <v>0</v>
      </c>
      <c r="H5330" s="12">
        <v>0</v>
      </c>
      <c r="I5330" s="12">
        <v>0</v>
      </c>
      <c r="J5330" s="11"/>
      <c r="K5330" s="12">
        <v>0</v>
      </c>
      <c r="L5330" s="10" t="str">
        <f>HYPERLINK("https://otsuka-europe-crm.veevavault.com/ui/#object/approved_document__v/V5O00000001W001", "INA VAE DE – Zulassung INAQOVI Venetoclax")</f>
        <v>INA VAE DE – Zulassung INAQOVI Venetoclax</v>
      </c>
      <c r="M5330" s="10" t="str">
        <f>HYPERLINK("mailto:sannowsky@crm.otsuka-europe.com", "sannowsky@crm.otsuka-europe.com")</f>
        <v>sannowsky@crm.otsuka-europe.com</v>
      </c>
      <c r="N5330" s="13">
        <v>46219.335393518515</v>
      </c>
      <c r="O5330" s="14" t="str">
        <f>HYPERLINK("https://otsuka-europe-crm.veevavault.com/ui/#object/email_activity__v/V8C00000004A854", "EN-002106565")</f>
        <v>EN-002106565</v>
      </c>
    </row>
    <row r="5331" spans="1:15" ht="32" x14ac:dyDescent="0.2">
      <c r="A5331" s="7" t="str">
        <f>HYPERLINK("https://otsuka-europe-crm.veevavault.com/ui/#object/account__v/V4T00000002F056", "LORETO JIMENEZ SEGOVIA")</f>
        <v>LORETO JIMENEZ SEGOVIA</v>
      </c>
      <c r="B5331" s="7" t="str">
        <f>HYPERLINK("https://otsuka-europe-crm.veevavault.com/ui/#object/vcountry__v/VENZ000004SONF5", "ES")</f>
        <v>ES</v>
      </c>
      <c r="C5331" s="8" t="s">
        <v>39</v>
      </c>
      <c r="D5331" s="9" t="str">
        <f>HYPERLINK("https://otsuka-europe-crm.veevavault.com/ui/#object/approved_document__v/V5O00000000D100", "Spain - Consent Email 1 Aug 25")</f>
        <v>Spain - Consent Email 1 Aug 25</v>
      </c>
      <c r="E5331" s="10" t="str">
        <f>HYPERLINK("https://otsuka-europe-crm.veevavault.com/ui/#object/sent_email__v/VBL000000037383", "SE-001444187")</f>
        <v>SE-001444187</v>
      </c>
      <c r="F5331" s="11"/>
      <c r="G5331" s="12">
        <v>0</v>
      </c>
      <c r="H5331" s="12">
        <v>0</v>
      </c>
      <c r="I5331" s="12">
        <v>0</v>
      </c>
      <c r="J5331" s="11"/>
      <c r="K5331" s="12">
        <v>0</v>
      </c>
      <c r="L5331" s="10" t="str">
        <f>HYPERLINK("https://otsuka-europe-crm.veevavault.com/ui/#object/approved_document__v/V5O00000000D100", "Spain - Consent Email 1 Aug 25")</f>
        <v>Spain - Consent Email 1 Aug 25</v>
      </c>
      <c r="M5331" s="10" t="str">
        <f>HYPERLINK("mailto:ccalero@crm.otsuka-europe.com", "ccalero@crm.otsuka-europe.com")</f>
        <v>ccalero@crm.otsuka-europe.com</v>
      </c>
      <c r="N5331" s="13">
        <v>46219.366273148145</v>
      </c>
      <c r="O5331" s="14" t="str">
        <f>HYPERLINK("https://otsuka-europe-crm.veevavault.com/ui/#object/email_activity__v/V8C000000049847", "EN-002106571")</f>
        <v>EN-002106571</v>
      </c>
    </row>
    <row r="5332" spans="1:15" ht="16" x14ac:dyDescent="0.2">
      <c r="A5332" s="18" t="str">
        <f>HYPERLINK("https://otsuka-europe-crm.veevavault.com/ui/#object/account__v/V4T00000002F056", "LORETO JIMENEZ SEGOVIA")</f>
        <v>LORETO JIMENEZ SEGOVIA</v>
      </c>
      <c r="B5332" s="18" t="str">
        <f>HYPERLINK("https://otsuka-europe-crm.veevavault.com/ui/#object/vcountry__v/VENZ000004SONF5", "ES")</f>
        <v>ES</v>
      </c>
      <c r="C5332" s="20" t="s">
        <v>39</v>
      </c>
      <c r="D5332" s="21" t="str">
        <f>HYPERLINK("https://otsuka-europe-crm.veevavault.com/ui/#object/approved_document__v/V5OZ04ASG4FWKA7", "Reuniones Online Consent - 2")</f>
        <v>Reuniones Online Consent - 2</v>
      </c>
      <c r="E5332" s="22" t="str">
        <f>HYPERLINK("https://otsuka-europe-crm.veevavault.com/ui/#object/sent_email__v/VBL000000037384", "SE-001444188")</f>
        <v>SE-001444188</v>
      </c>
      <c r="F5332" s="25">
        <v>46219.366388888891</v>
      </c>
      <c r="G5332" s="24">
        <v>1</v>
      </c>
      <c r="H5332" s="24">
        <v>1</v>
      </c>
      <c r="I5332" s="24">
        <v>0</v>
      </c>
      <c r="J5332" s="23"/>
      <c r="K5332" s="24">
        <v>0</v>
      </c>
      <c r="L5332" s="22" t="str">
        <f>HYPERLINK("https://otsuka-europe-crm.veevavault.com/ui/#object/approved_document__v/V5OZ04ASG4FWKA7", "Reuniones Online Consent - 2")</f>
        <v>Reuniones Online Consent - 2</v>
      </c>
      <c r="M5332" s="22" t="str">
        <f>HYPERLINK("mailto:ccalero@crm.otsuka-europe.com", "ccalero@crm.otsuka-europe.com")</f>
        <v>ccalero@crm.otsuka-europe.com</v>
      </c>
      <c r="N5332" s="25">
        <v>46219.366284722222</v>
      </c>
      <c r="O5332" s="14" t="str">
        <f>HYPERLINK("https://otsuka-europe-crm.veevavault.com/ui/#object/email_activity__v/V8C000000049846", "EN-002106570")</f>
        <v>EN-002106570</v>
      </c>
    </row>
    <row r="5333" spans="1:15" ht="16" x14ac:dyDescent="0.2">
      <c r="A5333" s="19"/>
      <c r="B5333" s="19"/>
      <c r="C5333" s="19"/>
      <c r="D5333" s="19"/>
      <c r="E5333" s="19"/>
      <c r="F5333" s="19"/>
      <c r="G5333" s="19"/>
      <c r="H5333" s="19"/>
      <c r="I5333" s="19"/>
      <c r="J5333" s="19"/>
      <c r="K5333" s="19"/>
      <c r="L5333" s="19"/>
      <c r="M5333" s="19"/>
      <c r="N5333" s="19"/>
      <c r="O5333" s="14" t="str">
        <f>HYPERLINK("https://otsuka-europe-crm.veevavault.com/ui/#object/email_activity__v/V8C000000049848", "EN-002106572")</f>
        <v>EN-002106572</v>
      </c>
    </row>
    <row r="5334" spans="1:15" ht="32" x14ac:dyDescent="0.2">
      <c r="A5334" s="7" t="str">
        <f>HYPERLINK("https://otsuka-europe-crm.veevavault.com/ui/#object/account__v/V4T00000002F056", "LORETO JIMENEZ SEGOVIA")</f>
        <v>LORETO JIMENEZ SEGOVIA</v>
      </c>
      <c r="B5334" s="7" t="str">
        <f>HYPERLINK("https://otsuka-europe-crm.veevavault.com/ui/#object/vcountry__v/VENZ000004SONF5", "ES")</f>
        <v>ES</v>
      </c>
      <c r="C5334" s="8" t="s">
        <v>39</v>
      </c>
      <c r="D5334" s="9" t="str">
        <f>HYPERLINK("https://otsuka-europe-crm.veevavault.com/ui/#object/approved_document__v/V5OZ04ASG4FWKA9", "Documento Autorizaciขn Centro Empleador")</f>
        <v>Documento Autorizaciขn Centro Empleador</v>
      </c>
      <c r="E5334" s="10" t="str">
        <f>HYPERLINK("https://otsuka-europe-crm.veevavault.com/ui/#object/sent_email__v/VBL000000037385", "SE-001444189")</f>
        <v>SE-001444189</v>
      </c>
      <c r="F5334" s="11"/>
      <c r="G5334" s="12">
        <v>0</v>
      </c>
      <c r="H5334" s="12">
        <v>0</v>
      </c>
      <c r="I5334" s="12">
        <v>0</v>
      </c>
      <c r="J5334" s="11"/>
      <c r="K5334" s="12">
        <v>0</v>
      </c>
      <c r="L5334" s="10" t="str">
        <f>HYPERLINK("https://otsuka-europe-crm.veevavault.com/ui/#object/approved_document__v/V5OZ04ASG4FWKA9", "Documento Autorizaciขn Centro Empleador")</f>
        <v>Documento Autorizaciขn Centro Empleador</v>
      </c>
      <c r="M5334" s="10" t="str">
        <f>HYPERLINK("mailto:ccalero@crm.otsuka-europe.com", "ccalero@crm.otsuka-europe.com")</f>
        <v>ccalero@crm.otsuka-europe.com</v>
      </c>
      <c r="N5334" s="13">
        <v>46219.366273148145</v>
      </c>
      <c r="O5334" s="14" t="str">
        <f>HYPERLINK("https://otsuka-europe-crm.veevavault.com/ui/#object/email_activity__v/V8C000000049849", "EN-002106573")</f>
        <v>EN-002106573</v>
      </c>
    </row>
    <row r="5335" spans="1:15" ht="32" x14ac:dyDescent="0.2">
      <c r="A5335" s="7" t="str">
        <f>HYPERLINK("https://otsuka-europe-crm.veevavault.com/ui/#object/account__v/V4T00000001Q035", "GIUSEPPINA DONNARUMMA")</f>
        <v>GIUSEPPINA DONNARUMMA</v>
      </c>
      <c r="B5335" s="7" t="str">
        <f>HYPERLINK("https://otsuka-europe-crm.veevavault.com/ui/#object/vcountry__v/VENZ000004SONFQ", "IT")</f>
        <v>IT</v>
      </c>
      <c r="C5335" s="8" t="s">
        <v>42</v>
      </c>
      <c r="D5335" s="9" t="str">
        <f>HYPERLINK("https://otsuka-europe-crm.veevavault.com/ui/#object/approved_document__v/V5OZ025E82TDS3D", "AE Il ruolo del caregiver")</f>
        <v>AE Il ruolo del caregiver</v>
      </c>
      <c r="E5335" s="10" t="str">
        <f>HYPERLINK("https://otsuka-europe-crm.veevavault.com/ui/#object/sent_email__v/VBL000000038316", "SE-001444190")</f>
        <v>SE-001444190</v>
      </c>
      <c r="F5335" s="11"/>
      <c r="G5335" s="12">
        <v>0</v>
      </c>
      <c r="H5335" s="12">
        <v>0</v>
      </c>
      <c r="I5335" s="12">
        <v>0</v>
      </c>
      <c r="J5335" s="11"/>
      <c r="K5335" s="12">
        <v>0</v>
      </c>
      <c r="L5335" s="10" t="str">
        <f>HYPERLINK("https://otsuka-europe-crm.veevavault.com/ui/#object/approved_document__v/V5OZ025E82TDS3D", "AE Il ruolo del caregiver")</f>
        <v>AE Il ruolo del caregiver</v>
      </c>
      <c r="M5335" s="10" t="str">
        <f>HYPERLINK("mailto:miriam.bechagra@crm.otsuka-europe.com", "miriam.bechagra@crm.otsuka-europe.com")</f>
        <v>miriam.bechagra@crm.otsuka-europe.com</v>
      </c>
      <c r="N5335" s="13">
        <v>46219.632106481484</v>
      </c>
      <c r="O5335" s="14" t="str">
        <f>HYPERLINK("https://otsuka-europe-crm.veevavault.com/ui/#object/email_activity__v/V8C00000004A909", "EN-002106675")</f>
        <v>EN-002106675</v>
      </c>
    </row>
    <row r="5336" spans="1:15" ht="16" x14ac:dyDescent="0.2">
      <c r="A5336" s="18" t="str">
        <f>HYPERLINK("https://otsuka-europe-crm.veevavault.com/ui/#object/account__v/V4TZ025E85CIXUP", "LARA APRILE")</f>
        <v>LARA APRILE</v>
      </c>
      <c r="B5336" s="18" t="str">
        <f>HYPERLINK("https://otsuka-europe-crm.veevavault.com/ui/#object/vcountry__v/VENZ000004SONFQ", "IT")</f>
        <v>IT</v>
      </c>
      <c r="C5336" s="20" t="s">
        <v>42</v>
      </c>
      <c r="D5336" s="21" t="str">
        <f>HYPERLINK("https://otsuka-europe-crm.veevavault.com/ui/#object/approved_document__v/V5OZ025E82TI1KD", "DEM MUTAZIONE tp53")</f>
        <v>DEM MUTAZIONE tp53</v>
      </c>
      <c r="E5336" s="22" t="str">
        <f>HYPERLINK("https://otsuka-europe-crm.veevavault.com/ui/#object/sent_email__v/VBL000000037386", "SE-001444191")</f>
        <v>SE-001444191</v>
      </c>
      <c r="F5336" s="23"/>
      <c r="G5336" s="24">
        <v>0</v>
      </c>
      <c r="H5336" s="24">
        <v>0</v>
      </c>
      <c r="I5336" s="24">
        <v>0</v>
      </c>
      <c r="J5336" s="23"/>
      <c r="K5336" s="24">
        <v>0</v>
      </c>
      <c r="L5336" s="22" t="str">
        <f>HYPERLINK("https://otsuka-europe-crm.veevavault.com/ui/#object/approved_document__v/V5OZ025E82TI1KD", "DEM MUTAZIONE tp53")</f>
        <v>DEM MUTAZIONE tp53</v>
      </c>
      <c r="M5336" s="22" t="str">
        <f>HYPERLINK("mailto:miriam.bechagra@crm.otsuka-europe.com", "miriam.bechagra@crm.otsuka-europe.com")</f>
        <v>miriam.bechagra@crm.otsuka-europe.com</v>
      </c>
      <c r="N5336" s="25">
        <v>46219.371435185189</v>
      </c>
      <c r="O5336" s="14" t="str">
        <f>HYPERLINK("https://otsuka-europe-crm.veevavault.com/ui/#object/email_activity__v/V8C000000049850", "EN-002106574")</f>
        <v>EN-002106574</v>
      </c>
    </row>
    <row r="5337" spans="1:15" ht="16" x14ac:dyDescent="0.2">
      <c r="A5337" s="19"/>
      <c r="B5337" s="19"/>
      <c r="C5337" s="19"/>
      <c r="D5337" s="19"/>
      <c r="E5337" s="19"/>
      <c r="F5337" s="19"/>
      <c r="G5337" s="19"/>
      <c r="H5337" s="19"/>
      <c r="I5337" s="19"/>
      <c r="J5337" s="19"/>
      <c r="K5337" s="19"/>
      <c r="L5337" s="19"/>
      <c r="M5337" s="19"/>
      <c r="N5337" s="19"/>
      <c r="O5337" s="14" t="str">
        <f>HYPERLINK("https://otsuka-europe-crm.veevavault.com/ui/#object/email_activity__v/V8C00000004B075", "EN-002106863")</f>
        <v>EN-002106863</v>
      </c>
    </row>
    <row r="5338" spans="1:15" ht="16" x14ac:dyDescent="0.2">
      <c r="A5338" s="18" t="str">
        <f>HYPERLINK("https://otsuka-europe-crm.veevavault.com/ui/#object/account__v/V4TZ025E85PXQHL", "IMMACOLATA MARIA VALENTINA ATTOLICO")</f>
        <v>IMMACOLATA MARIA VALENTINA ATTOLICO</v>
      </c>
      <c r="B5338" s="18" t="str">
        <f>HYPERLINK("https://otsuka-europe-crm.veevavault.com/ui/#object/vcountry__v/VENZ000004SONFQ", "IT")</f>
        <v>IT</v>
      </c>
      <c r="C5338" s="20" t="s">
        <v>42</v>
      </c>
      <c r="D5338" s="21" t="str">
        <f>HYPERLINK("https://otsuka-europe-crm.veevavault.com/ui/#object/approved_document__v/V5OZ025E82TI1KD", "DEM MUTAZIONE tp53")</f>
        <v>DEM MUTAZIONE tp53</v>
      </c>
      <c r="E5338" s="22" t="str">
        <f>HYPERLINK("https://otsuka-europe-crm.veevavault.com/ui/#object/sent_email__v/VBL000000037387", "SE-001444192")</f>
        <v>SE-001444192</v>
      </c>
      <c r="F5338" s="25">
        <v>46219.378807870373</v>
      </c>
      <c r="G5338" s="24">
        <v>1</v>
      </c>
      <c r="H5338" s="24">
        <v>1</v>
      </c>
      <c r="I5338" s="24">
        <v>0</v>
      </c>
      <c r="J5338" s="23"/>
      <c r="K5338" s="24">
        <v>0</v>
      </c>
      <c r="L5338" s="22" t="str">
        <f>HYPERLINK("https://otsuka-europe-crm.veevavault.com/ui/#object/approved_document__v/V5OZ025E82TI1KD", "DEM MUTAZIONE tp53")</f>
        <v>DEM MUTAZIONE tp53</v>
      </c>
      <c r="M5338" s="22" t="str">
        <f>HYPERLINK("mailto:miriam.bechagra@crm.otsuka-europe.com", "miriam.bechagra@crm.otsuka-europe.com")</f>
        <v>miriam.bechagra@crm.otsuka-europe.com</v>
      </c>
      <c r="N5338" s="25">
        <v>46219.371620370373</v>
      </c>
      <c r="O5338" s="14" t="str">
        <f>HYPERLINK("https://otsuka-europe-crm.veevavault.com/ui/#object/email_activity__v/V8C000000049852", "EN-002106578")</f>
        <v>EN-002106578</v>
      </c>
    </row>
    <row r="5339" spans="1:15" ht="16" x14ac:dyDescent="0.2">
      <c r="A5339" s="19"/>
      <c r="B5339" s="19"/>
      <c r="C5339" s="19"/>
      <c r="D5339" s="19"/>
      <c r="E5339" s="19"/>
      <c r="F5339" s="19"/>
      <c r="G5339" s="19"/>
      <c r="H5339" s="19"/>
      <c r="I5339" s="19"/>
      <c r="J5339" s="19"/>
      <c r="K5339" s="19"/>
      <c r="L5339" s="19"/>
      <c r="M5339" s="19"/>
      <c r="N5339" s="19"/>
      <c r="O5339" s="14" t="str">
        <f>HYPERLINK("https://otsuka-europe-crm.veevavault.com/ui/#object/email_activity__v/V8C00000004A859", "EN-002106575")</f>
        <v>EN-002106575</v>
      </c>
    </row>
    <row r="5340" spans="1:15" ht="16" x14ac:dyDescent="0.2">
      <c r="A5340" s="18" t="str">
        <f>HYPERLINK("https://otsuka-europe-crm.veevavault.com/ui/#object/account__v/V4TZ025E85PXQHL", "IMMACOLATA MARIA VALENTINA ATTOLICO")</f>
        <v>IMMACOLATA MARIA VALENTINA ATTOLICO</v>
      </c>
      <c r="B5340" s="18" t="str">
        <f>HYPERLINK("https://otsuka-europe-crm.veevavault.com/ui/#object/vcountry__v/VENZ000004SONFQ", "IT")</f>
        <v>IT</v>
      </c>
      <c r="C5340" s="20" t="s">
        <v>42</v>
      </c>
      <c r="D5340" s="21" t="str">
        <f>HYPERLINK("https://otsuka-europe-crm.veevavault.com/ui/#object/approved_document__v/V5OZ025E82TDS3D", "AE Il ruolo del caregiver")</f>
        <v>AE Il ruolo del caregiver</v>
      </c>
      <c r="E5340" s="22" t="str">
        <f>HYPERLINK("https://otsuka-europe-crm.veevavault.com/ui/#object/sent_email__v/VBL000000037388", "SE-001444193")</f>
        <v>SE-001444193</v>
      </c>
      <c r="F5340" s="25">
        <v>46220.775046296294</v>
      </c>
      <c r="G5340" s="24">
        <v>1</v>
      </c>
      <c r="H5340" s="24">
        <v>1</v>
      </c>
      <c r="I5340" s="24">
        <v>0</v>
      </c>
      <c r="J5340" s="23"/>
      <c r="K5340" s="24">
        <v>0</v>
      </c>
      <c r="L5340" s="22" t="str">
        <f>HYPERLINK("https://otsuka-europe-crm.veevavault.com/ui/#object/approved_document__v/V5OZ025E82TDS3D", "AE Il ruolo del caregiver")</f>
        <v>AE Il ruolo del caregiver</v>
      </c>
      <c r="M5340" s="22" t="str">
        <f>HYPERLINK("mailto:miriam.bechagra@crm.otsuka-europe.com", "miriam.bechagra@crm.otsuka-europe.com")</f>
        <v>miriam.bechagra@crm.otsuka-europe.com</v>
      </c>
      <c r="N5340" s="25">
        <v>46220.757071759261</v>
      </c>
      <c r="O5340" s="14" t="str">
        <f>HYPERLINK("https://otsuka-europe-crm.veevavault.com/ui/#object/email_activity__v/V8C00000004B063", "EN-002106845")</f>
        <v>EN-002106845</v>
      </c>
    </row>
    <row r="5341" spans="1:15" ht="16" x14ac:dyDescent="0.2">
      <c r="A5341" s="19"/>
      <c r="B5341" s="19"/>
      <c r="C5341" s="19"/>
      <c r="D5341" s="19"/>
      <c r="E5341" s="19"/>
      <c r="F5341" s="19"/>
      <c r="G5341" s="19"/>
      <c r="H5341" s="19"/>
      <c r="I5341" s="19"/>
      <c r="J5341" s="19"/>
      <c r="K5341" s="19"/>
      <c r="L5341" s="19"/>
      <c r="M5341" s="19"/>
      <c r="N5341" s="19"/>
      <c r="O5341" s="14" t="str">
        <f>HYPERLINK("https://otsuka-europe-crm.veevavault.com/ui/#object/email_activity__v/V8C00000004C051", "EN-002106842")</f>
        <v>EN-002106842</v>
      </c>
    </row>
    <row r="5342" spans="1:15" ht="32" x14ac:dyDescent="0.2">
      <c r="A5342" s="7" t="str">
        <f>HYPERLINK("https://otsuka-europe-crm.veevavault.com/ui/#object/account__v/V4TZ025E86X35MT", "CATERINA BUQUICCHIO")</f>
        <v>CATERINA BUQUICCHIO</v>
      </c>
      <c r="B5342" s="7" t="str">
        <f>HYPERLINK("https://otsuka-europe-crm.veevavault.com/ui/#object/vcountry__v/VENZ000004SONFQ", "IT")</f>
        <v>IT</v>
      </c>
      <c r="C5342" s="8" t="s">
        <v>42</v>
      </c>
      <c r="D5342" s="9" t="str">
        <f>HYPERLINK("https://otsuka-europe-crm.veevavault.com/ui/#object/approved_document__v/V5OZ025E82TI1KD", "DEM MUTAZIONE tp53")</f>
        <v>DEM MUTAZIONE tp53</v>
      </c>
      <c r="E5342" s="10" t="str">
        <f>HYPERLINK("https://otsuka-europe-crm.veevavault.com/ui/#object/sent_email__v/VBL000000038317", "SE-001444194")</f>
        <v>SE-001444194</v>
      </c>
      <c r="F5342" s="11"/>
      <c r="G5342" s="12">
        <v>0</v>
      </c>
      <c r="H5342" s="12">
        <v>0</v>
      </c>
      <c r="I5342" s="12">
        <v>0</v>
      </c>
      <c r="J5342" s="11"/>
      <c r="K5342" s="12">
        <v>0</v>
      </c>
      <c r="L5342" s="10" t="str">
        <f>HYPERLINK("https://otsuka-europe-crm.veevavault.com/ui/#object/approved_document__v/V5OZ025E82TI1KD", "DEM MUTAZIONE tp53")</f>
        <v>DEM MUTAZIONE tp53</v>
      </c>
      <c r="M5342" s="10" t="str">
        <f>HYPERLINK("mailto:miriam.bechagra@crm.otsuka-europe.com", "miriam.bechagra@crm.otsuka-europe.com")</f>
        <v>miriam.bechagra@crm.otsuka-europe.com</v>
      </c>
      <c r="N5342" s="13">
        <v>46219.386770833335</v>
      </c>
      <c r="O5342" s="14" t="str">
        <f>HYPERLINK("https://otsuka-europe-crm.veevavault.com/ui/#object/email_activity__v/V8C00000004A862", "EN-002106581")</f>
        <v>EN-002106581</v>
      </c>
    </row>
    <row r="5343" spans="1:15" ht="32" x14ac:dyDescent="0.2">
      <c r="A5343" s="7" t="str">
        <f>HYPERLINK("https://otsuka-europe-crm.veevavault.com/ui/#object/account__v/V4TZ025E85IQ0PW", "DANIELA ESPOSITO")</f>
        <v>DANIELA ESPOSITO</v>
      </c>
      <c r="B5343" s="7" t="str">
        <f>HYPERLINK("https://otsuka-europe-crm.veevavault.com/ui/#object/vcountry__v/VENZ000004SONFQ", "IT")</f>
        <v>IT</v>
      </c>
      <c r="C5343" s="8" t="s">
        <v>42</v>
      </c>
      <c r="D5343" s="9" t="str">
        <f>HYPERLINK("https://otsuka-europe-crm.veevavault.com/ui/#object/approved_document__v/V5OZ025E82TI1KD", "DEM MUTAZIONE tp53")</f>
        <v>DEM MUTAZIONE tp53</v>
      </c>
      <c r="E5343" s="10" t="str">
        <f>HYPERLINK("https://otsuka-europe-crm.veevavault.com/ui/#object/sent_email__v/VBL000000038318", "SE-001444195")</f>
        <v>SE-001444195</v>
      </c>
      <c r="F5343" s="11"/>
      <c r="G5343" s="12">
        <v>0</v>
      </c>
      <c r="H5343" s="12">
        <v>0</v>
      </c>
      <c r="I5343" s="12">
        <v>0</v>
      </c>
      <c r="J5343" s="11"/>
      <c r="K5343" s="12">
        <v>0</v>
      </c>
      <c r="L5343" s="10" t="str">
        <f>HYPERLINK("https://otsuka-europe-crm.veevavault.com/ui/#object/approved_document__v/V5OZ025E82TI1KD", "DEM MUTAZIONE tp53")</f>
        <v>DEM MUTAZIONE tp53</v>
      </c>
      <c r="M5343" s="10" t="str">
        <f>HYPERLINK("mailto:miriam.bechagra@crm.otsuka-europe.com", "miriam.bechagra@crm.otsuka-europe.com")</f>
        <v>miriam.bechagra@crm.otsuka-europe.com</v>
      </c>
      <c r="N5343" s="13">
        <v>46219.39707175926</v>
      </c>
      <c r="O5343" s="14" t="str">
        <f>HYPERLINK("https://otsuka-europe-crm.veevavault.com/ui/#object/email_activity__v/V8C00000004A866", "EN-002106586")</f>
        <v>EN-002106586</v>
      </c>
    </row>
    <row r="5344" spans="1:15" ht="16" x14ac:dyDescent="0.2">
      <c r="A5344" s="18" t="str">
        <f>HYPERLINK("https://otsuka-europe-crm.veevavault.com/ui/#object/account__v/V4TZ025E85IQ0PW", "DANIELA ESPOSITO")</f>
        <v>DANIELA ESPOSITO</v>
      </c>
      <c r="B5344" s="18" t="str">
        <f>HYPERLINK("https://otsuka-europe-crm.veevavault.com/ui/#object/vcountry__v/VENZ000004SONFQ", "IT")</f>
        <v>IT</v>
      </c>
      <c r="C5344" s="20" t="s">
        <v>42</v>
      </c>
      <c r="D5344" s="21" t="str">
        <f>HYPERLINK("https://otsuka-europe-crm.veevavault.com/ui/#object/approved_document__v/V5OZ025E82TI1KD", "DEM MUTAZIONE tp53")</f>
        <v>DEM MUTAZIONE tp53</v>
      </c>
      <c r="E5344" s="22" t="str">
        <f>HYPERLINK("https://otsuka-europe-crm.veevavault.com/ui/#object/sent_email__v/VBL000000037389", "SE-001444196")</f>
        <v>SE-001444196</v>
      </c>
      <c r="F5344" s="25">
        <v>46219.466597222221</v>
      </c>
      <c r="G5344" s="24">
        <v>1</v>
      </c>
      <c r="H5344" s="24">
        <v>1</v>
      </c>
      <c r="I5344" s="24">
        <v>0</v>
      </c>
      <c r="J5344" s="23"/>
      <c r="K5344" s="24">
        <v>0</v>
      </c>
      <c r="L5344" s="22" t="str">
        <f>HYPERLINK("https://otsuka-europe-crm.veevavault.com/ui/#object/approved_document__v/V5OZ025E82TI1KD", "DEM MUTAZIONE tp53")</f>
        <v>DEM MUTAZIONE tp53</v>
      </c>
      <c r="M5344" s="22" t="str">
        <f>HYPERLINK("mailto:miriam.bechagra@crm.otsuka-europe.com", "miriam.bechagra@crm.otsuka-europe.com")</f>
        <v>miriam.bechagra@crm.otsuka-europe.com</v>
      </c>
      <c r="N5344" s="25">
        <v>46219.399282407408</v>
      </c>
      <c r="O5344" s="14" t="str">
        <f>HYPERLINK("https://otsuka-europe-crm.veevavault.com/ui/#object/email_activity__v/V8C000000049855", "EN-002106588")</f>
        <v>EN-002106588</v>
      </c>
    </row>
    <row r="5345" spans="1:15" ht="16" x14ac:dyDescent="0.2">
      <c r="A5345" s="19"/>
      <c r="B5345" s="19"/>
      <c r="C5345" s="19"/>
      <c r="D5345" s="19"/>
      <c r="E5345" s="19"/>
      <c r="F5345" s="19"/>
      <c r="G5345" s="19"/>
      <c r="H5345" s="19"/>
      <c r="I5345" s="19"/>
      <c r="J5345" s="19"/>
      <c r="K5345" s="19"/>
      <c r="L5345" s="19"/>
      <c r="M5345" s="19"/>
      <c r="N5345" s="19"/>
      <c r="O5345" s="14" t="str">
        <f>HYPERLINK("https://otsuka-europe-crm.veevavault.com/ui/#object/email_activity__v/V8C00000004A881", "EN-002106618")</f>
        <v>EN-002106618</v>
      </c>
    </row>
    <row r="5346" spans="1:15" ht="32" x14ac:dyDescent="0.2">
      <c r="A5346" s="7" t="str">
        <f>HYPERLINK("https://otsuka-europe-crm.veevavault.com/ui/#object/account__v/V4TZ025E86YUH9H", "IDALUCIA FERRARA")</f>
        <v>IDALUCIA FERRARA</v>
      </c>
      <c r="B5346" s="7" t="str">
        <f>HYPERLINK("https://otsuka-europe-crm.veevavault.com/ui/#object/vcountry__v/VENZ000004SONFQ", "IT")</f>
        <v>IT</v>
      </c>
      <c r="C5346" s="8" t="s">
        <v>42</v>
      </c>
      <c r="D5346" s="9" t="str">
        <f>HYPERLINK("https://otsuka-europe-crm.veevavault.com/ui/#object/approved_document__v/V5OZ025E82TI1KD", "DEM MUTAZIONE tp53")</f>
        <v>DEM MUTAZIONE tp53</v>
      </c>
      <c r="E5346" s="10" t="str">
        <f>HYPERLINK("https://otsuka-europe-crm.veevavault.com/ui/#object/sent_email__v/VBL000000037390", "SE-001444197")</f>
        <v>SE-001444197</v>
      </c>
      <c r="F5346" s="11"/>
      <c r="G5346" s="12">
        <v>0</v>
      </c>
      <c r="H5346" s="12">
        <v>0</v>
      </c>
      <c r="I5346" s="12">
        <v>0</v>
      </c>
      <c r="J5346" s="11"/>
      <c r="K5346" s="12">
        <v>0</v>
      </c>
      <c r="L5346" s="10" t="str">
        <f>HYPERLINK("https://otsuka-europe-crm.veevavault.com/ui/#object/approved_document__v/V5OZ025E82TI1KD", "DEM MUTAZIONE tp53")</f>
        <v>DEM MUTAZIONE tp53</v>
      </c>
      <c r="M5346" s="10" t="str">
        <f>HYPERLINK("mailto:miriam.bechagra@crm.otsuka-europe.com", "miriam.bechagra@crm.otsuka-europe.com")</f>
        <v>miriam.bechagra@crm.otsuka-europe.com</v>
      </c>
      <c r="N5346" s="13">
        <v>46219.399629629632</v>
      </c>
      <c r="O5346" s="14" t="str">
        <f>HYPERLINK("https://otsuka-europe-crm.veevavault.com/ui/#object/email_activity__v/V8C000000049856", "EN-002106589")</f>
        <v>EN-002106589</v>
      </c>
    </row>
    <row r="5347" spans="1:15" ht="32" x14ac:dyDescent="0.2">
      <c r="A5347" s="7" t="str">
        <f>HYPERLINK("https://otsuka-europe-crm.veevavault.com/ui/#object/account__v/V4TZ025E892TO0F", "MARIA GIOVANNA FERRARA")</f>
        <v>MARIA GIOVANNA FERRARA</v>
      </c>
      <c r="B5347" s="7" t="str">
        <f>HYPERLINK("https://otsuka-europe-crm.veevavault.com/ui/#object/vcountry__v/VENZ000004SONFQ", "IT")</f>
        <v>IT</v>
      </c>
      <c r="C5347" s="8" t="s">
        <v>42</v>
      </c>
      <c r="D5347" s="9" t="str">
        <f>HYPERLINK("https://otsuka-europe-crm.veevavault.com/ui/#object/approved_document__v/V5OZ025E82TI1KD", "DEM MUTAZIONE tp53")</f>
        <v>DEM MUTAZIONE tp53</v>
      </c>
      <c r="E5347" s="10" t="str">
        <f>HYPERLINK("https://otsuka-europe-crm.veevavault.com/ui/#object/sent_email__v/VBL000000037391", "SE-001444198")</f>
        <v>SE-001444198</v>
      </c>
      <c r="F5347" s="11"/>
      <c r="G5347" s="12">
        <v>0</v>
      </c>
      <c r="H5347" s="12">
        <v>0</v>
      </c>
      <c r="I5347" s="12">
        <v>0</v>
      </c>
      <c r="J5347" s="11"/>
      <c r="K5347" s="12">
        <v>0</v>
      </c>
      <c r="L5347" s="10" t="str">
        <f>HYPERLINK("https://otsuka-europe-crm.veevavault.com/ui/#object/approved_document__v/V5OZ025E82TI1KD", "DEM MUTAZIONE tp53")</f>
        <v>DEM MUTAZIONE tp53</v>
      </c>
      <c r="M5347" s="10" t="str">
        <f>HYPERLINK("mailto:miriam.bechagra@crm.otsuka-europe.com", "miriam.bechagra@crm.otsuka-europe.com")</f>
        <v>miriam.bechagra@crm.otsuka-europe.com</v>
      </c>
      <c r="N5347" s="13">
        <v>46219.400173611109</v>
      </c>
      <c r="O5347" s="14" t="str">
        <f>HYPERLINK("https://otsuka-europe-crm.veevavault.com/ui/#object/email_activity__v/V8C000000049858", "EN-002106591")</f>
        <v>EN-002106591</v>
      </c>
    </row>
    <row r="5348" spans="1:15" ht="32" x14ac:dyDescent="0.2">
      <c r="A5348" s="7" t="str">
        <f>HYPERLINK("https://otsuka-europe-crm.veevavault.com/ui/#object/account__v/V4T00000000Y170", "GIORGIO GRAMAZIO")</f>
        <v>GIORGIO GRAMAZIO</v>
      </c>
      <c r="B5348" s="7" t="str">
        <f>HYPERLINK("https://otsuka-europe-crm.veevavault.com/ui/#object/vcountry__v/VENZ000004SONFQ", "IT")</f>
        <v>IT</v>
      </c>
      <c r="C5348" s="8" t="s">
        <v>42</v>
      </c>
      <c r="D5348" s="9" t="str">
        <f>HYPERLINK("https://otsuka-europe-crm.veevavault.com/ui/#object/approved_document__v/V5OZ025E82TI1KD", "DEM MUTAZIONE tp53")</f>
        <v>DEM MUTAZIONE tp53</v>
      </c>
      <c r="E5348" s="10" t="str">
        <f>HYPERLINK("https://otsuka-europe-crm.veevavault.com/ui/#object/sent_email__v/VBL000000037392", "SE-001444199")</f>
        <v>SE-001444199</v>
      </c>
      <c r="F5348" s="11"/>
      <c r="G5348" s="12">
        <v>0</v>
      </c>
      <c r="H5348" s="12">
        <v>0</v>
      </c>
      <c r="I5348" s="12">
        <v>0</v>
      </c>
      <c r="J5348" s="11"/>
      <c r="K5348" s="12">
        <v>0</v>
      </c>
      <c r="L5348" s="10" t="str">
        <f>HYPERLINK("https://otsuka-europe-crm.veevavault.com/ui/#object/approved_document__v/V5OZ025E82TI1KD", "DEM MUTAZIONE tp53")</f>
        <v>DEM MUTAZIONE tp53</v>
      </c>
      <c r="M5348" s="10" t="str">
        <f>HYPERLINK("mailto:miriam.bechagra@crm.otsuka-europe.com", "miriam.bechagra@crm.otsuka-europe.com")</f>
        <v>miriam.bechagra@crm.otsuka-europe.com</v>
      </c>
      <c r="N5348" s="13">
        <v>46219.400671296295</v>
      </c>
      <c r="O5348" s="14" t="str">
        <f>HYPERLINK("https://otsuka-europe-crm.veevavault.com/ui/#object/email_activity__v/V8C000000049859", "EN-002106592")</f>
        <v>EN-002106592</v>
      </c>
    </row>
    <row r="5349" spans="1:15" ht="32" x14ac:dyDescent="0.2">
      <c r="A5349" s="7" t="str">
        <f>HYPERLINK("https://otsuka-europe-crm.veevavault.com/ui/#object/account__v/V4T00000001D147", "STEFANO IMPERATORE")</f>
        <v>STEFANO IMPERATORE</v>
      </c>
      <c r="B5349" s="7" t="str">
        <f>HYPERLINK("https://otsuka-europe-crm.veevavault.com/ui/#object/vcountry__v/VENZ000004SONFQ", "IT")</f>
        <v>IT</v>
      </c>
      <c r="C5349" s="8" t="s">
        <v>42</v>
      </c>
      <c r="D5349" s="9" t="str">
        <f>HYPERLINK("https://otsuka-europe-crm.veevavault.com/ui/#object/approved_document__v/V5OZ025E82TI1KD", "DEM MUTAZIONE tp53")</f>
        <v>DEM MUTAZIONE tp53</v>
      </c>
      <c r="E5349" s="10" t="str">
        <f>HYPERLINK("https://otsuka-europe-crm.veevavault.com/ui/#object/sent_email__v/VBL000000037393", "SE-001444200")</f>
        <v>SE-001444200</v>
      </c>
      <c r="F5349" s="11"/>
      <c r="G5349" s="12">
        <v>0</v>
      </c>
      <c r="H5349" s="12">
        <v>0</v>
      </c>
      <c r="I5349" s="12">
        <v>0</v>
      </c>
      <c r="J5349" s="11"/>
      <c r="K5349" s="12">
        <v>0</v>
      </c>
      <c r="L5349" s="10" t="str">
        <f>HYPERLINK("https://otsuka-europe-crm.veevavault.com/ui/#object/approved_document__v/V5OZ025E82TI1KD", "DEM MUTAZIONE tp53")</f>
        <v>DEM MUTAZIONE tp53</v>
      </c>
      <c r="M5349" s="10" t="str">
        <f>HYPERLINK("mailto:miriam.bechagra@crm.otsuka-europe.com", "miriam.bechagra@crm.otsuka-europe.com")</f>
        <v>miriam.bechagra@crm.otsuka-europe.com</v>
      </c>
      <c r="N5349" s="13">
        <v>46219.401192129626</v>
      </c>
      <c r="O5349" s="14" t="str">
        <f>HYPERLINK("https://otsuka-europe-crm.veevavault.com/ui/#object/email_activity__v/V8C000000049860", "EN-002106593")</f>
        <v>EN-002106593</v>
      </c>
    </row>
    <row r="5350" spans="1:15" ht="32" x14ac:dyDescent="0.2">
      <c r="A5350" s="7" t="str">
        <f>HYPERLINK("https://otsuka-europe-crm.veevavault.com/ui/#object/account__v/V4TZ025E857110A", "SERENA LUPONIO")</f>
        <v>SERENA LUPONIO</v>
      </c>
      <c r="B5350" s="7" t="str">
        <f>HYPERLINK("https://otsuka-europe-crm.veevavault.com/ui/#object/vcountry__v/VENZ000004SONFQ", "IT")</f>
        <v>IT</v>
      </c>
      <c r="C5350" s="8" t="s">
        <v>42</v>
      </c>
      <c r="D5350" s="9" t="str">
        <f>HYPERLINK("https://otsuka-europe-crm.veevavault.com/ui/#object/approved_document__v/V5OZ025E82TI1KD", "DEM MUTAZIONE tp53")</f>
        <v>DEM MUTAZIONE tp53</v>
      </c>
      <c r="E5350" s="10" t="str">
        <f>HYPERLINK("https://otsuka-europe-crm.veevavault.com/ui/#object/sent_email__v/VBL000000037394", "SE-001444201")</f>
        <v>SE-001444201</v>
      </c>
      <c r="F5350" s="11"/>
      <c r="G5350" s="12">
        <v>0</v>
      </c>
      <c r="H5350" s="12">
        <v>0</v>
      </c>
      <c r="I5350" s="12">
        <v>0</v>
      </c>
      <c r="J5350" s="11"/>
      <c r="K5350" s="12">
        <v>0</v>
      </c>
      <c r="L5350" s="10" t="str">
        <f>HYPERLINK("https://otsuka-europe-crm.veevavault.com/ui/#object/approved_document__v/V5OZ025E82TI1KD", "DEM MUTAZIONE tp53")</f>
        <v>DEM MUTAZIONE tp53</v>
      </c>
      <c r="M5350" s="10" t="str">
        <f>HYPERLINK("mailto:miriam.bechagra@crm.otsuka-europe.com", "miriam.bechagra@crm.otsuka-europe.com")</f>
        <v>miriam.bechagra@crm.otsuka-europe.com</v>
      </c>
      <c r="N5350" s="13">
        <v>46219.401724537034</v>
      </c>
      <c r="O5350" s="14" t="str">
        <f>HYPERLINK("https://otsuka-europe-crm.veevavault.com/ui/#object/email_activity__v/V8C00000004A868", "EN-002106594")</f>
        <v>EN-002106594</v>
      </c>
    </row>
    <row r="5351" spans="1:15" ht="16" x14ac:dyDescent="0.2">
      <c r="A5351" s="18" t="str">
        <f>HYPERLINK("https://otsuka-europe-crm.veevavault.com/ui/#object/account__v/V4TZ025E85OLKUD", "Yara Amir Baurak")</f>
        <v>Yara Amir Baurak</v>
      </c>
      <c r="B5351" s="18" t="str">
        <f>HYPERLINK("https://otsuka-europe-crm.veevavault.com/ui/#object/vcountry__v/VENZ000004SONFK", "GB")</f>
        <v>GB</v>
      </c>
      <c r="C5351" s="20" t="s">
        <v>41</v>
      </c>
      <c r="D5351" s="21" t="str">
        <f>HYPERLINK("https://otsuka-europe-crm.veevavault.com/ui/#object/approved_document__v/V5O00000001V001", "LDM DR P2P Invite 12-Nov-26 v2 [digital]")</f>
        <v>LDM DR P2P Invite 12-Nov-26 v2 [digital]</v>
      </c>
      <c r="E5351" s="22" t="str">
        <f>HYPERLINK("https://otsuka-europe-crm.veevavault.com/ui/#object/sent_email__v/VBL000000037395", "SE-001444202")</f>
        <v>SE-001444202</v>
      </c>
      <c r="F5351" s="25">
        <v>46219.407048611109</v>
      </c>
      <c r="G5351" s="24">
        <v>1</v>
      </c>
      <c r="H5351" s="24">
        <v>2</v>
      </c>
      <c r="I5351" s="24">
        <v>0</v>
      </c>
      <c r="J5351" s="23"/>
      <c r="K5351" s="24">
        <v>0</v>
      </c>
      <c r="L5351" s="22" t="str">
        <f>HYPERLINK("https://otsuka-europe-crm.veevavault.com/ui/#object/approved_document__v/V5O00000001V001", "LDM DR P2P Invite 12-Nov-26 v2 [digital]")</f>
        <v>LDM DR P2P Invite 12-Nov-26 v2 [digital]</v>
      </c>
      <c r="M5351" s="22" t="str">
        <f>HYPERLINK("mailto:draval@crm.otsuka-europe.com", "draval@crm.otsuka-europe.com")</f>
        <v>draval@crm.otsuka-europe.com</v>
      </c>
      <c r="N5351" s="25">
        <v>46219.402766203704</v>
      </c>
      <c r="O5351" s="14" t="str">
        <f>HYPERLINK("https://otsuka-europe-crm.veevavault.com/ui/#object/email_activity__v/V8C000000049861", "EN-002106595")</f>
        <v>EN-002106595</v>
      </c>
    </row>
    <row r="5352" spans="1:15" ht="16" x14ac:dyDescent="0.2">
      <c r="A5352" s="26"/>
      <c r="B5352" s="26"/>
      <c r="C5352" s="26"/>
      <c r="D5352" s="26"/>
      <c r="E5352" s="26"/>
      <c r="F5352" s="26"/>
      <c r="G5352" s="26"/>
      <c r="H5352" s="26"/>
      <c r="I5352" s="26"/>
      <c r="J5352" s="26"/>
      <c r="K5352" s="26"/>
      <c r="L5352" s="26"/>
      <c r="M5352" s="26"/>
      <c r="N5352" s="26"/>
      <c r="O5352" s="14" t="str">
        <f>HYPERLINK("https://otsuka-europe-crm.veevavault.com/ui/#object/email_activity__v/V8C000000049862", "EN-002106598")</f>
        <v>EN-002106598</v>
      </c>
    </row>
    <row r="5353" spans="1:15" ht="16" x14ac:dyDescent="0.2">
      <c r="A5353" s="19"/>
      <c r="B5353" s="19"/>
      <c r="C5353" s="19"/>
      <c r="D5353" s="19"/>
      <c r="E5353" s="19"/>
      <c r="F5353" s="19"/>
      <c r="G5353" s="19"/>
      <c r="H5353" s="19"/>
      <c r="I5353" s="19"/>
      <c r="J5353" s="19"/>
      <c r="K5353" s="19"/>
      <c r="L5353" s="19"/>
      <c r="M5353" s="19"/>
      <c r="N5353" s="19"/>
      <c r="O5353" s="14" t="str">
        <f>HYPERLINK("https://otsuka-europe-crm.veevavault.com/ui/#object/email_activity__v/V8C00000004A871", "EN-002106599")</f>
        <v>EN-002106599</v>
      </c>
    </row>
    <row r="5354" spans="1:15" ht="32" x14ac:dyDescent="0.2">
      <c r="A5354" s="7" t="str">
        <f>HYPERLINK("https://otsuka-europe-crm.veevavault.com/ui/#object/account__v/V4TZ025E83YZMXN", "LIDIA FILOMENA EDVIGE SANTORO")</f>
        <v>LIDIA FILOMENA EDVIGE SANTORO</v>
      </c>
      <c r="B5354" s="7" t="str">
        <f>HYPERLINK("https://otsuka-europe-crm.veevavault.com/ui/#object/vcountry__v/VENZ000004SONFQ", "IT")</f>
        <v>IT</v>
      </c>
      <c r="C5354" s="8" t="s">
        <v>42</v>
      </c>
      <c r="D5354" s="9" t="str">
        <f>HYPERLINK("https://otsuka-europe-crm.veevavault.com/ui/#object/approved_document__v/V5OZ025E82TDS3D", "AE Il ruolo del caregiver")</f>
        <v>AE Il ruolo del caregiver</v>
      </c>
      <c r="E5354" s="10" t="str">
        <f>HYPERLINK("https://otsuka-europe-crm.veevavault.com/ui/#object/sent_email__v/VBL000000037396", "SE-001444203")</f>
        <v>SE-001444203</v>
      </c>
      <c r="F5354" s="11"/>
      <c r="G5354" s="12">
        <v>0</v>
      </c>
      <c r="H5354" s="12">
        <v>0</v>
      </c>
      <c r="I5354" s="12">
        <v>0</v>
      </c>
      <c r="J5354" s="11"/>
      <c r="K5354" s="12">
        <v>0</v>
      </c>
      <c r="L5354" s="10" t="str">
        <f>HYPERLINK("https://otsuka-europe-crm.veevavault.com/ui/#object/approved_document__v/V5OZ025E82TDS3D", "AE Il ruolo del caregiver")</f>
        <v>AE Il ruolo del caregiver</v>
      </c>
      <c r="M5354" s="10" t="str">
        <f>HYPERLINK("mailto:miriam.bechagra@crm.otsuka-europe.com", "miriam.bechagra@crm.otsuka-europe.com")</f>
        <v>miriam.bechagra@crm.otsuka-europe.com</v>
      </c>
      <c r="N5354" s="13">
        <v>46219.632106481484</v>
      </c>
      <c r="O5354" s="14" t="str">
        <f>HYPERLINK("https://otsuka-europe-crm.veevavault.com/ui/#object/email_activity__v/V8C00000004A910", "EN-002106677")</f>
        <v>EN-002106677</v>
      </c>
    </row>
    <row r="5355" spans="1:15" ht="32" x14ac:dyDescent="0.2">
      <c r="A5355" s="7" t="str">
        <f>HYPERLINK("https://otsuka-europe-crm.veevavault.com/ui/#object/account__v/V4TZ025E83YZMXN", "LIDIA FILOMENA EDVIGE SANTORO")</f>
        <v>LIDIA FILOMENA EDVIGE SANTORO</v>
      </c>
      <c r="B5355" s="7" t="str">
        <f>HYPERLINK("https://otsuka-europe-crm.veevavault.com/ui/#object/vcountry__v/VENZ000004SONFQ", "IT")</f>
        <v>IT</v>
      </c>
      <c r="C5355" s="8" t="s">
        <v>42</v>
      </c>
      <c r="D5355" s="9" t="str">
        <f>HYPERLINK("https://otsuka-europe-crm.veevavault.com/ui/#object/approved_document__v/V5OZ025E82TI1KD", "DEM MUTAZIONE tp53")</f>
        <v>DEM MUTAZIONE tp53</v>
      </c>
      <c r="E5355" s="10" t="str">
        <f>HYPERLINK("https://otsuka-europe-crm.veevavault.com/ui/#object/sent_email__v/VBL000000037397", "SE-001444204")</f>
        <v>SE-001444204</v>
      </c>
      <c r="F5355" s="11"/>
      <c r="G5355" s="12">
        <v>0</v>
      </c>
      <c r="H5355" s="12">
        <v>0</v>
      </c>
      <c r="I5355" s="12">
        <v>0</v>
      </c>
      <c r="J5355" s="11"/>
      <c r="K5355" s="12">
        <v>0</v>
      </c>
      <c r="L5355" s="10" t="str">
        <f>HYPERLINK("https://otsuka-europe-crm.veevavault.com/ui/#object/approved_document__v/V5OZ025E82TI1KD", "DEM MUTAZIONE tp53")</f>
        <v>DEM MUTAZIONE tp53</v>
      </c>
      <c r="M5355" s="10" t="str">
        <f>HYPERLINK("mailto:miriam.bechagra@crm.otsuka-europe.com", "miriam.bechagra@crm.otsuka-europe.com")</f>
        <v>miriam.bechagra@crm.otsuka-europe.com</v>
      </c>
      <c r="N5355" s="13">
        <v>46219.404710648145</v>
      </c>
      <c r="O5355" s="14" t="str">
        <f>HYPERLINK("https://otsuka-europe-crm.veevavault.com/ui/#object/email_activity__v/V8C00000004A870", "EN-002106597")</f>
        <v>EN-002106597</v>
      </c>
    </row>
    <row r="5356" spans="1:15" ht="32" x14ac:dyDescent="0.2">
      <c r="A5356" s="7" t="str">
        <f>HYPERLINK("https://otsuka-europe-crm.veevavault.com/ui/#object/account__v/V4TZ04ASG76IABG", "Mapaderun Akinrinade")</f>
        <v>Mapaderun Akinrinade</v>
      </c>
      <c r="B5356" s="7" t="str">
        <f>HYPERLINK("https://otsuka-europe-crm.veevavault.com/ui/#object/vcountry__v/VENZ000004SONFK", "GB")</f>
        <v>GB</v>
      </c>
      <c r="C5356" s="8" t="s">
        <v>41</v>
      </c>
      <c r="D5356" s="9" t="str">
        <f>HYPERLINK("https://otsuka-europe-crm.veevavault.com/ui/#object/approved_document__v/V5O00000001V001", "LDM DR P2P Invite 12-Nov-26 v2 [digital]")</f>
        <v>LDM DR P2P Invite 12-Nov-26 v2 [digital]</v>
      </c>
      <c r="E5356" s="10" t="str">
        <f>HYPERLINK("https://otsuka-europe-crm.veevavault.com/ui/#object/sent_email__v/VBL000000037398", "SE-001444205")</f>
        <v>SE-001444205</v>
      </c>
      <c r="F5356" s="11"/>
      <c r="G5356" s="12">
        <v>0</v>
      </c>
      <c r="H5356" s="12">
        <v>0</v>
      </c>
      <c r="I5356" s="12">
        <v>0</v>
      </c>
      <c r="J5356" s="11"/>
      <c r="K5356" s="12">
        <v>0</v>
      </c>
      <c r="L5356" s="10" t="str">
        <f>HYPERLINK("https://otsuka-europe-crm.veevavault.com/ui/#object/approved_document__v/V5O00000001V001", "LDM DR P2P Invite 12-Nov-26 v2 [digital]")</f>
        <v>LDM DR P2P Invite 12-Nov-26 v2 [digital]</v>
      </c>
      <c r="M5356" s="10" t="str">
        <f>HYPERLINK("mailto:draval@crm.otsuka-europe.com", "draval@crm.otsuka-europe.com")</f>
        <v>draval@crm.otsuka-europe.com</v>
      </c>
      <c r="N5356" s="13">
        <v>46219.404756944445</v>
      </c>
      <c r="O5356" s="14" t="str">
        <f>HYPERLINK("https://otsuka-europe-crm.veevavault.com/ui/#object/email_activity__v/V8C00000004A869", "EN-002106596")</f>
        <v>EN-002106596</v>
      </c>
    </row>
    <row r="5357" spans="1:15" ht="16" x14ac:dyDescent="0.2">
      <c r="A5357" s="18" t="str">
        <f>HYPERLINK("https://otsuka-europe-crm.veevavault.com/ui/#object/account__v/V4TZ0000062PB3F", "Ajai Kumar")</f>
        <v>Ajai Kumar</v>
      </c>
      <c r="B5357" s="18" t="str">
        <f>HYPERLINK("https://otsuka-europe-crm.veevavault.com/ui/#object/vcountry__v/VENZ000004SONFK", "GB")</f>
        <v>GB</v>
      </c>
      <c r="C5357" s="20" t="s">
        <v>41</v>
      </c>
      <c r="D5357" s="21" t="str">
        <f>HYPERLINK("https://otsuka-europe-crm.veevavault.com/ui/#object/approved_document__v/V5O00000001V001", "LDM DR P2P Invite 12-Nov-26 v2 [digital]")</f>
        <v>LDM DR P2P Invite 12-Nov-26 v2 [digital]</v>
      </c>
      <c r="E5357" s="22" t="str">
        <f>HYPERLINK("https://otsuka-europe-crm.veevavault.com/ui/#object/sent_email__v/VBL000000038319", "SE-001444206")</f>
        <v>SE-001444206</v>
      </c>
      <c r="F5357" s="23"/>
      <c r="G5357" s="24">
        <v>0</v>
      </c>
      <c r="H5357" s="24">
        <v>0</v>
      </c>
      <c r="I5357" s="24">
        <v>0</v>
      </c>
      <c r="J5357" s="23"/>
      <c r="K5357" s="24">
        <v>0</v>
      </c>
      <c r="L5357" s="22" t="str">
        <f>HYPERLINK("https://otsuka-europe-crm.veevavault.com/ui/#object/approved_document__v/V5O00000001V001", "LDM DR P2P Invite 12-Nov-26 v2 [digital]")</f>
        <v>LDM DR P2P Invite 12-Nov-26 v2 [digital]</v>
      </c>
      <c r="M5357" s="22" t="str">
        <f>HYPERLINK("mailto:draval@crm.otsuka-europe.com", "draval@crm.otsuka-europe.com")</f>
        <v>draval@crm.otsuka-europe.com</v>
      </c>
      <c r="N5357" s="25">
        <v>46219.411469907405</v>
      </c>
      <c r="O5357" s="14" t="str">
        <f>HYPERLINK("https://otsuka-europe-crm.veevavault.com/ui/#object/email_activity__v/V8C00000004A873", "EN-002106600")</f>
        <v>EN-002106600</v>
      </c>
    </row>
    <row r="5358" spans="1:15" ht="16" x14ac:dyDescent="0.2">
      <c r="A5358" s="19"/>
      <c r="B5358" s="19"/>
      <c r="C5358" s="19"/>
      <c r="D5358" s="19"/>
      <c r="E5358" s="19"/>
      <c r="F5358" s="19"/>
      <c r="G5358" s="19"/>
      <c r="H5358" s="19"/>
      <c r="I5358" s="19"/>
      <c r="J5358" s="19"/>
      <c r="K5358" s="19"/>
      <c r="L5358" s="19"/>
      <c r="M5358" s="19"/>
      <c r="N5358" s="19"/>
      <c r="O5358" s="14" t="str">
        <f>HYPERLINK("https://otsuka-europe-crm.veevavault.com/ui/#object/email_activity__v/V8C00000004B013", "EN-002106749")</f>
        <v>EN-002106749</v>
      </c>
    </row>
    <row r="5359" spans="1:15" ht="16" x14ac:dyDescent="0.2">
      <c r="A5359" s="18" t="str">
        <f>HYPERLINK("https://otsuka-europe-crm.veevavault.com/ui/#object/account__v/V4TZ06G6O71TCEE", "MARIA SAGRARIO SORIANO CABRERA")</f>
        <v>MARIA SAGRARIO SORIANO CABRERA</v>
      </c>
      <c r="B5359" s="18" t="str">
        <f>HYPERLINK("https://otsuka-europe-crm.veevavault.com/ui/#object/vcountry__v/VENZ000004SONF5", "ES")</f>
        <v>ES</v>
      </c>
      <c r="C5359" s="20" t="s">
        <v>39</v>
      </c>
      <c r="D5359" s="21" t="str">
        <f>HYPERLINK("https://otsuka-europe-crm.veevavault.com/ui/#object/approved_document__v/V5OZ04ASG4FWKA9", "Documento Autorizaciขn Centro Empleador")</f>
        <v>Documento Autorizaciขn Centro Empleador</v>
      </c>
      <c r="E5359" s="22" t="str">
        <f>HYPERLINK("https://otsuka-europe-crm.veevavault.com/ui/#object/sent_email__v/VBL000000038320", "SE-001444207")</f>
        <v>SE-001444207</v>
      </c>
      <c r="F5359" s="25">
        <v>46219.48028935185</v>
      </c>
      <c r="G5359" s="24">
        <v>1</v>
      </c>
      <c r="H5359" s="24">
        <v>1</v>
      </c>
      <c r="I5359" s="24">
        <v>1</v>
      </c>
      <c r="J5359" s="25">
        <v>46219.48028935185</v>
      </c>
      <c r="K5359" s="24">
        <v>1</v>
      </c>
      <c r="L5359" s="22" t="str">
        <f>HYPERLINK("https://otsuka-europe-crm.veevavault.com/ui/#object/approved_document__v/V5OZ04ASG4FWKA9", "Documento Autorizaciขn Centro Empleador")</f>
        <v>Documento Autorizaciขn Centro Empleador</v>
      </c>
      <c r="M5359" s="22" t="str">
        <f>HYPERLINK("mailto:oriballo@crm.otsuka-europe.com", "oriballo@crm.otsuka-europe.com")</f>
        <v>oriballo@crm.otsuka-europe.com</v>
      </c>
      <c r="N5359" s="25">
        <v>46219.44263888889</v>
      </c>
      <c r="O5359" s="14" t="str">
        <f>HYPERLINK("https://otsuka-europe-crm.veevavault.com/ui/#object/email_activity__v/V8C000000049868", "EN-002106611")</f>
        <v>EN-002106611</v>
      </c>
    </row>
    <row r="5360" spans="1:15" ht="16" x14ac:dyDescent="0.2">
      <c r="A5360" s="26"/>
      <c r="B5360" s="26"/>
      <c r="C5360" s="26"/>
      <c r="D5360" s="26"/>
      <c r="E5360" s="26"/>
      <c r="F5360" s="26"/>
      <c r="G5360" s="26"/>
      <c r="H5360" s="26"/>
      <c r="I5360" s="26"/>
      <c r="J5360" s="26"/>
      <c r="K5360" s="26"/>
      <c r="L5360" s="26"/>
      <c r="M5360" s="26"/>
      <c r="N5360" s="26"/>
      <c r="O5360" s="14" t="str">
        <f>HYPERLINK("https://otsuka-europe-crm.veevavault.com/ui/#object/email_activity__v/V8C00000004A888", "EN-002106632")</f>
        <v>EN-002106632</v>
      </c>
    </row>
    <row r="5361" spans="1:15" ht="16" x14ac:dyDescent="0.2">
      <c r="A5361" s="19"/>
      <c r="B5361" s="19"/>
      <c r="C5361" s="19"/>
      <c r="D5361" s="19"/>
      <c r="E5361" s="19"/>
      <c r="F5361" s="19"/>
      <c r="G5361" s="19"/>
      <c r="H5361" s="19"/>
      <c r="I5361" s="19"/>
      <c r="J5361" s="19"/>
      <c r="K5361" s="19"/>
      <c r="L5361" s="19"/>
      <c r="M5361" s="19"/>
      <c r="N5361" s="19"/>
      <c r="O5361" s="14" t="str">
        <f>HYPERLINK("https://otsuka-europe-crm.veevavault.com/ui/#object/email_activity__v/V8C00000004A889", "EN-002106631")</f>
        <v>EN-002106631</v>
      </c>
    </row>
    <row r="5362" spans="1:15" ht="32" x14ac:dyDescent="0.2">
      <c r="A5362" s="7" t="str">
        <f>HYPERLINK("https://otsuka-europe-crm.veevavault.com/ui/#object/account__v/V4TZ025E83BBI8I", "AMBRA DI VEROLI")</f>
        <v>AMBRA DI VEROLI</v>
      </c>
      <c r="B5362" s="7" t="str">
        <f>HYPERLINK("https://otsuka-europe-crm.veevavault.com/ui/#object/vcountry__v/VENZ000004SONFQ", "IT")</f>
        <v>IT</v>
      </c>
      <c r="C5362" s="8" t="s">
        <v>42</v>
      </c>
      <c r="D5362" s="9" t="str">
        <f>HYPERLINK("https://otsuka-europe-crm.veevavault.com/ui/#object/approved_document__v/V5OZ025E82TI1KD", "DEM MUTAZIONE tp53")</f>
        <v>DEM MUTAZIONE tp53</v>
      </c>
      <c r="E5362" s="10" t="str">
        <f>HYPERLINK("https://otsuka-europe-crm.veevavault.com/ui/#object/sent_email__v/VBL000000038324", "SE-001444208")</f>
        <v>SE-001444208</v>
      </c>
      <c r="F5362" s="11"/>
      <c r="G5362" s="12">
        <v>0</v>
      </c>
      <c r="H5362" s="12">
        <v>0</v>
      </c>
      <c r="I5362" s="12">
        <v>0</v>
      </c>
      <c r="J5362" s="11"/>
      <c r="K5362" s="12">
        <v>0</v>
      </c>
      <c r="L5362" s="10" t="str">
        <f>HYPERLINK("https://otsuka-europe-crm.veevavault.com/ui/#object/approved_document__v/V5OZ025E82TI1KD", "DEM MUTAZIONE tp53")</f>
        <v>DEM MUTAZIONE tp53</v>
      </c>
      <c r="M5362" s="10" t="str">
        <f>HYPERLINK("mailto:valerio.iannarilli@crm.otsuka-europe.com", "valerio.iannarilli@crm.otsuka-europe.com")</f>
        <v>valerio.iannarilli@crm.otsuka-europe.com</v>
      </c>
      <c r="N5362" s="13">
        <v>46219.47552083333</v>
      </c>
      <c r="O5362" s="14" t="str">
        <f>HYPERLINK("https://otsuka-europe-crm.veevavault.com/ui/#object/email_activity__v/V8C00000004A885", "EN-002106622")</f>
        <v>EN-002106622</v>
      </c>
    </row>
    <row r="5363" spans="1:15" ht="16" x14ac:dyDescent="0.2">
      <c r="A5363" s="18" t="str">
        <f>HYPERLINK("https://otsuka-europe-crm.veevavault.com/ui/#object/account__v/V4TZ025E85PDDM7", "GIULIA DRAGONETTI")</f>
        <v>GIULIA DRAGONETTI</v>
      </c>
      <c r="B5363" s="18" t="str">
        <f>HYPERLINK("https://otsuka-europe-crm.veevavault.com/ui/#object/vcountry__v/VENZ000004SONFQ", "IT")</f>
        <v>IT</v>
      </c>
      <c r="C5363" s="20" t="s">
        <v>42</v>
      </c>
      <c r="D5363" s="21" t="str">
        <f>HYPERLINK("https://otsuka-europe-crm.veevavault.com/ui/#object/approved_document__v/V5OZ025E82ODFFA", "AE Riduzione del burden di trattamento")</f>
        <v>AE Riduzione del burden di trattamento</v>
      </c>
      <c r="E5363" s="22" t="str">
        <f>HYPERLINK("https://otsuka-europe-crm.veevavault.com/ui/#object/sent_email__v/VBL000000037409", "SE-001444209")</f>
        <v>SE-001444209</v>
      </c>
      <c r="F5363" s="25">
        <v>46219.740474537037</v>
      </c>
      <c r="G5363" s="24">
        <v>1</v>
      </c>
      <c r="H5363" s="24">
        <v>2</v>
      </c>
      <c r="I5363" s="24">
        <v>0</v>
      </c>
      <c r="J5363" s="23"/>
      <c r="K5363" s="24">
        <v>0</v>
      </c>
      <c r="L5363" s="22" t="str">
        <f>HYPERLINK("https://otsuka-europe-crm.veevavault.com/ui/#object/approved_document__v/V5OZ025E82ODFFA", "AE Riduzione del burden di trattamento")</f>
        <v>AE Riduzione del burden di trattamento</v>
      </c>
      <c r="M5363" s="22" t="str">
        <f>HYPERLINK("mailto:valerio.iannarilli@crm.otsuka-europe.com", "valerio.iannarilli@crm.otsuka-europe.com")</f>
        <v>valerio.iannarilli@crm.otsuka-europe.com</v>
      </c>
      <c r="N5363" s="25">
        <v>46219.47552083333</v>
      </c>
      <c r="O5363" s="14" t="str">
        <f>HYPERLINK("https://otsuka-europe-crm.veevavault.com/ui/#object/email_activity__v/V8C000000049927", "EN-002106725")</f>
        <v>EN-002106725</v>
      </c>
    </row>
    <row r="5364" spans="1:15" ht="16" x14ac:dyDescent="0.2">
      <c r="A5364" s="26"/>
      <c r="B5364" s="26"/>
      <c r="C5364" s="26"/>
      <c r="D5364" s="26"/>
      <c r="E5364" s="26"/>
      <c r="F5364" s="26"/>
      <c r="G5364" s="26"/>
      <c r="H5364" s="26"/>
      <c r="I5364" s="26"/>
      <c r="J5364" s="26"/>
      <c r="K5364" s="26"/>
      <c r="L5364" s="26"/>
      <c r="M5364" s="26"/>
      <c r="N5364" s="26"/>
      <c r="O5364" s="14" t="str">
        <f>HYPERLINK("https://otsuka-europe-crm.veevavault.com/ui/#object/email_activity__v/V8C00000004A884", "EN-002106621")</f>
        <v>EN-002106621</v>
      </c>
    </row>
    <row r="5365" spans="1:15" ht="16" x14ac:dyDescent="0.2">
      <c r="A5365" s="19"/>
      <c r="B5365" s="19"/>
      <c r="C5365" s="19"/>
      <c r="D5365" s="19"/>
      <c r="E5365" s="19"/>
      <c r="F5365" s="19"/>
      <c r="G5365" s="19"/>
      <c r="H5365" s="19"/>
      <c r="I5365" s="19"/>
      <c r="J5365" s="19"/>
      <c r="K5365" s="19"/>
      <c r="L5365" s="19"/>
      <c r="M5365" s="19"/>
      <c r="N5365" s="19"/>
      <c r="O5365" s="14" t="str">
        <f>HYPERLINK("https://otsuka-europe-crm.veevavault.com/ui/#object/email_activity__v/V8C00000004A934", "EN-002106726")</f>
        <v>EN-002106726</v>
      </c>
    </row>
    <row r="5366" spans="1:15" ht="32" x14ac:dyDescent="0.2">
      <c r="A5366" s="7" t="str">
        <f>HYPERLINK("https://otsuka-europe-crm.veevavault.com/ui/#object/account__v/V4TZ025E85L4IPM", "CHIARA INNOCENTI")</f>
        <v>CHIARA INNOCENTI</v>
      </c>
      <c r="B5366" s="7" t="str">
        <f t="shared" ref="B5366:B5372" si="242">HYPERLINK("https://otsuka-europe-crm.veevavault.com/ui/#object/vcountry__v/VENZ000004SONFQ", "IT")</f>
        <v>IT</v>
      </c>
      <c r="C5366" s="8" t="s">
        <v>42</v>
      </c>
      <c r="D5366" s="9" t="str">
        <f>HYPERLINK("https://otsuka-europe-crm.veevavault.com/ui/#object/approved_document__v/V5OZ025E82TI1KD", "DEM MUTAZIONE tp53")</f>
        <v>DEM MUTAZIONE tp53</v>
      </c>
      <c r="E5366" s="10" t="str">
        <f>HYPERLINK("https://otsuka-europe-crm.veevavault.com/ui/#object/sent_email__v/VBL000000038325", "SE-001444210")</f>
        <v>SE-001444210</v>
      </c>
      <c r="F5366" s="11"/>
      <c r="G5366" s="12">
        <v>0</v>
      </c>
      <c r="H5366" s="12">
        <v>0</v>
      </c>
      <c r="I5366" s="12">
        <v>0</v>
      </c>
      <c r="J5366" s="11"/>
      <c r="K5366" s="12">
        <v>0</v>
      </c>
      <c r="L5366" s="10" t="str">
        <f>HYPERLINK("https://otsuka-europe-crm.veevavault.com/ui/#object/approved_document__v/V5OZ025E82TI1KD", "DEM MUTAZIONE tp53")</f>
        <v>DEM MUTAZIONE tp53</v>
      </c>
      <c r="M5366" s="10" t="str">
        <f t="shared" ref="M5366:M5372" si="243">HYPERLINK("mailto:valerio.iannarilli@crm.otsuka-europe.com", "valerio.iannarilli@crm.otsuka-europe.com")</f>
        <v>valerio.iannarilli@crm.otsuka-europe.com</v>
      </c>
      <c r="N5366" s="13">
        <v>46219.475856481484</v>
      </c>
      <c r="O5366" s="14" t="str">
        <f>HYPERLINK("https://otsuka-europe-crm.veevavault.com/ui/#object/email_activity__v/V8C00000004A887", "EN-002106630")</f>
        <v>EN-002106630</v>
      </c>
    </row>
    <row r="5367" spans="1:15" ht="32" x14ac:dyDescent="0.2">
      <c r="A5367" s="7" t="str">
        <f>HYPERLINK("https://otsuka-europe-crm.veevavault.com/ui/#object/account__v/V4TZ025E84G1S70", "DENISE MARAVALLE")</f>
        <v>DENISE MARAVALLE</v>
      </c>
      <c r="B5367" s="7" t="str">
        <f t="shared" si="242"/>
        <v>IT</v>
      </c>
      <c r="C5367" s="8" t="s">
        <v>42</v>
      </c>
      <c r="D5367" s="9" t="str">
        <f>HYPERLINK("https://otsuka-europe-crm.veevavault.com/ui/#object/approved_document__v/V5OZ025E82TI1KD", "DEM MUTAZIONE tp53")</f>
        <v>DEM MUTAZIONE tp53</v>
      </c>
      <c r="E5367" s="10" t="str">
        <f>HYPERLINK("https://otsuka-europe-crm.veevavault.com/ui/#object/sent_email__v/VBL000000038326", "SE-001444211")</f>
        <v>SE-001444211</v>
      </c>
      <c r="F5367" s="11"/>
      <c r="G5367" s="12">
        <v>0</v>
      </c>
      <c r="H5367" s="12">
        <v>0</v>
      </c>
      <c r="I5367" s="12">
        <v>0</v>
      </c>
      <c r="J5367" s="11"/>
      <c r="K5367" s="12">
        <v>0</v>
      </c>
      <c r="L5367" s="10" t="str">
        <f>HYPERLINK("https://otsuka-europe-crm.veevavault.com/ui/#object/approved_document__v/V5OZ025E82TI1KD", "DEM MUTAZIONE tp53")</f>
        <v>DEM MUTAZIONE tp53</v>
      </c>
      <c r="M5367" s="10" t="str">
        <f t="shared" si="243"/>
        <v>valerio.iannarilli@crm.otsuka-europe.com</v>
      </c>
      <c r="N5367" s="13">
        <v>46219.47619212963</v>
      </c>
      <c r="O5367" s="14" t="str">
        <f>HYPERLINK("https://otsuka-europe-crm.veevavault.com/ui/#object/email_activity__v/V8C00000004A886", "EN-002106624")</f>
        <v>EN-002106624</v>
      </c>
    </row>
    <row r="5368" spans="1:15" ht="32" x14ac:dyDescent="0.2">
      <c r="A5368" s="7" t="str">
        <f>HYPERLINK("https://otsuka-europe-crm.veevavault.com/ui/#object/account__v/V4TZ025E84ELEBC", "VINCENZA MARTINI")</f>
        <v>VINCENZA MARTINI</v>
      </c>
      <c r="B5368" s="7" t="str">
        <f t="shared" si="242"/>
        <v>IT</v>
      </c>
      <c r="C5368" s="8" t="s">
        <v>42</v>
      </c>
      <c r="D5368" s="9" t="str">
        <f>HYPERLINK("https://otsuka-europe-crm.veevavault.com/ui/#object/approved_document__v/V5OZ025E82ODFF9", "AE Inaqovi: ipometilante orale")</f>
        <v>AE Inaqovi: ipometilante orale</v>
      </c>
      <c r="E5368" s="10" t="str">
        <f>HYPERLINK("https://otsuka-europe-crm.veevavault.com/ui/#object/sent_email__v/VBL000000038327", "SE-001444212")</f>
        <v>SE-001444212</v>
      </c>
      <c r="F5368" s="11"/>
      <c r="G5368" s="12">
        <v>0</v>
      </c>
      <c r="H5368" s="12">
        <v>0</v>
      </c>
      <c r="I5368" s="12">
        <v>0</v>
      </c>
      <c r="J5368" s="11"/>
      <c r="K5368" s="12">
        <v>0</v>
      </c>
      <c r="L5368" s="10" t="str">
        <f>HYPERLINK("https://otsuka-europe-crm.veevavault.com/ui/#object/approved_document__v/V5OZ025E82ODFF9", "AE Inaqovi: ipometilante orale")</f>
        <v>AE Inaqovi: ipometilante orale</v>
      </c>
      <c r="M5368" s="10" t="str">
        <f t="shared" si="243"/>
        <v>valerio.iannarilli@crm.otsuka-europe.com</v>
      </c>
      <c r="N5368" s="13">
        <v>46219.47625</v>
      </c>
      <c r="O5368" s="14" t="str">
        <f>HYPERLINK("https://otsuka-europe-crm.veevavault.com/ui/#object/email_activity__v/V8C000000049873", "EN-002106623")</f>
        <v>EN-002106623</v>
      </c>
    </row>
    <row r="5369" spans="1:15" ht="32" x14ac:dyDescent="0.2">
      <c r="A5369" s="7" t="str">
        <f>HYPERLINK("https://otsuka-europe-crm.veevavault.com/ui/#object/account__v/V4TZ06G6O71SBKU", "LUCA MAURILLO")</f>
        <v>LUCA MAURILLO</v>
      </c>
      <c r="B5369" s="7" t="str">
        <f t="shared" si="242"/>
        <v>IT</v>
      </c>
      <c r="C5369" s="8" t="s">
        <v>42</v>
      </c>
      <c r="D5369" s="9" t="str">
        <f>HYPERLINK("https://otsuka-europe-crm.veevavault.com/ui/#object/approved_document__v/V5OZ025E82TDS3D", "AE Il ruolo del caregiver")</f>
        <v>AE Il ruolo del caregiver</v>
      </c>
      <c r="E5369" s="10" t="str">
        <f>HYPERLINK("https://otsuka-europe-crm.veevavault.com/ui/#object/sent_email__v/VBL000000038328", "SE-001444213")</f>
        <v>SE-001444213</v>
      </c>
      <c r="F5369" s="11"/>
      <c r="G5369" s="12">
        <v>0</v>
      </c>
      <c r="H5369" s="12">
        <v>0</v>
      </c>
      <c r="I5369" s="12">
        <v>0</v>
      </c>
      <c r="J5369" s="11"/>
      <c r="K5369" s="12">
        <v>0</v>
      </c>
      <c r="L5369" s="10" t="str">
        <f>HYPERLINK("https://otsuka-europe-crm.veevavault.com/ui/#object/approved_document__v/V5OZ025E82TDS3D", "AE Il ruolo del caregiver")</f>
        <v>AE Il ruolo del caregiver</v>
      </c>
      <c r="M5369" s="10" t="str">
        <f t="shared" si="243"/>
        <v>valerio.iannarilli@crm.otsuka-europe.com</v>
      </c>
      <c r="N5369" s="13">
        <v>46219.632106481484</v>
      </c>
      <c r="O5369" s="14" t="str">
        <f>HYPERLINK("https://otsuka-europe-crm.veevavault.com/ui/#object/email_activity__v/V8C000000049900", "EN-002106673")</f>
        <v>EN-002106673</v>
      </c>
    </row>
    <row r="5370" spans="1:15" ht="32" x14ac:dyDescent="0.2">
      <c r="A5370" s="7" t="str">
        <f>HYPERLINK("https://otsuka-europe-crm.veevavault.com/ui/#object/account__v/V4TZ025E85UFE34", "MARIA CHIARA MOLINARI")</f>
        <v>MARIA CHIARA MOLINARI</v>
      </c>
      <c r="B5370" s="7" t="str">
        <f t="shared" si="242"/>
        <v>IT</v>
      </c>
      <c r="C5370" s="8" t="s">
        <v>42</v>
      </c>
      <c r="D5370" s="9" t="str">
        <f>HYPERLINK("https://otsuka-europe-crm.veevavault.com/ui/#object/approved_document__v/V5OZ025E82TI1KD", "DEM MUTAZIONE tp53")</f>
        <v>DEM MUTAZIONE tp53</v>
      </c>
      <c r="E5370" s="10" t="str">
        <f>HYPERLINK("https://otsuka-europe-crm.veevavault.com/ui/#object/sent_email__v/VBL000000037410", "SE-001444214")</f>
        <v>SE-001444214</v>
      </c>
      <c r="F5370" s="11"/>
      <c r="G5370" s="12">
        <v>0</v>
      </c>
      <c r="H5370" s="12">
        <v>0</v>
      </c>
      <c r="I5370" s="12">
        <v>0</v>
      </c>
      <c r="J5370" s="11"/>
      <c r="K5370" s="12">
        <v>0</v>
      </c>
      <c r="L5370" s="10" t="str">
        <f>HYPERLINK("https://otsuka-europe-crm.veevavault.com/ui/#object/approved_document__v/V5OZ025E82TI1KD", "DEM MUTAZIONE tp53")</f>
        <v>DEM MUTAZIONE tp53</v>
      </c>
      <c r="M5370" s="10" t="str">
        <f t="shared" si="243"/>
        <v>valerio.iannarilli@crm.otsuka-europe.com</v>
      </c>
      <c r="N5370" s="13">
        <v>46219.477060185185</v>
      </c>
      <c r="O5370" s="14" t="str">
        <f>HYPERLINK("https://otsuka-europe-crm.veevavault.com/ui/#object/email_activity__v/V8C000000049875", "EN-002106626")</f>
        <v>EN-002106626</v>
      </c>
    </row>
    <row r="5371" spans="1:15" ht="32" x14ac:dyDescent="0.2">
      <c r="A5371" s="7" t="str">
        <f>HYPERLINK("https://otsuka-europe-crm.veevavault.com/ui/#object/account__v/V4TZ025E85SFPRE", "GUIDO MONTANARO")</f>
        <v>GUIDO MONTANARO</v>
      </c>
      <c r="B5371" s="7" t="str">
        <f t="shared" si="242"/>
        <v>IT</v>
      </c>
      <c r="C5371" s="8" t="s">
        <v>42</v>
      </c>
      <c r="D5371" s="9" t="str">
        <f>HYPERLINK("https://otsuka-europe-crm.veevavault.com/ui/#object/approved_document__v/V5OZ025E82TDS3E", "AE Indipendenza dal supporto Trasfusionale")</f>
        <v>AE Indipendenza dal supporto Trasfusionale</v>
      </c>
      <c r="E5371" s="10" t="str">
        <f>HYPERLINK("https://otsuka-europe-crm.veevavault.com/ui/#object/sent_email__v/VBL000000037411", "SE-001444215")</f>
        <v>SE-001444215</v>
      </c>
      <c r="F5371" s="11"/>
      <c r="G5371" s="12">
        <v>0</v>
      </c>
      <c r="H5371" s="12">
        <v>0</v>
      </c>
      <c r="I5371" s="12">
        <v>0</v>
      </c>
      <c r="J5371" s="11"/>
      <c r="K5371" s="12">
        <v>0</v>
      </c>
      <c r="L5371" s="10" t="str">
        <f>HYPERLINK("https://otsuka-europe-crm.veevavault.com/ui/#object/approved_document__v/V5OZ025E82TDS3E", "AE Indipendenza dal supporto Trasfusionale")</f>
        <v>AE Indipendenza dal supporto Trasfusionale</v>
      </c>
      <c r="M5371" s="10" t="str">
        <f t="shared" si="243"/>
        <v>valerio.iannarilli@crm.otsuka-europe.com</v>
      </c>
      <c r="N5371" s="13">
        <v>46219.477071759262</v>
      </c>
      <c r="O5371" s="14" t="str">
        <f>HYPERLINK("https://otsuka-europe-crm.veevavault.com/ui/#object/email_activity__v/V8C000000049874", "EN-002106625")</f>
        <v>EN-002106625</v>
      </c>
    </row>
    <row r="5372" spans="1:15" ht="16" x14ac:dyDescent="0.2">
      <c r="A5372" s="18" t="str">
        <f>HYPERLINK("https://otsuka-europe-crm.veevavault.com/ui/#object/account__v/V4TZ025E85B0MDJ", "PASQUALE NISCOLA")</f>
        <v>PASQUALE NISCOLA</v>
      </c>
      <c r="B5372" s="18" t="str">
        <f t="shared" si="242"/>
        <v>IT</v>
      </c>
      <c r="C5372" s="20" t="s">
        <v>42</v>
      </c>
      <c r="D5372" s="21" t="str">
        <f>HYPERLINK("https://otsuka-europe-crm.veevavault.com/ui/#object/approved_document__v/V5OZ025E82TDS3E", "AE Indipendenza dal supporto Trasfusionale")</f>
        <v>AE Indipendenza dal supporto Trasfusionale</v>
      </c>
      <c r="E5372" s="22" t="str">
        <f>HYPERLINK("https://otsuka-europe-crm.veevavault.com/ui/#object/sent_email__v/VBL000000038329", "SE-001444216")</f>
        <v>SE-001444216</v>
      </c>
      <c r="F5372" s="25">
        <v>46221.878877314812</v>
      </c>
      <c r="G5372" s="24">
        <v>1</v>
      </c>
      <c r="H5372" s="24">
        <v>10</v>
      </c>
      <c r="I5372" s="24">
        <v>0</v>
      </c>
      <c r="J5372" s="23"/>
      <c r="K5372" s="24">
        <v>0</v>
      </c>
      <c r="L5372" s="22" t="str">
        <f>HYPERLINK("https://otsuka-europe-crm.veevavault.com/ui/#object/approved_document__v/V5OZ025E82TDS3E", "AE Indipendenza dal supporto Trasfusionale")</f>
        <v>AE Indipendenza dal supporto Trasfusionale</v>
      </c>
      <c r="M5372" s="22" t="str">
        <f t="shared" si="243"/>
        <v>valerio.iannarilli@crm.otsuka-europe.com</v>
      </c>
      <c r="N5372" s="25">
        <v>46219.477233796293</v>
      </c>
      <c r="O5372" s="14" t="str">
        <f>HYPERLINK("https://otsuka-europe-crm.veevavault.com/ui/#object/email_activity__v/V8C000000049876", "EN-002106627")</f>
        <v>EN-002106627</v>
      </c>
    </row>
    <row r="5373" spans="1:15" ht="16" x14ac:dyDescent="0.2">
      <c r="A5373" s="26"/>
      <c r="B5373" s="26"/>
      <c r="C5373" s="26"/>
      <c r="D5373" s="26"/>
      <c r="E5373" s="26"/>
      <c r="F5373" s="26"/>
      <c r="G5373" s="26"/>
      <c r="H5373" s="26"/>
      <c r="I5373" s="26"/>
      <c r="J5373" s="26"/>
      <c r="K5373" s="26"/>
      <c r="L5373" s="26"/>
      <c r="M5373" s="26"/>
      <c r="N5373" s="26"/>
      <c r="O5373" s="14" t="str">
        <f>HYPERLINK("https://otsuka-europe-crm.veevavault.com/ui/#object/email_activity__v/V8C000000049879", "EN-002106633")</f>
        <v>EN-002106633</v>
      </c>
    </row>
    <row r="5374" spans="1:15" ht="16" x14ac:dyDescent="0.2">
      <c r="A5374" s="26"/>
      <c r="B5374" s="26"/>
      <c r="C5374" s="26"/>
      <c r="D5374" s="26"/>
      <c r="E5374" s="26"/>
      <c r="F5374" s="26"/>
      <c r="G5374" s="26"/>
      <c r="H5374" s="26"/>
      <c r="I5374" s="26"/>
      <c r="J5374" s="26"/>
      <c r="K5374" s="26"/>
      <c r="L5374" s="26"/>
      <c r="M5374" s="26"/>
      <c r="N5374" s="26"/>
      <c r="O5374" s="14" t="str">
        <f>HYPERLINK("https://otsuka-europe-crm.veevavault.com/ui/#object/email_activity__v/V8C000000049893", "EN-002106656")</f>
        <v>EN-002106656</v>
      </c>
    </row>
    <row r="5375" spans="1:15" ht="16" x14ac:dyDescent="0.2">
      <c r="A5375" s="26"/>
      <c r="B5375" s="26"/>
      <c r="C5375" s="26"/>
      <c r="D5375" s="26"/>
      <c r="E5375" s="26"/>
      <c r="F5375" s="26"/>
      <c r="G5375" s="26"/>
      <c r="H5375" s="26"/>
      <c r="I5375" s="26"/>
      <c r="J5375" s="26"/>
      <c r="K5375" s="26"/>
      <c r="L5375" s="26"/>
      <c r="M5375" s="26"/>
      <c r="N5375" s="26"/>
      <c r="O5375" s="14" t="str">
        <f>HYPERLINK("https://otsuka-europe-crm.veevavault.com/ui/#object/email_activity__v/V8C000000049894", "EN-002106657")</f>
        <v>EN-002106657</v>
      </c>
    </row>
    <row r="5376" spans="1:15" ht="16" x14ac:dyDescent="0.2">
      <c r="A5376" s="26"/>
      <c r="B5376" s="26"/>
      <c r="C5376" s="26"/>
      <c r="D5376" s="26"/>
      <c r="E5376" s="26"/>
      <c r="F5376" s="26"/>
      <c r="G5376" s="26"/>
      <c r="H5376" s="26"/>
      <c r="I5376" s="26"/>
      <c r="J5376" s="26"/>
      <c r="K5376" s="26"/>
      <c r="L5376" s="26"/>
      <c r="M5376" s="26"/>
      <c r="N5376" s="26"/>
      <c r="O5376" s="14" t="str">
        <f>HYPERLINK("https://otsuka-europe-crm.veevavault.com/ui/#object/email_activity__v/V8C000000049920", "EN-002106708")</f>
        <v>EN-002106708</v>
      </c>
    </row>
    <row r="5377" spans="1:15" ht="16" x14ac:dyDescent="0.2">
      <c r="A5377" s="26"/>
      <c r="B5377" s="26"/>
      <c r="C5377" s="26"/>
      <c r="D5377" s="26"/>
      <c r="E5377" s="26"/>
      <c r="F5377" s="26"/>
      <c r="G5377" s="26"/>
      <c r="H5377" s="26"/>
      <c r="I5377" s="26"/>
      <c r="J5377" s="26"/>
      <c r="K5377" s="26"/>
      <c r="L5377" s="26"/>
      <c r="M5377" s="26"/>
      <c r="N5377" s="26"/>
      <c r="O5377" s="14" t="str">
        <f>HYPERLINK("https://otsuka-europe-crm.veevavault.com/ui/#object/email_activity__v/V8C00000004A891", "EN-002106635")</f>
        <v>EN-002106635</v>
      </c>
    </row>
    <row r="5378" spans="1:15" ht="16" x14ac:dyDescent="0.2">
      <c r="A5378" s="26"/>
      <c r="B5378" s="26"/>
      <c r="C5378" s="26"/>
      <c r="D5378" s="26"/>
      <c r="E5378" s="26"/>
      <c r="F5378" s="26"/>
      <c r="G5378" s="26"/>
      <c r="H5378" s="26"/>
      <c r="I5378" s="26"/>
      <c r="J5378" s="26"/>
      <c r="K5378" s="26"/>
      <c r="L5378" s="26"/>
      <c r="M5378" s="26"/>
      <c r="N5378" s="26"/>
      <c r="O5378" s="14" t="str">
        <f>HYPERLINK("https://otsuka-europe-crm.veevavault.com/ui/#object/email_activity__v/V8C00000004A898", "EN-002106655")</f>
        <v>EN-002106655</v>
      </c>
    </row>
    <row r="5379" spans="1:15" ht="16" x14ac:dyDescent="0.2">
      <c r="A5379" s="26"/>
      <c r="B5379" s="26"/>
      <c r="C5379" s="26"/>
      <c r="D5379" s="26"/>
      <c r="E5379" s="26"/>
      <c r="F5379" s="26"/>
      <c r="G5379" s="26"/>
      <c r="H5379" s="26"/>
      <c r="I5379" s="26"/>
      <c r="J5379" s="26"/>
      <c r="K5379" s="26"/>
      <c r="L5379" s="26"/>
      <c r="M5379" s="26"/>
      <c r="N5379" s="26"/>
      <c r="O5379" s="14" t="str">
        <f>HYPERLINK("https://otsuka-europe-crm.veevavault.com/ui/#object/email_activity__v/V8C00000004A899", "EN-002106658")</f>
        <v>EN-002106658</v>
      </c>
    </row>
    <row r="5380" spans="1:15" ht="16" x14ac:dyDescent="0.2">
      <c r="A5380" s="26"/>
      <c r="B5380" s="26"/>
      <c r="C5380" s="26"/>
      <c r="D5380" s="26"/>
      <c r="E5380" s="26"/>
      <c r="F5380" s="26"/>
      <c r="G5380" s="26"/>
      <c r="H5380" s="26"/>
      <c r="I5380" s="26"/>
      <c r="J5380" s="26"/>
      <c r="K5380" s="26"/>
      <c r="L5380" s="26"/>
      <c r="M5380" s="26"/>
      <c r="N5380" s="26"/>
      <c r="O5380" s="14" t="str">
        <f>HYPERLINK("https://otsuka-europe-crm.veevavault.com/ui/#object/email_activity__v/V8C00000004A935", "EN-002106727")</f>
        <v>EN-002106727</v>
      </c>
    </row>
    <row r="5381" spans="1:15" ht="16" x14ac:dyDescent="0.2">
      <c r="A5381" s="26"/>
      <c r="B5381" s="26"/>
      <c r="C5381" s="26"/>
      <c r="D5381" s="26"/>
      <c r="E5381" s="26"/>
      <c r="F5381" s="26"/>
      <c r="G5381" s="26"/>
      <c r="H5381" s="26"/>
      <c r="I5381" s="26"/>
      <c r="J5381" s="26"/>
      <c r="K5381" s="26"/>
      <c r="L5381" s="26"/>
      <c r="M5381" s="26"/>
      <c r="N5381" s="26"/>
      <c r="O5381" s="14" t="str">
        <f>HYPERLINK("https://otsuka-europe-crm.veevavault.com/ui/#object/email_activity__v/V8C00000004B091", "EN-002106887")</f>
        <v>EN-002106887</v>
      </c>
    </row>
    <row r="5382" spans="1:15" ht="16" x14ac:dyDescent="0.2">
      <c r="A5382" s="19"/>
      <c r="B5382" s="19"/>
      <c r="C5382" s="19"/>
      <c r="D5382" s="19"/>
      <c r="E5382" s="19"/>
      <c r="F5382" s="19"/>
      <c r="G5382" s="19"/>
      <c r="H5382" s="19"/>
      <c r="I5382" s="19"/>
      <c r="J5382" s="19"/>
      <c r="K5382" s="19"/>
      <c r="L5382" s="19"/>
      <c r="M5382" s="19"/>
      <c r="N5382" s="19"/>
      <c r="O5382" s="14" t="str">
        <f>HYPERLINK("https://otsuka-europe-crm.veevavault.com/ui/#object/email_activity__v/V8C00000004C037", "EN-002106814")</f>
        <v>EN-002106814</v>
      </c>
    </row>
    <row r="5383" spans="1:15" ht="32" x14ac:dyDescent="0.2">
      <c r="A5383" s="7" t="str">
        <f>HYPERLINK("https://otsuka-europe-crm.veevavault.com/ui/#object/account__v/V4TZ025E846Z32Z", "ANNA LINA PICCIONI")</f>
        <v>ANNA LINA PICCIONI</v>
      </c>
      <c r="B5383" s="7" t="str">
        <f t="shared" ref="B5383:B5389" si="244">HYPERLINK("https://otsuka-europe-crm.veevavault.com/ui/#object/vcountry__v/VENZ000004SONFQ", "IT")</f>
        <v>IT</v>
      </c>
      <c r="C5383" s="8" t="s">
        <v>42</v>
      </c>
      <c r="D5383" s="9" t="str">
        <f>HYPERLINK("https://otsuka-europe-crm.veevavault.com/ui/#object/approved_document__v/V5OZ025E82TDS3E", "AE Indipendenza dal supporto Trasfusionale")</f>
        <v>AE Indipendenza dal supporto Trasfusionale</v>
      </c>
      <c r="E5383" s="10" t="str">
        <f>HYPERLINK("https://otsuka-europe-crm.veevavault.com/ui/#object/sent_email__v/VBL000000037412", "SE-001444217")</f>
        <v>SE-001444217</v>
      </c>
      <c r="F5383" s="11"/>
      <c r="G5383" s="12">
        <v>0</v>
      </c>
      <c r="H5383" s="12">
        <v>0</v>
      </c>
      <c r="I5383" s="12">
        <v>0</v>
      </c>
      <c r="J5383" s="11"/>
      <c r="K5383" s="12">
        <v>0</v>
      </c>
      <c r="L5383" s="10" t="str">
        <f>HYPERLINK("https://otsuka-europe-crm.veevavault.com/ui/#object/approved_document__v/V5OZ025E82TDS3E", "AE Indipendenza dal supporto Trasfusionale")</f>
        <v>AE Indipendenza dal supporto Trasfusionale</v>
      </c>
      <c r="M5383" s="10" t="str">
        <f t="shared" ref="M5383:M5389" si="245">HYPERLINK("mailto:valerio.iannarilli@crm.otsuka-europe.com", "valerio.iannarilli@crm.otsuka-europe.com")</f>
        <v>valerio.iannarilli@crm.otsuka-europe.com</v>
      </c>
      <c r="N5383" s="13">
        <v>46219.477592592593</v>
      </c>
      <c r="O5383" s="14" t="str">
        <f>HYPERLINK("https://otsuka-europe-crm.veevavault.com/ui/#object/email_activity__v/V8C000000049877", "EN-002106628")</f>
        <v>EN-002106628</v>
      </c>
    </row>
    <row r="5384" spans="1:15" ht="32" x14ac:dyDescent="0.2">
      <c r="A5384" s="7" t="str">
        <f>HYPERLINK("https://otsuka-europe-crm.veevavault.com/ui/#object/account__v/V4TZ025E83SZ9I8", "LUISA QUATTROCCHI")</f>
        <v>LUISA QUATTROCCHI</v>
      </c>
      <c r="B5384" s="7" t="str">
        <f t="shared" si="244"/>
        <v>IT</v>
      </c>
      <c r="C5384" s="8" t="s">
        <v>42</v>
      </c>
      <c r="D5384" s="9" t="str">
        <f>HYPERLINK("https://otsuka-europe-crm.veevavault.com/ui/#object/approved_document__v/V5OZ025E82TDS3D", "AE Il ruolo del caregiver")</f>
        <v>AE Il ruolo del caregiver</v>
      </c>
      <c r="E5384" s="10" t="str">
        <f>HYPERLINK("https://otsuka-europe-crm.veevavault.com/ui/#object/sent_email__v/VBL000000038330", "SE-001444218")</f>
        <v>SE-001444218</v>
      </c>
      <c r="F5384" s="11"/>
      <c r="G5384" s="12">
        <v>0</v>
      </c>
      <c r="H5384" s="12">
        <v>0</v>
      </c>
      <c r="I5384" s="12">
        <v>0</v>
      </c>
      <c r="J5384" s="11"/>
      <c r="K5384" s="12">
        <v>0</v>
      </c>
      <c r="L5384" s="10" t="str">
        <f>HYPERLINK("https://otsuka-europe-crm.veevavault.com/ui/#object/approved_document__v/V5OZ025E82TDS3D", "AE Il ruolo del caregiver")</f>
        <v>AE Il ruolo del caregiver</v>
      </c>
      <c r="M5384" s="10" t="str">
        <f t="shared" si="245"/>
        <v>valerio.iannarilli@crm.otsuka-europe.com</v>
      </c>
      <c r="N5384" s="13">
        <v>46219.632106481484</v>
      </c>
      <c r="O5384" s="14" t="str">
        <f>HYPERLINK("https://otsuka-europe-crm.veevavault.com/ui/#object/email_activity__v/V8C000000049899", "EN-002106672")</f>
        <v>EN-002106672</v>
      </c>
    </row>
    <row r="5385" spans="1:15" ht="32" x14ac:dyDescent="0.2">
      <c r="A5385" s="7" t="str">
        <f>HYPERLINK("https://otsuka-europe-crm.veevavault.com/ui/#object/account__v/V4TZ025E84514SO", "ANGELA RAGO")</f>
        <v>ANGELA RAGO</v>
      </c>
      <c r="B5385" s="7" t="str">
        <f t="shared" si="244"/>
        <v>IT</v>
      </c>
      <c r="C5385" s="8" t="s">
        <v>42</v>
      </c>
      <c r="D5385" s="9" t="str">
        <f>HYPERLINK("https://otsuka-europe-crm.veevavault.com/ui/#object/approved_document__v/V5OZ025E82TDS3E", "AE Indipendenza dal supporto Trasfusionale")</f>
        <v>AE Indipendenza dal supporto Trasfusionale</v>
      </c>
      <c r="E5385" s="10" t="str">
        <f>HYPERLINK("https://otsuka-europe-crm.veevavault.com/ui/#object/sent_email__v/VBL000000037413", "SE-001444219")</f>
        <v>SE-001444219</v>
      </c>
      <c r="F5385" s="11"/>
      <c r="G5385" s="12">
        <v>0</v>
      </c>
      <c r="H5385" s="12">
        <v>0</v>
      </c>
      <c r="I5385" s="12">
        <v>0</v>
      </c>
      <c r="J5385" s="11"/>
      <c r="K5385" s="12">
        <v>0</v>
      </c>
      <c r="L5385" s="10" t="str">
        <f>HYPERLINK("https://otsuka-europe-crm.veevavault.com/ui/#object/approved_document__v/V5OZ025E82TDS3E", "AE Indipendenza dal supporto Trasfusionale")</f>
        <v>AE Indipendenza dal supporto Trasfusionale</v>
      </c>
      <c r="M5385" s="10" t="str">
        <f t="shared" si="245"/>
        <v>valerio.iannarilli@crm.otsuka-europe.com</v>
      </c>
      <c r="N5385" s="13">
        <v>46219.477939814817</v>
      </c>
      <c r="O5385" s="14" t="str">
        <f>HYPERLINK("https://otsuka-europe-crm.veevavault.com/ui/#object/email_activity__v/V8C000000049878", "EN-002106629")</f>
        <v>EN-002106629</v>
      </c>
    </row>
    <row r="5386" spans="1:15" ht="32" x14ac:dyDescent="0.2">
      <c r="A5386" s="7" t="str">
        <f>HYPERLINK("https://otsuka-europe-crm.veevavault.com/ui/#object/account__v/V4TZ025E845G6GN", "SERENA ROSATI")</f>
        <v>SERENA ROSATI</v>
      </c>
      <c r="B5386" s="7" t="str">
        <f t="shared" si="244"/>
        <v>IT</v>
      </c>
      <c r="C5386" s="8" t="s">
        <v>42</v>
      </c>
      <c r="D5386" s="9" t="str">
        <f>HYPERLINK("https://otsuka-europe-crm.veevavault.com/ui/#object/approved_document__v/V5OZ025E82TDS3D", "AE Il ruolo del caregiver")</f>
        <v>AE Il ruolo del caregiver</v>
      </c>
      <c r="E5386" s="10" t="str">
        <f>HYPERLINK("https://otsuka-europe-crm.veevavault.com/ui/#object/sent_email__v/VBL000000037414", "SE-001444220")</f>
        <v>SE-001444220</v>
      </c>
      <c r="F5386" s="11"/>
      <c r="G5386" s="12">
        <v>0</v>
      </c>
      <c r="H5386" s="12">
        <v>0</v>
      </c>
      <c r="I5386" s="12">
        <v>0</v>
      </c>
      <c r="J5386" s="11"/>
      <c r="K5386" s="12">
        <v>0</v>
      </c>
      <c r="L5386" s="10" t="str">
        <f>HYPERLINK("https://otsuka-europe-crm.veevavault.com/ui/#object/approved_document__v/V5OZ025E82TDS3D", "AE Il ruolo del caregiver")</f>
        <v>AE Il ruolo del caregiver</v>
      </c>
      <c r="M5386" s="10" t="str">
        <f t="shared" si="245"/>
        <v>valerio.iannarilli@crm.otsuka-europe.com</v>
      </c>
      <c r="N5386" s="13">
        <v>46219.632106481484</v>
      </c>
      <c r="O5386" s="14" t="str">
        <f>HYPERLINK("https://otsuka-europe-crm.veevavault.com/ui/#object/email_activity__v/V8C000000049909", "EN-002106690")</f>
        <v>EN-002106690</v>
      </c>
    </row>
    <row r="5387" spans="1:15" ht="32" x14ac:dyDescent="0.2">
      <c r="A5387" s="7" t="str">
        <f>HYPERLINK("https://otsuka-europe-crm.veevavault.com/ui/#object/account__v/V4TZ025E845HUQ2", "MARTINA ROUSSEAU")</f>
        <v>MARTINA ROUSSEAU</v>
      </c>
      <c r="B5387" s="7" t="str">
        <f t="shared" si="244"/>
        <v>IT</v>
      </c>
      <c r="C5387" s="8" t="s">
        <v>42</v>
      </c>
      <c r="D5387" s="9" t="str">
        <f>HYPERLINK("https://otsuka-europe-crm.veevavault.com/ui/#object/approved_document__v/V5OZ025E82TDS3D", "AE Il ruolo del caregiver")</f>
        <v>AE Il ruolo del caregiver</v>
      </c>
      <c r="E5387" s="10" t="str">
        <f>HYPERLINK("https://otsuka-europe-crm.veevavault.com/ui/#object/sent_email__v/VBL000000038331", "SE-001444221")</f>
        <v>SE-001444221</v>
      </c>
      <c r="F5387" s="11"/>
      <c r="G5387" s="12">
        <v>0</v>
      </c>
      <c r="H5387" s="12">
        <v>0</v>
      </c>
      <c r="I5387" s="12">
        <v>0</v>
      </c>
      <c r="J5387" s="11"/>
      <c r="K5387" s="12">
        <v>0</v>
      </c>
      <c r="L5387" s="10" t="str">
        <f>HYPERLINK("https://otsuka-europe-crm.veevavault.com/ui/#object/approved_document__v/V5OZ025E82TDS3D", "AE Il ruolo del caregiver")</f>
        <v>AE Il ruolo del caregiver</v>
      </c>
      <c r="M5387" s="10" t="str">
        <f t="shared" si="245"/>
        <v>valerio.iannarilli@crm.otsuka-europe.com</v>
      </c>
      <c r="N5387" s="13">
        <v>46220.75708333333</v>
      </c>
      <c r="O5387" s="14" t="str">
        <f>HYPERLINK("https://otsuka-europe-crm.veevavault.com/ui/#object/email_activity__v/V8C00000004C053", "EN-002106844")</f>
        <v>EN-002106844</v>
      </c>
    </row>
    <row r="5388" spans="1:15" ht="32" x14ac:dyDescent="0.2">
      <c r="A5388" s="7" t="str">
        <f>HYPERLINK("https://otsuka-europe-crm.veevavault.com/ui/#object/account__v/V4TZ025E845FQYH", "SIMONE SANTINI")</f>
        <v>SIMONE SANTINI</v>
      </c>
      <c r="B5388" s="7" t="str">
        <f t="shared" si="244"/>
        <v>IT</v>
      </c>
      <c r="C5388" s="8" t="s">
        <v>42</v>
      </c>
      <c r="D5388" s="9" t="str">
        <f>HYPERLINK("https://otsuka-europe-crm.veevavault.com/ui/#object/approved_document__v/V5OZ025E82TDS3D", "AE Il ruolo del caregiver")</f>
        <v>AE Il ruolo del caregiver</v>
      </c>
      <c r="E5388" s="10" t="str">
        <f>HYPERLINK("https://otsuka-europe-crm.veevavault.com/ui/#object/sent_email__v/VBL000000038332", "SE-001444222")</f>
        <v>SE-001444222</v>
      </c>
      <c r="F5388" s="11"/>
      <c r="G5388" s="12">
        <v>0</v>
      </c>
      <c r="H5388" s="12">
        <v>0</v>
      </c>
      <c r="I5388" s="12">
        <v>0</v>
      </c>
      <c r="J5388" s="11"/>
      <c r="K5388" s="12">
        <v>0</v>
      </c>
      <c r="L5388" s="10" t="str">
        <f>HYPERLINK("https://otsuka-europe-crm.veevavault.com/ui/#object/approved_document__v/V5OZ025E82TDS3D", "AE Il ruolo del caregiver")</f>
        <v>AE Il ruolo del caregiver</v>
      </c>
      <c r="M5388" s="10" t="str">
        <f t="shared" si="245"/>
        <v>valerio.iannarilli@crm.otsuka-europe.com</v>
      </c>
      <c r="N5388" s="13">
        <v>46220.75708333333</v>
      </c>
      <c r="O5388" s="14" t="str">
        <f>HYPERLINK("https://otsuka-europe-crm.veevavault.com/ui/#object/email_activity__v/V8C00000004C052", "EN-002106843")</f>
        <v>EN-002106843</v>
      </c>
    </row>
    <row r="5389" spans="1:15" ht="32" x14ac:dyDescent="0.2">
      <c r="A5389" s="7" t="str">
        <f>HYPERLINK("https://otsuka-europe-crm.veevavault.com/ui/#object/account__v/V4TZ025E83WEZD3", "SOFIA SCIABOLACCI")</f>
        <v>SOFIA SCIABOLACCI</v>
      </c>
      <c r="B5389" s="7" t="str">
        <f t="shared" si="244"/>
        <v>IT</v>
      </c>
      <c r="C5389" s="8" t="s">
        <v>42</v>
      </c>
      <c r="D5389" s="9" t="str">
        <f>HYPERLINK("https://otsuka-europe-crm.veevavault.com/ui/#object/approved_document__v/V5OZ025E82TDS3D", "AE Il ruolo del caregiver")</f>
        <v>AE Il ruolo del caregiver</v>
      </c>
      <c r="E5389" s="10" t="str">
        <f>HYPERLINK("https://otsuka-europe-crm.veevavault.com/ui/#object/sent_email__v/VBL000000037415", "SE-001444223")</f>
        <v>SE-001444223</v>
      </c>
      <c r="F5389" s="11"/>
      <c r="G5389" s="12">
        <v>0</v>
      </c>
      <c r="H5389" s="12">
        <v>0</v>
      </c>
      <c r="I5389" s="12">
        <v>0</v>
      </c>
      <c r="J5389" s="11"/>
      <c r="K5389" s="12">
        <v>0</v>
      </c>
      <c r="L5389" s="10" t="str">
        <f>HYPERLINK("https://otsuka-europe-crm.veevavault.com/ui/#object/approved_document__v/V5OZ025E82TDS3D", "AE Il ruolo del caregiver")</f>
        <v>AE Il ruolo del caregiver</v>
      </c>
      <c r="M5389" s="10" t="str">
        <f t="shared" si="245"/>
        <v>valerio.iannarilli@crm.otsuka-europe.com</v>
      </c>
      <c r="N5389" s="13">
        <v>46219.632106481484</v>
      </c>
      <c r="O5389" s="14" t="str">
        <f>HYPERLINK("https://otsuka-europe-crm.veevavault.com/ui/#object/email_activity__v/V8C000000049902", "EN-002106680")</f>
        <v>EN-002106680</v>
      </c>
    </row>
    <row r="5390" spans="1:15" ht="32" x14ac:dyDescent="0.2">
      <c r="A5390" s="7" t="str">
        <f>HYPERLINK("https://otsuka-europe-crm.veevavault.com/ui/#object/account__v/V4TZ0000062PK9D", "Ian Grace")</f>
        <v>Ian Grace</v>
      </c>
      <c r="B5390" s="7" t="str">
        <f>HYPERLINK("https://otsuka-europe-crm.veevavault.com/ui/#object/vcountry__v/VENZ000004SONFK", "GB")</f>
        <v>GB</v>
      </c>
      <c r="C5390" s="8" t="s">
        <v>41</v>
      </c>
      <c r="D5390" s="9" t="str">
        <f>HYPERLINK("https://otsuka-europe-crm.veevavault.com/ui/#object/approved_document__v/V5O00000000I022", "Aripiprazole 960mg FAQ VAE")</f>
        <v>Aripiprazole 960mg FAQ VAE</v>
      </c>
      <c r="E5390" s="10" t="str">
        <f>HYPERLINK("https://otsuka-europe-crm.veevavault.com/ui/#object/sent_email__v/VBL000000037416", "SE-001444224")</f>
        <v>SE-001444224</v>
      </c>
      <c r="F5390" s="11"/>
      <c r="G5390" s="12">
        <v>0</v>
      </c>
      <c r="H5390" s="12">
        <v>0</v>
      </c>
      <c r="I5390" s="12">
        <v>0</v>
      </c>
      <c r="J5390" s="11"/>
      <c r="K5390" s="12">
        <v>0</v>
      </c>
      <c r="L5390" s="10" t="str">
        <f>HYPERLINK("https://otsuka-europe-crm.veevavault.com/ui/#object/approved_document__v/V5O00000000I022", "Aripiprazole 960mg FAQ VAE")</f>
        <v>Aripiprazole 960mg FAQ VAE</v>
      </c>
      <c r="M5390" s="10" t="str">
        <f>HYPERLINK("mailto:ldimambro@crm.otsuka-europe.com", "ldimambro@crm.otsuka-europe.com")</f>
        <v>ldimambro@crm.otsuka-europe.com</v>
      </c>
      <c r="N5390" s="13">
        <v>46219.528287037036</v>
      </c>
      <c r="O5390" s="14" t="str">
        <f>HYPERLINK("https://otsuka-europe-crm.veevavault.com/ui/#object/email_activity__v/V8C000000049884", "EN-002106640")</f>
        <v>EN-002106640</v>
      </c>
    </row>
    <row r="5391" spans="1:15" ht="16" x14ac:dyDescent="0.2">
      <c r="A5391" s="18" t="str">
        <f>HYPERLINK("https://otsuka-europe-crm.veevavault.com/ui/#object/account__v/V4T000000029026", "Spyridon Zotos")</f>
        <v>Spyridon Zotos</v>
      </c>
      <c r="B5391" s="18" t="str">
        <f>HYPERLINK("https://otsuka-europe-crm.veevavault.com/ui/#object/vcountry__v/VENZ000004SONFK", "GB")</f>
        <v>GB</v>
      </c>
      <c r="C5391" s="20" t="s">
        <v>41</v>
      </c>
      <c r="D5391" s="21" t="str">
        <f>HYPERLINK("https://otsuka-europe-crm.veevavault.com/ui/#object/approved_document__v/V5O00000001V001", "LDM DR P2P Invite 12-Nov-26 v2 [digital]")</f>
        <v>LDM DR P2P Invite 12-Nov-26 v2 [digital]</v>
      </c>
      <c r="E5391" s="22" t="str">
        <f>HYPERLINK("https://otsuka-europe-crm.veevavault.com/ui/#object/sent_email__v/VBL000000037417", "SE-001444225")</f>
        <v>SE-001444225</v>
      </c>
      <c r="F5391" s="25">
        <v>46236.646168981482</v>
      </c>
      <c r="G5391" s="24">
        <v>1</v>
      </c>
      <c r="H5391" s="24">
        <v>21</v>
      </c>
      <c r="I5391" s="24">
        <v>0</v>
      </c>
      <c r="J5391" s="23"/>
      <c r="K5391" s="24">
        <v>0</v>
      </c>
      <c r="L5391" s="22" t="str">
        <f>HYPERLINK("https://otsuka-europe-crm.veevavault.com/ui/#object/approved_document__v/V5O00000001V001", "LDM DR P2P Invite 12-Nov-26 v2 [digital]")</f>
        <v>LDM DR P2P Invite 12-Nov-26 v2 [digital]</v>
      </c>
      <c r="M5391" s="22" t="str">
        <f>HYPERLINK("mailto:draval@crm.otsuka-europe.com", "draval@crm.otsuka-europe.com")</f>
        <v>draval@crm.otsuka-europe.com</v>
      </c>
      <c r="N5391" s="25">
        <v>46219.535196759258</v>
      </c>
      <c r="O5391" s="14" t="str">
        <f>HYPERLINK("https://otsuka-europe-crm.veevavault.com/ui/#object/email_activity__v/V8C000000049885", "EN-002106642")</f>
        <v>EN-002106642</v>
      </c>
    </row>
    <row r="5392" spans="1:15" ht="16" x14ac:dyDescent="0.2">
      <c r="A5392" s="26"/>
      <c r="B5392" s="26"/>
      <c r="C5392" s="26"/>
      <c r="D5392" s="26"/>
      <c r="E5392" s="26"/>
      <c r="F5392" s="26"/>
      <c r="G5392" s="26"/>
      <c r="H5392" s="26"/>
      <c r="I5392" s="26"/>
      <c r="J5392" s="26"/>
      <c r="K5392" s="26"/>
      <c r="L5392" s="26"/>
      <c r="M5392" s="26"/>
      <c r="N5392" s="26"/>
      <c r="O5392" s="14" t="str">
        <f>HYPERLINK("https://otsuka-europe-crm.veevavault.com/ui/#object/email_activity__v/V8C00000004B239", "EN-002107124")</f>
        <v>EN-002107124</v>
      </c>
    </row>
    <row r="5393" spans="1:15" ht="16" x14ac:dyDescent="0.2">
      <c r="A5393" s="26"/>
      <c r="B5393" s="26"/>
      <c r="C5393" s="26"/>
      <c r="D5393" s="26"/>
      <c r="E5393" s="26"/>
      <c r="F5393" s="26"/>
      <c r="G5393" s="26"/>
      <c r="H5393" s="26"/>
      <c r="I5393" s="26"/>
      <c r="J5393" s="26"/>
      <c r="K5393" s="26"/>
      <c r="L5393" s="26"/>
      <c r="M5393" s="26"/>
      <c r="N5393" s="26"/>
      <c r="O5393" s="14" t="str">
        <f>HYPERLINK("https://otsuka-europe-crm.veevavault.com/ui/#object/email_activity__v/V8C00000004B240", "EN-002107125")</f>
        <v>EN-002107125</v>
      </c>
    </row>
    <row r="5394" spans="1:15" ht="16" x14ac:dyDescent="0.2">
      <c r="A5394" s="26"/>
      <c r="B5394" s="26"/>
      <c r="C5394" s="26"/>
      <c r="D5394" s="26"/>
      <c r="E5394" s="26"/>
      <c r="F5394" s="26"/>
      <c r="G5394" s="26"/>
      <c r="H5394" s="26"/>
      <c r="I5394" s="26"/>
      <c r="J5394" s="26"/>
      <c r="K5394" s="26"/>
      <c r="L5394" s="26"/>
      <c r="M5394" s="26"/>
      <c r="N5394" s="26"/>
      <c r="O5394" s="14" t="str">
        <f>HYPERLINK("https://otsuka-europe-crm.veevavault.com/ui/#object/email_activity__v/V8C00000004B247", "EN-002107146")</f>
        <v>EN-002107146</v>
      </c>
    </row>
    <row r="5395" spans="1:15" ht="16" x14ac:dyDescent="0.2">
      <c r="A5395" s="26"/>
      <c r="B5395" s="26"/>
      <c r="C5395" s="26"/>
      <c r="D5395" s="26"/>
      <c r="E5395" s="26"/>
      <c r="F5395" s="26"/>
      <c r="G5395" s="26"/>
      <c r="H5395" s="26"/>
      <c r="I5395" s="26"/>
      <c r="J5395" s="26"/>
      <c r="K5395" s="26"/>
      <c r="L5395" s="26"/>
      <c r="M5395" s="26"/>
      <c r="N5395" s="26"/>
      <c r="O5395" s="14" t="str">
        <f>HYPERLINK("https://otsuka-europe-crm.veevavault.com/ui/#object/email_activity__v/V8C00000004B249", "EN-002107149")</f>
        <v>EN-002107149</v>
      </c>
    </row>
    <row r="5396" spans="1:15" ht="16" x14ac:dyDescent="0.2">
      <c r="A5396" s="26"/>
      <c r="B5396" s="26"/>
      <c r="C5396" s="26"/>
      <c r="D5396" s="26"/>
      <c r="E5396" s="26"/>
      <c r="F5396" s="26"/>
      <c r="G5396" s="26"/>
      <c r="H5396" s="26"/>
      <c r="I5396" s="26"/>
      <c r="J5396" s="26"/>
      <c r="K5396" s="26"/>
      <c r="L5396" s="26"/>
      <c r="M5396" s="26"/>
      <c r="N5396" s="26"/>
      <c r="O5396" s="14" t="str">
        <f>HYPERLINK("https://otsuka-europe-crm.veevavault.com/ui/#object/email_activity__v/V8C00000004B250", "EN-002107150")</f>
        <v>EN-002107150</v>
      </c>
    </row>
    <row r="5397" spans="1:15" ht="16" x14ac:dyDescent="0.2">
      <c r="A5397" s="26"/>
      <c r="B5397" s="26"/>
      <c r="C5397" s="26"/>
      <c r="D5397" s="26"/>
      <c r="E5397" s="26"/>
      <c r="F5397" s="26"/>
      <c r="G5397" s="26"/>
      <c r="H5397" s="26"/>
      <c r="I5397" s="26"/>
      <c r="J5397" s="26"/>
      <c r="K5397" s="26"/>
      <c r="L5397" s="26"/>
      <c r="M5397" s="26"/>
      <c r="N5397" s="26"/>
      <c r="O5397" s="14" t="str">
        <f>HYPERLINK("https://otsuka-europe-crm.veevavault.com/ui/#object/email_activity__v/V8C00000004B269", "EN-002107185")</f>
        <v>EN-002107185</v>
      </c>
    </row>
    <row r="5398" spans="1:15" ht="16" x14ac:dyDescent="0.2">
      <c r="A5398" s="26"/>
      <c r="B5398" s="26"/>
      <c r="C5398" s="26"/>
      <c r="D5398" s="26"/>
      <c r="E5398" s="26"/>
      <c r="F5398" s="26"/>
      <c r="G5398" s="26"/>
      <c r="H5398" s="26"/>
      <c r="I5398" s="26"/>
      <c r="J5398" s="26"/>
      <c r="K5398" s="26"/>
      <c r="L5398" s="26"/>
      <c r="M5398" s="26"/>
      <c r="N5398" s="26"/>
      <c r="O5398" s="14" t="str">
        <f>HYPERLINK("https://otsuka-europe-crm.veevavault.com/ui/#object/email_activity__v/V8C00000004B299", "EN-002107252")</f>
        <v>EN-002107252</v>
      </c>
    </row>
    <row r="5399" spans="1:15" ht="16" x14ac:dyDescent="0.2">
      <c r="A5399" s="26"/>
      <c r="B5399" s="26"/>
      <c r="C5399" s="26"/>
      <c r="D5399" s="26"/>
      <c r="E5399" s="26"/>
      <c r="F5399" s="26"/>
      <c r="G5399" s="26"/>
      <c r="H5399" s="26"/>
      <c r="I5399" s="26"/>
      <c r="J5399" s="26"/>
      <c r="K5399" s="26"/>
      <c r="L5399" s="26"/>
      <c r="M5399" s="26"/>
      <c r="N5399" s="26"/>
      <c r="O5399" s="14" t="str">
        <f>HYPERLINK("https://otsuka-europe-crm.veevavault.com/ui/#object/email_activity__v/V8C00000004B301", "EN-002107256")</f>
        <v>EN-002107256</v>
      </c>
    </row>
    <row r="5400" spans="1:15" ht="16" x14ac:dyDescent="0.2">
      <c r="A5400" s="26"/>
      <c r="B5400" s="26"/>
      <c r="C5400" s="26"/>
      <c r="D5400" s="26"/>
      <c r="E5400" s="26"/>
      <c r="F5400" s="26"/>
      <c r="G5400" s="26"/>
      <c r="H5400" s="26"/>
      <c r="I5400" s="26"/>
      <c r="J5400" s="26"/>
      <c r="K5400" s="26"/>
      <c r="L5400" s="26"/>
      <c r="M5400" s="26"/>
      <c r="N5400" s="26"/>
      <c r="O5400" s="14" t="str">
        <f>HYPERLINK("https://otsuka-europe-crm.veevavault.com/ui/#object/email_activity__v/V8C00000004B303", "EN-002107258")</f>
        <v>EN-002107258</v>
      </c>
    </row>
    <row r="5401" spans="1:15" ht="16" x14ac:dyDescent="0.2">
      <c r="A5401" s="26"/>
      <c r="B5401" s="26"/>
      <c r="C5401" s="26"/>
      <c r="D5401" s="26"/>
      <c r="E5401" s="26"/>
      <c r="F5401" s="26"/>
      <c r="G5401" s="26"/>
      <c r="H5401" s="26"/>
      <c r="I5401" s="26"/>
      <c r="J5401" s="26"/>
      <c r="K5401" s="26"/>
      <c r="L5401" s="26"/>
      <c r="M5401" s="26"/>
      <c r="N5401" s="26"/>
      <c r="O5401" s="14" t="str">
        <f>HYPERLINK("https://otsuka-europe-crm.veevavault.com/ui/#object/email_activity__v/V8C00000004C156", "EN-002107122")</f>
        <v>EN-002107122</v>
      </c>
    </row>
    <row r="5402" spans="1:15" ht="16" x14ac:dyDescent="0.2">
      <c r="A5402" s="26"/>
      <c r="B5402" s="26"/>
      <c r="C5402" s="26"/>
      <c r="D5402" s="26"/>
      <c r="E5402" s="26"/>
      <c r="F5402" s="26"/>
      <c r="G5402" s="26"/>
      <c r="H5402" s="26"/>
      <c r="I5402" s="26"/>
      <c r="J5402" s="26"/>
      <c r="K5402" s="26"/>
      <c r="L5402" s="26"/>
      <c r="M5402" s="26"/>
      <c r="N5402" s="26"/>
      <c r="O5402" s="14" t="str">
        <f>HYPERLINK("https://otsuka-europe-crm.veevavault.com/ui/#object/email_activity__v/V8C00000004C163", "EN-002107133")</f>
        <v>EN-002107133</v>
      </c>
    </row>
    <row r="5403" spans="1:15" ht="16" x14ac:dyDescent="0.2">
      <c r="A5403" s="26"/>
      <c r="B5403" s="26"/>
      <c r="C5403" s="26"/>
      <c r="D5403" s="26"/>
      <c r="E5403" s="26"/>
      <c r="F5403" s="26"/>
      <c r="G5403" s="26"/>
      <c r="H5403" s="26"/>
      <c r="I5403" s="26"/>
      <c r="J5403" s="26"/>
      <c r="K5403" s="26"/>
      <c r="L5403" s="26"/>
      <c r="M5403" s="26"/>
      <c r="N5403" s="26"/>
      <c r="O5403" s="14" t="str">
        <f>HYPERLINK("https://otsuka-europe-crm.veevavault.com/ui/#object/email_activity__v/V8C00000004C172", "EN-002107147")</f>
        <v>EN-002107147</v>
      </c>
    </row>
    <row r="5404" spans="1:15" ht="16" x14ac:dyDescent="0.2">
      <c r="A5404" s="26"/>
      <c r="B5404" s="26"/>
      <c r="C5404" s="26"/>
      <c r="D5404" s="26"/>
      <c r="E5404" s="26"/>
      <c r="F5404" s="26"/>
      <c r="G5404" s="26"/>
      <c r="H5404" s="26"/>
      <c r="I5404" s="26"/>
      <c r="J5404" s="26"/>
      <c r="K5404" s="26"/>
      <c r="L5404" s="26"/>
      <c r="M5404" s="26"/>
      <c r="N5404" s="26"/>
      <c r="O5404" s="14" t="str">
        <f>HYPERLINK("https://otsuka-europe-crm.veevavault.com/ui/#object/email_activity__v/V8C00000004C173", "EN-002107151")</f>
        <v>EN-002107151</v>
      </c>
    </row>
    <row r="5405" spans="1:15" ht="16" x14ac:dyDescent="0.2">
      <c r="A5405" s="26"/>
      <c r="B5405" s="26"/>
      <c r="C5405" s="26"/>
      <c r="D5405" s="26"/>
      <c r="E5405" s="26"/>
      <c r="F5405" s="26"/>
      <c r="G5405" s="26"/>
      <c r="H5405" s="26"/>
      <c r="I5405" s="26"/>
      <c r="J5405" s="26"/>
      <c r="K5405" s="26"/>
      <c r="L5405" s="26"/>
      <c r="M5405" s="26"/>
      <c r="N5405" s="26"/>
      <c r="O5405" s="14" t="str">
        <f>HYPERLINK("https://otsuka-europe-crm.veevavault.com/ui/#object/email_activity__v/V8C00000004C179", "EN-002107161")</f>
        <v>EN-002107161</v>
      </c>
    </row>
    <row r="5406" spans="1:15" ht="16" x14ac:dyDescent="0.2">
      <c r="A5406" s="26"/>
      <c r="B5406" s="26"/>
      <c r="C5406" s="26"/>
      <c r="D5406" s="26"/>
      <c r="E5406" s="26"/>
      <c r="F5406" s="26"/>
      <c r="G5406" s="26"/>
      <c r="H5406" s="26"/>
      <c r="I5406" s="26"/>
      <c r="J5406" s="26"/>
      <c r="K5406" s="26"/>
      <c r="L5406" s="26"/>
      <c r="M5406" s="26"/>
      <c r="N5406" s="26"/>
      <c r="O5406" s="14" t="str">
        <f>HYPERLINK("https://otsuka-europe-crm.veevavault.com/ui/#object/email_activity__v/V8C00000004C214", "EN-002107233")</f>
        <v>EN-002107233</v>
      </c>
    </row>
    <row r="5407" spans="1:15" ht="16" x14ac:dyDescent="0.2">
      <c r="A5407" s="26"/>
      <c r="B5407" s="26"/>
      <c r="C5407" s="26"/>
      <c r="D5407" s="26"/>
      <c r="E5407" s="26"/>
      <c r="F5407" s="26"/>
      <c r="G5407" s="26"/>
      <c r="H5407" s="26"/>
      <c r="I5407" s="26"/>
      <c r="J5407" s="26"/>
      <c r="K5407" s="26"/>
      <c r="L5407" s="26"/>
      <c r="M5407" s="26"/>
      <c r="N5407" s="26"/>
      <c r="O5407" s="14" t="str">
        <f>HYPERLINK("https://otsuka-europe-crm.veevavault.com/ui/#object/email_activity__v/V8C00000004C219", "EN-002107239")</f>
        <v>EN-002107239</v>
      </c>
    </row>
    <row r="5408" spans="1:15" ht="16" x14ac:dyDescent="0.2">
      <c r="A5408" s="26"/>
      <c r="B5408" s="26"/>
      <c r="C5408" s="26"/>
      <c r="D5408" s="26"/>
      <c r="E5408" s="26"/>
      <c r="F5408" s="26"/>
      <c r="G5408" s="26"/>
      <c r="H5408" s="26"/>
      <c r="I5408" s="26"/>
      <c r="J5408" s="26"/>
      <c r="K5408" s="26"/>
      <c r="L5408" s="26"/>
      <c r="M5408" s="26"/>
      <c r="N5408" s="26"/>
      <c r="O5408" s="14" t="str">
        <f>HYPERLINK("https://otsuka-europe-crm.veevavault.com/ui/#object/email_activity__v/V8C00000004C226", "EN-002107254")</f>
        <v>EN-002107254</v>
      </c>
    </row>
    <row r="5409" spans="1:15" ht="16" x14ac:dyDescent="0.2">
      <c r="A5409" s="26"/>
      <c r="B5409" s="26"/>
      <c r="C5409" s="26"/>
      <c r="D5409" s="26"/>
      <c r="E5409" s="26"/>
      <c r="F5409" s="26"/>
      <c r="G5409" s="26"/>
      <c r="H5409" s="26"/>
      <c r="I5409" s="26"/>
      <c r="J5409" s="26"/>
      <c r="K5409" s="26"/>
      <c r="L5409" s="26"/>
      <c r="M5409" s="26"/>
      <c r="N5409" s="26"/>
      <c r="O5409" s="14" t="str">
        <f>HYPERLINK("https://otsuka-europe-crm.veevavault.com/ui/#object/email_activity__v/V8C00000004C229", "EN-002107261")</f>
        <v>EN-002107261</v>
      </c>
    </row>
    <row r="5410" spans="1:15" ht="16" x14ac:dyDescent="0.2">
      <c r="A5410" s="26"/>
      <c r="B5410" s="26"/>
      <c r="C5410" s="26"/>
      <c r="D5410" s="26"/>
      <c r="E5410" s="26"/>
      <c r="F5410" s="26"/>
      <c r="G5410" s="26"/>
      <c r="H5410" s="26"/>
      <c r="I5410" s="26"/>
      <c r="J5410" s="26"/>
      <c r="K5410" s="26"/>
      <c r="L5410" s="26"/>
      <c r="M5410" s="26"/>
      <c r="N5410" s="26"/>
      <c r="O5410" s="14" t="str">
        <f>HYPERLINK("https://otsuka-europe-crm.veevavault.com/ui/#object/email_activity__v/V8C00000004C433", "EN-002107881")</f>
        <v>EN-002107881</v>
      </c>
    </row>
    <row r="5411" spans="1:15" ht="16" x14ac:dyDescent="0.2">
      <c r="A5411" s="26"/>
      <c r="B5411" s="26"/>
      <c r="C5411" s="26"/>
      <c r="D5411" s="26"/>
      <c r="E5411" s="26"/>
      <c r="F5411" s="26"/>
      <c r="G5411" s="26"/>
      <c r="H5411" s="26"/>
      <c r="I5411" s="26"/>
      <c r="J5411" s="26"/>
      <c r="K5411" s="26"/>
      <c r="L5411" s="26"/>
      <c r="M5411" s="26"/>
      <c r="N5411" s="26"/>
      <c r="O5411" s="14" t="str">
        <f>HYPERLINK("https://otsuka-europe-crm.veevavault.com/ui/#object/email_activity__v/V8C00000004C498", "EN-002107978")</f>
        <v>EN-002107978</v>
      </c>
    </row>
    <row r="5412" spans="1:15" ht="16" x14ac:dyDescent="0.2">
      <c r="A5412" s="19"/>
      <c r="B5412" s="19"/>
      <c r="C5412" s="19"/>
      <c r="D5412" s="19"/>
      <c r="E5412" s="19"/>
      <c r="F5412" s="19"/>
      <c r="G5412" s="19"/>
      <c r="H5412" s="19"/>
      <c r="I5412" s="19"/>
      <c r="J5412" s="19"/>
      <c r="K5412" s="19"/>
      <c r="L5412" s="19"/>
      <c r="M5412" s="19"/>
      <c r="N5412" s="19"/>
      <c r="O5412" s="14" t="str">
        <f>HYPERLINK("https://otsuka-europe-crm.veevavault.com/ui/#object/email_activity__v/V8C00000004I072", "EN-002111125")</f>
        <v>EN-002111125</v>
      </c>
    </row>
    <row r="5413" spans="1:15" ht="16" x14ac:dyDescent="0.2">
      <c r="A5413" s="18" t="str">
        <f>HYPERLINK("https://otsuka-europe-crm.veevavault.com/ui/#object/account__v/V4TZ0000062PBX2", "Aderonke Adelusi")</f>
        <v>Aderonke Adelusi</v>
      </c>
      <c r="B5413" s="18" t="str">
        <f>HYPERLINK("https://otsuka-europe-crm.veevavault.com/ui/#object/vcountry__v/VENZ000004SONFK", "GB")</f>
        <v>GB</v>
      </c>
      <c r="C5413" s="20" t="s">
        <v>41</v>
      </c>
      <c r="D5413" s="21" t="str">
        <f>HYPERLINK("https://otsuka-europe-crm.veevavault.com/ui/#object/approved_document__v/V5O00000001V001", "LDM DR P2P Invite 12-Nov-26 v2 [digital]")</f>
        <v>LDM DR P2P Invite 12-Nov-26 v2 [digital]</v>
      </c>
      <c r="E5413" s="22" t="str">
        <f>HYPERLINK("https://otsuka-europe-crm.veevavault.com/ui/#object/sent_email__v/VBL000000037418", "SE-001444226")</f>
        <v>SE-001444226</v>
      </c>
      <c r="F5413" s="25">
        <v>46224.610162037039</v>
      </c>
      <c r="G5413" s="24">
        <v>1</v>
      </c>
      <c r="H5413" s="24">
        <v>3</v>
      </c>
      <c r="I5413" s="24">
        <v>0</v>
      </c>
      <c r="J5413" s="23"/>
      <c r="K5413" s="24">
        <v>0</v>
      </c>
      <c r="L5413" s="22" t="str">
        <f>HYPERLINK("https://otsuka-europe-crm.veevavault.com/ui/#object/approved_document__v/V5O00000001V001", "LDM DR P2P Invite 12-Nov-26 v2 [digital]")</f>
        <v>LDM DR P2P Invite 12-Nov-26 v2 [digital]</v>
      </c>
      <c r="M5413" s="22" t="str">
        <f>HYPERLINK("mailto:draval@crm.otsuka-europe.com", "draval@crm.otsuka-europe.com")</f>
        <v>draval@crm.otsuka-europe.com</v>
      </c>
      <c r="N5413" s="25">
        <v>46219.535543981481</v>
      </c>
      <c r="O5413" s="14" t="str">
        <f>HYPERLINK("https://otsuka-europe-crm.veevavault.com/ui/#object/email_activity__v/V8C000000049886", "EN-002106643")</f>
        <v>EN-002106643</v>
      </c>
    </row>
    <row r="5414" spans="1:15" ht="16" x14ac:dyDescent="0.2">
      <c r="A5414" s="26"/>
      <c r="B5414" s="26"/>
      <c r="C5414" s="26"/>
      <c r="D5414" s="26"/>
      <c r="E5414" s="26"/>
      <c r="F5414" s="26"/>
      <c r="G5414" s="26"/>
      <c r="H5414" s="26"/>
      <c r="I5414" s="26"/>
      <c r="J5414" s="26"/>
      <c r="K5414" s="26"/>
      <c r="L5414" s="26"/>
      <c r="M5414" s="26"/>
      <c r="N5414" s="26"/>
      <c r="O5414" s="14" t="str">
        <f>HYPERLINK("https://otsuka-europe-crm.veevavault.com/ui/#object/email_activity__v/V8C00000004A897", "EN-002106652")</f>
        <v>EN-002106652</v>
      </c>
    </row>
    <row r="5415" spans="1:15" ht="16" x14ac:dyDescent="0.2">
      <c r="A5415" s="26"/>
      <c r="B5415" s="26"/>
      <c r="C5415" s="26"/>
      <c r="D5415" s="26"/>
      <c r="E5415" s="26"/>
      <c r="F5415" s="26"/>
      <c r="G5415" s="26"/>
      <c r="H5415" s="26"/>
      <c r="I5415" s="26"/>
      <c r="J5415" s="26"/>
      <c r="K5415" s="26"/>
      <c r="L5415" s="26"/>
      <c r="M5415" s="26"/>
      <c r="N5415" s="26"/>
      <c r="O5415" s="14" t="str">
        <f>HYPERLINK("https://otsuka-europe-crm.veevavault.com/ui/#object/email_activity__v/V8C00000004A901", "EN-002106660")</f>
        <v>EN-002106660</v>
      </c>
    </row>
    <row r="5416" spans="1:15" ht="16" x14ac:dyDescent="0.2">
      <c r="A5416" s="26"/>
      <c r="B5416" s="26"/>
      <c r="C5416" s="26"/>
      <c r="D5416" s="26"/>
      <c r="E5416" s="26"/>
      <c r="F5416" s="26"/>
      <c r="G5416" s="26"/>
      <c r="H5416" s="26"/>
      <c r="I5416" s="26"/>
      <c r="J5416" s="26"/>
      <c r="K5416" s="26"/>
      <c r="L5416" s="26"/>
      <c r="M5416" s="26"/>
      <c r="N5416" s="26"/>
      <c r="O5416" s="14" t="str">
        <f>HYPERLINK("https://otsuka-europe-crm.veevavault.com/ui/#object/email_activity__v/V8C00000004B079", "EN-002106869")</f>
        <v>EN-002106869</v>
      </c>
    </row>
    <row r="5417" spans="1:15" ht="16" x14ac:dyDescent="0.2">
      <c r="A5417" s="19"/>
      <c r="B5417" s="19"/>
      <c r="C5417" s="19"/>
      <c r="D5417" s="19"/>
      <c r="E5417" s="19"/>
      <c r="F5417" s="19"/>
      <c r="G5417" s="19"/>
      <c r="H5417" s="19"/>
      <c r="I5417" s="19"/>
      <c r="J5417" s="19"/>
      <c r="K5417" s="19"/>
      <c r="L5417" s="19"/>
      <c r="M5417" s="19"/>
      <c r="N5417" s="19"/>
      <c r="O5417" s="14" t="str">
        <f>HYPERLINK("https://otsuka-europe-crm.veevavault.com/ui/#object/email_activity__v/V8C00000004B294", "EN-002107243")</f>
        <v>EN-002107243</v>
      </c>
    </row>
    <row r="5418" spans="1:15" ht="16" x14ac:dyDescent="0.2">
      <c r="A5418" s="18" t="str">
        <f>HYPERLINK("https://otsuka-europe-crm.veevavault.com/ui/#object/account__v/V4TZ04ASGC2MGH8", "Kimberley Lobo")</f>
        <v>Kimberley Lobo</v>
      </c>
      <c r="B5418" s="18" t="str">
        <f>HYPERLINK("https://otsuka-europe-crm.veevavault.com/ui/#object/vcountry__v/VENZ000004SONFK", "GB")</f>
        <v>GB</v>
      </c>
      <c r="C5418" s="20" t="s">
        <v>41</v>
      </c>
      <c r="D5418" s="21" t="str">
        <f>HYPERLINK("https://otsuka-europe-crm.veevavault.com/ui/#object/approved_document__v/V5O00000000I022", "Aripiprazole 960mg FAQ VAE")</f>
        <v>Aripiprazole 960mg FAQ VAE</v>
      </c>
      <c r="E5418" s="22" t="str">
        <f>HYPERLINK("https://otsuka-europe-crm.veevavault.com/ui/#object/sent_email__v/VBL000000037419", "SE-001444227")</f>
        <v>SE-001444227</v>
      </c>
      <c r="F5418" s="25">
        <v>46223.774953703702</v>
      </c>
      <c r="G5418" s="24">
        <v>1</v>
      </c>
      <c r="H5418" s="24">
        <v>2</v>
      </c>
      <c r="I5418" s="24">
        <v>0</v>
      </c>
      <c r="J5418" s="23"/>
      <c r="K5418" s="24">
        <v>0</v>
      </c>
      <c r="L5418" s="22" t="str">
        <f>HYPERLINK("https://otsuka-europe-crm.veevavault.com/ui/#object/approved_document__v/V5O00000000I022", "Aripiprazole 960mg FAQ VAE")</f>
        <v>Aripiprazole 960mg FAQ VAE</v>
      </c>
      <c r="M5418" s="22" t="str">
        <f>HYPERLINK("mailto:ldimambro@crm.otsuka-europe.com", "ldimambro@crm.otsuka-europe.com")</f>
        <v>ldimambro@crm.otsuka-europe.com</v>
      </c>
      <c r="N5418" s="25">
        <v>46219.538831018515</v>
      </c>
      <c r="O5418" s="14" t="str">
        <f>HYPERLINK("https://otsuka-europe-crm.veevavault.com/ui/#object/email_activity__v/V8C000000049895", "EN-002106661")</f>
        <v>EN-002106661</v>
      </c>
    </row>
    <row r="5419" spans="1:15" ht="16" x14ac:dyDescent="0.2">
      <c r="A5419" s="26"/>
      <c r="B5419" s="26"/>
      <c r="C5419" s="26"/>
      <c r="D5419" s="26"/>
      <c r="E5419" s="26"/>
      <c r="F5419" s="26"/>
      <c r="G5419" s="26"/>
      <c r="H5419" s="26"/>
      <c r="I5419" s="26"/>
      <c r="J5419" s="26"/>
      <c r="K5419" s="26"/>
      <c r="L5419" s="26"/>
      <c r="M5419" s="26"/>
      <c r="N5419" s="26"/>
      <c r="O5419" s="14" t="str">
        <f>HYPERLINK("https://otsuka-europe-crm.veevavault.com/ui/#object/email_activity__v/V8C00000004A893", "EN-002106644")</f>
        <v>EN-002106644</v>
      </c>
    </row>
    <row r="5420" spans="1:15" ht="16" x14ac:dyDescent="0.2">
      <c r="A5420" s="19"/>
      <c r="B5420" s="19"/>
      <c r="C5420" s="19"/>
      <c r="D5420" s="19"/>
      <c r="E5420" s="19"/>
      <c r="F5420" s="19"/>
      <c r="G5420" s="19"/>
      <c r="H5420" s="19"/>
      <c r="I5420" s="19"/>
      <c r="J5420" s="19"/>
      <c r="K5420" s="19"/>
      <c r="L5420" s="19"/>
      <c r="M5420" s="19"/>
      <c r="N5420" s="19"/>
      <c r="O5420" s="14" t="str">
        <f>HYPERLINK("https://otsuka-europe-crm.veevavault.com/ui/#object/email_activity__v/V8C00000004B286", "EN-002107226")</f>
        <v>EN-002107226</v>
      </c>
    </row>
    <row r="5421" spans="1:15" ht="16" x14ac:dyDescent="0.2">
      <c r="A5421" s="18" t="str">
        <f>HYPERLINK("https://otsuka-europe-crm.veevavault.com/ui/#object/account__v/V4TZ06G6OC91UL2", "Mahmoud Soliman")</f>
        <v>Mahmoud Soliman</v>
      </c>
      <c r="B5421" s="18" t="str">
        <f>HYPERLINK("https://otsuka-europe-crm.veevavault.com/ui/#object/vcountry__v/VENZ000004SONFK", "GB")</f>
        <v>GB</v>
      </c>
      <c r="C5421" s="20" t="s">
        <v>41</v>
      </c>
      <c r="D5421" s="21" t="str">
        <f>HYPERLINK("https://otsuka-europe-crm.veevavault.com/ui/#object/approved_document__v/V5OZ025E82UYOBH", "Aripiprazole 300mg PFS Available VAE")</f>
        <v>Aripiprazole 300mg PFS Available VAE</v>
      </c>
      <c r="E5421" s="22" t="str">
        <f>HYPERLINK("https://otsuka-europe-crm.veevavault.com/ui/#object/sent_email__v/VBL000000037420", "SE-001444228")</f>
        <v>SE-001444228</v>
      </c>
      <c r="F5421" s="25">
        <v>46233.49114583333</v>
      </c>
      <c r="G5421" s="24">
        <v>1</v>
      </c>
      <c r="H5421" s="24">
        <v>5</v>
      </c>
      <c r="I5421" s="24">
        <v>0</v>
      </c>
      <c r="J5421" s="23"/>
      <c r="K5421" s="24">
        <v>0</v>
      </c>
      <c r="L5421" s="22" t="str">
        <f>HYPERLINK("https://otsuka-europe-crm.veevavault.com/ui/#object/approved_document__v/V5OZ025E82UYOBH", "Aripiprazole 300mg PFS Available VAE")</f>
        <v>Aripiprazole 300mg PFS Available VAE</v>
      </c>
      <c r="M5421" s="22" t="str">
        <f>HYPERLINK("mailto:ldimambro@crm.otsuka-europe.com", "ldimambro@crm.otsuka-europe.com")</f>
        <v>ldimambro@crm.otsuka-europe.com</v>
      </c>
      <c r="N5421" s="25">
        <v>46219.542858796296</v>
      </c>
      <c r="O5421" s="14" t="str">
        <f>HYPERLINK("https://otsuka-europe-crm.veevavault.com/ui/#object/email_activity__v/V8C000000049887", "EN-002106646")</f>
        <v>EN-002106646</v>
      </c>
    </row>
    <row r="5422" spans="1:15" ht="16" x14ac:dyDescent="0.2">
      <c r="A5422" s="26"/>
      <c r="B5422" s="26"/>
      <c r="C5422" s="26"/>
      <c r="D5422" s="26"/>
      <c r="E5422" s="26"/>
      <c r="F5422" s="26"/>
      <c r="G5422" s="26"/>
      <c r="H5422" s="26"/>
      <c r="I5422" s="26"/>
      <c r="J5422" s="26"/>
      <c r="K5422" s="26"/>
      <c r="L5422" s="26"/>
      <c r="M5422" s="26"/>
      <c r="N5422" s="26"/>
      <c r="O5422" s="14" t="str">
        <f>HYPERLINK("https://otsuka-europe-crm.veevavault.com/ui/#object/email_activity__v/V8C000000049888", "EN-002106647")</f>
        <v>EN-002106647</v>
      </c>
    </row>
    <row r="5423" spans="1:15" ht="16" x14ac:dyDescent="0.2">
      <c r="A5423" s="26"/>
      <c r="B5423" s="26"/>
      <c r="C5423" s="26"/>
      <c r="D5423" s="26"/>
      <c r="E5423" s="26"/>
      <c r="F5423" s="26"/>
      <c r="G5423" s="26"/>
      <c r="H5423" s="26"/>
      <c r="I5423" s="26"/>
      <c r="J5423" s="26"/>
      <c r="K5423" s="26"/>
      <c r="L5423" s="26"/>
      <c r="M5423" s="26"/>
      <c r="N5423" s="26"/>
      <c r="O5423" s="14" t="str">
        <f>HYPERLINK("https://otsuka-europe-crm.veevavault.com/ui/#object/email_activity__v/V8C000000049889", "EN-002106648")</f>
        <v>EN-002106648</v>
      </c>
    </row>
    <row r="5424" spans="1:15" ht="16" x14ac:dyDescent="0.2">
      <c r="A5424" s="26"/>
      <c r="B5424" s="26"/>
      <c r="C5424" s="26"/>
      <c r="D5424" s="26"/>
      <c r="E5424" s="26"/>
      <c r="F5424" s="26"/>
      <c r="G5424" s="26"/>
      <c r="H5424" s="26"/>
      <c r="I5424" s="26"/>
      <c r="J5424" s="26"/>
      <c r="K5424" s="26"/>
      <c r="L5424" s="26"/>
      <c r="M5424" s="26"/>
      <c r="N5424" s="26"/>
      <c r="O5424" s="14" t="str">
        <f>HYPERLINK("https://otsuka-europe-crm.veevavault.com/ui/#object/email_activity__v/V8C000000049890", "EN-002106649")</f>
        <v>EN-002106649</v>
      </c>
    </row>
    <row r="5425" spans="1:15" ht="16" x14ac:dyDescent="0.2">
      <c r="A5425" s="26"/>
      <c r="B5425" s="26"/>
      <c r="C5425" s="26"/>
      <c r="D5425" s="26"/>
      <c r="E5425" s="26"/>
      <c r="F5425" s="26"/>
      <c r="G5425" s="26"/>
      <c r="H5425" s="26"/>
      <c r="I5425" s="26"/>
      <c r="J5425" s="26"/>
      <c r="K5425" s="26"/>
      <c r="L5425" s="26"/>
      <c r="M5425" s="26"/>
      <c r="N5425" s="26"/>
      <c r="O5425" s="14" t="str">
        <f>HYPERLINK("https://otsuka-europe-crm.veevavault.com/ui/#object/email_activity__v/V8C000000049891", "EN-002106653")</f>
        <v>EN-002106653</v>
      </c>
    </row>
    <row r="5426" spans="1:15" ht="16" x14ac:dyDescent="0.2">
      <c r="A5426" s="26"/>
      <c r="B5426" s="26"/>
      <c r="C5426" s="26"/>
      <c r="D5426" s="26"/>
      <c r="E5426" s="26"/>
      <c r="F5426" s="26"/>
      <c r="G5426" s="26"/>
      <c r="H5426" s="26"/>
      <c r="I5426" s="26"/>
      <c r="J5426" s="26"/>
      <c r="K5426" s="26"/>
      <c r="L5426" s="26"/>
      <c r="M5426" s="26"/>
      <c r="N5426" s="26"/>
      <c r="O5426" s="14" t="str">
        <f>HYPERLINK("https://otsuka-europe-crm.veevavault.com/ui/#object/email_activity__v/V8C00000004A894", "EN-002106645")</f>
        <v>EN-002106645</v>
      </c>
    </row>
    <row r="5427" spans="1:15" ht="16" x14ac:dyDescent="0.2">
      <c r="A5427" s="26"/>
      <c r="B5427" s="26"/>
      <c r="C5427" s="26"/>
      <c r="D5427" s="26"/>
      <c r="E5427" s="26"/>
      <c r="F5427" s="26"/>
      <c r="G5427" s="26"/>
      <c r="H5427" s="26"/>
      <c r="I5427" s="26"/>
      <c r="J5427" s="26"/>
      <c r="K5427" s="26"/>
      <c r="L5427" s="26"/>
      <c r="M5427" s="26"/>
      <c r="N5427" s="26"/>
      <c r="O5427" s="14" t="str">
        <f>HYPERLINK("https://otsuka-europe-crm.veevavault.com/ui/#object/email_activity__v/V8C00000004B010", "EN-002106745")</f>
        <v>EN-002106745</v>
      </c>
    </row>
    <row r="5428" spans="1:15" ht="16" x14ac:dyDescent="0.2">
      <c r="A5428" s="19"/>
      <c r="B5428" s="19"/>
      <c r="C5428" s="19"/>
      <c r="D5428" s="19"/>
      <c r="E5428" s="19"/>
      <c r="F5428" s="19"/>
      <c r="G5428" s="19"/>
      <c r="H5428" s="19"/>
      <c r="I5428" s="19"/>
      <c r="J5428" s="19"/>
      <c r="K5428" s="19"/>
      <c r="L5428" s="19"/>
      <c r="M5428" s="19"/>
      <c r="N5428" s="19"/>
      <c r="O5428" s="14" t="str">
        <f>HYPERLINK("https://otsuka-europe-crm.veevavault.com/ui/#object/email_activity__v/V8C00000004D795", "EN-002109728")</f>
        <v>EN-002109728</v>
      </c>
    </row>
    <row r="5429" spans="1:15" ht="32" x14ac:dyDescent="0.2">
      <c r="A5429" s="7" t="str">
        <f>HYPERLINK("https://otsuka-europe-crm.veevavault.com/ui/#object/account__v/V4TZ04ASGE0CFZT", "Sofia Pappa")</f>
        <v>Sofia Pappa</v>
      </c>
      <c r="B5429" s="7" t="str">
        <f>HYPERLINK("https://otsuka-europe-crm.veevavault.com/ui/#object/vcountry__v/VENZ000004SONFK", "GB")</f>
        <v>GB</v>
      </c>
      <c r="C5429" s="8" t="s">
        <v>41</v>
      </c>
      <c r="D5429" s="9" t="str">
        <f>HYPERLINK("https://otsuka-europe-crm.veevavault.com/ui/#object/approved_document__v/V5O00000001V001", "LDM DR P2P Invite 12-Nov-26 v2 [digital]")</f>
        <v>LDM DR P2P Invite 12-Nov-26 v2 [digital]</v>
      </c>
      <c r="E5429" s="10" t="str">
        <f>HYPERLINK("https://otsuka-europe-crm.veevavault.com/ui/#object/sent_email__v/VBL000000037421", "SE-001444229")</f>
        <v>SE-001444229</v>
      </c>
      <c r="F5429" s="11"/>
      <c r="G5429" s="12">
        <v>0</v>
      </c>
      <c r="H5429" s="12">
        <v>0</v>
      </c>
      <c r="I5429" s="12">
        <v>0</v>
      </c>
      <c r="J5429" s="11"/>
      <c r="K5429" s="12">
        <v>0</v>
      </c>
      <c r="L5429" s="10" t="str">
        <f>HYPERLINK("https://otsuka-europe-crm.veevavault.com/ui/#object/approved_document__v/V5O00000001V001", "LDM DR P2P Invite 12-Nov-26 v2 [digital]")</f>
        <v>LDM DR P2P Invite 12-Nov-26 v2 [digital]</v>
      </c>
      <c r="M5429" s="10" t="str">
        <f>HYPERLINK("mailto:ldimambro@crm.otsuka-europe.com", "ldimambro@crm.otsuka-europe.com")</f>
        <v>ldimambro@crm.otsuka-europe.com</v>
      </c>
      <c r="N5429" s="13">
        <v>46219.577847222223</v>
      </c>
      <c r="O5429" s="14" t="str">
        <f>HYPERLINK("https://otsuka-europe-crm.veevavault.com/ui/#object/email_activity__v/V8C000000049896", "EN-002106662")</f>
        <v>EN-002106662</v>
      </c>
    </row>
    <row r="5430" spans="1:15" ht="16" x14ac:dyDescent="0.2">
      <c r="A5430" s="18" t="str">
        <f>HYPERLINK("https://otsuka-europe-crm.veevavault.com/ui/#object/account__v/V4TZ0000062PH8O", "Oliver Howes")</f>
        <v>Oliver Howes</v>
      </c>
      <c r="B5430" s="18" t="str">
        <f>HYPERLINK("https://otsuka-europe-crm.veevavault.com/ui/#object/vcountry__v/VENZ000004SONFK", "GB")</f>
        <v>GB</v>
      </c>
      <c r="C5430" s="20" t="s">
        <v>41</v>
      </c>
      <c r="D5430" s="21" t="str">
        <f>HYPERLINK("https://otsuka-europe-crm.veevavault.com/ui/#object/approved_document__v/V5O00000001V001", "LDM DR P2P Invite 12-Nov-26 v2 [digital]")</f>
        <v>LDM DR P2P Invite 12-Nov-26 v2 [digital]</v>
      </c>
      <c r="E5430" s="22" t="str">
        <f>HYPERLINK("https://otsuka-europe-crm.veevavault.com/ui/#object/sent_email__v/VBL000000037422", "SE-001444230")</f>
        <v>SE-001444230</v>
      </c>
      <c r="F5430" s="25">
        <v>46223.473043981481</v>
      </c>
      <c r="G5430" s="24">
        <v>1</v>
      </c>
      <c r="H5430" s="24">
        <v>1</v>
      </c>
      <c r="I5430" s="24">
        <v>0</v>
      </c>
      <c r="J5430" s="23"/>
      <c r="K5430" s="24">
        <v>0</v>
      </c>
      <c r="L5430" s="22" t="str">
        <f>HYPERLINK("https://otsuka-europe-crm.veevavault.com/ui/#object/approved_document__v/V5O00000001V001", "LDM DR P2P Invite 12-Nov-26 v2 [digital]")</f>
        <v>LDM DR P2P Invite 12-Nov-26 v2 [digital]</v>
      </c>
      <c r="M5430" s="22" t="str">
        <f>HYPERLINK("mailto:ldimambro@crm.otsuka-europe.com", "ldimambro@crm.otsuka-europe.com")</f>
        <v>ldimambro@crm.otsuka-europe.com</v>
      </c>
      <c r="N5430" s="25">
        <v>46219.579363425924</v>
      </c>
      <c r="O5430" s="14" t="str">
        <f>HYPERLINK("https://otsuka-europe-crm.veevavault.com/ui/#object/email_activity__v/V8C000000049897", "EN-002106663")</f>
        <v>EN-002106663</v>
      </c>
    </row>
    <row r="5431" spans="1:15" ht="16" x14ac:dyDescent="0.2">
      <c r="A5431" s="19"/>
      <c r="B5431" s="19"/>
      <c r="C5431" s="19"/>
      <c r="D5431" s="19"/>
      <c r="E5431" s="19"/>
      <c r="F5431" s="19"/>
      <c r="G5431" s="19"/>
      <c r="H5431" s="19"/>
      <c r="I5431" s="19"/>
      <c r="J5431" s="19"/>
      <c r="K5431" s="19"/>
      <c r="L5431" s="19"/>
      <c r="M5431" s="19"/>
      <c r="N5431" s="19"/>
      <c r="O5431" s="14" t="str">
        <f>HYPERLINK("https://otsuka-europe-crm.veevavault.com/ui/#object/email_activity__v/V8C00000004B209", "EN-002107069")</f>
        <v>EN-002107069</v>
      </c>
    </row>
    <row r="5432" spans="1:15" ht="16" x14ac:dyDescent="0.2">
      <c r="A5432" s="18" t="str">
        <f>HYPERLINK("https://otsuka-europe-crm.veevavault.com/ui/#object/account__v/V4TZ025E85I2PLH", "DEBORA CAPELLI")</f>
        <v>DEBORA CAPELLI</v>
      </c>
      <c r="B5432" s="18" t="str">
        <f>HYPERLINK("https://otsuka-europe-crm.veevavault.com/ui/#object/vcountry__v/VENZ000004SONFQ", "IT")</f>
        <v>IT</v>
      </c>
      <c r="C5432" s="20" t="s">
        <v>42</v>
      </c>
      <c r="D5432" s="21" t="str">
        <f>HYPERLINK("https://otsuka-europe-crm.veevavault.com/ui/#object/approved_document__v/V5OZ06G6O6RG2ES", "IT Veeva Double Opt-In Remote Meetings")</f>
        <v>IT Veeva Double Opt-In Remote Meetings</v>
      </c>
      <c r="E5432" s="22" t="str">
        <f>HYPERLINK("https://otsuka-europe-crm.veevavault.com/ui/#object/sent_email__v/VBL000000038333", "SE-001444231")</f>
        <v>SE-001444231</v>
      </c>
      <c r="F5432" s="25">
        <v>46219.632581018515</v>
      </c>
      <c r="G5432" s="24">
        <v>1</v>
      </c>
      <c r="H5432" s="24">
        <v>1</v>
      </c>
      <c r="I5432" s="24">
        <v>1</v>
      </c>
      <c r="J5432" s="25">
        <v>46219.632615740738</v>
      </c>
      <c r="K5432" s="24">
        <v>1</v>
      </c>
      <c r="L5432" s="22" t="str">
        <f>HYPERLINK("https://otsuka-europe-crm.veevavault.com/ui/#object/approved_document__v/V5OZ06G6O6RG2ES", "IT Veeva Double Opt-In Remote Meetings")</f>
        <v>IT Veeva Double Opt-In Remote Meetings</v>
      </c>
      <c r="M5432" s="22" t="str">
        <f>HYPERLINK("mailto:marcello.salis@crm.otsuka-europe.com", "marcello.salis@crm.otsuka-europe.com")</f>
        <v>marcello.salis@crm.otsuka-europe.com</v>
      </c>
      <c r="N5432" s="25">
        <v>46219.616122685184</v>
      </c>
      <c r="O5432" s="14" t="str">
        <f>HYPERLINK("https://otsuka-europe-crm.veevavault.com/ui/#object/email_activity__v/V8C000000049898", "EN-002106669")</f>
        <v>EN-002106669</v>
      </c>
    </row>
    <row r="5433" spans="1:15" ht="16" x14ac:dyDescent="0.2">
      <c r="A5433" s="26"/>
      <c r="B5433" s="26"/>
      <c r="C5433" s="26"/>
      <c r="D5433" s="26"/>
      <c r="E5433" s="26"/>
      <c r="F5433" s="26"/>
      <c r="G5433" s="26"/>
      <c r="H5433" s="26"/>
      <c r="I5433" s="26"/>
      <c r="J5433" s="26"/>
      <c r="K5433" s="26"/>
      <c r="L5433" s="26"/>
      <c r="M5433" s="26"/>
      <c r="N5433" s="26"/>
      <c r="O5433" s="14" t="str">
        <f>HYPERLINK("https://otsuka-europe-crm.veevavault.com/ui/#object/email_activity__v/V8C000000049903", "EN-002106681")</f>
        <v>EN-002106681</v>
      </c>
    </row>
    <row r="5434" spans="1:15" ht="16" x14ac:dyDescent="0.2">
      <c r="A5434" s="19"/>
      <c r="B5434" s="19"/>
      <c r="C5434" s="19"/>
      <c r="D5434" s="19"/>
      <c r="E5434" s="19"/>
      <c r="F5434" s="19"/>
      <c r="G5434" s="19"/>
      <c r="H5434" s="19"/>
      <c r="I5434" s="19"/>
      <c r="J5434" s="19"/>
      <c r="K5434" s="19"/>
      <c r="L5434" s="19"/>
      <c r="M5434" s="19"/>
      <c r="N5434" s="19"/>
      <c r="O5434" s="14" t="str">
        <f>HYPERLINK("https://otsuka-europe-crm.veevavault.com/ui/#object/email_activity__v/V8C00000004A915", "EN-002106683")</f>
        <v>EN-002106683</v>
      </c>
    </row>
    <row r="5435" spans="1:15" ht="16" x14ac:dyDescent="0.2">
      <c r="A5435" s="18" t="str">
        <f>HYPERLINK("https://otsuka-europe-crm.veevavault.com/ui/#object/account__v/V4TZ025E85I2PLH", "DEBORA CAPELLI")</f>
        <v>DEBORA CAPELLI</v>
      </c>
      <c r="B5435" s="18" t="str">
        <f>HYPERLINK("https://otsuka-europe-crm.veevavault.com/ui/#object/vcountry__v/VENZ000004SONFQ", "IT")</f>
        <v>IT</v>
      </c>
      <c r="C5435" s="20" t="s">
        <v>42</v>
      </c>
      <c r="D5435" s="21" t="str">
        <f>HYPERLINK("https://otsuka-europe-crm.veevavault.com/ui/#object/approved_document__v/V5OZ06G6O6RG2EU", "IT Veeva Double Opt-In Market Med+Sci")</f>
        <v>IT Veeva Double Opt-In Market Med+Sci</v>
      </c>
      <c r="E5435" s="22" t="str">
        <f>HYPERLINK("https://otsuka-europe-crm.veevavault.com/ui/#object/sent_email__v/VBL000000038334", "SE-001444232")</f>
        <v>SE-001444232</v>
      </c>
      <c r="F5435" s="25">
        <v>46219.63244212963</v>
      </c>
      <c r="G5435" s="24">
        <v>1</v>
      </c>
      <c r="H5435" s="24">
        <v>1</v>
      </c>
      <c r="I5435" s="24">
        <v>1</v>
      </c>
      <c r="J5435" s="25">
        <v>46219.6325</v>
      </c>
      <c r="K5435" s="24">
        <v>1</v>
      </c>
      <c r="L5435" s="22" t="str">
        <f>HYPERLINK("https://otsuka-europe-crm.veevavault.com/ui/#object/approved_document__v/V5OZ06G6O6RG2EU", "IT Veeva Double Opt-In Market Med+Sci")</f>
        <v>IT Veeva Double Opt-In Market Med+Sci</v>
      </c>
      <c r="M5435" s="22" t="str">
        <f>HYPERLINK("mailto:marcello.salis@crm.otsuka-europe.com", "marcello.salis@crm.otsuka-europe.com")</f>
        <v>marcello.salis@crm.otsuka-europe.com</v>
      </c>
      <c r="N5435" s="25">
        <v>46219.616122685184</v>
      </c>
      <c r="O5435" s="14" t="str">
        <f>HYPERLINK("https://otsuka-europe-crm.veevavault.com/ui/#object/email_activity__v/V8C00000004A905", "EN-002106667")</f>
        <v>EN-002106667</v>
      </c>
    </row>
    <row r="5436" spans="1:15" ht="16" x14ac:dyDescent="0.2">
      <c r="A5436" s="26"/>
      <c r="B5436" s="26"/>
      <c r="C5436" s="26"/>
      <c r="D5436" s="26"/>
      <c r="E5436" s="26"/>
      <c r="F5436" s="26"/>
      <c r="G5436" s="26"/>
      <c r="H5436" s="26"/>
      <c r="I5436" s="26"/>
      <c r="J5436" s="26"/>
      <c r="K5436" s="26"/>
      <c r="L5436" s="26"/>
      <c r="M5436" s="26"/>
      <c r="N5436" s="26"/>
      <c r="O5436" s="14" t="str">
        <f>HYPERLINK("https://otsuka-europe-crm.veevavault.com/ui/#object/email_activity__v/V8C00000004A914", "EN-002106682")</f>
        <v>EN-002106682</v>
      </c>
    </row>
    <row r="5437" spans="1:15" ht="16" x14ac:dyDescent="0.2">
      <c r="A5437" s="19"/>
      <c r="B5437" s="19"/>
      <c r="C5437" s="19"/>
      <c r="D5437" s="19"/>
      <c r="E5437" s="19"/>
      <c r="F5437" s="19"/>
      <c r="G5437" s="19"/>
      <c r="H5437" s="19"/>
      <c r="I5437" s="19"/>
      <c r="J5437" s="19"/>
      <c r="K5437" s="19"/>
      <c r="L5437" s="19"/>
      <c r="M5437" s="19"/>
      <c r="N5437" s="19"/>
      <c r="O5437" s="14" t="str">
        <f>HYPERLINK("https://otsuka-europe-crm.veevavault.com/ui/#object/email_activity__v/V8C00000004A916", "EN-002106684")</f>
        <v>EN-002106684</v>
      </c>
    </row>
    <row r="5438" spans="1:15" ht="16" x14ac:dyDescent="0.2">
      <c r="A5438" s="18" t="str">
        <f>HYPERLINK("https://otsuka-europe-crm.veevavault.com/ui/#object/account__v/V4TZ025E85I2PLH", "DEBORA CAPELLI")</f>
        <v>DEBORA CAPELLI</v>
      </c>
      <c r="B5438" s="18" t="str">
        <f>HYPERLINK("https://otsuka-europe-crm.veevavault.com/ui/#object/vcountry__v/VENZ000004SONFQ", "IT")</f>
        <v>IT</v>
      </c>
      <c r="C5438" s="20" t="s">
        <v>42</v>
      </c>
      <c r="D5438" s="21" t="str">
        <f>HYPERLINK("https://otsuka-europe-crm.veevavault.com/ui/#object/approved_document__v/V5O00000000K007", "Italy - Consent Email Aug 25 v2")</f>
        <v>Italy - Consent Email Aug 25 v2</v>
      </c>
      <c r="E5438" s="22" t="str">
        <f>HYPERLINK("https://otsuka-europe-crm.veevavault.com/ui/#object/sent_email__v/VBL000000038335", "SE-001444233")</f>
        <v>SE-001444233</v>
      </c>
      <c r="F5438" s="25">
        <v>46219.632268518515</v>
      </c>
      <c r="G5438" s="24">
        <v>1</v>
      </c>
      <c r="H5438" s="24">
        <v>2</v>
      </c>
      <c r="I5438" s="24">
        <v>1</v>
      </c>
      <c r="J5438" s="25">
        <v>46219.632268518515</v>
      </c>
      <c r="K5438" s="24">
        <v>1</v>
      </c>
      <c r="L5438" s="22" t="str">
        <f>HYPERLINK("https://otsuka-europe-crm.veevavault.com/ui/#object/approved_document__v/V5O00000000K007", "Italy - Consent Email Aug 25 v2")</f>
        <v>Italy - Consent Email Aug 25 v2</v>
      </c>
      <c r="M5438" s="22" t="str">
        <f>HYPERLINK("mailto:marcello.salis@crm.otsuka-europe.com", "marcello.salis@crm.otsuka-europe.com")</f>
        <v>marcello.salis@crm.otsuka-europe.com</v>
      </c>
      <c r="N5438" s="25">
        <v>46219.61613425926</v>
      </c>
      <c r="O5438" s="14" t="str">
        <f>HYPERLINK("https://otsuka-europe-crm.veevavault.com/ui/#object/email_activity__v/V8C000000049901", "EN-002106674")</f>
        <v>EN-002106674</v>
      </c>
    </row>
    <row r="5439" spans="1:15" ht="16" x14ac:dyDescent="0.2">
      <c r="A5439" s="26"/>
      <c r="B5439" s="26"/>
      <c r="C5439" s="26"/>
      <c r="D5439" s="26"/>
      <c r="E5439" s="26"/>
      <c r="F5439" s="26"/>
      <c r="G5439" s="26"/>
      <c r="H5439" s="26"/>
      <c r="I5439" s="26"/>
      <c r="J5439" s="26"/>
      <c r="K5439" s="26"/>
      <c r="L5439" s="26"/>
      <c r="M5439" s="26"/>
      <c r="N5439" s="26"/>
      <c r="O5439" s="14" t="str">
        <f>HYPERLINK("https://otsuka-europe-crm.veevavault.com/ui/#object/email_activity__v/V8C00000004A906", "EN-002106668")</f>
        <v>EN-002106668</v>
      </c>
    </row>
    <row r="5440" spans="1:15" ht="16" x14ac:dyDescent="0.2">
      <c r="A5440" s="26"/>
      <c r="B5440" s="26"/>
      <c r="C5440" s="26"/>
      <c r="D5440" s="26"/>
      <c r="E5440" s="26"/>
      <c r="F5440" s="26"/>
      <c r="G5440" s="26"/>
      <c r="H5440" s="26"/>
      <c r="I5440" s="26"/>
      <c r="J5440" s="26"/>
      <c r="K5440" s="26"/>
      <c r="L5440" s="26"/>
      <c r="M5440" s="26"/>
      <c r="N5440" s="26"/>
      <c r="O5440" s="14" t="str">
        <f>HYPERLINK("https://otsuka-europe-crm.veevavault.com/ui/#object/email_activity__v/V8C00000004A912", "EN-002106679")</f>
        <v>EN-002106679</v>
      </c>
    </row>
    <row r="5441" spans="1:15" ht="16" x14ac:dyDescent="0.2">
      <c r="A5441" s="19"/>
      <c r="B5441" s="19"/>
      <c r="C5441" s="19"/>
      <c r="D5441" s="19"/>
      <c r="E5441" s="19"/>
      <c r="F5441" s="19"/>
      <c r="G5441" s="19"/>
      <c r="H5441" s="19"/>
      <c r="I5441" s="19"/>
      <c r="J5441" s="19"/>
      <c r="K5441" s="19"/>
      <c r="L5441" s="19"/>
      <c r="M5441" s="19"/>
      <c r="N5441" s="19"/>
      <c r="O5441" s="14" t="str">
        <f>HYPERLINK("https://otsuka-europe-crm.veevavault.com/ui/#object/email_activity__v/V8C00000004A913", "EN-002106676")</f>
        <v>EN-002106676</v>
      </c>
    </row>
    <row r="5442" spans="1:15" ht="16" x14ac:dyDescent="0.2">
      <c r="A5442" s="18" t="str">
        <f>HYPERLINK("https://otsuka-europe-crm.veevavault.com/ui/#object/account__v/V4T00000002F059", "MARIANELA MANAGUA BRANDONI PETRONE")</f>
        <v>MARIANELA MANAGUA BRANDONI PETRONE</v>
      </c>
      <c r="B5442" s="18" t="str">
        <f>HYPERLINK("https://otsuka-europe-crm.veevavault.com/ui/#object/vcountry__v/VENZ000004SONF5", "ES")</f>
        <v>ES</v>
      </c>
      <c r="C5442" s="20" t="s">
        <v>39</v>
      </c>
      <c r="D5442" s="21" t="str">
        <f>HYPERLINK("https://otsuka-europe-crm.veevavault.com/ui/#object/approved_document__v/V5OZ06G6O6RFL1P", "ES Veeva Privacy Notice Email")</f>
        <v>ES Veeva Privacy Notice Email</v>
      </c>
      <c r="E5442" s="22" t="str">
        <f>HYPERLINK("https://otsuka-europe-crm.veevavault.com/ui/#object/sent_email__v/VBL000000037423", "SE-001444234")</f>
        <v>SE-001444234</v>
      </c>
      <c r="F5442" s="23"/>
      <c r="G5442" s="24">
        <v>0</v>
      </c>
      <c r="H5442" s="24">
        <v>0</v>
      </c>
      <c r="I5442" s="24">
        <v>0</v>
      </c>
      <c r="J5442" s="23"/>
      <c r="K5442" s="24">
        <v>0</v>
      </c>
      <c r="L5442" s="22" t="str">
        <f>HYPERLINK("https://otsuka-europe-crm.veevavault.com/ui/#object/approved_document__v/V5OZ06G6O6RFL1P", "ES Veeva Privacy Notice Email")</f>
        <v>ES Veeva Privacy Notice Email</v>
      </c>
      <c r="M5442" s="22" t="str">
        <f>HYPERLINK("mailto:barroyo@crm.otsuka-europe.com", "barroyo@crm.otsuka-europe.com")</f>
        <v>barroyo@crm.otsuka-europe.com</v>
      </c>
      <c r="N5442" s="25">
        <v>46219.636261574073</v>
      </c>
      <c r="O5442" s="14" t="str">
        <f>HYPERLINK("https://otsuka-europe-crm.veevavault.com/ui/#object/email_activity__v/V8C000000049910", "EN-002106691")</f>
        <v>EN-002106691</v>
      </c>
    </row>
    <row r="5443" spans="1:15" ht="16" x14ac:dyDescent="0.2">
      <c r="A5443" s="26"/>
      <c r="B5443" s="26"/>
      <c r="C5443" s="26"/>
      <c r="D5443" s="26"/>
      <c r="E5443" s="26"/>
      <c r="F5443" s="26"/>
      <c r="G5443" s="26"/>
      <c r="H5443" s="26"/>
      <c r="I5443" s="26"/>
      <c r="J5443" s="26"/>
      <c r="K5443" s="26"/>
      <c r="L5443" s="26"/>
      <c r="M5443" s="26"/>
      <c r="N5443" s="26"/>
      <c r="O5443" s="14" t="str">
        <f>HYPERLINK("https://otsuka-europe-crm.veevavault.com/ui/#object/email_activity__v/V8C00000004B274", "EN-002107193")</f>
        <v>EN-002107193</v>
      </c>
    </row>
    <row r="5444" spans="1:15" ht="16" x14ac:dyDescent="0.2">
      <c r="A5444" s="19"/>
      <c r="B5444" s="19"/>
      <c r="C5444" s="19"/>
      <c r="D5444" s="19"/>
      <c r="E5444" s="19"/>
      <c r="F5444" s="19"/>
      <c r="G5444" s="19"/>
      <c r="H5444" s="19"/>
      <c r="I5444" s="19"/>
      <c r="J5444" s="19"/>
      <c r="K5444" s="19"/>
      <c r="L5444" s="19"/>
      <c r="M5444" s="19"/>
      <c r="N5444" s="19"/>
      <c r="O5444" s="14" t="str">
        <f>HYPERLINK("https://otsuka-europe-crm.veevavault.com/ui/#object/email_activity__v/V8C00000004E592", "EN-002109520")</f>
        <v>EN-002109520</v>
      </c>
    </row>
    <row r="5445" spans="1:15" ht="16" x14ac:dyDescent="0.2">
      <c r="A5445" s="18" t="str">
        <f>HYPERLINK("https://otsuka-europe-crm.veevavault.com/ui/#object/account__v/V4T00000002F059", "MARIANELA MANAGUA BRANDONI PETRONE")</f>
        <v>MARIANELA MANAGUA BRANDONI PETRONE</v>
      </c>
      <c r="B5445" s="18" t="str">
        <f>HYPERLINK("https://otsuka-europe-crm.veevavault.com/ui/#object/vcountry__v/VENZ000004SONF5", "ES")</f>
        <v>ES</v>
      </c>
      <c r="C5445" s="20" t="s">
        <v>39</v>
      </c>
      <c r="D5445" s="21" t="str">
        <f>HYPERLINK("https://otsuka-europe-crm.veevavault.com/ui/#object/approved_document__v/V5O00000000D100", "Spain - Consent Email 1 Aug 25")</f>
        <v>Spain - Consent Email 1 Aug 25</v>
      </c>
      <c r="E5445" s="22" t="str">
        <f>HYPERLINK("https://otsuka-europe-crm.veevavault.com/ui/#object/sent_email__v/VBL000000037424", "SE-001444235")</f>
        <v>SE-001444235</v>
      </c>
      <c r="F5445" s="23"/>
      <c r="G5445" s="24">
        <v>0</v>
      </c>
      <c r="H5445" s="24">
        <v>0</v>
      </c>
      <c r="I5445" s="24">
        <v>1</v>
      </c>
      <c r="J5445" s="25">
        <v>46224.161423611113</v>
      </c>
      <c r="K5445" s="24">
        <v>1</v>
      </c>
      <c r="L5445" s="22" t="str">
        <f>HYPERLINK("https://otsuka-europe-crm.veevavault.com/ui/#object/approved_document__v/V5O00000000D100", "Spain - Consent Email 1 Aug 25")</f>
        <v>Spain - Consent Email 1 Aug 25</v>
      </c>
      <c r="M5445" s="22" t="str">
        <f>HYPERLINK("mailto:barroyo@crm.otsuka-europe.com", "barroyo@crm.otsuka-europe.com")</f>
        <v>barroyo@crm.otsuka-europe.com</v>
      </c>
      <c r="N5445" s="25">
        <v>46219.637511574074</v>
      </c>
      <c r="O5445" s="14" t="str">
        <f>HYPERLINK("https://otsuka-europe-crm.veevavault.com/ui/#object/email_activity__v/V8C000000049908", "EN-002106689")</f>
        <v>EN-002106689</v>
      </c>
    </row>
    <row r="5446" spans="1:15" ht="16" x14ac:dyDescent="0.2">
      <c r="A5446" s="26"/>
      <c r="B5446" s="26"/>
      <c r="C5446" s="26"/>
      <c r="D5446" s="26"/>
      <c r="E5446" s="26"/>
      <c r="F5446" s="26"/>
      <c r="G5446" s="26"/>
      <c r="H5446" s="26"/>
      <c r="I5446" s="26"/>
      <c r="J5446" s="26"/>
      <c r="K5446" s="26"/>
      <c r="L5446" s="26"/>
      <c r="M5446" s="26"/>
      <c r="N5446" s="26"/>
      <c r="O5446" s="14" t="str">
        <f>HYPERLINK("https://otsuka-europe-crm.veevavault.com/ui/#object/email_activity__v/V8C00000004B102", "EN-002106914")</f>
        <v>EN-002106914</v>
      </c>
    </row>
    <row r="5447" spans="1:15" ht="16" x14ac:dyDescent="0.2">
      <c r="A5447" s="26"/>
      <c r="B5447" s="26"/>
      <c r="C5447" s="26"/>
      <c r="D5447" s="26"/>
      <c r="E5447" s="26"/>
      <c r="F5447" s="26"/>
      <c r="G5447" s="26"/>
      <c r="H5447" s="26"/>
      <c r="I5447" s="26"/>
      <c r="J5447" s="26"/>
      <c r="K5447" s="26"/>
      <c r="L5447" s="26"/>
      <c r="M5447" s="26"/>
      <c r="N5447" s="26"/>
      <c r="O5447" s="14" t="str">
        <f>HYPERLINK("https://otsuka-europe-crm.veevavault.com/ui/#object/email_activity__v/V8C00000004C185", "EN-002107177")</f>
        <v>EN-002107177</v>
      </c>
    </row>
    <row r="5448" spans="1:15" ht="16" x14ac:dyDescent="0.2">
      <c r="A5448" s="19"/>
      <c r="B5448" s="19"/>
      <c r="C5448" s="19"/>
      <c r="D5448" s="19"/>
      <c r="E5448" s="19"/>
      <c r="F5448" s="19"/>
      <c r="G5448" s="19"/>
      <c r="H5448" s="19"/>
      <c r="I5448" s="19"/>
      <c r="J5448" s="19"/>
      <c r="K5448" s="19"/>
      <c r="L5448" s="19"/>
      <c r="M5448" s="19"/>
      <c r="N5448" s="19"/>
      <c r="O5448" s="14" t="str">
        <f>HYPERLINK("https://otsuka-europe-crm.veevavault.com/ui/#object/email_activity__v/V8C00000004E591", "EN-002109519")</f>
        <v>EN-002109519</v>
      </c>
    </row>
    <row r="5449" spans="1:15" ht="16" x14ac:dyDescent="0.2">
      <c r="A5449" s="18" t="str">
        <f>HYPERLINK("https://otsuka-europe-crm.veevavault.com/ui/#object/account__v/V4T00000002F059", "MARIANELA MANAGUA BRANDONI PETRONE")</f>
        <v>MARIANELA MANAGUA BRANDONI PETRONE</v>
      </c>
      <c r="B5449" s="18" t="str">
        <f>HYPERLINK("https://otsuka-europe-crm.veevavault.com/ui/#object/vcountry__v/VENZ000004SONF5", "ES")</f>
        <v>ES</v>
      </c>
      <c r="C5449" s="20" t="s">
        <v>39</v>
      </c>
      <c r="D5449" s="21" t="str">
        <f>HYPERLINK("https://otsuka-europe-crm.veevavault.com/ui/#object/approved_document__v/V5OZ04ASG4FWKA7", "Reuniones Online Consent - 2")</f>
        <v>Reuniones Online Consent - 2</v>
      </c>
      <c r="E5449" s="22" t="str">
        <f>HYPERLINK("https://otsuka-europe-crm.veevavault.com/ui/#object/sent_email__v/VBL000000037425", "SE-001444236")</f>
        <v>SE-001444236</v>
      </c>
      <c r="F5449" s="23"/>
      <c r="G5449" s="24">
        <v>0</v>
      </c>
      <c r="H5449" s="24">
        <v>0</v>
      </c>
      <c r="I5449" s="24">
        <v>1</v>
      </c>
      <c r="J5449" s="25">
        <v>46224.161666666667</v>
      </c>
      <c r="K5449" s="24">
        <v>1</v>
      </c>
      <c r="L5449" s="22" t="str">
        <f>HYPERLINK("https://otsuka-europe-crm.veevavault.com/ui/#object/approved_document__v/V5OZ04ASG4FWKA7", "Reuniones Online Consent - 2")</f>
        <v>Reuniones Online Consent - 2</v>
      </c>
      <c r="M5449" s="22" t="str">
        <f>HYPERLINK("mailto:barroyo@crm.otsuka-europe.com", "barroyo@crm.otsuka-europe.com")</f>
        <v>barroyo@crm.otsuka-europe.com</v>
      </c>
      <c r="N5449" s="25">
        <v>46219.637488425928</v>
      </c>
      <c r="O5449" s="14" t="str">
        <f>HYPERLINK("https://otsuka-europe-crm.veevavault.com/ui/#object/email_activity__v/V8C000000049907", "EN-002106688")</f>
        <v>EN-002106688</v>
      </c>
    </row>
    <row r="5450" spans="1:15" ht="16" x14ac:dyDescent="0.2">
      <c r="A5450" s="26"/>
      <c r="B5450" s="26"/>
      <c r="C5450" s="26"/>
      <c r="D5450" s="26"/>
      <c r="E5450" s="26"/>
      <c r="F5450" s="26"/>
      <c r="G5450" s="26"/>
      <c r="H5450" s="26"/>
      <c r="I5450" s="26"/>
      <c r="J5450" s="26"/>
      <c r="K5450" s="26"/>
      <c r="L5450" s="26"/>
      <c r="M5450" s="26"/>
      <c r="N5450" s="26"/>
      <c r="O5450" s="14" t="str">
        <f>HYPERLINK("https://otsuka-europe-crm.veevavault.com/ui/#object/email_activity__v/V8C00000004B101", "EN-002106913")</f>
        <v>EN-002106913</v>
      </c>
    </row>
    <row r="5451" spans="1:15" ht="16" x14ac:dyDescent="0.2">
      <c r="A5451" s="26"/>
      <c r="B5451" s="26"/>
      <c r="C5451" s="26"/>
      <c r="D5451" s="26"/>
      <c r="E5451" s="26"/>
      <c r="F5451" s="26"/>
      <c r="G5451" s="26"/>
      <c r="H5451" s="26"/>
      <c r="I5451" s="26"/>
      <c r="J5451" s="26"/>
      <c r="K5451" s="26"/>
      <c r="L5451" s="26"/>
      <c r="M5451" s="26"/>
      <c r="N5451" s="26"/>
      <c r="O5451" s="14" t="str">
        <f>HYPERLINK("https://otsuka-europe-crm.veevavault.com/ui/#object/email_activity__v/V8C00000004B771", "EN-002107996")</f>
        <v>EN-002107996</v>
      </c>
    </row>
    <row r="5452" spans="1:15" ht="16" x14ac:dyDescent="0.2">
      <c r="A5452" s="19"/>
      <c r="B5452" s="19"/>
      <c r="C5452" s="19"/>
      <c r="D5452" s="19"/>
      <c r="E5452" s="19"/>
      <c r="F5452" s="19"/>
      <c r="G5452" s="19"/>
      <c r="H5452" s="19"/>
      <c r="I5452" s="19"/>
      <c r="J5452" s="19"/>
      <c r="K5452" s="19"/>
      <c r="L5452" s="19"/>
      <c r="M5452" s="19"/>
      <c r="N5452" s="19"/>
      <c r="O5452" s="14" t="str">
        <f>HYPERLINK("https://otsuka-europe-crm.veevavault.com/ui/#object/email_activity__v/V8C00000004E590", "EN-002109518")</f>
        <v>EN-002109518</v>
      </c>
    </row>
    <row r="5453" spans="1:15" ht="16" x14ac:dyDescent="0.2">
      <c r="A5453" s="18" t="str">
        <f>HYPERLINK("https://otsuka-europe-crm.veevavault.com/ui/#object/account__v/V4T00000002F059", "MARIANELA MANAGUA BRANDONI PETRONE")</f>
        <v>MARIANELA MANAGUA BRANDONI PETRONE</v>
      </c>
      <c r="B5453" s="18" t="str">
        <f>HYPERLINK("https://otsuka-europe-crm.veevavault.com/ui/#object/vcountry__v/VENZ000004SONF5", "ES")</f>
        <v>ES</v>
      </c>
      <c r="C5453" s="20" t="s">
        <v>39</v>
      </c>
      <c r="D5453" s="21" t="str">
        <f>HYPERLINK("https://otsuka-europe-crm.veevavault.com/ui/#object/approved_document__v/V5OZ04ASG4FWKA9", "Documento Autorizaciขn Centro Empleador")</f>
        <v>Documento Autorizaciขn Centro Empleador</v>
      </c>
      <c r="E5453" s="22" t="str">
        <f>HYPERLINK("https://otsuka-europe-crm.veevavault.com/ui/#object/sent_email__v/VBL000000037426", "SE-001444237")</f>
        <v>SE-001444237</v>
      </c>
      <c r="F5453" s="23"/>
      <c r="G5453" s="24">
        <v>0</v>
      </c>
      <c r="H5453" s="24">
        <v>0</v>
      </c>
      <c r="I5453" s="24">
        <v>1</v>
      </c>
      <c r="J5453" s="25">
        <v>46224.161249999997</v>
      </c>
      <c r="K5453" s="24">
        <v>1</v>
      </c>
      <c r="L5453" s="22" t="str">
        <f>HYPERLINK("https://otsuka-europe-crm.veevavault.com/ui/#object/approved_document__v/V5OZ04ASG4FWKA9", "Documento Autorizaciขn Centro Empleador")</f>
        <v>Documento Autorizaciขn Centro Empleador</v>
      </c>
      <c r="M5453" s="22" t="str">
        <f>HYPERLINK("mailto:barroyo@crm.otsuka-europe.com", "barroyo@crm.otsuka-europe.com")</f>
        <v>barroyo@crm.otsuka-europe.com</v>
      </c>
      <c r="N5453" s="25">
        <v>46219.637523148151</v>
      </c>
      <c r="O5453" s="14" t="str">
        <f>HYPERLINK("https://otsuka-europe-crm.veevavault.com/ui/#object/email_activity__v/V8C000000049906", "EN-002106687")</f>
        <v>EN-002106687</v>
      </c>
    </row>
    <row r="5454" spans="1:15" ht="16" x14ac:dyDescent="0.2">
      <c r="A5454" s="26"/>
      <c r="B5454" s="26"/>
      <c r="C5454" s="26"/>
      <c r="D5454" s="26"/>
      <c r="E5454" s="26"/>
      <c r="F5454" s="26"/>
      <c r="G5454" s="26"/>
      <c r="H5454" s="26"/>
      <c r="I5454" s="26"/>
      <c r="J5454" s="26"/>
      <c r="K5454" s="26"/>
      <c r="L5454" s="26"/>
      <c r="M5454" s="26"/>
      <c r="N5454" s="26"/>
      <c r="O5454" s="14" t="str">
        <f>HYPERLINK("https://otsuka-europe-crm.veevavault.com/ui/#object/email_activity__v/V8C00000004B100", "EN-002106912")</f>
        <v>EN-002106912</v>
      </c>
    </row>
    <row r="5455" spans="1:15" ht="16" x14ac:dyDescent="0.2">
      <c r="A5455" s="26"/>
      <c r="B5455" s="26"/>
      <c r="C5455" s="26"/>
      <c r="D5455" s="26"/>
      <c r="E5455" s="26"/>
      <c r="F5455" s="26"/>
      <c r="G5455" s="26"/>
      <c r="H5455" s="26"/>
      <c r="I5455" s="26"/>
      <c r="J5455" s="26"/>
      <c r="K5455" s="26"/>
      <c r="L5455" s="26"/>
      <c r="M5455" s="26"/>
      <c r="N5455" s="26"/>
      <c r="O5455" s="14" t="str">
        <f>HYPERLINK("https://otsuka-europe-crm.veevavault.com/ui/#object/email_activity__v/V8C00000004C519", "EN-002108017")</f>
        <v>EN-002108017</v>
      </c>
    </row>
    <row r="5456" spans="1:15" ht="16" x14ac:dyDescent="0.2">
      <c r="A5456" s="19"/>
      <c r="B5456" s="19"/>
      <c r="C5456" s="19"/>
      <c r="D5456" s="19"/>
      <c r="E5456" s="19"/>
      <c r="F5456" s="19"/>
      <c r="G5456" s="19"/>
      <c r="H5456" s="19"/>
      <c r="I5456" s="19"/>
      <c r="J5456" s="19"/>
      <c r="K5456" s="19"/>
      <c r="L5456" s="19"/>
      <c r="M5456" s="19"/>
      <c r="N5456" s="19"/>
      <c r="O5456" s="14" t="str">
        <f>HYPERLINK("https://otsuka-europe-crm.veevavault.com/ui/#object/email_activity__v/V8C00000004E593", "EN-002109521")</f>
        <v>EN-002109521</v>
      </c>
    </row>
    <row r="5457" spans="1:15" ht="16" x14ac:dyDescent="0.2">
      <c r="A5457" s="18" t="str">
        <f>HYPERLINK("https://otsuka-europe-crm.veevavault.com/ui/#object/account__v/V4T00000002E042", "LELIA MARIA GACIAS PEDROS")</f>
        <v>LELIA MARIA GACIAS PEDROS</v>
      </c>
      <c r="B5457" s="18" t="str">
        <f>HYPERLINK("https://otsuka-europe-crm.veevavault.com/ui/#object/vcountry__v/VENZ000004SONF5", "ES")</f>
        <v>ES</v>
      </c>
      <c r="C5457" s="20" t="s">
        <v>39</v>
      </c>
      <c r="D5457" s="21" t="str">
        <f>HYPERLINK("https://otsuka-europe-crm.veevavault.com/ui/#object/approved_document__v/V5OZ06G6O6RFL1P", "ES Veeva Privacy Notice Email")</f>
        <v>ES Veeva Privacy Notice Email</v>
      </c>
      <c r="E5457" s="22" t="str">
        <f>HYPERLINK("https://otsuka-europe-crm.veevavault.com/ui/#object/sent_email__v/VBL000000037427", "SE-001444238")</f>
        <v>SE-001444238</v>
      </c>
      <c r="F5457" s="23"/>
      <c r="G5457" s="24">
        <v>0</v>
      </c>
      <c r="H5457" s="24">
        <v>0</v>
      </c>
      <c r="I5457" s="24">
        <v>0</v>
      </c>
      <c r="J5457" s="23"/>
      <c r="K5457" s="24">
        <v>0</v>
      </c>
      <c r="L5457" s="22" t="str">
        <f>HYPERLINK("https://otsuka-europe-crm.veevavault.com/ui/#object/approved_document__v/V5OZ06G6O6RFL1P", "ES Veeva Privacy Notice Email")</f>
        <v>ES Veeva Privacy Notice Email</v>
      </c>
      <c r="M5457" s="22" t="str">
        <f>HYPERLINK("mailto:barroyo@crm.otsuka-europe.com", "barroyo@crm.otsuka-europe.com")</f>
        <v>barroyo@crm.otsuka-europe.com</v>
      </c>
      <c r="N5457" s="25">
        <v>46219.640648148146</v>
      </c>
      <c r="O5457" s="14" t="str">
        <f>HYPERLINK("https://otsuka-europe-crm.veevavault.com/ui/#object/email_activity__v/V8C000000049911", "EN-002106692")</f>
        <v>EN-002106692</v>
      </c>
    </row>
    <row r="5458" spans="1:15" ht="16" x14ac:dyDescent="0.2">
      <c r="A5458" s="19"/>
      <c r="B5458" s="19"/>
      <c r="C5458" s="19"/>
      <c r="D5458" s="19"/>
      <c r="E5458" s="19"/>
      <c r="F5458" s="19"/>
      <c r="G5458" s="19"/>
      <c r="H5458" s="19"/>
      <c r="I5458" s="19"/>
      <c r="J5458" s="19"/>
      <c r="K5458" s="19"/>
      <c r="L5458" s="19"/>
      <c r="M5458" s="19"/>
      <c r="N5458" s="19"/>
      <c r="O5458" s="14" t="str">
        <f>HYPERLINK("https://otsuka-europe-crm.veevavault.com/ui/#object/email_activity__v/V8C000000049913", "EN-002106697")</f>
        <v>EN-002106697</v>
      </c>
    </row>
    <row r="5459" spans="1:15" ht="16" x14ac:dyDescent="0.2">
      <c r="A5459" s="18" t="str">
        <f>HYPERLINK("https://otsuka-europe-crm.veevavault.com/ui/#object/account__v/V4T00000002E042", "LELIA MARIA GACIAS PEDROS")</f>
        <v>LELIA MARIA GACIAS PEDROS</v>
      </c>
      <c r="B5459" s="18" t="str">
        <f>HYPERLINK("https://otsuka-europe-crm.veevavault.com/ui/#object/vcountry__v/VENZ000004SONF5", "ES")</f>
        <v>ES</v>
      </c>
      <c r="C5459" s="20" t="s">
        <v>39</v>
      </c>
      <c r="D5459" s="21" t="str">
        <f>HYPERLINK("https://otsuka-europe-crm.veevavault.com/ui/#object/approved_document__v/V5O00000000D100", "Spain - Consent Email 1 Aug 25")</f>
        <v>Spain - Consent Email 1 Aug 25</v>
      </c>
      <c r="E5459" s="22" t="str">
        <f>HYPERLINK("https://otsuka-europe-crm.veevavault.com/ui/#object/sent_email__v/VBL000000037428", "SE-001444239")</f>
        <v>SE-001444239</v>
      </c>
      <c r="F5459" s="25">
        <v>46219.67465277778</v>
      </c>
      <c r="G5459" s="24">
        <v>1</v>
      </c>
      <c r="H5459" s="24">
        <v>1</v>
      </c>
      <c r="I5459" s="24">
        <v>1</v>
      </c>
      <c r="J5459" s="25">
        <v>46219.67465277778</v>
      </c>
      <c r="K5459" s="24">
        <v>1</v>
      </c>
      <c r="L5459" s="22" t="str">
        <f>HYPERLINK("https://otsuka-europe-crm.veevavault.com/ui/#object/approved_document__v/V5O00000000D100", "Spain - Consent Email 1 Aug 25")</f>
        <v>Spain - Consent Email 1 Aug 25</v>
      </c>
      <c r="M5459" s="22" t="str">
        <f>HYPERLINK("mailto:barroyo@crm.otsuka-europe.com", "barroyo@crm.otsuka-europe.com")</f>
        <v>barroyo@crm.otsuka-europe.com</v>
      </c>
      <c r="N5459" s="25">
        <v>46219.641504629632</v>
      </c>
      <c r="O5459" s="14" t="str">
        <f>HYPERLINK("https://otsuka-europe-crm.veevavault.com/ui/#object/email_activity__v/V8C000000049914", "EN-002106700")</f>
        <v>EN-002106700</v>
      </c>
    </row>
    <row r="5460" spans="1:15" ht="16" x14ac:dyDescent="0.2">
      <c r="A5460" s="26"/>
      <c r="B5460" s="26"/>
      <c r="C5460" s="26"/>
      <c r="D5460" s="26"/>
      <c r="E5460" s="26"/>
      <c r="F5460" s="26"/>
      <c r="G5460" s="26"/>
      <c r="H5460" s="26"/>
      <c r="I5460" s="26"/>
      <c r="J5460" s="26"/>
      <c r="K5460" s="26"/>
      <c r="L5460" s="26"/>
      <c r="M5460" s="26"/>
      <c r="N5460" s="26"/>
      <c r="O5460" s="14" t="str">
        <f>HYPERLINK("https://otsuka-europe-crm.veevavault.com/ui/#object/email_activity__v/V8C000000049915", "EN-002106698")</f>
        <v>EN-002106698</v>
      </c>
    </row>
    <row r="5461" spans="1:15" ht="16" x14ac:dyDescent="0.2">
      <c r="A5461" s="26"/>
      <c r="B5461" s="26"/>
      <c r="C5461" s="26"/>
      <c r="D5461" s="26"/>
      <c r="E5461" s="26"/>
      <c r="F5461" s="26"/>
      <c r="G5461" s="26"/>
      <c r="H5461" s="26"/>
      <c r="I5461" s="26"/>
      <c r="J5461" s="26"/>
      <c r="K5461" s="26"/>
      <c r="L5461" s="26"/>
      <c r="M5461" s="26"/>
      <c r="N5461" s="26"/>
      <c r="O5461" s="14" t="str">
        <f>HYPERLINK("https://otsuka-europe-crm.veevavault.com/ui/#object/email_activity__v/V8C000000049916", "EN-002106699")</f>
        <v>EN-002106699</v>
      </c>
    </row>
    <row r="5462" spans="1:15" ht="16" x14ac:dyDescent="0.2">
      <c r="A5462" s="19"/>
      <c r="B5462" s="19"/>
      <c r="C5462" s="19"/>
      <c r="D5462" s="19"/>
      <c r="E5462" s="19"/>
      <c r="F5462" s="19"/>
      <c r="G5462" s="19"/>
      <c r="H5462" s="19"/>
      <c r="I5462" s="19"/>
      <c r="J5462" s="19"/>
      <c r="K5462" s="19"/>
      <c r="L5462" s="19"/>
      <c r="M5462" s="19"/>
      <c r="N5462" s="19"/>
      <c r="O5462" s="14" t="str">
        <f>HYPERLINK("https://otsuka-europe-crm.veevavault.com/ui/#object/email_activity__v/V8C00000004A918", "EN-002106694")</f>
        <v>EN-002106694</v>
      </c>
    </row>
    <row r="5463" spans="1:15" ht="16" x14ac:dyDescent="0.2">
      <c r="A5463" s="18" t="str">
        <f>HYPERLINK("https://otsuka-europe-crm.veevavault.com/ui/#object/account__v/V4T00000002E042", "LELIA MARIA GACIAS PEDROS")</f>
        <v>LELIA MARIA GACIAS PEDROS</v>
      </c>
      <c r="B5463" s="18" t="str">
        <f>HYPERLINK("https://otsuka-europe-crm.veevavault.com/ui/#object/vcountry__v/VENZ000004SONF5", "ES")</f>
        <v>ES</v>
      </c>
      <c r="C5463" s="20" t="s">
        <v>39</v>
      </c>
      <c r="D5463" s="21" t="str">
        <f>HYPERLINK("https://otsuka-europe-crm.veevavault.com/ui/#object/approved_document__v/V5OZ04ASG4FWKA7", "Reuniones Online Consent - 2")</f>
        <v>Reuniones Online Consent - 2</v>
      </c>
      <c r="E5463" s="22" t="str">
        <f>HYPERLINK("https://otsuka-europe-crm.veevavault.com/ui/#object/sent_email__v/VBL000000037429", "SE-001444240")</f>
        <v>SE-001444240</v>
      </c>
      <c r="F5463" s="23"/>
      <c r="G5463" s="24">
        <v>0</v>
      </c>
      <c r="H5463" s="24">
        <v>0</v>
      </c>
      <c r="I5463" s="24">
        <v>1</v>
      </c>
      <c r="J5463" s="25">
        <v>46219.675902777781</v>
      </c>
      <c r="K5463" s="24">
        <v>1</v>
      </c>
      <c r="L5463" s="22" t="str">
        <f>HYPERLINK("https://otsuka-europe-crm.veevavault.com/ui/#object/approved_document__v/V5OZ04ASG4FWKA7", "Reuniones Online Consent - 2")</f>
        <v>Reuniones Online Consent - 2</v>
      </c>
      <c r="M5463" s="22" t="str">
        <f>HYPERLINK("mailto:barroyo@crm.otsuka-europe.com", "barroyo@crm.otsuka-europe.com")</f>
        <v>barroyo@crm.otsuka-europe.com</v>
      </c>
      <c r="N5463" s="25">
        <v>46219.641527777778</v>
      </c>
      <c r="O5463" s="14" t="str">
        <f>HYPERLINK("https://otsuka-europe-crm.veevavault.com/ui/#object/email_activity__v/V8C000000049919", "EN-002106703")</f>
        <v>EN-002106703</v>
      </c>
    </row>
    <row r="5464" spans="1:15" ht="16" x14ac:dyDescent="0.2">
      <c r="A5464" s="26"/>
      <c r="B5464" s="26"/>
      <c r="C5464" s="26"/>
      <c r="D5464" s="26"/>
      <c r="E5464" s="26"/>
      <c r="F5464" s="26"/>
      <c r="G5464" s="26"/>
      <c r="H5464" s="26"/>
      <c r="I5464" s="26"/>
      <c r="J5464" s="26"/>
      <c r="K5464" s="26"/>
      <c r="L5464" s="26"/>
      <c r="M5464" s="26"/>
      <c r="N5464" s="26"/>
      <c r="O5464" s="14" t="str">
        <f>HYPERLINK("https://otsuka-europe-crm.veevavault.com/ui/#object/email_activity__v/V8C00000004A919", "EN-002106695")</f>
        <v>EN-002106695</v>
      </c>
    </row>
    <row r="5465" spans="1:15" ht="16" x14ac:dyDescent="0.2">
      <c r="A5465" s="19"/>
      <c r="B5465" s="19"/>
      <c r="C5465" s="19"/>
      <c r="D5465" s="19"/>
      <c r="E5465" s="19"/>
      <c r="F5465" s="19"/>
      <c r="G5465" s="19"/>
      <c r="H5465" s="19"/>
      <c r="I5465" s="19"/>
      <c r="J5465" s="19"/>
      <c r="K5465" s="19"/>
      <c r="L5465" s="19"/>
      <c r="M5465" s="19"/>
      <c r="N5465" s="19"/>
      <c r="O5465" s="14" t="str">
        <f>HYPERLINK("https://otsuka-europe-crm.veevavault.com/ui/#object/email_activity__v/V8C00000004A920", "EN-002106704")</f>
        <v>EN-002106704</v>
      </c>
    </row>
    <row r="5466" spans="1:15" ht="16" x14ac:dyDescent="0.2">
      <c r="A5466" s="18" t="str">
        <f>HYPERLINK("https://otsuka-europe-crm.veevavault.com/ui/#object/account__v/V4T00000002E042", "LELIA MARIA GACIAS PEDROS")</f>
        <v>LELIA MARIA GACIAS PEDROS</v>
      </c>
      <c r="B5466" s="18" t="str">
        <f>HYPERLINK("https://otsuka-europe-crm.veevavault.com/ui/#object/vcountry__v/VENZ000004SONF5", "ES")</f>
        <v>ES</v>
      </c>
      <c r="C5466" s="20" t="s">
        <v>39</v>
      </c>
      <c r="D5466" s="21" t="str">
        <f>HYPERLINK("https://otsuka-europe-crm.veevavault.com/ui/#object/approved_document__v/V5OZ04ASG4FWKA9", "Documento Autorizaciขn Centro Empleador")</f>
        <v>Documento Autorizaciขn Centro Empleador</v>
      </c>
      <c r="E5466" s="22" t="str">
        <f>HYPERLINK("https://otsuka-europe-crm.veevavault.com/ui/#object/sent_email__v/VBL000000037430", "SE-001444241")</f>
        <v>SE-001444241</v>
      </c>
      <c r="F5466" s="23"/>
      <c r="G5466" s="24">
        <v>0</v>
      </c>
      <c r="H5466" s="24">
        <v>0</v>
      </c>
      <c r="I5466" s="24">
        <v>1</v>
      </c>
      <c r="J5466" s="25">
        <v>46219.675636574073</v>
      </c>
      <c r="K5466" s="24">
        <v>1</v>
      </c>
      <c r="L5466" s="22" t="str">
        <f>HYPERLINK("https://otsuka-europe-crm.veevavault.com/ui/#object/approved_document__v/V5OZ04ASG4FWKA9", "Documento Autorizaciขn Centro Empleador")</f>
        <v>Documento Autorizaciขn Centro Empleador</v>
      </c>
      <c r="M5466" s="22" t="str">
        <f>HYPERLINK("mailto:barroyo@crm.otsuka-europe.com", "barroyo@crm.otsuka-europe.com")</f>
        <v>barroyo@crm.otsuka-europe.com</v>
      </c>
      <c r="N5466" s="25">
        <v>46219.641539351855</v>
      </c>
      <c r="O5466" s="14" t="str">
        <f>HYPERLINK("https://otsuka-europe-crm.veevavault.com/ui/#object/email_activity__v/V8C000000049917", "EN-002106701")</f>
        <v>EN-002106701</v>
      </c>
    </row>
    <row r="5467" spans="1:15" ht="16" x14ac:dyDescent="0.2">
      <c r="A5467" s="26"/>
      <c r="B5467" s="26"/>
      <c r="C5467" s="26"/>
      <c r="D5467" s="26"/>
      <c r="E5467" s="26"/>
      <c r="F5467" s="26"/>
      <c r="G5467" s="26"/>
      <c r="H5467" s="26"/>
      <c r="I5467" s="26"/>
      <c r="J5467" s="26"/>
      <c r="K5467" s="26"/>
      <c r="L5467" s="26"/>
      <c r="M5467" s="26"/>
      <c r="N5467" s="26"/>
      <c r="O5467" s="14" t="str">
        <f>HYPERLINK("https://otsuka-europe-crm.veevavault.com/ui/#object/email_activity__v/V8C000000049918", "EN-002106702")</f>
        <v>EN-002106702</v>
      </c>
    </row>
    <row r="5468" spans="1:15" ht="16" x14ac:dyDescent="0.2">
      <c r="A5468" s="19"/>
      <c r="B5468" s="19"/>
      <c r="C5468" s="19"/>
      <c r="D5468" s="19"/>
      <c r="E5468" s="19"/>
      <c r="F5468" s="19"/>
      <c r="G5468" s="19"/>
      <c r="H5468" s="19"/>
      <c r="I5468" s="19"/>
      <c r="J5468" s="19"/>
      <c r="K5468" s="19"/>
      <c r="L5468" s="19"/>
      <c r="M5468" s="19"/>
      <c r="N5468" s="19"/>
      <c r="O5468" s="14" t="str">
        <f>HYPERLINK("https://otsuka-europe-crm.veevavault.com/ui/#object/email_activity__v/V8C00000004A917", "EN-002106693")</f>
        <v>EN-002106693</v>
      </c>
    </row>
    <row r="5469" spans="1:15" ht="16" x14ac:dyDescent="0.2">
      <c r="A5469" s="18" t="str">
        <f>HYPERLINK("https://otsuka-europe-crm.veevavault.com/ui/#object/account__v/V4T00000002F060", "MONICA ANTON GIRONES")</f>
        <v>MONICA ANTON GIRONES</v>
      </c>
      <c r="B5469" s="18" t="str">
        <f>HYPERLINK("https://otsuka-europe-crm.veevavault.com/ui/#object/vcountry__v/VENZ000004SONF5", "ES")</f>
        <v>ES</v>
      </c>
      <c r="C5469" s="20" t="s">
        <v>39</v>
      </c>
      <c r="D5469" s="21" t="str">
        <f>HYPERLINK("https://otsuka-europe-crm.veevavault.com/ui/#object/approved_document__v/V5O00000000D100", "Spain - Consent Email 1 Aug 25")</f>
        <v>Spain - Consent Email 1 Aug 25</v>
      </c>
      <c r="E5469" s="22" t="str">
        <f>HYPERLINK("https://otsuka-europe-crm.veevavault.com/ui/#object/sent_email__v/VBL000000038336", "SE-001444242")</f>
        <v>SE-001444242</v>
      </c>
      <c r="F5469" s="25">
        <v>46220.438993055555</v>
      </c>
      <c r="G5469" s="24">
        <v>1</v>
      </c>
      <c r="H5469" s="24">
        <v>1</v>
      </c>
      <c r="I5469" s="24">
        <v>1</v>
      </c>
      <c r="J5469" s="25">
        <v>46220.438993055555</v>
      </c>
      <c r="K5469" s="24">
        <v>1</v>
      </c>
      <c r="L5469" s="22" t="str">
        <f>HYPERLINK("https://otsuka-europe-crm.veevavault.com/ui/#object/approved_document__v/V5O00000000D100", "Spain - Consent Email 1 Aug 25")</f>
        <v>Spain - Consent Email 1 Aug 25</v>
      </c>
      <c r="M5469" s="22" t="str">
        <f>HYPERLINK("mailto:barroyo@crm.otsuka-europe.com", "barroyo@crm.otsuka-europe.com")</f>
        <v>barroyo@crm.otsuka-europe.com</v>
      </c>
      <c r="N5469" s="25">
        <v>46219.683159722219</v>
      </c>
      <c r="O5469" s="14" t="str">
        <f>HYPERLINK("https://otsuka-europe-crm.veevavault.com/ui/#object/email_activity__v/V8C00000004A921", "EN-002106705")</f>
        <v>EN-002106705</v>
      </c>
    </row>
    <row r="5470" spans="1:15" ht="16" x14ac:dyDescent="0.2">
      <c r="A5470" s="26"/>
      <c r="B5470" s="26"/>
      <c r="C5470" s="26"/>
      <c r="D5470" s="26"/>
      <c r="E5470" s="26"/>
      <c r="F5470" s="26"/>
      <c r="G5470" s="26"/>
      <c r="H5470" s="26"/>
      <c r="I5470" s="26"/>
      <c r="J5470" s="26"/>
      <c r="K5470" s="26"/>
      <c r="L5470" s="26"/>
      <c r="M5470" s="26"/>
      <c r="N5470" s="26"/>
      <c r="O5470" s="14" t="str">
        <f>HYPERLINK("https://otsuka-europe-crm.veevavault.com/ui/#object/email_activity__v/V8C00000004B033", "EN-002106789")</f>
        <v>EN-002106789</v>
      </c>
    </row>
    <row r="5471" spans="1:15" ht="16" x14ac:dyDescent="0.2">
      <c r="A5471" s="19"/>
      <c r="B5471" s="19"/>
      <c r="C5471" s="19"/>
      <c r="D5471" s="19"/>
      <c r="E5471" s="19"/>
      <c r="F5471" s="19"/>
      <c r="G5471" s="19"/>
      <c r="H5471" s="19"/>
      <c r="I5471" s="19"/>
      <c r="J5471" s="19"/>
      <c r="K5471" s="19"/>
      <c r="L5471" s="19"/>
      <c r="M5471" s="19"/>
      <c r="N5471" s="19"/>
      <c r="O5471" s="14" t="str">
        <f>HYPERLINK("https://otsuka-europe-crm.veevavault.com/ui/#object/email_activity__v/V8C00000004B034", "EN-002106788")</f>
        <v>EN-002106788</v>
      </c>
    </row>
    <row r="5472" spans="1:15" ht="16" x14ac:dyDescent="0.2">
      <c r="A5472" s="18" t="str">
        <f>HYPERLINK("https://otsuka-europe-crm.veevavault.com/ui/#object/account__v/V4T00000002F060", "MONICA ANTON GIRONES")</f>
        <v>MONICA ANTON GIRONES</v>
      </c>
      <c r="B5472" s="18" t="str">
        <f>HYPERLINK("https://otsuka-europe-crm.veevavault.com/ui/#object/vcountry__v/VENZ000004SONF5", "ES")</f>
        <v>ES</v>
      </c>
      <c r="C5472" s="20" t="s">
        <v>39</v>
      </c>
      <c r="D5472" s="21" t="str">
        <f>HYPERLINK("https://otsuka-europe-crm.veevavault.com/ui/#object/approved_document__v/V5OZ04ASG4FWKA7", "Reuniones Online Consent - 2")</f>
        <v>Reuniones Online Consent - 2</v>
      </c>
      <c r="E5472" s="22" t="str">
        <f>HYPERLINK("https://otsuka-europe-crm.veevavault.com/ui/#object/sent_email__v/VBL000000038337", "SE-001444243")</f>
        <v>SE-001444243</v>
      </c>
      <c r="F5472" s="25">
        <v>46220.441840277781</v>
      </c>
      <c r="G5472" s="24">
        <v>1</v>
      </c>
      <c r="H5472" s="24">
        <v>1</v>
      </c>
      <c r="I5472" s="24">
        <v>1</v>
      </c>
      <c r="J5472" s="25">
        <v>46220.441840277781</v>
      </c>
      <c r="K5472" s="24">
        <v>1</v>
      </c>
      <c r="L5472" s="22" t="str">
        <f>HYPERLINK("https://otsuka-europe-crm.veevavault.com/ui/#object/approved_document__v/V5OZ04ASG4FWKA7", "Reuniones Online Consent - 2")</f>
        <v>Reuniones Online Consent - 2</v>
      </c>
      <c r="M5472" s="22" t="str">
        <f>HYPERLINK("mailto:barroyo@crm.otsuka-europe.com", "barroyo@crm.otsuka-europe.com")</f>
        <v>barroyo@crm.otsuka-europe.com</v>
      </c>
      <c r="N5472" s="25">
        <v>46219.68310185185</v>
      </c>
      <c r="O5472" s="14" t="str">
        <f>HYPERLINK("https://otsuka-europe-crm.veevavault.com/ui/#object/email_activity__v/V8C00000004A923", "EN-002106707")</f>
        <v>EN-002106707</v>
      </c>
    </row>
    <row r="5473" spans="1:15" ht="16" x14ac:dyDescent="0.2">
      <c r="A5473" s="26"/>
      <c r="B5473" s="26"/>
      <c r="C5473" s="26"/>
      <c r="D5473" s="26"/>
      <c r="E5473" s="26"/>
      <c r="F5473" s="26"/>
      <c r="G5473" s="26"/>
      <c r="H5473" s="26"/>
      <c r="I5473" s="26"/>
      <c r="J5473" s="26"/>
      <c r="K5473" s="26"/>
      <c r="L5473" s="26"/>
      <c r="M5473" s="26"/>
      <c r="N5473" s="26"/>
      <c r="O5473" s="14" t="str">
        <f>HYPERLINK("https://otsuka-europe-crm.veevavault.com/ui/#object/email_activity__v/V8C00000004B037", "EN-002106795")</f>
        <v>EN-002106795</v>
      </c>
    </row>
    <row r="5474" spans="1:15" ht="16" x14ac:dyDescent="0.2">
      <c r="A5474" s="19"/>
      <c r="B5474" s="19"/>
      <c r="C5474" s="19"/>
      <c r="D5474" s="19"/>
      <c r="E5474" s="19"/>
      <c r="F5474" s="19"/>
      <c r="G5474" s="19"/>
      <c r="H5474" s="19"/>
      <c r="I5474" s="19"/>
      <c r="J5474" s="19"/>
      <c r="K5474" s="19"/>
      <c r="L5474" s="19"/>
      <c r="M5474" s="19"/>
      <c r="N5474" s="19"/>
      <c r="O5474" s="14" t="str">
        <f>HYPERLINK("https://otsuka-europe-crm.veevavault.com/ui/#object/email_activity__v/V8C00000004B038", "EN-002106794")</f>
        <v>EN-002106794</v>
      </c>
    </row>
    <row r="5475" spans="1:15" ht="16" x14ac:dyDescent="0.2">
      <c r="A5475" s="18" t="str">
        <f>HYPERLINK("https://otsuka-europe-crm.veevavault.com/ui/#object/account__v/V4T00000002F060", "MONICA ANTON GIRONES")</f>
        <v>MONICA ANTON GIRONES</v>
      </c>
      <c r="B5475" s="18" t="str">
        <f>HYPERLINK("https://otsuka-europe-crm.veevavault.com/ui/#object/vcountry__v/VENZ000004SONF5", "ES")</f>
        <v>ES</v>
      </c>
      <c r="C5475" s="20" t="s">
        <v>39</v>
      </c>
      <c r="D5475" s="21" t="str">
        <f>HYPERLINK("https://otsuka-europe-crm.veevavault.com/ui/#object/approved_document__v/V5OZ04ASG4FWKA9", "Documento Autorizaciขn Centro Empleador")</f>
        <v>Documento Autorizaciขn Centro Empleador</v>
      </c>
      <c r="E5475" s="22" t="str">
        <f>HYPERLINK("https://otsuka-europe-crm.veevavault.com/ui/#object/sent_email__v/VBL000000038338", "SE-001444244")</f>
        <v>SE-001444244</v>
      </c>
      <c r="F5475" s="25">
        <v>46220.439479166664</v>
      </c>
      <c r="G5475" s="24">
        <v>1</v>
      </c>
      <c r="H5475" s="24">
        <v>1</v>
      </c>
      <c r="I5475" s="24">
        <v>1</v>
      </c>
      <c r="J5475" s="25">
        <v>46220.439479166664</v>
      </c>
      <c r="K5475" s="24">
        <v>1</v>
      </c>
      <c r="L5475" s="22" t="str">
        <f>HYPERLINK("https://otsuka-europe-crm.veevavault.com/ui/#object/approved_document__v/V5OZ04ASG4FWKA9", "Documento Autorizaciขn Centro Empleador")</f>
        <v>Documento Autorizaciขn Centro Empleador</v>
      </c>
      <c r="M5475" s="22" t="str">
        <f>HYPERLINK("mailto:barroyo@crm.otsuka-europe.com", "barroyo@crm.otsuka-europe.com")</f>
        <v>barroyo@crm.otsuka-europe.com</v>
      </c>
      <c r="N5475" s="25">
        <v>46219.683125000003</v>
      </c>
      <c r="O5475" s="14" t="str">
        <f>HYPERLINK("https://otsuka-europe-crm.veevavault.com/ui/#object/email_activity__v/V8C00000004A922", "EN-002106706")</f>
        <v>EN-002106706</v>
      </c>
    </row>
    <row r="5476" spans="1:15" ht="16" x14ac:dyDescent="0.2">
      <c r="A5476" s="26"/>
      <c r="B5476" s="26"/>
      <c r="C5476" s="26"/>
      <c r="D5476" s="26"/>
      <c r="E5476" s="26"/>
      <c r="F5476" s="26"/>
      <c r="G5476" s="26"/>
      <c r="H5476" s="26"/>
      <c r="I5476" s="26"/>
      <c r="J5476" s="26"/>
      <c r="K5476" s="26"/>
      <c r="L5476" s="26"/>
      <c r="M5476" s="26"/>
      <c r="N5476" s="26"/>
      <c r="O5476" s="14" t="str">
        <f>HYPERLINK("https://otsuka-europe-crm.veevavault.com/ui/#object/email_activity__v/V8C00000004C027", "EN-002106791")</f>
        <v>EN-002106791</v>
      </c>
    </row>
    <row r="5477" spans="1:15" ht="16" x14ac:dyDescent="0.2">
      <c r="A5477" s="19"/>
      <c r="B5477" s="19"/>
      <c r="C5477" s="19"/>
      <c r="D5477" s="19"/>
      <c r="E5477" s="19"/>
      <c r="F5477" s="19"/>
      <c r="G5477" s="19"/>
      <c r="H5477" s="19"/>
      <c r="I5477" s="19"/>
      <c r="J5477" s="19"/>
      <c r="K5477" s="19"/>
      <c r="L5477" s="19"/>
      <c r="M5477" s="19"/>
      <c r="N5477" s="19"/>
      <c r="O5477" s="14" t="str">
        <f>HYPERLINK("https://otsuka-europe-crm.veevavault.com/ui/#object/email_activity__v/V8C00000004C028", "EN-002106790")</f>
        <v>EN-002106790</v>
      </c>
    </row>
    <row r="5478" spans="1:15" ht="32" x14ac:dyDescent="0.2">
      <c r="A5478" s="7" t="str">
        <f>HYPERLINK("https://otsuka-europe-crm.veevavault.com/ui/#object/account__v/V4T00000002E045", "Christine Davies")</f>
        <v>Christine Davies</v>
      </c>
      <c r="B5478" s="7" t="str">
        <f>HYPERLINK("https://otsuka-europe-crm.veevavault.com/ui/#object/vcountry__v/VENZ000004SONFK", "GB")</f>
        <v>GB</v>
      </c>
      <c r="C5478" s="8" t="s">
        <v>41</v>
      </c>
      <c r="D5478" s="9" t="str">
        <f>HYPERLINK("https://otsuka-europe-crm.veevavault.com/ui/#object/approved_document__v/V5OZ025E82PXJSL", "Otsuka Privacy Notice - UK (v2)")</f>
        <v>Otsuka Privacy Notice - UK (v2)</v>
      </c>
      <c r="E5478" s="10" t="str">
        <f>HYPERLINK("https://otsuka-europe-crm.veevavault.com/ui/#object/sent_email__v/VBL000000038339", "SE-001444245")</f>
        <v>SE-001444245</v>
      </c>
      <c r="F5478" s="11"/>
      <c r="G5478" s="12">
        <v>0</v>
      </c>
      <c r="H5478" s="12">
        <v>0</v>
      </c>
      <c r="I5478" s="12">
        <v>0</v>
      </c>
      <c r="J5478" s="11"/>
      <c r="K5478" s="12">
        <v>0</v>
      </c>
      <c r="L5478" s="10" t="str">
        <f>HYPERLINK("https://otsuka-europe-crm.veevavault.com/ui/#object/approved_document__v/V5OZ025E82PXJSL", "Otsuka Privacy Notice - UK (v2)")</f>
        <v>Otsuka Privacy Notice - UK (v2)</v>
      </c>
      <c r="M5478" s="10" t="str">
        <f>HYPERLINK("mailto:KWood@crm.otsuka-europe.com", "KWood@crm.otsuka-europe.com")</f>
        <v>KWood@crm.otsuka-europe.com</v>
      </c>
      <c r="N5478" s="13">
        <v>46219.717511574076</v>
      </c>
      <c r="O5478" s="14" t="str">
        <f>HYPERLINK("https://otsuka-europe-crm.veevavault.com/ui/#object/email_activity__v/V8C00000004A925", "EN-002106711")</f>
        <v>EN-002106711</v>
      </c>
    </row>
    <row r="5479" spans="1:15" ht="48" x14ac:dyDescent="0.2">
      <c r="A5479" s="7" t="str">
        <f>HYPERLINK("https://otsuka-europe-crm.veevavault.com/ui/#object/account__v/V4T00000002E045", "Christine Davies")</f>
        <v>Christine Davies</v>
      </c>
      <c r="B5479" s="7" t="str">
        <f>HYPERLINK("https://otsuka-europe-crm.veevavault.com/ui/#object/vcountry__v/VENZ000004SONFK", "GB")</f>
        <v>GB</v>
      </c>
      <c r="C5479" s="8" t="s">
        <v>41</v>
      </c>
      <c r="D5479" s="9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5479" s="10" t="str">
        <f>HYPERLINK("https://otsuka-europe-crm.veevavault.com/ui/#object/sent_email__v/VBL000000037431", "SE-001444246")</f>
        <v>SE-001444246</v>
      </c>
      <c r="F5479" s="11"/>
      <c r="G5479" s="12">
        <v>0</v>
      </c>
      <c r="H5479" s="12">
        <v>0</v>
      </c>
      <c r="I5479" s="12">
        <v>0</v>
      </c>
      <c r="J5479" s="11"/>
      <c r="K5479" s="12">
        <v>0</v>
      </c>
      <c r="L5479" s="10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5479" s="10" t="str">
        <f>HYPERLINK("mailto:KWood@crm.otsuka-europe.com", "KWood@crm.otsuka-europe.com")</f>
        <v>KWood@crm.otsuka-europe.com</v>
      </c>
      <c r="N5479" s="13">
        <v>46219.718923611108</v>
      </c>
      <c r="O5479" s="14" t="str">
        <f>HYPERLINK("https://otsuka-europe-crm.veevavault.com/ui/#object/email_activity__v/V8C000000049922", "EN-002106712")</f>
        <v>EN-002106712</v>
      </c>
    </row>
    <row r="5480" spans="1:15" ht="32" x14ac:dyDescent="0.2">
      <c r="A5480" s="7" t="str">
        <f>HYPERLINK("https://otsuka-europe-crm.veevavault.com/ui/#object/account__v/V4T00000002E045", "Christine Davies")</f>
        <v>Christine Davies</v>
      </c>
      <c r="B5480" s="7" t="str">
        <f>HYPERLINK("https://otsuka-europe-crm.veevavault.com/ui/#object/vcountry__v/VENZ000004SONFK", "GB")</f>
        <v>GB</v>
      </c>
      <c r="C5480" s="8" t="s">
        <v>41</v>
      </c>
      <c r="D5480" s="9" t="str">
        <f>HYPERLINK("https://otsuka-europe-crm.veevavault.com/ui/#object/approved_document__v/V5O00000000D081", "UK - Consent Email 1 Aug 25")</f>
        <v>UK - Consent Email 1 Aug 25</v>
      </c>
      <c r="E5480" s="10" t="str">
        <f>HYPERLINK("https://otsuka-europe-crm.veevavault.com/ui/#object/sent_email__v/VBL000000037432", "SE-001444247")</f>
        <v>SE-001444247</v>
      </c>
      <c r="F5480" s="11"/>
      <c r="G5480" s="12">
        <v>0</v>
      </c>
      <c r="H5480" s="12">
        <v>0</v>
      </c>
      <c r="I5480" s="12">
        <v>0</v>
      </c>
      <c r="J5480" s="11"/>
      <c r="K5480" s="12">
        <v>0</v>
      </c>
      <c r="L5480" s="10" t="str">
        <f>HYPERLINK("https://otsuka-europe-crm.veevavault.com/ui/#object/approved_document__v/V5O00000000D081", "UK - Consent Email 1 Aug 25")</f>
        <v>UK - Consent Email 1 Aug 25</v>
      </c>
      <c r="M5480" s="10" t="str">
        <f>HYPERLINK("mailto:KWood@crm.otsuka-europe.com", "KWood@crm.otsuka-europe.com")</f>
        <v>KWood@crm.otsuka-europe.com</v>
      </c>
      <c r="N5480" s="13">
        <v>46219.719629629632</v>
      </c>
      <c r="O5480" s="14" t="str">
        <f>HYPERLINK("https://otsuka-europe-crm.veevavault.com/ui/#object/email_activity__v/V8C000000049923", "EN-002106713")</f>
        <v>EN-002106713</v>
      </c>
    </row>
    <row r="5481" spans="1:15" ht="16" x14ac:dyDescent="0.2">
      <c r="A5481" s="18" t="str">
        <f>HYPERLINK("https://otsuka-europe-crm.veevavault.com/ui/#object/account__v/V4T000000023025", "Dyna George")</f>
        <v>Dyna George</v>
      </c>
      <c r="B5481" s="18" t="str">
        <f>HYPERLINK("https://otsuka-europe-crm.veevavault.com/ui/#object/vcountry__v/VENZ000004SONFK", "GB")</f>
        <v>GB</v>
      </c>
      <c r="C5481" s="20" t="s">
        <v>41</v>
      </c>
      <c r="D5481" s="21" t="str">
        <f>HYPERLINK("https://otsuka-europe-crm.veevavault.com/ui/#object/approved_document__v/V5O00000000D081", "UK - Consent Email 1 Aug 25")</f>
        <v>UK - Consent Email 1 Aug 25</v>
      </c>
      <c r="E5481" s="22" t="str">
        <f>HYPERLINK("https://otsuka-europe-crm.veevavault.com/ui/#object/sent_email__v/VBL000000037433", "SE-001444248")</f>
        <v>SE-001444248</v>
      </c>
      <c r="F5481" s="25">
        <v>46220.41574074074</v>
      </c>
      <c r="G5481" s="24">
        <v>1</v>
      </c>
      <c r="H5481" s="24">
        <v>3</v>
      </c>
      <c r="I5481" s="24">
        <v>0</v>
      </c>
      <c r="J5481" s="23"/>
      <c r="K5481" s="24">
        <v>0</v>
      </c>
      <c r="L5481" s="22" t="str">
        <f>HYPERLINK("https://otsuka-europe-crm.veevavault.com/ui/#object/approved_document__v/V5O00000000D081", "UK - Consent Email 1 Aug 25")</f>
        <v>UK - Consent Email 1 Aug 25</v>
      </c>
      <c r="M5481" s="22" t="str">
        <f>HYPERLINK("mailto:KWood@crm.otsuka-europe.com", "KWood@crm.otsuka-europe.com")</f>
        <v>KWood@crm.otsuka-europe.com</v>
      </c>
      <c r="N5481" s="25">
        <v>46219.721365740741</v>
      </c>
      <c r="O5481" s="14" t="str">
        <f>HYPERLINK("https://otsuka-europe-crm.veevavault.com/ui/#object/email_activity__v/V8C000000049924", "EN-002106714")</f>
        <v>EN-002106714</v>
      </c>
    </row>
    <row r="5482" spans="1:15" ht="16" x14ac:dyDescent="0.2">
      <c r="A5482" s="26"/>
      <c r="B5482" s="26"/>
      <c r="C5482" s="26"/>
      <c r="D5482" s="26"/>
      <c r="E5482" s="26"/>
      <c r="F5482" s="26"/>
      <c r="G5482" s="26"/>
      <c r="H5482" s="26"/>
      <c r="I5482" s="26"/>
      <c r="J5482" s="26"/>
      <c r="K5482" s="26"/>
      <c r="L5482" s="26"/>
      <c r="M5482" s="26"/>
      <c r="N5482" s="26"/>
      <c r="O5482" s="14" t="str">
        <f>HYPERLINK("https://otsuka-europe-crm.veevavault.com/ui/#object/email_activity__v/V8C00000004B006", "EN-002106741")</f>
        <v>EN-002106741</v>
      </c>
    </row>
    <row r="5483" spans="1:15" ht="16" x14ac:dyDescent="0.2">
      <c r="A5483" s="26"/>
      <c r="B5483" s="26"/>
      <c r="C5483" s="26"/>
      <c r="D5483" s="26"/>
      <c r="E5483" s="26"/>
      <c r="F5483" s="26"/>
      <c r="G5483" s="26"/>
      <c r="H5483" s="26"/>
      <c r="I5483" s="26"/>
      <c r="J5483" s="26"/>
      <c r="K5483" s="26"/>
      <c r="L5483" s="26"/>
      <c r="M5483" s="26"/>
      <c r="N5483" s="26"/>
      <c r="O5483" s="14" t="str">
        <f>HYPERLINK("https://otsuka-europe-crm.veevavault.com/ui/#object/email_activity__v/V8C00000004B007", "EN-002106742")</f>
        <v>EN-002106742</v>
      </c>
    </row>
    <row r="5484" spans="1:15" ht="16" x14ac:dyDescent="0.2">
      <c r="A5484" s="19"/>
      <c r="B5484" s="19"/>
      <c r="C5484" s="19"/>
      <c r="D5484" s="19"/>
      <c r="E5484" s="19"/>
      <c r="F5484" s="19"/>
      <c r="G5484" s="19"/>
      <c r="H5484" s="19"/>
      <c r="I5484" s="19"/>
      <c r="J5484" s="19"/>
      <c r="K5484" s="19"/>
      <c r="L5484" s="19"/>
      <c r="M5484" s="19"/>
      <c r="N5484" s="19"/>
      <c r="O5484" s="14" t="str">
        <f>HYPERLINK("https://otsuka-europe-crm.veevavault.com/ui/#object/email_activity__v/V8C00000004C025", "EN-002106785")</f>
        <v>EN-002106785</v>
      </c>
    </row>
    <row r="5485" spans="1:15" ht="16" x14ac:dyDescent="0.2">
      <c r="A5485" s="18" t="str">
        <f>HYPERLINK("https://otsuka-europe-crm.veevavault.com/ui/#object/account__v/V4TZ025E8811OTP", "Sadia Noorani")</f>
        <v>Sadia Noorani</v>
      </c>
      <c r="B5485" s="18" t="str">
        <f>HYPERLINK("https://otsuka-europe-crm.veevavault.com/ui/#object/vcountry__v/VENZ000004SONFK", "GB")</f>
        <v>GB</v>
      </c>
      <c r="C5485" s="20" t="s">
        <v>41</v>
      </c>
      <c r="D5485" s="21" t="str">
        <f>HYPERLINK("https://otsuka-europe-crm.veevavault.com/ui/#object/approved_document__v/V5O00000000D081", "UK - Consent Email 1 Aug 25")</f>
        <v>UK - Consent Email 1 Aug 25</v>
      </c>
      <c r="E5485" s="22" t="str">
        <f>HYPERLINK("https://otsuka-europe-crm.veevavault.com/ui/#object/sent_email__v/VBL000000037434", "SE-001444249")</f>
        <v>SE-001444249</v>
      </c>
      <c r="F5485" s="25">
        <v>46219.729490740741</v>
      </c>
      <c r="G5485" s="24">
        <v>1</v>
      </c>
      <c r="H5485" s="24">
        <v>3</v>
      </c>
      <c r="I5485" s="24">
        <v>0</v>
      </c>
      <c r="J5485" s="23"/>
      <c r="K5485" s="24">
        <v>0</v>
      </c>
      <c r="L5485" s="22" t="str">
        <f>HYPERLINK("https://otsuka-europe-crm.veevavault.com/ui/#object/approved_document__v/V5O00000000D081", "UK - Consent Email 1 Aug 25")</f>
        <v>UK - Consent Email 1 Aug 25</v>
      </c>
      <c r="M5485" s="22" t="str">
        <f>HYPERLINK("mailto:KWood@crm.otsuka-europe.com", "KWood@crm.otsuka-europe.com")</f>
        <v>KWood@crm.otsuka-europe.com</v>
      </c>
      <c r="N5485" s="25">
        <v>46219.72179398148</v>
      </c>
      <c r="O5485" s="14" t="str">
        <f>HYPERLINK("https://otsuka-europe-crm.veevavault.com/ui/#object/email_activity__v/V8C00000004A926", "EN-002106715")</f>
        <v>EN-002106715</v>
      </c>
    </row>
    <row r="5486" spans="1:15" ht="16" x14ac:dyDescent="0.2">
      <c r="A5486" s="26"/>
      <c r="B5486" s="26"/>
      <c r="C5486" s="26"/>
      <c r="D5486" s="26"/>
      <c r="E5486" s="26"/>
      <c r="F5486" s="26"/>
      <c r="G5486" s="26"/>
      <c r="H5486" s="26"/>
      <c r="I5486" s="26"/>
      <c r="J5486" s="26"/>
      <c r="K5486" s="26"/>
      <c r="L5486" s="26"/>
      <c r="M5486" s="26"/>
      <c r="N5486" s="26"/>
      <c r="O5486" s="14" t="str">
        <f>HYPERLINK("https://otsuka-europe-crm.veevavault.com/ui/#object/email_activity__v/V8C00000004A927", "EN-002106716")</f>
        <v>EN-002106716</v>
      </c>
    </row>
    <row r="5487" spans="1:15" ht="16" x14ac:dyDescent="0.2">
      <c r="A5487" s="26"/>
      <c r="B5487" s="26"/>
      <c r="C5487" s="26"/>
      <c r="D5487" s="26"/>
      <c r="E5487" s="26"/>
      <c r="F5487" s="26"/>
      <c r="G5487" s="26"/>
      <c r="H5487" s="26"/>
      <c r="I5487" s="26"/>
      <c r="J5487" s="26"/>
      <c r="K5487" s="26"/>
      <c r="L5487" s="26"/>
      <c r="M5487" s="26"/>
      <c r="N5487" s="26"/>
      <c r="O5487" s="14" t="str">
        <f>HYPERLINK("https://otsuka-europe-crm.veevavault.com/ui/#object/email_activity__v/V8C00000004A930", "EN-002106720")</f>
        <v>EN-002106720</v>
      </c>
    </row>
    <row r="5488" spans="1:15" ht="16" x14ac:dyDescent="0.2">
      <c r="A5488" s="19"/>
      <c r="B5488" s="19"/>
      <c r="C5488" s="19"/>
      <c r="D5488" s="19"/>
      <c r="E5488" s="19"/>
      <c r="F5488" s="19"/>
      <c r="G5488" s="19"/>
      <c r="H5488" s="19"/>
      <c r="I5488" s="19"/>
      <c r="J5488" s="19"/>
      <c r="K5488" s="19"/>
      <c r="L5488" s="19"/>
      <c r="M5488" s="19"/>
      <c r="N5488" s="19"/>
      <c r="O5488" s="14" t="str">
        <f>HYPERLINK("https://otsuka-europe-crm.veevavault.com/ui/#object/email_activity__v/V8C00000004A931", "EN-002106721")</f>
        <v>EN-002106721</v>
      </c>
    </row>
    <row r="5489" spans="1:15" ht="16" x14ac:dyDescent="0.2">
      <c r="A5489" s="18" t="str">
        <f>HYPERLINK("https://otsuka-europe-crm.veevavault.com/ui/#object/account__v/V4T00000002E044", "Florence Frimpong")</f>
        <v>Florence Frimpong</v>
      </c>
      <c r="B5489" s="18" t="str">
        <f>HYPERLINK("https://otsuka-europe-crm.veevavault.com/ui/#object/vcountry__v/VENZ000004SONFK", "GB")</f>
        <v>GB</v>
      </c>
      <c r="C5489" s="20" t="s">
        <v>41</v>
      </c>
      <c r="D5489" s="21" t="str">
        <f>HYPERLINK("https://otsuka-europe-crm.veevavault.com/ui/#object/approved_document__v/V5OZ025E82PXJSL", "Otsuka Privacy Notice - UK (v2)")</f>
        <v>Otsuka Privacy Notice - UK (v2)</v>
      </c>
      <c r="E5489" s="22" t="str">
        <f>HYPERLINK("https://otsuka-europe-crm.veevavault.com/ui/#object/sent_email__v/VBL000000037435", "SE-001444250")</f>
        <v>SE-001444250</v>
      </c>
      <c r="F5489" s="25">
        <v>46219.724432870367</v>
      </c>
      <c r="G5489" s="24">
        <v>1</v>
      </c>
      <c r="H5489" s="24">
        <v>1</v>
      </c>
      <c r="I5489" s="24">
        <v>0</v>
      </c>
      <c r="J5489" s="23"/>
      <c r="K5489" s="24">
        <v>0</v>
      </c>
      <c r="L5489" s="22" t="str">
        <f>HYPERLINK("https://otsuka-europe-crm.veevavault.com/ui/#object/approved_document__v/V5OZ025E82PXJSL", "Otsuka Privacy Notice - UK (v2)")</f>
        <v>Otsuka Privacy Notice - UK (v2)</v>
      </c>
      <c r="M5489" s="22" t="str">
        <f>HYPERLINK("mailto:KWood@crm.otsuka-europe.com", "KWood@crm.otsuka-europe.com")</f>
        <v>KWood@crm.otsuka-europe.com</v>
      </c>
      <c r="N5489" s="25">
        <v>46219.724328703705</v>
      </c>
      <c r="O5489" s="14" t="str">
        <f>HYPERLINK("https://otsuka-europe-crm.veevavault.com/ui/#object/email_activity__v/V8C000000049925", "EN-002106718")</f>
        <v>EN-002106718</v>
      </c>
    </row>
    <row r="5490" spans="1:15" ht="16" x14ac:dyDescent="0.2">
      <c r="A5490" s="19"/>
      <c r="B5490" s="19"/>
      <c r="C5490" s="19"/>
      <c r="D5490" s="19"/>
      <c r="E5490" s="19"/>
      <c r="F5490" s="19"/>
      <c r="G5490" s="19"/>
      <c r="H5490" s="19"/>
      <c r="I5490" s="19"/>
      <c r="J5490" s="19"/>
      <c r="K5490" s="19"/>
      <c r="L5490" s="19"/>
      <c r="M5490" s="19"/>
      <c r="N5490" s="19"/>
      <c r="O5490" s="14" t="str">
        <f>HYPERLINK("https://otsuka-europe-crm.veevavault.com/ui/#object/email_activity__v/V8C00000004A928", "EN-002106717")</f>
        <v>EN-002106717</v>
      </c>
    </row>
    <row r="5491" spans="1:15" ht="32" x14ac:dyDescent="0.2">
      <c r="A5491" s="7" t="str">
        <f>HYPERLINK("https://otsuka-europe-crm.veevavault.com/ui/#object/account__v/V4T00000002E044", "Florence Frimpong")</f>
        <v>Florence Frimpong</v>
      </c>
      <c r="B5491" s="7" t="str">
        <f>HYPERLINK("https://otsuka-europe-crm.veevavault.com/ui/#object/vcountry__v/VENZ000004SONFK", "GB")</f>
        <v>GB</v>
      </c>
      <c r="C5491" s="8" t="s">
        <v>41</v>
      </c>
      <c r="D5491" s="9" t="str">
        <f>HYPERLINK("https://otsuka-europe-crm.veevavault.com/ui/#object/approved_document__v/V5O00000000D081", "UK - Consent Email 1 Aug 25")</f>
        <v>UK - Consent Email 1 Aug 25</v>
      </c>
      <c r="E5491" s="10" t="str">
        <f>HYPERLINK("https://otsuka-europe-crm.veevavault.com/ui/#object/sent_email__v/VBL000000037436", "SE-001444251")</f>
        <v>SE-001444251</v>
      </c>
      <c r="F5491" s="11"/>
      <c r="G5491" s="12">
        <v>0</v>
      </c>
      <c r="H5491" s="12">
        <v>0</v>
      </c>
      <c r="I5491" s="12">
        <v>0</v>
      </c>
      <c r="J5491" s="11"/>
      <c r="K5491" s="12">
        <v>0</v>
      </c>
      <c r="L5491" s="10" t="str">
        <f>HYPERLINK("https://otsuka-europe-crm.veevavault.com/ui/#object/approved_document__v/V5O00000000D081", "UK - Consent Email 1 Aug 25")</f>
        <v>UK - Consent Email 1 Aug 25</v>
      </c>
      <c r="M5491" s="10" t="str">
        <f>HYPERLINK("mailto:KWood@crm.otsuka-europe.com", "KWood@crm.otsuka-europe.com")</f>
        <v>KWood@crm.otsuka-europe.com</v>
      </c>
      <c r="N5491" s="13">
        <v>46219.72483796296</v>
      </c>
      <c r="O5491" s="14" t="str">
        <f>HYPERLINK("https://otsuka-europe-crm.veevavault.com/ui/#object/email_activity__v/V8C00000004A929", "EN-002106719")</f>
        <v>EN-002106719</v>
      </c>
    </row>
    <row r="5492" spans="1:15" ht="16" x14ac:dyDescent="0.2">
      <c r="A5492" s="18" t="str">
        <f>HYPERLINK("https://otsuka-europe-crm.veevavault.com/ui/#object/account__v/V4T00000002G001", "PAULA GOMEZ ORAA")</f>
        <v>PAULA GOMEZ ORAA</v>
      </c>
      <c r="B5492" s="18" t="str">
        <f>HYPERLINK("https://otsuka-europe-crm.veevavault.com/ui/#object/vcountry__v/VENZ000004SONF5", "ES")</f>
        <v>ES</v>
      </c>
      <c r="C5492" s="20" t="s">
        <v>39</v>
      </c>
      <c r="D5492" s="21" t="str">
        <f>HYPERLINK("https://otsuka-europe-crm.veevavault.com/ui/#object/approved_document__v/V5OZ06G6O6RFL1P", "ES Veeva Privacy Notice Email")</f>
        <v>ES Veeva Privacy Notice Email</v>
      </c>
      <c r="E5492" s="22" t="str">
        <f>HYPERLINK("https://otsuka-europe-crm.veevavault.com/ui/#object/sent_email__v/VBL000000039001", "SE-001444252")</f>
        <v>SE-001444252</v>
      </c>
      <c r="F5492" s="25">
        <v>46220.491493055553</v>
      </c>
      <c r="G5492" s="24">
        <v>1</v>
      </c>
      <c r="H5492" s="24">
        <v>3</v>
      </c>
      <c r="I5492" s="24">
        <v>0</v>
      </c>
      <c r="J5492" s="23"/>
      <c r="K5492" s="24">
        <v>0</v>
      </c>
      <c r="L5492" s="22" t="str">
        <f>HYPERLINK("https://otsuka-europe-crm.veevavault.com/ui/#object/approved_document__v/V5OZ06G6O6RFL1P", "ES Veeva Privacy Notice Email")</f>
        <v>ES Veeva Privacy Notice Email</v>
      </c>
      <c r="M5492" s="22" t="str">
        <f>HYPERLINK("mailto:jblazquez@crm.otsuka-europe.com", "jblazquez@crm.otsuka-europe.com")</f>
        <v>jblazquez@crm.otsuka-europe.com</v>
      </c>
      <c r="N5492" s="25">
        <v>46219.780185185184</v>
      </c>
      <c r="O5492" s="14" t="str">
        <f>HYPERLINK("https://otsuka-europe-crm.veevavault.com/ui/#object/email_activity__v/V8C00000004B001", "EN-002106730")</f>
        <v>EN-002106730</v>
      </c>
    </row>
    <row r="5493" spans="1:15" ht="16" x14ac:dyDescent="0.2">
      <c r="A5493" s="26"/>
      <c r="B5493" s="26"/>
      <c r="C5493" s="26"/>
      <c r="D5493" s="26"/>
      <c r="E5493" s="26"/>
      <c r="F5493" s="26"/>
      <c r="G5493" s="26"/>
      <c r="H5493" s="26"/>
      <c r="I5493" s="26"/>
      <c r="J5493" s="26"/>
      <c r="K5493" s="26"/>
      <c r="L5493" s="26"/>
      <c r="M5493" s="26"/>
      <c r="N5493" s="26"/>
      <c r="O5493" s="14" t="str">
        <f>HYPERLINK("https://otsuka-europe-crm.veevavault.com/ui/#object/email_activity__v/V8C00000004B019", "EN-002106759")</f>
        <v>EN-002106759</v>
      </c>
    </row>
    <row r="5494" spans="1:15" ht="16" x14ac:dyDescent="0.2">
      <c r="A5494" s="26"/>
      <c r="B5494" s="26"/>
      <c r="C5494" s="26"/>
      <c r="D5494" s="26"/>
      <c r="E5494" s="26"/>
      <c r="F5494" s="26"/>
      <c r="G5494" s="26"/>
      <c r="H5494" s="26"/>
      <c r="I5494" s="26"/>
      <c r="J5494" s="26"/>
      <c r="K5494" s="26"/>
      <c r="L5494" s="26"/>
      <c r="M5494" s="26"/>
      <c r="N5494" s="26"/>
      <c r="O5494" s="14" t="str">
        <f>HYPERLINK("https://otsuka-europe-crm.veevavault.com/ui/#object/email_activity__v/V8C00000004B020", "EN-002106760")</f>
        <v>EN-002106760</v>
      </c>
    </row>
    <row r="5495" spans="1:15" ht="16" x14ac:dyDescent="0.2">
      <c r="A5495" s="19"/>
      <c r="B5495" s="19"/>
      <c r="C5495" s="19"/>
      <c r="D5495" s="19"/>
      <c r="E5495" s="19"/>
      <c r="F5495" s="19"/>
      <c r="G5495" s="19"/>
      <c r="H5495" s="19"/>
      <c r="I5495" s="19"/>
      <c r="J5495" s="19"/>
      <c r="K5495" s="19"/>
      <c r="L5495" s="19"/>
      <c r="M5495" s="19"/>
      <c r="N5495" s="19"/>
      <c r="O5495" s="14" t="str">
        <f>HYPERLINK("https://otsuka-europe-crm.veevavault.com/ui/#object/email_activity__v/V8C00000004B042", "EN-002106801")</f>
        <v>EN-002106801</v>
      </c>
    </row>
    <row r="5496" spans="1:15" ht="16" x14ac:dyDescent="0.2">
      <c r="A5496" s="18" t="str">
        <f>HYPERLINK("https://otsuka-europe-crm.veevavault.com/ui/#object/account__v/V4TZ025E82RQ369", "ADRIANO MONTINARO")</f>
        <v>ADRIANO MONTINARO</v>
      </c>
      <c r="B5496" s="18" t="str">
        <f>HYPERLINK("https://otsuka-europe-crm.veevavault.com/ui/#object/vcountry__v/VENZ000004SONFQ", "IT")</f>
        <v>IT</v>
      </c>
      <c r="C5496" s="20" t="s">
        <v>42</v>
      </c>
      <c r="D5496" s="21" t="str">
        <f>HYPERLINK("https://otsuka-europe-crm.veevavault.com/ui/#object/approved_document__v/V5O00000001A024", "Lupkynis - rischio - IT-LUP-2600002 v1.0 -  NEPHRO")</f>
        <v>Lupkynis - rischio - IT-LUP-2600002 v1.0 -  NEPHRO</v>
      </c>
      <c r="E5496" s="22" t="str">
        <f>HYPERLINK("https://otsuka-europe-crm.veevavault.com/ui/#object/sent_email__v/VBL00000003A001", "SE-001444253")</f>
        <v>SE-001444253</v>
      </c>
      <c r="F5496" s="25">
        <v>46220.644756944443</v>
      </c>
      <c r="G5496" s="24">
        <v>1</v>
      </c>
      <c r="H5496" s="24">
        <v>1</v>
      </c>
      <c r="I5496" s="24">
        <v>0</v>
      </c>
      <c r="J5496" s="23"/>
      <c r="K5496" s="24">
        <v>0</v>
      </c>
      <c r="L5496" s="22" t="str">
        <f>HYPERLINK("https://otsuka-europe-crm.veevavault.com/ui/#object/approved_document__v/V5O00000001A024", "Lupkynis - rischio - IT-LUP-2600002 v1.0 -  NEPHRO")</f>
        <v>Lupkynis - rischio - IT-LUP-2600002 v1.0 -  NEPHRO</v>
      </c>
      <c r="M5496" s="22" t="str">
        <f>HYPERLINK("mailto:alfredo.pisapia@crm.otsuka-europe.com", "alfredo.pisapia@crm.otsuka-europe.com")</f>
        <v>alfredo.pisapia@crm.otsuka-europe.com</v>
      </c>
      <c r="N5496" s="25">
        <v>46220.340787037036</v>
      </c>
      <c r="O5496" s="14" t="str">
        <f>HYPERLINK("https://otsuka-europe-crm.veevavault.com/ui/#object/email_activity__v/V8C00000004B056", "EN-002106829")</f>
        <v>EN-002106829</v>
      </c>
    </row>
    <row r="5497" spans="1:15" ht="16" x14ac:dyDescent="0.2">
      <c r="A5497" s="19"/>
      <c r="B5497" s="19"/>
      <c r="C5497" s="19"/>
      <c r="D5497" s="19"/>
      <c r="E5497" s="19"/>
      <c r="F5497" s="19"/>
      <c r="G5497" s="19"/>
      <c r="H5497" s="19"/>
      <c r="I5497" s="19"/>
      <c r="J5497" s="19"/>
      <c r="K5497" s="19"/>
      <c r="L5497" s="19"/>
      <c r="M5497" s="19"/>
      <c r="N5497" s="19"/>
      <c r="O5497" s="14" t="str">
        <f>HYPERLINK("https://otsuka-europe-crm.veevavault.com/ui/#object/email_activity__v/V8C00000004C013", "EN-002106762")</f>
        <v>EN-002106762</v>
      </c>
    </row>
    <row r="5498" spans="1:15" ht="48" x14ac:dyDescent="0.2">
      <c r="A5498" s="7" t="str">
        <f>HYPERLINK("https://otsuka-europe-crm.veevavault.com/ui/#object/account__v/V4TZ025E82RQ369", "ADRIANO MONTINARO")</f>
        <v>ADRIANO MONTINARO</v>
      </c>
      <c r="B5498" s="7" t="str">
        <f>HYPERLINK("https://otsuka-europe-crm.veevavault.com/ui/#object/vcountry__v/VENZ000004SONFQ", "IT")</f>
        <v>IT</v>
      </c>
      <c r="C5498" s="8" t="s">
        <v>42</v>
      </c>
      <c r="D5498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498" s="10" t="str">
        <f>HYPERLINK("https://otsuka-europe-crm.veevavault.com/ui/#object/sent_email__v/VBL00000003A002", "SE-001444254")</f>
        <v>SE-001444254</v>
      </c>
      <c r="F5498" s="11"/>
      <c r="G5498" s="12">
        <v>0</v>
      </c>
      <c r="H5498" s="12">
        <v>0</v>
      </c>
      <c r="I5498" s="12">
        <v>0</v>
      </c>
      <c r="J5498" s="11"/>
      <c r="K5498" s="12">
        <v>0</v>
      </c>
      <c r="L5498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498" s="10" t="str">
        <f>HYPERLINK("mailto:alfredo.pisapia@crm.otsuka-europe.com", "alfredo.pisapia@crm.otsuka-europe.com")</f>
        <v>alfredo.pisapia@crm.otsuka-europe.com</v>
      </c>
      <c r="N5498" s="13">
        <v>46220.340787037036</v>
      </c>
      <c r="O5498" s="14" t="str">
        <f>HYPERLINK("https://otsuka-europe-crm.veevavault.com/ui/#object/email_activity__v/V8C00000004C012", "EN-002106761")</f>
        <v>EN-002106761</v>
      </c>
    </row>
    <row r="5499" spans="1:15" ht="32" x14ac:dyDescent="0.2">
      <c r="A5499" s="7" t="str">
        <f>HYPERLINK("https://otsuka-europe-crm.veevavault.com/ui/#object/account__v/V4T00000001F006", "Sandra Fenton")</f>
        <v>Sandra Fenton</v>
      </c>
      <c r="B5499" s="7" t="str">
        <f t="shared" ref="B5499:B5504" si="246">HYPERLINK("https://otsuka-europe-crm.veevavault.com/ui/#object/vcountry__v/VENZ000004SONFK", "GB")</f>
        <v>GB</v>
      </c>
      <c r="C5499" s="8" t="s">
        <v>41</v>
      </c>
      <c r="D5499" s="9" t="str">
        <f>HYPERLINK("https://otsuka-europe-crm.veevavault.com/ui/#object/approved_document__v/V5OZ025E82TSZBI", "Aripiprazole 960mg Fragment VAE")</f>
        <v>Aripiprazole 960mg Fragment VAE</v>
      </c>
      <c r="E5499" s="10" t="str">
        <f>HYPERLINK("https://otsuka-europe-crm.veevavault.com/ui/#object/sent_email__v/VBL000000039002", "SE-001444255")</f>
        <v>SE-001444255</v>
      </c>
      <c r="F5499" s="11"/>
      <c r="G5499" s="12">
        <v>0</v>
      </c>
      <c r="H5499" s="12">
        <v>0</v>
      </c>
      <c r="I5499" s="12">
        <v>0</v>
      </c>
      <c r="J5499" s="11"/>
      <c r="K5499" s="12">
        <v>0</v>
      </c>
      <c r="L5499" s="10" t="str">
        <f>HYPERLINK("https://otsuka-europe-crm.veevavault.com/ui/#object/approved_document__v/V5OZ025E82TSZBI", "Aripiprazole 960mg Fragment VAE")</f>
        <v>Aripiprazole 960mg Fragment VAE</v>
      </c>
      <c r="M5499" s="10" t="str">
        <f t="shared" ref="M5499:M5504" si="247">HYPERLINK("mailto:sfinnigan@crm.otsuka-europe.com", "sfinnigan@crm.otsuka-europe.com")</f>
        <v>sfinnigan@crm.otsuka-europe.com</v>
      </c>
      <c r="N5499" s="13">
        <v>46220.3825462963</v>
      </c>
      <c r="O5499" s="14" t="str">
        <f>HYPERLINK("https://otsuka-europe-crm.veevavault.com/ui/#object/email_activity__v/V8C00000004C020", "EN-002106777")</f>
        <v>EN-002106777</v>
      </c>
    </row>
    <row r="5500" spans="1:15" ht="32" x14ac:dyDescent="0.2">
      <c r="A5500" s="7" t="str">
        <f>HYPERLINK("https://otsuka-europe-crm.veevavault.com/ui/#object/account__v/V4T00000001F007", "Sharon Brewer")</f>
        <v>Sharon Brewer</v>
      </c>
      <c r="B5500" s="7" t="str">
        <f t="shared" si="246"/>
        <v>GB</v>
      </c>
      <c r="C5500" s="8" t="s">
        <v>41</v>
      </c>
      <c r="D5500" s="9" t="str">
        <f>HYPERLINK("https://otsuka-europe-crm.veevavault.com/ui/#object/approved_document__v/V5OZ025E82TSZBI", "Aripiprazole 960mg Fragment VAE")</f>
        <v>Aripiprazole 960mg Fragment VAE</v>
      </c>
      <c r="E5500" s="10" t="str">
        <f>HYPERLINK("https://otsuka-europe-crm.veevavault.com/ui/#object/sent_email__v/VBL00000003A003", "SE-001444256")</f>
        <v>SE-001444256</v>
      </c>
      <c r="F5500" s="11"/>
      <c r="G5500" s="12">
        <v>0</v>
      </c>
      <c r="H5500" s="12">
        <v>0</v>
      </c>
      <c r="I5500" s="12">
        <v>0</v>
      </c>
      <c r="J5500" s="11"/>
      <c r="K5500" s="12">
        <v>0</v>
      </c>
      <c r="L5500" s="10" t="str">
        <f>HYPERLINK("https://otsuka-europe-crm.veevavault.com/ui/#object/approved_document__v/V5OZ025E82TSZBI", "Aripiprazole 960mg Fragment VAE")</f>
        <v>Aripiprazole 960mg Fragment VAE</v>
      </c>
      <c r="M5500" s="10" t="str">
        <f t="shared" si="247"/>
        <v>sfinnigan@crm.otsuka-europe.com</v>
      </c>
      <c r="N5500" s="13">
        <v>46220.384699074071</v>
      </c>
      <c r="O5500" s="14" t="str">
        <f>HYPERLINK("https://otsuka-europe-crm.veevavault.com/ui/#object/email_activity__v/V8C00000004C021", "EN-002106778")</f>
        <v>EN-002106778</v>
      </c>
    </row>
    <row r="5501" spans="1:15" ht="32" x14ac:dyDescent="0.2">
      <c r="A5501" s="7" t="str">
        <f>HYPERLINK("https://otsuka-europe-crm.veevavault.com/ui/#object/account__v/V4T00000001C043", "Simon Bray-Cotton")</f>
        <v>Simon Bray-Cotton</v>
      </c>
      <c r="B5501" s="7" t="str">
        <f t="shared" si="246"/>
        <v>GB</v>
      </c>
      <c r="C5501" s="8" t="s">
        <v>41</v>
      </c>
      <c r="D5501" s="9" t="str">
        <f>HYPERLINK("https://otsuka-europe-crm.veevavault.com/ui/#object/approved_document__v/V5O00000000I022", "Aripiprazole 960mg FAQ VAE")</f>
        <v>Aripiprazole 960mg FAQ VAE</v>
      </c>
      <c r="E5501" s="10" t="str">
        <f>HYPERLINK("https://otsuka-europe-crm.veevavault.com/ui/#object/sent_email__v/VBL00000003A004", "SE-001444257")</f>
        <v>SE-001444257</v>
      </c>
      <c r="F5501" s="11"/>
      <c r="G5501" s="12">
        <v>0</v>
      </c>
      <c r="H5501" s="12">
        <v>0</v>
      </c>
      <c r="I5501" s="12">
        <v>0</v>
      </c>
      <c r="J5501" s="11"/>
      <c r="K5501" s="12">
        <v>0</v>
      </c>
      <c r="L5501" s="10" t="str">
        <f>HYPERLINK("https://otsuka-europe-crm.veevavault.com/ui/#object/approved_document__v/V5O00000000I022", "Aripiprazole 960mg FAQ VAE")</f>
        <v>Aripiprazole 960mg FAQ VAE</v>
      </c>
      <c r="M5501" s="10" t="str">
        <f t="shared" si="247"/>
        <v>sfinnigan@crm.otsuka-europe.com</v>
      </c>
      <c r="N5501" s="13">
        <v>46220.385324074072</v>
      </c>
      <c r="O5501" s="14" t="str">
        <f>HYPERLINK("https://otsuka-europe-crm.veevavault.com/ui/#object/email_activity__v/V8C00000004B029", "EN-002106779")</f>
        <v>EN-002106779</v>
      </c>
    </row>
    <row r="5502" spans="1:15" ht="32" x14ac:dyDescent="0.2">
      <c r="A5502" s="7" t="str">
        <f>HYPERLINK("https://otsuka-europe-crm.veevavault.com/ui/#object/account__v/V4T000000016037", "Zoe Cogle")</f>
        <v>Zoe Cogle</v>
      </c>
      <c r="B5502" s="7" t="str">
        <f t="shared" si="246"/>
        <v>GB</v>
      </c>
      <c r="C5502" s="8" t="s">
        <v>41</v>
      </c>
      <c r="D5502" s="9" t="str">
        <f>HYPERLINK("https://otsuka-europe-crm.veevavault.com/ui/#object/approved_document__v/V5OZ025E82TSZBI", "Aripiprazole 960mg Fragment VAE")</f>
        <v>Aripiprazole 960mg Fragment VAE</v>
      </c>
      <c r="E5502" s="10" t="str">
        <f>HYPERLINK("https://otsuka-europe-crm.veevavault.com/ui/#object/sent_email__v/VBL00000003A005", "SE-001444258")</f>
        <v>SE-001444258</v>
      </c>
      <c r="F5502" s="11"/>
      <c r="G5502" s="12">
        <v>0</v>
      </c>
      <c r="H5502" s="12">
        <v>0</v>
      </c>
      <c r="I5502" s="12">
        <v>0</v>
      </c>
      <c r="J5502" s="11"/>
      <c r="K5502" s="12">
        <v>0</v>
      </c>
      <c r="L5502" s="10" t="str">
        <f>HYPERLINK("https://otsuka-europe-crm.veevavault.com/ui/#object/approved_document__v/V5OZ025E82TSZBI", "Aripiprazole 960mg Fragment VAE")</f>
        <v>Aripiprazole 960mg Fragment VAE</v>
      </c>
      <c r="M5502" s="10" t="str">
        <f t="shared" si="247"/>
        <v>sfinnigan@crm.otsuka-europe.com</v>
      </c>
      <c r="N5502" s="13">
        <v>46220.385682870372</v>
      </c>
      <c r="O5502" s="14" t="str">
        <f>HYPERLINK("https://otsuka-europe-crm.veevavault.com/ui/#object/email_activity__v/V8C00000004B030", "EN-002106780")</f>
        <v>EN-002106780</v>
      </c>
    </row>
    <row r="5503" spans="1:15" ht="32" x14ac:dyDescent="0.2">
      <c r="A5503" s="7" t="str">
        <f>HYPERLINK("https://otsuka-europe-crm.veevavault.com/ui/#object/account__v/V4T00000001G037", "Lorraine Davenport")</f>
        <v>Lorraine Davenport</v>
      </c>
      <c r="B5503" s="7" t="str">
        <f t="shared" si="246"/>
        <v>GB</v>
      </c>
      <c r="C5503" s="8" t="s">
        <v>41</v>
      </c>
      <c r="D5503" s="9" t="str">
        <f>HYPERLINK("https://otsuka-europe-crm.veevavault.com/ui/#object/approved_document__v/V5OZ025E82TSZBI", "Aripiprazole 960mg Fragment VAE")</f>
        <v>Aripiprazole 960mg Fragment VAE</v>
      </c>
      <c r="E5503" s="10" t="str">
        <f>HYPERLINK("https://otsuka-europe-crm.veevavault.com/ui/#object/sent_email__v/VBL000000039003", "SE-001444259")</f>
        <v>SE-001444259</v>
      </c>
      <c r="F5503" s="11"/>
      <c r="G5503" s="12">
        <v>0</v>
      </c>
      <c r="H5503" s="12">
        <v>0</v>
      </c>
      <c r="I5503" s="12">
        <v>0</v>
      </c>
      <c r="J5503" s="11"/>
      <c r="K5503" s="12">
        <v>0</v>
      </c>
      <c r="L5503" s="10" t="str">
        <f>HYPERLINK("https://otsuka-europe-crm.veevavault.com/ui/#object/approved_document__v/V5OZ025E82TSZBI", "Aripiprazole 960mg Fragment VAE")</f>
        <v>Aripiprazole 960mg Fragment VAE</v>
      </c>
      <c r="M5503" s="10" t="str">
        <f t="shared" si="247"/>
        <v>sfinnigan@crm.otsuka-europe.com</v>
      </c>
      <c r="N5503" s="13">
        <v>46220.387418981481</v>
      </c>
      <c r="O5503" s="14" t="str">
        <f>HYPERLINK("https://otsuka-europe-crm.veevavault.com/ui/#object/email_activity__v/V8C00000004B031", "EN-002106781")</f>
        <v>EN-002106781</v>
      </c>
    </row>
    <row r="5504" spans="1:15" ht="16" x14ac:dyDescent="0.2">
      <c r="A5504" s="18" t="str">
        <f>HYPERLINK("https://otsuka-europe-crm.veevavault.com/ui/#object/account__v/V4TZ0000062PEDN", "Mukul Sharma")</f>
        <v>Mukul Sharma</v>
      </c>
      <c r="B5504" s="18" t="str">
        <f t="shared" si="246"/>
        <v>GB</v>
      </c>
      <c r="C5504" s="20" t="s">
        <v>41</v>
      </c>
      <c r="D5504" s="21" t="str">
        <f>HYPERLINK("https://otsuka-europe-crm.veevavault.com/ui/#object/approved_document__v/V5OZ025E82TSZBI", "Aripiprazole 960mg Fragment VAE")</f>
        <v>Aripiprazole 960mg Fragment VAE</v>
      </c>
      <c r="E5504" s="22" t="str">
        <f>HYPERLINK("https://otsuka-europe-crm.veevavault.com/ui/#object/sent_email__v/VBL00000003A006", "SE-001444260")</f>
        <v>SE-001444260</v>
      </c>
      <c r="F5504" s="25">
        <v>46220.575370370374</v>
      </c>
      <c r="G5504" s="24">
        <v>1</v>
      </c>
      <c r="H5504" s="24">
        <v>1</v>
      </c>
      <c r="I5504" s="24">
        <v>0</v>
      </c>
      <c r="J5504" s="23"/>
      <c r="K5504" s="24">
        <v>0</v>
      </c>
      <c r="L5504" s="22" t="str">
        <f>HYPERLINK("https://otsuka-europe-crm.veevavault.com/ui/#object/approved_document__v/V5OZ025E82TSZBI", "Aripiprazole 960mg Fragment VAE")</f>
        <v>Aripiprazole 960mg Fragment VAE</v>
      </c>
      <c r="M5504" s="22" t="str">
        <f t="shared" si="247"/>
        <v>sfinnigan@crm.otsuka-europe.com</v>
      </c>
      <c r="N5504" s="25">
        <v>46220.387754629628</v>
      </c>
      <c r="O5504" s="14" t="str">
        <f>HYPERLINK("https://otsuka-europe-crm.veevavault.com/ui/#object/email_activity__v/V8C00000004B048", "EN-002106813")</f>
        <v>EN-002106813</v>
      </c>
    </row>
    <row r="5505" spans="1:15" ht="16" x14ac:dyDescent="0.2">
      <c r="A5505" s="19"/>
      <c r="B5505" s="19"/>
      <c r="C5505" s="19"/>
      <c r="D5505" s="19"/>
      <c r="E5505" s="19"/>
      <c r="F5505" s="19"/>
      <c r="G5505" s="19"/>
      <c r="H5505" s="19"/>
      <c r="I5505" s="19"/>
      <c r="J5505" s="19"/>
      <c r="K5505" s="19"/>
      <c r="L5505" s="19"/>
      <c r="M5505" s="19"/>
      <c r="N5505" s="19"/>
      <c r="O5505" s="14" t="str">
        <f>HYPERLINK("https://otsuka-europe-crm.veevavault.com/ui/#object/email_activity__v/V8C00000004C022", "EN-002106782")</f>
        <v>EN-002106782</v>
      </c>
    </row>
    <row r="5506" spans="1:15" ht="32" x14ac:dyDescent="0.2">
      <c r="A5506" s="7" t="str">
        <f>HYPERLINK("https://otsuka-europe-crm.veevavault.com/ui/#object/account__v/V4T00000002E043", "RODOLFO LEUZZI")</f>
        <v>RODOLFO LEUZZI</v>
      </c>
      <c r="B5506" s="7" t="str">
        <f>HYPERLINK("https://otsuka-europe-crm.veevavault.com/ui/#object/vcountry__v/VENZ000004SONFQ", "IT")</f>
        <v>IT</v>
      </c>
      <c r="C5506" s="8" t="s">
        <v>42</v>
      </c>
      <c r="D5506" s="9" t="str">
        <f>HYPERLINK("https://otsuka-europe-crm.veevavault.com/ui/#object/approved_document__v/V5OZ06G6O6RG2EV", "IT Veeva Privacy Notice Email")</f>
        <v>IT Veeva Privacy Notice Email</v>
      </c>
      <c r="E5506" s="10" t="str">
        <f>HYPERLINK("https://otsuka-europe-crm.veevavault.com/ui/#object/sent_email__v/VBL00000003A016", "SE-001444261")</f>
        <v>SE-001444261</v>
      </c>
      <c r="F5506" s="11"/>
      <c r="G5506" s="12">
        <v>0</v>
      </c>
      <c r="H5506" s="12">
        <v>0</v>
      </c>
      <c r="I5506" s="12">
        <v>0</v>
      </c>
      <c r="J5506" s="11"/>
      <c r="K5506" s="12">
        <v>0</v>
      </c>
      <c r="L5506" s="10" t="str">
        <f>HYPERLINK("https://otsuka-europe-crm.veevavault.com/ui/#object/approved_document__v/V5OZ06G6O6RG2EV", "IT Veeva Privacy Notice Email")</f>
        <v>IT Veeva Privacy Notice Email</v>
      </c>
      <c r="M5506" s="10" t="str">
        <f>HYPERLINK("mailto:laura.mallia@crm.otsuka-europe.com", "laura.mallia@crm.otsuka-europe.com")</f>
        <v>laura.mallia@crm.otsuka-europe.com</v>
      </c>
      <c r="N5506" s="13">
        <v>46220.423773148148</v>
      </c>
      <c r="O5506" s="14" t="str">
        <f>HYPERLINK("https://otsuka-europe-crm.veevavault.com/ui/#object/email_activity__v/V8C00000004C026", "EN-002106786")</f>
        <v>EN-002106786</v>
      </c>
    </row>
    <row r="5507" spans="1:15" ht="16" x14ac:dyDescent="0.2">
      <c r="A5507" s="18" t="str">
        <f>HYPERLINK("https://otsuka-europe-crm.veevavault.com/ui/#object/account__v/V4TZ06G6O71T8U5", "LUIS ALBERTO VIGARA SANCHEZ")</f>
        <v>LUIS ALBERTO VIGARA SANCHEZ</v>
      </c>
      <c r="B5507" s="18" t="str">
        <f>HYPERLINK("https://otsuka-europe-crm.veevavault.com/ui/#object/vcountry__v/VENZ000004SONF5", "ES")</f>
        <v>ES</v>
      </c>
      <c r="C5507" s="20" t="s">
        <v>39</v>
      </c>
      <c r="D5507" s="21" t="str">
        <f>HYPERLINK("https://otsuka-europe-crm.veevavault.com/ui/#object/approved_document__v/V5OZ04ASG4FWKA9", "Documento Autorizaciขn Centro Empleador")</f>
        <v>Documento Autorizaciขn Centro Empleador</v>
      </c>
      <c r="E5507" s="22" t="str">
        <f>HYPERLINK("https://otsuka-europe-crm.veevavault.com/ui/#object/sent_email__v/VBL00000003A017", "SE-001444262")</f>
        <v>SE-001444262</v>
      </c>
      <c r="F5507" s="23"/>
      <c r="G5507" s="24">
        <v>0</v>
      </c>
      <c r="H5507" s="24">
        <v>0</v>
      </c>
      <c r="I5507" s="24">
        <v>1</v>
      </c>
      <c r="J5507" s="25">
        <v>46225.364282407405</v>
      </c>
      <c r="K5507" s="24">
        <v>2</v>
      </c>
      <c r="L5507" s="22" t="str">
        <f>HYPERLINK("https://otsuka-europe-crm.veevavault.com/ui/#object/approved_document__v/V5OZ04ASG4FWKA9", "Documento Autorizaciขn Centro Empleador")</f>
        <v>Documento Autorizaciขn Centro Empleador</v>
      </c>
      <c r="M5507" s="22" t="str">
        <f>HYPERLINK("mailto:oriballo@crm.otsuka-europe.com", "oriballo@crm.otsuka-europe.com")</f>
        <v>oriballo@crm.otsuka-europe.com</v>
      </c>
      <c r="N5507" s="25">
        <v>46220.437384259261</v>
      </c>
      <c r="O5507" s="14" t="str">
        <f>HYPERLINK("https://otsuka-europe-crm.veevavault.com/ui/#object/email_activity__v/V8C00000004B032", "EN-002106787")</f>
        <v>EN-002106787</v>
      </c>
    </row>
    <row r="5508" spans="1:15" ht="16" x14ac:dyDescent="0.2">
      <c r="A5508" s="26"/>
      <c r="B5508" s="26"/>
      <c r="C5508" s="26"/>
      <c r="D5508" s="26"/>
      <c r="E5508" s="26"/>
      <c r="F5508" s="26"/>
      <c r="G5508" s="26"/>
      <c r="H5508" s="26"/>
      <c r="I5508" s="26"/>
      <c r="J5508" s="26"/>
      <c r="K5508" s="26"/>
      <c r="L5508" s="26"/>
      <c r="M5508" s="26"/>
      <c r="N5508" s="26"/>
      <c r="O5508" s="14" t="str">
        <f>HYPERLINK("https://otsuka-europe-crm.veevavault.com/ui/#object/email_activity__v/V8C00000004B282", "EN-002107212")</f>
        <v>EN-002107212</v>
      </c>
    </row>
    <row r="5509" spans="1:15" ht="16" x14ac:dyDescent="0.2">
      <c r="A5509" s="26"/>
      <c r="B5509" s="26"/>
      <c r="C5509" s="26"/>
      <c r="D5509" s="26"/>
      <c r="E5509" s="26"/>
      <c r="F5509" s="26"/>
      <c r="G5509" s="26"/>
      <c r="H5509" s="26"/>
      <c r="I5509" s="26"/>
      <c r="J5509" s="26"/>
      <c r="K5509" s="26"/>
      <c r="L5509" s="26"/>
      <c r="M5509" s="26"/>
      <c r="N5509" s="26"/>
      <c r="O5509" s="14" t="str">
        <f>HYPERLINK("https://otsuka-europe-crm.veevavault.com/ui/#object/email_activity__v/V8C00000004C035", "EN-002106807")</f>
        <v>EN-002106807</v>
      </c>
    </row>
    <row r="5510" spans="1:15" ht="16" x14ac:dyDescent="0.2">
      <c r="A5510" s="26"/>
      <c r="B5510" s="26"/>
      <c r="C5510" s="26"/>
      <c r="D5510" s="26"/>
      <c r="E5510" s="26"/>
      <c r="F5510" s="26"/>
      <c r="G5510" s="26"/>
      <c r="H5510" s="26"/>
      <c r="I5510" s="26"/>
      <c r="J5510" s="26"/>
      <c r="K5510" s="26"/>
      <c r="L5510" s="26"/>
      <c r="M5510" s="26"/>
      <c r="N5510" s="26"/>
      <c r="O5510" s="14" t="str">
        <f>HYPERLINK("https://otsuka-europe-crm.veevavault.com/ui/#object/email_activity__v/V8C00000004C184", "EN-002107176")</f>
        <v>EN-002107176</v>
      </c>
    </row>
    <row r="5511" spans="1:15" ht="16" x14ac:dyDescent="0.2">
      <c r="A5511" s="26"/>
      <c r="B5511" s="26"/>
      <c r="C5511" s="26"/>
      <c r="D5511" s="26"/>
      <c r="E5511" s="26"/>
      <c r="F5511" s="26"/>
      <c r="G5511" s="26"/>
      <c r="H5511" s="26"/>
      <c r="I5511" s="26"/>
      <c r="J5511" s="26"/>
      <c r="K5511" s="26"/>
      <c r="L5511" s="26"/>
      <c r="M5511" s="26"/>
      <c r="N5511" s="26"/>
      <c r="O5511" s="14" t="str">
        <f>HYPERLINK("https://otsuka-europe-crm.veevavault.com/ui/#object/email_activity__v/V8C00000004C217", "EN-002107236")</f>
        <v>EN-002107236</v>
      </c>
    </row>
    <row r="5512" spans="1:15" ht="16" x14ac:dyDescent="0.2">
      <c r="A5512" s="19"/>
      <c r="B5512" s="19"/>
      <c r="C5512" s="19"/>
      <c r="D5512" s="19"/>
      <c r="E5512" s="19"/>
      <c r="F5512" s="19"/>
      <c r="G5512" s="19"/>
      <c r="H5512" s="19"/>
      <c r="I5512" s="19"/>
      <c r="J5512" s="19"/>
      <c r="K5512" s="19"/>
      <c r="L5512" s="19"/>
      <c r="M5512" s="19"/>
      <c r="N5512" s="19"/>
      <c r="O5512" s="14" t="str">
        <f>HYPERLINK("https://otsuka-europe-crm.veevavault.com/ui/#object/email_activity__v/V8C00000004C228", "EN-002107260")</f>
        <v>EN-002107260</v>
      </c>
    </row>
    <row r="5513" spans="1:15" ht="48" x14ac:dyDescent="0.2">
      <c r="A5513" s="7" t="str">
        <f>HYPERLINK("https://otsuka-europe-crm.veevavault.com/ui/#object/account__v/V4TZ000006DLZJ2", "MAHDI CHEIFA")</f>
        <v>MAHDI CHEIFA</v>
      </c>
      <c r="B5513" s="7" t="str">
        <f>HYPERLINK("https://otsuka-europe-crm.veevavault.com/ui/#object/vcountry__v/VENZ000004SONFA", "FR")</f>
        <v>FR</v>
      </c>
      <c r="C5513" s="8" t="s">
        <v>40</v>
      </c>
      <c r="D5513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513" s="10" t="str">
        <f>HYPERLINK("https://otsuka-europe-crm.veevavault.com/ui/#object/sent_email__v/VBL00000003A018", "SE-001444263")</f>
        <v>SE-001444263</v>
      </c>
      <c r="F5513" s="11"/>
      <c r="G5513" s="12">
        <v>0</v>
      </c>
      <c r="H5513" s="12">
        <v>0</v>
      </c>
      <c r="I5513" s="12">
        <v>0</v>
      </c>
      <c r="J5513" s="11"/>
      <c r="K5513" s="12">
        <v>0</v>
      </c>
      <c r="L5513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513" s="10" t="str">
        <f>HYPERLINK("mailto:llhutereau@crm.otsuka-europe.com", "llhutereau@crm.otsuka-europe.com")</f>
        <v>llhutereau@crm.otsuka-europe.com</v>
      </c>
      <c r="N5513" s="13">
        <v>46220.840428240743</v>
      </c>
      <c r="O5513" s="14" t="str">
        <f>HYPERLINK("https://otsuka-europe-crm.veevavault.com/ui/#object/email_activity__v/V8C00000004C057", "EN-002106852")</f>
        <v>EN-002106852</v>
      </c>
    </row>
    <row r="5514" spans="1:15" ht="16" x14ac:dyDescent="0.2">
      <c r="A5514" s="18" t="str">
        <f>HYPERLINK("https://otsuka-europe-crm.veevavault.com/ui/#object/account__v/V4TZ00000633J9A", "MOHAMED ZOLO")</f>
        <v>MOHAMED ZOLO</v>
      </c>
      <c r="B5514" s="18" t="str">
        <f>HYPERLINK("https://otsuka-europe-crm.veevavault.com/ui/#object/vcountry__v/VENZ000004SONFA", "FR")</f>
        <v>FR</v>
      </c>
      <c r="C5514" s="20" t="s">
        <v>40</v>
      </c>
      <c r="D5514" s="21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514" s="22" t="str">
        <f>HYPERLINK("https://otsuka-europe-crm.veevavault.com/ui/#object/sent_email__v/VBL00000003A019", "SE-001444264")</f>
        <v>SE-001444264</v>
      </c>
      <c r="F5514" s="25">
        <v>46220.851840277777</v>
      </c>
      <c r="G5514" s="24">
        <v>1</v>
      </c>
      <c r="H5514" s="24">
        <v>2</v>
      </c>
      <c r="I5514" s="24">
        <v>0</v>
      </c>
      <c r="J5514" s="23"/>
      <c r="K5514" s="24">
        <v>0</v>
      </c>
      <c r="L5514" s="22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514" s="22" t="str">
        <f>HYPERLINK("mailto:llhutereau@crm.otsuka-europe.com", "llhutereau@crm.otsuka-europe.com")</f>
        <v>llhutereau@crm.otsuka-europe.com</v>
      </c>
      <c r="N5514" s="25">
        <v>46220.840428240743</v>
      </c>
      <c r="O5514" s="14" t="str">
        <f>HYPERLINK("https://otsuka-europe-crm.veevavault.com/ui/#object/email_activity__v/V8C00000004B067", "EN-002106853")</f>
        <v>EN-002106853</v>
      </c>
    </row>
    <row r="5515" spans="1:15" ht="16" x14ac:dyDescent="0.2">
      <c r="A5515" s="26"/>
      <c r="B5515" s="26"/>
      <c r="C5515" s="26"/>
      <c r="D5515" s="26"/>
      <c r="E5515" s="26"/>
      <c r="F5515" s="26"/>
      <c r="G5515" s="26"/>
      <c r="H5515" s="26"/>
      <c r="I5515" s="26"/>
      <c r="J5515" s="26"/>
      <c r="K5515" s="26"/>
      <c r="L5515" s="26"/>
      <c r="M5515" s="26"/>
      <c r="N5515" s="26"/>
      <c r="O5515" s="14" t="str">
        <f>HYPERLINK("https://otsuka-europe-crm.veevavault.com/ui/#object/email_activity__v/V8C00000004B068", "EN-002106854")</f>
        <v>EN-002106854</v>
      </c>
    </row>
    <row r="5516" spans="1:15" ht="16" x14ac:dyDescent="0.2">
      <c r="A5516" s="19"/>
      <c r="B5516" s="19"/>
      <c r="C5516" s="19"/>
      <c r="D5516" s="19"/>
      <c r="E5516" s="19"/>
      <c r="F5516" s="19"/>
      <c r="G5516" s="19"/>
      <c r="H5516" s="19"/>
      <c r="I5516" s="19"/>
      <c r="J5516" s="19"/>
      <c r="K5516" s="19"/>
      <c r="L5516" s="19"/>
      <c r="M5516" s="19"/>
      <c r="N5516" s="19"/>
      <c r="O5516" s="14" t="str">
        <f>HYPERLINK("https://otsuka-europe-crm.veevavault.com/ui/#object/email_activity__v/V8C00000004B069", "EN-002106855")</f>
        <v>EN-002106855</v>
      </c>
    </row>
    <row r="5517" spans="1:15" ht="48" x14ac:dyDescent="0.2">
      <c r="A5517" s="7" t="str">
        <f>HYPERLINK("https://otsuka-europe-crm.veevavault.com/ui/#object/account__v/V4TZ00000633L64", "AYOUB HAMMOUDA")</f>
        <v>AYOUB HAMMOUDA</v>
      </c>
      <c r="B5517" s="7" t="str">
        <f>HYPERLINK("https://otsuka-europe-crm.veevavault.com/ui/#object/vcountry__v/VENZ000004SONFA", "FR")</f>
        <v>FR</v>
      </c>
      <c r="C5517" s="8" t="s">
        <v>40</v>
      </c>
      <c r="D5517" s="9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E5517" s="10" t="str">
        <f>HYPERLINK("https://otsuka-europe-crm.veevavault.com/ui/#object/sent_email__v/VBL000000039008", "SE-001444265")</f>
        <v>SE-001444265</v>
      </c>
      <c r="F5517" s="11"/>
      <c r="G5517" s="12">
        <v>0</v>
      </c>
      <c r="H5517" s="12">
        <v>0</v>
      </c>
      <c r="I5517" s="12">
        <v>0</v>
      </c>
      <c r="J5517" s="11"/>
      <c r="K5517" s="12">
        <v>0</v>
      </c>
      <c r="L5517" s="10" t="str">
        <f>HYPERLINK("https://otsuka-europe-crm.veevavault.com/ui/#object/approved_document__v/V5OZ025E82N35U9", "Email Abilify Maintena 960 mg En pratique_FR-AM2-2400045")</f>
        <v>Email Abilify Maintena 960 mg En pratique_FR-AM2-2400045</v>
      </c>
      <c r="M5517" s="10" t="str">
        <f>HYPERLINK("mailto:llhutereau@crm.otsuka-europe.com", "llhutereau@crm.otsuka-europe.com")</f>
        <v>llhutereau@crm.otsuka-europe.com</v>
      </c>
      <c r="N5517" s="13">
        <v>46220.840428240743</v>
      </c>
      <c r="O5517" s="14" t="str">
        <f>HYPERLINK("https://otsuka-europe-crm.veevavault.com/ui/#object/email_activity__v/V8C00000004B066", "EN-002106851")</f>
        <v>EN-002106851</v>
      </c>
    </row>
    <row r="5518" spans="1:15" ht="16" x14ac:dyDescent="0.2">
      <c r="A5518" s="18" t="str">
        <f>HYPERLINK("https://otsuka-europe-crm.veevavault.com/ui/#object/account__v/V4T00000002E019", "Mustafa Dikilitas")</f>
        <v>Mustafa Dikilitas</v>
      </c>
      <c r="B5518" s="18" t="str">
        <f>HYPERLINK("https://otsuka-europe-crm.veevavault.com/ui/#object/vcountry__v/VENZ000004SONF2", "TR")</f>
        <v>TR</v>
      </c>
      <c r="C5518" s="20" t="s">
        <v>46</v>
      </c>
      <c r="D5518" s="21" t="str">
        <f>HYPERLINK("https://otsuka-europe-crm.veevavault.com/ui/#object/approved_document__v/V5OZ025E82PXJSL", "Otsuka Privacy Notice - UK (v2)")</f>
        <v>Otsuka Privacy Notice - UK (v2)</v>
      </c>
      <c r="E5518" s="22" t="str">
        <f>HYPERLINK("https://otsuka-europe-crm.veevavault.com/ui/#object/sent_email__v/VBL000000039009", "SE-001444266")</f>
        <v>SE-001444266</v>
      </c>
      <c r="F5518" s="25">
        <v>46220.636921296296</v>
      </c>
      <c r="G5518" s="24">
        <v>1</v>
      </c>
      <c r="H5518" s="24">
        <v>1</v>
      </c>
      <c r="I5518" s="24">
        <v>0</v>
      </c>
      <c r="J5518" s="23"/>
      <c r="K5518" s="24">
        <v>0</v>
      </c>
      <c r="L5518" s="22" t="str">
        <f>HYPERLINK("https://otsuka-europe-crm.veevavault.com/ui/#object/approved_document__v/V5OZ025E82PXJSL", "Otsuka Privacy Notice - UK (v2)")</f>
        <v>Otsuka Privacy Notice - UK (v2)</v>
      </c>
      <c r="M5518" s="22" t="str">
        <f>HYPERLINK("mailto:srae@crm.otsuka-europe.com", "srae@crm.otsuka-europe.com")</f>
        <v>srae@crm.otsuka-europe.com</v>
      </c>
      <c r="N5518" s="25">
        <v>46220.626296296294</v>
      </c>
      <c r="O5518" s="14" t="str">
        <f>HYPERLINK("https://otsuka-europe-crm.veevavault.com/ui/#object/email_activity__v/V8C00000004C041", "EN-002106824")</f>
        <v>EN-002106824</v>
      </c>
    </row>
    <row r="5519" spans="1:15" ht="16" x14ac:dyDescent="0.2">
      <c r="A5519" s="19"/>
      <c r="B5519" s="19"/>
      <c r="C5519" s="19"/>
      <c r="D5519" s="19"/>
      <c r="E5519" s="19"/>
      <c r="F5519" s="19"/>
      <c r="G5519" s="19"/>
      <c r="H5519" s="19"/>
      <c r="I5519" s="19"/>
      <c r="J5519" s="19"/>
      <c r="K5519" s="19"/>
      <c r="L5519" s="19"/>
      <c r="M5519" s="19"/>
      <c r="N5519" s="19"/>
      <c r="O5519" s="14" t="str">
        <f>HYPERLINK("https://otsuka-europe-crm.veevavault.com/ui/#object/email_activity__v/V8C00000004C044", "EN-002106828")</f>
        <v>EN-002106828</v>
      </c>
    </row>
    <row r="5520" spans="1:15" ht="32" x14ac:dyDescent="0.2">
      <c r="A5520" s="7" t="str">
        <f>HYPERLINK("https://otsuka-europe-crm.veevavault.com/ui/#object/account__v/V4TZ00000634YFH", "Julia-Maria Glück-Wolf")</f>
        <v>Julia-Maria Glück-Wolf</v>
      </c>
      <c r="B5520" s="7" t="str">
        <f>HYPERLINK("https://otsuka-europe-crm.veevavault.com/ui/#object/vcountry__v/VENZ000004SONFP", "DE")</f>
        <v>DE</v>
      </c>
      <c r="C5520" s="8" t="s">
        <v>43</v>
      </c>
      <c r="D5520" s="9" t="str">
        <f>HYPERLINK("https://otsuka-europe-crm.veevavault.com/ui/#object/approved_document__v/V5O00000001W001", "INA VAE DE – Zulassung INAQOVI Venetoclax")</f>
        <v>INA VAE DE – Zulassung INAQOVI Venetoclax</v>
      </c>
      <c r="E5520" s="10" t="str">
        <f>HYPERLINK("https://otsuka-europe-crm.veevavault.com/ui/#object/sent_email__v/VBL00000003A020", "SE-001444267")</f>
        <v>SE-001444267</v>
      </c>
      <c r="F5520" s="11"/>
      <c r="G5520" s="12">
        <v>0</v>
      </c>
      <c r="H5520" s="12">
        <v>0</v>
      </c>
      <c r="I5520" s="12">
        <v>0</v>
      </c>
      <c r="J5520" s="11"/>
      <c r="K5520" s="12">
        <v>0</v>
      </c>
      <c r="L5520" s="10" t="str">
        <f>HYPERLINK("https://otsuka-europe-crm.veevavault.com/ui/#object/approved_document__v/V5O00000001W001", "INA VAE DE – Zulassung INAQOVI Venetoclax")</f>
        <v>INA VAE DE – Zulassung INAQOVI Venetoclax</v>
      </c>
      <c r="M5520" s="10" t="str">
        <f>HYPERLINK("mailto:mspiegel@crm.otsuka-europe.com", "mspiegel@crm.otsuka-europe.com")</f>
        <v>mspiegel@crm.otsuka-europe.com</v>
      </c>
      <c r="N5520" s="13">
        <v>46220.633958333332</v>
      </c>
      <c r="O5520" s="14" t="str">
        <f>HYPERLINK("https://otsuka-europe-crm.veevavault.com/ui/#object/email_activity__v/V8C00000004C043", "EN-002106827")</f>
        <v>EN-002106827</v>
      </c>
    </row>
    <row r="5521" spans="1:15" ht="16" x14ac:dyDescent="0.2">
      <c r="A5521" s="18" t="str">
        <f>HYPERLINK("https://otsuka-europe-crm.veevavault.com/ui/#object/account__v/V4TZ025E83K1VAF", "ANNALISA MARINO")</f>
        <v>ANNALISA MARINO</v>
      </c>
      <c r="B5521" s="18" t="str">
        <f>HYPERLINK("https://otsuka-europe-crm.veevavault.com/ui/#object/vcountry__v/VENZ000004SONFQ", "IT")</f>
        <v>IT</v>
      </c>
      <c r="C5521" s="20" t="s">
        <v>42</v>
      </c>
      <c r="D5521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5521" s="22" t="str">
        <f>HYPERLINK("https://otsuka-europe-crm.veevavault.com/ui/#object/sent_email__v/VBL00000003A021", "SE-001444268")</f>
        <v>SE-001444268</v>
      </c>
      <c r="F5521" s="25">
        <v>46223.448113425926</v>
      </c>
      <c r="G5521" s="24">
        <v>1</v>
      </c>
      <c r="H5521" s="24">
        <v>7</v>
      </c>
      <c r="I5521" s="24">
        <v>0</v>
      </c>
      <c r="J5521" s="23"/>
      <c r="K5521" s="24">
        <v>0</v>
      </c>
      <c r="L5521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5521" s="22" t="str">
        <f>HYPERLINK("mailto:linda.ottavo@crm.otsuka-europe.com", "linda.ottavo@crm.otsuka-europe.com")</f>
        <v>linda.ottavo@crm.otsuka-europe.com</v>
      </c>
      <c r="N5521" s="25">
        <v>46223.362569444442</v>
      </c>
      <c r="O5521" s="14" t="str">
        <f>HYPERLINK("https://otsuka-europe-crm.veevavault.com/ui/#object/email_activity__v/V8C00000004B106", "EN-002106919")</f>
        <v>EN-002106919</v>
      </c>
    </row>
    <row r="5522" spans="1:15" ht="16" x14ac:dyDescent="0.2">
      <c r="A5522" s="26"/>
      <c r="B5522" s="26"/>
      <c r="C5522" s="26"/>
      <c r="D5522" s="26"/>
      <c r="E5522" s="26"/>
      <c r="F5522" s="26"/>
      <c r="G5522" s="26"/>
      <c r="H5522" s="26"/>
      <c r="I5522" s="26"/>
      <c r="J5522" s="26"/>
      <c r="K5522" s="26"/>
      <c r="L5522" s="26"/>
      <c r="M5522" s="26"/>
      <c r="N5522" s="26"/>
      <c r="O5522" s="14" t="str">
        <f>HYPERLINK("https://otsuka-europe-crm.veevavault.com/ui/#object/email_activity__v/V8C00000004B175", "EN-002107018")</f>
        <v>EN-002107018</v>
      </c>
    </row>
    <row r="5523" spans="1:15" ht="16" x14ac:dyDescent="0.2">
      <c r="A5523" s="26"/>
      <c r="B5523" s="26"/>
      <c r="C5523" s="26"/>
      <c r="D5523" s="26"/>
      <c r="E5523" s="26"/>
      <c r="F5523" s="26"/>
      <c r="G5523" s="26"/>
      <c r="H5523" s="26"/>
      <c r="I5523" s="26"/>
      <c r="J5523" s="26"/>
      <c r="K5523" s="26"/>
      <c r="L5523" s="26"/>
      <c r="M5523" s="26"/>
      <c r="N5523" s="26"/>
      <c r="O5523" s="14" t="str">
        <f>HYPERLINK("https://otsuka-europe-crm.veevavault.com/ui/#object/email_activity__v/V8C00000004B176", "EN-002107019")</f>
        <v>EN-002107019</v>
      </c>
    </row>
    <row r="5524" spans="1:15" ht="16" x14ac:dyDescent="0.2">
      <c r="A5524" s="26"/>
      <c r="B5524" s="26"/>
      <c r="C5524" s="26"/>
      <c r="D5524" s="26"/>
      <c r="E5524" s="26"/>
      <c r="F5524" s="26"/>
      <c r="G5524" s="26"/>
      <c r="H5524" s="26"/>
      <c r="I5524" s="26"/>
      <c r="J5524" s="26"/>
      <c r="K5524" s="26"/>
      <c r="L5524" s="26"/>
      <c r="M5524" s="26"/>
      <c r="N5524" s="26"/>
      <c r="O5524" s="14" t="str">
        <f>HYPERLINK("https://otsuka-europe-crm.veevavault.com/ui/#object/email_activity__v/V8C00000004B180", "EN-002107025")</f>
        <v>EN-002107025</v>
      </c>
    </row>
    <row r="5525" spans="1:15" ht="16" x14ac:dyDescent="0.2">
      <c r="A5525" s="26"/>
      <c r="B5525" s="26"/>
      <c r="C5525" s="26"/>
      <c r="D5525" s="26"/>
      <c r="E5525" s="26"/>
      <c r="F5525" s="26"/>
      <c r="G5525" s="26"/>
      <c r="H5525" s="26"/>
      <c r="I5525" s="26"/>
      <c r="J5525" s="26"/>
      <c r="K5525" s="26"/>
      <c r="L5525" s="26"/>
      <c r="M5525" s="26"/>
      <c r="N5525" s="26"/>
      <c r="O5525" s="14" t="str">
        <f>HYPERLINK("https://otsuka-europe-crm.veevavault.com/ui/#object/email_activity__v/V8C00000004B192", "EN-002107043")</f>
        <v>EN-002107043</v>
      </c>
    </row>
    <row r="5526" spans="1:15" ht="16" x14ac:dyDescent="0.2">
      <c r="A5526" s="26"/>
      <c r="B5526" s="26"/>
      <c r="C5526" s="26"/>
      <c r="D5526" s="26"/>
      <c r="E5526" s="26"/>
      <c r="F5526" s="26"/>
      <c r="G5526" s="26"/>
      <c r="H5526" s="26"/>
      <c r="I5526" s="26"/>
      <c r="J5526" s="26"/>
      <c r="K5526" s="26"/>
      <c r="L5526" s="26"/>
      <c r="M5526" s="26"/>
      <c r="N5526" s="26"/>
      <c r="O5526" s="14" t="str">
        <f>HYPERLINK("https://otsuka-europe-crm.veevavault.com/ui/#object/email_activity__v/V8C00000004B202", "EN-002107056")</f>
        <v>EN-002107056</v>
      </c>
    </row>
    <row r="5527" spans="1:15" ht="16" x14ac:dyDescent="0.2">
      <c r="A5527" s="26"/>
      <c r="B5527" s="26"/>
      <c r="C5527" s="26"/>
      <c r="D5527" s="26"/>
      <c r="E5527" s="26"/>
      <c r="F5527" s="26"/>
      <c r="G5527" s="26"/>
      <c r="H5527" s="26"/>
      <c r="I5527" s="26"/>
      <c r="J5527" s="26"/>
      <c r="K5527" s="26"/>
      <c r="L5527" s="26"/>
      <c r="M5527" s="26"/>
      <c r="N5527" s="26"/>
      <c r="O5527" s="14" t="str">
        <f>HYPERLINK("https://otsuka-europe-crm.veevavault.com/ui/#object/email_activity__v/V8C00000004C117", "EN-002107024")</f>
        <v>EN-002107024</v>
      </c>
    </row>
    <row r="5528" spans="1:15" ht="16" x14ac:dyDescent="0.2">
      <c r="A5528" s="19"/>
      <c r="B5528" s="19"/>
      <c r="C5528" s="19"/>
      <c r="D5528" s="19"/>
      <c r="E5528" s="19"/>
      <c r="F5528" s="19"/>
      <c r="G5528" s="19"/>
      <c r="H5528" s="19"/>
      <c r="I5528" s="19"/>
      <c r="J5528" s="19"/>
      <c r="K5528" s="19"/>
      <c r="L5528" s="19"/>
      <c r="M5528" s="19"/>
      <c r="N5528" s="19"/>
      <c r="O5528" s="14" t="str">
        <f>HYPERLINK("https://otsuka-europe-crm.veevavault.com/ui/#object/email_activity__v/V8C00000004C120", "EN-002107035")</f>
        <v>EN-002107035</v>
      </c>
    </row>
    <row r="5529" spans="1:15" ht="16" x14ac:dyDescent="0.2">
      <c r="A5529" s="18" t="str">
        <f>HYPERLINK("https://otsuka-europe-crm.veevavault.com/ui/#object/account__v/V4T00000002E021", "GEMA SANCHEZ LIBERATO")</f>
        <v>GEMA SANCHEZ LIBERATO</v>
      </c>
      <c r="B5529" s="18" t="str">
        <f>HYPERLINK("https://otsuka-europe-crm.veevavault.com/ui/#object/vcountry__v/VENZ000004SONF5", "ES")</f>
        <v>ES</v>
      </c>
      <c r="C5529" s="20" t="s">
        <v>39</v>
      </c>
      <c r="D5529" s="21" t="str">
        <f>HYPERLINK("https://otsuka-europe-crm.veevavault.com/ui/#object/approved_document__v/V5O00000000D100", "Spain - Consent Email 1 Aug 25")</f>
        <v>Spain - Consent Email 1 Aug 25</v>
      </c>
      <c r="E5529" s="22" t="str">
        <f>HYPERLINK("https://otsuka-europe-crm.veevavault.com/ui/#object/sent_email__v/VBL00000003A022", "SE-001444269")</f>
        <v>SE-001444269</v>
      </c>
      <c r="F5529" s="25">
        <v>46231.408703703702</v>
      </c>
      <c r="G5529" s="24">
        <v>1</v>
      </c>
      <c r="H5529" s="24">
        <v>1</v>
      </c>
      <c r="I5529" s="24">
        <v>1</v>
      </c>
      <c r="J5529" s="25">
        <v>46231.408703703702</v>
      </c>
      <c r="K5529" s="24">
        <v>1</v>
      </c>
      <c r="L5529" s="22" t="str">
        <f>HYPERLINK("https://otsuka-europe-crm.veevavault.com/ui/#object/approved_document__v/V5O00000000D100", "Spain - Consent Email 1 Aug 25")</f>
        <v>Spain - Consent Email 1 Aug 25</v>
      </c>
      <c r="M5529" s="22" t="str">
        <f>HYPERLINK("mailto:sruiz@crm.otsuka-europe.com", "sruiz@crm.otsuka-europe.com")</f>
        <v>sruiz@crm.otsuka-europe.com</v>
      </c>
      <c r="N5529" s="25">
        <v>46223.368460648147</v>
      </c>
      <c r="O5529" s="14" t="str">
        <f>HYPERLINK("https://otsuka-europe-crm.veevavault.com/ui/#object/email_activity__v/V8C00000004C086", "EN-002106920")</f>
        <v>EN-002106920</v>
      </c>
    </row>
    <row r="5530" spans="1:15" ht="16" x14ac:dyDescent="0.2">
      <c r="A5530" s="26"/>
      <c r="B5530" s="26"/>
      <c r="C5530" s="26"/>
      <c r="D5530" s="26"/>
      <c r="E5530" s="26"/>
      <c r="F5530" s="26"/>
      <c r="G5530" s="26"/>
      <c r="H5530" s="26"/>
      <c r="I5530" s="26"/>
      <c r="J5530" s="26"/>
      <c r="K5530" s="26"/>
      <c r="L5530" s="26"/>
      <c r="M5530" s="26"/>
      <c r="N5530" s="26"/>
      <c r="O5530" s="14" t="str">
        <f>HYPERLINK("https://otsuka-europe-crm.veevavault.com/ui/#object/email_activity__v/V8C00000004D543", "EN-002109179")</f>
        <v>EN-002109179</v>
      </c>
    </row>
    <row r="5531" spans="1:15" ht="16" x14ac:dyDescent="0.2">
      <c r="A5531" s="19"/>
      <c r="B5531" s="19"/>
      <c r="C5531" s="19"/>
      <c r="D5531" s="19"/>
      <c r="E5531" s="19"/>
      <c r="F5531" s="19"/>
      <c r="G5531" s="19"/>
      <c r="H5531" s="19"/>
      <c r="I5531" s="19"/>
      <c r="J5531" s="19"/>
      <c r="K5531" s="19"/>
      <c r="L5531" s="19"/>
      <c r="M5531" s="19"/>
      <c r="N5531" s="19"/>
      <c r="O5531" s="14" t="str">
        <f>HYPERLINK("https://otsuka-europe-crm.veevavault.com/ui/#object/email_activity__v/V8C00000004D544", "EN-002109178")</f>
        <v>EN-002109178</v>
      </c>
    </row>
    <row r="5532" spans="1:15" ht="16" x14ac:dyDescent="0.2">
      <c r="A5532" s="18" t="str">
        <f>HYPERLINK("https://otsuka-europe-crm.veevavault.com/ui/#object/account__v/V4T00000002E021", "GEMA SANCHEZ LIBERATO")</f>
        <v>GEMA SANCHEZ LIBERATO</v>
      </c>
      <c r="B5532" s="18" t="str">
        <f>HYPERLINK("https://otsuka-europe-crm.veevavault.com/ui/#object/vcountry__v/VENZ000004SONF5", "ES")</f>
        <v>ES</v>
      </c>
      <c r="C5532" s="20" t="s">
        <v>39</v>
      </c>
      <c r="D5532" s="21" t="str">
        <f>HYPERLINK("https://otsuka-europe-crm.veevavault.com/ui/#object/approved_document__v/V5OZ04ASG4FWKA7", "Reuniones Online Consent - 2")</f>
        <v>Reuniones Online Consent - 2</v>
      </c>
      <c r="E5532" s="22" t="str">
        <f>HYPERLINK("https://otsuka-europe-crm.veevavault.com/ui/#object/sent_email__v/VBL00000003A023", "SE-001444270")</f>
        <v>SE-001444270</v>
      </c>
      <c r="F5532" s="25">
        <v>46231.408888888887</v>
      </c>
      <c r="G5532" s="24">
        <v>1</v>
      </c>
      <c r="H5532" s="24">
        <v>1</v>
      </c>
      <c r="I5532" s="24">
        <v>1</v>
      </c>
      <c r="J5532" s="25">
        <v>46231.40960648148</v>
      </c>
      <c r="K5532" s="24">
        <v>1</v>
      </c>
      <c r="L5532" s="22" t="str">
        <f>HYPERLINK("https://otsuka-europe-crm.veevavault.com/ui/#object/approved_document__v/V5OZ04ASG4FWKA7", "Reuniones Online Consent - 2")</f>
        <v>Reuniones Online Consent - 2</v>
      </c>
      <c r="M5532" s="22" t="str">
        <f>HYPERLINK("mailto:sruiz@crm.otsuka-europe.com", "sruiz@crm.otsuka-europe.com")</f>
        <v>sruiz@crm.otsuka-europe.com</v>
      </c>
      <c r="N5532" s="25">
        <v>46223.368483796294</v>
      </c>
      <c r="O5532" s="14" t="str">
        <f>HYPERLINK("https://otsuka-europe-crm.veevavault.com/ui/#object/email_activity__v/V8C00000004C087", "EN-002106921")</f>
        <v>EN-002106921</v>
      </c>
    </row>
    <row r="5533" spans="1:15" ht="16" x14ac:dyDescent="0.2">
      <c r="A5533" s="26"/>
      <c r="B5533" s="26"/>
      <c r="C5533" s="26"/>
      <c r="D5533" s="26"/>
      <c r="E5533" s="26"/>
      <c r="F5533" s="26"/>
      <c r="G5533" s="26"/>
      <c r="H5533" s="26"/>
      <c r="I5533" s="26"/>
      <c r="J5533" s="26"/>
      <c r="K5533" s="26"/>
      <c r="L5533" s="26"/>
      <c r="M5533" s="26"/>
      <c r="N5533" s="26"/>
      <c r="O5533" s="14" t="str">
        <f>HYPERLINK("https://otsuka-europe-crm.veevavault.com/ui/#object/email_activity__v/V8C00000004D545", "EN-002109180")</f>
        <v>EN-002109180</v>
      </c>
    </row>
    <row r="5534" spans="1:15" ht="16" x14ac:dyDescent="0.2">
      <c r="A5534" s="19"/>
      <c r="B5534" s="19"/>
      <c r="C5534" s="19"/>
      <c r="D5534" s="19"/>
      <c r="E5534" s="19"/>
      <c r="F5534" s="19"/>
      <c r="G5534" s="19"/>
      <c r="H5534" s="19"/>
      <c r="I5534" s="19"/>
      <c r="J5534" s="19"/>
      <c r="K5534" s="19"/>
      <c r="L5534" s="19"/>
      <c r="M5534" s="19"/>
      <c r="N5534" s="19"/>
      <c r="O5534" s="14" t="str">
        <f>HYPERLINK("https://otsuka-europe-crm.veevavault.com/ui/#object/email_activity__v/V8C00000004D546", "EN-002109181")</f>
        <v>EN-002109181</v>
      </c>
    </row>
    <row r="5535" spans="1:15" ht="16" x14ac:dyDescent="0.2">
      <c r="A5535" s="18" t="str">
        <f>HYPERLINK("https://otsuka-europe-crm.veevavault.com/ui/#object/account__v/V4T00000002E021", "GEMA SANCHEZ LIBERATO")</f>
        <v>GEMA SANCHEZ LIBERATO</v>
      </c>
      <c r="B5535" s="18" t="str">
        <f>HYPERLINK("https://otsuka-europe-crm.veevavault.com/ui/#object/vcountry__v/VENZ000004SONF5", "ES")</f>
        <v>ES</v>
      </c>
      <c r="C5535" s="20" t="s">
        <v>39</v>
      </c>
      <c r="D5535" s="21" t="str">
        <f>HYPERLINK("https://otsuka-europe-crm.veevavault.com/ui/#object/approved_document__v/V5OZ06G6O6RFL1P", "ES Veeva Privacy Notice Email")</f>
        <v>ES Veeva Privacy Notice Email</v>
      </c>
      <c r="E5535" s="22" t="str">
        <f>HYPERLINK("https://otsuka-europe-crm.veevavault.com/ui/#object/sent_email__v/VBL00000003A024", "SE-001444271")</f>
        <v>SE-001444271</v>
      </c>
      <c r="F5535" s="25">
        <v>46231.408275462964</v>
      </c>
      <c r="G5535" s="24">
        <v>1</v>
      </c>
      <c r="H5535" s="24">
        <v>1</v>
      </c>
      <c r="I5535" s="24">
        <v>0</v>
      </c>
      <c r="J5535" s="23"/>
      <c r="K5535" s="24">
        <v>0</v>
      </c>
      <c r="L5535" s="22" t="str">
        <f>HYPERLINK("https://otsuka-europe-crm.veevavault.com/ui/#object/approved_document__v/V5OZ06G6O6RFL1P", "ES Veeva Privacy Notice Email")</f>
        <v>ES Veeva Privacy Notice Email</v>
      </c>
      <c r="M5535" s="22" t="str">
        <f>HYPERLINK("mailto:sruiz@crm.otsuka-europe.com", "sruiz@crm.otsuka-europe.com")</f>
        <v>sruiz@crm.otsuka-europe.com</v>
      </c>
      <c r="N5535" s="25">
        <v>46223.369155092594</v>
      </c>
      <c r="O5535" s="14" t="str">
        <f>HYPERLINK("https://otsuka-europe-crm.veevavault.com/ui/#object/email_activity__v/V8C00000004B107", "EN-002106922")</f>
        <v>EN-002106922</v>
      </c>
    </row>
    <row r="5536" spans="1:15" ht="16" x14ac:dyDescent="0.2">
      <c r="A5536" s="19"/>
      <c r="B5536" s="19"/>
      <c r="C5536" s="19"/>
      <c r="D5536" s="19"/>
      <c r="E5536" s="19"/>
      <c r="F5536" s="19"/>
      <c r="G5536" s="19"/>
      <c r="H5536" s="19"/>
      <c r="I5536" s="19"/>
      <c r="J5536" s="19"/>
      <c r="K5536" s="19"/>
      <c r="L5536" s="19"/>
      <c r="M5536" s="19"/>
      <c r="N5536" s="19"/>
      <c r="O5536" s="14" t="str">
        <f>HYPERLINK("https://otsuka-europe-crm.veevavault.com/ui/#object/email_activity__v/V8C00000004E417", "EN-002109177")</f>
        <v>EN-002109177</v>
      </c>
    </row>
    <row r="5537" spans="1:15" ht="16" x14ac:dyDescent="0.2">
      <c r="A5537" s="18" t="str">
        <f>HYPERLINK("https://otsuka-europe-crm.veevavault.com/ui/#object/account__v/V4TZ06G6OCEP3O7", "MARIA MOLERO RODRIGUEZ-PASSOLAS")</f>
        <v>MARIA MOLERO RODRIGUEZ-PASSOLAS</v>
      </c>
      <c r="B5537" s="18" t="str">
        <f>HYPERLINK("https://otsuka-europe-crm.veevavault.com/ui/#object/vcountry__v/VENZ000004SONF5", "ES")</f>
        <v>ES</v>
      </c>
      <c r="C5537" s="20" t="s">
        <v>39</v>
      </c>
      <c r="D5537" s="21" t="str">
        <f>HYPERLINK("https://otsuka-europe-crm.veevavault.com/ui/#object/approved_document__v/V5OZ04ASG4FWKA9", "Documento Autorizaciขn Centro Empleador")</f>
        <v>Documento Autorizaciขn Centro Empleador</v>
      </c>
      <c r="E5537" s="22" t="str">
        <f>HYPERLINK("https://otsuka-europe-crm.veevavault.com/ui/#object/sent_email__v/VBL00000003A025", "SE-001444272")</f>
        <v>SE-001444272</v>
      </c>
      <c r="F5537" s="25">
        <v>46223.425416666665</v>
      </c>
      <c r="G5537" s="24">
        <v>1</v>
      </c>
      <c r="H5537" s="24">
        <v>1</v>
      </c>
      <c r="I5537" s="24">
        <v>1</v>
      </c>
      <c r="J5537" s="25">
        <v>46223.425706018519</v>
      </c>
      <c r="K5537" s="24">
        <v>2</v>
      </c>
      <c r="L5537" s="22" t="str">
        <f>HYPERLINK("https://otsuka-europe-crm.veevavault.com/ui/#object/approved_document__v/V5OZ04ASG4FWKA9", "Documento Autorizaciขn Centro Empleador")</f>
        <v>Documento Autorizaciขn Centro Empleador</v>
      </c>
      <c r="M5537" s="22" t="str">
        <f>HYPERLINK("mailto:sruiz@crm.otsuka-europe.com", "sruiz@crm.otsuka-europe.com")</f>
        <v>sruiz@crm.otsuka-europe.com</v>
      </c>
      <c r="N5537" s="25">
        <v>46223.370752314811</v>
      </c>
      <c r="O5537" s="14" t="str">
        <f>HYPERLINK("https://otsuka-europe-crm.veevavault.com/ui/#object/email_activity__v/V8C00000004B189", "EN-002107039")</f>
        <v>EN-002107039</v>
      </c>
    </row>
    <row r="5538" spans="1:15" ht="16" x14ac:dyDescent="0.2">
      <c r="A5538" s="26"/>
      <c r="B5538" s="26"/>
      <c r="C5538" s="26"/>
      <c r="D5538" s="26"/>
      <c r="E5538" s="26"/>
      <c r="F5538" s="26"/>
      <c r="G5538" s="26"/>
      <c r="H5538" s="26"/>
      <c r="I5538" s="26"/>
      <c r="J5538" s="26"/>
      <c r="K5538" s="26"/>
      <c r="L5538" s="26"/>
      <c r="M5538" s="26"/>
      <c r="N5538" s="26"/>
      <c r="O5538" s="14" t="str">
        <f>HYPERLINK("https://otsuka-europe-crm.veevavault.com/ui/#object/email_activity__v/V8C00000004B190", "EN-002107038")</f>
        <v>EN-002107038</v>
      </c>
    </row>
    <row r="5539" spans="1:15" ht="16" x14ac:dyDescent="0.2">
      <c r="A5539" s="26"/>
      <c r="B5539" s="26"/>
      <c r="C5539" s="26"/>
      <c r="D5539" s="26"/>
      <c r="E5539" s="26"/>
      <c r="F5539" s="26"/>
      <c r="G5539" s="26"/>
      <c r="H5539" s="26"/>
      <c r="I5539" s="26"/>
      <c r="J5539" s="26"/>
      <c r="K5539" s="26"/>
      <c r="L5539" s="26"/>
      <c r="M5539" s="26"/>
      <c r="N5539" s="26"/>
      <c r="O5539" s="14" t="str">
        <f>HYPERLINK("https://otsuka-europe-crm.veevavault.com/ui/#object/email_activity__v/V8C00000004C088", "EN-002106923")</f>
        <v>EN-002106923</v>
      </c>
    </row>
    <row r="5540" spans="1:15" ht="16" x14ac:dyDescent="0.2">
      <c r="A5540" s="19"/>
      <c r="B5540" s="19"/>
      <c r="C5540" s="19"/>
      <c r="D5540" s="19"/>
      <c r="E5540" s="19"/>
      <c r="F5540" s="19"/>
      <c r="G5540" s="19"/>
      <c r="H5540" s="19"/>
      <c r="I5540" s="19"/>
      <c r="J5540" s="19"/>
      <c r="K5540" s="19"/>
      <c r="L5540" s="19"/>
      <c r="M5540" s="19"/>
      <c r="N5540" s="19"/>
      <c r="O5540" s="14" t="str">
        <f>HYPERLINK("https://otsuka-europe-crm.veevavault.com/ui/#object/email_activity__v/V8C00000004C122", "EN-002107040")</f>
        <v>EN-002107040</v>
      </c>
    </row>
    <row r="5541" spans="1:15" ht="32" x14ac:dyDescent="0.2">
      <c r="A5541" s="7" t="str">
        <f>HYPERLINK("https://otsuka-europe-crm.veevavault.com/ui/#object/account__v/V4TZ06G6O71TC0A", "CRISTINA SAEZ NAVARRO")</f>
        <v>CRISTINA SAEZ NAVARRO</v>
      </c>
      <c r="B5541" s="7" t="str">
        <f>HYPERLINK("https://otsuka-europe-crm.veevavault.com/ui/#object/vcountry__v/VENZ000004SONF5", "ES")</f>
        <v>ES</v>
      </c>
      <c r="C5541" s="8" t="s">
        <v>39</v>
      </c>
      <c r="D5541" s="9" t="str">
        <f>HYPERLINK("https://otsuka-europe-crm.veevavault.com/ui/#object/approved_document__v/V5O000000001001", "AM2M - PSIQUIATRÍA - Guía preguntas pacientes")</f>
        <v>AM2M - PSIQUIATRÍA - Guía preguntas pacientes</v>
      </c>
      <c r="E5541" s="10" t="str">
        <f>HYPERLINK("https://otsuka-europe-crm.veevavault.com/ui/#object/sent_email__v/VBL00000003A026", "SE-001444273")</f>
        <v>SE-001444273</v>
      </c>
      <c r="F5541" s="11"/>
      <c r="G5541" s="12">
        <v>0</v>
      </c>
      <c r="H5541" s="12">
        <v>0</v>
      </c>
      <c r="I5541" s="12">
        <v>0</v>
      </c>
      <c r="J5541" s="11"/>
      <c r="K5541" s="12">
        <v>0</v>
      </c>
      <c r="L5541" s="10" t="str">
        <f>HYPERLINK("https://otsuka-europe-crm.veevavault.com/ui/#object/approved_document__v/V5O000000001001", "AM2M - PSIQUIATRÍA - Guía preguntas pacientes")</f>
        <v>AM2M - PSIQUIATRÍA - Guía preguntas pacientes</v>
      </c>
      <c r="M5541" s="10" t="str">
        <f>HYPERLINK("mailto:jllombart@crm.otsuka-europe.com", "jllombart@crm.otsuka-europe.com")</f>
        <v>jllombart@crm.otsuka-europe.com</v>
      </c>
      <c r="N5541" s="13">
        <v>46223.373564814814</v>
      </c>
      <c r="O5541" s="14" t="str">
        <f>HYPERLINK("https://otsuka-europe-crm.veevavault.com/ui/#object/email_activity__v/V8C00000004B163", "EN-002106996")</f>
        <v>EN-002106996</v>
      </c>
    </row>
    <row r="5542" spans="1:15" ht="16" x14ac:dyDescent="0.2">
      <c r="A5542" s="18" t="str">
        <f>HYPERLINK("https://otsuka-europe-crm.veevavault.com/ui/#object/account__v/V4TZ06G6O71TBYX", "LAURA RODRIGUEZ INCIO")</f>
        <v>LAURA RODRIGUEZ INCIO</v>
      </c>
      <c r="B5542" s="18" t="str">
        <f>HYPERLINK("https://otsuka-europe-crm.veevavault.com/ui/#object/vcountry__v/VENZ000004SONF5", "ES")</f>
        <v>ES</v>
      </c>
      <c r="C5542" s="20" t="s">
        <v>39</v>
      </c>
      <c r="D5542" s="21" t="str">
        <f>HYPERLINK("https://otsuka-europe-crm.veevavault.com/ui/#object/approved_document__v/V5O000000001001", "AM2M - PSIQUIATRÍA - Guía preguntas pacientes")</f>
        <v>AM2M - PSIQUIATRÍA - Guía preguntas pacientes</v>
      </c>
      <c r="E5542" s="22" t="str">
        <f>HYPERLINK("https://otsuka-europe-crm.veevavault.com/ui/#object/sent_email__v/VBL00000003A027", "SE-001444274")</f>
        <v>SE-001444274</v>
      </c>
      <c r="F5542" s="25">
        <v>46223.794131944444</v>
      </c>
      <c r="G5542" s="24">
        <v>1</v>
      </c>
      <c r="H5542" s="24">
        <v>3</v>
      </c>
      <c r="I5542" s="24">
        <v>0</v>
      </c>
      <c r="J5542" s="23"/>
      <c r="K5542" s="24">
        <v>0</v>
      </c>
      <c r="L5542" s="22" t="str">
        <f>HYPERLINK("https://otsuka-europe-crm.veevavault.com/ui/#object/approved_document__v/V5O000000001001", "AM2M - PSIQUIATRÍA - Guía preguntas pacientes")</f>
        <v>AM2M - PSIQUIATRÍA - Guía preguntas pacientes</v>
      </c>
      <c r="M5542" s="22" t="str">
        <f>HYPERLINK("mailto:jllombart@crm.otsuka-europe.com", "jllombart@crm.otsuka-europe.com")</f>
        <v>jllombart@crm.otsuka-europe.com</v>
      </c>
      <c r="N5542" s="25">
        <v>46223.373564814814</v>
      </c>
      <c r="O5542" s="14" t="str">
        <f>HYPERLINK("https://otsuka-europe-crm.veevavault.com/ui/#object/email_activity__v/V8C00000004B124", "EN-002106941")</f>
        <v>EN-002106941</v>
      </c>
    </row>
    <row r="5543" spans="1:15" ht="16" x14ac:dyDescent="0.2">
      <c r="A5543" s="26"/>
      <c r="B5543" s="26"/>
      <c r="C5543" s="26"/>
      <c r="D5543" s="26"/>
      <c r="E5543" s="26"/>
      <c r="F5543" s="26"/>
      <c r="G5543" s="26"/>
      <c r="H5543" s="26"/>
      <c r="I5543" s="26"/>
      <c r="J5543" s="26"/>
      <c r="K5543" s="26"/>
      <c r="L5543" s="26"/>
      <c r="M5543" s="26"/>
      <c r="N5543" s="26"/>
      <c r="O5543" s="14" t="str">
        <f>HYPERLINK("https://otsuka-europe-crm.veevavault.com/ui/#object/email_activity__v/V8C00000004B166", "EN-002106999")</f>
        <v>EN-002106999</v>
      </c>
    </row>
    <row r="5544" spans="1:15" ht="16" x14ac:dyDescent="0.2">
      <c r="A5544" s="26"/>
      <c r="B5544" s="26"/>
      <c r="C5544" s="26"/>
      <c r="D5544" s="26"/>
      <c r="E5544" s="26"/>
      <c r="F5544" s="26"/>
      <c r="G5544" s="26"/>
      <c r="H5544" s="26"/>
      <c r="I5544" s="26"/>
      <c r="J5544" s="26"/>
      <c r="K5544" s="26"/>
      <c r="L5544" s="26"/>
      <c r="M5544" s="26"/>
      <c r="N5544" s="26"/>
      <c r="O5544" s="14" t="str">
        <f>HYPERLINK("https://otsuka-europe-crm.veevavault.com/ui/#object/email_activity__v/V8C00000004C155", "EN-002107120")</f>
        <v>EN-002107120</v>
      </c>
    </row>
    <row r="5545" spans="1:15" ht="16" x14ac:dyDescent="0.2">
      <c r="A5545" s="19"/>
      <c r="B5545" s="19"/>
      <c r="C5545" s="19"/>
      <c r="D5545" s="19"/>
      <c r="E5545" s="19"/>
      <c r="F5545" s="19"/>
      <c r="G5545" s="19"/>
      <c r="H5545" s="19"/>
      <c r="I5545" s="19"/>
      <c r="J5545" s="19"/>
      <c r="K5545" s="19"/>
      <c r="L5545" s="19"/>
      <c r="M5545" s="19"/>
      <c r="N5545" s="19"/>
      <c r="O5545" s="14" t="str">
        <f>HYPERLINK("https://otsuka-europe-crm.veevavault.com/ui/#object/email_activity__v/V8C00000004C189", "EN-002107186")</f>
        <v>EN-002107186</v>
      </c>
    </row>
    <row r="5546" spans="1:15" ht="16" x14ac:dyDescent="0.2">
      <c r="A5546" s="18" t="str">
        <f>HYPERLINK("https://otsuka-europe-crm.veevavault.com/ui/#object/account__v/V4TZ06G6O71T84A", "SANDRA CEPEDELLO PEREZ")</f>
        <v>SANDRA CEPEDELLO PEREZ</v>
      </c>
      <c r="B5546" s="18" t="str">
        <f>HYPERLINK("https://otsuka-europe-crm.veevavault.com/ui/#object/vcountry__v/VENZ000004SONF5", "ES")</f>
        <v>ES</v>
      </c>
      <c r="C5546" s="20" t="s">
        <v>39</v>
      </c>
      <c r="D5546" s="21" t="str">
        <f>HYPERLINK("https://otsuka-europe-crm.veevavault.com/ui/#object/approved_document__v/V5O000000001001", "AM2M - PSIQUIATRÍA - Guía preguntas pacientes")</f>
        <v>AM2M - PSIQUIATRÍA - Guía preguntas pacientes</v>
      </c>
      <c r="E5546" s="22" t="str">
        <f>HYPERLINK("https://otsuka-europe-crm.veevavault.com/ui/#object/sent_email__v/VBL00000003A028", "SE-001444275")</f>
        <v>SE-001444275</v>
      </c>
      <c r="F5546" s="23"/>
      <c r="G5546" s="24">
        <v>0</v>
      </c>
      <c r="H5546" s="24">
        <v>0</v>
      </c>
      <c r="I5546" s="24">
        <v>0</v>
      </c>
      <c r="J5546" s="23"/>
      <c r="K5546" s="24">
        <v>0</v>
      </c>
      <c r="L5546" s="22" t="str">
        <f>HYPERLINK("https://otsuka-europe-crm.veevavault.com/ui/#object/approved_document__v/V5O000000001001", "AM2M - PSIQUIATRÍA - Guía preguntas pacientes")</f>
        <v>AM2M - PSIQUIATRÍA - Guía preguntas pacientes</v>
      </c>
      <c r="M5546" s="22" t="str">
        <f>HYPERLINK("mailto:jllombart@crm.otsuka-europe.com", "jllombart@crm.otsuka-europe.com")</f>
        <v>jllombart@crm.otsuka-europe.com</v>
      </c>
      <c r="N5546" s="25">
        <v>46223.373564814814</v>
      </c>
      <c r="O5546" s="14" t="str">
        <f>HYPERLINK("https://otsuka-europe-crm.veevavault.com/ui/#object/email_activity__v/V8C00000004B142", "EN-002106964")</f>
        <v>EN-002106964</v>
      </c>
    </row>
    <row r="5547" spans="1:15" ht="16" x14ac:dyDescent="0.2">
      <c r="A5547" s="26"/>
      <c r="B5547" s="26"/>
      <c r="C5547" s="26"/>
      <c r="D5547" s="26"/>
      <c r="E5547" s="26"/>
      <c r="F5547" s="26"/>
      <c r="G5547" s="26"/>
      <c r="H5547" s="26"/>
      <c r="I5547" s="26"/>
      <c r="J5547" s="26"/>
      <c r="K5547" s="26"/>
      <c r="L5547" s="26"/>
      <c r="M5547" s="26"/>
      <c r="N5547" s="26"/>
      <c r="O5547" s="14" t="str">
        <f>HYPERLINK("https://otsuka-europe-crm.veevavault.com/ui/#object/email_activity__v/V8C00000004B244", "EN-002107141")</f>
        <v>EN-002107141</v>
      </c>
    </row>
    <row r="5548" spans="1:15" ht="16" x14ac:dyDescent="0.2">
      <c r="A5548" s="26"/>
      <c r="B5548" s="26"/>
      <c r="C5548" s="26"/>
      <c r="D5548" s="26"/>
      <c r="E5548" s="26"/>
      <c r="F5548" s="26"/>
      <c r="G5548" s="26"/>
      <c r="H5548" s="26"/>
      <c r="I5548" s="26"/>
      <c r="J5548" s="26"/>
      <c r="K5548" s="26"/>
      <c r="L5548" s="26"/>
      <c r="M5548" s="26"/>
      <c r="N5548" s="26"/>
      <c r="O5548" s="14" t="str">
        <f>HYPERLINK("https://otsuka-europe-crm.veevavault.com/ui/#object/email_activity__v/V8C00000004C169", "EN-002107140")</f>
        <v>EN-002107140</v>
      </c>
    </row>
    <row r="5549" spans="1:15" ht="16" x14ac:dyDescent="0.2">
      <c r="A5549" s="19"/>
      <c r="B5549" s="19"/>
      <c r="C5549" s="19"/>
      <c r="D5549" s="19"/>
      <c r="E5549" s="19"/>
      <c r="F5549" s="19"/>
      <c r="G5549" s="19"/>
      <c r="H5549" s="19"/>
      <c r="I5549" s="19"/>
      <c r="J5549" s="19"/>
      <c r="K5549" s="19"/>
      <c r="L5549" s="19"/>
      <c r="M5549" s="19"/>
      <c r="N5549" s="19"/>
      <c r="O5549" s="14" t="str">
        <f>HYPERLINK("https://otsuka-europe-crm.veevavault.com/ui/#object/email_activity__v/V8C00000004C170", "EN-002107142")</f>
        <v>EN-002107142</v>
      </c>
    </row>
    <row r="5550" spans="1:15" ht="16" x14ac:dyDescent="0.2">
      <c r="A5550" s="18" t="str">
        <f>HYPERLINK("https://otsuka-europe-crm.veevavault.com/ui/#object/account__v/V4TZ06G6O71TALD", "ANTONIO COELLO SEGURA")</f>
        <v>ANTONIO COELLO SEGURA</v>
      </c>
      <c r="B5550" s="18" t="str">
        <f>HYPERLINK("https://otsuka-europe-crm.veevavault.com/ui/#object/vcountry__v/VENZ000004SONF5", "ES")</f>
        <v>ES</v>
      </c>
      <c r="C5550" s="20" t="s">
        <v>39</v>
      </c>
      <c r="D5550" s="21" t="str">
        <f>HYPERLINK("https://otsuka-europe-crm.veevavault.com/ui/#object/approved_document__v/V5O000000001001", "AM2M - PSIQUIATRÍA - Guía preguntas pacientes")</f>
        <v>AM2M - PSIQUIATRÍA - Guía preguntas pacientes</v>
      </c>
      <c r="E5550" s="22" t="str">
        <f>HYPERLINK("https://otsuka-europe-crm.veevavault.com/ui/#object/sent_email__v/VBL00000003A029", "SE-001444276")</f>
        <v>SE-001444276</v>
      </c>
      <c r="F5550" s="23"/>
      <c r="G5550" s="24">
        <v>0</v>
      </c>
      <c r="H5550" s="24">
        <v>0</v>
      </c>
      <c r="I5550" s="24">
        <v>0</v>
      </c>
      <c r="J5550" s="23"/>
      <c r="K5550" s="24">
        <v>0</v>
      </c>
      <c r="L5550" s="22" t="str">
        <f>HYPERLINK("https://otsuka-europe-crm.veevavault.com/ui/#object/approved_document__v/V5O000000001001", "AM2M - PSIQUIATRÍA - Guía preguntas pacientes")</f>
        <v>AM2M - PSIQUIATRÍA - Guía preguntas pacientes</v>
      </c>
      <c r="M5550" s="22" t="str">
        <f>HYPERLINK("mailto:jllombart@crm.otsuka-europe.com", "jllombart@crm.otsuka-europe.com")</f>
        <v>jllombart@crm.otsuka-europe.com</v>
      </c>
      <c r="N5550" s="25">
        <v>46223.373564814814</v>
      </c>
      <c r="O5550" s="14" t="str">
        <f>HYPERLINK("https://otsuka-europe-crm.veevavault.com/ui/#object/email_activity__v/V8C00000004C105", "EN-002106981")</f>
        <v>EN-002106981</v>
      </c>
    </row>
    <row r="5551" spans="1:15" ht="16" x14ac:dyDescent="0.2">
      <c r="A5551" s="19"/>
      <c r="B5551" s="19"/>
      <c r="C5551" s="19"/>
      <c r="D5551" s="19"/>
      <c r="E5551" s="19"/>
      <c r="F5551" s="19"/>
      <c r="G5551" s="19"/>
      <c r="H5551" s="19"/>
      <c r="I5551" s="19"/>
      <c r="J5551" s="19"/>
      <c r="K5551" s="19"/>
      <c r="L5551" s="19"/>
      <c r="M5551" s="19"/>
      <c r="N5551" s="19"/>
      <c r="O5551" s="14" t="str">
        <f>HYPERLINK("https://otsuka-europe-crm.veevavault.com/ui/#object/email_activity__v/V8C00000004C161", "EN-002107131")</f>
        <v>EN-002107131</v>
      </c>
    </row>
    <row r="5552" spans="1:15" ht="32" x14ac:dyDescent="0.2">
      <c r="A5552" s="7" t="str">
        <f>HYPERLINK("https://otsuka-europe-crm.veevavault.com/ui/#object/account__v/V4TZ025E83DEM0P", "MARINA ADRADOS PEREZ")</f>
        <v>MARINA ADRADOS PEREZ</v>
      </c>
      <c r="B5552" s="7" t="str">
        <f>HYPERLINK("https://otsuka-europe-crm.veevavault.com/ui/#object/vcountry__v/VENZ000004SONF5", "ES")</f>
        <v>ES</v>
      </c>
      <c r="C5552" s="8" t="s">
        <v>39</v>
      </c>
      <c r="D5552" s="9" t="str">
        <f>HYPERLINK("https://otsuka-europe-crm.veevavault.com/ui/#object/approved_document__v/V5O000000001001", "AM2M - PSIQUIATRÍA - Guía preguntas pacientes")</f>
        <v>AM2M - PSIQUIATRÍA - Guía preguntas pacientes</v>
      </c>
      <c r="E5552" s="10" t="str">
        <f>HYPERLINK("https://otsuka-europe-crm.veevavault.com/ui/#object/sent_email__v/VBL00000003A030", "SE-001444277")</f>
        <v>SE-001444277</v>
      </c>
      <c r="F5552" s="11"/>
      <c r="G5552" s="12">
        <v>0</v>
      </c>
      <c r="H5552" s="12">
        <v>0</v>
      </c>
      <c r="I5552" s="12">
        <v>0</v>
      </c>
      <c r="J5552" s="11"/>
      <c r="K5552" s="12">
        <v>0</v>
      </c>
      <c r="L5552" s="10" t="str">
        <f>HYPERLINK("https://otsuka-europe-crm.veevavault.com/ui/#object/approved_document__v/V5O000000001001", "AM2M - PSIQUIATRÍA - Guía preguntas pacientes")</f>
        <v>AM2M - PSIQUIATRÍA - Guía preguntas pacientes</v>
      </c>
      <c r="M5552" s="10" t="str">
        <f>HYPERLINK("mailto:jllombart@crm.otsuka-europe.com", "jllombart@crm.otsuka-europe.com")</f>
        <v>jllombart@crm.otsuka-europe.com</v>
      </c>
      <c r="N5552" s="13">
        <v>46223.373402777775</v>
      </c>
      <c r="O5552" s="14" t="str">
        <f>HYPERLINK("https://otsuka-europe-crm.veevavault.com/ui/#object/email_activity__v/V8C00000004B125", "EN-002106942")</f>
        <v>EN-002106942</v>
      </c>
    </row>
    <row r="5553" spans="1:15" ht="16" x14ac:dyDescent="0.2">
      <c r="A5553" s="18" t="str">
        <f>HYPERLINK("https://otsuka-europe-crm.veevavault.com/ui/#object/account__v/V4TZ06G6O71T7OV", "ESTEBAN SEPULVEDA RAMOS")</f>
        <v>ESTEBAN SEPULVEDA RAMOS</v>
      </c>
      <c r="B5553" s="18" t="str">
        <f>HYPERLINK("https://otsuka-europe-crm.veevavault.com/ui/#object/vcountry__v/VENZ000004SONF5", "ES")</f>
        <v>ES</v>
      </c>
      <c r="C5553" s="20" t="s">
        <v>39</v>
      </c>
      <c r="D5553" s="21" t="str">
        <f>HYPERLINK("https://otsuka-europe-crm.veevavault.com/ui/#object/approved_document__v/V5O000000001001", "AM2M - PSIQUIATRÍA - Guía preguntas pacientes")</f>
        <v>AM2M - PSIQUIATRÍA - Guía preguntas pacientes</v>
      </c>
      <c r="E5553" s="22" t="str">
        <f>HYPERLINK("https://otsuka-europe-crm.veevavault.com/ui/#object/sent_email__v/VBL00000003A031", "SE-001444278")</f>
        <v>SE-001444278</v>
      </c>
      <c r="F5553" s="25">
        <v>46223.380636574075</v>
      </c>
      <c r="G5553" s="24">
        <v>1</v>
      </c>
      <c r="H5553" s="24">
        <v>1</v>
      </c>
      <c r="I5553" s="24">
        <v>0</v>
      </c>
      <c r="J5553" s="23"/>
      <c r="K5553" s="24">
        <v>0</v>
      </c>
      <c r="L5553" s="22" t="str">
        <f>HYPERLINK("https://otsuka-europe-crm.veevavault.com/ui/#object/approved_document__v/V5O000000001001", "AM2M - PSIQUIATRÍA - Guía preguntas pacientes")</f>
        <v>AM2M - PSIQUIATRÍA - Guía preguntas pacientes</v>
      </c>
      <c r="M5553" s="22" t="str">
        <f>HYPERLINK("mailto:jllombart@crm.otsuka-europe.com", "jllombart@crm.otsuka-europe.com")</f>
        <v>jllombart@crm.otsuka-europe.com</v>
      </c>
      <c r="N5553" s="25">
        <v>46223.373425925929</v>
      </c>
      <c r="O5553" s="14" t="str">
        <f>HYPERLINK("https://otsuka-europe-crm.veevavault.com/ui/#object/email_activity__v/V8C00000004B131", "EN-002106953")</f>
        <v>EN-002106953</v>
      </c>
    </row>
    <row r="5554" spans="1:15" ht="16" x14ac:dyDescent="0.2">
      <c r="A5554" s="19"/>
      <c r="B5554" s="19"/>
      <c r="C5554" s="19"/>
      <c r="D5554" s="19"/>
      <c r="E5554" s="19"/>
      <c r="F5554" s="19"/>
      <c r="G5554" s="19"/>
      <c r="H5554" s="19"/>
      <c r="I5554" s="19"/>
      <c r="J5554" s="19"/>
      <c r="K5554" s="19"/>
      <c r="L5554" s="19"/>
      <c r="M5554" s="19"/>
      <c r="N5554" s="19"/>
      <c r="O5554" s="14" t="str">
        <f>HYPERLINK("https://otsuka-europe-crm.veevavault.com/ui/#object/email_activity__v/V8C00000004B173", "EN-002107010")</f>
        <v>EN-002107010</v>
      </c>
    </row>
    <row r="5555" spans="1:15" ht="16" x14ac:dyDescent="0.2">
      <c r="A5555" s="18" t="str">
        <f>HYPERLINK("https://otsuka-europe-crm.veevavault.com/ui/#object/account__v/V4TZ06G6O71T85J", "AINHOA LEUNDA DOMENECH")</f>
        <v>AINHOA LEUNDA DOMENECH</v>
      </c>
      <c r="B5555" s="18" t="str">
        <f>HYPERLINK("https://otsuka-europe-crm.veevavault.com/ui/#object/vcountry__v/VENZ000004SONF5", "ES")</f>
        <v>ES</v>
      </c>
      <c r="C5555" s="20" t="s">
        <v>39</v>
      </c>
      <c r="D5555" s="21" t="str">
        <f>HYPERLINK("https://otsuka-europe-crm.veevavault.com/ui/#object/approved_document__v/V5O000000001001", "AM2M - PSIQUIATRÍA - Guía preguntas pacientes")</f>
        <v>AM2M - PSIQUIATRÍA - Guía preguntas pacientes</v>
      </c>
      <c r="E5555" s="22" t="str">
        <f>HYPERLINK("https://otsuka-europe-crm.veevavault.com/ui/#object/sent_email__v/VBL00000003A032", "SE-001444279")</f>
        <v>SE-001444279</v>
      </c>
      <c r="F5555" s="25">
        <v>46227.296493055554</v>
      </c>
      <c r="G5555" s="24">
        <v>1</v>
      </c>
      <c r="H5555" s="24">
        <v>3</v>
      </c>
      <c r="I5555" s="24">
        <v>0</v>
      </c>
      <c r="J5555" s="23"/>
      <c r="K5555" s="24">
        <v>0</v>
      </c>
      <c r="L5555" s="22" t="str">
        <f>HYPERLINK("https://otsuka-europe-crm.veevavault.com/ui/#object/approved_document__v/V5O000000001001", "AM2M - PSIQUIATRÍA - Guía preguntas pacientes")</f>
        <v>AM2M - PSIQUIATRÍA - Guía preguntas pacientes</v>
      </c>
      <c r="M5555" s="22" t="str">
        <f>HYPERLINK("mailto:jllombart@crm.otsuka-europe.com", "jllombart@crm.otsuka-europe.com")</f>
        <v>jllombart@crm.otsuka-europe.com</v>
      </c>
      <c r="N5555" s="25">
        <v>46223.373425925929</v>
      </c>
      <c r="O5555" s="14" t="str">
        <f>HYPERLINK("https://otsuka-europe-crm.veevavault.com/ui/#object/email_activity__v/V8C00000004B127", "EN-002106949")</f>
        <v>EN-002106949</v>
      </c>
    </row>
    <row r="5556" spans="1:15" ht="16" x14ac:dyDescent="0.2">
      <c r="A5556" s="26"/>
      <c r="B5556" s="26"/>
      <c r="C5556" s="26"/>
      <c r="D5556" s="26"/>
      <c r="E5556" s="26"/>
      <c r="F5556" s="26"/>
      <c r="G5556" s="26"/>
      <c r="H5556" s="26"/>
      <c r="I5556" s="26"/>
      <c r="J5556" s="26"/>
      <c r="K5556" s="26"/>
      <c r="L5556" s="26"/>
      <c r="M5556" s="26"/>
      <c r="N5556" s="26"/>
      <c r="O5556" s="14" t="str">
        <f>HYPERLINK("https://otsuka-europe-crm.veevavault.com/ui/#object/email_activity__v/V8C00000004B186", "EN-002107033")</f>
        <v>EN-002107033</v>
      </c>
    </row>
    <row r="5557" spans="1:15" ht="16" x14ac:dyDescent="0.2">
      <c r="A5557" s="26"/>
      <c r="B5557" s="26"/>
      <c r="C5557" s="26"/>
      <c r="D5557" s="26"/>
      <c r="E5557" s="26"/>
      <c r="F5557" s="26"/>
      <c r="G5557" s="26"/>
      <c r="H5557" s="26"/>
      <c r="I5557" s="26"/>
      <c r="J5557" s="26"/>
      <c r="K5557" s="26"/>
      <c r="L5557" s="26"/>
      <c r="M5557" s="26"/>
      <c r="N5557" s="26"/>
      <c r="O5557" s="14" t="str">
        <f>HYPERLINK("https://otsuka-europe-crm.veevavault.com/ui/#object/email_activity__v/V8C00000004C149", "EN-002107107")</f>
        <v>EN-002107107</v>
      </c>
    </row>
    <row r="5558" spans="1:15" ht="16" x14ac:dyDescent="0.2">
      <c r="A5558" s="19"/>
      <c r="B5558" s="19"/>
      <c r="C5558" s="19"/>
      <c r="D5558" s="19"/>
      <c r="E5558" s="19"/>
      <c r="F5558" s="19"/>
      <c r="G5558" s="19"/>
      <c r="H5558" s="19"/>
      <c r="I5558" s="19"/>
      <c r="J5558" s="19"/>
      <c r="K5558" s="19"/>
      <c r="L5558" s="19"/>
      <c r="M5558" s="19"/>
      <c r="N5558" s="19"/>
      <c r="O5558" s="14" t="str">
        <f>HYPERLINK("https://otsuka-europe-crm.veevavault.com/ui/#object/email_activity__v/V8C00000004D057", "EN-002108283")</f>
        <v>EN-002108283</v>
      </c>
    </row>
    <row r="5559" spans="1:15" ht="32" x14ac:dyDescent="0.2">
      <c r="A5559" s="7" t="str">
        <f>HYPERLINK("https://otsuka-europe-crm.veevavault.com/ui/#object/account__v/V4TZ06G6O71T8X4", "ROSA HERNANDEZ RIBAS")</f>
        <v>ROSA HERNANDEZ RIBAS</v>
      </c>
      <c r="B5559" s="7" t="str">
        <f>HYPERLINK("https://otsuka-europe-crm.veevavault.com/ui/#object/vcountry__v/VENZ000004SONF5", "ES")</f>
        <v>ES</v>
      </c>
      <c r="C5559" s="8" t="s">
        <v>39</v>
      </c>
      <c r="D5559" s="9" t="str">
        <f>HYPERLINK("https://otsuka-europe-crm.veevavault.com/ui/#object/approved_document__v/V5O000000001001", "AM2M - PSIQUIATRÍA - Guía preguntas pacientes")</f>
        <v>AM2M - PSIQUIATRÍA - Guía preguntas pacientes</v>
      </c>
      <c r="E5559" s="10" t="str">
        <f>HYPERLINK("https://otsuka-europe-crm.veevavault.com/ui/#object/sent_email__v/VBL00000003A033", "SE-001444280")</f>
        <v>SE-001444280</v>
      </c>
      <c r="F5559" s="11"/>
      <c r="G5559" s="12">
        <v>0</v>
      </c>
      <c r="H5559" s="12">
        <v>0</v>
      </c>
      <c r="I5559" s="12">
        <v>0</v>
      </c>
      <c r="J5559" s="11"/>
      <c r="K5559" s="12">
        <v>0</v>
      </c>
      <c r="L5559" s="10" t="str">
        <f>HYPERLINK("https://otsuka-europe-crm.veevavault.com/ui/#object/approved_document__v/V5O000000001001", "AM2M - PSIQUIATRÍA - Guía preguntas pacientes")</f>
        <v>AM2M - PSIQUIATRÍA - Guía preguntas pacientes</v>
      </c>
      <c r="M5559" s="10" t="str">
        <f>HYPERLINK("mailto:jllombart@crm.otsuka-europe.com", "jllombart@crm.otsuka-europe.com")</f>
        <v>jllombart@crm.otsuka-europe.com</v>
      </c>
      <c r="N5559" s="13">
        <v>46223.373564814814</v>
      </c>
      <c r="O5559" s="14" t="str">
        <f>HYPERLINK("https://otsuka-europe-crm.veevavault.com/ui/#object/email_activity__v/V8C00000004C113", "EN-002107013")</f>
        <v>EN-002107013</v>
      </c>
    </row>
    <row r="5560" spans="1:15" ht="32" x14ac:dyDescent="0.2">
      <c r="A5560" s="7" t="str">
        <f>HYPERLINK("https://otsuka-europe-crm.veevavault.com/ui/#object/account__v/V4TZ06G6O71TAE6", "MARIA ISABEL JUSTO SIMON")</f>
        <v>MARIA ISABEL JUSTO SIMON</v>
      </c>
      <c r="B5560" s="7" t="str">
        <f>HYPERLINK("https://otsuka-europe-crm.veevavault.com/ui/#object/vcountry__v/VENZ000004SONF5", "ES")</f>
        <v>ES</v>
      </c>
      <c r="C5560" s="8" t="s">
        <v>39</v>
      </c>
      <c r="D5560" s="9" t="str">
        <f>HYPERLINK("https://otsuka-europe-crm.veevavault.com/ui/#object/approved_document__v/V5O000000001001", "AM2M - PSIQUIATRÍA - Guía preguntas pacientes")</f>
        <v>AM2M - PSIQUIATRÍA - Guía preguntas pacientes</v>
      </c>
      <c r="E5560" s="10" t="str">
        <f>HYPERLINK("https://otsuka-europe-crm.veevavault.com/ui/#object/sent_email__v/VBL00000003A034", "SE-001444281")</f>
        <v>SE-001444281</v>
      </c>
      <c r="F5560" s="11"/>
      <c r="G5560" s="12">
        <v>0</v>
      </c>
      <c r="H5560" s="12">
        <v>0</v>
      </c>
      <c r="I5560" s="12">
        <v>0</v>
      </c>
      <c r="J5560" s="11"/>
      <c r="K5560" s="12">
        <v>0</v>
      </c>
      <c r="L5560" s="10" t="str">
        <f>HYPERLINK("https://otsuka-europe-crm.veevavault.com/ui/#object/approved_document__v/V5O000000001001", "AM2M - PSIQUIATRÍA - Guía preguntas pacientes")</f>
        <v>AM2M - PSIQUIATRÍA - Guía preguntas pacientes</v>
      </c>
      <c r="M5560" s="10" t="str">
        <f>HYPERLINK("mailto:jllombart@crm.otsuka-europe.com", "jllombart@crm.otsuka-europe.com")</f>
        <v>jllombart@crm.otsuka-europe.com</v>
      </c>
      <c r="N5560" s="13">
        <v>46223.373564814814</v>
      </c>
      <c r="O5560" s="14" t="str">
        <f>HYPERLINK("https://otsuka-europe-crm.veevavault.com/ui/#object/email_activity__v/V8C00000004B140", "EN-002106962")</f>
        <v>EN-002106962</v>
      </c>
    </row>
    <row r="5561" spans="1:15" ht="16" x14ac:dyDescent="0.2">
      <c r="A5561" s="18" t="str">
        <f>HYPERLINK("https://otsuka-europe-crm.veevavault.com/ui/#object/account__v/V4TZ06G6O71T7WL", "ALBA VALIENTE PALLEJA")</f>
        <v>ALBA VALIENTE PALLEJA</v>
      </c>
      <c r="B5561" s="18" t="str">
        <f>HYPERLINK("https://otsuka-europe-crm.veevavault.com/ui/#object/vcountry__v/VENZ000004SONF5", "ES")</f>
        <v>ES</v>
      </c>
      <c r="C5561" s="20" t="s">
        <v>39</v>
      </c>
      <c r="D5561" s="21" t="str">
        <f>HYPERLINK("https://otsuka-europe-crm.veevavault.com/ui/#object/approved_document__v/V5O000000001001", "AM2M - PSIQUIATRÍA - Guía preguntas pacientes")</f>
        <v>AM2M - PSIQUIATRÍA - Guía preguntas pacientes</v>
      </c>
      <c r="E5561" s="22" t="str">
        <f>HYPERLINK("https://otsuka-europe-crm.veevavault.com/ui/#object/sent_email__v/VBL00000003A035", "SE-001444282")</f>
        <v>SE-001444282</v>
      </c>
      <c r="F5561" s="23"/>
      <c r="G5561" s="24">
        <v>0</v>
      </c>
      <c r="H5561" s="24">
        <v>0</v>
      </c>
      <c r="I5561" s="24">
        <v>0</v>
      </c>
      <c r="J5561" s="23"/>
      <c r="K5561" s="24">
        <v>0</v>
      </c>
      <c r="L5561" s="22" t="str">
        <f>HYPERLINK("https://otsuka-europe-crm.veevavault.com/ui/#object/approved_document__v/V5O000000001001", "AM2M - PSIQUIATRÍA - Guía preguntas pacientes")</f>
        <v>AM2M - PSIQUIATRÍA - Guía preguntas pacientes</v>
      </c>
      <c r="M5561" s="22" t="str">
        <f>HYPERLINK("mailto:jllombart@crm.otsuka-europe.com", "jllombart@crm.otsuka-europe.com")</f>
        <v>jllombart@crm.otsuka-europe.com</v>
      </c>
      <c r="N5561" s="25">
        <v>46223.373425925929</v>
      </c>
      <c r="O5561" s="14" t="str">
        <f>HYPERLINK("https://otsuka-europe-crm.veevavault.com/ui/#object/email_activity__v/V8C00000004B110", "EN-002106926")</f>
        <v>EN-002106926</v>
      </c>
    </row>
    <row r="5562" spans="1:15" ht="16" x14ac:dyDescent="0.2">
      <c r="A5562" s="19"/>
      <c r="B5562" s="19"/>
      <c r="C5562" s="19"/>
      <c r="D5562" s="19"/>
      <c r="E5562" s="19"/>
      <c r="F5562" s="19"/>
      <c r="G5562" s="19"/>
      <c r="H5562" s="19"/>
      <c r="I5562" s="19"/>
      <c r="J5562" s="19"/>
      <c r="K5562" s="19"/>
      <c r="L5562" s="19"/>
      <c r="M5562" s="19"/>
      <c r="N5562" s="19"/>
      <c r="O5562" s="14" t="str">
        <f>HYPERLINK("https://otsuka-europe-crm.veevavault.com/ui/#object/email_activity__v/V8C00000004C152", "EN-002107113")</f>
        <v>EN-002107113</v>
      </c>
    </row>
    <row r="5563" spans="1:15" ht="32" x14ac:dyDescent="0.2">
      <c r="A5563" s="7" t="str">
        <f>HYPERLINK("https://otsuka-europe-crm.veevavault.com/ui/#object/account__v/V4TZ06G6O71TC09", "VANESSA SANCHEZ GISTAU")</f>
        <v>VANESSA SANCHEZ GISTAU</v>
      </c>
      <c r="B5563" s="7" t="str">
        <f>HYPERLINK("https://otsuka-europe-crm.veevavault.com/ui/#object/vcountry__v/VENZ000004SONF5", "ES")</f>
        <v>ES</v>
      </c>
      <c r="C5563" s="8" t="s">
        <v>39</v>
      </c>
      <c r="D5563" s="9" t="str">
        <f>HYPERLINK("https://otsuka-europe-crm.veevavault.com/ui/#object/approved_document__v/V5O000000001001", "AM2M - PSIQUIATRÍA - Guía preguntas pacientes")</f>
        <v>AM2M - PSIQUIATRÍA - Guía preguntas pacientes</v>
      </c>
      <c r="E5563" s="10" t="str">
        <f>HYPERLINK("https://otsuka-europe-crm.veevavault.com/ui/#object/sent_email__v/VBL00000003A036", "SE-001444283")</f>
        <v>SE-001444283</v>
      </c>
      <c r="F5563" s="11"/>
      <c r="G5563" s="12">
        <v>0</v>
      </c>
      <c r="H5563" s="12">
        <v>0</v>
      </c>
      <c r="I5563" s="12">
        <v>0</v>
      </c>
      <c r="J5563" s="11"/>
      <c r="K5563" s="12">
        <v>0</v>
      </c>
      <c r="L5563" s="10" t="str">
        <f>HYPERLINK("https://otsuka-europe-crm.veevavault.com/ui/#object/approved_document__v/V5O000000001001", "AM2M - PSIQUIATRÍA - Guía preguntas pacientes")</f>
        <v>AM2M - PSIQUIATRÍA - Guía preguntas pacientes</v>
      </c>
      <c r="M5563" s="10" t="str">
        <f>HYPERLINK("mailto:jllombart@crm.otsuka-europe.com", "jllombart@crm.otsuka-europe.com")</f>
        <v>jllombart@crm.otsuka-europe.com</v>
      </c>
      <c r="N5563" s="13">
        <v>46223.373402777775</v>
      </c>
      <c r="O5563" s="14" t="str">
        <f>HYPERLINK("https://otsuka-europe-crm.veevavault.com/ui/#object/email_activity__v/V8C00000004C089", "EN-002106927")</f>
        <v>EN-002106927</v>
      </c>
    </row>
    <row r="5564" spans="1:15" ht="32" x14ac:dyDescent="0.2">
      <c r="A5564" s="7" t="str">
        <f>HYPERLINK("https://otsuka-europe-crm.veevavault.com/ui/#object/account__v/V4TZ06G6O71TK2J", "JOSE CARLOS SANCHEZ CHOCERO")</f>
        <v>JOSE CARLOS SANCHEZ CHOCERO</v>
      </c>
      <c r="B5564" s="7" t="str">
        <f>HYPERLINK("https://otsuka-europe-crm.veevavault.com/ui/#object/vcountry__v/VENZ000004SONF5", "ES")</f>
        <v>ES</v>
      </c>
      <c r="C5564" s="8" t="s">
        <v>39</v>
      </c>
      <c r="D5564" s="9" t="str">
        <f>HYPERLINK("https://otsuka-europe-crm.veevavault.com/ui/#object/approved_document__v/V5O000000001001", "AM2M - PSIQUIATRÍA - Guía preguntas pacientes")</f>
        <v>AM2M - PSIQUIATRÍA - Guía preguntas pacientes</v>
      </c>
      <c r="E5564" s="10" t="str">
        <f>HYPERLINK("https://otsuka-europe-crm.veevavault.com/ui/#object/sent_email__v/VBL00000003A037", "SE-001444284")</f>
        <v>SE-001444284</v>
      </c>
      <c r="F5564" s="11"/>
      <c r="G5564" s="12">
        <v>0</v>
      </c>
      <c r="H5564" s="12">
        <v>0</v>
      </c>
      <c r="I5564" s="12">
        <v>0</v>
      </c>
      <c r="J5564" s="11"/>
      <c r="K5564" s="12">
        <v>0</v>
      </c>
      <c r="L5564" s="10" t="str">
        <f>HYPERLINK("https://otsuka-europe-crm.veevavault.com/ui/#object/approved_document__v/V5O000000001001", "AM2M - PSIQUIATRÍA - Guía preguntas pacientes")</f>
        <v>AM2M - PSIQUIATRÍA - Guía preguntas pacientes</v>
      </c>
      <c r="M5564" s="10" t="str">
        <f>HYPERLINK("mailto:jllombart@crm.otsuka-europe.com", "jllombart@crm.otsuka-europe.com")</f>
        <v>jllombart@crm.otsuka-europe.com</v>
      </c>
      <c r="N5564" s="13">
        <v>46223.373425925929</v>
      </c>
      <c r="O5564" s="14" t="str">
        <f>HYPERLINK("https://otsuka-europe-crm.veevavault.com/ui/#object/email_activity__v/V8C00000004B130", "EN-002106952")</f>
        <v>EN-002106952</v>
      </c>
    </row>
    <row r="5565" spans="1:15" ht="16" x14ac:dyDescent="0.2">
      <c r="A5565" s="18" t="str">
        <f>HYPERLINK("https://otsuka-europe-crm.veevavault.com/ui/#object/account__v/V4TZ06G6O71WLQN", "IGNASI COLL VILAR")</f>
        <v>IGNASI COLL VILAR</v>
      </c>
      <c r="B5565" s="18" t="str">
        <f>HYPERLINK("https://otsuka-europe-crm.veevavault.com/ui/#object/vcountry__v/VENZ000004SONF5", "ES")</f>
        <v>ES</v>
      </c>
      <c r="C5565" s="20" t="s">
        <v>39</v>
      </c>
      <c r="D5565" s="21" t="str">
        <f>HYPERLINK("https://otsuka-europe-crm.veevavault.com/ui/#object/approved_document__v/V5O000000001001", "AM2M - PSIQUIATRÍA - Guía preguntas pacientes")</f>
        <v>AM2M - PSIQUIATRÍA - Guía preguntas pacientes</v>
      </c>
      <c r="E5565" s="22" t="str">
        <f>HYPERLINK("https://otsuka-europe-crm.veevavault.com/ui/#object/sent_email__v/VBL00000003A038", "SE-001444285")</f>
        <v>SE-001444285</v>
      </c>
      <c r="F5565" s="23"/>
      <c r="G5565" s="24">
        <v>0</v>
      </c>
      <c r="H5565" s="24">
        <v>0</v>
      </c>
      <c r="I5565" s="24">
        <v>0</v>
      </c>
      <c r="J5565" s="23"/>
      <c r="K5565" s="24">
        <v>0</v>
      </c>
      <c r="L5565" s="22" t="str">
        <f>HYPERLINK("https://otsuka-europe-crm.veevavault.com/ui/#object/approved_document__v/V5O000000001001", "AM2M - PSIQUIATRÍA - Guía preguntas pacientes")</f>
        <v>AM2M - PSIQUIATRÍA - Guía preguntas pacientes</v>
      </c>
      <c r="M5565" s="22" t="str">
        <f>HYPERLINK("mailto:jllombart@crm.otsuka-europe.com", "jllombart@crm.otsuka-europe.com")</f>
        <v>jllombart@crm.otsuka-europe.com</v>
      </c>
      <c r="N5565" s="25">
        <v>46223.373425925929</v>
      </c>
      <c r="O5565" s="14" t="str">
        <f>HYPERLINK("https://otsuka-europe-crm.veevavault.com/ui/#object/email_activity__v/V8C00000004B126", "EN-002106943")</f>
        <v>EN-002106943</v>
      </c>
    </row>
    <row r="5566" spans="1:15" ht="16" x14ac:dyDescent="0.2">
      <c r="A5566" s="19"/>
      <c r="B5566" s="19"/>
      <c r="C5566" s="19"/>
      <c r="D5566" s="19"/>
      <c r="E5566" s="19"/>
      <c r="F5566" s="19"/>
      <c r="G5566" s="19"/>
      <c r="H5566" s="19"/>
      <c r="I5566" s="19"/>
      <c r="J5566" s="19"/>
      <c r="K5566" s="19"/>
      <c r="L5566" s="19"/>
      <c r="M5566" s="19"/>
      <c r="N5566" s="19"/>
      <c r="O5566" s="14" t="str">
        <f>HYPERLINK("https://otsuka-europe-crm.veevavault.com/ui/#object/email_activity__v/V8C00000004B773", "EN-002108019")</f>
        <v>EN-002108019</v>
      </c>
    </row>
    <row r="5567" spans="1:15" ht="32" x14ac:dyDescent="0.2">
      <c r="A5567" s="7" t="str">
        <f>HYPERLINK("https://otsuka-europe-crm.veevavault.com/ui/#object/account__v/V4TZ06G6O71T8TT", "JUAN TORTAJADA VALERO")</f>
        <v>JUAN TORTAJADA VALERO</v>
      </c>
      <c r="B5567" s="7" t="str">
        <f t="shared" ref="B5567:B5573" si="248">HYPERLINK("https://otsuka-europe-crm.veevavault.com/ui/#object/vcountry__v/VENZ000004SONF5", "ES")</f>
        <v>ES</v>
      </c>
      <c r="C5567" s="8" t="s">
        <v>39</v>
      </c>
      <c r="D5567" s="9" t="str">
        <f t="shared" ref="D5567:D5573" si="249">HYPERLINK("https://otsuka-europe-crm.veevavault.com/ui/#object/approved_document__v/V5O000000001001", "AM2M - PSIQUIATRÍA - Guía preguntas pacientes")</f>
        <v>AM2M - PSIQUIATRÍA - Guía preguntas pacientes</v>
      </c>
      <c r="E5567" s="10" t="str">
        <f>HYPERLINK("https://otsuka-europe-crm.veevavault.com/ui/#object/sent_email__v/VBL00000003A039", "SE-001444286")</f>
        <v>SE-001444286</v>
      </c>
      <c r="F5567" s="11"/>
      <c r="G5567" s="12">
        <v>0</v>
      </c>
      <c r="H5567" s="12">
        <v>0</v>
      </c>
      <c r="I5567" s="12">
        <v>0</v>
      </c>
      <c r="J5567" s="11"/>
      <c r="K5567" s="12">
        <v>0</v>
      </c>
      <c r="L5567" s="10" t="str">
        <f t="shared" ref="L5567:L5573" si="250">HYPERLINK("https://otsuka-europe-crm.veevavault.com/ui/#object/approved_document__v/V5O000000001001", "AM2M - PSIQUIATRÍA - Guía preguntas pacientes")</f>
        <v>AM2M - PSIQUIATRÍA - Guía preguntas pacientes</v>
      </c>
      <c r="M5567" s="10" t="str">
        <f t="shared" ref="M5567:M5573" si="251">HYPERLINK("mailto:jllombart@crm.otsuka-europe.com", "jllombart@crm.otsuka-europe.com")</f>
        <v>jllombart@crm.otsuka-europe.com</v>
      </c>
      <c r="N5567" s="13">
        <v>46223.373402777775</v>
      </c>
      <c r="O5567" s="14" t="str">
        <f>HYPERLINK("https://otsuka-europe-crm.veevavault.com/ui/#object/email_activity__v/V8C00000004B109", "EN-002106925")</f>
        <v>EN-002106925</v>
      </c>
    </row>
    <row r="5568" spans="1:15" ht="32" x14ac:dyDescent="0.2">
      <c r="A5568" s="7" t="str">
        <f>HYPERLINK("https://otsuka-europe-crm.veevavault.com/ui/#object/account__v/V4TZ06G6O71T96I", "ISABEL ALONSO FERNANDEZ")</f>
        <v>ISABEL ALONSO FERNANDEZ</v>
      </c>
      <c r="B5568" s="7" t="str">
        <f t="shared" si="248"/>
        <v>ES</v>
      </c>
      <c r="C5568" s="8" t="s">
        <v>39</v>
      </c>
      <c r="D5568" s="9" t="str">
        <f t="shared" si="249"/>
        <v>AM2M - PSIQUIATRÍA - Guía preguntas pacientes</v>
      </c>
      <c r="E5568" s="10" t="str">
        <f>HYPERLINK("https://otsuka-europe-crm.veevavault.com/ui/#object/sent_email__v/VBL00000003A040", "SE-001444287")</f>
        <v>SE-001444287</v>
      </c>
      <c r="F5568" s="11"/>
      <c r="G5568" s="12">
        <v>0</v>
      </c>
      <c r="H5568" s="12">
        <v>0</v>
      </c>
      <c r="I5568" s="12">
        <v>0</v>
      </c>
      <c r="J5568" s="11"/>
      <c r="K5568" s="12">
        <v>0</v>
      </c>
      <c r="L5568" s="10" t="str">
        <f t="shared" si="250"/>
        <v>AM2M - PSIQUIATRÍA - Guía preguntas pacientes</v>
      </c>
      <c r="M5568" s="10" t="str">
        <f t="shared" si="251"/>
        <v>jllombart@crm.otsuka-europe.com</v>
      </c>
      <c r="N5568" s="13">
        <v>46223.373564814814</v>
      </c>
      <c r="O5568" s="14" t="str">
        <f>HYPERLINK("https://otsuka-europe-crm.veevavault.com/ui/#object/email_activity__v/V8C00000004C111", "EN-002107011")</f>
        <v>EN-002107011</v>
      </c>
    </row>
    <row r="5569" spans="1:15" ht="32" x14ac:dyDescent="0.2">
      <c r="A5569" s="7" t="str">
        <f>HYPERLINK("https://otsuka-europe-crm.veevavault.com/ui/#object/account__v/V4TZ06G6O71TAF1", "INMACULADA GRAU JOAQUIN")</f>
        <v>INMACULADA GRAU JOAQUIN</v>
      </c>
      <c r="B5569" s="7" t="str">
        <f t="shared" si="248"/>
        <v>ES</v>
      </c>
      <c r="C5569" s="8" t="s">
        <v>39</v>
      </c>
      <c r="D5569" s="9" t="str">
        <f t="shared" si="249"/>
        <v>AM2M - PSIQUIATRÍA - Guía preguntas pacientes</v>
      </c>
      <c r="E5569" s="10" t="str">
        <f>HYPERLINK("https://otsuka-europe-crm.veevavault.com/ui/#object/sent_email__v/VBL00000003A041", "SE-001444288")</f>
        <v>SE-001444288</v>
      </c>
      <c r="F5569" s="11"/>
      <c r="G5569" s="12">
        <v>0</v>
      </c>
      <c r="H5569" s="12">
        <v>0</v>
      </c>
      <c r="I5569" s="12">
        <v>0</v>
      </c>
      <c r="J5569" s="11"/>
      <c r="K5569" s="12">
        <v>0</v>
      </c>
      <c r="L5569" s="10" t="str">
        <f t="shared" si="250"/>
        <v>AM2M - PSIQUIATRÍA - Guía preguntas pacientes</v>
      </c>
      <c r="M5569" s="10" t="str">
        <f t="shared" si="251"/>
        <v>jllombart@crm.otsuka-europe.com</v>
      </c>
      <c r="N5569" s="13">
        <v>46223.373564814814</v>
      </c>
      <c r="O5569" s="14" t="str">
        <f>HYPERLINK("https://otsuka-europe-crm.veevavault.com/ui/#object/email_activity__v/V8C00000004B150", "EN-002106983")</f>
        <v>EN-002106983</v>
      </c>
    </row>
    <row r="5570" spans="1:15" ht="32" x14ac:dyDescent="0.2">
      <c r="A5570" s="7" t="str">
        <f>HYPERLINK("https://otsuka-europe-crm.veevavault.com/ui/#object/account__v/V4TZ06G6O71T7OU", "ROSA MARIA GABERNET FLORENSA")</f>
        <v>ROSA MARIA GABERNET FLORENSA</v>
      </c>
      <c r="B5570" s="7" t="str">
        <f t="shared" si="248"/>
        <v>ES</v>
      </c>
      <c r="C5570" s="8" t="s">
        <v>39</v>
      </c>
      <c r="D5570" s="9" t="str">
        <f t="shared" si="249"/>
        <v>AM2M - PSIQUIATRÍA - Guía preguntas pacientes</v>
      </c>
      <c r="E5570" s="10" t="str">
        <f>HYPERLINK("https://otsuka-europe-crm.veevavault.com/ui/#object/sent_email__v/VBL00000003A042", "SE-001444289")</f>
        <v>SE-001444289</v>
      </c>
      <c r="F5570" s="11"/>
      <c r="G5570" s="12">
        <v>0</v>
      </c>
      <c r="H5570" s="12">
        <v>0</v>
      </c>
      <c r="I5570" s="12">
        <v>0</v>
      </c>
      <c r="J5570" s="11"/>
      <c r="K5570" s="12">
        <v>0</v>
      </c>
      <c r="L5570" s="10" t="str">
        <f t="shared" si="250"/>
        <v>AM2M - PSIQUIATRÍA - Guía preguntas pacientes</v>
      </c>
      <c r="M5570" s="10" t="str">
        <f t="shared" si="251"/>
        <v>jllombart@crm.otsuka-europe.com</v>
      </c>
      <c r="N5570" s="13">
        <v>46223.373564814814</v>
      </c>
      <c r="O5570" s="14" t="str">
        <f>HYPERLINK("https://otsuka-europe-crm.veevavault.com/ui/#object/email_activity__v/V8C00000004B177", "EN-002107021")</f>
        <v>EN-002107021</v>
      </c>
    </row>
    <row r="5571" spans="1:15" ht="32" x14ac:dyDescent="0.2">
      <c r="A5571" s="7" t="str">
        <f>HYPERLINK("https://otsuka-europe-crm.veevavault.com/ui/#object/account__v/V4TZ06G6O71TBBT", "INES NIUBO DE CASTRO")</f>
        <v>INES NIUBO DE CASTRO</v>
      </c>
      <c r="B5571" s="7" t="str">
        <f t="shared" si="248"/>
        <v>ES</v>
      </c>
      <c r="C5571" s="8" t="s">
        <v>39</v>
      </c>
      <c r="D5571" s="9" t="str">
        <f t="shared" si="249"/>
        <v>AM2M - PSIQUIATRÍA - Guía preguntas pacientes</v>
      </c>
      <c r="E5571" s="10" t="str">
        <f>HYPERLINK("https://otsuka-europe-crm.veevavault.com/ui/#object/sent_email__v/VBL00000003A043", "SE-001444290")</f>
        <v>SE-001444290</v>
      </c>
      <c r="F5571" s="11"/>
      <c r="G5571" s="12">
        <v>0</v>
      </c>
      <c r="H5571" s="12">
        <v>0</v>
      </c>
      <c r="I5571" s="12">
        <v>0</v>
      </c>
      <c r="J5571" s="11"/>
      <c r="K5571" s="12">
        <v>0</v>
      </c>
      <c r="L5571" s="10" t="str">
        <f t="shared" si="250"/>
        <v>AM2M - PSIQUIATRÍA - Guía preguntas pacientes</v>
      </c>
      <c r="M5571" s="10" t="str">
        <f t="shared" si="251"/>
        <v>jllombart@crm.otsuka-europe.com</v>
      </c>
      <c r="N5571" s="13">
        <v>46223.373564814814</v>
      </c>
      <c r="O5571" s="14" t="str">
        <f>HYPERLINK("https://otsuka-europe-crm.veevavault.com/ui/#object/email_activity__v/V8C00000004C103", "EN-002106979")</f>
        <v>EN-002106979</v>
      </c>
    </row>
    <row r="5572" spans="1:15" ht="32" x14ac:dyDescent="0.2">
      <c r="A5572" s="7" t="str">
        <f>HYPERLINK("https://otsuka-europe-crm.veevavault.com/ui/#object/account__v/V4TZ025E82SP3FU", "ANNA CAÑELLAS SERRA")</f>
        <v>ANNA CAÑELLAS SERRA</v>
      </c>
      <c r="B5572" s="7" t="str">
        <f t="shared" si="248"/>
        <v>ES</v>
      </c>
      <c r="C5572" s="8" t="s">
        <v>39</v>
      </c>
      <c r="D5572" s="9" t="str">
        <f t="shared" si="249"/>
        <v>AM2M - PSIQUIATRÍA - Guía preguntas pacientes</v>
      </c>
      <c r="E5572" s="10" t="str">
        <f>HYPERLINK("https://otsuka-europe-crm.veevavault.com/ui/#object/sent_email__v/VBL00000003A044", "SE-001444291")</f>
        <v>SE-001444291</v>
      </c>
      <c r="F5572" s="11"/>
      <c r="G5572" s="12">
        <v>0</v>
      </c>
      <c r="H5572" s="12">
        <v>0</v>
      </c>
      <c r="I5572" s="12">
        <v>0</v>
      </c>
      <c r="J5572" s="11"/>
      <c r="K5572" s="12">
        <v>0</v>
      </c>
      <c r="L5572" s="10" t="str">
        <f t="shared" si="250"/>
        <v>AM2M - PSIQUIATRÍA - Guía preguntas pacientes</v>
      </c>
      <c r="M5572" s="10" t="str">
        <f t="shared" si="251"/>
        <v>jllombart@crm.otsuka-europe.com</v>
      </c>
      <c r="N5572" s="13">
        <v>46223.373564814814</v>
      </c>
      <c r="O5572" s="14" t="str">
        <f>HYPERLINK("https://otsuka-europe-crm.veevavault.com/ui/#object/email_activity__v/V8C00000004B116", "EN-002106933")</f>
        <v>EN-002106933</v>
      </c>
    </row>
    <row r="5573" spans="1:15" ht="16" x14ac:dyDescent="0.2">
      <c r="A5573" s="18" t="str">
        <f>HYPERLINK("https://otsuka-europe-crm.veevavault.com/ui/#object/account__v/V4T000000014044", "DAYANA PAOLA CADENA DOMINGUEZ")</f>
        <v>DAYANA PAOLA CADENA DOMINGUEZ</v>
      </c>
      <c r="B5573" s="18" t="str">
        <f t="shared" si="248"/>
        <v>ES</v>
      </c>
      <c r="C5573" s="20" t="s">
        <v>39</v>
      </c>
      <c r="D5573" s="21" t="str">
        <f t="shared" si="249"/>
        <v>AM2M - PSIQUIATRÍA - Guía preguntas pacientes</v>
      </c>
      <c r="E5573" s="22" t="str">
        <f>HYPERLINK("https://otsuka-europe-crm.veevavault.com/ui/#object/sent_email__v/VBL00000003A045", "SE-001444292")</f>
        <v>SE-001444292</v>
      </c>
      <c r="F5573" s="25">
        <v>46223.882523148146</v>
      </c>
      <c r="G5573" s="24">
        <v>1</v>
      </c>
      <c r="H5573" s="24">
        <v>4</v>
      </c>
      <c r="I5573" s="24">
        <v>0</v>
      </c>
      <c r="J5573" s="23"/>
      <c r="K5573" s="24">
        <v>0</v>
      </c>
      <c r="L5573" s="22" t="str">
        <f t="shared" si="250"/>
        <v>AM2M - PSIQUIATRÍA - Guía preguntas pacientes</v>
      </c>
      <c r="M5573" s="22" t="str">
        <f t="shared" si="251"/>
        <v>jllombart@crm.otsuka-europe.com</v>
      </c>
      <c r="N5573" s="25">
        <v>46223.373564814814</v>
      </c>
      <c r="O5573" s="14" t="str">
        <f>HYPERLINK("https://otsuka-europe-crm.veevavault.com/ui/#object/email_activity__v/V8C00000004B147", "EN-002106969")</f>
        <v>EN-002106969</v>
      </c>
    </row>
    <row r="5574" spans="1:15" ht="16" x14ac:dyDescent="0.2">
      <c r="A5574" s="26"/>
      <c r="B5574" s="26"/>
      <c r="C5574" s="26"/>
      <c r="D5574" s="26"/>
      <c r="E5574" s="26"/>
      <c r="F5574" s="26"/>
      <c r="G5574" s="26"/>
      <c r="H5574" s="26"/>
      <c r="I5574" s="26"/>
      <c r="J5574" s="26"/>
      <c r="K5574" s="26"/>
      <c r="L5574" s="26"/>
      <c r="M5574" s="26"/>
      <c r="N5574" s="26"/>
      <c r="O5574" s="14" t="str">
        <f>HYPERLINK("https://otsuka-europe-crm.veevavault.com/ui/#object/email_activity__v/V8C00000004B169", "EN-002107006")</f>
        <v>EN-002107006</v>
      </c>
    </row>
    <row r="5575" spans="1:15" ht="16" x14ac:dyDescent="0.2">
      <c r="A5575" s="26"/>
      <c r="B5575" s="26"/>
      <c r="C5575" s="26"/>
      <c r="D5575" s="26"/>
      <c r="E5575" s="26"/>
      <c r="F5575" s="26"/>
      <c r="G5575" s="26"/>
      <c r="H5575" s="26"/>
      <c r="I5575" s="26"/>
      <c r="J5575" s="26"/>
      <c r="K5575" s="26"/>
      <c r="L5575" s="26"/>
      <c r="M5575" s="26"/>
      <c r="N5575" s="26"/>
      <c r="O5575" s="14" t="str">
        <f>HYPERLINK("https://otsuka-europe-crm.veevavault.com/ui/#object/email_activity__v/V8C00000004B255", "EN-002107162")</f>
        <v>EN-002107162</v>
      </c>
    </row>
    <row r="5576" spans="1:15" ht="16" x14ac:dyDescent="0.2">
      <c r="A5576" s="26"/>
      <c r="B5576" s="26"/>
      <c r="C5576" s="26"/>
      <c r="D5576" s="26"/>
      <c r="E5576" s="26"/>
      <c r="F5576" s="26"/>
      <c r="G5576" s="26"/>
      <c r="H5576" s="26"/>
      <c r="I5576" s="26"/>
      <c r="J5576" s="26"/>
      <c r="K5576" s="26"/>
      <c r="L5576" s="26"/>
      <c r="M5576" s="26"/>
      <c r="N5576" s="26"/>
      <c r="O5576" s="14" t="str">
        <f>HYPERLINK("https://otsuka-europe-crm.veevavault.com/ui/#object/email_activity__v/V8C00000004B281", "EN-002107203")</f>
        <v>EN-002107203</v>
      </c>
    </row>
    <row r="5577" spans="1:15" ht="16" x14ac:dyDescent="0.2">
      <c r="A5577" s="19"/>
      <c r="B5577" s="19"/>
      <c r="C5577" s="19"/>
      <c r="D5577" s="19"/>
      <c r="E5577" s="19"/>
      <c r="F5577" s="19"/>
      <c r="G5577" s="19"/>
      <c r="H5577" s="19"/>
      <c r="I5577" s="19"/>
      <c r="J5577" s="19"/>
      <c r="K5577" s="19"/>
      <c r="L5577" s="19"/>
      <c r="M5577" s="19"/>
      <c r="N5577" s="19"/>
      <c r="O5577" s="14" t="str">
        <f>HYPERLINK("https://otsuka-europe-crm.veevavault.com/ui/#object/email_activity__v/V8C00000004C097", "EN-002106973")</f>
        <v>EN-002106973</v>
      </c>
    </row>
    <row r="5578" spans="1:15" ht="16" x14ac:dyDescent="0.2">
      <c r="A5578" s="18" t="str">
        <f>HYPERLINK("https://otsuka-europe-crm.veevavault.com/ui/#object/account__v/V4TZ06G6O71TCKY", "PALOMA VARELA CASAL")</f>
        <v>PALOMA VARELA CASAL</v>
      </c>
      <c r="B5578" s="18" t="str">
        <f>HYPERLINK("https://otsuka-europe-crm.veevavault.com/ui/#object/vcountry__v/VENZ000004SONF5", "ES")</f>
        <v>ES</v>
      </c>
      <c r="C5578" s="20" t="s">
        <v>39</v>
      </c>
      <c r="D5578" s="21" t="str">
        <f>HYPERLINK("https://otsuka-europe-crm.veevavault.com/ui/#object/approved_document__v/V5O000000001001", "AM2M - PSIQUIATRÍA - Guía preguntas pacientes")</f>
        <v>AM2M - PSIQUIATRÍA - Guía preguntas pacientes</v>
      </c>
      <c r="E5578" s="22" t="str">
        <f>HYPERLINK("https://otsuka-europe-crm.veevavault.com/ui/#object/sent_email__v/VBL00000003A046", "SE-001444293")</f>
        <v>SE-001444293</v>
      </c>
      <c r="F5578" s="25">
        <v>46223.373854166668</v>
      </c>
      <c r="G5578" s="24">
        <v>1</v>
      </c>
      <c r="H5578" s="24">
        <v>1</v>
      </c>
      <c r="I5578" s="24">
        <v>0</v>
      </c>
      <c r="J5578" s="23"/>
      <c r="K5578" s="24">
        <v>0</v>
      </c>
      <c r="L5578" s="22" t="str">
        <f>HYPERLINK("https://otsuka-europe-crm.veevavault.com/ui/#object/approved_document__v/V5O000000001001", "AM2M - PSIQUIATRÍA - Guía preguntas pacientes")</f>
        <v>AM2M - PSIQUIATRÍA - Guía preguntas pacientes</v>
      </c>
      <c r="M5578" s="22" t="str">
        <f>HYPERLINK("mailto:jllombart@crm.otsuka-europe.com", "jllombart@crm.otsuka-europe.com")</f>
        <v>jllombart@crm.otsuka-europe.com</v>
      </c>
      <c r="N5578" s="25">
        <v>46223.373564814814</v>
      </c>
      <c r="O5578" s="14" t="str">
        <f>HYPERLINK("https://otsuka-europe-crm.veevavault.com/ui/#object/email_activity__v/V8C00000004B276", "EN-002107198")</f>
        <v>EN-002107198</v>
      </c>
    </row>
    <row r="5579" spans="1:15" ht="16" x14ac:dyDescent="0.2">
      <c r="A5579" s="26"/>
      <c r="B5579" s="26"/>
      <c r="C5579" s="26"/>
      <c r="D5579" s="26"/>
      <c r="E5579" s="26"/>
      <c r="F5579" s="26"/>
      <c r="G5579" s="26"/>
      <c r="H5579" s="26"/>
      <c r="I5579" s="26"/>
      <c r="J5579" s="26"/>
      <c r="K5579" s="26"/>
      <c r="L5579" s="26"/>
      <c r="M5579" s="26"/>
      <c r="N5579" s="26"/>
      <c r="O5579" s="14" t="str">
        <f>HYPERLINK("https://otsuka-europe-crm.veevavault.com/ui/#object/email_activity__v/V8C00000004C095", "EN-002106971")</f>
        <v>EN-002106971</v>
      </c>
    </row>
    <row r="5580" spans="1:15" ht="16" x14ac:dyDescent="0.2">
      <c r="A5580" s="19"/>
      <c r="B5580" s="19"/>
      <c r="C5580" s="19"/>
      <c r="D5580" s="19"/>
      <c r="E5580" s="19"/>
      <c r="F5580" s="19"/>
      <c r="G5580" s="19"/>
      <c r="H5580" s="19"/>
      <c r="I5580" s="19"/>
      <c r="J5580" s="19"/>
      <c r="K5580" s="19"/>
      <c r="L5580" s="19"/>
      <c r="M5580" s="19"/>
      <c r="N5580" s="19"/>
      <c r="O5580" s="14" t="str">
        <f>HYPERLINK("https://otsuka-europe-crm.veevavault.com/ui/#object/email_activity__v/V8C00000004C108", "EN-002107002")</f>
        <v>EN-002107002</v>
      </c>
    </row>
    <row r="5581" spans="1:15" ht="32" x14ac:dyDescent="0.2">
      <c r="A5581" s="7" t="str">
        <f>HYPERLINK("https://otsuka-europe-crm.veevavault.com/ui/#object/account__v/V4TZ06G6O71TCJM", "DAVID URBANO DEL TESO")</f>
        <v>DAVID URBANO DEL TESO</v>
      </c>
      <c r="B5581" s="7" t="str">
        <f t="shared" ref="B5581:B5588" si="252">HYPERLINK("https://otsuka-europe-crm.veevavault.com/ui/#object/vcountry__v/VENZ000004SONF5", "ES")</f>
        <v>ES</v>
      </c>
      <c r="C5581" s="8" t="s">
        <v>39</v>
      </c>
      <c r="D5581" s="9" t="str">
        <f t="shared" ref="D5581:D5588" si="253">HYPERLINK("https://otsuka-europe-crm.veevavault.com/ui/#object/approved_document__v/V5O000000001001", "AM2M - PSIQUIATRÍA - Guía preguntas pacientes")</f>
        <v>AM2M - PSIQUIATRÍA - Guía preguntas pacientes</v>
      </c>
      <c r="E5581" s="10" t="str">
        <f>HYPERLINK("https://otsuka-europe-crm.veevavault.com/ui/#object/sent_email__v/VBL00000003A047", "SE-001444294")</f>
        <v>SE-001444294</v>
      </c>
      <c r="F5581" s="11"/>
      <c r="G5581" s="12">
        <v>0</v>
      </c>
      <c r="H5581" s="12">
        <v>0</v>
      </c>
      <c r="I5581" s="12">
        <v>0</v>
      </c>
      <c r="J5581" s="11"/>
      <c r="K5581" s="12">
        <v>0</v>
      </c>
      <c r="L5581" s="10" t="str">
        <f t="shared" ref="L5581:L5588" si="254">HYPERLINK("https://otsuka-europe-crm.veevavault.com/ui/#object/approved_document__v/V5O000000001001", "AM2M - PSIQUIATRÍA - Guía preguntas pacientes")</f>
        <v>AM2M - PSIQUIATRÍA - Guía preguntas pacientes</v>
      </c>
      <c r="M5581" s="10" t="str">
        <f t="shared" ref="M5581:M5588" si="255">HYPERLINK("mailto:jllombart@crm.otsuka-europe.com", "jllombart@crm.otsuka-europe.com")</f>
        <v>jllombart@crm.otsuka-europe.com</v>
      </c>
      <c r="N5581" s="13">
        <v>46223.373564814814</v>
      </c>
      <c r="O5581" s="14" t="str">
        <f>HYPERLINK("https://otsuka-europe-crm.veevavault.com/ui/#object/email_activity__v/V8C00000004C091", "EN-002106945")</f>
        <v>EN-002106945</v>
      </c>
    </row>
    <row r="5582" spans="1:15" ht="32" x14ac:dyDescent="0.2">
      <c r="A5582" s="7" t="str">
        <f>HYPERLINK("https://otsuka-europe-crm.veevavault.com/ui/#object/account__v/V4TZ06G6O8NWLWL", "MARIA JOSE SUELT COCK")</f>
        <v>MARIA JOSE SUELT COCK</v>
      </c>
      <c r="B5582" s="7" t="str">
        <f t="shared" si="252"/>
        <v>ES</v>
      </c>
      <c r="C5582" s="8" t="s">
        <v>39</v>
      </c>
      <c r="D5582" s="9" t="str">
        <f t="shared" si="253"/>
        <v>AM2M - PSIQUIATRÍA - Guía preguntas pacientes</v>
      </c>
      <c r="E5582" s="10" t="str">
        <f>HYPERLINK("https://otsuka-europe-crm.veevavault.com/ui/#object/sent_email__v/VBL00000003A048", "SE-001444295")</f>
        <v>SE-001444295</v>
      </c>
      <c r="F5582" s="11"/>
      <c r="G5582" s="12">
        <v>0</v>
      </c>
      <c r="H5582" s="12">
        <v>0</v>
      </c>
      <c r="I5582" s="12">
        <v>0</v>
      </c>
      <c r="J5582" s="11"/>
      <c r="K5582" s="12">
        <v>0</v>
      </c>
      <c r="L5582" s="10" t="str">
        <f t="shared" si="254"/>
        <v>AM2M - PSIQUIATRÍA - Guía preguntas pacientes</v>
      </c>
      <c r="M5582" s="10" t="str">
        <f t="shared" si="255"/>
        <v>jllombart@crm.otsuka-europe.com</v>
      </c>
      <c r="N5582" s="13">
        <v>46223.373564814814</v>
      </c>
      <c r="O5582" s="14" t="str">
        <f>HYPERLINK("https://otsuka-europe-crm.veevavault.com/ui/#object/email_activity__v/V8C00000004B113", "EN-002106930")</f>
        <v>EN-002106930</v>
      </c>
    </row>
    <row r="5583" spans="1:15" ht="32" x14ac:dyDescent="0.2">
      <c r="A5583" s="7" t="str">
        <f>HYPERLINK("https://otsuka-europe-crm.veevavault.com/ui/#object/account__v/V4TZ06G6O71TKGK", "INTI ITATI NEY DIAZ")</f>
        <v>INTI ITATI NEY DIAZ</v>
      </c>
      <c r="B5583" s="7" t="str">
        <f t="shared" si="252"/>
        <v>ES</v>
      </c>
      <c r="C5583" s="8" t="s">
        <v>39</v>
      </c>
      <c r="D5583" s="9" t="str">
        <f t="shared" si="253"/>
        <v>AM2M - PSIQUIATRÍA - Guía preguntas pacientes</v>
      </c>
      <c r="E5583" s="10" t="str">
        <f>HYPERLINK("https://otsuka-europe-crm.veevavault.com/ui/#object/sent_email__v/VBL00000003A049", "SE-001444296")</f>
        <v>SE-001444296</v>
      </c>
      <c r="F5583" s="11"/>
      <c r="G5583" s="12">
        <v>0</v>
      </c>
      <c r="H5583" s="12">
        <v>0</v>
      </c>
      <c r="I5583" s="12">
        <v>0</v>
      </c>
      <c r="J5583" s="11"/>
      <c r="K5583" s="12">
        <v>0</v>
      </c>
      <c r="L5583" s="10" t="str">
        <f t="shared" si="254"/>
        <v>AM2M - PSIQUIATRÍA - Guía preguntas pacientes</v>
      </c>
      <c r="M5583" s="10" t="str">
        <f t="shared" si="255"/>
        <v>jllombart@crm.otsuka-europe.com</v>
      </c>
      <c r="N5583" s="13">
        <v>46223.373564814814</v>
      </c>
      <c r="O5583" s="14" t="str">
        <f>HYPERLINK("https://otsuka-europe-crm.veevavault.com/ui/#object/email_activity__v/V8C00000004C093", "EN-002106947")</f>
        <v>EN-002106947</v>
      </c>
    </row>
    <row r="5584" spans="1:15" ht="32" x14ac:dyDescent="0.2">
      <c r="A5584" s="7" t="str">
        <f>HYPERLINK("https://otsuka-europe-crm.veevavault.com/ui/#object/account__v/V4TZ025E86JQC7Y", "JONATHAN CARLOS TORCHIO CASAIS")</f>
        <v>JONATHAN CARLOS TORCHIO CASAIS</v>
      </c>
      <c r="B5584" s="7" t="str">
        <f t="shared" si="252"/>
        <v>ES</v>
      </c>
      <c r="C5584" s="8" t="s">
        <v>39</v>
      </c>
      <c r="D5584" s="9" t="str">
        <f t="shared" si="253"/>
        <v>AM2M - PSIQUIATRÍA - Guía preguntas pacientes</v>
      </c>
      <c r="E5584" s="10" t="str">
        <f>HYPERLINK("https://otsuka-europe-crm.veevavault.com/ui/#object/sent_email__v/VBL00000003A050", "SE-001444297")</f>
        <v>SE-001444297</v>
      </c>
      <c r="F5584" s="11"/>
      <c r="G5584" s="12">
        <v>0</v>
      </c>
      <c r="H5584" s="12">
        <v>0</v>
      </c>
      <c r="I5584" s="12">
        <v>0</v>
      </c>
      <c r="J5584" s="11"/>
      <c r="K5584" s="12">
        <v>0</v>
      </c>
      <c r="L5584" s="10" t="str">
        <f t="shared" si="254"/>
        <v>AM2M - PSIQUIATRÍA - Guía preguntas pacientes</v>
      </c>
      <c r="M5584" s="10" t="str">
        <f t="shared" si="255"/>
        <v>jllombart@crm.otsuka-europe.com</v>
      </c>
      <c r="N5584" s="13">
        <v>46223.373564814814</v>
      </c>
      <c r="O5584" s="14" t="str">
        <f>HYPERLINK("https://otsuka-europe-crm.veevavault.com/ui/#object/email_activity__v/V8C00000004B151", "EN-002106984")</f>
        <v>EN-002106984</v>
      </c>
    </row>
    <row r="5585" spans="1:15" ht="32" x14ac:dyDescent="0.2">
      <c r="A5585" s="7" t="str">
        <f>HYPERLINK("https://otsuka-europe-crm.veevavault.com/ui/#object/account__v/V4TZ06G6O71T7HR", "MIREIA RIUS TEIXIDO")</f>
        <v>MIREIA RIUS TEIXIDO</v>
      </c>
      <c r="B5585" s="7" t="str">
        <f t="shared" si="252"/>
        <v>ES</v>
      </c>
      <c r="C5585" s="8" t="s">
        <v>39</v>
      </c>
      <c r="D5585" s="9" t="str">
        <f t="shared" si="253"/>
        <v>AM2M - PSIQUIATRÍA - Guía preguntas pacientes</v>
      </c>
      <c r="E5585" s="10" t="str">
        <f>HYPERLINK("https://otsuka-europe-crm.veevavault.com/ui/#object/sent_email__v/VBL00000003A051", "SE-001444298")</f>
        <v>SE-001444298</v>
      </c>
      <c r="F5585" s="11"/>
      <c r="G5585" s="12">
        <v>0</v>
      </c>
      <c r="H5585" s="12">
        <v>0</v>
      </c>
      <c r="I5585" s="12">
        <v>0</v>
      </c>
      <c r="J5585" s="11"/>
      <c r="K5585" s="12">
        <v>0</v>
      </c>
      <c r="L5585" s="10" t="str">
        <f t="shared" si="254"/>
        <v>AM2M - PSIQUIATRÍA - Guía preguntas pacientes</v>
      </c>
      <c r="M5585" s="10" t="str">
        <f t="shared" si="255"/>
        <v>jllombart@crm.otsuka-europe.com</v>
      </c>
      <c r="N5585" s="13">
        <v>46223.373564814814</v>
      </c>
      <c r="O5585" s="14" t="str">
        <f>HYPERLINK("https://otsuka-europe-crm.veevavault.com/ui/#object/email_activity__v/V8C00000004B136", "EN-002106958")</f>
        <v>EN-002106958</v>
      </c>
    </row>
    <row r="5586" spans="1:15" ht="32" x14ac:dyDescent="0.2">
      <c r="A5586" s="7" t="str">
        <f>HYPERLINK("https://otsuka-europe-crm.veevavault.com/ui/#object/account__v/V4TZ06G6O71T96L", "MARIA YOLANDA ALONSO PEREZ")</f>
        <v>MARIA YOLANDA ALONSO PEREZ</v>
      </c>
      <c r="B5586" s="7" t="str">
        <f t="shared" si="252"/>
        <v>ES</v>
      </c>
      <c r="C5586" s="8" t="s">
        <v>39</v>
      </c>
      <c r="D5586" s="9" t="str">
        <f t="shared" si="253"/>
        <v>AM2M - PSIQUIATRÍA - Guía preguntas pacientes</v>
      </c>
      <c r="E5586" s="10" t="str">
        <f>HYPERLINK("https://otsuka-europe-crm.veevavault.com/ui/#object/sent_email__v/VBL00000003A052", "SE-001444299")</f>
        <v>SE-001444299</v>
      </c>
      <c r="F5586" s="11"/>
      <c r="G5586" s="12">
        <v>0</v>
      </c>
      <c r="H5586" s="12">
        <v>0</v>
      </c>
      <c r="I5586" s="12">
        <v>0</v>
      </c>
      <c r="J5586" s="11"/>
      <c r="K5586" s="12">
        <v>0</v>
      </c>
      <c r="L5586" s="10" t="str">
        <f t="shared" si="254"/>
        <v>AM2M - PSIQUIATRÍA - Guía preguntas pacientes</v>
      </c>
      <c r="M5586" s="10" t="str">
        <f t="shared" si="255"/>
        <v>jllombart@crm.otsuka-europe.com</v>
      </c>
      <c r="N5586" s="13">
        <v>46223.373564814814</v>
      </c>
      <c r="O5586" s="14" t="str">
        <f>HYPERLINK("https://otsuka-europe-crm.veevavault.com/ui/#object/email_activity__v/V8C00000004B143", "EN-002106965")</f>
        <v>EN-002106965</v>
      </c>
    </row>
    <row r="5587" spans="1:15" ht="32" x14ac:dyDescent="0.2">
      <c r="A5587" s="7" t="str">
        <f>HYPERLINK("https://otsuka-europe-crm.veevavault.com/ui/#object/account__v/V4T00000002B061", "JUDITH MARTIN CASTILLO")</f>
        <v>JUDITH MARTIN CASTILLO</v>
      </c>
      <c r="B5587" s="7" t="str">
        <f t="shared" si="252"/>
        <v>ES</v>
      </c>
      <c r="C5587" s="8" t="s">
        <v>39</v>
      </c>
      <c r="D5587" s="9" t="str">
        <f t="shared" si="253"/>
        <v>AM2M - PSIQUIATRÍA - Guía preguntas pacientes</v>
      </c>
      <c r="E5587" s="10" t="str">
        <f>HYPERLINK("https://otsuka-europe-crm.veevavault.com/ui/#object/sent_email__v/VBL00000003A053", "SE-001444300")</f>
        <v>SE-001444300</v>
      </c>
      <c r="F5587" s="11"/>
      <c r="G5587" s="12">
        <v>0</v>
      </c>
      <c r="H5587" s="12">
        <v>0</v>
      </c>
      <c r="I5587" s="12">
        <v>0</v>
      </c>
      <c r="J5587" s="11"/>
      <c r="K5587" s="12">
        <v>0</v>
      </c>
      <c r="L5587" s="10" t="str">
        <f t="shared" si="254"/>
        <v>AM2M - PSIQUIATRÍA - Guía preguntas pacientes</v>
      </c>
      <c r="M5587" s="10" t="str">
        <f t="shared" si="255"/>
        <v>jllombart@crm.otsuka-europe.com</v>
      </c>
      <c r="N5587" s="13">
        <v>46223.373564814814</v>
      </c>
      <c r="O5587" s="14" t="str">
        <f>HYPERLINK("https://otsuka-europe-crm.veevavault.com/ui/#object/email_activity__v/V8C00000004B157", "EN-002106990")</f>
        <v>EN-002106990</v>
      </c>
    </row>
    <row r="5588" spans="1:15" ht="16" x14ac:dyDescent="0.2">
      <c r="A5588" s="18" t="str">
        <f>HYPERLINK("https://otsuka-europe-crm.veevavault.com/ui/#object/account__v/V4TZ04ASG6ZKO70", "CLAUDIA XIMENA RANGEL GARZON")</f>
        <v>CLAUDIA XIMENA RANGEL GARZON</v>
      </c>
      <c r="B5588" s="18" t="str">
        <f t="shared" si="252"/>
        <v>ES</v>
      </c>
      <c r="C5588" s="20" t="s">
        <v>39</v>
      </c>
      <c r="D5588" s="21" t="str">
        <f t="shared" si="253"/>
        <v>AM2M - PSIQUIATRÍA - Guía preguntas pacientes</v>
      </c>
      <c r="E5588" s="22" t="str">
        <f>HYPERLINK("https://otsuka-europe-crm.veevavault.com/ui/#object/sent_email__v/VBL00000003A054", "SE-001444301")</f>
        <v>SE-001444301</v>
      </c>
      <c r="F5588" s="23"/>
      <c r="G5588" s="24">
        <v>0</v>
      </c>
      <c r="H5588" s="24">
        <v>0</v>
      </c>
      <c r="I5588" s="24">
        <v>0</v>
      </c>
      <c r="J5588" s="23"/>
      <c r="K5588" s="24">
        <v>0</v>
      </c>
      <c r="L5588" s="22" t="str">
        <f t="shared" si="254"/>
        <v>AM2M - PSIQUIATRÍA - Guía preguntas pacientes</v>
      </c>
      <c r="M5588" s="22" t="str">
        <f t="shared" si="255"/>
        <v>jllombart@crm.otsuka-europe.com</v>
      </c>
      <c r="N5588" s="25">
        <v>46223.373564814814</v>
      </c>
      <c r="O5588" s="14" t="str">
        <f>HYPERLINK("https://otsuka-europe-crm.veevavault.com/ui/#object/email_activity__v/V8C00000004B122", "EN-002106939")</f>
        <v>EN-002106939</v>
      </c>
    </row>
    <row r="5589" spans="1:15" ht="16" x14ac:dyDescent="0.2">
      <c r="A5589" s="26"/>
      <c r="B5589" s="26"/>
      <c r="C5589" s="26"/>
      <c r="D5589" s="26"/>
      <c r="E5589" s="26"/>
      <c r="F5589" s="26"/>
      <c r="G5589" s="26"/>
      <c r="H5589" s="26"/>
      <c r="I5589" s="26"/>
      <c r="J5589" s="26"/>
      <c r="K5589" s="26"/>
      <c r="L5589" s="26"/>
      <c r="M5589" s="26"/>
      <c r="N5589" s="26"/>
      <c r="O5589" s="14" t="str">
        <f>HYPERLINK("https://otsuka-europe-crm.veevavault.com/ui/#object/email_activity__v/V8C00000004B205", "EN-002107063")</f>
        <v>EN-002107063</v>
      </c>
    </row>
    <row r="5590" spans="1:15" ht="16" x14ac:dyDescent="0.2">
      <c r="A5590" s="19"/>
      <c r="B5590" s="19"/>
      <c r="C5590" s="19"/>
      <c r="D5590" s="19"/>
      <c r="E5590" s="19"/>
      <c r="F5590" s="19"/>
      <c r="G5590" s="19"/>
      <c r="H5590" s="19"/>
      <c r="I5590" s="19"/>
      <c r="J5590" s="19"/>
      <c r="K5590" s="19"/>
      <c r="L5590" s="19"/>
      <c r="M5590" s="19"/>
      <c r="N5590" s="19"/>
      <c r="O5590" s="14" t="str">
        <f>HYPERLINK("https://otsuka-europe-crm.veevavault.com/ui/#object/email_activity__v/V8C00000004C168", "EN-002107138")</f>
        <v>EN-002107138</v>
      </c>
    </row>
    <row r="5591" spans="1:15" ht="16" x14ac:dyDescent="0.2">
      <c r="A5591" s="18" t="str">
        <f>HYPERLINK("https://otsuka-europe-crm.veevavault.com/ui/#object/account__v/V4TZ06G6O71TCN1", "CARMEN ZAPATER CARRASCO")</f>
        <v>CARMEN ZAPATER CARRASCO</v>
      </c>
      <c r="B5591" s="18" t="str">
        <f>HYPERLINK("https://otsuka-europe-crm.veevavault.com/ui/#object/vcountry__v/VENZ000004SONF5", "ES")</f>
        <v>ES</v>
      </c>
      <c r="C5591" s="20" t="s">
        <v>39</v>
      </c>
      <c r="D5591" s="21" t="str">
        <f>HYPERLINK("https://otsuka-europe-crm.veevavault.com/ui/#object/approved_document__v/V5O000000001001", "AM2M - PSIQUIATRÍA - Guía preguntas pacientes")</f>
        <v>AM2M - PSIQUIATRÍA - Guía preguntas pacientes</v>
      </c>
      <c r="E5591" s="22" t="str">
        <f>HYPERLINK("https://otsuka-europe-crm.veevavault.com/ui/#object/sent_email__v/VBL00000003A055", "SE-001444302")</f>
        <v>SE-001444302</v>
      </c>
      <c r="F5591" s="25">
        <v>46236.430324074077</v>
      </c>
      <c r="G5591" s="24">
        <v>1</v>
      </c>
      <c r="H5591" s="24">
        <v>1</v>
      </c>
      <c r="I5591" s="24">
        <v>0</v>
      </c>
      <c r="J5591" s="23"/>
      <c r="K5591" s="24">
        <v>0</v>
      </c>
      <c r="L5591" s="22" t="str">
        <f>HYPERLINK("https://otsuka-europe-crm.veevavault.com/ui/#object/approved_document__v/V5O000000001001", "AM2M - PSIQUIATRÍA - Guía preguntas pacientes")</f>
        <v>AM2M - PSIQUIATRÍA - Guía preguntas pacientes</v>
      </c>
      <c r="M5591" s="22" t="str">
        <f>HYPERLINK("mailto:jllombart@crm.otsuka-europe.com", "jllombart@crm.otsuka-europe.com")</f>
        <v>jllombart@crm.otsuka-europe.com</v>
      </c>
      <c r="N5591" s="25">
        <v>46223.373564814814</v>
      </c>
      <c r="O5591" s="14" t="str">
        <f>HYPERLINK("https://otsuka-europe-crm.veevavault.com/ui/#object/email_activity__v/V8C00000004B139", "EN-002106961")</f>
        <v>EN-002106961</v>
      </c>
    </row>
    <row r="5592" spans="1:15" ht="16" x14ac:dyDescent="0.2">
      <c r="A5592" s="19"/>
      <c r="B5592" s="19"/>
      <c r="C5592" s="19"/>
      <c r="D5592" s="19"/>
      <c r="E5592" s="19"/>
      <c r="F5592" s="19"/>
      <c r="G5592" s="19"/>
      <c r="H5592" s="19"/>
      <c r="I5592" s="19"/>
      <c r="J5592" s="19"/>
      <c r="K5592" s="19"/>
      <c r="L5592" s="19"/>
      <c r="M5592" s="19"/>
      <c r="N5592" s="19"/>
      <c r="O5592" s="14" t="str">
        <f>HYPERLINK("https://otsuka-europe-crm.veevavault.com/ui/#object/email_activity__v/V8C00000004H091", "EN-002111102")</f>
        <v>EN-002111102</v>
      </c>
    </row>
    <row r="5593" spans="1:15" ht="32" x14ac:dyDescent="0.2">
      <c r="A5593" s="7" t="str">
        <f>HYPERLINK("https://otsuka-europe-crm.veevavault.com/ui/#object/account__v/V4TZ025E87AOCO1", "JULIA DE MAS SOLER")</f>
        <v>JULIA DE MAS SOLER</v>
      </c>
      <c r="B5593" s="7" t="str">
        <f>HYPERLINK("https://otsuka-europe-crm.veevavault.com/ui/#object/vcountry__v/VENZ000004SONF5", "ES")</f>
        <v>ES</v>
      </c>
      <c r="C5593" s="8" t="s">
        <v>39</v>
      </c>
      <c r="D5593" s="9" t="str">
        <f>HYPERLINK("https://otsuka-europe-crm.veevavault.com/ui/#object/approved_document__v/V5O000000001001", "AM2M - PSIQUIATRÍA - Guía preguntas pacientes")</f>
        <v>AM2M - PSIQUIATRÍA - Guía preguntas pacientes</v>
      </c>
      <c r="E5593" s="10" t="str">
        <f>HYPERLINK("https://otsuka-europe-crm.veevavault.com/ui/#object/sent_email__v/VBL00000003A056", "SE-001444303")</f>
        <v>SE-001444303</v>
      </c>
      <c r="F5593" s="11"/>
      <c r="G5593" s="12">
        <v>0</v>
      </c>
      <c r="H5593" s="12">
        <v>0</v>
      </c>
      <c r="I5593" s="12">
        <v>0</v>
      </c>
      <c r="J5593" s="11"/>
      <c r="K5593" s="12">
        <v>0</v>
      </c>
      <c r="L5593" s="10" t="str">
        <f>HYPERLINK("https://otsuka-europe-crm.veevavault.com/ui/#object/approved_document__v/V5O000000001001", "AM2M - PSIQUIATRÍA - Guía preguntas pacientes")</f>
        <v>AM2M - PSIQUIATRÍA - Guía preguntas pacientes</v>
      </c>
      <c r="M5593" s="10" t="str">
        <f>HYPERLINK("mailto:jllombart@crm.otsuka-europe.com", "jllombart@crm.otsuka-europe.com")</f>
        <v>jllombart@crm.otsuka-europe.com</v>
      </c>
      <c r="N5593" s="13">
        <v>46223.373564814814</v>
      </c>
      <c r="O5593" s="14" t="str">
        <f>HYPERLINK("https://otsuka-europe-crm.veevavault.com/ui/#object/email_activity__v/V8C00000004C099", "EN-002106975")</f>
        <v>EN-002106975</v>
      </c>
    </row>
    <row r="5594" spans="1:15" ht="32" x14ac:dyDescent="0.2">
      <c r="A5594" s="7" t="str">
        <f>HYPERLINK("https://otsuka-europe-crm.veevavault.com/ui/#object/account__v/V4TZ06G6O71U93X", "NICOLAS DELUCCA LUQUES")</f>
        <v>NICOLAS DELUCCA LUQUES</v>
      </c>
      <c r="B5594" s="7" t="str">
        <f>HYPERLINK("https://otsuka-europe-crm.veevavault.com/ui/#object/vcountry__v/VENZ000004SONF5", "ES")</f>
        <v>ES</v>
      </c>
      <c r="C5594" s="8" t="s">
        <v>39</v>
      </c>
      <c r="D5594" s="9" t="str">
        <f>HYPERLINK("https://otsuka-europe-crm.veevavault.com/ui/#object/approved_document__v/V5O000000001001", "AM2M - PSIQUIATRÍA - Guía preguntas pacientes")</f>
        <v>AM2M - PSIQUIATRÍA - Guía preguntas pacientes</v>
      </c>
      <c r="E5594" s="10" t="str">
        <f>HYPERLINK("https://otsuka-europe-crm.veevavault.com/ui/#object/sent_email__v/VBL00000003A057", "SE-001444304")</f>
        <v>SE-001444304</v>
      </c>
      <c r="F5594" s="11"/>
      <c r="G5594" s="12">
        <v>0</v>
      </c>
      <c r="H5594" s="12">
        <v>0</v>
      </c>
      <c r="I5594" s="12">
        <v>0</v>
      </c>
      <c r="J5594" s="11"/>
      <c r="K5594" s="12">
        <v>0</v>
      </c>
      <c r="L5594" s="10" t="str">
        <f>HYPERLINK("https://otsuka-europe-crm.veevavault.com/ui/#object/approved_document__v/V5O000000001001", "AM2M - PSIQUIATRÍA - Guía preguntas pacientes")</f>
        <v>AM2M - PSIQUIATRÍA - Guía preguntas pacientes</v>
      </c>
      <c r="M5594" s="10" t="str">
        <f>HYPERLINK("mailto:jllombart@crm.otsuka-europe.com", "jllombart@crm.otsuka-europe.com")</f>
        <v>jllombart@crm.otsuka-europe.com</v>
      </c>
      <c r="N5594" s="13">
        <v>46223.373564814814</v>
      </c>
      <c r="O5594" s="14" t="str">
        <f>HYPERLINK("https://otsuka-europe-crm.veevavault.com/ui/#object/email_activity__v/V8C00000004B145", "EN-002106967")</f>
        <v>EN-002106967</v>
      </c>
    </row>
    <row r="5595" spans="1:15" ht="16" x14ac:dyDescent="0.2">
      <c r="A5595" s="18" t="str">
        <f>HYPERLINK("https://otsuka-europe-crm.veevavault.com/ui/#object/account__v/V4TZ06G6O71T7WM", "ROSA MARIA MARINE RUBIO")</f>
        <v>ROSA MARIA MARINE RUBIO</v>
      </c>
      <c r="B5595" s="18" t="str">
        <f>HYPERLINK("https://otsuka-europe-crm.veevavault.com/ui/#object/vcountry__v/VENZ000004SONF5", "ES")</f>
        <v>ES</v>
      </c>
      <c r="C5595" s="20" t="s">
        <v>39</v>
      </c>
      <c r="D5595" s="21" t="str">
        <f>HYPERLINK("https://otsuka-europe-crm.veevavault.com/ui/#object/approved_document__v/V5O000000001001", "AM2M - PSIQUIATRÍA - Guía preguntas pacientes")</f>
        <v>AM2M - PSIQUIATRÍA - Guía preguntas pacientes</v>
      </c>
      <c r="E5595" s="22" t="str">
        <f>HYPERLINK("https://otsuka-europe-crm.veevavault.com/ui/#object/sent_email__v/VBL00000003A058", "SE-001444305")</f>
        <v>SE-001444305</v>
      </c>
      <c r="F5595" s="23"/>
      <c r="G5595" s="24">
        <v>0</v>
      </c>
      <c r="H5595" s="24">
        <v>0</v>
      </c>
      <c r="I5595" s="24">
        <v>0</v>
      </c>
      <c r="J5595" s="23"/>
      <c r="K5595" s="24">
        <v>0</v>
      </c>
      <c r="L5595" s="22" t="str">
        <f>HYPERLINK("https://otsuka-europe-crm.veevavault.com/ui/#object/approved_document__v/V5O000000001001", "AM2M - PSIQUIATRÍA - Guía preguntas pacientes")</f>
        <v>AM2M - PSIQUIATRÍA - Guía preguntas pacientes</v>
      </c>
      <c r="M5595" s="22" t="str">
        <f>HYPERLINK("mailto:jllombart@crm.otsuka-europe.com", "jllombart@crm.otsuka-europe.com")</f>
        <v>jllombart@crm.otsuka-europe.com</v>
      </c>
      <c r="N5595" s="25">
        <v>46223.373564814814</v>
      </c>
      <c r="O5595" s="14" t="str">
        <f>HYPERLINK("https://otsuka-europe-crm.veevavault.com/ui/#object/email_activity__v/V8C00000004B138", "EN-002106960")</f>
        <v>EN-002106960</v>
      </c>
    </row>
    <row r="5596" spans="1:15" ht="16" x14ac:dyDescent="0.2">
      <c r="A5596" s="19"/>
      <c r="B5596" s="19"/>
      <c r="C5596" s="19"/>
      <c r="D5596" s="19"/>
      <c r="E5596" s="19"/>
      <c r="F5596" s="19"/>
      <c r="G5596" s="19"/>
      <c r="H5596" s="19"/>
      <c r="I5596" s="19"/>
      <c r="J5596" s="19"/>
      <c r="K5596" s="19"/>
      <c r="L5596" s="19"/>
      <c r="M5596" s="19"/>
      <c r="N5596" s="19"/>
      <c r="O5596" s="14" t="str">
        <f>HYPERLINK("https://otsuka-europe-crm.veevavault.com/ui/#object/email_activity__v/V8C00000004B755", "EN-002107980")</f>
        <v>EN-002107980</v>
      </c>
    </row>
    <row r="5597" spans="1:15" ht="32" x14ac:dyDescent="0.2">
      <c r="A5597" s="7" t="str">
        <f>HYPERLINK("https://otsuka-europe-crm.veevavault.com/ui/#object/account__v/V4TZ06G6O71TCDW", "MONTSERRAT SOLE MOIX")</f>
        <v>MONTSERRAT SOLE MOIX</v>
      </c>
      <c r="B5597" s="7" t="str">
        <f>HYPERLINK("https://otsuka-europe-crm.veevavault.com/ui/#object/vcountry__v/VENZ000004SONF5", "ES")</f>
        <v>ES</v>
      </c>
      <c r="C5597" s="8" t="s">
        <v>39</v>
      </c>
      <c r="D5597" s="9" t="str">
        <f>HYPERLINK("https://otsuka-europe-crm.veevavault.com/ui/#object/approved_document__v/V5O000000001001", "AM2M - PSIQUIATRÍA - Guía preguntas pacientes")</f>
        <v>AM2M - PSIQUIATRÍA - Guía preguntas pacientes</v>
      </c>
      <c r="E5597" s="10" t="str">
        <f>HYPERLINK("https://otsuka-europe-crm.veevavault.com/ui/#object/sent_email__v/VBL00000003A059", "SE-001444306")</f>
        <v>SE-001444306</v>
      </c>
      <c r="F5597" s="11"/>
      <c r="G5597" s="12">
        <v>0</v>
      </c>
      <c r="H5597" s="12">
        <v>0</v>
      </c>
      <c r="I5597" s="12">
        <v>0</v>
      </c>
      <c r="J5597" s="11"/>
      <c r="K5597" s="12">
        <v>0</v>
      </c>
      <c r="L5597" s="10" t="str">
        <f>HYPERLINK("https://otsuka-europe-crm.veevavault.com/ui/#object/approved_document__v/V5O000000001001", "AM2M - PSIQUIATRÍA - Guía preguntas pacientes")</f>
        <v>AM2M - PSIQUIATRÍA - Guía preguntas pacientes</v>
      </c>
      <c r="M5597" s="10" t="str">
        <f>HYPERLINK("mailto:jllombart@crm.otsuka-europe.com", "jllombart@crm.otsuka-europe.com")</f>
        <v>jllombart@crm.otsuka-europe.com</v>
      </c>
      <c r="N5597" s="13">
        <v>46223.373564814814</v>
      </c>
      <c r="O5597" s="14" t="str">
        <f>HYPERLINK("https://otsuka-europe-crm.veevavault.com/ui/#object/email_activity__v/V8C00000004B149", "EN-002106982")</f>
        <v>EN-002106982</v>
      </c>
    </row>
    <row r="5598" spans="1:15" ht="16" x14ac:dyDescent="0.2">
      <c r="A5598" s="18" t="str">
        <f>HYPERLINK("https://otsuka-europe-crm.veevavault.com/ui/#object/account__v/V4TZ06G6O71T7ZK", "CARMEN IVORRA BONILLA")</f>
        <v>CARMEN IVORRA BONILLA</v>
      </c>
      <c r="B5598" s="18" t="str">
        <f>HYPERLINK("https://otsuka-europe-crm.veevavault.com/ui/#object/vcountry__v/VENZ000004SONF5", "ES")</f>
        <v>ES</v>
      </c>
      <c r="C5598" s="20" t="s">
        <v>39</v>
      </c>
      <c r="D5598" s="21" t="str">
        <f>HYPERLINK("https://otsuka-europe-crm.veevavault.com/ui/#object/approved_document__v/V5O000000001001", "AM2M - PSIQUIATRÍA - Guía preguntas pacientes")</f>
        <v>AM2M - PSIQUIATRÍA - Guía preguntas pacientes</v>
      </c>
      <c r="E5598" s="22" t="str">
        <f>HYPERLINK("https://otsuka-europe-crm.veevavault.com/ui/#object/sent_email__v/VBL00000003A060", "SE-001444307")</f>
        <v>SE-001444307</v>
      </c>
      <c r="F5598" s="25">
        <v>46224.354745370372</v>
      </c>
      <c r="G5598" s="24">
        <v>1</v>
      </c>
      <c r="H5598" s="24">
        <v>5</v>
      </c>
      <c r="I5598" s="24">
        <v>0</v>
      </c>
      <c r="J5598" s="23"/>
      <c r="K5598" s="24">
        <v>0</v>
      </c>
      <c r="L5598" s="22" t="str">
        <f>HYPERLINK("https://otsuka-europe-crm.veevavault.com/ui/#object/approved_document__v/V5O000000001001", "AM2M - PSIQUIATRÍA - Guía preguntas pacientes")</f>
        <v>AM2M - PSIQUIATRÍA - Guía preguntas pacientes</v>
      </c>
      <c r="M5598" s="22" t="str">
        <f>HYPERLINK("mailto:jllombart@crm.otsuka-europe.com", "jllombart@crm.otsuka-europe.com")</f>
        <v>jllombart@crm.otsuka-europe.com</v>
      </c>
      <c r="N5598" s="25">
        <v>46223.373564814814</v>
      </c>
      <c r="O5598" s="14" t="str">
        <f>HYPERLINK("https://otsuka-europe-crm.veevavault.com/ui/#object/email_activity__v/V8C00000004B148", "EN-002106970")</f>
        <v>EN-002106970</v>
      </c>
    </row>
    <row r="5599" spans="1:15" ht="16" x14ac:dyDescent="0.2">
      <c r="A5599" s="26"/>
      <c r="B5599" s="26"/>
      <c r="C5599" s="26"/>
      <c r="D5599" s="26"/>
      <c r="E5599" s="26"/>
      <c r="F5599" s="26"/>
      <c r="G5599" s="26"/>
      <c r="H5599" s="26"/>
      <c r="I5599" s="26"/>
      <c r="J5599" s="26"/>
      <c r="K5599" s="26"/>
      <c r="L5599" s="26"/>
      <c r="M5599" s="26"/>
      <c r="N5599" s="26"/>
      <c r="O5599" s="14" t="str">
        <f>HYPERLINK("https://otsuka-europe-crm.veevavault.com/ui/#object/email_activity__v/V8C00000004B153", "EN-002106986")</f>
        <v>EN-002106986</v>
      </c>
    </row>
    <row r="5600" spans="1:15" ht="16" x14ac:dyDescent="0.2">
      <c r="A5600" s="26"/>
      <c r="B5600" s="26"/>
      <c r="C5600" s="26"/>
      <c r="D5600" s="26"/>
      <c r="E5600" s="26"/>
      <c r="F5600" s="26"/>
      <c r="G5600" s="26"/>
      <c r="H5600" s="26"/>
      <c r="I5600" s="26"/>
      <c r="J5600" s="26"/>
      <c r="K5600" s="26"/>
      <c r="L5600" s="26"/>
      <c r="M5600" s="26"/>
      <c r="N5600" s="26"/>
      <c r="O5600" s="14" t="str">
        <f>HYPERLINK("https://otsuka-europe-crm.veevavault.com/ui/#object/email_activity__v/V8C00000004B168", "EN-002107005")</f>
        <v>EN-002107005</v>
      </c>
    </row>
    <row r="5601" spans="1:15" ht="16" x14ac:dyDescent="0.2">
      <c r="A5601" s="26"/>
      <c r="B5601" s="26"/>
      <c r="C5601" s="26"/>
      <c r="D5601" s="26"/>
      <c r="E5601" s="26"/>
      <c r="F5601" s="26"/>
      <c r="G5601" s="26"/>
      <c r="H5601" s="26"/>
      <c r="I5601" s="26"/>
      <c r="J5601" s="26"/>
      <c r="K5601" s="26"/>
      <c r="L5601" s="26"/>
      <c r="M5601" s="26"/>
      <c r="N5601" s="26"/>
      <c r="O5601" s="14" t="str">
        <f>HYPERLINK("https://otsuka-europe-crm.veevavault.com/ui/#object/email_activity__v/V8C00000004B245", "EN-002107144")</f>
        <v>EN-002107144</v>
      </c>
    </row>
    <row r="5602" spans="1:15" ht="16" x14ac:dyDescent="0.2">
      <c r="A5602" s="26"/>
      <c r="B5602" s="26"/>
      <c r="C5602" s="26"/>
      <c r="D5602" s="26"/>
      <c r="E5602" s="26"/>
      <c r="F5602" s="26"/>
      <c r="G5602" s="26"/>
      <c r="H5602" s="26"/>
      <c r="I5602" s="26"/>
      <c r="J5602" s="26"/>
      <c r="K5602" s="26"/>
      <c r="L5602" s="26"/>
      <c r="M5602" s="26"/>
      <c r="N5602" s="26"/>
      <c r="O5602" s="14" t="str">
        <f>HYPERLINK("https://otsuka-europe-crm.veevavault.com/ui/#object/email_activity__v/V8C00000004C109", "EN-002107004")</f>
        <v>EN-002107004</v>
      </c>
    </row>
    <row r="5603" spans="1:15" ht="16" x14ac:dyDescent="0.2">
      <c r="A5603" s="19"/>
      <c r="B5603" s="19"/>
      <c r="C5603" s="19"/>
      <c r="D5603" s="19"/>
      <c r="E5603" s="19"/>
      <c r="F5603" s="19"/>
      <c r="G5603" s="19"/>
      <c r="H5603" s="19"/>
      <c r="I5603" s="19"/>
      <c r="J5603" s="19"/>
      <c r="K5603" s="19"/>
      <c r="L5603" s="19"/>
      <c r="M5603" s="19"/>
      <c r="N5603" s="19"/>
      <c r="O5603" s="14" t="str">
        <f>HYPERLINK("https://otsuka-europe-crm.veevavault.com/ui/#object/email_activity__v/V8C00000004C530", "EN-002108032")</f>
        <v>EN-002108032</v>
      </c>
    </row>
    <row r="5604" spans="1:15" ht="16" x14ac:dyDescent="0.2">
      <c r="A5604" s="18" t="str">
        <f>HYPERLINK("https://otsuka-europe-crm.veevavault.com/ui/#object/account__v/V4TZ06G6O71TC2X", "JOAN RIERA SERRANO")</f>
        <v>JOAN RIERA SERRANO</v>
      </c>
      <c r="B5604" s="18" t="str">
        <f>HYPERLINK("https://otsuka-europe-crm.veevavault.com/ui/#object/vcountry__v/VENZ000004SONF5", "ES")</f>
        <v>ES</v>
      </c>
      <c r="C5604" s="20" t="s">
        <v>39</v>
      </c>
      <c r="D5604" s="21" t="str">
        <f>HYPERLINK("https://otsuka-europe-crm.veevavault.com/ui/#object/approved_document__v/V5O000000001001", "AM2M - PSIQUIATRÍA - Guía preguntas pacientes")</f>
        <v>AM2M - PSIQUIATRÍA - Guía preguntas pacientes</v>
      </c>
      <c r="E5604" s="22" t="str">
        <f>HYPERLINK("https://otsuka-europe-crm.veevavault.com/ui/#object/sent_email__v/VBL00000003A061", "SE-001444308")</f>
        <v>SE-001444308</v>
      </c>
      <c r="F5604" s="25">
        <v>46223.505671296298</v>
      </c>
      <c r="G5604" s="24">
        <v>1</v>
      </c>
      <c r="H5604" s="24">
        <v>1</v>
      </c>
      <c r="I5604" s="24">
        <v>0</v>
      </c>
      <c r="J5604" s="23"/>
      <c r="K5604" s="24">
        <v>0</v>
      </c>
      <c r="L5604" s="22" t="str">
        <f>HYPERLINK("https://otsuka-europe-crm.veevavault.com/ui/#object/approved_document__v/V5O000000001001", "AM2M - PSIQUIATRÍA - Guía preguntas pacientes")</f>
        <v>AM2M - PSIQUIATRÍA - Guía preguntas pacientes</v>
      </c>
      <c r="M5604" s="22" t="str">
        <f>HYPERLINK("mailto:jllombart@crm.otsuka-europe.com", "jllombart@crm.otsuka-europe.com")</f>
        <v>jllombart@crm.otsuka-europe.com</v>
      </c>
      <c r="N5604" s="25">
        <v>46223.373564814814</v>
      </c>
      <c r="O5604" s="14" t="str">
        <f>HYPERLINK("https://otsuka-europe-crm.veevavault.com/ui/#object/email_activity__v/V8C00000004B158", "EN-002106991")</f>
        <v>EN-002106991</v>
      </c>
    </row>
    <row r="5605" spans="1:15" ht="16" x14ac:dyDescent="0.2">
      <c r="A5605" s="19"/>
      <c r="B5605" s="19"/>
      <c r="C5605" s="19"/>
      <c r="D5605" s="19"/>
      <c r="E5605" s="19"/>
      <c r="F5605" s="19"/>
      <c r="G5605" s="19"/>
      <c r="H5605" s="19"/>
      <c r="I5605" s="19"/>
      <c r="J5605" s="19"/>
      <c r="K5605" s="19"/>
      <c r="L5605" s="19"/>
      <c r="M5605" s="19"/>
      <c r="N5605" s="19"/>
      <c r="O5605" s="14" t="str">
        <f>HYPERLINK("https://otsuka-europe-crm.veevavault.com/ui/#object/email_activity__v/V8C00000004B220", "EN-002107083")</f>
        <v>EN-002107083</v>
      </c>
    </row>
    <row r="5606" spans="1:15" ht="16" x14ac:dyDescent="0.2">
      <c r="A5606" s="18" t="str">
        <f>HYPERLINK("https://otsuka-europe-crm.veevavault.com/ui/#object/account__v/V4TZ06G6O9VFUZT", "PAU PIANY RAMIREZ")</f>
        <v>PAU PIANY RAMIREZ</v>
      </c>
      <c r="B5606" s="18" t="str">
        <f>HYPERLINK("https://otsuka-europe-crm.veevavault.com/ui/#object/vcountry__v/VENZ000004SONF5", "ES")</f>
        <v>ES</v>
      </c>
      <c r="C5606" s="20" t="s">
        <v>39</v>
      </c>
      <c r="D5606" s="21" t="str">
        <f>HYPERLINK("https://otsuka-europe-crm.veevavault.com/ui/#object/approved_document__v/V5O000000001001", "AM2M - PSIQUIATRÍA - Guía preguntas pacientes")</f>
        <v>AM2M - PSIQUIATRÍA - Guía preguntas pacientes</v>
      </c>
      <c r="E5606" s="22" t="str">
        <f>HYPERLINK("https://otsuka-europe-crm.veevavault.com/ui/#object/sent_email__v/VBL00000003A062", "SE-001444309")</f>
        <v>SE-001444309</v>
      </c>
      <c r="F5606" s="25">
        <v>46223.374456018515</v>
      </c>
      <c r="G5606" s="24">
        <v>1</v>
      </c>
      <c r="H5606" s="24">
        <v>1</v>
      </c>
      <c r="I5606" s="24">
        <v>0</v>
      </c>
      <c r="J5606" s="23"/>
      <c r="K5606" s="24">
        <v>0</v>
      </c>
      <c r="L5606" s="22" t="str">
        <f>HYPERLINK("https://otsuka-europe-crm.veevavault.com/ui/#object/approved_document__v/V5O000000001001", "AM2M - PSIQUIATRÍA - Guía preguntas pacientes")</f>
        <v>AM2M - PSIQUIATRÍA - Guía preguntas pacientes</v>
      </c>
      <c r="M5606" s="22" t="str">
        <f>HYPERLINK("mailto:jllombart@crm.otsuka-europe.com", "jllombart@crm.otsuka-europe.com")</f>
        <v>jllombart@crm.otsuka-europe.com</v>
      </c>
      <c r="N5606" s="25">
        <v>46223.373564814814</v>
      </c>
      <c r="O5606" s="14" t="str">
        <f>HYPERLINK("https://otsuka-europe-crm.veevavault.com/ui/#object/email_activity__v/V8C00000004B146", "EN-002106968")</f>
        <v>EN-002106968</v>
      </c>
    </row>
    <row r="5607" spans="1:15" ht="16" x14ac:dyDescent="0.2">
      <c r="A5607" s="26"/>
      <c r="B5607" s="26"/>
      <c r="C5607" s="26"/>
      <c r="D5607" s="26"/>
      <c r="E5607" s="26"/>
      <c r="F5607" s="26"/>
      <c r="G5607" s="26"/>
      <c r="H5607" s="26"/>
      <c r="I5607" s="26"/>
      <c r="J5607" s="26"/>
      <c r="K5607" s="26"/>
      <c r="L5607" s="26"/>
      <c r="M5607" s="26"/>
      <c r="N5607" s="26"/>
      <c r="O5607" s="14" t="str">
        <f>HYPERLINK("https://otsuka-europe-crm.veevavault.com/ui/#object/email_activity__v/V8C00000004B167", "EN-002107003")</f>
        <v>EN-002107003</v>
      </c>
    </row>
    <row r="5608" spans="1:15" ht="16" x14ac:dyDescent="0.2">
      <c r="A5608" s="19"/>
      <c r="B5608" s="19"/>
      <c r="C5608" s="19"/>
      <c r="D5608" s="19"/>
      <c r="E5608" s="19"/>
      <c r="F5608" s="19"/>
      <c r="G5608" s="19"/>
      <c r="H5608" s="19"/>
      <c r="I5608" s="19"/>
      <c r="J5608" s="19"/>
      <c r="K5608" s="19"/>
      <c r="L5608" s="19"/>
      <c r="M5608" s="19"/>
      <c r="N5608" s="19"/>
      <c r="O5608" s="14" t="str">
        <f>HYPERLINK("https://otsuka-europe-crm.veevavault.com/ui/#object/email_activity__v/V8C00000004C165", "EN-002107135")</f>
        <v>EN-002107135</v>
      </c>
    </row>
    <row r="5609" spans="1:15" ht="16" x14ac:dyDescent="0.2">
      <c r="A5609" s="18" t="str">
        <f>HYPERLINK("https://otsuka-europe-crm.veevavault.com/ui/#object/account__v/V4TZ06G6O71TBV0", "OSCAR MAURICIO REATIGA NUÑEZ")</f>
        <v>OSCAR MAURICIO REATIGA NUÑEZ</v>
      </c>
      <c r="B5609" s="18" t="str">
        <f>HYPERLINK("https://otsuka-europe-crm.veevavault.com/ui/#object/vcountry__v/VENZ000004SONF5", "ES")</f>
        <v>ES</v>
      </c>
      <c r="C5609" s="20" t="s">
        <v>39</v>
      </c>
      <c r="D5609" s="21" t="str">
        <f>HYPERLINK("https://otsuka-europe-crm.veevavault.com/ui/#object/approved_document__v/V5O000000001001", "AM2M - PSIQUIATRÍA - Guía preguntas pacientes")</f>
        <v>AM2M - PSIQUIATRÍA - Guía preguntas pacientes</v>
      </c>
      <c r="E5609" s="22" t="str">
        <f>HYPERLINK("https://otsuka-europe-crm.veevavault.com/ui/#object/sent_email__v/VBL00000003A063", "SE-001444310")</f>
        <v>SE-001444310</v>
      </c>
      <c r="F5609" s="23"/>
      <c r="G5609" s="24">
        <v>0</v>
      </c>
      <c r="H5609" s="24">
        <v>0</v>
      </c>
      <c r="I5609" s="24">
        <v>0</v>
      </c>
      <c r="J5609" s="23"/>
      <c r="K5609" s="24">
        <v>0</v>
      </c>
      <c r="L5609" s="22" t="str">
        <f>HYPERLINK("https://otsuka-europe-crm.veevavault.com/ui/#object/approved_document__v/V5O000000001001", "AM2M - PSIQUIATRÍA - Guía preguntas pacientes")</f>
        <v>AM2M - PSIQUIATRÍA - Guía preguntas pacientes</v>
      </c>
      <c r="M5609" s="22" t="str">
        <f>HYPERLINK("mailto:jllombart@crm.otsuka-europe.com", "jllombart@crm.otsuka-europe.com")</f>
        <v>jllombart@crm.otsuka-europe.com</v>
      </c>
      <c r="N5609" s="25">
        <v>46223.373564814814</v>
      </c>
      <c r="O5609" s="14" t="str">
        <f>HYPERLINK("https://otsuka-europe-crm.veevavault.com/ui/#object/email_activity__v/V8C00000004C090", "EN-002106944")</f>
        <v>EN-002106944</v>
      </c>
    </row>
    <row r="5610" spans="1:15" ht="16" x14ac:dyDescent="0.2">
      <c r="A5610" s="19"/>
      <c r="B5610" s="19"/>
      <c r="C5610" s="19"/>
      <c r="D5610" s="19"/>
      <c r="E5610" s="19"/>
      <c r="F5610" s="19"/>
      <c r="G5610" s="19"/>
      <c r="H5610" s="19"/>
      <c r="I5610" s="19"/>
      <c r="J5610" s="19"/>
      <c r="K5610" s="19"/>
      <c r="L5610" s="19"/>
      <c r="M5610" s="19"/>
      <c r="N5610" s="19"/>
      <c r="O5610" s="14" t="str">
        <f>HYPERLINK("https://otsuka-europe-crm.veevavault.com/ui/#object/email_activity__v/V8C00000004C494", "EN-002107974")</f>
        <v>EN-002107974</v>
      </c>
    </row>
    <row r="5611" spans="1:15" ht="32" x14ac:dyDescent="0.2">
      <c r="A5611" s="7" t="str">
        <f>HYPERLINK("https://otsuka-europe-crm.veevavault.com/ui/#object/account__v/V4TZ06G6O71T7F5", "NURIA MANZANARES TESON")</f>
        <v>NURIA MANZANARES TESON</v>
      </c>
      <c r="B5611" s="7" t="str">
        <f>HYPERLINK("https://otsuka-europe-crm.veevavault.com/ui/#object/vcountry__v/VENZ000004SONF5", "ES")</f>
        <v>ES</v>
      </c>
      <c r="C5611" s="8" t="s">
        <v>39</v>
      </c>
      <c r="D5611" s="9" t="str">
        <f>HYPERLINK("https://otsuka-europe-crm.veevavault.com/ui/#object/approved_document__v/V5O000000001001", "AM2M - PSIQUIATRÍA - Guía preguntas pacientes")</f>
        <v>AM2M - PSIQUIATRÍA - Guía preguntas pacientes</v>
      </c>
      <c r="E5611" s="10" t="str">
        <f>HYPERLINK("https://otsuka-europe-crm.veevavault.com/ui/#object/sent_email__v/VBL00000003A064", "SE-001444311")</f>
        <v>SE-001444311</v>
      </c>
      <c r="F5611" s="11"/>
      <c r="G5611" s="12">
        <v>0</v>
      </c>
      <c r="H5611" s="12">
        <v>0</v>
      </c>
      <c r="I5611" s="12">
        <v>0</v>
      </c>
      <c r="J5611" s="11"/>
      <c r="K5611" s="12">
        <v>0</v>
      </c>
      <c r="L5611" s="10" t="str">
        <f>HYPERLINK("https://otsuka-europe-crm.veevavault.com/ui/#object/approved_document__v/V5O000000001001", "AM2M - PSIQUIATRÍA - Guía preguntas pacientes")</f>
        <v>AM2M - PSIQUIATRÍA - Guía preguntas pacientes</v>
      </c>
      <c r="M5611" s="10" t="str">
        <f>HYPERLINK("mailto:jllombart@crm.otsuka-europe.com", "jllombart@crm.otsuka-europe.com")</f>
        <v>jllombart@crm.otsuka-europe.com</v>
      </c>
      <c r="N5611" s="13">
        <v>46223.373564814814</v>
      </c>
      <c r="O5611" s="14" t="str">
        <f>HYPERLINK("https://otsuka-europe-crm.veevavault.com/ui/#object/email_activity__v/V8C00000004B121", "EN-002106938")</f>
        <v>EN-002106938</v>
      </c>
    </row>
    <row r="5612" spans="1:15" ht="16" x14ac:dyDescent="0.2">
      <c r="A5612" s="18" t="str">
        <f>HYPERLINK("https://otsuka-europe-crm.veevavault.com/ui/#object/account__v/V4TZ04ASG7NIUHE", "NURIA BORRAS IBAÑEZ")</f>
        <v>NURIA BORRAS IBAÑEZ</v>
      </c>
      <c r="B5612" s="18" t="str">
        <f>HYPERLINK("https://otsuka-europe-crm.veevavault.com/ui/#object/vcountry__v/VENZ000004SONF5", "ES")</f>
        <v>ES</v>
      </c>
      <c r="C5612" s="20" t="s">
        <v>39</v>
      </c>
      <c r="D5612" s="21" t="str">
        <f>HYPERLINK("https://otsuka-europe-crm.veevavault.com/ui/#object/approved_document__v/V5O000000001001", "AM2M - PSIQUIATRÍA - Guía preguntas pacientes")</f>
        <v>AM2M - PSIQUIATRÍA - Guía preguntas pacientes</v>
      </c>
      <c r="E5612" s="22" t="str">
        <f>HYPERLINK("https://otsuka-europe-crm.veevavault.com/ui/#object/sent_email__v/VBL00000003A065", "SE-001444312")</f>
        <v>SE-001444312</v>
      </c>
      <c r="F5612" s="23"/>
      <c r="G5612" s="24">
        <v>0</v>
      </c>
      <c r="H5612" s="24">
        <v>0</v>
      </c>
      <c r="I5612" s="24">
        <v>0</v>
      </c>
      <c r="J5612" s="23"/>
      <c r="K5612" s="24">
        <v>0</v>
      </c>
      <c r="L5612" s="22" t="str">
        <f>HYPERLINK("https://otsuka-europe-crm.veevavault.com/ui/#object/approved_document__v/V5O000000001001", "AM2M - PSIQUIATRÍA - Guía preguntas pacientes")</f>
        <v>AM2M - PSIQUIATRÍA - Guía preguntas pacientes</v>
      </c>
      <c r="M5612" s="22" t="str">
        <f>HYPERLINK("mailto:jllombart@crm.otsuka-europe.com", "jllombart@crm.otsuka-europe.com")</f>
        <v>jllombart@crm.otsuka-europe.com</v>
      </c>
      <c r="N5612" s="25">
        <v>46223.373564814814</v>
      </c>
      <c r="O5612" s="14" t="str">
        <f>HYPERLINK("https://otsuka-europe-crm.veevavault.com/ui/#object/email_activity__v/V8C00000004C096", "EN-002106972")</f>
        <v>EN-002106972</v>
      </c>
    </row>
    <row r="5613" spans="1:15" ht="16" x14ac:dyDescent="0.2">
      <c r="A5613" s="19"/>
      <c r="B5613" s="19"/>
      <c r="C5613" s="19"/>
      <c r="D5613" s="19"/>
      <c r="E5613" s="19"/>
      <c r="F5613" s="19"/>
      <c r="G5613" s="19"/>
      <c r="H5613" s="19"/>
      <c r="I5613" s="19"/>
      <c r="J5613" s="19"/>
      <c r="K5613" s="19"/>
      <c r="L5613" s="19"/>
      <c r="M5613" s="19"/>
      <c r="N5613" s="19"/>
      <c r="O5613" s="14" t="str">
        <f>HYPERLINK("https://otsuka-europe-crm.veevavault.com/ui/#object/email_activity__v/V8C00000004C150", "EN-002107109")</f>
        <v>EN-002107109</v>
      </c>
    </row>
    <row r="5614" spans="1:15" ht="16" x14ac:dyDescent="0.2">
      <c r="A5614" s="18" t="str">
        <f>HYPERLINK("https://otsuka-europe-crm.veevavault.com/ui/#object/account__v/V4TZ06G6O71T75X", "ELENA MONTAÑA CABACES")</f>
        <v>ELENA MONTAÑA CABACES</v>
      </c>
      <c r="B5614" s="18" t="str">
        <f>HYPERLINK("https://otsuka-europe-crm.veevavault.com/ui/#object/vcountry__v/VENZ000004SONF5", "ES")</f>
        <v>ES</v>
      </c>
      <c r="C5614" s="20" t="s">
        <v>39</v>
      </c>
      <c r="D5614" s="21" t="str">
        <f>HYPERLINK("https://otsuka-europe-crm.veevavault.com/ui/#object/approved_document__v/V5O000000001001", "AM2M - PSIQUIATRÍA - Guía preguntas pacientes")</f>
        <v>AM2M - PSIQUIATRÍA - Guía preguntas pacientes</v>
      </c>
      <c r="E5614" s="22" t="str">
        <f>HYPERLINK("https://otsuka-europe-crm.veevavault.com/ui/#object/sent_email__v/VBL00000003A066", "SE-001444313")</f>
        <v>SE-001444313</v>
      </c>
      <c r="F5614" s="23"/>
      <c r="G5614" s="24">
        <v>0</v>
      </c>
      <c r="H5614" s="24">
        <v>0</v>
      </c>
      <c r="I5614" s="24">
        <v>0</v>
      </c>
      <c r="J5614" s="23"/>
      <c r="K5614" s="24">
        <v>0</v>
      </c>
      <c r="L5614" s="22" t="str">
        <f>HYPERLINK("https://otsuka-europe-crm.veevavault.com/ui/#object/approved_document__v/V5O000000001001", "AM2M - PSIQUIATRÍA - Guía preguntas pacientes")</f>
        <v>AM2M - PSIQUIATRÍA - Guía preguntas pacientes</v>
      </c>
      <c r="M5614" s="22" t="str">
        <f>HYPERLINK("mailto:jllombart@crm.otsuka-europe.com", "jllombart@crm.otsuka-europe.com")</f>
        <v>jllombart@crm.otsuka-europe.com</v>
      </c>
      <c r="N5614" s="25">
        <v>46223.373564814814</v>
      </c>
      <c r="O5614" s="14" t="str">
        <f>HYPERLINK("https://otsuka-europe-crm.veevavault.com/ui/#object/email_activity__v/V8C00000004B152", "EN-002106985")</f>
        <v>EN-002106985</v>
      </c>
    </row>
    <row r="5615" spans="1:15" ht="16" x14ac:dyDescent="0.2">
      <c r="A5615" s="19"/>
      <c r="B5615" s="19"/>
      <c r="C5615" s="19"/>
      <c r="D5615" s="19"/>
      <c r="E5615" s="19"/>
      <c r="F5615" s="19"/>
      <c r="G5615" s="19"/>
      <c r="H5615" s="19"/>
      <c r="I5615" s="19"/>
      <c r="J5615" s="19"/>
      <c r="K5615" s="19"/>
      <c r="L5615" s="19"/>
      <c r="M5615" s="19"/>
      <c r="N5615" s="19"/>
      <c r="O5615" s="14" t="str">
        <f>HYPERLINK("https://otsuka-europe-crm.veevavault.com/ui/#object/email_activity__v/V8C00000004C499", "EN-002107979")</f>
        <v>EN-002107979</v>
      </c>
    </row>
    <row r="5616" spans="1:15" ht="32" x14ac:dyDescent="0.2">
      <c r="A5616" s="7" t="str">
        <f>HYPERLINK("https://otsuka-europe-crm.veevavault.com/ui/#object/account__v/V4TZ06G6OBU8ZWS", "MARIA EVA FERNANDEZ GUARDIOLA")</f>
        <v>MARIA EVA FERNANDEZ GUARDIOLA</v>
      </c>
      <c r="B5616" s="7" t="str">
        <f>HYPERLINK("https://otsuka-europe-crm.veevavault.com/ui/#object/vcountry__v/VENZ000004SONF5", "ES")</f>
        <v>ES</v>
      </c>
      <c r="C5616" s="8" t="s">
        <v>39</v>
      </c>
      <c r="D5616" s="9" t="str">
        <f>HYPERLINK("https://otsuka-europe-crm.veevavault.com/ui/#object/approved_document__v/V5O000000001001", "AM2M - PSIQUIATRÍA - Guía preguntas pacientes")</f>
        <v>AM2M - PSIQUIATRÍA - Guía preguntas pacientes</v>
      </c>
      <c r="E5616" s="10" t="str">
        <f>HYPERLINK("https://otsuka-europe-crm.veevavault.com/ui/#object/sent_email__v/VBL00000003A067", "SE-001444314")</f>
        <v>SE-001444314</v>
      </c>
      <c r="F5616" s="11"/>
      <c r="G5616" s="12">
        <v>0</v>
      </c>
      <c r="H5616" s="12">
        <v>0</v>
      </c>
      <c r="I5616" s="12">
        <v>0</v>
      </c>
      <c r="J5616" s="11"/>
      <c r="K5616" s="12">
        <v>0</v>
      </c>
      <c r="L5616" s="10" t="str">
        <f>HYPERLINK("https://otsuka-europe-crm.veevavault.com/ui/#object/approved_document__v/V5O000000001001", "AM2M - PSIQUIATRÍA - Guía preguntas pacientes")</f>
        <v>AM2M - PSIQUIATRÍA - Guía preguntas pacientes</v>
      </c>
      <c r="M5616" s="10" t="str">
        <f>HYPERLINK("mailto:jllombart@crm.otsuka-europe.com", "jllombart@crm.otsuka-europe.com")</f>
        <v>jllombart@crm.otsuka-europe.com</v>
      </c>
      <c r="N5616" s="13">
        <v>46223.373564814814</v>
      </c>
      <c r="O5616" s="14" t="str">
        <f>HYPERLINK("https://otsuka-europe-crm.veevavault.com/ui/#object/email_activity__v/V8C00000004B164", "EN-002106997")</f>
        <v>EN-002106997</v>
      </c>
    </row>
    <row r="5617" spans="1:15" ht="16" x14ac:dyDescent="0.2">
      <c r="A5617" s="18" t="str">
        <f>HYPERLINK("https://otsuka-europe-crm.veevavault.com/ui/#object/account__v/V4TZ06G6O9BZCSY", "BEATRIZ LOPEZ ALVAREZ")</f>
        <v>BEATRIZ LOPEZ ALVAREZ</v>
      </c>
      <c r="B5617" s="18" t="str">
        <f>HYPERLINK("https://otsuka-europe-crm.veevavault.com/ui/#object/vcountry__v/VENZ000004SONF5", "ES")</f>
        <v>ES</v>
      </c>
      <c r="C5617" s="20" t="s">
        <v>39</v>
      </c>
      <c r="D5617" s="21" t="str">
        <f>HYPERLINK("https://otsuka-europe-crm.veevavault.com/ui/#object/approved_document__v/V5O000000001001", "AM2M - PSIQUIATRÍA - Guía preguntas pacientes")</f>
        <v>AM2M - PSIQUIATRÍA - Guía preguntas pacientes</v>
      </c>
      <c r="E5617" s="22" t="str">
        <f>HYPERLINK("https://otsuka-europe-crm.veevavault.com/ui/#object/sent_email__v/VBL00000003A068", "SE-001444315")</f>
        <v>SE-001444315</v>
      </c>
      <c r="F5617" s="25">
        <v>46225.690497685187</v>
      </c>
      <c r="G5617" s="24">
        <v>1</v>
      </c>
      <c r="H5617" s="24">
        <v>5</v>
      </c>
      <c r="I5617" s="24">
        <v>0</v>
      </c>
      <c r="J5617" s="23"/>
      <c r="K5617" s="24">
        <v>0</v>
      </c>
      <c r="L5617" s="22" t="str">
        <f>HYPERLINK("https://otsuka-europe-crm.veevavault.com/ui/#object/approved_document__v/V5O000000001001", "AM2M - PSIQUIATRÍA - Guía preguntas pacientes")</f>
        <v>AM2M - PSIQUIATRÍA - Guía preguntas pacientes</v>
      </c>
      <c r="M5617" s="22" t="str">
        <f>HYPERLINK("mailto:jllombart@crm.otsuka-europe.com", "jllombart@crm.otsuka-europe.com")</f>
        <v>jllombart@crm.otsuka-europe.com</v>
      </c>
      <c r="N5617" s="25">
        <v>46223.373564814814</v>
      </c>
      <c r="O5617" s="14" t="str">
        <f>HYPERLINK("https://otsuka-europe-crm.veevavault.com/ui/#object/email_activity__v/V8C00000004B141", "EN-002106963")</f>
        <v>EN-002106963</v>
      </c>
    </row>
    <row r="5618" spans="1:15" ht="16" x14ac:dyDescent="0.2">
      <c r="A5618" s="26"/>
      <c r="B5618" s="26"/>
      <c r="C5618" s="26"/>
      <c r="D5618" s="26"/>
      <c r="E5618" s="26"/>
      <c r="F5618" s="26"/>
      <c r="G5618" s="26"/>
      <c r="H5618" s="26"/>
      <c r="I5618" s="26"/>
      <c r="J5618" s="26"/>
      <c r="K5618" s="26"/>
      <c r="L5618" s="26"/>
      <c r="M5618" s="26"/>
      <c r="N5618" s="26"/>
      <c r="O5618" s="14" t="str">
        <f>HYPERLINK("https://otsuka-europe-crm.veevavault.com/ui/#object/email_activity__v/V8C00000004B300", "EN-002107253")</f>
        <v>EN-002107253</v>
      </c>
    </row>
    <row r="5619" spans="1:15" ht="16" x14ac:dyDescent="0.2">
      <c r="A5619" s="26"/>
      <c r="B5619" s="26"/>
      <c r="C5619" s="26"/>
      <c r="D5619" s="26"/>
      <c r="E5619" s="26"/>
      <c r="F5619" s="26"/>
      <c r="G5619" s="26"/>
      <c r="H5619" s="26"/>
      <c r="I5619" s="26"/>
      <c r="J5619" s="26"/>
      <c r="K5619" s="26"/>
      <c r="L5619" s="26"/>
      <c r="M5619" s="26"/>
      <c r="N5619" s="26"/>
      <c r="O5619" s="14" t="str">
        <f>HYPERLINK("https://otsuka-europe-crm.veevavault.com/ui/#object/email_activity__v/V8C00000004B302", "EN-002107257")</f>
        <v>EN-002107257</v>
      </c>
    </row>
    <row r="5620" spans="1:15" ht="16" x14ac:dyDescent="0.2">
      <c r="A5620" s="26"/>
      <c r="B5620" s="26"/>
      <c r="C5620" s="26"/>
      <c r="D5620" s="26"/>
      <c r="E5620" s="26"/>
      <c r="F5620" s="26"/>
      <c r="G5620" s="26"/>
      <c r="H5620" s="26"/>
      <c r="I5620" s="26"/>
      <c r="J5620" s="26"/>
      <c r="K5620" s="26"/>
      <c r="L5620" s="26"/>
      <c r="M5620" s="26"/>
      <c r="N5620" s="26"/>
      <c r="O5620" s="14" t="str">
        <f>HYPERLINK("https://otsuka-europe-crm.veevavault.com/ui/#object/email_activity__v/V8C00000004B304", "EN-002107259")</f>
        <v>EN-002107259</v>
      </c>
    </row>
    <row r="5621" spans="1:15" ht="16" x14ac:dyDescent="0.2">
      <c r="A5621" s="26"/>
      <c r="B5621" s="26"/>
      <c r="C5621" s="26"/>
      <c r="D5621" s="26"/>
      <c r="E5621" s="26"/>
      <c r="F5621" s="26"/>
      <c r="G5621" s="26"/>
      <c r="H5621" s="26"/>
      <c r="I5621" s="26"/>
      <c r="J5621" s="26"/>
      <c r="K5621" s="26"/>
      <c r="L5621" s="26"/>
      <c r="M5621" s="26"/>
      <c r="N5621" s="26"/>
      <c r="O5621" s="14" t="str">
        <f>HYPERLINK("https://otsuka-europe-crm.veevavault.com/ui/#object/email_activity__v/V8C00000004C227", "EN-002107255")</f>
        <v>EN-002107255</v>
      </c>
    </row>
    <row r="5622" spans="1:15" ht="16" x14ac:dyDescent="0.2">
      <c r="A5622" s="19"/>
      <c r="B5622" s="19"/>
      <c r="C5622" s="19"/>
      <c r="D5622" s="19"/>
      <c r="E5622" s="19"/>
      <c r="F5622" s="19"/>
      <c r="G5622" s="19"/>
      <c r="H5622" s="19"/>
      <c r="I5622" s="19"/>
      <c r="J5622" s="19"/>
      <c r="K5622" s="19"/>
      <c r="L5622" s="19"/>
      <c r="M5622" s="19"/>
      <c r="N5622" s="19"/>
      <c r="O5622" s="14" t="str">
        <f>HYPERLINK("https://otsuka-europe-crm.veevavault.com/ui/#object/email_activity__v/V8C00000004C230", "EN-002107262")</f>
        <v>EN-002107262</v>
      </c>
    </row>
    <row r="5623" spans="1:15" ht="32" x14ac:dyDescent="0.2">
      <c r="A5623" s="7" t="str">
        <f>HYPERLINK("https://otsuka-europe-crm.veevavault.com/ui/#object/account__v/V4TZ06G6OBII3J5", "CESAR LEFLER CASTAÑO")</f>
        <v>CESAR LEFLER CASTAÑO</v>
      </c>
      <c r="B5623" s="7" t="str">
        <f>HYPERLINK("https://otsuka-europe-crm.veevavault.com/ui/#object/vcountry__v/VENZ000004SONF5", "ES")</f>
        <v>ES</v>
      </c>
      <c r="C5623" s="8" t="s">
        <v>39</v>
      </c>
      <c r="D5623" s="9" t="str">
        <f>HYPERLINK("https://otsuka-europe-crm.veevavault.com/ui/#object/approved_document__v/V5O000000001001", "AM2M - PSIQUIATRÍA - Guía preguntas pacientes")</f>
        <v>AM2M - PSIQUIATRÍA - Guía preguntas pacientes</v>
      </c>
      <c r="E5623" s="10" t="str">
        <f>HYPERLINK("https://otsuka-europe-crm.veevavault.com/ui/#object/sent_email__v/VBL00000003A069", "SE-001444316")</f>
        <v>SE-001444316</v>
      </c>
      <c r="F5623" s="11"/>
      <c r="G5623" s="12">
        <v>0</v>
      </c>
      <c r="H5623" s="12">
        <v>0</v>
      </c>
      <c r="I5623" s="12">
        <v>0</v>
      </c>
      <c r="J5623" s="11"/>
      <c r="K5623" s="12">
        <v>0</v>
      </c>
      <c r="L5623" s="10" t="str">
        <f>HYPERLINK("https://otsuka-europe-crm.veevavault.com/ui/#object/approved_document__v/V5O000000001001", "AM2M - PSIQUIATRÍA - Guía preguntas pacientes")</f>
        <v>AM2M - PSIQUIATRÍA - Guía preguntas pacientes</v>
      </c>
      <c r="M5623" s="10" t="str">
        <f>HYPERLINK("mailto:jllombart@crm.otsuka-europe.com", "jllombart@crm.otsuka-europe.com")</f>
        <v>jllombart@crm.otsuka-europe.com</v>
      </c>
      <c r="N5623" s="13">
        <v>46223.373564814814</v>
      </c>
      <c r="O5623" s="14" t="str">
        <f>HYPERLINK("https://otsuka-europe-crm.veevavault.com/ui/#object/email_activity__v/V8C00000004C110", "EN-002107015")</f>
        <v>EN-002107015</v>
      </c>
    </row>
    <row r="5624" spans="1:15" ht="16" x14ac:dyDescent="0.2">
      <c r="A5624" s="18" t="str">
        <f>HYPERLINK("https://otsuka-europe-crm.veevavault.com/ui/#object/account__v/V4TZ04ASG7WWT1C", "ANDREA LUCCIA ALEGRE GONZALEZ")</f>
        <v>ANDREA LUCCIA ALEGRE GONZALEZ</v>
      </c>
      <c r="B5624" s="18" t="str">
        <f>HYPERLINK("https://otsuka-europe-crm.veevavault.com/ui/#object/vcountry__v/VENZ000004SONF5", "ES")</f>
        <v>ES</v>
      </c>
      <c r="C5624" s="20" t="s">
        <v>39</v>
      </c>
      <c r="D5624" s="21" t="str">
        <f>HYPERLINK("https://otsuka-europe-crm.veevavault.com/ui/#object/approved_document__v/V5O000000001001", "AM2M - PSIQUIATRÍA - Guía preguntas pacientes")</f>
        <v>AM2M - PSIQUIATRÍA - Guía preguntas pacientes</v>
      </c>
      <c r="E5624" s="22" t="str">
        <f>HYPERLINK("https://otsuka-europe-crm.veevavault.com/ui/#object/sent_email__v/VBL00000003A070", "SE-001444317")</f>
        <v>SE-001444317</v>
      </c>
      <c r="F5624" s="25">
        <v>46223.373518518521</v>
      </c>
      <c r="G5624" s="24">
        <v>1</v>
      </c>
      <c r="H5624" s="24">
        <v>1</v>
      </c>
      <c r="I5624" s="24">
        <v>0</v>
      </c>
      <c r="J5624" s="23"/>
      <c r="K5624" s="24">
        <v>0</v>
      </c>
      <c r="L5624" s="22" t="str">
        <f>HYPERLINK("https://otsuka-europe-crm.veevavault.com/ui/#object/approved_document__v/V5O000000001001", "AM2M - PSIQUIATRÍA - Guía preguntas pacientes")</f>
        <v>AM2M - PSIQUIATRÍA - Guía preguntas pacientes</v>
      </c>
      <c r="M5624" s="22" t="str">
        <f>HYPERLINK("mailto:jllombart@crm.otsuka-europe.com", "jllombart@crm.otsuka-europe.com")</f>
        <v>jllombart@crm.otsuka-europe.com</v>
      </c>
      <c r="N5624" s="25">
        <v>46223.373402777775</v>
      </c>
      <c r="O5624" s="14" t="str">
        <f>HYPERLINK("https://otsuka-europe-crm.veevavault.com/ui/#object/email_activity__v/V8C00000004B118", "EN-002106935")</f>
        <v>EN-002106935</v>
      </c>
    </row>
    <row r="5625" spans="1:15" ht="16" x14ac:dyDescent="0.2">
      <c r="A5625" s="19"/>
      <c r="B5625" s="19"/>
      <c r="C5625" s="19"/>
      <c r="D5625" s="19"/>
      <c r="E5625" s="19"/>
      <c r="F5625" s="19"/>
      <c r="G5625" s="19"/>
      <c r="H5625" s="19"/>
      <c r="I5625" s="19"/>
      <c r="J5625" s="19"/>
      <c r="K5625" s="19"/>
      <c r="L5625" s="19"/>
      <c r="M5625" s="19"/>
      <c r="N5625" s="19"/>
      <c r="O5625" s="14" t="str">
        <f>HYPERLINK("https://otsuka-europe-crm.veevavault.com/ui/#object/email_activity__v/V8C00000004B120", "EN-002106937")</f>
        <v>EN-002106937</v>
      </c>
    </row>
    <row r="5626" spans="1:15" ht="16" x14ac:dyDescent="0.2">
      <c r="A5626" s="18" t="str">
        <f>HYPERLINK("https://otsuka-europe-crm.veevavault.com/ui/#object/account__v/V4TZ04ASGBJRDCT", "PATRICIA VAQUERO CASADO")</f>
        <v>PATRICIA VAQUERO CASADO</v>
      </c>
      <c r="B5626" s="18" t="str">
        <f>HYPERLINK("https://otsuka-europe-crm.veevavault.com/ui/#object/vcountry__v/VENZ000004SONF5", "ES")</f>
        <v>ES</v>
      </c>
      <c r="C5626" s="20" t="s">
        <v>39</v>
      </c>
      <c r="D5626" s="21" t="str">
        <f>HYPERLINK("https://otsuka-europe-crm.veevavault.com/ui/#object/approved_document__v/V5O000000001001", "AM2M - PSIQUIATRÍA - Guía preguntas pacientes")</f>
        <v>AM2M - PSIQUIATRÍA - Guía preguntas pacientes</v>
      </c>
      <c r="E5626" s="22" t="str">
        <f>HYPERLINK("https://otsuka-europe-crm.veevavault.com/ui/#object/sent_email__v/VBL00000003A071", "SE-001444318")</f>
        <v>SE-001444318</v>
      </c>
      <c r="F5626" s="23"/>
      <c r="G5626" s="24">
        <v>0</v>
      </c>
      <c r="H5626" s="24">
        <v>0</v>
      </c>
      <c r="I5626" s="24">
        <v>0</v>
      </c>
      <c r="J5626" s="23"/>
      <c r="K5626" s="24">
        <v>0</v>
      </c>
      <c r="L5626" s="22" t="str">
        <f>HYPERLINK("https://otsuka-europe-crm.veevavault.com/ui/#object/approved_document__v/V5O000000001001", "AM2M - PSIQUIATRÍA - Guía preguntas pacientes")</f>
        <v>AM2M - PSIQUIATRÍA - Guía preguntas pacientes</v>
      </c>
      <c r="M5626" s="22" t="str">
        <f>HYPERLINK("mailto:jllombart@crm.otsuka-europe.com", "jllombart@crm.otsuka-europe.com")</f>
        <v>jllombart@crm.otsuka-europe.com</v>
      </c>
      <c r="N5626" s="25">
        <v>46223.373402777775</v>
      </c>
      <c r="O5626" s="14" t="str">
        <f>HYPERLINK("https://otsuka-europe-crm.veevavault.com/ui/#object/email_activity__v/V8C00000004B115", "EN-002106932")</f>
        <v>EN-002106932</v>
      </c>
    </row>
    <row r="5627" spans="1:15" ht="16" x14ac:dyDescent="0.2">
      <c r="A5627" s="19"/>
      <c r="B5627" s="19"/>
      <c r="C5627" s="19"/>
      <c r="D5627" s="19"/>
      <c r="E5627" s="19"/>
      <c r="F5627" s="19"/>
      <c r="G5627" s="19"/>
      <c r="H5627" s="19"/>
      <c r="I5627" s="19"/>
      <c r="J5627" s="19"/>
      <c r="K5627" s="19"/>
      <c r="L5627" s="19"/>
      <c r="M5627" s="19"/>
      <c r="N5627" s="19"/>
      <c r="O5627" s="14" t="str">
        <f>HYPERLINK("https://otsuka-europe-crm.veevavault.com/ui/#object/email_activity__v/V8C00000004B289", "EN-002107230")</f>
        <v>EN-002107230</v>
      </c>
    </row>
    <row r="5628" spans="1:15" ht="16" x14ac:dyDescent="0.2">
      <c r="A5628" s="18" t="str">
        <f>HYPERLINK("https://otsuka-europe-crm.veevavault.com/ui/#object/account__v/V4TZ06G6O71T8T8", "DULCE MARIA GONZALEZ GOMEZ")</f>
        <v>DULCE MARIA GONZALEZ GOMEZ</v>
      </c>
      <c r="B5628" s="18" t="str">
        <f>HYPERLINK("https://otsuka-europe-crm.veevavault.com/ui/#object/vcountry__v/VENZ000004SONF5", "ES")</f>
        <v>ES</v>
      </c>
      <c r="C5628" s="20" t="s">
        <v>39</v>
      </c>
      <c r="D5628" s="21" t="str">
        <f>HYPERLINK("https://otsuka-europe-crm.veevavault.com/ui/#object/approved_document__v/V5O000000001001", "AM2M - PSIQUIATRÍA - Guía preguntas pacientes")</f>
        <v>AM2M - PSIQUIATRÍA - Guía preguntas pacientes</v>
      </c>
      <c r="E5628" s="22" t="str">
        <f>HYPERLINK("https://otsuka-europe-crm.veevavault.com/ui/#object/sent_email__v/VBL00000003A072", "SE-001444319")</f>
        <v>SE-001444319</v>
      </c>
      <c r="F5628" s="23"/>
      <c r="G5628" s="24">
        <v>0</v>
      </c>
      <c r="H5628" s="24">
        <v>0</v>
      </c>
      <c r="I5628" s="24">
        <v>0</v>
      </c>
      <c r="J5628" s="23"/>
      <c r="K5628" s="24">
        <v>0</v>
      </c>
      <c r="L5628" s="22" t="str">
        <f>HYPERLINK("https://otsuka-europe-crm.veevavault.com/ui/#object/approved_document__v/V5O000000001001", "AM2M - PSIQUIATRÍA - Guía preguntas pacientes")</f>
        <v>AM2M - PSIQUIATRÍA - Guía preguntas pacientes</v>
      </c>
      <c r="M5628" s="22" t="str">
        <f>HYPERLINK("mailto:jllombart@crm.otsuka-europe.com", "jllombart@crm.otsuka-europe.com")</f>
        <v>jllombart@crm.otsuka-europe.com</v>
      </c>
      <c r="N5628" s="25">
        <v>46223.373402777775</v>
      </c>
      <c r="O5628" s="14" t="str">
        <f>HYPERLINK("https://otsuka-europe-crm.veevavault.com/ui/#object/email_activity__v/V8C00000004B119", "EN-002106936")</f>
        <v>EN-002106936</v>
      </c>
    </row>
    <row r="5629" spans="1:15" ht="16" x14ac:dyDescent="0.2">
      <c r="A5629" s="19"/>
      <c r="B5629" s="19"/>
      <c r="C5629" s="19"/>
      <c r="D5629" s="19"/>
      <c r="E5629" s="19"/>
      <c r="F5629" s="19"/>
      <c r="G5629" s="19"/>
      <c r="H5629" s="19"/>
      <c r="I5629" s="19"/>
      <c r="J5629" s="19"/>
      <c r="K5629" s="19"/>
      <c r="L5629" s="19"/>
      <c r="M5629" s="19"/>
      <c r="N5629" s="19"/>
      <c r="O5629" s="14" t="str">
        <f>HYPERLINK("https://otsuka-europe-crm.veevavault.com/ui/#object/email_activity__v/V8C00000004B170", "EN-002107007")</f>
        <v>EN-002107007</v>
      </c>
    </row>
    <row r="5630" spans="1:15" ht="32" x14ac:dyDescent="0.2">
      <c r="A5630" s="7" t="str">
        <f>HYPERLINK("https://otsuka-europe-crm.veevavault.com/ui/#object/account__v/V4TZ06G6OCEIECY", "ROCIO PILAR MONGE OSORIO")</f>
        <v>ROCIO PILAR MONGE OSORIO</v>
      </c>
      <c r="B5630" s="7" t="str">
        <f>HYPERLINK("https://otsuka-europe-crm.veevavault.com/ui/#object/vcountry__v/VENZ000004SONF5", "ES")</f>
        <v>ES</v>
      </c>
      <c r="C5630" s="8" t="s">
        <v>39</v>
      </c>
      <c r="D5630" s="9" t="str">
        <f>HYPERLINK("https://otsuka-europe-crm.veevavault.com/ui/#object/approved_document__v/V5O000000001001", "AM2M - PSIQUIATRÍA - Guía preguntas pacientes")</f>
        <v>AM2M - PSIQUIATRÍA - Guía preguntas pacientes</v>
      </c>
      <c r="E5630" s="10" t="str">
        <f>HYPERLINK("https://otsuka-europe-crm.veevavault.com/ui/#object/sent_email__v/VBL00000003A073", "SE-001444320")</f>
        <v>SE-001444320</v>
      </c>
      <c r="F5630" s="11"/>
      <c r="G5630" s="12">
        <v>0</v>
      </c>
      <c r="H5630" s="12">
        <v>0</v>
      </c>
      <c r="I5630" s="12">
        <v>0</v>
      </c>
      <c r="J5630" s="11"/>
      <c r="K5630" s="12">
        <v>0</v>
      </c>
      <c r="L5630" s="10" t="str">
        <f>HYPERLINK("https://otsuka-europe-crm.veevavault.com/ui/#object/approved_document__v/V5O000000001001", "AM2M - PSIQUIATRÍA - Guía preguntas pacientes")</f>
        <v>AM2M - PSIQUIATRÍA - Guía preguntas pacientes</v>
      </c>
      <c r="M5630" s="10" t="str">
        <f>HYPERLINK("mailto:jllombart@crm.otsuka-europe.com", "jllombart@crm.otsuka-europe.com")</f>
        <v>jllombart@crm.otsuka-europe.com</v>
      </c>
      <c r="N5630" s="13">
        <v>46223.373402777775</v>
      </c>
      <c r="O5630" s="14" t="str">
        <f>HYPERLINK("https://otsuka-europe-crm.veevavault.com/ui/#object/email_activity__v/V8C00000004B128", "EN-002106950")</f>
        <v>EN-002106950</v>
      </c>
    </row>
    <row r="5631" spans="1:15" ht="16" x14ac:dyDescent="0.2">
      <c r="A5631" s="18" t="str">
        <f>HYPERLINK("https://otsuka-europe-crm.veevavault.com/ui/#object/account__v/V4TZ06G6O71URPX", "ORIOL BORRULL AVILA")</f>
        <v>ORIOL BORRULL AVILA</v>
      </c>
      <c r="B5631" s="18" t="str">
        <f>HYPERLINK("https://otsuka-europe-crm.veevavault.com/ui/#object/vcountry__v/VENZ000004SONF5", "ES")</f>
        <v>ES</v>
      </c>
      <c r="C5631" s="20" t="s">
        <v>39</v>
      </c>
      <c r="D5631" s="21" t="str">
        <f>HYPERLINK("https://otsuka-europe-crm.veevavault.com/ui/#object/approved_document__v/V5O000000001001", "AM2M - PSIQUIATRÍA - Guía preguntas pacientes")</f>
        <v>AM2M - PSIQUIATRÍA - Guía preguntas pacientes</v>
      </c>
      <c r="E5631" s="22" t="str">
        <f>HYPERLINK("https://otsuka-europe-crm.veevavault.com/ui/#object/sent_email__v/VBL00000003A074", "SE-001444321")</f>
        <v>SE-001444321</v>
      </c>
      <c r="F5631" s="25">
        <v>46223.399907407409</v>
      </c>
      <c r="G5631" s="24">
        <v>1</v>
      </c>
      <c r="H5631" s="24">
        <v>1</v>
      </c>
      <c r="I5631" s="24">
        <v>0</v>
      </c>
      <c r="J5631" s="23"/>
      <c r="K5631" s="24">
        <v>0</v>
      </c>
      <c r="L5631" s="22" t="str">
        <f>HYPERLINK("https://otsuka-europe-crm.veevavault.com/ui/#object/approved_document__v/V5O000000001001", "AM2M - PSIQUIATRÍA - Guía preguntas pacientes")</f>
        <v>AM2M - PSIQUIATRÍA - Guía preguntas pacientes</v>
      </c>
      <c r="M5631" s="22" t="str">
        <f>HYPERLINK("mailto:jllombart@crm.otsuka-europe.com", "jllombart@crm.otsuka-europe.com")</f>
        <v>jllombart@crm.otsuka-europe.com</v>
      </c>
      <c r="N5631" s="25">
        <v>46223.373402777775</v>
      </c>
      <c r="O5631" s="14" t="str">
        <f>HYPERLINK("https://otsuka-europe-crm.veevavault.com/ui/#object/email_activity__v/V8C00000004B108", "EN-002106924")</f>
        <v>EN-002106924</v>
      </c>
    </row>
    <row r="5632" spans="1:15" ht="16" x14ac:dyDescent="0.2">
      <c r="A5632" s="19"/>
      <c r="B5632" s="19"/>
      <c r="C5632" s="19"/>
      <c r="D5632" s="19"/>
      <c r="E5632" s="19"/>
      <c r="F5632" s="19"/>
      <c r="G5632" s="19"/>
      <c r="H5632" s="19"/>
      <c r="I5632" s="19"/>
      <c r="J5632" s="19"/>
      <c r="K5632" s="19"/>
      <c r="L5632" s="19"/>
      <c r="M5632" s="19"/>
      <c r="N5632" s="19"/>
      <c r="O5632" s="14" t="str">
        <f>HYPERLINK("https://otsuka-europe-crm.veevavault.com/ui/#object/email_activity__v/V8C00000004B184", "EN-002107030")</f>
        <v>EN-002107030</v>
      </c>
    </row>
    <row r="5633" spans="1:15" ht="32" x14ac:dyDescent="0.2">
      <c r="A5633" s="7" t="str">
        <f>HYPERLINK("https://otsuka-europe-crm.veevavault.com/ui/#object/account__v/V4TZ025E87KYNU9", "ANGELA FERNANDEZ GIL DE GOMEZ")</f>
        <v>ANGELA FERNANDEZ GIL DE GOMEZ</v>
      </c>
      <c r="B5633" s="7" t="str">
        <f t="shared" ref="B5633:B5640" si="256">HYPERLINK("https://otsuka-europe-crm.veevavault.com/ui/#object/vcountry__v/VENZ000004SONF5", "ES")</f>
        <v>ES</v>
      </c>
      <c r="C5633" s="8" t="s">
        <v>39</v>
      </c>
      <c r="D5633" s="9" t="str">
        <f t="shared" ref="D5633:D5640" si="257">HYPERLINK("https://otsuka-europe-crm.veevavault.com/ui/#object/approved_document__v/V5O000000001001", "AM2M - PSIQUIATRÍA - Guía preguntas pacientes")</f>
        <v>AM2M - PSIQUIATRÍA - Guía preguntas pacientes</v>
      </c>
      <c r="E5633" s="10" t="str">
        <f>HYPERLINK("https://otsuka-europe-crm.veevavault.com/ui/#object/sent_email__v/VBL00000003A075", "SE-001444322")</f>
        <v>SE-001444322</v>
      </c>
      <c r="F5633" s="11"/>
      <c r="G5633" s="12">
        <v>0</v>
      </c>
      <c r="H5633" s="12">
        <v>0</v>
      </c>
      <c r="I5633" s="12">
        <v>0</v>
      </c>
      <c r="J5633" s="11"/>
      <c r="K5633" s="12">
        <v>0</v>
      </c>
      <c r="L5633" s="10" t="str">
        <f t="shared" ref="L5633:L5640" si="258">HYPERLINK("https://otsuka-europe-crm.veevavault.com/ui/#object/approved_document__v/V5O000000001001", "AM2M - PSIQUIATRÍA - Guía preguntas pacientes")</f>
        <v>AM2M - PSIQUIATRÍA - Guía preguntas pacientes</v>
      </c>
      <c r="M5633" s="10" t="str">
        <f t="shared" ref="M5633:M5640" si="259">HYPERLINK("mailto:jllombart@crm.otsuka-europe.com", "jllombart@crm.otsuka-europe.com")</f>
        <v>jllombart@crm.otsuka-europe.com</v>
      </c>
      <c r="N5633" s="13">
        <v>46223.373425925929</v>
      </c>
      <c r="O5633" s="14" t="str">
        <f>HYPERLINK("https://otsuka-europe-crm.veevavault.com/ui/#object/email_activity__v/V8C00000004B111", "EN-002106928")</f>
        <v>EN-002106928</v>
      </c>
    </row>
    <row r="5634" spans="1:15" ht="32" x14ac:dyDescent="0.2">
      <c r="A5634" s="7" t="str">
        <f>HYPERLINK("https://otsuka-europe-crm.veevavault.com/ui/#object/account__v/V4TZ06G6OC6N451", "LAURA MONTESINOS RUEDA")</f>
        <v>LAURA MONTESINOS RUEDA</v>
      </c>
      <c r="B5634" s="7" t="str">
        <f t="shared" si="256"/>
        <v>ES</v>
      </c>
      <c r="C5634" s="8" t="s">
        <v>39</v>
      </c>
      <c r="D5634" s="9" t="str">
        <f t="shared" si="257"/>
        <v>AM2M - PSIQUIATRÍA - Guía preguntas pacientes</v>
      </c>
      <c r="E5634" s="10" t="str">
        <f>HYPERLINK("https://otsuka-europe-crm.veevavault.com/ui/#object/sent_email__v/VBL00000003A076", "SE-001444323")</f>
        <v>SE-001444323</v>
      </c>
      <c r="F5634" s="11"/>
      <c r="G5634" s="12">
        <v>0</v>
      </c>
      <c r="H5634" s="12">
        <v>0</v>
      </c>
      <c r="I5634" s="12">
        <v>0</v>
      </c>
      <c r="J5634" s="11"/>
      <c r="K5634" s="12">
        <v>0</v>
      </c>
      <c r="L5634" s="10" t="str">
        <f t="shared" si="258"/>
        <v>AM2M - PSIQUIATRÍA - Guía preguntas pacientes</v>
      </c>
      <c r="M5634" s="10" t="str">
        <f t="shared" si="259"/>
        <v>jllombart@crm.otsuka-europe.com</v>
      </c>
      <c r="N5634" s="13">
        <v>46223.373425925929</v>
      </c>
      <c r="O5634" s="14" t="str">
        <f>HYPERLINK("https://otsuka-europe-crm.veevavault.com/ui/#object/email_activity__v/V8C00000004C116", "EN-002107020")</f>
        <v>EN-002107020</v>
      </c>
    </row>
    <row r="5635" spans="1:15" ht="32" x14ac:dyDescent="0.2">
      <c r="A5635" s="7" t="str">
        <f>HYPERLINK("https://otsuka-europe-crm.veevavault.com/ui/#object/account__v/V4T000000023098", "ANTONELA SCIARROTTA")</f>
        <v>ANTONELA SCIARROTTA</v>
      </c>
      <c r="B5635" s="7" t="str">
        <f t="shared" si="256"/>
        <v>ES</v>
      </c>
      <c r="C5635" s="8" t="s">
        <v>39</v>
      </c>
      <c r="D5635" s="9" t="str">
        <f t="shared" si="257"/>
        <v>AM2M - PSIQUIATRÍA - Guía preguntas pacientes</v>
      </c>
      <c r="E5635" s="10" t="str">
        <f>HYPERLINK("https://otsuka-europe-crm.veevavault.com/ui/#object/sent_email__v/VBL00000003A077", "SE-001444324")</f>
        <v>SE-001444324</v>
      </c>
      <c r="F5635" s="11"/>
      <c r="G5635" s="12">
        <v>0</v>
      </c>
      <c r="H5635" s="12">
        <v>0</v>
      </c>
      <c r="I5635" s="12">
        <v>0</v>
      </c>
      <c r="J5635" s="11"/>
      <c r="K5635" s="12">
        <v>0</v>
      </c>
      <c r="L5635" s="10" t="str">
        <f t="shared" si="258"/>
        <v>AM2M - PSIQUIATRÍA - Guía preguntas pacientes</v>
      </c>
      <c r="M5635" s="10" t="str">
        <f t="shared" si="259"/>
        <v>jllombart@crm.otsuka-europe.com</v>
      </c>
      <c r="N5635" s="13">
        <v>46223.373564814814</v>
      </c>
      <c r="O5635" s="14" t="str">
        <f>HYPERLINK("https://otsuka-europe-crm.veevavault.com/ui/#object/email_activity__v/V8C00000004C101", "EN-002106977")</f>
        <v>EN-002106977</v>
      </c>
    </row>
    <row r="5636" spans="1:15" ht="32" x14ac:dyDescent="0.2">
      <c r="A5636" s="7" t="str">
        <f>HYPERLINK("https://otsuka-europe-crm.veevavault.com/ui/#object/account__v/V4TZ06G6O71TCKE", "BEGOÑA VERGE ESTEFANIA")</f>
        <v>BEGOÑA VERGE ESTEFANIA</v>
      </c>
      <c r="B5636" s="7" t="str">
        <f t="shared" si="256"/>
        <v>ES</v>
      </c>
      <c r="C5636" s="8" t="s">
        <v>39</v>
      </c>
      <c r="D5636" s="9" t="str">
        <f t="shared" si="257"/>
        <v>AM2M - PSIQUIATRÍA - Guía preguntas pacientes</v>
      </c>
      <c r="E5636" s="10" t="str">
        <f>HYPERLINK("https://otsuka-europe-crm.veevavault.com/ui/#object/sent_email__v/VBL00000003A078", "SE-001444325")</f>
        <v>SE-001444325</v>
      </c>
      <c r="F5636" s="11"/>
      <c r="G5636" s="12">
        <v>0</v>
      </c>
      <c r="H5636" s="12">
        <v>0</v>
      </c>
      <c r="I5636" s="12">
        <v>0</v>
      </c>
      <c r="J5636" s="11"/>
      <c r="K5636" s="12">
        <v>0</v>
      </c>
      <c r="L5636" s="10" t="str">
        <f t="shared" si="258"/>
        <v>AM2M - PSIQUIATRÍA - Guía preguntas pacientes</v>
      </c>
      <c r="M5636" s="10" t="str">
        <f t="shared" si="259"/>
        <v>jllombart@crm.otsuka-europe.com</v>
      </c>
      <c r="N5636" s="13">
        <v>46223.373564814814</v>
      </c>
      <c r="O5636" s="14" t="str">
        <f>HYPERLINK("https://otsuka-europe-crm.veevavault.com/ui/#object/email_activity__v/V8C00000004C098", "EN-002106974")</f>
        <v>EN-002106974</v>
      </c>
    </row>
    <row r="5637" spans="1:15" ht="32" x14ac:dyDescent="0.2">
      <c r="A5637" s="7" t="str">
        <f>HYPERLINK("https://otsuka-europe-crm.veevavault.com/ui/#object/account__v/V4TZ06G6O71TAAN", "CANDIDA IRUELA JORDAN")</f>
        <v>CANDIDA IRUELA JORDAN</v>
      </c>
      <c r="B5637" s="7" t="str">
        <f t="shared" si="256"/>
        <v>ES</v>
      </c>
      <c r="C5637" s="8" t="s">
        <v>39</v>
      </c>
      <c r="D5637" s="9" t="str">
        <f t="shared" si="257"/>
        <v>AM2M - PSIQUIATRÍA - Guía preguntas pacientes</v>
      </c>
      <c r="E5637" s="10" t="str">
        <f>HYPERLINK("https://otsuka-europe-crm.veevavault.com/ui/#object/sent_email__v/VBL00000003A079", "SE-001444326")</f>
        <v>SE-001444326</v>
      </c>
      <c r="F5637" s="11"/>
      <c r="G5637" s="12">
        <v>0</v>
      </c>
      <c r="H5637" s="12">
        <v>0</v>
      </c>
      <c r="I5637" s="12">
        <v>0</v>
      </c>
      <c r="J5637" s="11"/>
      <c r="K5637" s="12">
        <v>0</v>
      </c>
      <c r="L5637" s="10" t="str">
        <f t="shared" si="258"/>
        <v>AM2M - PSIQUIATRÍA - Guía preguntas pacientes</v>
      </c>
      <c r="M5637" s="10" t="str">
        <f t="shared" si="259"/>
        <v>jllombart@crm.otsuka-europe.com</v>
      </c>
      <c r="N5637" s="13">
        <v>46223.373425925929</v>
      </c>
      <c r="O5637" s="14" t="str">
        <f>HYPERLINK("https://otsuka-europe-crm.veevavault.com/ui/#object/email_activity__v/V8C00000004B129", "EN-002106951")</f>
        <v>EN-002106951</v>
      </c>
    </row>
    <row r="5638" spans="1:15" ht="32" x14ac:dyDescent="0.2">
      <c r="A5638" s="7" t="str">
        <f>HYPERLINK("https://otsuka-europe-crm.veevavault.com/ui/#object/account__v/V4TZ025E84DEWJ1", "ELVA GARCIA GONZALEZ")</f>
        <v>ELVA GARCIA GONZALEZ</v>
      </c>
      <c r="B5638" s="7" t="str">
        <f t="shared" si="256"/>
        <v>ES</v>
      </c>
      <c r="C5638" s="8" t="s">
        <v>39</v>
      </c>
      <c r="D5638" s="9" t="str">
        <f t="shared" si="257"/>
        <v>AM2M - PSIQUIATRÍA - Guía preguntas pacientes</v>
      </c>
      <c r="E5638" s="10" t="str">
        <f>HYPERLINK("https://otsuka-europe-crm.veevavault.com/ui/#object/sent_email__v/VBL00000003A080", "SE-001444327")</f>
        <v>SE-001444327</v>
      </c>
      <c r="F5638" s="11"/>
      <c r="G5638" s="12">
        <v>0</v>
      </c>
      <c r="H5638" s="12">
        <v>0</v>
      </c>
      <c r="I5638" s="12">
        <v>0</v>
      </c>
      <c r="J5638" s="11"/>
      <c r="K5638" s="12">
        <v>0</v>
      </c>
      <c r="L5638" s="10" t="str">
        <f t="shared" si="258"/>
        <v>AM2M - PSIQUIATRÍA - Guía preguntas pacientes</v>
      </c>
      <c r="M5638" s="10" t="str">
        <f t="shared" si="259"/>
        <v>jllombart@crm.otsuka-europe.com</v>
      </c>
      <c r="N5638" s="13">
        <v>46223.373564814814</v>
      </c>
      <c r="O5638" s="14" t="str">
        <f>HYPERLINK("https://otsuka-europe-crm.veevavault.com/ui/#object/email_activity__v/V8C00000004B162", "EN-002106995")</f>
        <v>EN-002106995</v>
      </c>
    </row>
    <row r="5639" spans="1:15" ht="32" x14ac:dyDescent="0.2">
      <c r="A5639" s="7" t="str">
        <f>HYPERLINK("https://otsuka-europe-crm.veevavault.com/ui/#object/account__v/V4TZ06G6O71TA16", "MARIA PIEDAD FERNANDEZ CAVIA")</f>
        <v>MARIA PIEDAD FERNANDEZ CAVIA</v>
      </c>
      <c r="B5639" s="7" t="str">
        <f t="shared" si="256"/>
        <v>ES</v>
      </c>
      <c r="C5639" s="8" t="s">
        <v>39</v>
      </c>
      <c r="D5639" s="9" t="str">
        <f t="shared" si="257"/>
        <v>AM2M - PSIQUIATRÍA - Guía preguntas pacientes</v>
      </c>
      <c r="E5639" s="10" t="str">
        <f>HYPERLINK("https://otsuka-europe-crm.veevavault.com/ui/#object/sent_email__v/VBL00000003A081", "SE-001444328")</f>
        <v>SE-001444328</v>
      </c>
      <c r="F5639" s="11"/>
      <c r="G5639" s="12">
        <v>0</v>
      </c>
      <c r="H5639" s="12">
        <v>0</v>
      </c>
      <c r="I5639" s="12">
        <v>0</v>
      </c>
      <c r="J5639" s="11"/>
      <c r="K5639" s="12">
        <v>0</v>
      </c>
      <c r="L5639" s="10" t="str">
        <f t="shared" si="258"/>
        <v>AM2M - PSIQUIATRÍA - Guía preguntas pacientes</v>
      </c>
      <c r="M5639" s="10" t="str">
        <f t="shared" si="259"/>
        <v>jllombart@crm.otsuka-europe.com</v>
      </c>
      <c r="N5639" s="13">
        <v>46223.373564814814</v>
      </c>
      <c r="O5639" s="14" t="str">
        <f>HYPERLINK("https://otsuka-europe-crm.veevavault.com/ui/#object/email_activity__v/V8C00000004C094", "EN-002106948")</f>
        <v>EN-002106948</v>
      </c>
    </row>
    <row r="5640" spans="1:15" ht="16" x14ac:dyDescent="0.2">
      <c r="A5640" s="18" t="str">
        <f>HYPERLINK("https://otsuka-europe-crm.veevavault.com/ui/#object/account__v/V4T000000023097", "MARIA TORRADO GINER")</f>
        <v>MARIA TORRADO GINER</v>
      </c>
      <c r="B5640" s="18" t="str">
        <f t="shared" si="256"/>
        <v>ES</v>
      </c>
      <c r="C5640" s="20" t="s">
        <v>39</v>
      </c>
      <c r="D5640" s="21" t="str">
        <f t="shared" si="257"/>
        <v>AM2M - PSIQUIATRÍA - Guía preguntas pacientes</v>
      </c>
      <c r="E5640" s="22" t="str">
        <f>HYPERLINK("https://otsuka-europe-crm.veevavault.com/ui/#object/sent_email__v/VBL00000003A082", "SE-001444329")</f>
        <v>SE-001444329</v>
      </c>
      <c r="F5640" s="23"/>
      <c r="G5640" s="24">
        <v>0</v>
      </c>
      <c r="H5640" s="24">
        <v>0</v>
      </c>
      <c r="I5640" s="24">
        <v>0</v>
      </c>
      <c r="J5640" s="23"/>
      <c r="K5640" s="24">
        <v>0</v>
      </c>
      <c r="L5640" s="22" t="str">
        <f t="shared" si="258"/>
        <v>AM2M - PSIQUIATRÍA - Guía preguntas pacientes</v>
      </c>
      <c r="M5640" s="22" t="str">
        <f t="shared" si="259"/>
        <v>jllombart@crm.otsuka-europe.com</v>
      </c>
      <c r="N5640" s="25">
        <v>46223.373564814814</v>
      </c>
      <c r="O5640" s="14" t="str">
        <f>HYPERLINK("https://otsuka-europe-crm.veevavault.com/ui/#object/email_activity__v/V8C00000004B133", "EN-002106955")</f>
        <v>EN-002106955</v>
      </c>
    </row>
    <row r="5641" spans="1:15" ht="16" x14ac:dyDescent="0.2">
      <c r="A5641" s="19"/>
      <c r="B5641" s="19"/>
      <c r="C5641" s="19"/>
      <c r="D5641" s="19"/>
      <c r="E5641" s="19"/>
      <c r="F5641" s="19"/>
      <c r="G5641" s="19"/>
      <c r="H5641" s="19"/>
      <c r="I5641" s="19"/>
      <c r="J5641" s="19"/>
      <c r="K5641" s="19"/>
      <c r="L5641" s="19"/>
      <c r="M5641" s="19"/>
      <c r="N5641" s="19"/>
      <c r="O5641" s="14" t="str">
        <f>HYPERLINK("https://otsuka-europe-crm.veevavault.com/ui/#object/email_activity__v/V8C00000004C128", "EN-002107060")</f>
        <v>EN-002107060</v>
      </c>
    </row>
    <row r="5642" spans="1:15" ht="32" x14ac:dyDescent="0.2">
      <c r="A5642" s="7" t="str">
        <f>HYPERLINK("https://otsuka-europe-crm.veevavault.com/ui/#object/account__v/V4TZ06G6O71T799", "MARIA CINTA GAS PRADES")</f>
        <v>MARIA CINTA GAS PRADES</v>
      </c>
      <c r="B5642" s="7" t="str">
        <f>HYPERLINK("https://otsuka-europe-crm.veevavault.com/ui/#object/vcountry__v/VENZ000004SONF5", "ES")</f>
        <v>ES</v>
      </c>
      <c r="C5642" s="8" t="s">
        <v>39</v>
      </c>
      <c r="D5642" s="9" t="str">
        <f>HYPERLINK("https://otsuka-europe-crm.veevavault.com/ui/#object/approved_document__v/V5O000000001001", "AM2M - PSIQUIATRÍA - Guía preguntas pacientes")</f>
        <v>AM2M - PSIQUIATRÍA - Guía preguntas pacientes</v>
      </c>
      <c r="E5642" s="10" t="str">
        <f>HYPERLINK("https://otsuka-europe-crm.veevavault.com/ui/#object/sent_email__v/VBL00000003A083", "SE-001444330")</f>
        <v>SE-001444330</v>
      </c>
      <c r="F5642" s="11"/>
      <c r="G5642" s="12">
        <v>0</v>
      </c>
      <c r="H5642" s="12">
        <v>0</v>
      </c>
      <c r="I5642" s="12">
        <v>0</v>
      </c>
      <c r="J5642" s="11"/>
      <c r="K5642" s="12">
        <v>0</v>
      </c>
      <c r="L5642" s="10" t="str">
        <f>HYPERLINK("https://otsuka-europe-crm.veevavault.com/ui/#object/approved_document__v/V5O000000001001", "AM2M - PSIQUIATRÍA - Guía preguntas pacientes")</f>
        <v>AM2M - PSIQUIATRÍA - Guía preguntas pacientes</v>
      </c>
      <c r="M5642" s="10" t="str">
        <f>HYPERLINK("mailto:jllombart@crm.otsuka-europe.com", "jllombart@crm.otsuka-europe.com")</f>
        <v>jllombart@crm.otsuka-europe.com</v>
      </c>
      <c r="N5642" s="13">
        <v>46223.373564814814</v>
      </c>
      <c r="O5642" s="14" t="str">
        <f>HYPERLINK("https://otsuka-europe-crm.veevavault.com/ui/#object/email_activity__v/V8C00000004B132", "EN-002106954")</f>
        <v>EN-002106954</v>
      </c>
    </row>
    <row r="5643" spans="1:15" ht="16" x14ac:dyDescent="0.2">
      <c r="A5643" s="18" t="str">
        <f>HYPERLINK("https://otsuka-europe-crm.veevavault.com/ui/#object/account__v/V4TZ06G6O71T9TO", "AMED FABELO LAZA")</f>
        <v>AMED FABELO LAZA</v>
      </c>
      <c r="B5643" s="18" t="str">
        <f>HYPERLINK("https://otsuka-europe-crm.veevavault.com/ui/#object/vcountry__v/VENZ000004SONF5", "ES")</f>
        <v>ES</v>
      </c>
      <c r="C5643" s="20" t="s">
        <v>39</v>
      </c>
      <c r="D5643" s="21" t="str">
        <f>HYPERLINK("https://otsuka-europe-crm.veevavault.com/ui/#object/approved_document__v/V5O000000001001", "AM2M - PSIQUIATRÍA - Guía preguntas pacientes")</f>
        <v>AM2M - PSIQUIATRÍA - Guía preguntas pacientes</v>
      </c>
      <c r="E5643" s="22" t="str">
        <f>HYPERLINK("https://otsuka-europe-crm.veevavault.com/ui/#object/sent_email__v/VBL00000003A084", "SE-001444331")</f>
        <v>SE-001444331</v>
      </c>
      <c r="F5643" s="23"/>
      <c r="G5643" s="24">
        <v>0</v>
      </c>
      <c r="H5643" s="24">
        <v>0</v>
      </c>
      <c r="I5643" s="24">
        <v>0</v>
      </c>
      <c r="J5643" s="23"/>
      <c r="K5643" s="24">
        <v>0</v>
      </c>
      <c r="L5643" s="22" t="str">
        <f>HYPERLINK("https://otsuka-europe-crm.veevavault.com/ui/#object/approved_document__v/V5O000000001001", "AM2M - PSIQUIATRÍA - Guía preguntas pacientes")</f>
        <v>AM2M - PSIQUIATRÍA - Guía preguntas pacientes</v>
      </c>
      <c r="M5643" s="22" t="str">
        <f>HYPERLINK("mailto:jllombart@crm.otsuka-europe.com", "jllombart@crm.otsuka-europe.com")</f>
        <v>jllombart@crm.otsuka-europe.com</v>
      </c>
      <c r="N5643" s="25">
        <v>46223.373564814814</v>
      </c>
      <c r="O5643" s="14" t="str">
        <f>HYPERLINK("https://otsuka-europe-crm.veevavault.com/ui/#object/email_activity__v/V8C00000004B154", "EN-002106987")</f>
        <v>EN-002106987</v>
      </c>
    </row>
    <row r="5644" spans="1:15" ht="16" x14ac:dyDescent="0.2">
      <c r="A5644" s="19"/>
      <c r="B5644" s="19"/>
      <c r="C5644" s="19"/>
      <c r="D5644" s="19"/>
      <c r="E5644" s="19"/>
      <c r="F5644" s="19"/>
      <c r="G5644" s="19"/>
      <c r="H5644" s="19"/>
      <c r="I5644" s="19"/>
      <c r="J5644" s="19"/>
      <c r="K5644" s="19"/>
      <c r="L5644" s="19"/>
      <c r="M5644" s="19"/>
      <c r="N5644" s="19"/>
      <c r="O5644" s="14" t="str">
        <f>HYPERLINK("https://otsuka-europe-crm.veevavault.com/ui/#object/email_activity__v/V8C00000004C166", "EN-002107136")</f>
        <v>EN-002107136</v>
      </c>
    </row>
    <row r="5645" spans="1:15" ht="16" x14ac:dyDescent="0.2">
      <c r="A5645" s="18" t="str">
        <f>HYPERLINK("https://otsuka-europe-crm.veevavault.com/ui/#object/account__v/V4TZ06G6OBI90O7", "JOSE DAVID SAA SENDRA")</f>
        <v>JOSE DAVID SAA SENDRA</v>
      </c>
      <c r="B5645" s="18" t="str">
        <f>HYPERLINK("https://otsuka-europe-crm.veevavault.com/ui/#object/vcountry__v/VENZ000004SONF5", "ES")</f>
        <v>ES</v>
      </c>
      <c r="C5645" s="20" t="s">
        <v>39</v>
      </c>
      <c r="D5645" s="21" t="str">
        <f>HYPERLINK("https://otsuka-europe-crm.veevavault.com/ui/#object/approved_document__v/V5O000000001001", "AM2M - PSIQUIATRÍA - Guía preguntas pacientes")</f>
        <v>AM2M - PSIQUIATRÍA - Guía preguntas pacientes</v>
      </c>
      <c r="E5645" s="22" t="str">
        <f>HYPERLINK("https://otsuka-europe-crm.veevavault.com/ui/#object/sent_email__v/VBL00000003A085", "SE-001444332")</f>
        <v>SE-001444332</v>
      </c>
      <c r="F5645" s="25">
        <v>46223.373703703706</v>
      </c>
      <c r="G5645" s="24">
        <v>1</v>
      </c>
      <c r="H5645" s="24">
        <v>1</v>
      </c>
      <c r="I5645" s="24">
        <v>0</v>
      </c>
      <c r="J5645" s="23"/>
      <c r="K5645" s="24">
        <v>0</v>
      </c>
      <c r="L5645" s="22" t="str">
        <f>HYPERLINK("https://otsuka-europe-crm.veevavault.com/ui/#object/approved_document__v/V5O000000001001", "AM2M - PSIQUIATRÍA - Guía preguntas pacientes")</f>
        <v>AM2M - PSIQUIATRÍA - Guía preguntas pacientes</v>
      </c>
      <c r="M5645" s="22" t="str">
        <f>HYPERLINK("mailto:jllombart@crm.otsuka-europe.com", "jllombart@crm.otsuka-europe.com")</f>
        <v>jllombart@crm.otsuka-europe.com</v>
      </c>
      <c r="N5645" s="25">
        <v>46223.373564814814</v>
      </c>
      <c r="O5645" s="14" t="str">
        <f>HYPERLINK("https://otsuka-europe-crm.veevavault.com/ui/#object/email_activity__v/V8C00000004B123", "EN-002106940")</f>
        <v>EN-002106940</v>
      </c>
    </row>
    <row r="5646" spans="1:15" ht="16" x14ac:dyDescent="0.2">
      <c r="A5646" s="19"/>
      <c r="B5646" s="19"/>
      <c r="C5646" s="19"/>
      <c r="D5646" s="19"/>
      <c r="E5646" s="19"/>
      <c r="F5646" s="19"/>
      <c r="G5646" s="19"/>
      <c r="H5646" s="19"/>
      <c r="I5646" s="19"/>
      <c r="J5646" s="19"/>
      <c r="K5646" s="19"/>
      <c r="L5646" s="19"/>
      <c r="M5646" s="19"/>
      <c r="N5646" s="19"/>
      <c r="O5646" s="14" t="str">
        <f>HYPERLINK("https://otsuka-europe-crm.veevavault.com/ui/#object/email_activity__v/V8C00000004B159", "EN-002106992")</f>
        <v>EN-002106992</v>
      </c>
    </row>
    <row r="5647" spans="1:15" ht="16" x14ac:dyDescent="0.2">
      <c r="A5647" s="18" t="str">
        <f>HYPERLINK("https://otsuka-europe-crm.veevavault.com/ui/#object/account__v/V4TZ06G6OB48NGV", "JOSEP ORIOL BRUGUE GONZALEZ")</f>
        <v>JOSEP ORIOL BRUGUE GONZALEZ</v>
      </c>
      <c r="B5647" s="18" t="str">
        <f>HYPERLINK("https://otsuka-europe-crm.veevavault.com/ui/#object/vcountry__v/VENZ000004SONF5", "ES")</f>
        <v>ES</v>
      </c>
      <c r="C5647" s="20" t="s">
        <v>39</v>
      </c>
      <c r="D5647" s="21" t="str">
        <f>HYPERLINK("https://otsuka-europe-crm.veevavault.com/ui/#object/approved_document__v/V5O000000001001", "AM2M - PSIQUIATRÍA - Guía preguntas pacientes")</f>
        <v>AM2M - PSIQUIATRÍA - Guía preguntas pacientes</v>
      </c>
      <c r="E5647" s="22" t="str">
        <f>HYPERLINK("https://otsuka-europe-crm.veevavault.com/ui/#object/sent_email__v/VBL00000003A086", "SE-001444333")</f>
        <v>SE-001444333</v>
      </c>
      <c r="F5647" s="23"/>
      <c r="G5647" s="24">
        <v>0</v>
      </c>
      <c r="H5647" s="24">
        <v>0</v>
      </c>
      <c r="I5647" s="24">
        <v>0</v>
      </c>
      <c r="J5647" s="23"/>
      <c r="K5647" s="24">
        <v>0</v>
      </c>
      <c r="L5647" s="22" t="str">
        <f>HYPERLINK("https://otsuka-europe-crm.veevavault.com/ui/#object/approved_document__v/V5O000000001001", "AM2M - PSIQUIATRÍA - Guía preguntas pacientes")</f>
        <v>AM2M - PSIQUIATRÍA - Guía preguntas pacientes</v>
      </c>
      <c r="M5647" s="22" t="str">
        <f>HYPERLINK("mailto:jllombart@crm.otsuka-europe.com", "jllombart@crm.otsuka-europe.com")</f>
        <v>jllombart@crm.otsuka-europe.com</v>
      </c>
      <c r="N5647" s="25">
        <v>46223.373564814814</v>
      </c>
      <c r="O5647" s="14" t="str">
        <f>HYPERLINK("https://otsuka-europe-crm.veevavault.com/ui/#object/email_activity__v/V8C00000004C112", "EN-002107012")</f>
        <v>EN-002107012</v>
      </c>
    </row>
    <row r="5648" spans="1:15" ht="16" x14ac:dyDescent="0.2">
      <c r="A5648" s="19"/>
      <c r="B5648" s="19"/>
      <c r="C5648" s="19"/>
      <c r="D5648" s="19"/>
      <c r="E5648" s="19"/>
      <c r="F5648" s="19"/>
      <c r="G5648" s="19"/>
      <c r="H5648" s="19"/>
      <c r="I5648" s="19"/>
      <c r="J5648" s="19"/>
      <c r="K5648" s="19"/>
      <c r="L5648" s="19"/>
      <c r="M5648" s="19"/>
      <c r="N5648" s="19"/>
      <c r="O5648" s="14" t="str">
        <f>HYPERLINK("https://otsuka-europe-crm.veevavault.com/ui/#object/email_activity__v/V8C00000004C167", "EN-002107137")</f>
        <v>EN-002107137</v>
      </c>
    </row>
    <row r="5649" spans="1:15" ht="32" x14ac:dyDescent="0.2">
      <c r="A5649" s="7" t="str">
        <f>HYPERLINK("https://otsuka-europe-crm.veevavault.com/ui/#object/account__v/V4T00000000Z068", "LEONIDAS JOSE LLANOS LIZCANO")</f>
        <v>LEONIDAS JOSE LLANOS LIZCANO</v>
      </c>
      <c r="B5649" s="7" t="str">
        <f>HYPERLINK("https://otsuka-europe-crm.veevavault.com/ui/#object/vcountry__v/VENZ000004SONF5", "ES")</f>
        <v>ES</v>
      </c>
      <c r="C5649" s="8" t="s">
        <v>39</v>
      </c>
      <c r="D5649" s="9" t="str">
        <f>HYPERLINK("https://otsuka-europe-crm.veevavault.com/ui/#object/approved_document__v/V5O000000001001", "AM2M - PSIQUIATRÍA - Guía preguntas pacientes")</f>
        <v>AM2M - PSIQUIATRÍA - Guía preguntas pacientes</v>
      </c>
      <c r="E5649" s="10" t="str">
        <f>HYPERLINK("https://otsuka-europe-crm.veevavault.com/ui/#object/sent_email__v/VBL00000003A087", "SE-001444334")</f>
        <v>SE-001444334</v>
      </c>
      <c r="F5649" s="11"/>
      <c r="G5649" s="12">
        <v>0</v>
      </c>
      <c r="H5649" s="12">
        <v>0</v>
      </c>
      <c r="I5649" s="12">
        <v>0</v>
      </c>
      <c r="J5649" s="11"/>
      <c r="K5649" s="12">
        <v>0</v>
      </c>
      <c r="L5649" s="10" t="str">
        <f>HYPERLINK("https://otsuka-europe-crm.veevavault.com/ui/#object/approved_document__v/V5O000000001001", "AM2M - PSIQUIATRÍA - Guía preguntas pacientes")</f>
        <v>AM2M - PSIQUIATRÍA - Guía preguntas pacientes</v>
      </c>
      <c r="M5649" s="10" t="str">
        <f>HYPERLINK("mailto:jllombart@crm.otsuka-europe.com", "jllombart@crm.otsuka-europe.com")</f>
        <v>jllombart@crm.otsuka-europe.com</v>
      </c>
      <c r="N5649" s="13">
        <v>46223.373564814814</v>
      </c>
      <c r="O5649" s="14" t="str">
        <f>HYPERLINK("https://otsuka-europe-crm.veevavault.com/ui/#object/email_activity__v/V8C00000004B134", "EN-002106956")</f>
        <v>EN-002106956</v>
      </c>
    </row>
    <row r="5650" spans="1:15" ht="32" x14ac:dyDescent="0.2">
      <c r="A5650" s="7" t="str">
        <f>HYPERLINK("https://otsuka-europe-crm.veevavault.com/ui/#object/account__v/V4TZ06G6O71T7RF", "MIRIAM FUEYO ESTEVEZ")</f>
        <v>MIRIAM FUEYO ESTEVEZ</v>
      </c>
      <c r="B5650" s="7" t="str">
        <f>HYPERLINK("https://otsuka-europe-crm.veevavault.com/ui/#object/vcountry__v/VENZ000004SONF5", "ES")</f>
        <v>ES</v>
      </c>
      <c r="C5650" s="8" t="s">
        <v>39</v>
      </c>
      <c r="D5650" s="9" t="str">
        <f>HYPERLINK("https://otsuka-europe-crm.veevavault.com/ui/#object/approved_document__v/V5O000000001001", "AM2M - PSIQUIATRÍA - Guía preguntas pacientes")</f>
        <v>AM2M - PSIQUIATRÍA - Guía preguntas pacientes</v>
      </c>
      <c r="E5650" s="10" t="str">
        <f>HYPERLINK("https://otsuka-europe-crm.veevavault.com/ui/#object/sent_email__v/VBL00000003A088", "SE-001444335")</f>
        <v>SE-001444335</v>
      </c>
      <c r="F5650" s="11"/>
      <c r="G5650" s="12">
        <v>0</v>
      </c>
      <c r="H5650" s="12">
        <v>0</v>
      </c>
      <c r="I5650" s="12">
        <v>0</v>
      </c>
      <c r="J5650" s="11"/>
      <c r="K5650" s="12">
        <v>0</v>
      </c>
      <c r="L5650" s="10" t="str">
        <f>HYPERLINK("https://otsuka-europe-crm.veevavault.com/ui/#object/approved_document__v/V5O000000001001", "AM2M - PSIQUIATRÍA - Guía preguntas pacientes")</f>
        <v>AM2M - PSIQUIATRÍA - Guía preguntas pacientes</v>
      </c>
      <c r="M5650" s="10" t="str">
        <f>HYPERLINK("mailto:jllombart@crm.otsuka-europe.com", "jllombart@crm.otsuka-europe.com")</f>
        <v>jllombart@crm.otsuka-europe.com</v>
      </c>
      <c r="N5650" s="13">
        <v>46223.373564814814</v>
      </c>
      <c r="O5650" s="14" t="str">
        <f>HYPERLINK("https://otsuka-europe-crm.veevavault.com/ui/#object/email_activity__v/V8C00000004B160", "EN-002106993")</f>
        <v>EN-002106993</v>
      </c>
    </row>
    <row r="5651" spans="1:15" ht="16" x14ac:dyDescent="0.2">
      <c r="A5651" s="18" t="str">
        <f>HYPERLINK("https://otsuka-europe-crm.veevavault.com/ui/#object/account__v/V4TZ025E83PKPGT", "SEBASTIAN LEONANGELI")</f>
        <v>SEBASTIAN LEONANGELI</v>
      </c>
      <c r="B5651" s="18" t="str">
        <f>HYPERLINK("https://otsuka-europe-crm.veevavault.com/ui/#object/vcountry__v/VENZ000004SONF5", "ES")</f>
        <v>ES</v>
      </c>
      <c r="C5651" s="20" t="s">
        <v>39</v>
      </c>
      <c r="D5651" s="21" t="str">
        <f>HYPERLINK("https://otsuka-europe-crm.veevavault.com/ui/#object/approved_document__v/V5O000000001001", "AM2M - PSIQUIATRÍA - Guía preguntas pacientes")</f>
        <v>AM2M - PSIQUIATRÍA - Guía preguntas pacientes</v>
      </c>
      <c r="E5651" s="22" t="str">
        <f>HYPERLINK("https://otsuka-europe-crm.veevavault.com/ui/#object/sent_email__v/VBL00000003A089", "SE-001444336")</f>
        <v>SE-001444336</v>
      </c>
      <c r="F5651" s="25">
        <v>46223.41134259259</v>
      </c>
      <c r="G5651" s="24">
        <v>1</v>
      </c>
      <c r="H5651" s="24">
        <v>1</v>
      </c>
      <c r="I5651" s="24">
        <v>0</v>
      </c>
      <c r="J5651" s="23"/>
      <c r="K5651" s="24">
        <v>0</v>
      </c>
      <c r="L5651" s="22" t="str">
        <f>HYPERLINK("https://otsuka-europe-crm.veevavault.com/ui/#object/approved_document__v/V5O000000001001", "AM2M - PSIQUIATRÍA - Guía preguntas pacientes")</f>
        <v>AM2M - PSIQUIATRÍA - Guía preguntas pacientes</v>
      </c>
      <c r="M5651" s="22" t="str">
        <f>HYPERLINK("mailto:jllombart@crm.otsuka-europe.com", "jllombart@crm.otsuka-europe.com")</f>
        <v>jllombart@crm.otsuka-europe.com</v>
      </c>
      <c r="N5651" s="25">
        <v>46223.373564814814</v>
      </c>
      <c r="O5651" s="14" t="str">
        <f>HYPERLINK("https://otsuka-europe-crm.veevavault.com/ui/#object/email_activity__v/V8C00000004B155", "EN-002106988")</f>
        <v>EN-002106988</v>
      </c>
    </row>
    <row r="5652" spans="1:15" ht="16" x14ac:dyDescent="0.2">
      <c r="A5652" s="19"/>
      <c r="B5652" s="19"/>
      <c r="C5652" s="19"/>
      <c r="D5652" s="19"/>
      <c r="E5652" s="19"/>
      <c r="F5652" s="19"/>
      <c r="G5652" s="19"/>
      <c r="H5652" s="19"/>
      <c r="I5652" s="19"/>
      <c r="J5652" s="19"/>
      <c r="K5652" s="19"/>
      <c r="L5652" s="19"/>
      <c r="M5652" s="19"/>
      <c r="N5652" s="19"/>
      <c r="O5652" s="14" t="str">
        <f>HYPERLINK("https://otsuka-europe-crm.veevavault.com/ui/#object/email_activity__v/V8C00000004C119", "EN-002107031")</f>
        <v>EN-002107031</v>
      </c>
    </row>
    <row r="5653" spans="1:15" ht="16" x14ac:dyDescent="0.2">
      <c r="A5653" s="18" t="str">
        <f>HYPERLINK("https://otsuka-europe-crm.veevavault.com/ui/#object/account__v/V4TZ04ASGGI3KJ4", "PATRICIA MARTI NIETO")</f>
        <v>PATRICIA MARTI NIETO</v>
      </c>
      <c r="B5653" s="18" t="str">
        <f>HYPERLINK("https://otsuka-europe-crm.veevavault.com/ui/#object/vcountry__v/VENZ000004SONF5", "ES")</f>
        <v>ES</v>
      </c>
      <c r="C5653" s="20" t="s">
        <v>39</v>
      </c>
      <c r="D5653" s="21" t="str">
        <f>HYPERLINK("https://otsuka-europe-crm.veevavault.com/ui/#object/approved_document__v/V5O000000001001", "AM2M - PSIQUIATRÍA - Guía preguntas pacientes")</f>
        <v>AM2M - PSIQUIATRÍA - Guía preguntas pacientes</v>
      </c>
      <c r="E5653" s="22" t="str">
        <f>HYPERLINK("https://otsuka-europe-crm.veevavault.com/ui/#object/sent_email__v/VBL00000003A090", "SE-001444337")</f>
        <v>SE-001444337</v>
      </c>
      <c r="F5653" s="25">
        <v>46223.373668981483</v>
      </c>
      <c r="G5653" s="24">
        <v>1</v>
      </c>
      <c r="H5653" s="24">
        <v>1</v>
      </c>
      <c r="I5653" s="24">
        <v>0</v>
      </c>
      <c r="J5653" s="23"/>
      <c r="K5653" s="24">
        <v>0</v>
      </c>
      <c r="L5653" s="22" t="str">
        <f>HYPERLINK("https://otsuka-europe-crm.veevavault.com/ui/#object/approved_document__v/V5O000000001001", "AM2M - PSIQUIATRÍA - Guía preguntas pacientes")</f>
        <v>AM2M - PSIQUIATRÍA - Guía preguntas pacientes</v>
      </c>
      <c r="M5653" s="22" t="str">
        <f>HYPERLINK("mailto:jllombart@crm.otsuka-europe.com", "jllombart@crm.otsuka-europe.com")</f>
        <v>jllombart@crm.otsuka-europe.com</v>
      </c>
      <c r="N5653" s="25">
        <v>46223.373564814814</v>
      </c>
      <c r="O5653" s="14" t="str">
        <f>HYPERLINK("https://otsuka-europe-crm.veevavault.com/ui/#object/email_activity__v/V8C00000004B112", "EN-002106929")</f>
        <v>EN-002106929</v>
      </c>
    </row>
    <row r="5654" spans="1:15" ht="16" x14ac:dyDescent="0.2">
      <c r="A5654" s="19"/>
      <c r="B5654" s="19"/>
      <c r="C5654" s="19"/>
      <c r="D5654" s="19"/>
      <c r="E5654" s="19"/>
      <c r="F5654" s="19"/>
      <c r="G5654" s="19"/>
      <c r="H5654" s="19"/>
      <c r="I5654" s="19"/>
      <c r="J5654" s="19"/>
      <c r="K5654" s="19"/>
      <c r="L5654" s="19"/>
      <c r="M5654" s="19"/>
      <c r="N5654" s="19"/>
      <c r="O5654" s="14" t="str">
        <f>HYPERLINK("https://otsuka-europe-crm.veevavault.com/ui/#object/email_activity__v/V8C00000004C102", "EN-002106978")</f>
        <v>EN-002106978</v>
      </c>
    </row>
    <row r="5655" spans="1:15" ht="32" x14ac:dyDescent="0.2">
      <c r="A5655" s="7" t="str">
        <f>HYPERLINK("https://otsuka-europe-crm.veevavault.com/ui/#object/account__v/V4TZ06G6O71T7YN", "MARTA NIUBO GURGUI")</f>
        <v>MARTA NIUBO GURGUI</v>
      </c>
      <c r="B5655" s="7" t="str">
        <f>HYPERLINK("https://otsuka-europe-crm.veevavault.com/ui/#object/vcountry__v/VENZ000004SONF5", "ES")</f>
        <v>ES</v>
      </c>
      <c r="C5655" s="8" t="s">
        <v>39</v>
      </c>
      <c r="D5655" s="9" t="str">
        <f>HYPERLINK("https://otsuka-europe-crm.veevavault.com/ui/#object/approved_document__v/V5O000000001001", "AM2M - PSIQUIATRÍA - Guía preguntas pacientes")</f>
        <v>AM2M - PSIQUIATRÍA - Guía preguntas pacientes</v>
      </c>
      <c r="E5655" s="10" t="str">
        <f>HYPERLINK("https://otsuka-europe-crm.veevavault.com/ui/#object/sent_email__v/VBL00000003A091", "SE-001444338")</f>
        <v>SE-001444338</v>
      </c>
      <c r="F5655" s="11"/>
      <c r="G5655" s="12">
        <v>0</v>
      </c>
      <c r="H5655" s="12">
        <v>0</v>
      </c>
      <c r="I5655" s="12">
        <v>0</v>
      </c>
      <c r="J5655" s="11"/>
      <c r="K5655" s="12">
        <v>0</v>
      </c>
      <c r="L5655" s="10" t="str">
        <f>HYPERLINK("https://otsuka-europe-crm.veevavault.com/ui/#object/approved_document__v/V5O000000001001", "AM2M - PSIQUIATRÍA - Guía preguntas pacientes")</f>
        <v>AM2M - PSIQUIATRÍA - Guía preguntas pacientes</v>
      </c>
      <c r="M5655" s="10" t="str">
        <f>HYPERLINK("mailto:jllombart@crm.otsuka-europe.com", "jllombart@crm.otsuka-europe.com")</f>
        <v>jllombart@crm.otsuka-europe.com</v>
      </c>
      <c r="N5655" s="13">
        <v>46223.373564814814</v>
      </c>
      <c r="O5655" s="14" t="str">
        <f>HYPERLINK("https://otsuka-europe-crm.veevavault.com/ui/#object/email_activity__v/V8C00000004B178", "EN-002107022")</f>
        <v>EN-002107022</v>
      </c>
    </row>
    <row r="5656" spans="1:15" ht="16" x14ac:dyDescent="0.2">
      <c r="A5656" s="18" t="str">
        <f>HYPERLINK("https://otsuka-europe-crm.veevavault.com/ui/#object/account__v/V4TZ025E891ROHR", "BERTHA GUZMAN AMAYA")</f>
        <v>BERTHA GUZMAN AMAYA</v>
      </c>
      <c r="B5656" s="18" t="str">
        <f>HYPERLINK("https://otsuka-europe-crm.veevavault.com/ui/#object/vcountry__v/VENZ000004SONF5", "ES")</f>
        <v>ES</v>
      </c>
      <c r="C5656" s="20" t="s">
        <v>39</v>
      </c>
      <c r="D5656" s="21" t="str">
        <f>HYPERLINK("https://otsuka-europe-crm.veevavault.com/ui/#object/approved_document__v/V5O000000001001", "AM2M - PSIQUIATRÍA - Guía preguntas pacientes")</f>
        <v>AM2M - PSIQUIATRÍA - Guía preguntas pacientes</v>
      </c>
      <c r="E5656" s="22" t="str">
        <f>HYPERLINK("https://otsuka-europe-crm.veevavault.com/ui/#object/sent_email__v/VBL00000003A092", "SE-001444339")</f>
        <v>SE-001444339</v>
      </c>
      <c r="F5656" s="25">
        <v>46223.379849537036</v>
      </c>
      <c r="G5656" s="24">
        <v>1</v>
      </c>
      <c r="H5656" s="24">
        <v>1</v>
      </c>
      <c r="I5656" s="24">
        <v>1</v>
      </c>
      <c r="J5656" s="25">
        <v>46223.379849537036</v>
      </c>
      <c r="K5656" s="24">
        <v>1</v>
      </c>
      <c r="L5656" s="22" t="str">
        <f>HYPERLINK("https://otsuka-europe-crm.veevavault.com/ui/#object/approved_document__v/V5O000000001001", "AM2M - PSIQUIATRÍA - Guía preguntas pacientes")</f>
        <v>AM2M - PSIQUIATRÍA - Guía preguntas pacientes</v>
      </c>
      <c r="M5656" s="22" t="str">
        <f>HYPERLINK("mailto:jllombart@crm.otsuka-europe.com", "jllombart@crm.otsuka-europe.com")</f>
        <v>jllombart@crm.otsuka-europe.com</v>
      </c>
      <c r="N5656" s="25">
        <v>46223.373564814814</v>
      </c>
      <c r="O5656" s="14" t="str">
        <f>HYPERLINK("https://otsuka-europe-crm.veevavault.com/ui/#object/email_activity__v/V8C00000004B171", "EN-002107009")</f>
        <v>EN-002107009</v>
      </c>
    </row>
    <row r="5657" spans="1:15" ht="16" x14ac:dyDescent="0.2">
      <c r="A5657" s="26"/>
      <c r="B5657" s="26"/>
      <c r="C5657" s="26"/>
      <c r="D5657" s="26"/>
      <c r="E5657" s="26"/>
      <c r="F5657" s="26"/>
      <c r="G5657" s="26"/>
      <c r="H5657" s="26"/>
      <c r="I5657" s="26"/>
      <c r="J5657" s="26"/>
      <c r="K5657" s="26"/>
      <c r="L5657" s="26"/>
      <c r="M5657" s="26"/>
      <c r="N5657" s="26"/>
      <c r="O5657" s="14" t="str">
        <f>HYPERLINK("https://otsuka-europe-crm.veevavault.com/ui/#object/email_activity__v/V8C00000004B172", "EN-002107008")</f>
        <v>EN-002107008</v>
      </c>
    </row>
    <row r="5658" spans="1:15" ht="16" x14ac:dyDescent="0.2">
      <c r="A5658" s="26"/>
      <c r="B5658" s="26"/>
      <c r="C5658" s="26"/>
      <c r="D5658" s="26"/>
      <c r="E5658" s="26"/>
      <c r="F5658" s="26"/>
      <c r="G5658" s="26"/>
      <c r="H5658" s="26"/>
      <c r="I5658" s="26"/>
      <c r="J5658" s="26"/>
      <c r="K5658" s="26"/>
      <c r="L5658" s="26"/>
      <c r="M5658" s="26"/>
      <c r="N5658" s="26"/>
      <c r="O5658" s="14" t="str">
        <f>HYPERLINK("https://otsuka-europe-crm.veevavault.com/ui/#object/email_activity__v/V8C00000004C092", "EN-002106946")</f>
        <v>EN-002106946</v>
      </c>
    </row>
    <row r="5659" spans="1:15" ht="16" x14ac:dyDescent="0.2">
      <c r="A5659" s="19"/>
      <c r="B5659" s="19"/>
      <c r="C5659" s="19"/>
      <c r="D5659" s="19"/>
      <c r="E5659" s="19"/>
      <c r="F5659" s="19"/>
      <c r="G5659" s="19"/>
      <c r="H5659" s="19"/>
      <c r="I5659" s="19"/>
      <c r="J5659" s="19"/>
      <c r="K5659" s="19"/>
      <c r="L5659" s="19"/>
      <c r="M5659" s="19"/>
      <c r="N5659" s="19"/>
      <c r="O5659" s="14" t="str">
        <f>HYPERLINK("https://otsuka-europe-crm.veevavault.com/ui/#object/email_activity__v/V8C00000004C115", "EN-002107016")</f>
        <v>EN-002107016</v>
      </c>
    </row>
    <row r="5660" spans="1:15" ht="16" x14ac:dyDescent="0.2">
      <c r="A5660" s="18" t="str">
        <f>HYPERLINK("https://otsuka-europe-crm.veevavault.com/ui/#object/account__v/V4TZ025E86SZSXE", "LEONARDO ANDRES HERNANDEZ ACOSTA")</f>
        <v>LEONARDO ANDRES HERNANDEZ ACOSTA</v>
      </c>
      <c r="B5660" s="18" t="str">
        <f>HYPERLINK("https://otsuka-europe-crm.veevavault.com/ui/#object/vcountry__v/VENZ000004SONF5", "ES")</f>
        <v>ES</v>
      </c>
      <c r="C5660" s="20" t="s">
        <v>39</v>
      </c>
      <c r="D5660" s="21" t="str">
        <f>HYPERLINK("https://otsuka-europe-crm.veevavault.com/ui/#object/approved_document__v/V5O000000001001", "AM2M - PSIQUIATRÍA - Guía preguntas pacientes")</f>
        <v>AM2M - PSIQUIATRÍA - Guía preguntas pacientes</v>
      </c>
      <c r="E5660" s="22" t="str">
        <f>HYPERLINK("https://otsuka-europe-crm.veevavault.com/ui/#object/sent_email__v/VBL00000003A093", "SE-001444340")</f>
        <v>SE-001444340</v>
      </c>
      <c r="F5660" s="25">
        <v>46223.537280092591</v>
      </c>
      <c r="G5660" s="24">
        <v>1</v>
      </c>
      <c r="H5660" s="24">
        <v>1</v>
      </c>
      <c r="I5660" s="24">
        <v>0</v>
      </c>
      <c r="J5660" s="23"/>
      <c r="K5660" s="24">
        <v>0</v>
      </c>
      <c r="L5660" s="22" t="str">
        <f>HYPERLINK("https://otsuka-europe-crm.veevavault.com/ui/#object/approved_document__v/V5O000000001001", "AM2M - PSIQUIATRÍA - Guía preguntas pacientes")</f>
        <v>AM2M - PSIQUIATRÍA - Guía preguntas pacientes</v>
      </c>
      <c r="M5660" s="22" t="str">
        <f>HYPERLINK("mailto:jllombart@crm.otsuka-europe.com", "jllombart@crm.otsuka-europe.com")</f>
        <v>jllombart@crm.otsuka-europe.com</v>
      </c>
      <c r="N5660" s="25">
        <v>46223.373564814814</v>
      </c>
      <c r="O5660" s="14" t="str">
        <f>HYPERLINK("https://otsuka-europe-crm.veevavault.com/ui/#object/email_activity__v/V8C00000004B144", "EN-002106966")</f>
        <v>EN-002106966</v>
      </c>
    </row>
    <row r="5661" spans="1:15" ht="16" x14ac:dyDescent="0.2">
      <c r="A5661" s="19"/>
      <c r="B5661" s="19"/>
      <c r="C5661" s="19"/>
      <c r="D5661" s="19"/>
      <c r="E5661" s="19"/>
      <c r="F5661" s="19"/>
      <c r="G5661" s="19"/>
      <c r="H5661" s="19"/>
      <c r="I5661" s="19"/>
      <c r="J5661" s="19"/>
      <c r="K5661" s="19"/>
      <c r="L5661" s="19"/>
      <c r="M5661" s="19"/>
      <c r="N5661" s="19"/>
      <c r="O5661" s="14" t="str">
        <f>HYPERLINK("https://otsuka-europe-crm.veevavault.com/ui/#object/email_activity__v/V8C00000004B228", "EN-002107098")</f>
        <v>EN-002107098</v>
      </c>
    </row>
    <row r="5662" spans="1:15" ht="32" x14ac:dyDescent="0.2">
      <c r="A5662" s="7" t="str">
        <f>HYPERLINK("https://otsuka-europe-crm.veevavault.com/ui/#object/account__v/V4TZ025E84D1UE2", "RODRIGO ANDRES VIRREIRA ARRIEN")</f>
        <v>RODRIGO ANDRES VIRREIRA ARRIEN</v>
      </c>
      <c r="B5662" s="7" t="str">
        <f t="shared" ref="B5662:B5667" si="260">HYPERLINK("https://otsuka-europe-crm.veevavault.com/ui/#object/vcountry__v/VENZ000004SONF5", "ES")</f>
        <v>ES</v>
      </c>
      <c r="C5662" s="8" t="s">
        <v>39</v>
      </c>
      <c r="D5662" s="9" t="str">
        <f t="shared" ref="D5662:D5667" si="261">HYPERLINK("https://otsuka-europe-crm.veevavault.com/ui/#object/approved_document__v/V5O000000001001", "AM2M - PSIQUIATRÍA - Guía preguntas pacientes")</f>
        <v>AM2M - PSIQUIATRÍA - Guía preguntas pacientes</v>
      </c>
      <c r="E5662" s="10" t="str">
        <f>HYPERLINK("https://otsuka-europe-crm.veevavault.com/ui/#object/sent_email__v/VBL00000003A094", "SE-001444341")</f>
        <v>SE-001444341</v>
      </c>
      <c r="F5662" s="11"/>
      <c r="G5662" s="12">
        <v>0</v>
      </c>
      <c r="H5662" s="12">
        <v>0</v>
      </c>
      <c r="I5662" s="12">
        <v>0</v>
      </c>
      <c r="J5662" s="11"/>
      <c r="K5662" s="12">
        <v>0</v>
      </c>
      <c r="L5662" s="10" t="str">
        <f t="shared" ref="L5662:L5667" si="262">HYPERLINK("https://otsuka-europe-crm.veevavault.com/ui/#object/approved_document__v/V5O000000001001", "AM2M - PSIQUIATRÍA - Guía preguntas pacientes")</f>
        <v>AM2M - PSIQUIATRÍA - Guía preguntas pacientes</v>
      </c>
      <c r="M5662" s="10" t="str">
        <f t="shared" ref="M5662:M5667" si="263">HYPERLINK("mailto:jllombart@crm.otsuka-europe.com", "jllombart@crm.otsuka-europe.com")</f>
        <v>jllombart@crm.otsuka-europe.com</v>
      </c>
      <c r="N5662" s="13">
        <v>46223.373564814814</v>
      </c>
      <c r="O5662" s="14" t="str">
        <f>HYPERLINK("https://otsuka-europe-crm.veevavault.com/ui/#object/email_activity__v/V8C00000004C106", "EN-002107000")</f>
        <v>EN-002107000</v>
      </c>
    </row>
    <row r="5663" spans="1:15" ht="32" x14ac:dyDescent="0.2">
      <c r="A5663" s="7" t="str">
        <f>HYPERLINK("https://otsuka-europe-crm.veevavault.com/ui/#object/account__v/V4TZ06G6O71U96U", "MARIA ISABEL ITURRIAGA NIEVA")</f>
        <v>MARIA ISABEL ITURRIAGA NIEVA</v>
      </c>
      <c r="B5663" s="7" t="str">
        <f t="shared" si="260"/>
        <v>ES</v>
      </c>
      <c r="C5663" s="8" t="s">
        <v>39</v>
      </c>
      <c r="D5663" s="9" t="str">
        <f t="shared" si="261"/>
        <v>AM2M - PSIQUIATRÍA - Guía preguntas pacientes</v>
      </c>
      <c r="E5663" s="10" t="str">
        <f>HYPERLINK("https://otsuka-europe-crm.veevavault.com/ui/#object/sent_email__v/VBL00000003A095", "SE-001444342")</f>
        <v>SE-001444342</v>
      </c>
      <c r="F5663" s="11"/>
      <c r="G5663" s="12">
        <v>0</v>
      </c>
      <c r="H5663" s="12">
        <v>0</v>
      </c>
      <c r="I5663" s="12">
        <v>0</v>
      </c>
      <c r="J5663" s="11"/>
      <c r="K5663" s="12">
        <v>0</v>
      </c>
      <c r="L5663" s="10" t="str">
        <f t="shared" si="262"/>
        <v>AM2M - PSIQUIATRÍA - Guía preguntas pacientes</v>
      </c>
      <c r="M5663" s="10" t="str">
        <f t="shared" si="263"/>
        <v>jllombart@crm.otsuka-europe.com</v>
      </c>
      <c r="N5663" s="13">
        <v>46223.373564814814</v>
      </c>
      <c r="O5663" s="14" t="str">
        <f>HYPERLINK("https://otsuka-europe-crm.veevavault.com/ui/#object/email_activity__v/V8C00000004B161", "EN-002106994")</f>
        <v>EN-002106994</v>
      </c>
    </row>
    <row r="5664" spans="1:15" ht="32" x14ac:dyDescent="0.2">
      <c r="A5664" s="7" t="str">
        <f>HYPERLINK("https://otsuka-europe-crm.veevavault.com/ui/#object/account__v/V4TZ06G6O71TJZZ", "LAIA CAPARROS XIXONS")</f>
        <v>LAIA CAPARROS XIXONS</v>
      </c>
      <c r="B5664" s="7" t="str">
        <f t="shared" si="260"/>
        <v>ES</v>
      </c>
      <c r="C5664" s="8" t="s">
        <v>39</v>
      </c>
      <c r="D5664" s="9" t="str">
        <f t="shared" si="261"/>
        <v>AM2M - PSIQUIATRÍA - Guía preguntas pacientes</v>
      </c>
      <c r="E5664" s="10" t="str">
        <f>HYPERLINK("https://otsuka-europe-crm.veevavault.com/ui/#object/sent_email__v/VBL00000003A096", "SE-001444343")</f>
        <v>SE-001444343</v>
      </c>
      <c r="F5664" s="11"/>
      <c r="G5664" s="12">
        <v>0</v>
      </c>
      <c r="H5664" s="12">
        <v>0</v>
      </c>
      <c r="I5664" s="12">
        <v>0</v>
      </c>
      <c r="J5664" s="11"/>
      <c r="K5664" s="12">
        <v>0</v>
      </c>
      <c r="L5664" s="10" t="str">
        <f t="shared" si="262"/>
        <v>AM2M - PSIQUIATRÍA - Guía preguntas pacientes</v>
      </c>
      <c r="M5664" s="10" t="str">
        <f t="shared" si="263"/>
        <v>jllombart@crm.otsuka-europe.com</v>
      </c>
      <c r="N5664" s="13">
        <v>46223.373564814814</v>
      </c>
      <c r="O5664" s="14" t="str">
        <f>HYPERLINK("https://otsuka-europe-crm.veevavault.com/ui/#object/email_activity__v/V8C00000004B165", "EN-002106998")</f>
        <v>EN-002106998</v>
      </c>
    </row>
    <row r="5665" spans="1:15" ht="32" x14ac:dyDescent="0.2">
      <c r="A5665" s="7" t="str">
        <f>HYPERLINK("https://otsuka-europe-crm.veevavault.com/ui/#object/account__v/V4TZ06G6O71T85N", "DONIS MAS ROSELL")</f>
        <v>DONIS MAS ROSELL</v>
      </c>
      <c r="B5665" s="7" t="str">
        <f t="shared" si="260"/>
        <v>ES</v>
      </c>
      <c r="C5665" s="8" t="s">
        <v>39</v>
      </c>
      <c r="D5665" s="9" t="str">
        <f t="shared" si="261"/>
        <v>AM2M - PSIQUIATRÍA - Guía preguntas pacientes</v>
      </c>
      <c r="E5665" s="10" t="str">
        <f>HYPERLINK("https://otsuka-europe-crm.veevavault.com/ui/#object/sent_email__v/VBL00000003A097", "SE-001444344")</f>
        <v>SE-001444344</v>
      </c>
      <c r="F5665" s="11"/>
      <c r="G5665" s="12">
        <v>0</v>
      </c>
      <c r="H5665" s="12">
        <v>0</v>
      </c>
      <c r="I5665" s="12">
        <v>0</v>
      </c>
      <c r="J5665" s="11"/>
      <c r="K5665" s="12">
        <v>0</v>
      </c>
      <c r="L5665" s="10" t="str">
        <f t="shared" si="262"/>
        <v>AM2M - PSIQUIATRÍA - Guía preguntas pacientes</v>
      </c>
      <c r="M5665" s="10" t="str">
        <f t="shared" si="263"/>
        <v>jllombart@crm.otsuka-europe.com</v>
      </c>
      <c r="N5665" s="13">
        <v>46223.373564814814</v>
      </c>
      <c r="O5665" s="14" t="str">
        <f>HYPERLINK("https://otsuka-europe-crm.veevavault.com/ui/#object/email_activity__v/V8C00000004B137", "EN-002106959")</f>
        <v>EN-002106959</v>
      </c>
    </row>
    <row r="5666" spans="1:15" ht="32" x14ac:dyDescent="0.2">
      <c r="A5666" s="7" t="str">
        <f>HYPERLINK("https://otsuka-europe-crm.veevavault.com/ui/#object/account__v/V4T000000022104", "MARIA FRANCISCA LOURDES OLIVARI ALBERTTI")</f>
        <v>MARIA FRANCISCA LOURDES OLIVARI ALBERTTI</v>
      </c>
      <c r="B5666" s="7" t="str">
        <f t="shared" si="260"/>
        <v>ES</v>
      </c>
      <c r="C5666" s="8" t="s">
        <v>39</v>
      </c>
      <c r="D5666" s="9" t="str">
        <f t="shared" si="261"/>
        <v>AM2M - PSIQUIATRÍA - Guía preguntas pacientes</v>
      </c>
      <c r="E5666" s="10" t="str">
        <f>HYPERLINK("https://otsuka-europe-crm.veevavault.com/ui/#object/sent_email__v/VBL00000003A098", "SE-001444345")</f>
        <v>SE-001444345</v>
      </c>
      <c r="F5666" s="11"/>
      <c r="G5666" s="12">
        <v>0</v>
      </c>
      <c r="H5666" s="12">
        <v>0</v>
      </c>
      <c r="I5666" s="12">
        <v>0</v>
      </c>
      <c r="J5666" s="11"/>
      <c r="K5666" s="12">
        <v>0</v>
      </c>
      <c r="L5666" s="10" t="str">
        <f t="shared" si="262"/>
        <v>AM2M - PSIQUIATRÍA - Guía preguntas pacientes</v>
      </c>
      <c r="M5666" s="10" t="str">
        <f t="shared" si="263"/>
        <v>jllombart@crm.otsuka-europe.com</v>
      </c>
      <c r="N5666" s="13">
        <v>46223.373564814814</v>
      </c>
      <c r="O5666" s="14" t="str">
        <f>HYPERLINK("https://otsuka-europe-crm.veevavault.com/ui/#object/email_activity__v/V8C00000004C100", "EN-002106976")</f>
        <v>EN-002106976</v>
      </c>
    </row>
    <row r="5667" spans="1:15" ht="16" x14ac:dyDescent="0.2">
      <c r="A5667" s="18" t="str">
        <f>HYPERLINK("https://otsuka-europe-crm.veevavault.com/ui/#object/account__v/V4TZ06G6O71T79P", "IRENE MORENO FERNANDEZ")</f>
        <v>IRENE MORENO FERNANDEZ</v>
      </c>
      <c r="B5667" s="18" t="str">
        <f t="shared" si="260"/>
        <v>ES</v>
      </c>
      <c r="C5667" s="20" t="s">
        <v>39</v>
      </c>
      <c r="D5667" s="21" t="str">
        <f t="shared" si="261"/>
        <v>AM2M - PSIQUIATRÍA - Guía preguntas pacientes</v>
      </c>
      <c r="E5667" s="22" t="str">
        <f>HYPERLINK("https://otsuka-europe-crm.veevavault.com/ui/#object/sent_email__v/VBL00000003A099", "SE-001444346")</f>
        <v>SE-001444346</v>
      </c>
      <c r="F5667" s="23"/>
      <c r="G5667" s="24">
        <v>0</v>
      </c>
      <c r="H5667" s="24">
        <v>0</v>
      </c>
      <c r="I5667" s="24">
        <v>0</v>
      </c>
      <c r="J5667" s="23"/>
      <c r="K5667" s="24">
        <v>0</v>
      </c>
      <c r="L5667" s="22" t="str">
        <f t="shared" si="262"/>
        <v>AM2M - PSIQUIATRÍA - Guía preguntas pacientes</v>
      </c>
      <c r="M5667" s="22" t="str">
        <f t="shared" si="263"/>
        <v>jllombart@crm.otsuka-europe.com</v>
      </c>
      <c r="N5667" s="25">
        <v>46223.373564814814</v>
      </c>
      <c r="O5667" s="14" t="str">
        <f>HYPERLINK("https://otsuka-europe-crm.veevavault.com/ui/#object/email_activity__v/V8C00000004B242", "EN-002107130")</f>
        <v>EN-002107130</v>
      </c>
    </row>
    <row r="5668" spans="1:15" ht="16" x14ac:dyDescent="0.2">
      <c r="A5668" s="19"/>
      <c r="B5668" s="19"/>
      <c r="C5668" s="19"/>
      <c r="D5668" s="19"/>
      <c r="E5668" s="19"/>
      <c r="F5668" s="19"/>
      <c r="G5668" s="19"/>
      <c r="H5668" s="19"/>
      <c r="I5668" s="19"/>
      <c r="J5668" s="19"/>
      <c r="K5668" s="19"/>
      <c r="L5668" s="19"/>
      <c r="M5668" s="19"/>
      <c r="N5668" s="19"/>
      <c r="O5668" s="14" t="str">
        <f>HYPERLINK("https://otsuka-europe-crm.veevavault.com/ui/#object/email_activity__v/V8C00000004C107", "EN-002107001")</f>
        <v>EN-002107001</v>
      </c>
    </row>
    <row r="5669" spans="1:15" ht="32" x14ac:dyDescent="0.2">
      <c r="A5669" s="7" t="str">
        <f>HYPERLINK("https://otsuka-europe-crm.veevavault.com/ui/#object/account__v/V4TZ06G6O71T76Z", "NEUS SALVAT PUJOL")</f>
        <v>NEUS SALVAT PUJOL</v>
      </c>
      <c r="B5669" s="7" t="str">
        <f>HYPERLINK("https://otsuka-europe-crm.veevavault.com/ui/#object/vcountry__v/VENZ000004SONF5", "ES")</f>
        <v>ES</v>
      </c>
      <c r="C5669" s="8" t="s">
        <v>39</v>
      </c>
      <c r="D5669" s="9" t="str">
        <f>HYPERLINK("https://otsuka-europe-crm.veevavault.com/ui/#object/approved_document__v/V5O000000001001", "AM2M - PSIQUIATRÍA - Guía preguntas pacientes")</f>
        <v>AM2M - PSIQUIATRÍA - Guía preguntas pacientes</v>
      </c>
      <c r="E5669" s="10" t="str">
        <f>HYPERLINK("https://otsuka-europe-crm.veevavault.com/ui/#object/sent_email__v/VBL00000003A100", "SE-001444347")</f>
        <v>SE-001444347</v>
      </c>
      <c r="F5669" s="11"/>
      <c r="G5669" s="12">
        <v>0</v>
      </c>
      <c r="H5669" s="12">
        <v>0</v>
      </c>
      <c r="I5669" s="12">
        <v>0</v>
      </c>
      <c r="J5669" s="11"/>
      <c r="K5669" s="12">
        <v>0</v>
      </c>
      <c r="L5669" s="10" t="str">
        <f>HYPERLINK("https://otsuka-europe-crm.veevavault.com/ui/#object/approved_document__v/V5O000000001001", "AM2M - PSIQUIATRÍA - Guía preguntas pacientes")</f>
        <v>AM2M - PSIQUIATRÍA - Guía preguntas pacientes</v>
      </c>
      <c r="M5669" s="10" t="str">
        <f>HYPERLINK("mailto:jllombart@crm.otsuka-europe.com", "jllombart@crm.otsuka-europe.com")</f>
        <v>jllombart@crm.otsuka-europe.com</v>
      </c>
      <c r="N5669" s="13">
        <v>46223.373564814814</v>
      </c>
      <c r="O5669" s="14" t="str">
        <f>HYPERLINK("https://otsuka-europe-crm.veevavault.com/ui/#object/email_activity__v/V8C00000004B135", "EN-002106957")</f>
        <v>EN-002106957</v>
      </c>
    </row>
    <row r="5670" spans="1:15" ht="32" x14ac:dyDescent="0.2">
      <c r="A5670" s="7" t="str">
        <f>HYPERLINK("https://otsuka-europe-crm.veevavault.com/ui/#object/account__v/V4TZ06G6O90LXJM", "JAVIER MEJIA ACOSTA")</f>
        <v>JAVIER MEJIA ACOSTA</v>
      </c>
      <c r="B5670" s="7" t="str">
        <f>HYPERLINK("https://otsuka-europe-crm.veevavault.com/ui/#object/vcountry__v/VENZ000004SONF5", "ES")</f>
        <v>ES</v>
      </c>
      <c r="C5670" s="8" t="s">
        <v>39</v>
      </c>
      <c r="D5670" s="9" t="str">
        <f>HYPERLINK("https://otsuka-europe-crm.veevavault.com/ui/#object/approved_document__v/V5O000000001001", "AM2M - PSIQUIATRÍA - Guía preguntas pacientes")</f>
        <v>AM2M - PSIQUIATRÍA - Guía preguntas pacientes</v>
      </c>
      <c r="E5670" s="10" t="str">
        <f>HYPERLINK("https://otsuka-europe-crm.veevavault.com/ui/#object/sent_email__v/VBL00000003A101", "SE-001444348")</f>
        <v>SE-001444348</v>
      </c>
      <c r="F5670" s="11"/>
      <c r="G5670" s="12">
        <v>0</v>
      </c>
      <c r="H5670" s="12">
        <v>0</v>
      </c>
      <c r="I5670" s="12">
        <v>0</v>
      </c>
      <c r="J5670" s="11"/>
      <c r="K5670" s="12">
        <v>0</v>
      </c>
      <c r="L5670" s="10" t="str">
        <f>HYPERLINK("https://otsuka-europe-crm.veevavault.com/ui/#object/approved_document__v/V5O000000001001", "AM2M - PSIQUIATRÍA - Guía preguntas pacientes")</f>
        <v>AM2M - PSIQUIATRÍA - Guía preguntas pacientes</v>
      </c>
      <c r="M5670" s="10" t="str">
        <f>HYPERLINK("mailto:jllombart@crm.otsuka-europe.com", "jllombart@crm.otsuka-europe.com")</f>
        <v>jllombart@crm.otsuka-europe.com</v>
      </c>
      <c r="N5670" s="13">
        <v>46223.373564814814</v>
      </c>
      <c r="O5670" s="14" t="str">
        <f>HYPERLINK("https://otsuka-europe-crm.veevavault.com/ui/#object/email_activity__v/V8C00000004C104", "EN-002106980")</f>
        <v>EN-002106980</v>
      </c>
    </row>
    <row r="5671" spans="1:15" ht="32" x14ac:dyDescent="0.2">
      <c r="A5671" s="7" t="str">
        <f>HYPERLINK("https://otsuka-europe-crm.veevavault.com/ui/#object/account__v/V4TZ06G6O71T9IG", "MIREIA BORRAS TORRALBO")</f>
        <v>MIREIA BORRAS TORRALBO</v>
      </c>
      <c r="B5671" s="7" t="str">
        <f>HYPERLINK("https://otsuka-europe-crm.veevavault.com/ui/#object/vcountry__v/VENZ000004SONF5", "ES")</f>
        <v>ES</v>
      </c>
      <c r="C5671" s="8" t="s">
        <v>39</v>
      </c>
      <c r="D5671" s="9" t="str">
        <f>HYPERLINK("https://otsuka-europe-crm.veevavault.com/ui/#object/approved_document__v/V5O000000001001", "AM2M - PSIQUIATRÍA - Guía preguntas pacientes")</f>
        <v>AM2M - PSIQUIATRÍA - Guía preguntas pacientes</v>
      </c>
      <c r="E5671" s="10" t="str">
        <f>HYPERLINK("https://otsuka-europe-crm.veevavault.com/ui/#object/sent_email__v/VBL00000003A102", "SE-001444349")</f>
        <v>SE-001444349</v>
      </c>
      <c r="F5671" s="11"/>
      <c r="G5671" s="12">
        <v>0</v>
      </c>
      <c r="H5671" s="12">
        <v>0</v>
      </c>
      <c r="I5671" s="12">
        <v>0</v>
      </c>
      <c r="J5671" s="11"/>
      <c r="K5671" s="12">
        <v>0</v>
      </c>
      <c r="L5671" s="10" t="str">
        <f>HYPERLINK("https://otsuka-europe-crm.veevavault.com/ui/#object/approved_document__v/V5O000000001001", "AM2M - PSIQUIATRÍA - Guía preguntas pacientes")</f>
        <v>AM2M - PSIQUIATRÍA - Guía preguntas pacientes</v>
      </c>
      <c r="M5671" s="10" t="str">
        <f>HYPERLINK("mailto:jllombart@crm.otsuka-europe.com", "jllombart@crm.otsuka-europe.com")</f>
        <v>jllombart@crm.otsuka-europe.com</v>
      </c>
      <c r="N5671" s="13">
        <v>46223.373564814814</v>
      </c>
      <c r="O5671" s="14" t="str">
        <f>HYPERLINK("https://otsuka-europe-crm.veevavault.com/ui/#object/email_activity__v/V8C00000004C114", "EN-002107014")</f>
        <v>EN-002107014</v>
      </c>
    </row>
    <row r="5672" spans="1:15" ht="32" x14ac:dyDescent="0.2">
      <c r="A5672" s="7" t="str">
        <f>HYPERLINK("https://otsuka-europe-crm.veevavault.com/ui/#object/account__v/V4TZ06G6O9VFUZ9", "PAULA ALCAIDE BARRIGA")</f>
        <v>PAULA ALCAIDE BARRIGA</v>
      </c>
      <c r="B5672" s="7" t="str">
        <f>HYPERLINK("https://otsuka-europe-crm.veevavault.com/ui/#object/vcountry__v/VENZ000004SONF5", "ES")</f>
        <v>ES</v>
      </c>
      <c r="C5672" s="8" t="s">
        <v>39</v>
      </c>
      <c r="D5672" s="9" t="str">
        <f>HYPERLINK("https://otsuka-europe-crm.veevavault.com/ui/#object/approved_document__v/V5O000000001001", "AM2M - PSIQUIATRÍA - Guía preguntas pacientes")</f>
        <v>AM2M - PSIQUIATRÍA - Guía preguntas pacientes</v>
      </c>
      <c r="E5672" s="10" t="str">
        <f>HYPERLINK("https://otsuka-europe-crm.veevavault.com/ui/#object/sent_email__v/VBL00000003A103", "SE-001444350")</f>
        <v>SE-001444350</v>
      </c>
      <c r="F5672" s="11"/>
      <c r="G5672" s="12">
        <v>0</v>
      </c>
      <c r="H5672" s="12">
        <v>0</v>
      </c>
      <c r="I5672" s="12">
        <v>0</v>
      </c>
      <c r="J5672" s="11"/>
      <c r="K5672" s="12">
        <v>0</v>
      </c>
      <c r="L5672" s="10" t="str">
        <f>HYPERLINK("https://otsuka-europe-crm.veevavault.com/ui/#object/approved_document__v/V5O000000001001", "AM2M - PSIQUIATRÍA - Guía preguntas pacientes")</f>
        <v>AM2M - PSIQUIATRÍA - Guía preguntas pacientes</v>
      </c>
      <c r="M5672" s="10" t="str">
        <f>HYPERLINK("mailto:jllombart@crm.otsuka-europe.com", "jllombart@crm.otsuka-europe.com")</f>
        <v>jllombart@crm.otsuka-europe.com</v>
      </c>
      <c r="N5672" s="13">
        <v>46223.373564814814</v>
      </c>
      <c r="O5672" s="14" t="str">
        <f>HYPERLINK("https://otsuka-europe-crm.veevavault.com/ui/#object/email_activity__v/V8C00000004B156", "EN-002106989")</f>
        <v>EN-002106989</v>
      </c>
    </row>
    <row r="5673" spans="1:15" ht="16" x14ac:dyDescent="0.2">
      <c r="A5673" s="18" t="str">
        <f>HYPERLINK("https://otsuka-europe-crm.veevavault.com/ui/#object/account__v/V4TZ06G6O9FV9KZ", "GEORGINA CAROLINA GAVOTTI")</f>
        <v>GEORGINA CAROLINA GAVOTTI</v>
      </c>
      <c r="B5673" s="18" t="str">
        <f>HYPERLINK("https://otsuka-europe-crm.veevavault.com/ui/#object/vcountry__v/VENZ000004SONF5", "ES")</f>
        <v>ES</v>
      </c>
      <c r="C5673" s="20" t="s">
        <v>39</v>
      </c>
      <c r="D5673" s="21" t="str">
        <f>HYPERLINK("https://otsuka-europe-crm.veevavault.com/ui/#object/approved_document__v/V5O000000001001", "AM2M - PSIQUIATRÍA - Guía preguntas pacientes")</f>
        <v>AM2M - PSIQUIATRÍA - Guía preguntas pacientes</v>
      </c>
      <c r="E5673" s="22" t="str">
        <f>HYPERLINK("https://otsuka-europe-crm.veevavault.com/ui/#object/sent_email__v/VBL00000003A104", "SE-001444351")</f>
        <v>SE-001444351</v>
      </c>
      <c r="F5673" s="23"/>
      <c r="G5673" s="24">
        <v>0</v>
      </c>
      <c r="H5673" s="24">
        <v>0</v>
      </c>
      <c r="I5673" s="24">
        <v>0</v>
      </c>
      <c r="J5673" s="23"/>
      <c r="K5673" s="24">
        <v>0</v>
      </c>
      <c r="L5673" s="22" t="str">
        <f>HYPERLINK("https://otsuka-europe-crm.veevavault.com/ui/#object/approved_document__v/V5O000000001001", "AM2M - PSIQUIATRÍA - Guía preguntas pacientes")</f>
        <v>AM2M - PSIQUIATRÍA - Guía preguntas pacientes</v>
      </c>
      <c r="M5673" s="22" t="str">
        <f>HYPERLINK("mailto:jllombart@crm.otsuka-europe.com", "jllombart@crm.otsuka-europe.com")</f>
        <v>jllombart@crm.otsuka-europe.com</v>
      </c>
      <c r="N5673" s="25">
        <v>46223.373564814814</v>
      </c>
      <c r="O5673" s="14" t="str">
        <f>HYPERLINK("https://otsuka-europe-crm.veevavault.com/ui/#object/email_activity__v/V8C00000004B114", "EN-002106931")</f>
        <v>EN-002106931</v>
      </c>
    </row>
    <row r="5674" spans="1:15" ht="16" x14ac:dyDescent="0.2">
      <c r="A5674" s="19"/>
      <c r="B5674" s="19"/>
      <c r="C5674" s="19"/>
      <c r="D5674" s="19"/>
      <c r="E5674" s="19"/>
      <c r="F5674" s="19"/>
      <c r="G5674" s="19"/>
      <c r="H5674" s="19"/>
      <c r="I5674" s="19"/>
      <c r="J5674" s="19"/>
      <c r="K5674" s="19"/>
      <c r="L5674" s="19"/>
      <c r="M5674" s="19"/>
      <c r="N5674" s="19"/>
      <c r="O5674" s="14" t="str">
        <f>HYPERLINK("https://otsuka-europe-crm.veevavault.com/ui/#object/email_activity__v/V8C00000004C134", "EN-002107078")</f>
        <v>EN-002107078</v>
      </c>
    </row>
    <row r="5675" spans="1:15" ht="32" x14ac:dyDescent="0.2">
      <c r="A5675" s="7" t="str">
        <f>HYPERLINK("https://otsuka-europe-crm.veevavault.com/ui/#object/account__v/V4TZ06G6O90LZLI", "NICOLAS CAMPANO CONTRERAS")</f>
        <v>NICOLAS CAMPANO CONTRERAS</v>
      </c>
      <c r="B5675" s="7" t="str">
        <f>HYPERLINK("https://otsuka-europe-crm.veevavault.com/ui/#object/vcountry__v/VENZ000004SONF5", "ES")</f>
        <v>ES</v>
      </c>
      <c r="C5675" s="8" t="s">
        <v>39</v>
      </c>
      <c r="D5675" s="9" t="str">
        <f>HYPERLINK("https://otsuka-europe-crm.veevavault.com/ui/#object/approved_document__v/V5O000000001001", "AM2M - PSIQUIATRÍA - Guía preguntas pacientes")</f>
        <v>AM2M - PSIQUIATRÍA - Guía preguntas pacientes</v>
      </c>
      <c r="E5675" s="10" t="str">
        <f>HYPERLINK("https://otsuka-europe-crm.veevavault.com/ui/#object/sent_email__v/VBL00000003A105", "SE-001444352")</f>
        <v>SE-001444352</v>
      </c>
      <c r="F5675" s="11"/>
      <c r="G5675" s="12">
        <v>0</v>
      </c>
      <c r="H5675" s="12">
        <v>0</v>
      </c>
      <c r="I5675" s="12">
        <v>0</v>
      </c>
      <c r="J5675" s="11"/>
      <c r="K5675" s="12">
        <v>0</v>
      </c>
      <c r="L5675" s="10" t="str">
        <f>HYPERLINK("https://otsuka-europe-crm.veevavault.com/ui/#object/approved_document__v/V5O000000001001", "AM2M - PSIQUIATRÍA - Guía preguntas pacientes")</f>
        <v>AM2M - PSIQUIATRÍA - Guía preguntas pacientes</v>
      </c>
      <c r="M5675" s="10" t="str">
        <f>HYPERLINK("mailto:jllombart@crm.otsuka-europe.com", "jllombart@crm.otsuka-europe.com")</f>
        <v>jllombart@crm.otsuka-europe.com</v>
      </c>
      <c r="N5675" s="13">
        <v>46223.373564814814</v>
      </c>
      <c r="O5675" s="14" t="str">
        <f>HYPERLINK("https://otsuka-europe-crm.veevavault.com/ui/#object/email_activity__v/V8C00000004B117", "EN-002106934")</f>
        <v>EN-002106934</v>
      </c>
    </row>
    <row r="5676" spans="1:15" ht="32" x14ac:dyDescent="0.2">
      <c r="A5676" s="7" t="str">
        <f>HYPERLINK("https://otsuka-europe-crm.veevavault.com/ui/#object/account__v/V4T00000002H030", "Selen Morelle")</f>
        <v>Selen Morelle</v>
      </c>
      <c r="B5676" s="7" t="str">
        <f>HYPERLINK("https://otsuka-europe-crm.veevavault.com/ui/#object/vcountry__v/VENZ000004SONFK", "GB")</f>
        <v>GB</v>
      </c>
      <c r="C5676" s="8" t="s">
        <v>41</v>
      </c>
      <c r="D5676" s="9" t="str">
        <f>HYPERLINK("https://otsuka-europe-crm.veevavault.com/ui/#object/approved_document__v/V5OZ025E82PXJSL", "Otsuka Privacy Notice - UK (v2)")</f>
        <v>Otsuka Privacy Notice - UK (v2)</v>
      </c>
      <c r="E5676" s="10" t="str">
        <f>HYPERLINK("https://otsuka-europe-crm.veevavault.com/ui/#object/sent_email__v/VBL00000003A106", "SE-001444353")</f>
        <v>SE-001444353</v>
      </c>
      <c r="F5676" s="11"/>
      <c r="G5676" s="12">
        <v>0</v>
      </c>
      <c r="H5676" s="12">
        <v>0</v>
      </c>
      <c r="I5676" s="12">
        <v>0</v>
      </c>
      <c r="J5676" s="11"/>
      <c r="K5676" s="12">
        <v>0</v>
      </c>
      <c r="L5676" s="10" t="str">
        <f>HYPERLINK("https://otsuka-europe-crm.veevavault.com/ui/#object/approved_document__v/V5OZ025E82PXJSL", "Otsuka Privacy Notice - UK (v2)")</f>
        <v>Otsuka Privacy Notice - UK (v2)</v>
      </c>
      <c r="M5676" s="10" t="str">
        <f>HYPERLINK("mailto:ldimambro@crm.otsuka-europe.com", "ldimambro@crm.otsuka-europe.com")</f>
        <v>ldimambro@crm.otsuka-europe.com</v>
      </c>
      <c r="N5676" s="13">
        <v>46223.399282407408</v>
      </c>
      <c r="O5676" s="14" t="str">
        <f>HYPERLINK("https://otsuka-europe-crm.veevavault.com/ui/#object/email_activity__v/V8C00000004C118", "EN-002107029")</f>
        <v>EN-002107029</v>
      </c>
    </row>
    <row r="5677" spans="1:15" ht="32" x14ac:dyDescent="0.2">
      <c r="A5677" s="7" t="str">
        <f>HYPERLINK("https://otsuka-europe-crm.veevavault.com/ui/#object/account__v/V4T00000001X013", "Farah Al-Sheikhli")</f>
        <v>Farah Al-Sheikhli</v>
      </c>
      <c r="B5677" s="7" t="str">
        <f>HYPERLINK("https://otsuka-europe-crm.veevavault.com/ui/#object/vcountry__v/VENZ000004SONFK", "GB")</f>
        <v>GB</v>
      </c>
      <c r="C5677" s="8" t="s">
        <v>41</v>
      </c>
      <c r="D5677" s="9" t="str">
        <f>HYPERLINK("https://otsuka-europe-crm.veevavault.com/ui/#object/approved_document__v/V5O00000000D081", "UK - Consent Email 1 Aug 25")</f>
        <v>UK - Consent Email 1 Aug 25</v>
      </c>
      <c r="E5677" s="10" t="str">
        <f>HYPERLINK("https://otsuka-europe-crm.veevavault.com/ui/#object/sent_email__v/VBL000000039010", "SE-001444354")</f>
        <v>SE-001444354</v>
      </c>
      <c r="F5677" s="11"/>
      <c r="G5677" s="12">
        <v>0</v>
      </c>
      <c r="H5677" s="12">
        <v>0</v>
      </c>
      <c r="I5677" s="12">
        <v>0</v>
      </c>
      <c r="J5677" s="11"/>
      <c r="K5677" s="12">
        <v>0</v>
      </c>
      <c r="L5677" s="10" t="str">
        <f>HYPERLINK("https://otsuka-europe-crm.veevavault.com/ui/#object/approved_document__v/V5O00000000D081", "UK - Consent Email 1 Aug 25")</f>
        <v>UK - Consent Email 1 Aug 25</v>
      </c>
      <c r="M5677" s="10" t="str">
        <f>HYPERLINK("mailto:ldimambro@crm.otsuka-europe.com", "ldimambro@crm.otsuka-europe.com")</f>
        <v>ldimambro@crm.otsuka-europe.com</v>
      </c>
      <c r="N5677" s="13">
        <v>46223.419861111113</v>
      </c>
      <c r="O5677" s="14" t="str">
        <f>HYPERLINK("https://otsuka-europe-crm.veevavault.com/ui/#object/email_activity__v/V8C00000004C121", "EN-002107036")</f>
        <v>EN-002107036</v>
      </c>
    </row>
    <row r="5678" spans="1:15" ht="32" x14ac:dyDescent="0.2">
      <c r="A5678" s="7" t="str">
        <f>HYPERLINK("https://otsuka-europe-crm.veevavault.com/ui/#object/account__v/V4T00000001X014", "Katy Munro")</f>
        <v>Katy Munro</v>
      </c>
      <c r="B5678" s="7" t="str">
        <f>HYPERLINK("https://otsuka-europe-crm.veevavault.com/ui/#object/vcountry__v/VENZ000004SONFK", "GB")</f>
        <v>GB</v>
      </c>
      <c r="C5678" s="8" t="s">
        <v>41</v>
      </c>
      <c r="D5678" s="9" t="str">
        <f>HYPERLINK("https://otsuka-europe-crm.veevavault.com/ui/#object/approved_document__v/V5O00000000D081", "UK - Consent Email 1 Aug 25")</f>
        <v>UK - Consent Email 1 Aug 25</v>
      </c>
      <c r="E5678" s="10" t="str">
        <f>HYPERLINK("https://otsuka-europe-crm.veevavault.com/ui/#object/sent_email__v/VBL00000003A107", "SE-001444355")</f>
        <v>SE-001444355</v>
      </c>
      <c r="F5678" s="11"/>
      <c r="G5678" s="12">
        <v>0</v>
      </c>
      <c r="H5678" s="12">
        <v>0</v>
      </c>
      <c r="I5678" s="12">
        <v>0</v>
      </c>
      <c r="J5678" s="11"/>
      <c r="K5678" s="12">
        <v>0</v>
      </c>
      <c r="L5678" s="10" t="str">
        <f>HYPERLINK("https://otsuka-europe-crm.veevavault.com/ui/#object/approved_document__v/V5O00000000D081", "UK - Consent Email 1 Aug 25")</f>
        <v>UK - Consent Email 1 Aug 25</v>
      </c>
      <c r="M5678" s="10" t="str">
        <f>HYPERLINK("mailto:ldimambro@crm.otsuka-europe.com", "ldimambro@crm.otsuka-europe.com")</f>
        <v>ldimambro@crm.otsuka-europe.com</v>
      </c>
      <c r="N5678" s="13">
        <v>46223.423506944448</v>
      </c>
      <c r="O5678" s="14" t="str">
        <f>HYPERLINK("https://otsuka-europe-crm.veevavault.com/ui/#object/email_activity__v/V8C00000004B188", "EN-002107037")</f>
        <v>EN-002107037</v>
      </c>
    </row>
    <row r="5679" spans="1:15" ht="16" x14ac:dyDescent="0.2">
      <c r="A5679" s="18" t="str">
        <f>HYPERLINK("https://otsuka-europe-crm.veevavault.com/ui/#object/account__v/V4TZ00000634ZE8", "Gesa Geuther")</f>
        <v>Gesa Geuther</v>
      </c>
      <c r="B5679" s="18" t="str">
        <f>HYPERLINK("https://otsuka-europe-crm.veevavault.com/ui/#object/vcountry__v/VENZ000004SONFP", "DE")</f>
        <v>DE</v>
      </c>
      <c r="C5679" s="20" t="s">
        <v>43</v>
      </c>
      <c r="D5679" s="21" t="str">
        <f>HYPERLINK("https://otsuka-europe-crm.veevavault.com/ui/#object/approved_document__v/V5O00000001W001", "INA VAE DE – Zulassung INAQOVI Venetoclax")</f>
        <v>INA VAE DE – Zulassung INAQOVI Venetoclax</v>
      </c>
      <c r="E5679" s="22" t="str">
        <f>HYPERLINK("https://otsuka-europe-crm.veevavault.com/ui/#object/sent_email__v/VBL000000039011", "SE-001444356")</f>
        <v>SE-001444356</v>
      </c>
      <c r="F5679" s="25">
        <v>46223.430034722223</v>
      </c>
      <c r="G5679" s="24">
        <v>1</v>
      </c>
      <c r="H5679" s="24">
        <v>1</v>
      </c>
      <c r="I5679" s="24">
        <v>0</v>
      </c>
      <c r="J5679" s="23"/>
      <c r="K5679" s="24">
        <v>0</v>
      </c>
      <c r="L5679" s="22" t="str">
        <f>HYPERLINK("https://otsuka-europe-crm.veevavault.com/ui/#object/approved_document__v/V5O00000001W001", "INA VAE DE – Zulassung INAQOVI Venetoclax")</f>
        <v>INA VAE DE – Zulassung INAQOVI Venetoclax</v>
      </c>
      <c r="M5679" s="22" t="str">
        <f>HYPERLINK("mailto:ateichmann@crm.otsuka-europe.com", "ateichmann@crm.otsuka-europe.com")</f>
        <v>ateichmann@crm.otsuka-europe.com</v>
      </c>
      <c r="N5679" s="25">
        <v>46223.429594907408</v>
      </c>
      <c r="O5679" s="14" t="str">
        <f>HYPERLINK("https://otsuka-europe-crm.veevavault.com/ui/#object/email_activity__v/V8C00000004B191", "EN-002107042")</f>
        <v>EN-002107042</v>
      </c>
    </row>
    <row r="5680" spans="1:15" ht="16" x14ac:dyDescent="0.2">
      <c r="A5680" s="19"/>
      <c r="B5680" s="19"/>
      <c r="C5680" s="19"/>
      <c r="D5680" s="19"/>
      <c r="E5680" s="19"/>
      <c r="F5680" s="19"/>
      <c r="G5680" s="19"/>
      <c r="H5680" s="19"/>
      <c r="I5680" s="19"/>
      <c r="J5680" s="19"/>
      <c r="K5680" s="19"/>
      <c r="L5680" s="19"/>
      <c r="M5680" s="19"/>
      <c r="N5680" s="19"/>
      <c r="O5680" s="14" t="str">
        <f>HYPERLINK("https://otsuka-europe-crm.veevavault.com/ui/#object/email_activity__v/V8C00000004C123", "EN-002107041")</f>
        <v>EN-002107041</v>
      </c>
    </row>
    <row r="5681" spans="1:15" ht="16" x14ac:dyDescent="0.2">
      <c r="A5681" s="18" t="str">
        <f>HYPERLINK("https://otsuka-europe-crm.veevavault.com/ui/#object/account__v/V4TZ000006352O1", "Gabriele Reiff")</f>
        <v>Gabriele Reiff</v>
      </c>
      <c r="B5681" s="18" t="str">
        <f>HYPERLINK("https://otsuka-europe-crm.veevavault.com/ui/#object/vcountry__v/VENZ000004SONFP", "DE")</f>
        <v>DE</v>
      </c>
      <c r="C5681" s="20" t="s">
        <v>43</v>
      </c>
      <c r="D5681" s="21" t="str">
        <f>HYPERLINK("https://otsuka-europe-crm.veevavault.com/ui/#object/approved_document__v/V5O00000001W001", "INA VAE DE – Zulassung INAQOVI Venetoclax")</f>
        <v>INA VAE DE – Zulassung INAQOVI Venetoclax</v>
      </c>
      <c r="E5681" s="22" t="str">
        <f>HYPERLINK("https://otsuka-europe-crm.veevavault.com/ui/#object/sent_email__v/VBL000000039012", "SE-001444357")</f>
        <v>SE-001444357</v>
      </c>
      <c r="F5681" s="25">
        <v>46225.447974537034</v>
      </c>
      <c r="G5681" s="24">
        <v>1</v>
      </c>
      <c r="H5681" s="24">
        <v>12</v>
      </c>
      <c r="I5681" s="24">
        <v>1</v>
      </c>
      <c r="J5681" s="25">
        <v>46223.432002314818</v>
      </c>
      <c r="K5681" s="24">
        <v>1</v>
      </c>
      <c r="L5681" s="22" t="str">
        <f>HYPERLINK("https://otsuka-europe-crm.veevavault.com/ui/#object/approved_document__v/V5O00000001W001", "INA VAE DE – Zulassung INAQOVI Venetoclax")</f>
        <v>INA VAE DE – Zulassung INAQOVI Venetoclax</v>
      </c>
      <c r="M5681" s="22" t="str">
        <f>HYPERLINK("mailto:ateichmann@crm.otsuka-europe.com", "ateichmann@crm.otsuka-europe.com")</f>
        <v>ateichmann@crm.otsuka-europe.com</v>
      </c>
      <c r="N5681" s="25">
        <v>46223.431840277779</v>
      </c>
      <c r="O5681" s="14" t="str">
        <f>HYPERLINK("https://otsuka-europe-crm.veevavault.com/ui/#object/email_activity__v/V8C00000004B193", "EN-002107044")</f>
        <v>EN-002107044</v>
      </c>
    </row>
    <row r="5682" spans="1:15" ht="16" x14ac:dyDescent="0.2">
      <c r="A5682" s="26"/>
      <c r="B5682" s="26"/>
      <c r="C5682" s="26"/>
      <c r="D5682" s="26"/>
      <c r="E5682" s="26"/>
      <c r="F5682" s="26"/>
      <c r="G5682" s="26"/>
      <c r="H5682" s="26"/>
      <c r="I5682" s="26"/>
      <c r="J5682" s="26"/>
      <c r="K5682" s="26"/>
      <c r="L5682" s="26"/>
      <c r="M5682" s="26"/>
      <c r="N5682" s="26"/>
      <c r="O5682" s="14" t="str">
        <f>HYPERLINK("https://otsuka-europe-crm.veevavault.com/ui/#object/email_activity__v/V8C00000004B194", "EN-002107046")</f>
        <v>EN-002107046</v>
      </c>
    </row>
    <row r="5683" spans="1:15" ht="16" x14ac:dyDescent="0.2">
      <c r="A5683" s="26"/>
      <c r="B5683" s="26"/>
      <c r="C5683" s="26"/>
      <c r="D5683" s="26"/>
      <c r="E5683" s="26"/>
      <c r="F5683" s="26"/>
      <c r="G5683" s="26"/>
      <c r="H5683" s="26"/>
      <c r="I5683" s="26"/>
      <c r="J5683" s="26"/>
      <c r="K5683" s="26"/>
      <c r="L5683" s="26"/>
      <c r="M5683" s="26"/>
      <c r="N5683" s="26"/>
      <c r="O5683" s="14" t="str">
        <f>HYPERLINK("https://otsuka-europe-crm.veevavault.com/ui/#object/email_activity__v/V8C00000004B195", "EN-002107045")</f>
        <v>EN-002107045</v>
      </c>
    </row>
    <row r="5684" spans="1:15" ht="16" x14ac:dyDescent="0.2">
      <c r="A5684" s="26"/>
      <c r="B5684" s="26"/>
      <c r="C5684" s="26"/>
      <c r="D5684" s="26"/>
      <c r="E5684" s="26"/>
      <c r="F5684" s="26"/>
      <c r="G5684" s="26"/>
      <c r="H5684" s="26"/>
      <c r="I5684" s="26"/>
      <c r="J5684" s="26"/>
      <c r="K5684" s="26"/>
      <c r="L5684" s="26"/>
      <c r="M5684" s="26"/>
      <c r="N5684" s="26"/>
      <c r="O5684" s="14" t="str">
        <f>HYPERLINK("https://otsuka-europe-crm.veevavault.com/ui/#object/email_activity__v/V8C00000004B241", "EN-002107127")</f>
        <v>EN-002107127</v>
      </c>
    </row>
    <row r="5685" spans="1:15" ht="16" x14ac:dyDescent="0.2">
      <c r="A5685" s="26"/>
      <c r="B5685" s="26"/>
      <c r="C5685" s="26"/>
      <c r="D5685" s="26"/>
      <c r="E5685" s="26"/>
      <c r="F5685" s="26"/>
      <c r="G5685" s="26"/>
      <c r="H5685" s="26"/>
      <c r="I5685" s="26"/>
      <c r="J5685" s="26"/>
      <c r="K5685" s="26"/>
      <c r="L5685" s="26"/>
      <c r="M5685" s="26"/>
      <c r="N5685" s="26"/>
      <c r="O5685" s="14" t="str">
        <f>HYPERLINK("https://otsuka-europe-crm.veevavault.com/ui/#object/email_activity__v/V8C00000004B251", "EN-002107152")</f>
        <v>EN-002107152</v>
      </c>
    </row>
    <row r="5686" spans="1:15" ht="16" x14ac:dyDescent="0.2">
      <c r="A5686" s="26"/>
      <c r="B5686" s="26"/>
      <c r="C5686" s="26"/>
      <c r="D5686" s="26"/>
      <c r="E5686" s="26"/>
      <c r="F5686" s="26"/>
      <c r="G5686" s="26"/>
      <c r="H5686" s="26"/>
      <c r="I5686" s="26"/>
      <c r="J5686" s="26"/>
      <c r="K5686" s="26"/>
      <c r="L5686" s="26"/>
      <c r="M5686" s="26"/>
      <c r="N5686" s="26"/>
      <c r="O5686" s="14" t="str">
        <f>HYPERLINK("https://otsuka-europe-crm.veevavault.com/ui/#object/email_activity__v/V8C00000004B767", "EN-002107992")</f>
        <v>EN-002107992</v>
      </c>
    </row>
    <row r="5687" spans="1:15" ht="16" x14ac:dyDescent="0.2">
      <c r="A5687" s="26"/>
      <c r="B5687" s="26"/>
      <c r="C5687" s="26"/>
      <c r="D5687" s="26"/>
      <c r="E5687" s="26"/>
      <c r="F5687" s="26"/>
      <c r="G5687" s="26"/>
      <c r="H5687" s="26"/>
      <c r="I5687" s="26"/>
      <c r="J5687" s="26"/>
      <c r="K5687" s="26"/>
      <c r="L5687" s="26"/>
      <c r="M5687" s="26"/>
      <c r="N5687" s="26"/>
      <c r="O5687" s="14" t="str">
        <f>HYPERLINK("https://otsuka-europe-crm.veevavault.com/ui/#object/email_activity__v/V8C00000004B774", "EN-002108027")</f>
        <v>EN-002108027</v>
      </c>
    </row>
    <row r="5688" spans="1:15" ht="16" x14ac:dyDescent="0.2">
      <c r="A5688" s="26"/>
      <c r="B5688" s="26"/>
      <c r="C5688" s="26"/>
      <c r="D5688" s="26"/>
      <c r="E5688" s="26"/>
      <c r="F5688" s="26"/>
      <c r="G5688" s="26"/>
      <c r="H5688" s="26"/>
      <c r="I5688" s="26"/>
      <c r="J5688" s="26"/>
      <c r="K5688" s="26"/>
      <c r="L5688" s="26"/>
      <c r="M5688" s="26"/>
      <c r="N5688" s="26"/>
      <c r="O5688" s="14" t="str">
        <f>HYPERLINK("https://otsuka-europe-crm.veevavault.com/ui/#object/email_activity__v/V8C00000004C159", "EN-002107128")</f>
        <v>EN-002107128</v>
      </c>
    </row>
    <row r="5689" spans="1:15" ht="16" x14ac:dyDescent="0.2">
      <c r="A5689" s="26"/>
      <c r="B5689" s="26"/>
      <c r="C5689" s="26"/>
      <c r="D5689" s="26"/>
      <c r="E5689" s="26"/>
      <c r="F5689" s="26"/>
      <c r="G5689" s="26"/>
      <c r="H5689" s="26"/>
      <c r="I5689" s="26"/>
      <c r="J5689" s="26"/>
      <c r="K5689" s="26"/>
      <c r="L5689" s="26"/>
      <c r="M5689" s="26"/>
      <c r="N5689" s="26"/>
      <c r="O5689" s="14" t="str">
        <f>HYPERLINK("https://otsuka-europe-crm.veevavault.com/ui/#object/email_activity__v/V8C00000004C190", "EN-002107187")</f>
        <v>EN-002107187</v>
      </c>
    </row>
    <row r="5690" spans="1:15" ht="16" x14ac:dyDescent="0.2">
      <c r="A5690" s="26"/>
      <c r="B5690" s="26"/>
      <c r="C5690" s="26"/>
      <c r="D5690" s="26"/>
      <c r="E5690" s="26"/>
      <c r="F5690" s="26"/>
      <c r="G5690" s="26"/>
      <c r="H5690" s="26"/>
      <c r="I5690" s="26"/>
      <c r="J5690" s="26"/>
      <c r="K5690" s="26"/>
      <c r="L5690" s="26"/>
      <c r="M5690" s="26"/>
      <c r="N5690" s="26"/>
      <c r="O5690" s="14" t="str">
        <f>HYPERLINK("https://otsuka-europe-crm.veevavault.com/ui/#object/email_activity__v/V8C00000004C194", "EN-002107197")</f>
        <v>EN-002107197</v>
      </c>
    </row>
    <row r="5691" spans="1:15" ht="16" x14ac:dyDescent="0.2">
      <c r="A5691" s="26"/>
      <c r="B5691" s="26"/>
      <c r="C5691" s="26"/>
      <c r="D5691" s="26"/>
      <c r="E5691" s="26"/>
      <c r="F5691" s="26"/>
      <c r="G5691" s="26"/>
      <c r="H5691" s="26"/>
      <c r="I5691" s="26"/>
      <c r="J5691" s="26"/>
      <c r="K5691" s="26"/>
      <c r="L5691" s="26"/>
      <c r="M5691" s="26"/>
      <c r="N5691" s="26"/>
      <c r="O5691" s="14" t="str">
        <f>HYPERLINK("https://otsuka-europe-crm.veevavault.com/ui/#object/email_activity__v/V8C00000004C206", "EN-002107217")</f>
        <v>EN-002107217</v>
      </c>
    </row>
    <row r="5692" spans="1:15" ht="16" x14ac:dyDescent="0.2">
      <c r="A5692" s="26"/>
      <c r="B5692" s="26"/>
      <c r="C5692" s="26"/>
      <c r="D5692" s="26"/>
      <c r="E5692" s="26"/>
      <c r="F5692" s="26"/>
      <c r="G5692" s="26"/>
      <c r="H5692" s="26"/>
      <c r="I5692" s="26"/>
      <c r="J5692" s="26"/>
      <c r="K5692" s="26"/>
      <c r="L5692" s="26"/>
      <c r="M5692" s="26"/>
      <c r="N5692" s="26"/>
      <c r="O5692" s="14" t="str">
        <f>HYPERLINK("https://otsuka-europe-crm.veevavault.com/ui/#object/email_activity__v/V8C00000004C207", "EN-002107218")</f>
        <v>EN-002107218</v>
      </c>
    </row>
    <row r="5693" spans="1:15" ht="16" x14ac:dyDescent="0.2">
      <c r="A5693" s="26"/>
      <c r="B5693" s="26"/>
      <c r="C5693" s="26"/>
      <c r="D5693" s="26"/>
      <c r="E5693" s="26"/>
      <c r="F5693" s="26"/>
      <c r="G5693" s="26"/>
      <c r="H5693" s="26"/>
      <c r="I5693" s="26"/>
      <c r="J5693" s="26"/>
      <c r="K5693" s="26"/>
      <c r="L5693" s="26"/>
      <c r="M5693" s="26"/>
      <c r="N5693" s="26"/>
      <c r="O5693" s="14" t="str">
        <f>HYPERLINK("https://otsuka-europe-crm.veevavault.com/ui/#object/email_activity__v/V8C00000004C208", "EN-002107219")</f>
        <v>EN-002107219</v>
      </c>
    </row>
    <row r="5694" spans="1:15" ht="16" x14ac:dyDescent="0.2">
      <c r="A5694" s="19"/>
      <c r="B5694" s="19"/>
      <c r="C5694" s="19"/>
      <c r="D5694" s="19"/>
      <c r="E5694" s="19"/>
      <c r="F5694" s="19"/>
      <c r="G5694" s="19"/>
      <c r="H5694" s="19"/>
      <c r="I5694" s="19"/>
      <c r="J5694" s="19"/>
      <c r="K5694" s="19"/>
      <c r="L5694" s="19"/>
      <c r="M5694" s="19"/>
      <c r="N5694" s="19"/>
      <c r="O5694" s="14" t="str">
        <f>HYPERLINK("https://otsuka-europe-crm.veevavault.com/ui/#object/email_activity__v/V8C00000004C218", "EN-002107238")</f>
        <v>EN-002107238</v>
      </c>
    </row>
    <row r="5695" spans="1:15" ht="32" x14ac:dyDescent="0.2">
      <c r="A5695" s="7" t="str">
        <f>HYPERLINK("https://otsuka-europe-crm.veevavault.com/ui/#object/account__v/V4T000000025046", "LORENZA CHIARA ZINGALE")</f>
        <v>LORENZA CHIARA ZINGALE</v>
      </c>
      <c r="B5695" s="7" t="str">
        <f>HYPERLINK("https://otsuka-europe-crm.veevavault.com/ui/#object/vcountry__v/VENZ000004SONFQ", "IT")</f>
        <v>IT</v>
      </c>
      <c r="C5695" s="8" t="s">
        <v>42</v>
      </c>
      <c r="D5695" s="9" t="str">
        <f>HYPERLINK("https://otsuka-europe-crm.veevavault.com/ui/#object/approved_document__v/V5OZ025E82LS9PY", "IT ToV Veeva Privacy Notice Email")</f>
        <v>IT ToV Veeva Privacy Notice Email</v>
      </c>
      <c r="E5695" s="10" t="str">
        <f>HYPERLINK("https://otsuka-europe-crm.veevavault.com/ui/#object/sent_email__v/VBL000000039013", "SE-001444358")</f>
        <v>SE-001444358</v>
      </c>
      <c r="F5695" s="11"/>
      <c r="G5695" s="12">
        <v>0</v>
      </c>
      <c r="H5695" s="12">
        <v>0</v>
      </c>
      <c r="I5695" s="12">
        <v>0</v>
      </c>
      <c r="J5695" s="11"/>
      <c r="K5695" s="12">
        <v>0</v>
      </c>
      <c r="L5695" s="10" t="str">
        <f>HYPERLINK("https://otsuka-europe-crm.veevavault.com/ui/#object/approved_document__v/V5OZ025E82LS9PY", "IT ToV Veeva Privacy Notice Email")</f>
        <v>IT ToV Veeva Privacy Notice Email</v>
      </c>
      <c r="M5695" s="10" t="str">
        <f>HYPERLINK("mailto:silvia.govoni@crm.otsuka-europe.com", "silvia.govoni@crm.otsuka-europe.com")</f>
        <v>silvia.govoni@crm.otsuka-europe.com</v>
      </c>
      <c r="N5695" s="13">
        <v>46223.43613425926</v>
      </c>
      <c r="O5695" s="14" t="str">
        <f>HYPERLINK("https://otsuka-europe-crm.veevavault.com/ui/#object/email_activity__v/V8C00000004C124", "EN-002107049")</f>
        <v>EN-002107049</v>
      </c>
    </row>
    <row r="5696" spans="1:15" ht="16" x14ac:dyDescent="0.2">
      <c r="A5696" s="18" t="str">
        <f>HYPERLINK("https://otsuka-europe-crm.veevavault.com/ui/#object/account__v/V4TZ06G6O71SCO5", "STEFANIA VAGNONI")</f>
        <v>STEFANIA VAGNONI</v>
      </c>
      <c r="B5696" s="18" t="str">
        <f>HYPERLINK("https://otsuka-europe-crm.veevavault.com/ui/#object/vcountry__v/VENZ000004SONFQ", "IT")</f>
        <v>IT</v>
      </c>
      <c r="C5696" s="20" t="s">
        <v>42</v>
      </c>
      <c r="D5696" s="21" t="str">
        <f>HYPERLINK("https://otsuka-europe-crm.veevavault.com/ui/#object/approved_document__v/V5O00000001Y003", "RXULTI_AE Consensus Fagiolini_IT-RXU-2500037")</f>
        <v>RXULTI_AE Consensus Fagiolini_IT-RXU-2500037</v>
      </c>
      <c r="E5696" s="22" t="str">
        <f>HYPERLINK("https://otsuka-europe-crm.veevavault.com/ui/#object/sent_email__v/VBL00000003A108", "SE-001444360")</f>
        <v>SE-001444360</v>
      </c>
      <c r="F5696" s="25">
        <v>46229.325729166667</v>
      </c>
      <c r="G5696" s="24">
        <v>1</v>
      </c>
      <c r="H5696" s="24">
        <v>2</v>
      </c>
      <c r="I5696" s="24">
        <v>1</v>
      </c>
      <c r="J5696" s="25">
        <v>46229.325729166667</v>
      </c>
      <c r="K5696" s="24">
        <v>2</v>
      </c>
      <c r="L5696" s="22" t="str">
        <f>HYPERLINK("https://otsuka-europe-crm.veevavault.com/ui/#object/approved_document__v/V5O00000001Y003", "RXULTI_AE Consensus Fagiolini_IT-RXU-2500037")</f>
        <v>RXULTI_AE Consensus Fagiolini_IT-RXU-2500037</v>
      </c>
      <c r="M5696" s="22" t="str">
        <f>HYPERLINK("mailto:tiziana.faini@crm.otsuka-europe.com", "tiziana.faini@crm.otsuka-europe.com")</f>
        <v>tiziana.faini@crm.otsuka-europe.com</v>
      </c>
      <c r="N5696" s="25">
        <v>46223.469039351854</v>
      </c>
      <c r="O5696" s="14" t="str">
        <f>HYPERLINK("https://otsuka-europe-crm.veevavault.com/ui/#object/email_activity__v/V8C00000004C132", "EN-002107067")</f>
        <v>EN-002107067</v>
      </c>
    </row>
    <row r="5697" spans="1:15" ht="16" x14ac:dyDescent="0.2">
      <c r="A5697" s="26"/>
      <c r="B5697" s="26"/>
      <c r="C5697" s="26"/>
      <c r="D5697" s="26"/>
      <c r="E5697" s="26"/>
      <c r="F5697" s="26"/>
      <c r="G5697" s="26"/>
      <c r="H5697" s="26"/>
      <c r="I5697" s="26"/>
      <c r="J5697" s="26"/>
      <c r="K5697" s="26"/>
      <c r="L5697" s="26"/>
      <c r="M5697" s="26"/>
      <c r="N5697" s="26"/>
      <c r="O5697" s="14" t="str">
        <f>HYPERLINK("https://otsuka-europe-crm.veevavault.com/ui/#object/email_activity__v/V8C00000004D467", "EN-002109021")</f>
        <v>EN-002109021</v>
      </c>
    </row>
    <row r="5698" spans="1:15" ht="16" x14ac:dyDescent="0.2">
      <c r="A5698" s="26"/>
      <c r="B5698" s="26"/>
      <c r="C5698" s="26"/>
      <c r="D5698" s="26"/>
      <c r="E5698" s="26"/>
      <c r="F5698" s="26"/>
      <c r="G5698" s="26"/>
      <c r="H5698" s="26"/>
      <c r="I5698" s="26"/>
      <c r="J5698" s="26"/>
      <c r="K5698" s="26"/>
      <c r="L5698" s="26"/>
      <c r="M5698" s="26"/>
      <c r="N5698" s="26"/>
      <c r="O5698" s="14" t="str">
        <f>HYPERLINK("https://otsuka-europe-crm.veevavault.com/ui/#object/email_activity__v/V8C00000004D468", "EN-002109020")</f>
        <v>EN-002109020</v>
      </c>
    </row>
    <row r="5699" spans="1:15" ht="16" x14ac:dyDescent="0.2">
      <c r="A5699" s="26"/>
      <c r="B5699" s="26"/>
      <c r="C5699" s="26"/>
      <c r="D5699" s="26"/>
      <c r="E5699" s="26"/>
      <c r="F5699" s="26"/>
      <c r="G5699" s="26"/>
      <c r="H5699" s="26"/>
      <c r="I5699" s="26"/>
      <c r="J5699" s="26"/>
      <c r="K5699" s="26"/>
      <c r="L5699" s="26"/>
      <c r="M5699" s="26"/>
      <c r="N5699" s="26"/>
      <c r="O5699" s="14" t="str">
        <f>HYPERLINK("https://otsuka-europe-crm.veevavault.com/ui/#object/email_activity__v/V8C00000004D469", "EN-002109023")</f>
        <v>EN-002109023</v>
      </c>
    </row>
    <row r="5700" spans="1:15" ht="16" x14ac:dyDescent="0.2">
      <c r="A5700" s="26"/>
      <c r="B5700" s="26"/>
      <c r="C5700" s="26"/>
      <c r="D5700" s="26"/>
      <c r="E5700" s="26"/>
      <c r="F5700" s="26"/>
      <c r="G5700" s="26"/>
      <c r="H5700" s="26"/>
      <c r="I5700" s="26"/>
      <c r="J5700" s="26"/>
      <c r="K5700" s="26"/>
      <c r="L5700" s="26"/>
      <c r="M5700" s="26"/>
      <c r="N5700" s="26"/>
      <c r="O5700" s="14" t="str">
        <f>HYPERLINK("https://otsuka-europe-crm.veevavault.com/ui/#object/email_activity__v/V8C00000004D470", "EN-002109022")</f>
        <v>EN-002109022</v>
      </c>
    </row>
    <row r="5701" spans="1:15" ht="16" x14ac:dyDescent="0.2">
      <c r="A5701" s="19"/>
      <c r="B5701" s="19"/>
      <c r="C5701" s="19"/>
      <c r="D5701" s="19"/>
      <c r="E5701" s="19"/>
      <c r="F5701" s="19"/>
      <c r="G5701" s="19"/>
      <c r="H5701" s="19"/>
      <c r="I5701" s="19"/>
      <c r="J5701" s="19"/>
      <c r="K5701" s="19"/>
      <c r="L5701" s="19"/>
      <c r="M5701" s="19"/>
      <c r="N5701" s="19"/>
      <c r="O5701" s="14" t="str">
        <f>HYPERLINK("https://otsuka-europe-crm.veevavault.com/ui/#object/email_activity__v/V8C00000004D471", "EN-002109024")</f>
        <v>EN-002109024</v>
      </c>
    </row>
    <row r="5702" spans="1:15" ht="16" x14ac:dyDescent="0.2">
      <c r="A5702" s="18" t="str">
        <f>HYPERLINK("https://otsuka-europe-crm.veevavault.com/ui/#object/account__v/V4T00000002A126", "James Nicholson")</f>
        <v>James Nicholson</v>
      </c>
      <c r="B5702" s="18" t="str">
        <f>HYPERLINK("https://otsuka-europe-crm.veevavault.com/ui/#object/vcountry__v/VENZ000004SONFK", "GB")</f>
        <v>GB</v>
      </c>
      <c r="C5702" s="20" t="s">
        <v>41</v>
      </c>
      <c r="D5702" s="21" t="str">
        <f>HYPERLINK("https://otsuka-europe-crm.veevavault.com/ui/#object/approved_document__v/V5O00000000D081", "UK - Consent Email 1 Aug 25")</f>
        <v>UK - Consent Email 1 Aug 25</v>
      </c>
      <c r="E5702" s="22" t="str">
        <f>HYPERLINK("https://otsuka-europe-crm.veevavault.com/ui/#object/sent_email__v/VBL00000003A109", "SE-001444361")</f>
        <v>SE-001444361</v>
      </c>
      <c r="F5702" s="25">
        <v>46223.476099537038</v>
      </c>
      <c r="G5702" s="24">
        <v>1</v>
      </c>
      <c r="H5702" s="24">
        <v>1</v>
      </c>
      <c r="I5702" s="24">
        <v>1</v>
      </c>
      <c r="J5702" s="25">
        <v>46223.4762962963</v>
      </c>
      <c r="K5702" s="24">
        <v>1</v>
      </c>
      <c r="L5702" s="22" t="str">
        <f>HYPERLINK("https://otsuka-europe-crm.veevavault.com/ui/#object/approved_document__v/V5O00000000D081", "UK - Consent Email 1 Aug 25")</f>
        <v>UK - Consent Email 1 Aug 25</v>
      </c>
      <c r="M5702" s="22" t="str">
        <f>HYPERLINK("mailto:ldimambro@crm.otsuka-europe.com", "ldimambro@crm.otsuka-europe.com")</f>
        <v>ldimambro@crm.otsuka-europe.com</v>
      </c>
      <c r="N5702" s="25">
        <v>46223.472326388888</v>
      </c>
      <c r="O5702" s="14" t="str">
        <f>HYPERLINK("https://otsuka-europe-crm.veevavault.com/ui/#object/email_activity__v/V8C00000004B208", "EN-002107068")</f>
        <v>EN-002107068</v>
      </c>
    </row>
    <row r="5703" spans="1:15" ht="16" x14ac:dyDescent="0.2">
      <c r="A5703" s="26"/>
      <c r="B5703" s="26"/>
      <c r="C5703" s="26"/>
      <c r="D5703" s="26"/>
      <c r="E5703" s="26"/>
      <c r="F5703" s="26"/>
      <c r="G5703" s="26"/>
      <c r="H5703" s="26"/>
      <c r="I5703" s="26"/>
      <c r="J5703" s="26"/>
      <c r="K5703" s="26"/>
      <c r="L5703" s="26"/>
      <c r="M5703" s="26"/>
      <c r="N5703" s="26"/>
      <c r="O5703" s="14" t="str">
        <f>HYPERLINK("https://otsuka-europe-crm.veevavault.com/ui/#object/email_activity__v/V8C00000004B211", "EN-002107072")</f>
        <v>EN-002107072</v>
      </c>
    </row>
    <row r="5704" spans="1:15" ht="16" x14ac:dyDescent="0.2">
      <c r="A5704" s="19"/>
      <c r="B5704" s="19"/>
      <c r="C5704" s="19"/>
      <c r="D5704" s="19"/>
      <c r="E5704" s="19"/>
      <c r="F5704" s="19"/>
      <c r="G5704" s="19"/>
      <c r="H5704" s="19"/>
      <c r="I5704" s="19"/>
      <c r="J5704" s="19"/>
      <c r="K5704" s="19"/>
      <c r="L5704" s="19"/>
      <c r="M5704" s="19"/>
      <c r="N5704" s="19"/>
      <c r="O5704" s="14" t="str">
        <f>HYPERLINK("https://otsuka-europe-crm.veevavault.com/ui/#object/email_activity__v/V8C00000004B212", "EN-002107073")</f>
        <v>EN-002107073</v>
      </c>
    </row>
    <row r="5705" spans="1:15" ht="32" x14ac:dyDescent="0.2">
      <c r="A5705" s="7" t="str">
        <f>HYPERLINK("https://otsuka-europe-crm.veevavault.com/ui/#object/account__v/V4T00000002A164", "ELISABETH MORENO MARTI")</f>
        <v>ELISABETH MORENO MARTI</v>
      </c>
      <c r="B5705" s="7" t="str">
        <f>HYPERLINK("https://otsuka-europe-crm.veevavault.com/ui/#object/vcountry__v/VENZ000004SONF5", "ES")</f>
        <v>ES</v>
      </c>
      <c r="C5705" s="8" t="s">
        <v>39</v>
      </c>
      <c r="D5705" s="9" t="str">
        <f>HYPERLINK("https://otsuka-europe-crm.veevavault.com/ui/#object/approved_document__v/V5O00000000D100", "Spain - Consent Email 1 Aug 25")</f>
        <v>Spain - Consent Email 1 Aug 25</v>
      </c>
      <c r="E5705" s="10" t="str">
        <f>HYPERLINK("https://otsuka-europe-crm.veevavault.com/ui/#object/sent_email__v/VBL00000003A110", "SE-001444362")</f>
        <v>SE-001444362</v>
      </c>
      <c r="F5705" s="11"/>
      <c r="G5705" s="12">
        <v>0</v>
      </c>
      <c r="H5705" s="12">
        <v>0</v>
      </c>
      <c r="I5705" s="12">
        <v>0</v>
      </c>
      <c r="J5705" s="11"/>
      <c r="K5705" s="12">
        <v>0</v>
      </c>
      <c r="L5705" s="10" t="str">
        <f>HYPERLINK("https://otsuka-europe-crm.veevavault.com/ui/#object/approved_document__v/V5O00000000D100", "Spain - Consent Email 1 Aug 25")</f>
        <v>Spain - Consent Email 1 Aug 25</v>
      </c>
      <c r="M5705" s="10" t="str">
        <f>HYPERLINK("mailto:ccalero@crm.otsuka-europe.com", "ccalero@crm.otsuka-europe.com")</f>
        <v>ccalero@crm.otsuka-europe.com</v>
      </c>
      <c r="N5705" s="13">
        <v>46223.478171296294</v>
      </c>
      <c r="O5705" s="14" t="str">
        <f>HYPERLINK("https://otsuka-europe-crm.veevavault.com/ui/#object/email_activity__v/V8C00000004B213", "EN-002107074")</f>
        <v>EN-002107074</v>
      </c>
    </row>
    <row r="5706" spans="1:15" ht="48" x14ac:dyDescent="0.2">
      <c r="A5706" s="7" t="str">
        <f>HYPERLINK("https://otsuka-europe-crm.veevavault.com/ui/#object/account__v/V4TZ06G6O71VWFH", "SERENA BAINOTTI")</f>
        <v>SERENA BAINOTTI</v>
      </c>
      <c r="B5706" s="7" t="str">
        <f>HYPERLINK("https://otsuka-europe-crm.veevavault.com/ui/#object/vcountry__v/VENZ000004SONFQ", "IT")</f>
        <v>IT</v>
      </c>
      <c r="C5706" s="8" t="s">
        <v>42</v>
      </c>
      <c r="D5706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706" s="10" t="str">
        <f>HYPERLINK("https://otsuka-europe-crm.veevavault.com/ui/#object/sent_email__v/VBL000000039015", "SE-001444363")</f>
        <v>SE-001444363</v>
      </c>
      <c r="F5706" s="11"/>
      <c r="G5706" s="12">
        <v>0</v>
      </c>
      <c r="H5706" s="12">
        <v>0</v>
      </c>
      <c r="I5706" s="12">
        <v>0</v>
      </c>
      <c r="J5706" s="11"/>
      <c r="K5706" s="12">
        <v>0</v>
      </c>
      <c r="L5706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706" s="10" t="str">
        <f>HYPERLINK("mailto:marco.aldrigo@crm.otsuka-europe.com", "marco.aldrigo@crm.otsuka-europe.com")</f>
        <v>marco.aldrigo@crm.otsuka-europe.com</v>
      </c>
      <c r="N5706" s="13">
        <v>46223.47859953704</v>
      </c>
      <c r="O5706" s="14" t="str">
        <f>HYPERLINK("https://otsuka-europe-crm.veevavault.com/ui/#object/email_activity__v/V8C00000004B214", "EN-002107075")</f>
        <v>EN-002107075</v>
      </c>
    </row>
    <row r="5707" spans="1:15" ht="16" x14ac:dyDescent="0.2">
      <c r="A5707" s="18" t="str">
        <f>HYPERLINK("https://otsuka-europe-crm.veevavault.com/ui/#object/account__v/V4TZ025E86G88KD", "ELISA MINGOTTO")</f>
        <v>ELISA MINGOTTO</v>
      </c>
      <c r="B5707" s="18" t="str">
        <f>HYPERLINK("https://otsuka-europe-crm.veevavault.com/ui/#object/vcountry__v/VENZ000004SONFQ", "IT")</f>
        <v>IT</v>
      </c>
      <c r="C5707" s="20" t="s">
        <v>42</v>
      </c>
      <c r="D5707" s="21" t="str">
        <f>HYPERLINK("https://otsuka-europe-crm.veevavault.com/ui/#object/approved_document__v/V5OZ025E82UFNWM", "ABILIFY 960720_Branded_AE Fagiolini_IT-AM2-2500131")</f>
        <v>ABILIFY 960720_Branded_AE Fagiolini_IT-AM2-2500131</v>
      </c>
      <c r="E5707" s="22" t="str">
        <f>HYPERLINK("https://otsuka-europe-crm.veevavault.com/ui/#object/sent_email__v/VBL000000039016", "SE-001444364")</f>
        <v>SE-001444364</v>
      </c>
      <c r="F5707" s="25">
        <v>46223.514687499999</v>
      </c>
      <c r="G5707" s="24">
        <v>1</v>
      </c>
      <c r="H5707" s="24">
        <v>1</v>
      </c>
      <c r="I5707" s="24">
        <v>1</v>
      </c>
      <c r="J5707" s="25">
        <v>46223.514687499999</v>
      </c>
      <c r="K5707" s="24">
        <v>1</v>
      </c>
      <c r="L5707" s="22" t="str">
        <f>HYPERLINK("https://otsuka-europe-crm.veevavault.com/ui/#object/approved_document__v/V5OZ025E82UFNWM", "ABILIFY 960720_Branded_AE Fagiolini_IT-AM2-2500131")</f>
        <v>ABILIFY 960720_Branded_AE Fagiolini_IT-AM2-2500131</v>
      </c>
      <c r="M5707" s="22" t="str">
        <f>HYPERLINK("mailto:laura.mallia@crm.otsuka-europe.com", "laura.mallia@crm.otsuka-europe.com")</f>
        <v>laura.mallia@crm.otsuka-europe.com</v>
      </c>
      <c r="N5707" s="25">
        <v>46223.479270833333</v>
      </c>
      <c r="O5707" s="14" t="str">
        <f>HYPERLINK("https://otsuka-europe-crm.veevavault.com/ui/#object/email_activity__v/V8C00000004B215", "EN-002107076")</f>
        <v>EN-002107076</v>
      </c>
    </row>
    <row r="5708" spans="1:15" ht="16" x14ac:dyDescent="0.2">
      <c r="A5708" s="26"/>
      <c r="B5708" s="26"/>
      <c r="C5708" s="26"/>
      <c r="D5708" s="26"/>
      <c r="E5708" s="26"/>
      <c r="F5708" s="26"/>
      <c r="G5708" s="26"/>
      <c r="H5708" s="26"/>
      <c r="I5708" s="26"/>
      <c r="J5708" s="26"/>
      <c r="K5708" s="26"/>
      <c r="L5708" s="26"/>
      <c r="M5708" s="26"/>
      <c r="N5708" s="26"/>
      <c r="O5708" s="14" t="str">
        <f>HYPERLINK("https://otsuka-europe-crm.veevavault.com/ui/#object/email_activity__v/V8C00000004B229", "EN-002107102")</f>
        <v>EN-002107102</v>
      </c>
    </row>
    <row r="5709" spans="1:15" ht="16" x14ac:dyDescent="0.2">
      <c r="A5709" s="26"/>
      <c r="B5709" s="26"/>
      <c r="C5709" s="26"/>
      <c r="D5709" s="26"/>
      <c r="E5709" s="26"/>
      <c r="F5709" s="26"/>
      <c r="G5709" s="26"/>
      <c r="H5709" s="26"/>
      <c r="I5709" s="26"/>
      <c r="J5709" s="26"/>
      <c r="K5709" s="26"/>
      <c r="L5709" s="26"/>
      <c r="M5709" s="26"/>
      <c r="N5709" s="26"/>
      <c r="O5709" s="14" t="str">
        <f>HYPERLINK("https://otsuka-europe-crm.veevavault.com/ui/#object/email_activity__v/V8C00000004C138", "EN-002107092")</f>
        <v>EN-002107092</v>
      </c>
    </row>
    <row r="5710" spans="1:15" ht="16" x14ac:dyDescent="0.2">
      <c r="A5710" s="19"/>
      <c r="B5710" s="19"/>
      <c r="C5710" s="19"/>
      <c r="D5710" s="19"/>
      <c r="E5710" s="19"/>
      <c r="F5710" s="19"/>
      <c r="G5710" s="19"/>
      <c r="H5710" s="19"/>
      <c r="I5710" s="19"/>
      <c r="J5710" s="19"/>
      <c r="K5710" s="19"/>
      <c r="L5710" s="19"/>
      <c r="M5710" s="19"/>
      <c r="N5710" s="19"/>
      <c r="O5710" s="14" t="str">
        <f>HYPERLINK("https://otsuka-europe-crm.veevavault.com/ui/#object/email_activity__v/V8C00000004C139", "EN-002107091")</f>
        <v>EN-002107091</v>
      </c>
    </row>
    <row r="5711" spans="1:15" ht="32" x14ac:dyDescent="0.2">
      <c r="A5711" s="7" t="str">
        <f>HYPERLINK("https://otsuka-europe-crm.veevavault.com/ui/#object/account__v/V4T000000026002", "Natasha Kirwan")</f>
        <v>Natasha Kirwan</v>
      </c>
      <c r="B5711" s="7" t="str">
        <f>HYPERLINK("https://otsuka-europe-crm.veevavault.com/ui/#object/vcountry__v/VENZ000004SONFK", "GB")</f>
        <v>GB</v>
      </c>
      <c r="C5711" s="8" t="s">
        <v>41</v>
      </c>
      <c r="D5711" s="9" t="str">
        <f>HYPERLINK("https://otsuka-europe-crm.veevavault.com/ui/#object/approved_document__v/V5O00000001V001", "LDM DR P2P Invite 12-Nov-26 v2 [digital]")</f>
        <v>LDM DR P2P Invite 12-Nov-26 v2 [digital]</v>
      </c>
      <c r="E5711" s="10" t="str">
        <f>HYPERLINK("https://otsuka-europe-crm.veevavault.com/ui/#object/sent_email__v/VBL000000039017", "SE-001444365")</f>
        <v>SE-001444365</v>
      </c>
      <c r="F5711" s="11"/>
      <c r="G5711" s="12">
        <v>0</v>
      </c>
      <c r="H5711" s="12">
        <v>0</v>
      </c>
      <c r="I5711" s="12">
        <v>0</v>
      </c>
      <c r="J5711" s="11"/>
      <c r="K5711" s="12">
        <v>0</v>
      </c>
      <c r="L5711" s="10" t="str">
        <f>HYPERLINK("https://otsuka-europe-crm.veevavault.com/ui/#object/approved_document__v/V5O00000001V001", "LDM DR P2P Invite 12-Nov-26 v2 [digital]")</f>
        <v>LDM DR P2P Invite 12-Nov-26 v2 [digital]</v>
      </c>
      <c r="M5711" s="10" t="str">
        <f>HYPERLINK("mailto:draval@crm.otsuka-europe.com", "draval@crm.otsuka-europe.com")</f>
        <v>draval@crm.otsuka-europe.com</v>
      </c>
      <c r="N5711" s="13">
        <v>46223.500023148146</v>
      </c>
      <c r="O5711" s="14" t="str">
        <f>HYPERLINK("https://otsuka-europe-crm.veevavault.com/ui/#object/email_activity__v/V8C00000004B217", "EN-002107079")</f>
        <v>EN-002107079</v>
      </c>
    </row>
    <row r="5712" spans="1:15" ht="16" x14ac:dyDescent="0.2">
      <c r="A5712" s="18" t="str">
        <f>HYPERLINK("https://otsuka-europe-crm.veevavault.com/ui/#object/account__v/V4TZ0000062PHQ7", "Lawrence Ratnasabapathy")</f>
        <v>Lawrence Ratnasabapathy</v>
      </c>
      <c r="B5712" s="18" t="str">
        <f>HYPERLINK("https://otsuka-europe-crm.veevavault.com/ui/#object/vcountry__v/VENZ000004SONFK", "GB")</f>
        <v>GB</v>
      </c>
      <c r="C5712" s="20" t="s">
        <v>41</v>
      </c>
      <c r="D5712" s="21" t="str">
        <f>HYPERLINK("https://otsuka-europe-crm.veevavault.com/ui/#object/approved_document__v/V5O00000001V001", "LDM DR P2P Invite 12-Nov-26 v2 [digital]")</f>
        <v>LDM DR P2P Invite 12-Nov-26 v2 [digital]</v>
      </c>
      <c r="E5712" s="22" t="str">
        <f>HYPERLINK("https://otsuka-europe-crm.veevavault.com/ui/#object/sent_email__v/VBL00000003A111", "SE-001444366")</f>
        <v>SE-001444366</v>
      </c>
      <c r="F5712" s="23"/>
      <c r="G5712" s="24">
        <v>0</v>
      </c>
      <c r="H5712" s="24">
        <v>0</v>
      </c>
      <c r="I5712" s="24">
        <v>0</v>
      </c>
      <c r="J5712" s="23"/>
      <c r="K5712" s="24">
        <v>0</v>
      </c>
      <c r="L5712" s="22" t="str">
        <f>HYPERLINK("https://otsuka-europe-crm.veevavault.com/ui/#object/approved_document__v/V5O00000001V001", "LDM DR P2P Invite 12-Nov-26 v2 [digital]")</f>
        <v>LDM DR P2P Invite 12-Nov-26 v2 [digital]</v>
      </c>
      <c r="M5712" s="22" t="str">
        <f>HYPERLINK("mailto:draval@crm.otsuka-europe.com", "draval@crm.otsuka-europe.com")</f>
        <v>draval@crm.otsuka-europe.com</v>
      </c>
      <c r="N5712" s="25">
        <v>46223.500208333331</v>
      </c>
      <c r="O5712" s="14" t="str">
        <f>HYPERLINK("https://otsuka-europe-crm.veevavault.com/ui/#object/email_activity__v/V8C00000004B218", "EN-002107080")</f>
        <v>EN-002107080</v>
      </c>
    </row>
    <row r="5713" spans="1:15" ht="16" x14ac:dyDescent="0.2">
      <c r="A5713" s="26"/>
      <c r="B5713" s="26"/>
      <c r="C5713" s="26"/>
      <c r="D5713" s="26"/>
      <c r="E5713" s="26"/>
      <c r="F5713" s="26"/>
      <c r="G5713" s="26"/>
      <c r="H5713" s="26"/>
      <c r="I5713" s="26"/>
      <c r="J5713" s="26"/>
      <c r="K5713" s="26"/>
      <c r="L5713" s="26"/>
      <c r="M5713" s="26"/>
      <c r="N5713" s="26"/>
      <c r="O5713" s="14" t="str">
        <f>HYPERLINK("https://otsuka-europe-crm.veevavault.com/ui/#object/email_activity__v/V8C00000004C162", "EN-002107132")</f>
        <v>EN-002107132</v>
      </c>
    </row>
    <row r="5714" spans="1:15" ht="16" x14ac:dyDescent="0.2">
      <c r="A5714" s="26"/>
      <c r="B5714" s="26"/>
      <c r="C5714" s="26"/>
      <c r="D5714" s="26"/>
      <c r="E5714" s="26"/>
      <c r="F5714" s="26"/>
      <c r="G5714" s="26"/>
      <c r="H5714" s="26"/>
      <c r="I5714" s="26"/>
      <c r="J5714" s="26"/>
      <c r="K5714" s="26"/>
      <c r="L5714" s="26"/>
      <c r="M5714" s="26"/>
      <c r="N5714" s="26"/>
      <c r="O5714" s="14" t="str">
        <f>HYPERLINK("https://otsuka-europe-crm.veevavault.com/ui/#object/email_activity__v/V8C00000004D702", "EN-002109502")</f>
        <v>EN-002109502</v>
      </c>
    </row>
    <row r="5715" spans="1:15" ht="16" x14ac:dyDescent="0.2">
      <c r="A5715" s="19"/>
      <c r="B5715" s="19"/>
      <c r="C5715" s="19"/>
      <c r="D5715" s="19"/>
      <c r="E5715" s="19"/>
      <c r="F5715" s="19"/>
      <c r="G5715" s="19"/>
      <c r="H5715" s="19"/>
      <c r="I5715" s="19"/>
      <c r="J5715" s="19"/>
      <c r="K5715" s="19"/>
      <c r="L5715" s="19"/>
      <c r="M5715" s="19"/>
      <c r="N5715" s="19"/>
      <c r="O5715" s="14" t="str">
        <f>HYPERLINK("https://otsuka-europe-crm.veevavault.com/ui/#object/email_activity__v/V8C00000004E383", "EN-002109111")</f>
        <v>EN-002109111</v>
      </c>
    </row>
    <row r="5716" spans="1:15" ht="32" x14ac:dyDescent="0.2">
      <c r="A5716" s="7" t="str">
        <f>HYPERLINK("https://otsuka-europe-crm.veevavault.com/ui/#object/account__v/V4TZ0000062R5NT", "Julien Gnipieven Tekombo")</f>
        <v>Julien Gnipieven Tekombo</v>
      </c>
      <c r="B5716" s="7" t="str">
        <f>HYPERLINK("https://otsuka-europe-crm.veevavault.com/ui/#object/vcountry__v/VENZ000004SONFN", "CH")</f>
        <v>CH</v>
      </c>
      <c r="C5716" s="8" t="s">
        <v>45</v>
      </c>
      <c r="D5716" s="9" t="str">
        <f>HYPERLINK("https://otsuka-europe-crm.veevavault.com/ui/#object/approved_document__v/V5O00000001L016", "ALL_Flexibilität_Ferienplanung_2026_AA_de")</f>
        <v>ALL_Flexibilität_Ferienplanung_2026_AA_de</v>
      </c>
      <c r="E5716" s="10" t="str">
        <f>HYPERLINK("https://otsuka-europe-crm.veevavault.com/ui/#object/sent_email__v/VBL000000039018", "SE-001444367")</f>
        <v>SE-001444367</v>
      </c>
      <c r="F5716" s="11"/>
      <c r="G5716" s="12">
        <v>0</v>
      </c>
      <c r="H5716" s="12">
        <v>0</v>
      </c>
      <c r="I5716" s="12">
        <v>0</v>
      </c>
      <c r="J5716" s="11"/>
      <c r="K5716" s="12">
        <v>0</v>
      </c>
      <c r="L5716" s="10" t="str">
        <f>HYPERLINK("https://otsuka-europe-crm.veevavault.com/ui/#object/approved_document__v/V5O00000001L016", "ALL_Flexibilität_Ferienplanung_2026_AA_de")</f>
        <v>ALL_Flexibilität_Ferienplanung_2026_AA_de</v>
      </c>
      <c r="M5716" s="10" t="str">
        <f>HYPERLINK("mailto:dharder@crm.otsuka-europe.com", "dharder@crm.otsuka-europe.com")</f>
        <v>dharder@crm.otsuka-europe.com</v>
      </c>
      <c r="N5716" s="13">
        <v>46223.502071759256</v>
      </c>
      <c r="O5716" s="14" t="str">
        <f>HYPERLINK("https://otsuka-europe-crm.veevavault.com/ui/#object/email_activity__v/V8C00000004B219", "EN-002107081")</f>
        <v>EN-002107081</v>
      </c>
    </row>
    <row r="5717" spans="1:15" ht="32" x14ac:dyDescent="0.2">
      <c r="A5717" s="7" t="str">
        <f>HYPERLINK("https://otsuka-europe-crm.veevavault.com/ui/#object/account__v/V4TZ0000062R7VK", "Jo-Dana Kleihues")</f>
        <v>Jo-Dana Kleihues</v>
      </c>
      <c r="B5717" s="7" t="str">
        <f>HYPERLINK("https://otsuka-europe-crm.veevavault.com/ui/#object/vcountry__v/VENZ000004SONFN", "CH")</f>
        <v>CH</v>
      </c>
      <c r="C5717" s="8" t="s">
        <v>45</v>
      </c>
      <c r="D5717" s="9" t="str">
        <f>HYPERLINK("https://otsuka-europe-crm.veevavault.com/ui/#object/approved_document__v/V5O00000001L016", "ALL_Flexibilität_Ferienplanung_2026_AA_de")</f>
        <v>ALL_Flexibilität_Ferienplanung_2026_AA_de</v>
      </c>
      <c r="E5717" s="10" t="str">
        <f>HYPERLINK("https://otsuka-europe-crm.veevavault.com/ui/#object/sent_email__v/VBL00000003A112", "SE-001444368")</f>
        <v>SE-001444368</v>
      </c>
      <c r="F5717" s="11"/>
      <c r="G5717" s="12">
        <v>0</v>
      </c>
      <c r="H5717" s="12">
        <v>0</v>
      </c>
      <c r="I5717" s="12">
        <v>0</v>
      </c>
      <c r="J5717" s="11"/>
      <c r="K5717" s="12">
        <v>0</v>
      </c>
      <c r="L5717" s="10" t="str">
        <f>HYPERLINK("https://otsuka-europe-crm.veevavault.com/ui/#object/approved_document__v/V5O00000001L016", "ALL_Flexibilität_Ferienplanung_2026_AA_de")</f>
        <v>ALL_Flexibilität_Ferienplanung_2026_AA_de</v>
      </c>
      <c r="M5717" s="10" t="str">
        <f>HYPERLINK("mailto:dharder@crm.otsuka-europe.com", "dharder@crm.otsuka-europe.com")</f>
        <v>dharder@crm.otsuka-europe.com</v>
      </c>
      <c r="N5717" s="13">
        <v>46223.50277777778</v>
      </c>
      <c r="O5717" s="14" t="str">
        <f>HYPERLINK("https://otsuka-europe-crm.veevavault.com/ui/#object/email_activity__v/V8C00000004C135", "EN-002107082")</f>
        <v>EN-002107082</v>
      </c>
    </row>
    <row r="5718" spans="1:15" ht="32" x14ac:dyDescent="0.2">
      <c r="A5718" s="7" t="str">
        <f>HYPERLINK("https://otsuka-europe-crm.veevavault.com/ui/#object/account__v/V4TZ0000062R7HV", "Heinz Schutzbach")</f>
        <v>Heinz Schutzbach</v>
      </c>
      <c r="B5718" s="7" t="str">
        <f>HYPERLINK("https://otsuka-europe-crm.veevavault.com/ui/#object/vcountry__v/VENZ000004SONFN", "CH")</f>
        <v>CH</v>
      </c>
      <c r="C5718" s="8" t="s">
        <v>45</v>
      </c>
      <c r="D5718" s="9" t="str">
        <f>HYPERLINK("https://otsuka-europe-crm.veevavault.com/ui/#object/approved_document__v/V5O00000001L016", "ALL_Flexibilität_Ferienplanung_2026_AA_de")</f>
        <v>ALL_Flexibilität_Ferienplanung_2026_AA_de</v>
      </c>
      <c r="E5718" s="10" t="str">
        <f>HYPERLINK("https://otsuka-europe-crm.veevavault.com/ui/#object/sent_email__v/VBL000000039019", "SE-001444369")</f>
        <v>SE-001444369</v>
      </c>
      <c r="F5718" s="11"/>
      <c r="G5718" s="12">
        <v>0</v>
      </c>
      <c r="H5718" s="12">
        <v>0</v>
      </c>
      <c r="I5718" s="12">
        <v>0</v>
      </c>
      <c r="J5718" s="11"/>
      <c r="K5718" s="12">
        <v>0</v>
      </c>
      <c r="L5718" s="10" t="str">
        <f>HYPERLINK("https://otsuka-europe-crm.veevavault.com/ui/#object/approved_document__v/V5O00000001L016", "ALL_Flexibilität_Ferienplanung_2026_AA_de")</f>
        <v>ALL_Flexibilität_Ferienplanung_2026_AA_de</v>
      </c>
      <c r="M5718" s="10" t="str">
        <f>HYPERLINK("mailto:dharder@crm.otsuka-europe.com", "dharder@crm.otsuka-europe.com")</f>
        <v>dharder@crm.otsuka-europe.com</v>
      </c>
      <c r="N5718" s="13">
        <v>46223.507465277777</v>
      </c>
      <c r="O5718" s="14" t="str">
        <f>HYPERLINK("https://otsuka-europe-crm.veevavault.com/ui/#object/email_activity__v/V8C00000004B221", "EN-002107084")</f>
        <v>EN-002107084</v>
      </c>
    </row>
    <row r="5719" spans="1:15" ht="16" x14ac:dyDescent="0.2">
      <c r="A5719" s="18" t="str">
        <f>HYPERLINK("https://otsuka-europe-crm.veevavault.com/ui/#object/account__v/V4TZ0000062R6BH", "Mihaela-Ioana Simedru")</f>
        <v>Mihaela-Ioana Simedru</v>
      </c>
      <c r="B5719" s="18" t="str">
        <f>HYPERLINK("https://otsuka-europe-crm.veevavault.com/ui/#object/vcountry__v/VENZ000004SONFN", "CH")</f>
        <v>CH</v>
      </c>
      <c r="C5719" s="20" t="s">
        <v>45</v>
      </c>
      <c r="D5719" s="21" t="str">
        <f>HYPERLINK("https://otsuka-europe-crm.veevavault.com/ui/#object/approved_document__v/V5O00000001L016", "ALL_Flexibilität_Ferienplanung_2026_AA_de")</f>
        <v>ALL_Flexibilität_Ferienplanung_2026_AA_de</v>
      </c>
      <c r="E5719" s="22" t="str">
        <f>HYPERLINK("https://otsuka-europe-crm.veevavault.com/ui/#object/sent_email__v/VBL000000039020", "SE-001444370")</f>
        <v>SE-001444370</v>
      </c>
      <c r="F5719" s="25">
        <v>46224.51972222222</v>
      </c>
      <c r="G5719" s="24">
        <v>1</v>
      </c>
      <c r="H5719" s="24">
        <v>3</v>
      </c>
      <c r="I5719" s="24">
        <v>0</v>
      </c>
      <c r="J5719" s="23"/>
      <c r="K5719" s="24">
        <v>0</v>
      </c>
      <c r="L5719" s="22" t="str">
        <f>HYPERLINK("https://otsuka-europe-crm.veevavault.com/ui/#object/approved_document__v/V5O00000001L016", "ALL_Flexibilität_Ferienplanung_2026_AA_de")</f>
        <v>ALL_Flexibilität_Ferienplanung_2026_AA_de</v>
      </c>
      <c r="M5719" s="22" t="str">
        <f>HYPERLINK("mailto:dharder@crm.otsuka-europe.com", "dharder@crm.otsuka-europe.com")</f>
        <v>dharder@crm.otsuka-europe.com</v>
      </c>
      <c r="N5719" s="25">
        <v>46223.508333333331</v>
      </c>
      <c r="O5719" s="14" t="str">
        <f>HYPERLINK("https://otsuka-europe-crm.veevavault.com/ui/#object/email_activity__v/V8C00000004B756", "EN-002107981")</f>
        <v>EN-002107981</v>
      </c>
    </row>
    <row r="5720" spans="1:15" ht="16" x14ac:dyDescent="0.2">
      <c r="A5720" s="26"/>
      <c r="B5720" s="26"/>
      <c r="C5720" s="26"/>
      <c r="D5720" s="26"/>
      <c r="E5720" s="26"/>
      <c r="F5720" s="26"/>
      <c r="G5720" s="26"/>
      <c r="H5720" s="26"/>
      <c r="I5720" s="26"/>
      <c r="J5720" s="26"/>
      <c r="K5720" s="26"/>
      <c r="L5720" s="26"/>
      <c r="M5720" s="26"/>
      <c r="N5720" s="26"/>
      <c r="O5720" s="14" t="str">
        <f>HYPERLINK("https://otsuka-europe-crm.veevavault.com/ui/#object/email_activity__v/V8C00000004C136", "EN-002107085")</f>
        <v>EN-002107085</v>
      </c>
    </row>
    <row r="5721" spans="1:15" ht="16" x14ac:dyDescent="0.2">
      <c r="A5721" s="26"/>
      <c r="B5721" s="26"/>
      <c r="C5721" s="26"/>
      <c r="D5721" s="26"/>
      <c r="E5721" s="26"/>
      <c r="F5721" s="26"/>
      <c r="G5721" s="26"/>
      <c r="H5721" s="26"/>
      <c r="I5721" s="26"/>
      <c r="J5721" s="26"/>
      <c r="K5721" s="26"/>
      <c r="L5721" s="26"/>
      <c r="M5721" s="26"/>
      <c r="N5721" s="26"/>
      <c r="O5721" s="14" t="str">
        <f>HYPERLINK("https://otsuka-europe-crm.veevavault.com/ui/#object/email_activity__v/V8C00000004C178", "EN-002107160")</f>
        <v>EN-002107160</v>
      </c>
    </row>
    <row r="5722" spans="1:15" ht="16" x14ac:dyDescent="0.2">
      <c r="A5722" s="19"/>
      <c r="B5722" s="19"/>
      <c r="C5722" s="19"/>
      <c r="D5722" s="19"/>
      <c r="E5722" s="19"/>
      <c r="F5722" s="19"/>
      <c r="G5722" s="19"/>
      <c r="H5722" s="19"/>
      <c r="I5722" s="19"/>
      <c r="J5722" s="19"/>
      <c r="K5722" s="19"/>
      <c r="L5722" s="19"/>
      <c r="M5722" s="19"/>
      <c r="N5722" s="19"/>
      <c r="O5722" s="14" t="str">
        <f>HYPERLINK("https://otsuka-europe-crm.veevavault.com/ui/#object/email_activity__v/V8C00000004C180", "EN-002107163")</f>
        <v>EN-002107163</v>
      </c>
    </row>
    <row r="5723" spans="1:15" ht="32" x14ac:dyDescent="0.2">
      <c r="A5723" s="7" t="str">
        <f>HYPERLINK("https://otsuka-europe-crm.veevavault.com/ui/#object/account__v/V4TZ0000062PIZ9", "Adarsh Vohra")</f>
        <v>Adarsh Vohra</v>
      </c>
      <c r="B5723" s="7" t="str">
        <f t="shared" ref="B5723:B5728" si="264">HYPERLINK("https://otsuka-europe-crm.veevavault.com/ui/#object/vcountry__v/VENZ000004SONFK", "GB")</f>
        <v>GB</v>
      </c>
      <c r="C5723" s="8" t="s">
        <v>41</v>
      </c>
      <c r="D5723" s="9" t="str">
        <f>HYPERLINK("https://otsuka-europe-crm.veevavault.com/ui/#object/approved_document__v/V5OZ025E82TSZBI", "Aripiprazole 960mg Fragment VAE")</f>
        <v>Aripiprazole 960mg Fragment VAE</v>
      </c>
      <c r="E5723" s="10" t="str">
        <f>HYPERLINK("https://otsuka-europe-crm.veevavault.com/ui/#object/sent_email__v/VBL000000039021", "SE-001444371")</f>
        <v>SE-001444371</v>
      </c>
      <c r="F5723" s="11"/>
      <c r="G5723" s="12">
        <v>0</v>
      </c>
      <c r="H5723" s="12">
        <v>0</v>
      </c>
      <c r="I5723" s="12">
        <v>0</v>
      </c>
      <c r="J5723" s="11"/>
      <c r="K5723" s="12">
        <v>0</v>
      </c>
      <c r="L5723" s="10" t="str">
        <f>HYPERLINK("https://otsuka-europe-crm.veevavault.com/ui/#object/approved_document__v/V5OZ025E82TSZBI", "Aripiprazole 960mg Fragment VAE")</f>
        <v>Aripiprazole 960mg Fragment VAE</v>
      </c>
      <c r="M5723" s="10" t="str">
        <f>HYPERLINK("mailto:sfinnigan@crm.otsuka-europe.com", "sfinnigan@crm.otsuka-europe.com")</f>
        <v>sfinnigan@crm.otsuka-europe.com</v>
      </c>
      <c r="N5723" s="13">
        <v>46223.511724537035</v>
      </c>
      <c r="O5723" s="14" t="str">
        <f>HYPERLINK("https://otsuka-europe-crm.veevavault.com/ui/#object/email_activity__v/V8C00000004B222", "EN-002107086")</f>
        <v>EN-002107086</v>
      </c>
    </row>
    <row r="5724" spans="1:15" ht="32" x14ac:dyDescent="0.2">
      <c r="A5724" s="7" t="str">
        <f>HYPERLINK("https://otsuka-europe-crm.veevavault.com/ui/#object/account__v/V4TZ0000062PCTK", "Thirunavukkarasu Aravinth")</f>
        <v>Thirunavukkarasu Aravinth</v>
      </c>
      <c r="B5724" s="7" t="str">
        <f t="shared" si="264"/>
        <v>GB</v>
      </c>
      <c r="C5724" s="8" t="s">
        <v>41</v>
      </c>
      <c r="D5724" s="9" t="str">
        <f>HYPERLINK("https://otsuka-europe-crm.veevavault.com/ui/#object/approved_document__v/V5OZ025E82TSZBI", "Aripiprazole 960mg Fragment VAE")</f>
        <v>Aripiprazole 960mg Fragment VAE</v>
      </c>
      <c r="E5724" s="10" t="str">
        <f>HYPERLINK("https://otsuka-europe-crm.veevavault.com/ui/#object/sent_email__v/VBL000000039022", "SE-001444372")</f>
        <v>SE-001444372</v>
      </c>
      <c r="F5724" s="11"/>
      <c r="G5724" s="12">
        <v>0</v>
      </c>
      <c r="H5724" s="12">
        <v>0</v>
      </c>
      <c r="I5724" s="12">
        <v>0</v>
      </c>
      <c r="J5724" s="11"/>
      <c r="K5724" s="12">
        <v>0</v>
      </c>
      <c r="L5724" s="10" t="str">
        <f>HYPERLINK("https://otsuka-europe-crm.veevavault.com/ui/#object/approved_document__v/V5OZ025E82TSZBI", "Aripiprazole 960mg Fragment VAE")</f>
        <v>Aripiprazole 960mg Fragment VAE</v>
      </c>
      <c r="M5724" s="10" t="str">
        <f>HYPERLINK("mailto:sfinnigan@crm.otsuka-europe.com", "sfinnigan@crm.otsuka-europe.com")</f>
        <v>sfinnigan@crm.otsuka-europe.com</v>
      </c>
      <c r="N5724" s="13">
        <v>46223.512395833335</v>
      </c>
      <c r="O5724" s="14" t="str">
        <f>HYPERLINK("https://otsuka-europe-crm.veevavault.com/ui/#object/email_activity__v/V8C00000004B224", "EN-002107088")</f>
        <v>EN-002107088</v>
      </c>
    </row>
    <row r="5725" spans="1:15" ht="32" x14ac:dyDescent="0.2">
      <c r="A5725" s="7" t="str">
        <f>HYPERLINK("https://otsuka-europe-crm.veevavault.com/ui/#object/account__v/V4TZ0000062PFQE", "Nismen Lathif")</f>
        <v>Nismen Lathif</v>
      </c>
      <c r="B5725" s="7" t="str">
        <f t="shared" si="264"/>
        <v>GB</v>
      </c>
      <c r="C5725" s="8" t="s">
        <v>41</v>
      </c>
      <c r="D5725" s="9" t="str">
        <f>HYPERLINK("https://otsuka-europe-crm.veevavault.com/ui/#object/approved_document__v/V5OZ025E82TSZBI", "Aripiprazole 960mg Fragment VAE")</f>
        <v>Aripiprazole 960mg Fragment VAE</v>
      </c>
      <c r="E5725" s="10" t="str">
        <f>HYPERLINK("https://otsuka-europe-crm.veevavault.com/ui/#object/sent_email__v/VBL00000003A113", "SE-001444373")</f>
        <v>SE-001444373</v>
      </c>
      <c r="F5725" s="11"/>
      <c r="G5725" s="12">
        <v>0</v>
      </c>
      <c r="H5725" s="12">
        <v>0</v>
      </c>
      <c r="I5725" s="12">
        <v>0</v>
      </c>
      <c r="J5725" s="11"/>
      <c r="K5725" s="12">
        <v>0</v>
      </c>
      <c r="L5725" s="10" t="str">
        <f>HYPERLINK("https://otsuka-europe-crm.veevavault.com/ui/#object/approved_document__v/V5OZ025E82TSZBI", "Aripiprazole 960mg Fragment VAE")</f>
        <v>Aripiprazole 960mg Fragment VAE</v>
      </c>
      <c r="M5725" s="10" t="str">
        <f>HYPERLINK("mailto:sfinnigan@crm.otsuka-europe.com", "sfinnigan@crm.otsuka-europe.com")</f>
        <v>sfinnigan@crm.otsuka-europe.com</v>
      </c>
      <c r="N5725" s="13">
        <v>46223.513032407405</v>
      </c>
      <c r="O5725" s="14" t="str">
        <f>HYPERLINK("https://otsuka-europe-crm.veevavault.com/ui/#object/email_activity__v/V8C00000004B225", "EN-002107089")</f>
        <v>EN-002107089</v>
      </c>
    </row>
    <row r="5726" spans="1:15" ht="32" x14ac:dyDescent="0.2">
      <c r="A5726" s="7" t="str">
        <f>HYPERLINK("https://otsuka-europe-crm.veevavault.com/ui/#object/account__v/V4TZ06G6OCEQ11U", "Tracey Harrison")</f>
        <v>Tracey Harrison</v>
      </c>
      <c r="B5726" s="7" t="str">
        <f t="shared" si="264"/>
        <v>GB</v>
      </c>
      <c r="C5726" s="8" t="s">
        <v>41</v>
      </c>
      <c r="D5726" s="9" t="str">
        <f>HYPERLINK("https://otsuka-europe-crm.veevavault.com/ui/#object/approved_document__v/V5OZ025E82TSZBI", "Aripiprazole 960mg Fragment VAE")</f>
        <v>Aripiprazole 960mg Fragment VAE</v>
      </c>
      <c r="E5726" s="10" t="str">
        <f>HYPERLINK("https://otsuka-europe-crm.veevavault.com/ui/#object/sent_email__v/VBL000000039023", "SE-001444374")</f>
        <v>SE-001444374</v>
      </c>
      <c r="F5726" s="11"/>
      <c r="G5726" s="12">
        <v>0</v>
      </c>
      <c r="H5726" s="12">
        <v>0</v>
      </c>
      <c r="I5726" s="12">
        <v>0</v>
      </c>
      <c r="J5726" s="11"/>
      <c r="K5726" s="12">
        <v>0</v>
      </c>
      <c r="L5726" s="10" t="str">
        <f>HYPERLINK("https://otsuka-europe-crm.veevavault.com/ui/#object/approved_document__v/V5OZ025E82TSZBI", "Aripiprazole 960mg Fragment VAE")</f>
        <v>Aripiprazole 960mg Fragment VAE</v>
      </c>
      <c r="M5726" s="10" t="str">
        <f>HYPERLINK("mailto:sfinnigan@crm.otsuka-europe.com", "sfinnigan@crm.otsuka-europe.com")</f>
        <v>sfinnigan@crm.otsuka-europe.com</v>
      </c>
      <c r="N5726" s="13">
        <v>46223.513553240744</v>
      </c>
      <c r="O5726" s="14" t="str">
        <f>HYPERLINK("https://otsuka-europe-crm.veevavault.com/ui/#object/email_activity__v/V8C00000004C137", "EN-002107090")</f>
        <v>EN-002107090</v>
      </c>
    </row>
    <row r="5727" spans="1:15" ht="32" x14ac:dyDescent="0.2">
      <c r="A5727" s="7" t="str">
        <f>HYPERLINK("https://otsuka-europe-crm.veevavault.com/ui/#object/account__v/V4T000000028063", "Gamal Sidra")</f>
        <v>Gamal Sidra</v>
      </c>
      <c r="B5727" s="7" t="str">
        <f t="shared" si="264"/>
        <v>GB</v>
      </c>
      <c r="C5727" s="8" t="s">
        <v>41</v>
      </c>
      <c r="D5727" s="9" t="str">
        <f>HYPERLINK("https://otsuka-europe-crm.veevavault.com/ui/#object/approved_document__v/V5O00000000D081", "UK - Consent Email 1 Aug 25")</f>
        <v>UK - Consent Email 1 Aug 25</v>
      </c>
      <c r="E5727" s="10" t="str">
        <f>HYPERLINK("https://otsuka-europe-crm.veevavault.com/ui/#object/sent_email__v/VBL000000039024", "SE-001444375")</f>
        <v>SE-001444375</v>
      </c>
      <c r="F5727" s="11"/>
      <c r="G5727" s="12">
        <v>0</v>
      </c>
      <c r="H5727" s="12">
        <v>0</v>
      </c>
      <c r="I5727" s="12">
        <v>0</v>
      </c>
      <c r="J5727" s="11"/>
      <c r="K5727" s="12">
        <v>0</v>
      </c>
      <c r="L5727" s="10" t="str">
        <f>HYPERLINK("https://otsuka-europe-crm.veevavault.com/ui/#object/approved_document__v/V5O00000000D081", "UK - Consent Email 1 Aug 25")</f>
        <v>UK - Consent Email 1 Aug 25</v>
      </c>
      <c r="M5727" s="10" t="str">
        <f>HYPERLINK("mailto:ldimambro@crm.otsuka-europe.com", "ldimambro@crm.otsuka-europe.com")</f>
        <v>ldimambro@crm.otsuka-europe.com</v>
      </c>
      <c r="N5727" s="13">
        <v>46223.539583333331</v>
      </c>
      <c r="O5727" s="14" t="str">
        <f>HYPERLINK("https://otsuka-europe-crm.veevavault.com/ui/#object/email_activity__v/V8C00000004C143", "EN-002107099")</f>
        <v>EN-002107099</v>
      </c>
    </row>
    <row r="5728" spans="1:15" ht="16" x14ac:dyDescent="0.2">
      <c r="A5728" s="18" t="str">
        <f>HYPERLINK("https://otsuka-europe-crm.veevavault.com/ui/#object/account__v/V4TZ0000062PIL8", "Animesh Tripathi")</f>
        <v>Animesh Tripathi</v>
      </c>
      <c r="B5728" s="18" t="str">
        <f t="shared" si="264"/>
        <v>GB</v>
      </c>
      <c r="C5728" s="20" t="s">
        <v>41</v>
      </c>
      <c r="D5728" s="21" t="str">
        <f>HYPERLINK("https://otsuka-europe-crm.veevavault.com/ui/#object/approved_document__v/V5O00000001V001", "LDM DR P2P Invite 12-Nov-26 v2 [digital]")</f>
        <v>LDM DR P2P Invite 12-Nov-26 v2 [digital]</v>
      </c>
      <c r="E5728" s="22" t="str">
        <f>HYPERLINK("https://otsuka-europe-crm.veevavault.com/ui/#object/sent_email__v/VBL00000003A114", "SE-001444376")</f>
        <v>SE-001444376</v>
      </c>
      <c r="F5728" s="25">
        <v>46230.604108796295</v>
      </c>
      <c r="G5728" s="24">
        <v>1</v>
      </c>
      <c r="H5728" s="24">
        <v>24</v>
      </c>
      <c r="I5728" s="24">
        <v>0</v>
      </c>
      <c r="J5728" s="23"/>
      <c r="K5728" s="24">
        <v>0</v>
      </c>
      <c r="L5728" s="22" t="str">
        <f>HYPERLINK("https://otsuka-europe-crm.veevavault.com/ui/#object/approved_document__v/V5O00000001V001", "LDM DR P2P Invite 12-Nov-26 v2 [digital]")</f>
        <v>LDM DR P2P Invite 12-Nov-26 v2 [digital]</v>
      </c>
      <c r="M5728" s="22" t="str">
        <f>HYPERLINK("mailto:draval@crm.otsuka-europe.com", "draval@crm.otsuka-europe.com")</f>
        <v>draval@crm.otsuka-europe.com</v>
      </c>
      <c r="N5728" s="25">
        <v>46226.299224537041</v>
      </c>
      <c r="O5728" s="14" t="str">
        <f>HYPERLINK("https://otsuka-europe-crm.veevavault.com/ui/#object/email_activity__v/V8C00000004B667", "EN-002107788")</f>
        <v>EN-002107788</v>
      </c>
    </row>
    <row r="5729" spans="1:15" ht="16" x14ac:dyDescent="0.2">
      <c r="A5729" s="26"/>
      <c r="B5729" s="26"/>
      <c r="C5729" s="26"/>
      <c r="D5729" s="26"/>
      <c r="E5729" s="26"/>
      <c r="F5729" s="26"/>
      <c r="G5729" s="26"/>
      <c r="H5729" s="26"/>
      <c r="I5729" s="26"/>
      <c r="J5729" s="26"/>
      <c r="K5729" s="26"/>
      <c r="L5729" s="26"/>
      <c r="M5729" s="26"/>
      <c r="N5729" s="26"/>
      <c r="O5729" s="14" t="str">
        <f>HYPERLINK("https://otsuka-europe-crm.veevavault.com/ui/#object/email_activity__v/V8C00000004B669", "EN-002107792")</f>
        <v>EN-002107792</v>
      </c>
    </row>
    <row r="5730" spans="1:15" ht="16" x14ac:dyDescent="0.2">
      <c r="A5730" s="26"/>
      <c r="B5730" s="26"/>
      <c r="C5730" s="26"/>
      <c r="D5730" s="26"/>
      <c r="E5730" s="26"/>
      <c r="F5730" s="26"/>
      <c r="G5730" s="26"/>
      <c r="H5730" s="26"/>
      <c r="I5730" s="26"/>
      <c r="J5730" s="26"/>
      <c r="K5730" s="26"/>
      <c r="L5730" s="26"/>
      <c r="M5730" s="26"/>
      <c r="N5730" s="26"/>
      <c r="O5730" s="14" t="str">
        <f>HYPERLINK("https://otsuka-europe-crm.veevavault.com/ui/#object/email_activity__v/V8C00000004B671", "EN-002107797")</f>
        <v>EN-002107797</v>
      </c>
    </row>
    <row r="5731" spans="1:15" ht="16" x14ac:dyDescent="0.2">
      <c r="A5731" s="26"/>
      <c r="B5731" s="26"/>
      <c r="C5731" s="26"/>
      <c r="D5731" s="26"/>
      <c r="E5731" s="26"/>
      <c r="F5731" s="26"/>
      <c r="G5731" s="26"/>
      <c r="H5731" s="26"/>
      <c r="I5731" s="26"/>
      <c r="J5731" s="26"/>
      <c r="K5731" s="26"/>
      <c r="L5731" s="26"/>
      <c r="M5731" s="26"/>
      <c r="N5731" s="26"/>
      <c r="O5731" s="14" t="str">
        <f>HYPERLINK("https://otsuka-europe-crm.veevavault.com/ui/#object/email_activity__v/V8C00000004B704", "EN-002107832")</f>
        <v>EN-002107832</v>
      </c>
    </row>
    <row r="5732" spans="1:15" ht="16" x14ac:dyDescent="0.2">
      <c r="A5732" s="26"/>
      <c r="B5732" s="26"/>
      <c r="C5732" s="26"/>
      <c r="D5732" s="26"/>
      <c r="E5732" s="26"/>
      <c r="F5732" s="26"/>
      <c r="G5732" s="26"/>
      <c r="H5732" s="26"/>
      <c r="I5732" s="26"/>
      <c r="J5732" s="26"/>
      <c r="K5732" s="26"/>
      <c r="L5732" s="26"/>
      <c r="M5732" s="26"/>
      <c r="N5732" s="26"/>
      <c r="O5732" s="14" t="str">
        <f>HYPERLINK("https://otsuka-europe-crm.veevavault.com/ui/#object/email_activity__v/V8C00000004B720", "EN-002107880")</f>
        <v>EN-002107880</v>
      </c>
    </row>
    <row r="5733" spans="1:15" ht="16" x14ac:dyDescent="0.2">
      <c r="A5733" s="26"/>
      <c r="B5733" s="26"/>
      <c r="C5733" s="26"/>
      <c r="D5733" s="26"/>
      <c r="E5733" s="26"/>
      <c r="F5733" s="26"/>
      <c r="G5733" s="26"/>
      <c r="H5733" s="26"/>
      <c r="I5733" s="26"/>
      <c r="J5733" s="26"/>
      <c r="K5733" s="26"/>
      <c r="L5733" s="26"/>
      <c r="M5733" s="26"/>
      <c r="N5733" s="26"/>
      <c r="O5733" s="14" t="str">
        <f>HYPERLINK("https://otsuka-europe-crm.veevavault.com/ui/#object/email_activity__v/V8C00000004B754", "EN-002107971")</f>
        <v>EN-002107971</v>
      </c>
    </row>
    <row r="5734" spans="1:15" ht="16" x14ac:dyDescent="0.2">
      <c r="A5734" s="26"/>
      <c r="B5734" s="26"/>
      <c r="C5734" s="26"/>
      <c r="D5734" s="26"/>
      <c r="E5734" s="26"/>
      <c r="F5734" s="26"/>
      <c r="G5734" s="26"/>
      <c r="H5734" s="26"/>
      <c r="I5734" s="26"/>
      <c r="J5734" s="26"/>
      <c r="K5734" s="26"/>
      <c r="L5734" s="26"/>
      <c r="M5734" s="26"/>
      <c r="N5734" s="26"/>
      <c r="O5734" s="14" t="str">
        <f>HYPERLINK("https://otsuka-europe-crm.veevavault.com/ui/#object/email_activity__v/V8C00000004C244", "EN-002107316")</f>
        <v>EN-002107316</v>
      </c>
    </row>
    <row r="5735" spans="1:15" ht="16" x14ac:dyDescent="0.2">
      <c r="A5735" s="26"/>
      <c r="B5735" s="26"/>
      <c r="C5735" s="26"/>
      <c r="D5735" s="26"/>
      <c r="E5735" s="26"/>
      <c r="F5735" s="26"/>
      <c r="G5735" s="26"/>
      <c r="H5735" s="26"/>
      <c r="I5735" s="26"/>
      <c r="J5735" s="26"/>
      <c r="K5735" s="26"/>
      <c r="L5735" s="26"/>
      <c r="M5735" s="26"/>
      <c r="N5735" s="26"/>
      <c r="O5735" s="14" t="str">
        <f>HYPERLINK("https://otsuka-europe-crm.veevavault.com/ui/#object/email_activity__v/V8C00000004C400", "EN-002107827")</f>
        <v>EN-002107827</v>
      </c>
    </row>
    <row r="5736" spans="1:15" ht="16" x14ac:dyDescent="0.2">
      <c r="A5736" s="26"/>
      <c r="B5736" s="26"/>
      <c r="C5736" s="26"/>
      <c r="D5736" s="26"/>
      <c r="E5736" s="26"/>
      <c r="F5736" s="26"/>
      <c r="G5736" s="26"/>
      <c r="H5736" s="26"/>
      <c r="I5736" s="26"/>
      <c r="J5736" s="26"/>
      <c r="K5736" s="26"/>
      <c r="L5736" s="26"/>
      <c r="M5736" s="26"/>
      <c r="N5736" s="26"/>
      <c r="O5736" s="14" t="str">
        <f>HYPERLINK("https://otsuka-europe-crm.veevavault.com/ui/#object/email_activity__v/V8C00000004C401", "EN-002107833")</f>
        <v>EN-002107833</v>
      </c>
    </row>
    <row r="5737" spans="1:15" ht="16" x14ac:dyDescent="0.2">
      <c r="A5737" s="26"/>
      <c r="B5737" s="26"/>
      <c r="C5737" s="26"/>
      <c r="D5737" s="26"/>
      <c r="E5737" s="26"/>
      <c r="F5737" s="26"/>
      <c r="G5737" s="26"/>
      <c r="H5737" s="26"/>
      <c r="I5737" s="26"/>
      <c r="J5737" s="26"/>
      <c r="K5737" s="26"/>
      <c r="L5737" s="26"/>
      <c r="M5737" s="26"/>
      <c r="N5737" s="26"/>
      <c r="O5737" s="14" t="str">
        <f>HYPERLINK("https://otsuka-europe-crm.veevavault.com/ui/#object/email_activity__v/V8C00000004C426", "EN-002107868")</f>
        <v>EN-002107868</v>
      </c>
    </row>
    <row r="5738" spans="1:15" ht="16" x14ac:dyDescent="0.2">
      <c r="A5738" s="26"/>
      <c r="B5738" s="26"/>
      <c r="C5738" s="26"/>
      <c r="D5738" s="26"/>
      <c r="E5738" s="26"/>
      <c r="F5738" s="26"/>
      <c r="G5738" s="26"/>
      <c r="H5738" s="26"/>
      <c r="I5738" s="26"/>
      <c r="J5738" s="26"/>
      <c r="K5738" s="26"/>
      <c r="L5738" s="26"/>
      <c r="M5738" s="26"/>
      <c r="N5738" s="26"/>
      <c r="O5738" s="14" t="str">
        <f>HYPERLINK("https://otsuka-europe-crm.veevavault.com/ui/#object/email_activity__v/V8C00000004C428", "EN-002107870")</f>
        <v>EN-002107870</v>
      </c>
    </row>
    <row r="5739" spans="1:15" ht="16" x14ac:dyDescent="0.2">
      <c r="A5739" s="26"/>
      <c r="B5739" s="26"/>
      <c r="C5739" s="26"/>
      <c r="D5739" s="26"/>
      <c r="E5739" s="26"/>
      <c r="F5739" s="26"/>
      <c r="G5739" s="26"/>
      <c r="H5739" s="26"/>
      <c r="I5739" s="26"/>
      <c r="J5739" s="26"/>
      <c r="K5739" s="26"/>
      <c r="L5739" s="26"/>
      <c r="M5739" s="26"/>
      <c r="N5739" s="26"/>
      <c r="O5739" s="14" t="str">
        <f>HYPERLINK("https://otsuka-europe-crm.veevavault.com/ui/#object/email_activity__v/V8C00000004C492", "EN-002107972")</f>
        <v>EN-002107972</v>
      </c>
    </row>
    <row r="5740" spans="1:15" ht="16" x14ac:dyDescent="0.2">
      <c r="A5740" s="26"/>
      <c r="B5740" s="26"/>
      <c r="C5740" s="26"/>
      <c r="D5740" s="26"/>
      <c r="E5740" s="26"/>
      <c r="F5740" s="26"/>
      <c r="G5740" s="26"/>
      <c r="H5740" s="26"/>
      <c r="I5740" s="26"/>
      <c r="J5740" s="26"/>
      <c r="K5740" s="26"/>
      <c r="L5740" s="26"/>
      <c r="M5740" s="26"/>
      <c r="N5740" s="26"/>
      <c r="O5740" s="14" t="str">
        <f>HYPERLINK("https://otsuka-europe-crm.veevavault.com/ui/#object/email_activity__v/V8C00000004C521", "EN-002108020")</f>
        <v>EN-002108020</v>
      </c>
    </row>
    <row r="5741" spans="1:15" ht="16" x14ac:dyDescent="0.2">
      <c r="A5741" s="26"/>
      <c r="B5741" s="26"/>
      <c r="C5741" s="26"/>
      <c r="D5741" s="26"/>
      <c r="E5741" s="26"/>
      <c r="F5741" s="26"/>
      <c r="G5741" s="26"/>
      <c r="H5741" s="26"/>
      <c r="I5741" s="26"/>
      <c r="J5741" s="26"/>
      <c r="K5741" s="26"/>
      <c r="L5741" s="26"/>
      <c r="M5741" s="26"/>
      <c r="N5741" s="26"/>
      <c r="O5741" s="14" t="str">
        <f>HYPERLINK("https://otsuka-europe-crm.veevavault.com/ui/#object/email_activity__v/V8C00000004C526", "EN-002108025")</f>
        <v>EN-002108025</v>
      </c>
    </row>
    <row r="5742" spans="1:15" ht="16" x14ac:dyDescent="0.2">
      <c r="A5742" s="26"/>
      <c r="B5742" s="26"/>
      <c r="C5742" s="26"/>
      <c r="D5742" s="26"/>
      <c r="E5742" s="26"/>
      <c r="F5742" s="26"/>
      <c r="G5742" s="26"/>
      <c r="H5742" s="26"/>
      <c r="I5742" s="26"/>
      <c r="J5742" s="26"/>
      <c r="K5742" s="26"/>
      <c r="L5742" s="26"/>
      <c r="M5742" s="26"/>
      <c r="N5742" s="26"/>
      <c r="O5742" s="14" t="str">
        <f>HYPERLINK("https://otsuka-europe-crm.veevavault.com/ui/#object/email_activity__v/V8C00000004C590", "EN-002108216")</f>
        <v>EN-002108216</v>
      </c>
    </row>
    <row r="5743" spans="1:15" ht="16" x14ac:dyDescent="0.2">
      <c r="A5743" s="26"/>
      <c r="B5743" s="26"/>
      <c r="C5743" s="26"/>
      <c r="D5743" s="26"/>
      <c r="E5743" s="26"/>
      <c r="F5743" s="26"/>
      <c r="G5743" s="26"/>
      <c r="H5743" s="26"/>
      <c r="I5743" s="26"/>
      <c r="J5743" s="26"/>
      <c r="K5743" s="26"/>
      <c r="L5743" s="26"/>
      <c r="M5743" s="26"/>
      <c r="N5743" s="26"/>
      <c r="O5743" s="14" t="str">
        <f>HYPERLINK("https://otsuka-europe-crm.veevavault.com/ui/#object/email_activity__v/V8C00000004D010", "EN-002108231")</f>
        <v>EN-002108231</v>
      </c>
    </row>
    <row r="5744" spans="1:15" ht="16" x14ac:dyDescent="0.2">
      <c r="A5744" s="26"/>
      <c r="B5744" s="26"/>
      <c r="C5744" s="26"/>
      <c r="D5744" s="26"/>
      <c r="E5744" s="26"/>
      <c r="F5744" s="26"/>
      <c r="G5744" s="26"/>
      <c r="H5744" s="26"/>
      <c r="I5744" s="26"/>
      <c r="J5744" s="26"/>
      <c r="K5744" s="26"/>
      <c r="L5744" s="26"/>
      <c r="M5744" s="26"/>
      <c r="N5744" s="26"/>
      <c r="O5744" s="14" t="str">
        <f>HYPERLINK("https://otsuka-europe-crm.veevavault.com/ui/#object/email_activity__v/V8C00000004D013", "EN-002108236")</f>
        <v>EN-002108236</v>
      </c>
    </row>
    <row r="5745" spans="1:15" ht="16" x14ac:dyDescent="0.2">
      <c r="A5745" s="26"/>
      <c r="B5745" s="26"/>
      <c r="C5745" s="26"/>
      <c r="D5745" s="26"/>
      <c r="E5745" s="26"/>
      <c r="F5745" s="26"/>
      <c r="G5745" s="26"/>
      <c r="H5745" s="26"/>
      <c r="I5745" s="26"/>
      <c r="J5745" s="26"/>
      <c r="K5745" s="26"/>
      <c r="L5745" s="26"/>
      <c r="M5745" s="26"/>
      <c r="N5745" s="26"/>
      <c r="O5745" s="14" t="str">
        <f>HYPERLINK("https://otsuka-europe-crm.veevavault.com/ui/#object/email_activity__v/V8C00000004D064", "EN-002108296")</f>
        <v>EN-002108296</v>
      </c>
    </row>
    <row r="5746" spans="1:15" ht="16" x14ac:dyDescent="0.2">
      <c r="A5746" s="26"/>
      <c r="B5746" s="26"/>
      <c r="C5746" s="26"/>
      <c r="D5746" s="26"/>
      <c r="E5746" s="26"/>
      <c r="F5746" s="26"/>
      <c r="G5746" s="26"/>
      <c r="H5746" s="26"/>
      <c r="I5746" s="26"/>
      <c r="J5746" s="26"/>
      <c r="K5746" s="26"/>
      <c r="L5746" s="26"/>
      <c r="M5746" s="26"/>
      <c r="N5746" s="26"/>
      <c r="O5746" s="14" t="str">
        <f>HYPERLINK("https://otsuka-europe-crm.veevavault.com/ui/#object/email_activity__v/V8C00000004D506", "EN-002109105")</f>
        <v>EN-002109105</v>
      </c>
    </row>
    <row r="5747" spans="1:15" ht="16" x14ac:dyDescent="0.2">
      <c r="A5747" s="26"/>
      <c r="B5747" s="26"/>
      <c r="C5747" s="26"/>
      <c r="D5747" s="26"/>
      <c r="E5747" s="26"/>
      <c r="F5747" s="26"/>
      <c r="G5747" s="26"/>
      <c r="H5747" s="26"/>
      <c r="I5747" s="26"/>
      <c r="J5747" s="26"/>
      <c r="K5747" s="26"/>
      <c r="L5747" s="26"/>
      <c r="M5747" s="26"/>
      <c r="N5747" s="26"/>
      <c r="O5747" s="14" t="str">
        <f>HYPERLINK("https://otsuka-europe-crm.veevavault.com/ui/#object/email_activity__v/V8C00000004D507", "EN-002109106")</f>
        <v>EN-002109106</v>
      </c>
    </row>
    <row r="5748" spans="1:15" ht="16" x14ac:dyDescent="0.2">
      <c r="A5748" s="26"/>
      <c r="B5748" s="26"/>
      <c r="C5748" s="26"/>
      <c r="D5748" s="26"/>
      <c r="E5748" s="26"/>
      <c r="F5748" s="26"/>
      <c r="G5748" s="26"/>
      <c r="H5748" s="26"/>
      <c r="I5748" s="26"/>
      <c r="J5748" s="26"/>
      <c r="K5748" s="26"/>
      <c r="L5748" s="26"/>
      <c r="M5748" s="26"/>
      <c r="N5748" s="26"/>
      <c r="O5748" s="14" t="str">
        <f>HYPERLINK("https://otsuka-europe-crm.veevavault.com/ui/#object/email_activity__v/V8C00000004D508", "EN-002109107")</f>
        <v>EN-002109107</v>
      </c>
    </row>
    <row r="5749" spans="1:15" ht="16" x14ac:dyDescent="0.2">
      <c r="A5749" s="26"/>
      <c r="B5749" s="26"/>
      <c r="C5749" s="26"/>
      <c r="D5749" s="26"/>
      <c r="E5749" s="26"/>
      <c r="F5749" s="26"/>
      <c r="G5749" s="26"/>
      <c r="H5749" s="26"/>
      <c r="I5749" s="26"/>
      <c r="J5749" s="26"/>
      <c r="K5749" s="26"/>
      <c r="L5749" s="26"/>
      <c r="M5749" s="26"/>
      <c r="N5749" s="26"/>
      <c r="O5749" s="14" t="str">
        <f>HYPERLINK("https://otsuka-europe-crm.veevavault.com/ui/#object/email_activity__v/V8C00000004D509", "EN-002109108")</f>
        <v>EN-002109108</v>
      </c>
    </row>
    <row r="5750" spans="1:15" ht="16" x14ac:dyDescent="0.2">
      <c r="A5750" s="26"/>
      <c r="B5750" s="26"/>
      <c r="C5750" s="26"/>
      <c r="D5750" s="26"/>
      <c r="E5750" s="26"/>
      <c r="F5750" s="26"/>
      <c r="G5750" s="26"/>
      <c r="H5750" s="26"/>
      <c r="I5750" s="26"/>
      <c r="J5750" s="26"/>
      <c r="K5750" s="26"/>
      <c r="L5750" s="26"/>
      <c r="M5750" s="26"/>
      <c r="N5750" s="26"/>
      <c r="O5750" s="14" t="str">
        <f>HYPERLINK("https://otsuka-europe-crm.veevavault.com/ui/#object/email_activity__v/V8C00000004D510", "EN-002109110")</f>
        <v>EN-002109110</v>
      </c>
    </row>
    <row r="5751" spans="1:15" ht="16" x14ac:dyDescent="0.2">
      <c r="A5751" s="26"/>
      <c r="B5751" s="26"/>
      <c r="C5751" s="26"/>
      <c r="D5751" s="26"/>
      <c r="E5751" s="26"/>
      <c r="F5751" s="26"/>
      <c r="G5751" s="26"/>
      <c r="H5751" s="26"/>
      <c r="I5751" s="26"/>
      <c r="J5751" s="26"/>
      <c r="K5751" s="26"/>
      <c r="L5751" s="26"/>
      <c r="M5751" s="26"/>
      <c r="N5751" s="26"/>
      <c r="O5751" s="14" t="str">
        <f>HYPERLINK("https://otsuka-europe-crm.veevavault.com/ui/#object/email_activity__v/V8C00000004E382", "EN-002109109")</f>
        <v>EN-002109109</v>
      </c>
    </row>
    <row r="5752" spans="1:15" ht="16" x14ac:dyDescent="0.2">
      <c r="A5752" s="26"/>
      <c r="B5752" s="26"/>
      <c r="C5752" s="26"/>
      <c r="D5752" s="26"/>
      <c r="E5752" s="26"/>
      <c r="F5752" s="26"/>
      <c r="G5752" s="26"/>
      <c r="H5752" s="26"/>
      <c r="I5752" s="26"/>
      <c r="J5752" s="26"/>
      <c r="K5752" s="26"/>
      <c r="L5752" s="26"/>
      <c r="M5752" s="26"/>
      <c r="N5752" s="26"/>
      <c r="O5752" s="14" t="str">
        <f>HYPERLINK("https://otsuka-europe-crm.veevavault.com/ui/#object/email_activity__v/V8C00000004G007", "EN-002109801")</f>
        <v>EN-002109801</v>
      </c>
    </row>
    <row r="5753" spans="1:15" ht="16" x14ac:dyDescent="0.2">
      <c r="A5753" s="19"/>
      <c r="B5753" s="19"/>
      <c r="C5753" s="19"/>
      <c r="D5753" s="19"/>
      <c r="E5753" s="19"/>
      <c r="F5753" s="19"/>
      <c r="G5753" s="19"/>
      <c r="H5753" s="19"/>
      <c r="I5753" s="19"/>
      <c r="J5753" s="19"/>
      <c r="K5753" s="19"/>
      <c r="L5753" s="19"/>
      <c r="M5753" s="19"/>
      <c r="N5753" s="19"/>
      <c r="O5753" s="14" t="str">
        <f>HYPERLINK("https://otsuka-europe-crm.veevavault.com/ui/#object/email_activity__v/V8C00000004H001", "EN-002110951")</f>
        <v>EN-002110951</v>
      </c>
    </row>
    <row r="5754" spans="1:15" ht="16" x14ac:dyDescent="0.2">
      <c r="A5754" s="18" t="str">
        <f>HYPERLINK("https://otsuka-europe-crm.veevavault.com/ui/#object/account__v/V4TZ04ASGGI62QK", "Amevi Anaglavi")</f>
        <v>Amevi Anaglavi</v>
      </c>
      <c r="B5754" s="18" t="str">
        <f>HYPERLINK("https://otsuka-europe-crm.veevavault.com/ui/#object/vcountry__v/VENZ000004SONFK", "GB")</f>
        <v>GB</v>
      </c>
      <c r="C5754" s="20" t="s">
        <v>41</v>
      </c>
      <c r="D5754" s="21" t="str">
        <f>HYPERLINK("https://otsuka-europe-crm.veevavault.com/ui/#object/approved_document__v/V5O00000001V001", "LDM DR P2P Invite 12-Nov-26 v2 [digital]")</f>
        <v>LDM DR P2P Invite 12-Nov-26 v2 [digital]</v>
      </c>
      <c r="E5754" s="22" t="str">
        <f>HYPERLINK("https://otsuka-europe-crm.veevavault.com/ui/#object/sent_email__v/VBL00000003A115", "SE-001444377")</f>
        <v>SE-001444377</v>
      </c>
      <c r="F5754" s="25">
        <v>46226.435370370367</v>
      </c>
      <c r="G5754" s="24">
        <v>1</v>
      </c>
      <c r="H5754" s="24">
        <v>2</v>
      </c>
      <c r="I5754" s="24">
        <v>0</v>
      </c>
      <c r="J5754" s="23"/>
      <c r="K5754" s="24">
        <v>0</v>
      </c>
      <c r="L5754" s="22" t="str">
        <f>HYPERLINK("https://otsuka-europe-crm.veevavault.com/ui/#object/approved_document__v/V5O00000001V001", "LDM DR P2P Invite 12-Nov-26 v2 [digital]")</f>
        <v>LDM DR P2P Invite 12-Nov-26 v2 [digital]</v>
      </c>
      <c r="M5754" s="22" t="str">
        <f>HYPERLINK("mailto:draval@crm.otsuka-europe.com", "draval@crm.otsuka-europe.com")</f>
        <v>draval@crm.otsuka-europe.com</v>
      </c>
      <c r="N5754" s="25">
        <v>46226.299224537041</v>
      </c>
      <c r="O5754" s="14" t="str">
        <f>HYPERLINK("https://otsuka-europe-crm.veevavault.com/ui/#object/email_activity__v/V8C00000004B550", "EN-002107661")</f>
        <v>EN-002107661</v>
      </c>
    </row>
    <row r="5755" spans="1:15" ht="16" x14ac:dyDescent="0.2">
      <c r="A5755" s="26"/>
      <c r="B5755" s="26"/>
      <c r="C5755" s="26"/>
      <c r="D5755" s="26"/>
      <c r="E5755" s="26"/>
      <c r="F5755" s="26"/>
      <c r="G5755" s="26"/>
      <c r="H5755" s="26"/>
      <c r="I5755" s="26"/>
      <c r="J5755" s="26"/>
      <c r="K5755" s="26"/>
      <c r="L5755" s="26"/>
      <c r="M5755" s="26"/>
      <c r="N5755" s="26"/>
      <c r="O5755" s="14" t="str">
        <f>HYPERLINK("https://otsuka-europe-crm.veevavault.com/ui/#object/email_activity__v/V8C00000004B861", "EN-002108172")</f>
        <v>EN-002108172</v>
      </c>
    </row>
    <row r="5756" spans="1:15" ht="16" x14ac:dyDescent="0.2">
      <c r="A5756" s="26"/>
      <c r="B5756" s="26"/>
      <c r="C5756" s="26"/>
      <c r="D5756" s="26"/>
      <c r="E5756" s="26"/>
      <c r="F5756" s="26"/>
      <c r="G5756" s="26"/>
      <c r="H5756" s="26"/>
      <c r="I5756" s="26"/>
      <c r="J5756" s="26"/>
      <c r="K5756" s="26"/>
      <c r="L5756" s="26"/>
      <c r="M5756" s="26"/>
      <c r="N5756" s="26"/>
      <c r="O5756" s="14" t="str">
        <f>HYPERLINK("https://otsuka-europe-crm.veevavault.com/ui/#object/email_activity__v/V8C00000004C438", "EN-002107888")</f>
        <v>EN-002107888</v>
      </c>
    </row>
    <row r="5757" spans="1:15" ht="16" x14ac:dyDescent="0.2">
      <c r="A5757" s="19"/>
      <c r="B5757" s="19"/>
      <c r="C5757" s="19"/>
      <c r="D5757" s="19"/>
      <c r="E5757" s="19"/>
      <c r="F5757" s="19"/>
      <c r="G5757" s="19"/>
      <c r="H5757" s="19"/>
      <c r="I5757" s="19"/>
      <c r="J5757" s="19"/>
      <c r="K5757" s="19"/>
      <c r="L5757" s="19"/>
      <c r="M5757" s="19"/>
      <c r="N5757" s="19"/>
      <c r="O5757" s="14" t="str">
        <f>HYPERLINK("https://otsuka-europe-crm.veevavault.com/ui/#object/email_activity__v/V8C00000004C440", "EN-002107890")</f>
        <v>EN-002107890</v>
      </c>
    </row>
    <row r="5758" spans="1:15" ht="16" x14ac:dyDescent="0.2">
      <c r="A5758" s="18" t="str">
        <f>HYPERLINK("https://otsuka-europe-crm.veevavault.com/ui/#object/account__v/V4TZ04ASGC02F0R", "Mine Barron")</f>
        <v>Mine Barron</v>
      </c>
      <c r="B5758" s="18" t="str">
        <f>HYPERLINK("https://otsuka-europe-crm.veevavault.com/ui/#object/vcountry__v/VENZ000004SONFK", "GB")</f>
        <v>GB</v>
      </c>
      <c r="C5758" s="20" t="s">
        <v>41</v>
      </c>
      <c r="D5758" s="21" t="str">
        <f>HYPERLINK("https://otsuka-europe-crm.veevavault.com/ui/#object/approved_document__v/V5O00000001V001", "LDM DR P2P Invite 12-Nov-26 v2 [digital]")</f>
        <v>LDM DR P2P Invite 12-Nov-26 v2 [digital]</v>
      </c>
      <c r="E5758" s="22" t="str">
        <f>HYPERLINK("https://otsuka-europe-crm.veevavault.com/ui/#object/sent_email__v/VBL00000003A116", "SE-001444378")</f>
        <v>SE-001444378</v>
      </c>
      <c r="F5758" s="25">
        <v>46231.472025462965</v>
      </c>
      <c r="G5758" s="24">
        <v>1</v>
      </c>
      <c r="H5758" s="24">
        <v>4</v>
      </c>
      <c r="I5758" s="24">
        <v>0</v>
      </c>
      <c r="J5758" s="23"/>
      <c r="K5758" s="24">
        <v>0</v>
      </c>
      <c r="L5758" s="22" t="str">
        <f>HYPERLINK("https://otsuka-europe-crm.veevavault.com/ui/#object/approved_document__v/V5O00000001V001", "LDM DR P2P Invite 12-Nov-26 v2 [digital]")</f>
        <v>LDM DR P2P Invite 12-Nov-26 v2 [digital]</v>
      </c>
      <c r="M5758" s="22" t="str">
        <f>HYPERLINK("mailto:draval@crm.otsuka-europe.com", "draval@crm.otsuka-europe.com")</f>
        <v>draval@crm.otsuka-europe.com</v>
      </c>
      <c r="N5758" s="25">
        <v>46226.299224537041</v>
      </c>
      <c r="O5758" s="14" t="str">
        <f>HYPERLINK("https://otsuka-europe-crm.veevavault.com/ui/#object/email_activity__v/V8C00000004B551", "EN-002107662")</f>
        <v>EN-002107662</v>
      </c>
    </row>
    <row r="5759" spans="1:15" ht="16" x14ac:dyDescent="0.2">
      <c r="A5759" s="26"/>
      <c r="B5759" s="26"/>
      <c r="C5759" s="26"/>
      <c r="D5759" s="26"/>
      <c r="E5759" s="26"/>
      <c r="F5759" s="26"/>
      <c r="G5759" s="26"/>
      <c r="H5759" s="26"/>
      <c r="I5759" s="26"/>
      <c r="J5759" s="26"/>
      <c r="K5759" s="26"/>
      <c r="L5759" s="26"/>
      <c r="M5759" s="26"/>
      <c r="N5759" s="26"/>
      <c r="O5759" s="14" t="str">
        <f>HYPERLINK("https://otsuka-europe-crm.veevavault.com/ui/#object/email_activity__v/V8C00000004B697", "EN-002107824")</f>
        <v>EN-002107824</v>
      </c>
    </row>
    <row r="5760" spans="1:15" ht="16" x14ac:dyDescent="0.2">
      <c r="A5760" s="26"/>
      <c r="B5760" s="26"/>
      <c r="C5760" s="26"/>
      <c r="D5760" s="26"/>
      <c r="E5760" s="26"/>
      <c r="F5760" s="26"/>
      <c r="G5760" s="26"/>
      <c r="H5760" s="26"/>
      <c r="I5760" s="26"/>
      <c r="J5760" s="26"/>
      <c r="K5760" s="26"/>
      <c r="L5760" s="26"/>
      <c r="M5760" s="26"/>
      <c r="N5760" s="26"/>
      <c r="O5760" s="14" t="str">
        <f>HYPERLINK("https://otsuka-europe-crm.veevavault.com/ui/#object/email_activity__v/V8C00000004B699", "EN-002107826")</f>
        <v>EN-002107826</v>
      </c>
    </row>
    <row r="5761" spans="1:15" ht="16" x14ac:dyDescent="0.2">
      <c r="A5761" s="26"/>
      <c r="B5761" s="26"/>
      <c r="C5761" s="26"/>
      <c r="D5761" s="26"/>
      <c r="E5761" s="26"/>
      <c r="F5761" s="26"/>
      <c r="G5761" s="26"/>
      <c r="H5761" s="26"/>
      <c r="I5761" s="26"/>
      <c r="J5761" s="26"/>
      <c r="K5761" s="26"/>
      <c r="L5761" s="26"/>
      <c r="M5761" s="26"/>
      <c r="N5761" s="26"/>
      <c r="O5761" s="14" t="str">
        <f>HYPERLINK("https://otsuka-europe-crm.veevavault.com/ui/#object/email_activity__v/V8C00000004B818", "EN-002108126")</f>
        <v>EN-002108126</v>
      </c>
    </row>
    <row r="5762" spans="1:15" ht="16" x14ac:dyDescent="0.2">
      <c r="A5762" s="26"/>
      <c r="B5762" s="26"/>
      <c r="C5762" s="26"/>
      <c r="D5762" s="26"/>
      <c r="E5762" s="26"/>
      <c r="F5762" s="26"/>
      <c r="G5762" s="26"/>
      <c r="H5762" s="26"/>
      <c r="I5762" s="26"/>
      <c r="J5762" s="26"/>
      <c r="K5762" s="26"/>
      <c r="L5762" s="26"/>
      <c r="M5762" s="26"/>
      <c r="N5762" s="26"/>
      <c r="O5762" s="14" t="str">
        <f>HYPERLINK("https://otsuka-europe-crm.veevavault.com/ui/#object/email_activity__v/V8C00000004C399", "EN-002107798")</f>
        <v>EN-002107798</v>
      </c>
    </row>
    <row r="5763" spans="1:15" ht="16" x14ac:dyDescent="0.2">
      <c r="A5763" s="19"/>
      <c r="B5763" s="19"/>
      <c r="C5763" s="19"/>
      <c r="D5763" s="19"/>
      <c r="E5763" s="19"/>
      <c r="F5763" s="19"/>
      <c r="G5763" s="19"/>
      <c r="H5763" s="19"/>
      <c r="I5763" s="19"/>
      <c r="J5763" s="19"/>
      <c r="K5763" s="19"/>
      <c r="L5763" s="19"/>
      <c r="M5763" s="19"/>
      <c r="N5763" s="19"/>
      <c r="O5763" s="14" t="str">
        <f>HYPERLINK("https://otsuka-europe-crm.veevavault.com/ui/#object/email_activity__v/V8C00000004D649", "EN-002109392")</f>
        <v>EN-002109392</v>
      </c>
    </row>
    <row r="5764" spans="1:15" ht="16" x14ac:dyDescent="0.2">
      <c r="A5764" s="18" t="str">
        <f>HYPERLINK("https://otsuka-europe-crm.veevavault.com/ui/#object/account__v/V4TZ04ASGGKOQWT", "Alessandra Cappai")</f>
        <v>Alessandra Cappai</v>
      </c>
      <c r="B5764" s="18" t="str">
        <f>HYPERLINK("https://otsuka-europe-crm.veevavault.com/ui/#object/vcountry__v/VENZ000004SONFK", "GB")</f>
        <v>GB</v>
      </c>
      <c r="C5764" s="20" t="s">
        <v>41</v>
      </c>
      <c r="D5764" s="21" t="str">
        <f>HYPERLINK("https://otsuka-europe-crm.veevavault.com/ui/#object/approved_document__v/V5O00000001V001", "LDM DR P2P Invite 12-Nov-26 v2 [digital]")</f>
        <v>LDM DR P2P Invite 12-Nov-26 v2 [digital]</v>
      </c>
      <c r="E5764" s="22" t="str">
        <f>HYPERLINK("https://otsuka-europe-crm.veevavault.com/ui/#object/sent_email__v/VBL00000003A117", "SE-001444379")</f>
        <v>SE-001444379</v>
      </c>
      <c r="F5764" s="25">
        <v>46230.366331018522</v>
      </c>
      <c r="G5764" s="24">
        <v>1</v>
      </c>
      <c r="H5764" s="24">
        <v>2</v>
      </c>
      <c r="I5764" s="24">
        <v>0</v>
      </c>
      <c r="J5764" s="23"/>
      <c r="K5764" s="24">
        <v>0</v>
      </c>
      <c r="L5764" s="22" t="str">
        <f>HYPERLINK("https://otsuka-europe-crm.veevavault.com/ui/#object/approved_document__v/V5O00000001V001", "LDM DR P2P Invite 12-Nov-26 v2 [digital]")</f>
        <v>LDM DR P2P Invite 12-Nov-26 v2 [digital]</v>
      </c>
      <c r="M5764" s="22" t="str">
        <f>HYPERLINK("mailto:draval@crm.otsuka-europe.com", "draval@crm.otsuka-europe.com")</f>
        <v>draval@crm.otsuka-europe.com</v>
      </c>
      <c r="N5764" s="25">
        <v>46226.299189814818</v>
      </c>
      <c r="O5764" s="14" t="str">
        <f>HYPERLINK("https://otsuka-europe-crm.veevavault.com/ui/#object/email_activity__v/V8C00000004B552", "EN-002107663")</f>
        <v>EN-002107663</v>
      </c>
    </row>
    <row r="5765" spans="1:15" ht="16" x14ac:dyDescent="0.2">
      <c r="A5765" s="26"/>
      <c r="B5765" s="26"/>
      <c r="C5765" s="26"/>
      <c r="D5765" s="26"/>
      <c r="E5765" s="26"/>
      <c r="F5765" s="26"/>
      <c r="G5765" s="26"/>
      <c r="H5765" s="26"/>
      <c r="I5765" s="26"/>
      <c r="J5765" s="26"/>
      <c r="K5765" s="26"/>
      <c r="L5765" s="26"/>
      <c r="M5765" s="26"/>
      <c r="N5765" s="26"/>
      <c r="O5765" s="14" t="str">
        <f>HYPERLINK("https://otsuka-europe-crm.veevavault.com/ui/#object/email_activity__v/V8C00000004C411", "EN-002107852")</f>
        <v>EN-002107852</v>
      </c>
    </row>
    <row r="5766" spans="1:15" ht="16" x14ac:dyDescent="0.2">
      <c r="A5766" s="26"/>
      <c r="B5766" s="26"/>
      <c r="C5766" s="26"/>
      <c r="D5766" s="26"/>
      <c r="E5766" s="26"/>
      <c r="F5766" s="26"/>
      <c r="G5766" s="26"/>
      <c r="H5766" s="26"/>
      <c r="I5766" s="26"/>
      <c r="J5766" s="26"/>
      <c r="K5766" s="26"/>
      <c r="L5766" s="26"/>
      <c r="M5766" s="26"/>
      <c r="N5766" s="26"/>
      <c r="O5766" s="14" t="str">
        <f>HYPERLINK("https://otsuka-europe-crm.veevavault.com/ui/#object/email_activity__v/V8C00000004D492", "EN-002109074")</f>
        <v>EN-002109074</v>
      </c>
    </row>
    <row r="5767" spans="1:15" ht="16" x14ac:dyDescent="0.2">
      <c r="A5767" s="19"/>
      <c r="B5767" s="19"/>
      <c r="C5767" s="19"/>
      <c r="D5767" s="19"/>
      <c r="E5767" s="19"/>
      <c r="F5767" s="19"/>
      <c r="G5767" s="19"/>
      <c r="H5767" s="19"/>
      <c r="I5767" s="19"/>
      <c r="J5767" s="19"/>
      <c r="K5767" s="19"/>
      <c r="L5767" s="19"/>
      <c r="M5767" s="19"/>
      <c r="N5767" s="19"/>
      <c r="O5767" s="14" t="str">
        <f>HYPERLINK("https://otsuka-europe-crm.veevavault.com/ui/#object/email_activity__v/V8C00000004D493", "EN-002109075")</f>
        <v>EN-002109075</v>
      </c>
    </row>
    <row r="5768" spans="1:15" ht="16" x14ac:dyDescent="0.2">
      <c r="A5768" s="18" t="str">
        <f>HYPERLINK("https://otsuka-europe-crm.veevavault.com/ui/#object/account__v/V4TZ0000062POWK", "Edgar Chan")</f>
        <v>Edgar Chan</v>
      </c>
      <c r="B5768" s="18" t="str">
        <f>HYPERLINK("https://otsuka-europe-crm.veevavault.com/ui/#object/vcountry__v/VENZ000004SONFK", "GB")</f>
        <v>GB</v>
      </c>
      <c r="C5768" s="20" t="s">
        <v>41</v>
      </c>
      <c r="D5768" s="21" t="str">
        <f>HYPERLINK("https://otsuka-europe-crm.veevavault.com/ui/#object/approved_document__v/V5O00000001V001", "LDM DR P2P Invite 12-Nov-26 v2 [digital]")</f>
        <v>LDM DR P2P Invite 12-Nov-26 v2 [digital]</v>
      </c>
      <c r="E5768" s="22" t="str">
        <f>HYPERLINK("https://otsuka-europe-crm.veevavault.com/ui/#object/sent_email__v/VBL00000003A118", "SE-001444380")</f>
        <v>SE-001444380</v>
      </c>
      <c r="F5768" s="23"/>
      <c r="G5768" s="24">
        <v>0</v>
      </c>
      <c r="H5768" s="24">
        <v>0</v>
      </c>
      <c r="I5768" s="24">
        <v>0</v>
      </c>
      <c r="J5768" s="23"/>
      <c r="K5768" s="24">
        <v>0</v>
      </c>
      <c r="L5768" s="22" t="str">
        <f>HYPERLINK("https://otsuka-europe-crm.veevavault.com/ui/#object/approved_document__v/V5O00000001V001", "LDM DR P2P Invite 12-Nov-26 v2 [digital]")</f>
        <v>LDM DR P2P Invite 12-Nov-26 v2 [digital]</v>
      </c>
      <c r="M5768" s="22" t="str">
        <f>HYPERLINK("mailto:draval@crm.otsuka-europe.com", "draval@crm.otsuka-europe.com")</f>
        <v>draval@crm.otsuka-europe.com</v>
      </c>
      <c r="N5768" s="25">
        <v>46226.299224537041</v>
      </c>
      <c r="O5768" s="14" t="str">
        <f>HYPERLINK("https://otsuka-europe-crm.veevavault.com/ui/#object/email_activity__v/V8C00000004B553", "EN-002107664")</f>
        <v>EN-002107664</v>
      </c>
    </row>
    <row r="5769" spans="1:15" ht="16" x14ac:dyDescent="0.2">
      <c r="A5769" s="19"/>
      <c r="B5769" s="19"/>
      <c r="C5769" s="19"/>
      <c r="D5769" s="19"/>
      <c r="E5769" s="19"/>
      <c r="F5769" s="19"/>
      <c r="G5769" s="19"/>
      <c r="H5769" s="19"/>
      <c r="I5769" s="19"/>
      <c r="J5769" s="19"/>
      <c r="K5769" s="19"/>
      <c r="L5769" s="19"/>
      <c r="M5769" s="19"/>
      <c r="N5769" s="19"/>
      <c r="O5769" s="14" t="str">
        <f>HYPERLINK("https://otsuka-europe-crm.veevavault.com/ui/#object/email_activity__v/V8C00000004C564", "EN-002108074")</f>
        <v>EN-002108074</v>
      </c>
    </row>
    <row r="5770" spans="1:15" ht="32" x14ac:dyDescent="0.2">
      <c r="A5770" s="7" t="str">
        <f>HYPERLINK("https://otsuka-europe-crm.veevavault.com/ui/#object/account__v/V4TZ000006DGGW5", "Wasse Efimba")</f>
        <v>Wasse Efimba</v>
      </c>
      <c r="B5770" s="7" t="str">
        <f>HYPERLINK("https://otsuka-europe-crm.veevavault.com/ui/#object/vcountry__v/VENZ000004SONFK", "GB")</f>
        <v>GB</v>
      </c>
      <c r="C5770" s="8" t="s">
        <v>41</v>
      </c>
      <c r="D5770" s="9" t="str">
        <f>HYPERLINK("https://otsuka-europe-crm.veevavault.com/ui/#object/approved_document__v/V5O00000001V001", "LDM DR P2P Invite 12-Nov-26 v2 [digital]")</f>
        <v>LDM DR P2P Invite 12-Nov-26 v2 [digital]</v>
      </c>
      <c r="E5770" s="10" t="str">
        <f>HYPERLINK("https://otsuka-europe-crm.veevavault.com/ui/#object/sent_email__v/VBL00000003A119", "SE-001444381")</f>
        <v>SE-001444381</v>
      </c>
      <c r="F5770" s="11"/>
      <c r="G5770" s="12">
        <v>0</v>
      </c>
      <c r="H5770" s="12">
        <v>0</v>
      </c>
      <c r="I5770" s="12">
        <v>0</v>
      </c>
      <c r="J5770" s="11"/>
      <c r="K5770" s="12">
        <v>0</v>
      </c>
      <c r="L5770" s="10" t="str">
        <f>HYPERLINK("https://otsuka-europe-crm.veevavault.com/ui/#object/approved_document__v/V5O00000001V001", "LDM DR P2P Invite 12-Nov-26 v2 [digital]")</f>
        <v>LDM DR P2P Invite 12-Nov-26 v2 [digital]</v>
      </c>
      <c r="M5770" s="10" t="str">
        <f>HYPERLINK("mailto:draval@crm.otsuka-europe.com", "draval@crm.otsuka-europe.com")</f>
        <v>draval@crm.otsuka-europe.com</v>
      </c>
      <c r="N5770" s="13">
        <v>46226.299224537041</v>
      </c>
      <c r="O5770" s="14" t="str">
        <f>HYPERLINK("https://otsuka-europe-crm.veevavault.com/ui/#object/email_activity__v/V8C00000004C373", "EN-002107546")</f>
        <v>EN-002107546</v>
      </c>
    </row>
    <row r="5771" spans="1:15" ht="16" x14ac:dyDescent="0.2">
      <c r="A5771" s="18" t="str">
        <f>HYPERLINK("https://otsuka-europe-crm.veevavault.com/ui/#object/account__v/V4TZ04ASGBX0EWI", "Sangeetha Kalimuthu")</f>
        <v>Sangeetha Kalimuthu</v>
      </c>
      <c r="B5771" s="18" t="str">
        <f>HYPERLINK("https://otsuka-europe-crm.veevavault.com/ui/#object/vcountry__v/VENZ000004SONFK", "GB")</f>
        <v>GB</v>
      </c>
      <c r="C5771" s="20" t="s">
        <v>41</v>
      </c>
      <c r="D5771" s="21" t="str">
        <f>HYPERLINK("https://otsuka-europe-crm.veevavault.com/ui/#object/approved_document__v/V5O00000001V001", "LDM DR P2P Invite 12-Nov-26 v2 [digital]")</f>
        <v>LDM DR P2P Invite 12-Nov-26 v2 [digital]</v>
      </c>
      <c r="E5771" s="22" t="str">
        <f>HYPERLINK("https://otsuka-europe-crm.veevavault.com/ui/#object/sent_email__v/VBL00000003A120", "SE-001444382")</f>
        <v>SE-001444382</v>
      </c>
      <c r="F5771" s="25">
        <v>46226.299305555556</v>
      </c>
      <c r="G5771" s="24">
        <v>1</v>
      </c>
      <c r="H5771" s="24">
        <v>1</v>
      </c>
      <c r="I5771" s="24">
        <v>0</v>
      </c>
      <c r="J5771" s="23"/>
      <c r="K5771" s="24">
        <v>0</v>
      </c>
      <c r="L5771" s="22" t="str">
        <f>HYPERLINK("https://otsuka-europe-crm.veevavault.com/ui/#object/approved_document__v/V5O00000001V001", "LDM DR P2P Invite 12-Nov-26 v2 [digital]")</f>
        <v>LDM DR P2P Invite 12-Nov-26 v2 [digital]</v>
      </c>
      <c r="M5771" s="22" t="str">
        <f>HYPERLINK("mailto:draval@crm.otsuka-europe.com", "draval@crm.otsuka-europe.com")</f>
        <v>draval@crm.otsuka-europe.com</v>
      </c>
      <c r="N5771" s="25">
        <v>46226.299224537041</v>
      </c>
      <c r="O5771" s="14" t="str">
        <f>HYPERLINK("https://otsuka-europe-crm.veevavault.com/ui/#object/email_activity__v/V8C00000004B342", "EN-002107302")</f>
        <v>EN-002107302</v>
      </c>
    </row>
    <row r="5772" spans="1:15" ht="16" x14ac:dyDescent="0.2">
      <c r="A5772" s="26"/>
      <c r="B5772" s="26"/>
      <c r="C5772" s="26"/>
      <c r="D5772" s="26"/>
      <c r="E5772" s="26"/>
      <c r="F5772" s="26"/>
      <c r="G5772" s="26"/>
      <c r="H5772" s="26"/>
      <c r="I5772" s="26"/>
      <c r="J5772" s="26"/>
      <c r="K5772" s="26"/>
      <c r="L5772" s="26"/>
      <c r="M5772" s="26"/>
      <c r="N5772" s="26"/>
      <c r="O5772" s="14" t="str">
        <f>HYPERLINK("https://otsuka-europe-crm.veevavault.com/ui/#object/email_activity__v/V8C00000004B554", "EN-002107665")</f>
        <v>EN-002107665</v>
      </c>
    </row>
    <row r="5773" spans="1:15" ht="16" x14ac:dyDescent="0.2">
      <c r="A5773" s="19"/>
      <c r="B5773" s="19"/>
      <c r="C5773" s="19"/>
      <c r="D5773" s="19"/>
      <c r="E5773" s="19"/>
      <c r="F5773" s="19"/>
      <c r="G5773" s="19"/>
      <c r="H5773" s="19"/>
      <c r="I5773" s="19"/>
      <c r="J5773" s="19"/>
      <c r="K5773" s="19"/>
      <c r="L5773" s="19"/>
      <c r="M5773" s="19"/>
      <c r="N5773" s="19"/>
      <c r="O5773" s="14" t="str">
        <f>HYPERLINK("https://otsuka-europe-crm.veevavault.com/ui/#object/email_activity__v/V8C00000004B857", "EN-002108168")</f>
        <v>EN-002108168</v>
      </c>
    </row>
    <row r="5774" spans="1:15" ht="32" x14ac:dyDescent="0.2">
      <c r="A5774" s="7" t="str">
        <f>HYPERLINK("https://otsuka-europe-crm.veevavault.com/ui/#object/account__v/V4TZ0000062PBNG", "Wei Lim")</f>
        <v>Wei Lim</v>
      </c>
      <c r="B5774" s="7" t="str">
        <f>HYPERLINK("https://otsuka-europe-crm.veevavault.com/ui/#object/vcountry__v/VENZ000004SONFK", "GB")</f>
        <v>GB</v>
      </c>
      <c r="C5774" s="8" t="s">
        <v>41</v>
      </c>
      <c r="D5774" s="9" t="str">
        <f>HYPERLINK("https://otsuka-europe-crm.veevavault.com/ui/#object/approved_document__v/V5O00000001V001", "LDM DR P2P Invite 12-Nov-26 v2 [digital]")</f>
        <v>LDM DR P2P Invite 12-Nov-26 v2 [digital]</v>
      </c>
      <c r="E5774" s="10" t="str">
        <f>HYPERLINK("https://otsuka-europe-crm.veevavault.com/ui/#object/sent_email__v/VBL00000003A121", "SE-001444383")</f>
        <v>SE-001444383</v>
      </c>
      <c r="F5774" s="11"/>
      <c r="G5774" s="12">
        <v>0</v>
      </c>
      <c r="H5774" s="12">
        <v>0</v>
      </c>
      <c r="I5774" s="12">
        <v>0</v>
      </c>
      <c r="J5774" s="11"/>
      <c r="K5774" s="12">
        <v>0</v>
      </c>
      <c r="L5774" s="10" t="str">
        <f>HYPERLINK("https://otsuka-europe-crm.veevavault.com/ui/#object/approved_document__v/V5O00000001V001", "LDM DR P2P Invite 12-Nov-26 v2 [digital]")</f>
        <v>LDM DR P2P Invite 12-Nov-26 v2 [digital]</v>
      </c>
      <c r="M5774" s="10" t="str">
        <f>HYPERLINK("mailto:draval@crm.otsuka-europe.com", "draval@crm.otsuka-europe.com")</f>
        <v>draval@crm.otsuka-europe.com</v>
      </c>
      <c r="N5774" s="13">
        <v>46226.299224537041</v>
      </c>
      <c r="O5774" s="14" t="str">
        <f>HYPERLINK("https://otsuka-europe-crm.veevavault.com/ui/#object/email_activity__v/V8C00000004C272", "EN-002107344")</f>
        <v>EN-002107344</v>
      </c>
    </row>
    <row r="5775" spans="1:15" ht="16" x14ac:dyDescent="0.2">
      <c r="A5775" s="18" t="str">
        <f>HYPERLINK("https://otsuka-europe-crm.veevavault.com/ui/#object/account__v/V4TZ06G6OBU7F67", "Carmen Madicu Verdugo")</f>
        <v>Carmen Madicu Verdugo</v>
      </c>
      <c r="B5775" s="18" t="str">
        <f>HYPERLINK("https://otsuka-europe-crm.veevavault.com/ui/#object/vcountry__v/VENZ000004SONFK", "GB")</f>
        <v>GB</v>
      </c>
      <c r="C5775" s="20" t="s">
        <v>41</v>
      </c>
      <c r="D5775" s="21" t="str">
        <f>HYPERLINK("https://otsuka-europe-crm.veevavault.com/ui/#object/approved_document__v/V5O00000001V001", "LDM DR P2P Invite 12-Nov-26 v2 [digital]")</f>
        <v>LDM DR P2P Invite 12-Nov-26 v2 [digital]</v>
      </c>
      <c r="E5775" s="22" t="str">
        <f>HYPERLINK("https://otsuka-europe-crm.veevavault.com/ui/#object/sent_email__v/VBL00000003A122", "SE-001444384")</f>
        <v>SE-001444384</v>
      </c>
      <c r="F5775" s="23"/>
      <c r="G5775" s="24">
        <v>0</v>
      </c>
      <c r="H5775" s="24">
        <v>0</v>
      </c>
      <c r="I5775" s="24">
        <v>0</v>
      </c>
      <c r="J5775" s="23"/>
      <c r="K5775" s="24">
        <v>0</v>
      </c>
      <c r="L5775" s="22" t="str">
        <f>HYPERLINK("https://otsuka-europe-crm.veevavault.com/ui/#object/approved_document__v/V5O00000001V001", "LDM DR P2P Invite 12-Nov-26 v2 [digital]")</f>
        <v>LDM DR P2P Invite 12-Nov-26 v2 [digital]</v>
      </c>
      <c r="M5775" s="22" t="str">
        <f>HYPERLINK("mailto:draval@crm.otsuka-europe.com", "draval@crm.otsuka-europe.com")</f>
        <v>draval@crm.otsuka-europe.com</v>
      </c>
      <c r="N5775" s="25">
        <v>46226.299224537041</v>
      </c>
      <c r="O5775" s="14" t="str">
        <f>HYPERLINK("https://otsuka-europe-crm.veevavault.com/ui/#object/email_activity__v/V8C00000004B555", "EN-002107666")</f>
        <v>EN-002107666</v>
      </c>
    </row>
    <row r="5776" spans="1:15" ht="16" x14ac:dyDescent="0.2">
      <c r="A5776" s="19"/>
      <c r="B5776" s="19"/>
      <c r="C5776" s="19"/>
      <c r="D5776" s="19"/>
      <c r="E5776" s="19"/>
      <c r="F5776" s="19"/>
      <c r="G5776" s="19"/>
      <c r="H5776" s="19"/>
      <c r="I5776" s="19"/>
      <c r="J5776" s="19"/>
      <c r="K5776" s="19"/>
      <c r="L5776" s="19"/>
      <c r="M5776" s="19"/>
      <c r="N5776" s="19"/>
      <c r="O5776" s="14" t="str">
        <f>HYPERLINK("https://otsuka-europe-crm.veevavault.com/ui/#object/email_activity__v/V8C00000004B863", "EN-002108174")</f>
        <v>EN-002108174</v>
      </c>
    </row>
    <row r="5777" spans="1:15" ht="16" x14ac:dyDescent="0.2">
      <c r="A5777" s="18" t="str">
        <f>HYPERLINK("https://otsuka-europe-crm.veevavault.com/ui/#object/account__v/V4TZ0000062PHN2", "Raman Rashwany")</f>
        <v>Raman Rashwany</v>
      </c>
      <c r="B5777" s="18" t="str">
        <f>HYPERLINK("https://otsuka-europe-crm.veevavault.com/ui/#object/vcountry__v/VENZ000004SONFK", "GB")</f>
        <v>GB</v>
      </c>
      <c r="C5777" s="20" t="s">
        <v>41</v>
      </c>
      <c r="D5777" s="21" t="str">
        <f>HYPERLINK("https://otsuka-europe-crm.veevavault.com/ui/#object/approved_document__v/V5O00000001V001", "LDM DR P2P Invite 12-Nov-26 v2 [digital]")</f>
        <v>LDM DR P2P Invite 12-Nov-26 v2 [digital]</v>
      </c>
      <c r="E5777" s="22" t="str">
        <f>HYPERLINK("https://otsuka-europe-crm.veevavault.com/ui/#object/sent_email__v/VBL00000003A123", "SE-001444385")</f>
        <v>SE-001444385</v>
      </c>
      <c r="F5777" s="23"/>
      <c r="G5777" s="24">
        <v>0</v>
      </c>
      <c r="H5777" s="24">
        <v>0</v>
      </c>
      <c r="I5777" s="24">
        <v>0</v>
      </c>
      <c r="J5777" s="23"/>
      <c r="K5777" s="24">
        <v>0</v>
      </c>
      <c r="L5777" s="22" t="str">
        <f>HYPERLINK("https://otsuka-europe-crm.veevavault.com/ui/#object/approved_document__v/V5O00000001V001", "LDM DR P2P Invite 12-Nov-26 v2 [digital]")</f>
        <v>LDM DR P2P Invite 12-Nov-26 v2 [digital]</v>
      </c>
      <c r="M5777" s="22" t="str">
        <f>HYPERLINK("mailto:draval@crm.otsuka-europe.com", "draval@crm.otsuka-europe.com")</f>
        <v>draval@crm.otsuka-europe.com</v>
      </c>
      <c r="N5777" s="25">
        <v>46226.299224537041</v>
      </c>
      <c r="O5777" s="14" t="str">
        <f>HYPERLINK("https://otsuka-europe-crm.veevavault.com/ui/#object/email_activity__v/V8C00000004B556", "EN-002107667")</f>
        <v>EN-002107667</v>
      </c>
    </row>
    <row r="5778" spans="1:15" ht="16" x14ac:dyDescent="0.2">
      <c r="A5778" s="19"/>
      <c r="B5778" s="19"/>
      <c r="C5778" s="19"/>
      <c r="D5778" s="19"/>
      <c r="E5778" s="19"/>
      <c r="F5778" s="19"/>
      <c r="G5778" s="19"/>
      <c r="H5778" s="19"/>
      <c r="I5778" s="19"/>
      <c r="J5778" s="19"/>
      <c r="K5778" s="19"/>
      <c r="L5778" s="19"/>
      <c r="M5778" s="19"/>
      <c r="N5778" s="19"/>
      <c r="O5778" s="14" t="str">
        <f>HYPERLINK("https://otsuka-europe-crm.veevavault.com/ui/#object/email_activity__v/V8C00000004B794", "EN-002108102")</f>
        <v>EN-002108102</v>
      </c>
    </row>
    <row r="5779" spans="1:15" ht="32" x14ac:dyDescent="0.2">
      <c r="A5779" s="7" t="str">
        <f>HYPERLINK("https://otsuka-europe-crm.veevavault.com/ui/#object/account__v/V4T00000001N017", "Adebusola Adekoya")</f>
        <v>Adebusola Adekoya</v>
      </c>
      <c r="B5779" s="7" t="str">
        <f>HYPERLINK("https://otsuka-europe-crm.veevavault.com/ui/#object/vcountry__v/VENZ000004SONFK", "GB")</f>
        <v>GB</v>
      </c>
      <c r="C5779" s="8" t="s">
        <v>41</v>
      </c>
      <c r="D5779" s="9" t="str">
        <f>HYPERLINK("https://otsuka-europe-crm.veevavault.com/ui/#object/approved_document__v/V5O00000001V001", "LDM DR P2P Invite 12-Nov-26 v2 [digital]")</f>
        <v>LDM DR P2P Invite 12-Nov-26 v2 [digital]</v>
      </c>
      <c r="E5779" s="10" t="str">
        <f>HYPERLINK("https://otsuka-europe-crm.veevavault.com/ui/#object/sent_email__v/VBL000000039025", "SE-001444386")</f>
        <v>SE-001444386</v>
      </c>
      <c r="F5779" s="11"/>
      <c r="G5779" s="12">
        <v>0</v>
      </c>
      <c r="H5779" s="12">
        <v>0</v>
      </c>
      <c r="I5779" s="12">
        <v>0</v>
      </c>
      <c r="J5779" s="11"/>
      <c r="K5779" s="12">
        <v>0</v>
      </c>
      <c r="L5779" s="10" t="str">
        <f>HYPERLINK("https://otsuka-europe-crm.veevavault.com/ui/#object/approved_document__v/V5O00000001V001", "LDM DR P2P Invite 12-Nov-26 v2 [digital]")</f>
        <v>LDM DR P2P Invite 12-Nov-26 v2 [digital]</v>
      </c>
      <c r="M5779" s="10" t="str">
        <f>HYPERLINK("mailto:draval@crm.otsuka-europe.com", "draval@crm.otsuka-europe.com")</f>
        <v>draval@crm.otsuka-europe.com</v>
      </c>
      <c r="N5779" s="13">
        <v>46226.299224537041</v>
      </c>
      <c r="O5779" s="14" t="str">
        <f>HYPERLINK("https://otsuka-europe-crm.veevavault.com/ui/#object/email_activity__v/V8C00000004B383", "EN-002107396")</f>
        <v>EN-002107396</v>
      </c>
    </row>
    <row r="5780" spans="1:15" ht="16" x14ac:dyDescent="0.2">
      <c r="A5780" s="18" t="str">
        <f>HYPERLINK("https://otsuka-europe-crm.veevavault.com/ui/#object/account__v/V4TZ04ASGEC27TL", "MARINA MIGUEZ FUENTES")</f>
        <v>MARINA MIGUEZ FUENTES</v>
      </c>
      <c r="B5780" s="18" t="str">
        <f>HYPERLINK("https://otsuka-europe-crm.veevavault.com/ui/#object/vcountry__v/VENZ000004SONF5", "ES")</f>
        <v>ES</v>
      </c>
      <c r="C5780" s="20" t="s">
        <v>39</v>
      </c>
      <c r="D5780" s="21" t="str">
        <f>HYPERLINK("https://otsuka-europe-crm.veevavault.com/ui/#object/approved_document__v/V5OZ04ASG4FWKA9", "Documento Autorizaciขn Centro Empleador")</f>
        <v>Documento Autorizaciขn Centro Empleador</v>
      </c>
      <c r="E5780" s="22" t="str">
        <f>HYPERLINK("https://otsuka-europe-crm.veevavault.com/ui/#object/sent_email__v/VBL000000039026", "SE-001444387")</f>
        <v>SE-001444387</v>
      </c>
      <c r="F5780" s="25">
        <v>46226.320219907408</v>
      </c>
      <c r="G5780" s="24">
        <v>1</v>
      </c>
      <c r="H5780" s="24">
        <v>1</v>
      </c>
      <c r="I5780" s="24">
        <v>1</v>
      </c>
      <c r="J5780" s="25">
        <v>46226.320324074077</v>
      </c>
      <c r="K5780" s="24">
        <v>1</v>
      </c>
      <c r="L5780" s="22" t="str">
        <f>HYPERLINK("https://otsuka-europe-crm.veevavault.com/ui/#object/approved_document__v/V5OZ04ASG4FWKA9", "Documento Autorizaciขn Centro Empleador")</f>
        <v>Documento Autorizaciขn Centro Empleador</v>
      </c>
      <c r="M5780" s="22" t="str">
        <f>HYPERLINK("mailto:sseco@crm.otsuka-europe.com", "sseco@crm.otsuka-europe.com")</f>
        <v>sseco@crm.otsuka-europe.com</v>
      </c>
      <c r="N5780" s="25">
        <v>46226.299143518518</v>
      </c>
      <c r="O5780" s="14" t="str">
        <f>HYPERLINK("https://otsuka-europe-crm.veevavault.com/ui/#object/email_activity__v/V8C00000004B347", "EN-002107360")</f>
        <v>EN-002107360</v>
      </c>
    </row>
    <row r="5781" spans="1:15" ht="16" x14ac:dyDescent="0.2">
      <c r="A5781" s="26"/>
      <c r="B5781" s="26"/>
      <c r="C5781" s="26"/>
      <c r="D5781" s="26"/>
      <c r="E5781" s="26"/>
      <c r="F5781" s="26"/>
      <c r="G5781" s="26"/>
      <c r="H5781" s="26"/>
      <c r="I5781" s="26"/>
      <c r="J5781" s="26"/>
      <c r="K5781" s="26"/>
      <c r="L5781" s="26"/>
      <c r="M5781" s="26"/>
      <c r="N5781" s="26"/>
      <c r="O5781" s="14" t="str">
        <f>HYPERLINK("https://otsuka-europe-crm.veevavault.com/ui/#object/email_activity__v/V8C00000004B703", "EN-002107831")</f>
        <v>EN-002107831</v>
      </c>
    </row>
    <row r="5782" spans="1:15" ht="16" x14ac:dyDescent="0.2">
      <c r="A5782" s="19"/>
      <c r="B5782" s="19"/>
      <c r="C5782" s="19"/>
      <c r="D5782" s="19"/>
      <c r="E5782" s="19"/>
      <c r="F5782" s="19"/>
      <c r="G5782" s="19"/>
      <c r="H5782" s="19"/>
      <c r="I5782" s="19"/>
      <c r="J5782" s="19"/>
      <c r="K5782" s="19"/>
      <c r="L5782" s="19"/>
      <c r="M5782" s="19"/>
      <c r="N5782" s="19"/>
      <c r="O5782" s="14" t="str">
        <f>HYPERLINK("https://otsuka-europe-crm.veevavault.com/ui/#object/email_activity__v/V8C00000004C558", "EN-002108068")</f>
        <v>EN-002108068</v>
      </c>
    </row>
    <row r="5783" spans="1:15" ht="16" x14ac:dyDescent="0.2">
      <c r="A5783" s="18" t="str">
        <f>HYPERLINK("https://otsuka-europe-crm.veevavault.com/ui/#object/account__v/V4TZ025E846HVN3", "DANIEL ALACID RODRIGUEZ")</f>
        <v>DANIEL ALACID RODRIGUEZ</v>
      </c>
      <c r="B5783" s="18" t="str">
        <f>HYPERLINK("https://otsuka-europe-crm.veevavault.com/ui/#object/vcountry__v/VENZ000004SONF5", "ES")</f>
        <v>ES</v>
      </c>
      <c r="C5783" s="20" t="s">
        <v>39</v>
      </c>
      <c r="D5783" s="21" t="str">
        <f>HYPERLINK("https://otsuka-europe-crm.veevavault.com/ui/#object/approved_document__v/V5OZ04ASG4FWKA9", "Documento Autorizaciขn Centro Empleador")</f>
        <v>Documento Autorizaciขn Centro Empleador</v>
      </c>
      <c r="E5783" s="22" t="str">
        <f>HYPERLINK("https://otsuka-europe-crm.veevavault.com/ui/#object/sent_email__v/VBL000000039027", "SE-001444388")</f>
        <v>SE-001444388</v>
      </c>
      <c r="F5783" s="25">
        <v>46227.270729166667</v>
      </c>
      <c r="G5783" s="24">
        <v>1</v>
      </c>
      <c r="H5783" s="24">
        <v>2</v>
      </c>
      <c r="I5783" s="24">
        <v>1</v>
      </c>
      <c r="J5783" s="25">
        <v>46227.270729166667</v>
      </c>
      <c r="K5783" s="24">
        <v>1</v>
      </c>
      <c r="L5783" s="22" t="str">
        <f>HYPERLINK("https://otsuka-europe-crm.veevavault.com/ui/#object/approved_document__v/V5OZ04ASG4FWKA9", "Documento Autorizaciขn Centro Empleador")</f>
        <v>Documento Autorizaciขn Centro Empleador</v>
      </c>
      <c r="M5783" s="22" t="str">
        <f>HYPERLINK("mailto:sseco@crm.otsuka-europe.com", "sseco@crm.otsuka-europe.com")</f>
        <v>sseco@crm.otsuka-europe.com</v>
      </c>
      <c r="N5783" s="25">
        <v>46226.299143518518</v>
      </c>
      <c r="O5783" s="14" t="str">
        <f>HYPERLINK("https://otsuka-europe-crm.veevavault.com/ui/#object/email_activity__v/V8C00000004B330", "EN-002107290")</f>
        <v>EN-002107290</v>
      </c>
    </row>
    <row r="5784" spans="1:15" ht="16" x14ac:dyDescent="0.2">
      <c r="A5784" s="26"/>
      <c r="B5784" s="26"/>
      <c r="C5784" s="26"/>
      <c r="D5784" s="26"/>
      <c r="E5784" s="26"/>
      <c r="F5784" s="26"/>
      <c r="G5784" s="26"/>
      <c r="H5784" s="26"/>
      <c r="I5784" s="26"/>
      <c r="J5784" s="26"/>
      <c r="K5784" s="26"/>
      <c r="L5784" s="26"/>
      <c r="M5784" s="26"/>
      <c r="N5784" s="26"/>
      <c r="O5784" s="14" t="str">
        <f>HYPERLINK("https://otsuka-europe-crm.veevavault.com/ui/#object/email_activity__v/V8C00000004D054", "EN-002108278")</f>
        <v>EN-002108278</v>
      </c>
    </row>
    <row r="5785" spans="1:15" ht="16" x14ac:dyDescent="0.2">
      <c r="A5785" s="26"/>
      <c r="B5785" s="26"/>
      <c r="C5785" s="26"/>
      <c r="D5785" s="26"/>
      <c r="E5785" s="26"/>
      <c r="F5785" s="26"/>
      <c r="G5785" s="26"/>
      <c r="H5785" s="26"/>
      <c r="I5785" s="26"/>
      <c r="J5785" s="26"/>
      <c r="K5785" s="26"/>
      <c r="L5785" s="26"/>
      <c r="M5785" s="26"/>
      <c r="N5785" s="26"/>
      <c r="O5785" s="14" t="str">
        <f>HYPERLINK("https://otsuka-europe-crm.veevavault.com/ui/#object/email_activity__v/V8C00000004D055", "EN-002108277")</f>
        <v>EN-002108277</v>
      </c>
    </row>
    <row r="5786" spans="1:15" ht="16" x14ac:dyDescent="0.2">
      <c r="A5786" s="19"/>
      <c r="B5786" s="19"/>
      <c r="C5786" s="19"/>
      <c r="D5786" s="19"/>
      <c r="E5786" s="19"/>
      <c r="F5786" s="19"/>
      <c r="G5786" s="19"/>
      <c r="H5786" s="19"/>
      <c r="I5786" s="19"/>
      <c r="J5786" s="19"/>
      <c r="K5786" s="19"/>
      <c r="L5786" s="19"/>
      <c r="M5786" s="19"/>
      <c r="N5786" s="19"/>
      <c r="O5786" s="14" t="str">
        <f>HYPERLINK("https://otsuka-europe-crm.veevavault.com/ui/#object/email_activity__v/V8C00000004E006", "EN-002108279")</f>
        <v>EN-002108279</v>
      </c>
    </row>
    <row r="5787" spans="1:15" ht="16" x14ac:dyDescent="0.2">
      <c r="A5787" s="18" t="str">
        <f>HYPERLINK("https://otsuka-europe-crm.veevavault.com/ui/#object/account__v/V4TZ06G6O71UQS9", "ISABEL RAMIREZ MARTINEZ")</f>
        <v>ISABEL RAMIREZ MARTINEZ</v>
      </c>
      <c r="B5787" s="18" t="str">
        <f>HYPERLINK("https://otsuka-europe-crm.veevavault.com/ui/#object/vcountry__v/VENZ000004SONF5", "ES")</f>
        <v>ES</v>
      </c>
      <c r="C5787" s="20" t="s">
        <v>39</v>
      </c>
      <c r="D5787" s="21" t="str">
        <f>HYPERLINK("https://otsuka-europe-crm.veevavault.com/ui/#object/approved_document__v/V5OZ04ASG4FWKA9", "Documento Autorizaciขn Centro Empleador")</f>
        <v>Documento Autorizaciขn Centro Empleador</v>
      </c>
      <c r="E5787" s="22" t="str">
        <f>HYPERLINK("https://otsuka-europe-crm.veevavault.com/ui/#object/sent_email__v/VBL00000003A124", "SE-001444389")</f>
        <v>SE-001444389</v>
      </c>
      <c r="F5787" s="25">
        <v>46226.598043981481</v>
      </c>
      <c r="G5787" s="24">
        <v>1</v>
      </c>
      <c r="H5787" s="24">
        <v>1</v>
      </c>
      <c r="I5787" s="24">
        <v>1</v>
      </c>
      <c r="J5787" s="25">
        <v>46226.598043981481</v>
      </c>
      <c r="K5787" s="24">
        <v>1</v>
      </c>
      <c r="L5787" s="22" t="str">
        <f>HYPERLINK("https://otsuka-europe-crm.veevavault.com/ui/#object/approved_document__v/V5OZ04ASG4FWKA9", "Documento Autorizaciขn Centro Empleador")</f>
        <v>Documento Autorizaciขn Centro Empleador</v>
      </c>
      <c r="M5787" s="22" t="str">
        <f>HYPERLINK("mailto:sseco@crm.otsuka-europe.com", "sseco@crm.otsuka-europe.com")</f>
        <v>sseco@crm.otsuka-europe.com</v>
      </c>
      <c r="N5787" s="25">
        <v>46226.299143518518</v>
      </c>
      <c r="O5787" s="14" t="str">
        <f>HYPERLINK("https://otsuka-europe-crm.veevavault.com/ui/#object/email_activity__v/V8C00000004B745", "EN-002107957")</f>
        <v>EN-002107957</v>
      </c>
    </row>
    <row r="5788" spans="1:15" ht="16" x14ac:dyDescent="0.2">
      <c r="A5788" s="26"/>
      <c r="B5788" s="26"/>
      <c r="C5788" s="26"/>
      <c r="D5788" s="26"/>
      <c r="E5788" s="26"/>
      <c r="F5788" s="26"/>
      <c r="G5788" s="26"/>
      <c r="H5788" s="26"/>
      <c r="I5788" s="26"/>
      <c r="J5788" s="26"/>
      <c r="K5788" s="26"/>
      <c r="L5788" s="26"/>
      <c r="M5788" s="26"/>
      <c r="N5788" s="26"/>
      <c r="O5788" s="14" t="str">
        <f>HYPERLINK("https://otsuka-europe-crm.veevavault.com/ui/#object/email_activity__v/V8C00000004B746", "EN-002107956")</f>
        <v>EN-002107956</v>
      </c>
    </row>
    <row r="5789" spans="1:15" ht="16" x14ac:dyDescent="0.2">
      <c r="A5789" s="19"/>
      <c r="B5789" s="19"/>
      <c r="C5789" s="19"/>
      <c r="D5789" s="19"/>
      <c r="E5789" s="19"/>
      <c r="F5789" s="19"/>
      <c r="G5789" s="19"/>
      <c r="H5789" s="19"/>
      <c r="I5789" s="19"/>
      <c r="J5789" s="19"/>
      <c r="K5789" s="19"/>
      <c r="L5789" s="19"/>
      <c r="M5789" s="19"/>
      <c r="N5789" s="19"/>
      <c r="O5789" s="14" t="str">
        <f>HYPERLINK("https://otsuka-europe-crm.veevavault.com/ui/#object/email_activity__v/V8C00000004C257", "EN-002107329")</f>
        <v>EN-002107329</v>
      </c>
    </row>
    <row r="5790" spans="1:15" ht="16" x14ac:dyDescent="0.2">
      <c r="A5790" s="18" t="str">
        <f>HYPERLINK("https://otsuka-europe-crm.veevavault.com/ui/#object/account__v/V4TZ025E83PNSCM", "IULIA MARIA STAN")</f>
        <v>IULIA MARIA STAN</v>
      </c>
      <c r="B5790" s="18" t="str">
        <f>HYPERLINK("https://otsuka-europe-crm.veevavault.com/ui/#object/vcountry__v/VENZ000004SONF5", "ES")</f>
        <v>ES</v>
      </c>
      <c r="C5790" s="20" t="s">
        <v>39</v>
      </c>
      <c r="D5790" s="21" t="str">
        <f>HYPERLINK("https://otsuka-europe-crm.veevavault.com/ui/#object/approved_document__v/V5OZ04ASG4FWKA9", "Documento Autorizaciขn Centro Empleador")</f>
        <v>Documento Autorizaciขn Centro Empleador</v>
      </c>
      <c r="E5790" s="22" t="str">
        <f>HYPERLINK("https://otsuka-europe-crm.veevavault.com/ui/#object/sent_email__v/VBL000000039028", "SE-001444390")</f>
        <v>SE-001444390</v>
      </c>
      <c r="F5790" s="25">
        <v>46227.277175925927</v>
      </c>
      <c r="G5790" s="24">
        <v>1</v>
      </c>
      <c r="H5790" s="24">
        <v>7</v>
      </c>
      <c r="I5790" s="24">
        <v>1</v>
      </c>
      <c r="J5790" s="25">
        <v>46226.423379629632</v>
      </c>
      <c r="K5790" s="24">
        <v>1</v>
      </c>
      <c r="L5790" s="22" t="str">
        <f>HYPERLINK("https://otsuka-europe-crm.veevavault.com/ui/#object/approved_document__v/V5OZ04ASG4FWKA9", "Documento Autorizaciขn Centro Empleador")</f>
        <v>Documento Autorizaciขn Centro Empleador</v>
      </c>
      <c r="M5790" s="22" t="str">
        <f>HYPERLINK("mailto:sseco@crm.otsuka-europe.com", "sseco@crm.otsuka-europe.com")</f>
        <v>sseco@crm.otsuka-europe.com</v>
      </c>
      <c r="N5790" s="25">
        <v>46226.299131944441</v>
      </c>
      <c r="O5790" s="14" t="str">
        <f>HYPERLINK("https://otsuka-europe-crm.veevavault.com/ui/#object/email_activity__v/V8C00000004B379", "EN-002107392")</f>
        <v>EN-002107392</v>
      </c>
    </row>
    <row r="5791" spans="1:15" ht="16" x14ac:dyDescent="0.2">
      <c r="A5791" s="26"/>
      <c r="B5791" s="26"/>
      <c r="C5791" s="26"/>
      <c r="D5791" s="26"/>
      <c r="E5791" s="26"/>
      <c r="F5791" s="26"/>
      <c r="G5791" s="26"/>
      <c r="H5791" s="26"/>
      <c r="I5791" s="26"/>
      <c r="J5791" s="26"/>
      <c r="K5791" s="26"/>
      <c r="L5791" s="26"/>
      <c r="M5791" s="26"/>
      <c r="N5791" s="26"/>
      <c r="O5791" s="14" t="str">
        <f>HYPERLINK("https://otsuka-europe-crm.veevavault.com/ui/#object/email_activity__v/V8C00000004B714", "EN-002107865")</f>
        <v>EN-002107865</v>
      </c>
    </row>
    <row r="5792" spans="1:15" ht="16" x14ac:dyDescent="0.2">
      <c r="A5792" s="26"/>
      <c r="B5792" s="26"/>
      <c r="C5792" s="26"/>
      <c r="D5792" s="26"/>
      <c r="E5792" s="26"/>
      <c r="F5792" s="26"/>
      <c r="G5792" s="26"/>
      <c r="H5792" s="26"/>
      <c r="I5792" s="26"/>
      <c r="J5792" s="26"/>
      <c r="K5792" s="26"/>
      <c r="L5792" s="26"/>
      <c r="M5792" s="26"/>
      <c r="N5792" s="26"/>
      <c r="O5792" s="14" t="str">
        <f>HYPERLINK("https://otsuka-europe-crm.veevavault.com/ui/#object/email_activity__v/V8C00000004C427", "EN-002107869")</f>
        <v>EN-002107869</v>
      </c>
    </row>
    <row r="5793" spans="1:15" ht="16" x14ac:dyDescent="0.2">
      <c r="A5793" s="26"/>
      <c r="B5793" s="26"/>
      <c r="C5793" s="26"/>
      <c r="D5793" s="26"/>
      <c r="E5793" s="26"/>
      <c r="F5793" s="26"/>
      <c r="G5793" s="26"/>
      <c r="H5793" s="26"/>
      <c r="I5793" s="26"/>
      <c r="J5793" s="26"/>
      <c r="K5793" s="26"/>
      <c r="L5793" s="26"/>
      <c r="M5793" s="26"/>
      <c r="N5793" s="26"/>
      <c r="O5793" s="14" t="str">
        <f>HYPERLINK("https://otsuka-europe-crm.veevavault.com/ui/#object/email_activity__v/V8C00000004C429", "EN-002107871")</f>
        <v>EN-002107871</v>
      </c>
    </row>
    <row r="5794" spans="1:15" ht="16" x14ac:dyDescent="0.2">
      <c r="A5794" s="26"/>
      <c r="B5794" s="26"/>
      <c r="C5794" s="26"/>
      <c r="D5794" s="26"/>
      <c r="E5794" s="26"/>
      <c r="F5794" s="26"/>
      <c r="G5794" s="26"/>
      <c r="H5794" s="26"/>
      <c r="I5794" s="26"/>
      <c r="J5794" s="26"/>
      <c r="K5794" s="26"/>
      <c r="L5794" s="26"/>
      <c r="M5794" s="26"/>
      <c r="N5794" s="26"/>
      <c r="O5794" s="14" t="str">
        <f>HYPERLINK("https://otsuka-europe-crm.veevavault.com/ui/#object/email_activity__v/V8C00000004D014", "EN-002108237")</f>
        <v>EN-002108237</v>
      </c>
    </row>
    <row r="5795" spans="1:15" ht="16" x14ac:dyDescent="0.2">
      <c r="A5795" s="26"/>
      <c r="B5795" s="26"/>
      <c r="C5795" s="26"/>
      <c r="D5795" s="26"/>
      <c r="E5795" s="26"/>
      <c r="F5795" s="26"/>
      <c r="G5795" s="26"/>
      <c r="H5795" s="26"/>
      <c r="I5795" s="26"/>
      <c r="J5795" s="26"/>
      <c r="K5795" s="26"/>
      <c r="L5795" s="26"/>
      <c r="M5795" s="26"/>
      <c r="N5795" s="26"/>
      <c r="O5795" s="14" t="str">
        <f>HYPERLINK("https://otsuka-europe-crm.veevavault.com/ui/#object/email_activity__v/V8C00000004D056", "EN-002108280")</f>
        <v>EN-002108280</v>
      </c>
    </row>
    <row r="5796" spans="1:15" ht="16" x14ac:dyDescent="0.2">
      <c r="A5796" s="26"/>
      <c r="B5796" s="26"/>
      <c r="C5796" s="26"/>
      <c r="D5796" s="26"/>
      <c r="E5796" s="26"/>
      <c r="F5796" s="26"/>
      <c r="G5796" s="26"/>
      <c r="H5796" s="26"/>
      <c r="I5796" s="26"/>
      <c r="J5796" s="26"/>
      <c r="K5796" s="26"/>
      <c r="L5796" s="26"/>
      <c r="M5796" s="26"/>
      <c r="N5796" s="26"/>
      <c r="O5796" s="14" t="str">
        <f>HYPERLINK("https://otsuka-europe-crm.veevavault.com/ui/#object/email_activity__v/V8C00000004E007", "EN-002108281")</f>
        <v>EN-002108281</v>
      </c>
    </row>
    <row r="5797" spans="1:15" ht="16" x14ac:dyDescent="0.2">
      <c r="A5797" s="26"/>
      <c r="B5797" s="26"/>
      <c r="C5797" s="26"/>
      <c r="D5797" s="26"/>
      <c r="E5797" s="26"/>
      <c r="F5797" s="26"/>
      <c r="G5797" s="26"/>
      <c r="H5797" s="26"/>
      <c r="I5797" s="26"/>
      <c r="J5797" s="26"/>
      <c r="K5797" s="26"/>
      <c r="L5797" s="26"/>
      <c r="M5797" s="26"/>
      <c r="N5797" s="26"/>
      <c r="O5797" s="14" t="str">
        <f>HYPERLINK("https://otsuka-europe-crm.veevavault.com/ui/#object/email_activity__v/V8C00000004G008", "EN-002109802")</f>
        <v>EN-002109802</v>
      </c>
    </row>
    <row r="5798" spans="1:15" ht="16" x14ac:dyDescent="0.2">
      <c r="A5798" s="19"/>
      <c r="B5798" s="19"/>
      <c r="C5798" s="19"/>
      <c r="D5798" s="19"/>
      <c r="E5798" s="19"/>
      <c r="F5798" s="19"/>
      <c r="G5798" s="19"/>
      <c r="H5798" s="19"/>
      <c r="I5798" s="19"/>
      <c r="J5798" s="19"/>
      <c r="K5798" s="19"/>
      <c r="L5798" s="19"/>
      <c r="M5798" s="19"/>
      <c r="N5798" s="19"/>
      <c r="O5798" s="14" t="str">
        <f>HYPERLINK("https://otsuka-europe-crm.veevavault.com/ui/#object/email_activity__v/V8C00000004H002", "EN-002110952")</f>
        <v>EN-002110952</v>
      </c>
    </row>
    <row r="5799" spans="1:15" ht="32" x14ac:dyDescent="0.2">
      <c r="A5799" s="7" t="str">
        <f>HYPERLINK("https://otsuka-europe-crm.veevavault.com/ui/#object/account__v/V4TZ04ASGEC2O6J", "SERGIO ABEL ROJAS HERRERA")</f>
        <v>SERGIO ABEL ROJAS HERRERA</v>
      </c>
      <c r="B5799" s="7" t="str">
        <f>HYPERLINK("https://otsuka-europe-crm.veevavault.com/ui/#object/vcountry__v/VENZ000004SONF5", "ES")</f>
        <v>ES</v>
      </c>
      <c r="C5799" s="8" t="s">
        <v>39</v>
      </c>
      <c r="D5799" s="9" t="str">
        <f>HYPERLINK("https://otsuka-europe-crm.veevavault.com/ui/#object/approved_document__v/V5OZ04ASG4FWKA9", "Documento Autorizaciขn Centro Empleador")</f>
        <v>Documento Autorizaciขn Centro Empleador</v>
      </c>
      <c r="E5799" s="10" t="str">
        <f>HYPERLINK("https://otsuka-europe-crm.veevavault.com/ui/#object/sent_email__v/VBL000000039029", "SE-001444391")</f>
        <v>SE-001444391</v>
      </c>
      <c r="F5799" s="11"/>
      <c r="G5799" s="12">
        <v>0</v>
      </c>
      <c r="H5799" s="12">
        <v>0</v>
      </c>
      <c r="I5799" s="12">
        <v>0</v>
      </c>
      <c r="J5799" s="11"/>
      <c r="K5799" s="12">
        <v>0</v>
      </c>
      <c r="L5799" s="10" t="str">
        <f>HYPERLINK("https://otsuka-europe-crm.veevavault.com/ui/#object/approved_document__v/V5OZ04ASG4FWKA9", "Documento Autorizaciขn Centro Empleador")</f>
        <v>Documento Autorizaciขn Centro Empleador</v>
      </c>
      <c r="M5799" s="10" t="str">
        <f>HYPERLINK("mailto:sseco@crm.otsuka-europe.com", "sseco@crm.otsuka-europe.com")</f>
        <v>sseco@crm.otsuka-europe.com</v>
      </c>
      <c r="N5799" s="13">
        <v>46226.299131944441</v>
      </c>
      <c r="O5799" s="14" t="str">
        <f>HYPERLINK("https://otsuka-europe-crm.veevavault.com/ui/#object/email_activity__v/V8C00000004B446", "EN-002107554")</f>
        <v>EN-002107554</v>
      </c>
    </row>
    <row r="5800" spans="1:15" ht="32" x14ac:dyDescent="0.2">
      <c r="A5800" s="7" t="str">
        <f>HYPERLINK("https://otsuka-europe-crm.veevavault.com/ui/#object/account__v/V4TZ06G6O71UQS9", "ISABEL RAMIREZ MARTINEZ")</f>
        <v>ISABEL RAMIREZ MARTINEZ</v>
      </c>
      <c r="B5800" s="7" t="str">
        <f>HYPERLINK("https://otsuka-europe-crm.veevavault.com/ui/#object/vcountry__v/VENZ000004SONF5", "ES")</f>
        <v>ES</v>
      </c>
      <c r="C5800" s="8" t="s">
        <v>39</v>
      </c>
      <c r="D5800" s="9" t="str">
        <f>HYPERLINK("https://otsuka-europe-crm.veevavault.com/ui/#object/approved_document__v/V5OZ04ASG4FWKA9", "Documento Autorizaciขn Centro Empleador")</f>
        <v>Documento Autorizaciขn Centro Empleador</v>
      </c>
      <c r="E5800" s="10" t="str">
        <f>HYPERLINK("https://otsuka-europe-crm.veevavault.com/ui/#object/sent_email__v/VBL00000003A125", "SE-001444392")</f>
        <v>SE-001444392</v>
      </c>
      <c r="F5800" s="11"/>
      <c r="G5800" s="12">
        <v>0</v>
      </c>
      <c r="H5800" s="12">
        <v>0</v>
      </c>
      <c r="I5800" s="12">
        <v>0</v>
      </c>
      <c r="J5800" s="11"/>
      <c r="K5800" s="12">
        <v>0</v>
      </c>
      <c r="L5800" s="10" t="str">
        <f>HYPERLINK("https://otsuka-europe-crm.veevavault.com/ui/#object/approved_document__v/V5OZ04ASG4FWKA9", "Documento Autorizaciขn Centro Empleador")</f>
        <v>Documento Autorizaciขn Centro Empleador</v>
      </c>
      <c r="M5800" s="10" t="str">
        <f>HYPERLINK("mailto:sseco@crm.otsuka-europe.com", "sseco@crm.otsuka-europe.com")</f>
        <v>sseco@crm.otsuka-europe.com</v>
      </c>
      <c r="N5800" s="13">
        <v>46226.299143518518</v>
      </c>
      <c r="O5800" s="14" t="str">
        <f>HYPERLINK("https://otsuka-europe-crm.veevavault.com/ui/#object/email_activity__v/V8C00000004B399", "EN-002107413")</f>
        <v>EN-002107413</v>
      </c>
    </row>
    <row r="5801" spans="1:15" ht="48" x14ac:dyDescent="0.2">
      <c r="A5801" s="7" t="str">
        <f>HYPERLINK("https://otsuka-europe-crm.veevavault.com/ui/#object/account__v/V4TZ06G6O71VWFH", "SERENA BAINOTTI")</f>
        <v>SERENA BAINOTTI</v>
      </c>
      <c r="B5801" s="7" t="str">
        <f>HYPERLINK("https://otsuka-europe-crm.veevavault.com/ui/#object/vcountry__v/VENZ000004SONFQ", "IT")</f>
        <v>IT</v>
      </c>
      <c r="C5801" s="8" t="s">
        <v>42</v>
      </c>
      <c r="D5801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801" s="10" t="str">
        <f>HYPERLINK("https://otsuka-europe-crm.veevavault.com/ui/#object/sent_email__v/VBL00000003A126", "SE-001444393")</f>
        <v>SE-001444393</v>
      </c>
      <c r="F5801" s="11"/>
      <c r="G5801" s="12">
        <v>0</v>
      </c>
      <c r="H5801" s="12">
        <v>0</v>
      </c>
      <c r="I5801" s="12">
        <v>0</v>
      </c>
      <c r="J5801" s="11"/>
      <c r="K5801" s="12">
        <v>0</v>
      </c>
      <c r="L5801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801" s="10" t="str">
        <f>HYPERLINK("mailto:marco.aldrigo@crm.otsuka-europe.com", "marco.aldrigo@crm.otsuka-europe.com")</f>
        <v>marco.aldrigo@crm.otsuka-europe.com</v>
      </c>
      <c r="N5801" s="13">
        <v>46226.299201388887</v>
      </c>
      <c r="O5801" s="14" t="str">
        <f>HYPERLINK("https://otsuka-europe-crm.veevavault.com/ui/#object/email_activity__v/V8C00000004C250", "EN-002107322")</f>
        <v>EN-002107322</v>
      </c>
    </row>
    <row r="5802" spans="1:15" ht="16" x14ac:dyDescent="0.2">
      <c r="A5802" s="18" t="str">
        <f>HYPERLINK("https://otsuka-europe-crm.veevavault.com/ui/#object/account__v/V4TZ0000062R6A7", "Anna Nater")</f>
        <v>Anna Nater</v>
      </c>
      <c r="B5802" s="18" t="str">
        <f>HYPERLINK("https://otsuka-europe-crm.veevavault.com/ui/#object/vcountry__v/VENZ000004SONFN", "CH")</f>
        <v>CH</v>
      </c>
      <c r="C5802" s="20" t="s">
        <v>45</v>
      </c>
      <c r="D5802" s="21" t="str">
        <f>HYPERLINK("https://otsuka-europe-crm.veevavault.com/ui/#object/approved_document__v/V5O00000000S001", "ALL_Gegenüberstellung_400mg/960mg_2026_AM_AA_de")</f>
        <v>ALL_Gegenüberstellung_400mg/960mg_2026_AM_AA_de</v>
      </c>
      <c r="E5802" s="22" t="str">
        <f>HYPERLINK("https://otsuka-europe-crm.veevavault.com/ui/#object/sent_email__v/VBL00000003A127", "SE-001444394")</f>
        <v>SE-001444394</v>
      </c>
      <c r="F5802" s="25">
        <v>46226.500162037039</v>
      </c>
      <c r="G5802" s="24">
        <v>1</v>
      </c>
      <c r="H5802" s="24">
        <v>1</v>
      </c>
      <c r="I5802" s="24">
        <v>1</v>
      </c>
      <c r="J5802" s="25">
        <v>46226.500162037039</v>
      </c>
      <c r="K5802" s="24">
        <v>1</v>
      </c>
      <c r="L5802" s="22" t="str">
        <f>HYPERLINK("https://otsuka-europe-crm.veevavault.com/ui/#object/approved_document__v/V5O00000000S001", "ALL_Gegenüberstellung_400mg/960mg_2026_AM_AA_de")</f>
        <v>ALL_Gegenüberstellung_400mg/960mg_2026_AM_AA_de</v>
      </c>
      <c r="M5802" s="22" t="str">
        <f>HYPERLINK("mailto:agerber@crm.otsuka-europe.com", "agerber@crm.otsuka-europe.com")</f>
        <v>agerber@crm.otsuka-europe.com</v>
      </c>
      <c r="N5802" s="25">
        <v>46226.299178240741</v>
      </c>
      <c r="O5802" s="14" t="str">
        <f>HYPERLINK("https://otsuka-europe-crm.veevavault.com/ui/#object/email_activity__v/V8C00000004B362", "EN-002107375")</f>
        <v>EN-002107375</v>
      </c>
    </row>
    <row r="5803" spans="1:15" ht="16" x14ac:dyDescent="0.2">
      <c r="A5803" s="26"/>
      <c r="B5803" s="26"/>
      <c r="C5803" s="26"/>
      <c r="D5803" s="26"/>
      <c r="E5803" s="26"/>
      <c r="F5803" s="26"/>
      <c r="G5803" s="26"/>
      <c r="H5803" s="26"/>
      <c r="I5803" s="26"/>
      <c r="J5803" s="26"/>
      <c r="K5803" s="26"/>
      <c r="L5803" s="26"/>
      <c r="M5803" s="26"/>
      <c r="N5803" s="26"/>
      <c r="O5803" s="14" t="str">
        <f>HYPERLINK("https://otsuka-europe-crm.veevavault.com/ui/#object/email_activity__v/V8C00000004B737", "EN-002107922")</f>
        <v>EN-002107922</v>
      </c>
    </row>
    <row r="5804" spans="1:15" ht="16" x14ac:dyDescent="0.2">
      <c r="A5804" s="26"/>
      <c r="B5804" s="26"/>
      <c r="C5804" s="26"/>
      <c r="D5804" s="26"/>
      <c r="E5804" s="26"/>
      <c r="F5804" s="26"/>
      <c r="G5804" s="26"/>
      <c r="H5804" s="26"/>
      <c r="I5804" s="26"/>
      <c r="J5804" s="26"/>
      <c r="K5804" s="26"/>
      <c r="L5804" s="26"/>
      <c r="M5804" s="26"/>
      <c r="N5804" s="26"/>
      <c r="O5804" s="14" t="str">
        <f>HYPERLINK("https://otsuka-europe-crm.veevavault.com/ui/#object/email_activity__v/V8C00000004B738", "EN-002107921")</f>
        <v>EN-002107921</v>
      </c>
    </row>
    <row r="5805" spans="1:15" ht="16" x14ac:dyDescent="0.2">
      <c r="A5805" s="26"/>
      <c r="B5805" s="26"/>
      <c r="C5805" s="26"/>
      <c r="D5805" s="26"/>
      <c r="E5805" s="26"/>
      <c r="F5805" s="26"/>
      <c r="G5805" s="26"/>
      <c r="H5805" s="26"/>
      <c r="I5805" s="26"/>
      <c r="J5805" s="26"/>
      <c r="K5805" s="26"/>
      <c r="L5805" s="26"/>
      <c r="M5805" s="26"/>
      <c r="N5805" s="26"/>
      <c r="O5805" s="14" t="str">
        <f>HYPERLINK("https://otsuka-europe-crm.veevavault.com/ui/#object/email_activity__v/V8C00000004C457", "EN-002107924")</f>
        <v>EN-002107924</v>
      </c>
    </row>
    <row r="5806" spans="1:15" ht="16" x14ac:dyDescent="0.2">
      <c r="A5806" s="19"/>
      <c r="B5806" s="19"/>
      <c r="C5806" s="19"/>
      <c r="D5806" s="19"/>
      <c r="E5806" s="19"/>
      <c r="F5806" s="19"/>
      <c r="G5806" s="19"/>
      <c r="H5806" s="19"/>
      <c r="I5806" s="19"/>
      <c r="J5806" s="19"/>
      <c r="K5806" s="19"/>
      <c r="L5806" s="19"/>
      <c r="M5806" s="19"/>
      <c r="N5806" s="19"/>
      <c r="O5806" s="14" t="str">
        <f>HYPERLINK("https://otsuka-europe-crm.veevavault.com/ui/#object/email_activity__v/V8C00000004C458", "EN-002107925")</f>
        <v>EN-002107925</v>
      </c>
    </row>
    <row r="5807" spans="1:15" ht="16" x14ac:dyDescent="0.2">
      <c r="A5807" s="18" t="str">
        <f>HYPERLINK("https://otsuka-europe-crm.veevavault.com/ui/#object/account__v/V4TZ0000062POY1", "Susan Higgins")</f>
        <v>Susan Higgins</v>
      </c>
      <c r="B5807" s="18" t="str">
        <f>HYPERLINK("https://otsuka-europe-crm.veevavault.com/ui/#object/vcountry__v/VENZ000004SONFK", "GB")</f>
        <v>GB</v>
      </c>
      <c r="C5807" s="20" t="s">
        <v>41</v>
      </c>
      <c r="D5807" s="21" t="str">
        <f>HYPERLINK("https://otsuka-europe-crm.veevavault.com/ui/#object/approved_document__v/V5O00000000I022", "Aripiprazole 960mg FAQ VAE")</f>
        <v>Aripiprazole 960mg FAQ VAE</v>
      </c>
      <c r="E5807" s="22" t="str">
        <f>HYPERLINK("https://otsuka-europe-crm.veevavault.com/ui/#object/sent_email__v/VBL00000003A128", "SE-001444395")</f>
        <v>SE-001444395</v>
      </c>
      <c r="F5807" s="25">
        <v>46226.299340277779</v>
      </c>
      <c r="G5807" s="24">
        <v>1</v>
      </c>
      <c r="H5807" s="24">
        <v>1</v>
      </c>
      <c r="I5807" s="24">
        <v>0</v>
      </c>
      <c r="J5807" s="23"/>
      <c r="K5807" s="24">
        <v>0</v>
      </c>
      <c r="L5807" s="22" t="str">
        <f>HYPERLINK("https://otsuka-europe-crm.veevavault.com/ui/#object/approved_document__v/V5O00000000I022", "Aripiprazole 960mg FAQ VAE")</f>
        <v>Aripiprazole 960mg FAQ VAE</v>
      </c>
      <c r="M5807" s="22" t="str">
        <f>HYPERLINK("mailto:sfinnigan@crm.otsuka-europe.com", "sfinnigan@crm.otsuka-europe.com")</f>
        <v>sfinnigan@crm.otsuka-europe.com</v>
      </c>
      <c r="N5807" s="25">
        <v>46226.299247685187</v>
      </c>
      <c r="O5807" s="14" t="str">
        <f>HYPERLINK("https://otsuka-europe-crm.veevavault.com/ui/#object/email_activity__v/V8C00000004B557", "EN-002107668")</f>
        <v>EN-002107668</v>
      </c>
    </row>
    <row r="5808" spans="1:15" ht="16" x14ac:dyDescent="0.2">
      <c r="A5808" s="26"/>
      <c r="B5808" s="26"/>
      <c r="C5808" s="26"/>
      <c r="D5808" s="26"/>
      <c r="E5808" s="26"/>
      <c r="F5808" s="26"/>
      <c r="G5808" s="26"/>
      <c r="H5808" s="26"/>
      <c r="I5808" s="26"/>
      <c r="J5808" s="26"/>
      <c r="K5808" s="26"/>
      <c r="L5808" s="26"/>
      <c r="M5808" s="26"/>
      <c r="N5808" s="26"/>
      <c r="O5808" s="14" t="str">
        <f>HYPERLINK("https://otsuka-europe-crm.veevavault.com/ui/#object/email_activity__v/V8C00000004C510", "EN-002108008")</f>
        <v>EN-002108008</v>
      </c>
    </row>
    <row r="5809" spans="1:15" ht="16" x14ac:dyDescent="0.2">
      <c r="A5809" s="19"/>
      <c r="B5809" s="19"/>
      <c r="C5809" s="19"/>
      <c r="D5809" s="19"/>
      <c r="E5809" s="19"/>
      <c r="F5809" s="19"/>
      <c r="G5809" s="19"/>
      <c r="H5809" s="19"/>
      <c r="I5809" s="19"/>
      <c r="J5809" s="19"/>
      <c r="K5809" s="19"/>
      <c r="L5809" s="19"/>
      <c r="M5809" s="19"/>
      <c r="N5809" s="19"/>
      <c r="O5809" s="14" t="str">
        <f>HYPERLINK("https://otsuka-europe-crm.veevavault.com/ui/#object/email_activity__v/V8C00000004C574", "EN-002108084")</f>
        <v>EN-002108084</v>
      </c>
    </row>
    <row r="5810" spans="1:15" ht="16" x14ac:dyDescent="0.2">
      <c r="A5810" s="18" t="str">
        <f>HYPERLINK("https://otsuka-europe-crm.veevavault.com/ui/#object/account__v/V4TZ0000062POY1", "Susan Higgins")</f>
        <v>Susan Higgins</v>
      </c>
      <c r="B5810" s="18" t="str">
        <f>HYPERLINK("https://otsuka-europe-crm.veevavault.com/ui/#object/vcountry__v/VENZ000004SONFK", "GB")</f>
        <v>GB</v>
      </c>
      <c r="C5810" s="20" t="s">
        <v>41</v>
      </c>
      <c r="D5810" s="21" t="str">
        <f>HYPERLINK("https://otsuka-europe-crm.veevavault.com/ui/#object/approved_document__v/V5OZ025E82TSZBI", "Aripiprazole 960mg Fragment VAE")</f>
        <v>Aripiprazole 960mg Fragment VAE</v>
      </c>
      <c r="E5810" s="22" t="str">
        <f>HYPERLINK("https://otsuka-europe-crm.veevavault.com/ui/#object/sent_email__v/VBL000000039030", "SE-001444396")</f>
        <v>SE-001444396</v>
      </c>
      <c r="F5810" s="23"/>
      <c r="G5810" s="24">
        <v>0</v>
      </c>
      <c r="H5810" s="24">
        <v>0</v>
      </c>
      <c r="I5810" s="24">
        <v>0</v>
      </c>
      <c r="J5810" s="23"/>
      <c r="K5810" s="24">
        <v>0</v>
      </c>
      <c r="L5810" s="22" t="str">
        <f>HYPERLINK("https://otsuka-europe-crm.veevavault.com/ui/#object/approved_document__v/V5OZ025E82TSZBI", "Aripiprazole 960mg Fragment VAE")</f>
        <v>Aripiprazole 960mg Fragment VAE</v>
      </c>
      <c r="M5810" s="22" t="str">
        <f>HYPERLINK("mailto:sfinnigan@crm.otsuka-europe.com", "sfinnigan@crm.otsuka-europe.com")</f>
        <v>sfinnigan@crm.otsuka-europe.com</v>
      </c>
      <c r="N5810" s="25">
        <v>46226.299178240741</v>
      </c>
      <c r="O5810" s="14" t="str">
        <f>HYPERLINK("https://otsuka-europe-crm.veevavault.com/ui/#object/email_activity__v/V8C00000004B473", "EN-002107584")</f>
        <v>EN-002107584</v>
      </c>
    </row>
    <row r="5811" spans="1:15" ht="16" x14ac:dyDescent="0.2">
      <c r="A5811" s="19"/>
      <c r="B5811" s="19"/>
      <c r="C5811" s="19"/>
      <c r="D5811" s="19"/>
      <c r="E5811" s="19"/>
      <c r="F5811" s="19"/>
      <c r="G5811" s="19"/>
      <c r="H5811" s="19"/>
      <c r="I5811" s="19"/>
      <c r="J5811" s="19"/>
      <c r="K5811" s="19"/>
      <c r="L5811" s="19"/>
      <c r="M5811" s="19"/>
      <c r="N5811" s="19"/>
      <c r="O5811" s="14" t="str">
        <f>HYPERLINK("https://otsuka-europe-crm.veevavault.com/ui/#object/email_activity__v/V8C00000004C408", "EN-002107849")</f>
        <v>EN-002107849</v>
      </c>
    </row>
    <row r="5812" spans="1:15" ht="32" x14ac:dyDescent="0.2">
      <c r="A5812" s="7" t="str">
        <f>HYPERLINK("https://otsuka-europe-crm.veevavault.com/ui/#object/account__v/V4T00000002E014", "SANDRA CASTAÑO DIEZ")</f>
        <v>SANDRA CASTAÑO DIEZ</v>
      </c>
      <c r="B5812" s="7" t="str">
        <f>HYPERLINK("https://otsuka-europe-crm.veevavault.com/ui/#object/vcountry__v/VENZ000004SONF5", "ES")</f>
        <v>ES</v>
      </c>
      <c r="C5812" s="8" t="s">
        <v>39</v>
      </c>
      <c r="D5812" s="9" t="str">
        <f>HYPERLINK("https://otsuka-europe-crm.veevavault.com/ui/#object/approved_document__v/V5OZ06G6O6RFL1P", "ES Veeva Privacy Notice Email")</f>
        <v>ES Veeva Privacy Notice Email</v>
      </c>
      <c r="E5812" s="10" t="str">
        <f>HYPERLINK("https://otsuka-europe-crm.veevavault.com/ui/#object/sent_email__v/VBL00000003A129", "SE-001444397")</f>
        <v>SE-001444397</v>
      </c>
      <c r="F5812" s="11"/>
      <c r="G5812" s="12">
        <v>0</v>
      </c>
      <c r="H5812" s="12">
        <v>0</v>
      </c>
      <c r="I5812" s="12">
        <v>0</v>
      </c>
      <c r="J5812" s="11"/>
      <c r="K5812" s="12">
        <v>0</v>
      </c>
      <c r="L5812" s="10" t="str">
        <f>HYPERLINK("https://otsuka-europe-crm.veevavault.com/ui/#object/approved_document__v/V5OZ06G6O6RFL1P", "ES Veeva Privacy Notice Email")</f>
        <v>ES Veeva Privacy Notice Email</v>
      </c>
      <c r="M5812" s="10" t="str">
        <f>HYPERLINK("mailto:ccoll@crm.otsuka-europe.com", "ccoll@crm.otsuka-europe.com")</f>
        <v>ccoll@crm.otsuka-europe.com</v>
      </c>
      <c r="N5812" s="13">
        <v>46226.299178240741</v>
      </c>
      <c r="O5812" s="14" t="str">
        <f>HYPERLINK("https://otsuka-europe-crm.veevavault.com/ui/#object/email_activity__v/V8C00000004B331", "EN-002107291")</f>
        <v>EN-002107291</v>
      </c>
    </row>
    <row r="5813" spans="1:15" ht="16" x14ac:dyDescent="0.2">
      <c r="A5813" s="18" t="str">
        <f>HYPERLINK("https://otsuka-europe-crm.veevavault.com/ui/#object/account__v/V4T00000002E014", "SANDRA CASTAÑO DIEZ")</f>
        <v>SANDRA CASTAÑO DIEZ</v>
      </c>
      <c r="B5813" s="18" t="str">
        <f>HYPERLINK("https://otsuka-europe-crm.veevavault.com/ui/#object/vcountry__v/VENZ000004SONF5", "ES")</f>
        <v>ES</v>
      </c>
      <c r="C5813" s="20" t="s">
        <v>39</v>
      </c>
      <c r="D5813" s="21" t="str">
        <f>HYPERLINK("https://otsuka-europe-crm.veevavault.com/ui/#object/approved_document__v/V5O00000000D100", "Spain - Consent Email 1 Aug 25")</f>
        <v>Spain - Consent Email 1 Aug 25</v>
      </c>
      <c r="E5813" s="22" t="str">
        <f>HYPERLINK("https://otsuka-europe-crm.veevavault.com/ui/#object/sent_email__v/VBL000000039031", "SE-001444398")</f>
        <v>SE-001444398</v>
      </c>
      <c r="F5813" s="25">
        <v>46226.349039351851</v>
      </c>
      <c r="G5813" s="24">
        <v>1</v>
      </c>
      <c r="H5813" s="24">
        <v>1</v>
      </c>
      <c r="I5813" s="24">
        <v>1</v>
      </c>
      <c r="J5813" s="25">
        <v>46226.349039351851</v>
      </c>
      <c r="K5813" s="24">
        <v>1</v>
      </c>
      <c r="L5813" s="22" t="str">
        <f>HYPERLINK("https://otsuka-europe-crm.veevavault.com/ui/#object/approved_document__v/V5O00000000D100", "Spain - Consent Email 1 Aug 25")</f>
        <v>Spain - Consent Email 1 Aug 25</v>
      </c>
      <c r="M5813" s="22" t="str">
        <f>HYPERLINK("mailto:ccoll@crm.otsuka-europe.com", "ccoll@crm.otsuka-europe.com")</f>
        <v>ccoll@crm.otsuka-europe.com</v>
      </c>
      <c r="N5813" s="25">
        <v>46226.299131944441</v>
      </c>
      <c r="O5813" s="14" t="str">
        <f>HYPERLINK("https://otsuka-europe-crm.veevavault.com/ui/#object/email_activity__v/V8C00000004B474", "EN-002107585")</f>
        <v>EN-002107585</v>
      </c>
    </row>
    <row r="5814" spans="1:15" ht="16" x14ac:dyDescent="0.2">
      <c r="A5814" s="26"/>
      <c r="B5814" s="26"/>
      <c r="C5814" s="26"/>
      <c r="D5814" s="26"/>
      <c r="E5814" s="26"/>
      <c r="F5814" s="26"/>
      <c r="G5814" s="26"/>
      <c r="H5814" s="26"/>
      <c r="I5814" s="26"/>
      <c r="J5814" s="26"/>
      <c r="K5814" s="26"/>
      <c r="L5814" s="26"/>
      <c r="M5814" s="26"/>
      <c r="N5814" s="26"/>
      <c r="O5814" s="14" t="str">
        <f>HYPERLINK("https://otsuka-europe-crm.veevavault.com/ui/#object/email_activity__v/V8C00000004B644", "EN-002107757")</f>
        <v>EN-002107757</v>
      </c>
    </row>
    <row r="5815" spans="1:15" ht="16" x14ac:dyDescent="0.2">
      <c r="A5815" s="26"/>
      <c r="B5815" s="26"/>
      <c r="C5815" s="26"/>
      <c r="D5815" s="26"/>
      <c r="E5815" s="26"/>
      <c r="F5815" s="26"/>
      <c r="G5815" s="26"/>
      <c r="H5815" s="26"/>
      <c r="I5815" s="26"/>
      <c r="J5815" s="26"/>
      <c r="K5815" s="26"/>
      <c r="L5815" s="26"/>
      <c r="M5815" s="26"/>
      <c r="N5815" s="26"/>
      <c r="O5815" s="14" t="str">
        <f>HYPERLINK("https://otsuka-europe-crm.veevavault.com/ui/#object/email_activity__v/V8C00000004B648", "EN-002107756")</f>
        <v>EN-002107756</v>
      </c>
    </row>
    <row r="5816" spans="1:15" ht="16" x14ac:dyDescent="0.2">
      <c r="A5816" s="19"/>
      <c r="B5816" s="19"/>
      <c r="C5816" s="19"/>
      <c r="D5816" s="19"/>
      <c r="E5816" s="19"/>
      <c r="F5816" s="19"/>
      <c r="G5816" s="19"/>
      <c r="H5816" s="19"/>
      <c r="I5816" s="19"/>
      <c r="J5816" s="19"/>
      <c r="K5816" s="19"/>
      <c r="L5816" s="19"/>
      <c r="M5816" s="19"/>
      <c r="N5816" s="19"/>
      <c r="O5816" s="14" t="str">
        <f>HYPERLINK("https://otsuka-europe-crm.veevavault.com/ui/#object/email_activity__v/V8C00000004C545", "EN-002108055")</f>
        <v>EN-002108055</v>
      </c>
    </row>
    <row r="5817" spans="1:15" ht="16" x14ac:dyDescent="0.2">
      <c r="A5817" s="18" t="str">
        <f>HYPERLINK("https://otsuka-europe-crm.veevavault.com/ui/#object/account__v/V4T00000002E014", "SANDRA CASTAÑO DIEZ")</f>
        <v>SANDRA CASTAÑO DIEZ</v>
      </c>
      <c r="B5817" s="18" t="str">
        <f>HYPERLINK("https://otsuka-europe-crm.veevavault.com/ui/#object/vcountry__v/VENZ000004SONF5", "ES")</f>
        <v>ES</v>
      </c>
      <c r="C5817" s="20" t="s">
        <v>39</v>
      </c>
      <c r="D5817" s="21" t="str">
        <f>HYPERLINK("https://otsuka-europe-crm.veevavault.com/ui/#object/approved_document__v/V5OZ04ASG4FWKA7", "Reuniones Online Consent - 2")</f>
        <v>Reuniones Online Consent - 2</v>
      </c>
      <c r="E5817" s="22" t="str">
        <f>HYPERLINK("https://otsuka-europe-crm.veevavault.com/ui/#object/sent_email__v/VBL000000039032", "SE-001444399")</f>
        <v>SE-001444399</v>
      </c>
      <c r="F5817" s="25">
        <v>46226.34851851852</v>
      </c>
      <c r="G5817" s="24">
        <v>1</v>
      </c>
      <c r="H5817" s="24">
        <v>1</v>
      </c>
      <c r="I5817" s="24">
        <v>1</v>
      </c>
      <c r="J5817" s="25">
        <v>46226.362905092596</v>
      </c>
      <c r="K5817" s="24">
        <v>2</v>
      </c>
      <c r="L5817" s="22" t="str">
        <f>HYPERLINK("https://otsuka-europe-crm.veevavault.com/ui/#object/approved_document__v/V5OZ04ASG4FWKA7", "Reuniones Online Consent - 2")</f>
        <v>Reuniones Online Consent - 2</v>
      </c>
      <c r="M5817" s="22" t="str">
        <f>HYPERLINK("mailto:ccoll@crm.otsuka-europe.com", "ccoll@crm.otsuka-europe.com")</f>
        <v>ccoll@crm.otsuka-europe.com</v>
      </c>
      <c r="N5817" s="25">
        <v>46226.299131944441</v>
      </c>
      <c r="O5817" s="14" t="str">
        <f>HYPERLINK("https://otsuka-europe-crm.veevavault.com/ui/#object/email_activity__v/V8C00000004B645", "EN-002107758")</f>
        <v>EN-002107758</v>
      </c>
    </row>
    <row r="5818" spans="1:15" ht="16" x14ac:dyDescent="0.2">
      <c r="A5818" s="26"/>
      <c r="B5818" s="26"/>
      <c r="C5818" s="26"/>
      <c r="D5818" s="26"/>
      <c r="E5818" s="26"/>
      <c r="F5818" s="26"/>
      <c r="G5818" s="26"/>
      <c r="H5818" s="26"/>
      <c r="I5818" s="26"/>
      <c r="J5818" s="26"/>
      <c r="K5818" s="26"/>
      <c r="L5818" s="26"/>
      <c r="M5818" s="26"/>
      <c r="N5818" s="26"/>
      <c r="O5818" s="14" t="str">
        <f>HYPERLINK("https://otsuka-europe-crm.veevavault.com/ui/#object/email_activity__v/V8C00000004B647", "EN-002107755")</f>
        <v>EN-002107755</v>
      </c>
    </row>
    <row r="5819" spans="1:15" ht="16" x14ac:dyDescent="0.2">
      <c r="A5819" s="26"/>
      <c r="B5819" s="26"/>
      <c r="C5819" s="26"/>
      <c r="D5819" s="26"/>
      <c r="E5819" s="26"/>
      <c r="F5819" s="26"/>
      <c r="G5819" s="26"/>
      <c r="H5819" s="26"/>
      <c r="I5819" s="26"/>
      <c r="J5819" s="26"/>
      <c r="K5819" s="26"/>
      <c r="L5819" s="26"/>
      <c r="M5819" s="26"/>
      <c r="N5819" s="26"/>
      <c r="O5819" s="14" t="str">
        <f>HYPERLINK("https://otsuka-europe-crm.veevavault.com/ui/#object/email_activity__v/V8C00000004B889", "EN-002108200")</f>
        <v>EN-002108200</v>
      </c>
    </row>
    <row r="5820" spans="1:15" ht="16" x14ac:dyDescent="0.2">
      <c r="A5820" s="19"/>
      <c r="B5820" s="19"/>
      <c r="C5820" s="19"/>
      <c r="D5820" s="19"/>
      <c r="E5820" s="19"/>
      <c r="F5820" s="19"/>
      <c r="G5820" s="19"/>
      <c r="H5820" s="19"/>
      <c r="I5820" s="19"/>
      <c r="J5820" s="19"/>
      <c r="K5820" s="19"/>
      <c r="L5820" s="19"/>
      <c r="M5820" s="19"/>
      <c r="N5820" s="19"/>
      <c r="O5820" s="14" t="str">
        <f>HYPERLINK("https://otsuka-europe-crm.veevavault.com/ui/#object/email_activity__v/V8C00000004C335", "EN-002107502")</f>
        <v>EN-002107502</v>
      </c>
    </row>
    <row r="5821" spans="1:15" ht="16" x14ac:dyDescent="0.2">
      <c r="A5821" s="18" t="str">
        <f>HYPERLINK("https://otsuka-europe-crm.veevavault.com/ui/#object/account__v/V4T00000002E014", "SANDRA CASTAÑO DIEZ")</f>
        <v>SANDRA CASTAÑO DIEZ</v>
      </c>
      <c r="B5821" s="18" t="str">
        <f>HYPERLINK("https://otsuka-europe-crm.veevavault.com/ui/#object/vcountry__v/VENZ000004SONF5", "ES")</f>
        <v>ES</v>
      </c>
      <c r="C5821" s="20" t="s">
        <v>39</v>
      </c>
      <c r="D5821" s="21" t="str">
        <f>HYPERLINK("https://otsuka-europe-crm.veevavault.com/ui/#object/approved_document__v/V5OZ04ASG4FWKA9", "Documento Autorizaciขn Centro Empleador")</f>
        <v>Documento Autorizaciขn Centro Empleador</v>
      </c>
      <c r="E5821" s="22" t="str">
        <f>HYPERLINK("https://otsuka-europe-crm.veevavault.com/ui/#object/sent_email__v/VBL00000003A130", "SE-001444400")</f>
        <v>SE-001444400</v>
      </c>
      <c r="F5821" s="25">
        <v>46226.348796296297</v>
      </c>
      <c r="G5821" s="24">
        <v>1</v>
      </c>
      <c r="H5821" s="24">
        <v>1</v>
      </c>
      <c r="I5821" s="24">
        <v>1</v>
      </c>
      <c r="J5821" s="25">
        <v>46226.348796296297</v>
      </c>
      <c r="K5821" s="24">
        <v>1</v>
      </c>
      <c r="L5821" s="22" t="str">
        <f>HYPERLINK("https://otsuka-europe-crm.veevavault.com/ui/#object/approved_document__v/V5OZ04ASG4FWKA9", "Documento Autorizaciขn Centro Empleador")</f>
        <v>Documento Autorizaciขn Centro Empleador</v>
      </c>
      <c r="M5821" s="22" t="str">
        <f>HYPERLINK("mailto:ccoll@crm.otsuka-europe.com", "ccoll@crm.otsuka-europe.com")</f>
        <v>ccoll@crm.otsuka-europe.com</v>
      </c>
      <c r="N5821" s="25">
        <v>46226.299155092594</v>
      </c>
      <c r="O5821" s="14" t="str">
        <f>HYPERLINK("https://otsuka-europe-crm.veevavault.com/ui/#object/email_activity__v/V8C00000004B414", "EN-002107428")</f>
        <v>EN-002107428</v>
      </c>
    </row>
    <row r="5822" spans="1:15" ht="16" x14ac:dyDescent="0.2">
      <c r="A5822" s="26"/>
      <c r="B5822" s="26"/>
      <c r="C5822" s="26"/>
      <c r="D5822" s="26"/>
      <c r="E5822" s="26"/>
      <c r="F5822" s="26"/>
      <c r="G5822" s="26"/>
      <c r="H5822" s="26"/>
      <c r="I5822" s="26"/>
      <c r="J5822" s="26"/>
      <c r="K5822" s="26"/>
      <c r="L5822" s="26"/>
      <c r="M5822" s="26"/>
      <c r="N5822" s="26"/>
      <c r="O5822" s="14" t="str">
        <f>HYPERLINK("https://otsuka-europe-crm.veevavault.com/ui/#object/email_activity__v/V8C00000004B641", "EN-002107753")</f>
        <v>EN-002107753</v>
      </c>
    </row>
    <row r="5823" spans="1:15" ht="16" x14ac:dyDescent="0.2">
      <c r="A5823" s="19"/>
      <c r="B5823" s="19"/>
      <c r="C5823" s="19"/>
      <c r="D5823" s="19"/>
      <c r="E5823" s="19"/>
      <c r="F5823" s="19"/>
      <c r="G5823" s="19"/>
      <c r="H5823" s="19"/>
      <c r="I5823" s="19"/>
      <c r="J5823" s="19"/>
      <c r="K5823" s="19"/>
      <c r="L5823" s="19"/>
      <c r="M5823" s="19"/>
      <c r="N5823" s="19"/>
      <c r="O5823" s="14" t="str">
        <f>HYPERLINK("https://otsuka-europe-crm.veevavault.com/ui/#object/email_activity__v/V8C00000004B642", "EN-002107752")</f>
        <v>EN-002107752</v>
      </c>
    </row>
    <row r="5824" spans="1:15" ht="16" x14ac:dyDescent="0.2">
      <c r="A5824" s="18" t="str">
        <f>HYPERLINK("https://otsuka-europe-crm.veevavault.com/ui/#object/account__v/V4TZ025E88ZIPWQ", "MARTA MORIS MIRANDA")</f>
        <v>MARTA MORIS MIRANDA</v>
      </c>
      <c r="B5824" s="18" t="str">
        <f>HYPERLINK("https://otsuka-europe-crm.veevavault.com/ui/#object/vcountry__v/VENZ000004SONF5", "ES")</f>
        <v>ES</v>
      </c>
      <c r="C5824" s="20" t="s">
        <v>39</v>
      </c>
      <c r="D5824" s="21" t="str">
        <f>HYPERLINK("https://otsuka-europe-crm.veevavault.com/ui/#object/approved_document__v/V5OZ04ASG4FWKA9", "Documento Autorizaciขn Centro Empleador")</f>
        <v>Documento Autorizaciขn Centro Empleador</v>
      </c>
      <c r="E5824" s="22" t="str">
        <f>HYPERLINK("https://otsuka-europe-crm.veevavault.com/ui/#object/sent_email__v/VBL000000039033", "SE-001444401")</f>
        <v>SE-001444401</v>
      </c>
      <c r="F5824" s="25">
        <v>46226.302534722221</v>
      </c>
      <c r="G5824" s="24">
        <v>1</v>
      </c>
      <c r="H5824" s="24">
        <v>2</v>
      </c>
      <c r="I5824" s="24">
        <v>1</v>
      </c>
      <c r="J5824" s="25">
        <v>46227.672905092593</v>
      </c>
      <c r="K5824" s="24">
        <v>1</v>
      </c>
      <c r="L5824" s="22" t="str">
        <f>HYPERLINK("https://otsuka-europe-crm.veevavault.com/ui/#object/approved_document__v/V5OZ04ASG4FWKA9", "Documento Autorizaciขn Centro Empleador")</f>
        <v>Documento Autorizaciขn Centro Empleador</v>
      </c>
      <c r="M5824" s="22" t="str">
        <f>HYPERLINK("mailto:ccoll@crm.otsuka-europe.com", "ccoll@crm.otsuka-europe.com")</f>
        <v>ccoll@crm.otsuka-europe.com</v>
      </c>
      <c r="N5824" s="25">
        <v>46226.299131944441</v>
      </c>
      <c r="O5824" s="14" t="str">
        <f>HYPERLINK("https://otsuka-europe-crm.veevavault.com/ui/#object/email_activity__v/V8C00000004C337", "EN-002107504")</f>
        <v>EN-002107504</v>
      </c>
    </row>
    <row r="5825" spans="1:15" ht="16" x14ac:dyDescent="0.2">
      <c r="A5825" s="26"/>
      <c r="B5825" s="26"/>
      <c r="C5825" s="26"/>
      <c r="D5825" s="26"/>
      <c r="E5825" s="26"/>
      <c r="F5825" s="26"/>
      <c r="G5825" s="26"/>
      <c r="H5825" s="26"/>
      <c r="I5825" s="26"/>
      <c r="J5825" s="26"/>
      <c r="K5825" s="26"/>
      <c r="L5825" s="26"/>
      <c r="M5825" s="26"/>
      <c r="N5825" s="26"/>
      <c r="O5825" s="14" t="str">
        <f>HYPERLINK("https://otsuka-europe-crm.veevavault.com/ui/#object/email_activity__v/V8C00000004C360", "EN-002107528")</f>
        <v>EN-002107528</v>
      </c>
    </row>
    <row r="5826" spans="1:15" ht="16" x14ac:dyDescent="0.2">
      <c r="A5826" s="26"/>
      <c r="B5826" s="26"/>
      <c r="C5826" s="26"/>
      <c r="D5826" s="26"/>
      <c r="E5826" s="26"/>
      <c r="F5826" s="26"/>
      <c r="G5826" s="26"/>
      <c r="H5826" s="26"/>
      <c r="I5826" s="26"/>
      <c r="J5826" s="26"/>
      <c r="K5826" s="26"/>
      <c r="L5826" s="26"/>
      <c r="M5826" s="26"/>
      <c r="N5826" s="26"/>
      <c r="O5826" s="14" t="str">
        <f>HYPERLINK("https://otsuka-europe-crm.veevavault.com/ui/#object/email_activity__v/V8C00000004C362", "EN-002107529")</f>
        <v>EN-002107529</v>
      </c>
    </row>
    <row r="5827" spans="1:15" ht="16" x14ac:dyDescent="0.2">
      <c r="A5827" s="19"/>
      <c r="B5827" s="19"/>
      <c r="C5827" s="19"/>
      <c r="D5827" s="19"/>
      <c r="E5827" s="19"/>
      <c r="F5827" s="19"/>
      <c r="G5827" s="19"/>
      <c r="H5827" s="19"/>
      <c r="I5827" s="19"/>
      <c r="J5827" s="19"/>
      <c r="K5827" s="19"/>
      <c r="L5827" s="19"/>
      <c r="M5827" s="19"/>
      <c r="N5827" s="19"/>
      <c r="O5827" s="14" t="str">
        <f>HYPERLINK("https://otsuka-europe-crm.veevavault.com/ui/#object/email_activity__v/V8C00000004D402", "EN-002108866")</f>
        <v>EN-002108866</v>
      </c>
    </row>
    <row r="5828" spans="1:15" ht="16" x14ac:dyDescent="0.2">
      <c r="A5828" s="18" t="str">
        <f>HYPERLINK("https://otsuka-europe-crm.veevavault.com/ui/#object/account__v/V4TZ025E876H154", "Zurima Toloza Diaz")</f>
        <v>Zurima Toloza Diaz</v>
      </c>
      <c r="B5828" s="18" t="str">
        <f>HYPERLINK("https://otsuka-europe-crm.veevavault.com/ui/#object/vcountry__v/VENZ000004SONFK", "GB")</f>
        <v>GB</v>
      </c>
      <c r="C5828" s="20" t="s">
        <v>41</v>
      </c>
      <c r="D5828" s="21" t="str">
        <f>HYPERLINK("https://otsuka-europe-crm.veevavault.com/ui/#object/approved_document__v/V5O00000001V001", "LDM DR P2P Invite 12-Nov-26 v2 [digital]")</f>
        <v>LDM DR P2P Invite 12-Nov-26 v2 [digital]</v>
      </c>
      <c r="E5828" s="22" t="str">
        <f>HYPERLINK("https://otsuka-europe-crm.veevavault.com/ui/#object/sent_email__v/VBL000000039034", "SE-001444402")</f>
        <v>SE-001444402</v>
      </c>
      <c r="F5828" s="25">
        <v>46226.552199074074</v>
      </c>
      <c r="G5828" s="24">
        <v>1</v>
      </c>
      <c r="H5828" s="24">
        <v>2</v>
      </c>
      <c r="I5828" s="24">
        <v>0</v>
      </c>
      <c r="J5828" s="23"/>
      <c r="K5828" s="24">
        <v>0</v>
      </c>
      <c r="L5828" s="22" t="str">
        <f>HYPERLINK("https://otsuka-europe-crm.veevavault.com/ui/#object/approved_document__v/V5O00000001V001", "LDM DR P2P Invite 12-Nov-26 v2 [digital]")</f>
        <v>LDM DR P2P Invite 12-Nov-26 v2 [digital]</v>
      </c>
      <c r="M5828" s="22" t="str">
        <f>HYPERLINK("mailto:draval@crm.otsuka-europe.com", "draval@crm.otsuka-europe.com")</f>
        <v>draval@crm.otsuka-europe.com</v>
      </c>
      <c r="N5828" s="25">
        <v>46226.299224537041</v>
      </c>
      <c r="O5828" s="14" t="str">
        <f>HYPERLINK("https://otsuka-europe-crm.veevavault.com/ui/#object/email_activity__v/V8C00000004B475", "EN-002107586")</f>
        <v>EN-002107586</v>
      </c>
    </row>
    <row r="5829" spans="1:15" ht="16" x14ac:dyDescent="0.2">
      <c r="A5829" s="26"/>
      <c r="B5829" s="26"/>
      <c r="C5829" s="26"/>
      <c r="D5829" s="26"/>
      <c r="E5829" s="26"/>
      <c r="F5829" s="26"/>
      <c r="G5829" s="26"/>
      <c r="H5829" s="26"/>
      <c r="I5829" s="26"/>
      <c r="J5829" s="26"/>
      <c r="K5829" s="26"/>
      <c r="L5829" s="26"/>
      <c r="M5829" s="26"/>
      <c r="N5829" s="26"/>
      <c r="O5829" s="14" t="str">
        <f>HYPERLINK("https://otsuka-europe-crm.veevavault.com/ui/#object/email_activity__v/V8C00000004B877", "EN-002108188")</f>
        <v>EN-002108188</v>
      </c>
    </row>
    <row r="5830" spans="1:15" ht="16" x14ac:dyDescent="0.2">
      <c r="A5830" s="26"/>
      <c r="B5830" s="26"/>
      <c r="C5830" s="26"/>
      <c r="D5830" s="26"/>
      <c r="E5830" s="26"/>
      <c r="F5830" s="26"/>
      <c r="G5830" s="26"/>
      <c r="H5830" s="26"/>
      <c r="I5830" s="26"/>
      <c r="J5830" s="26"/>
      <c r="K5830" s="26"/>
      <c r="L5830" s="26"/>
      <c r="M5830" s="26"/>
      <c r="N5830" s="26"/>
      <c r="O5830" s="14" t="str">
        <f>HYPERLINK("https://otsuka-europe-crm.veevavault.com/ui/#object/email_activity__v/V8C00000004C477", "EN-002107946")</f>
        <v>EN-002107946</v>
      </c>
    </row>
    <row r="5831" spans="1:15" ht="16" x14ac:dyDescent="0.2">
      <c r="A5831" s="19"/>
      <c r="B5831" s="19"/>
      <c r="C5831" s="19"/>
      <c r="D5831" s="19"/>
      <c r="E5831" s="19"/>
      <c r="F5831" s="19"/>
      <c r="G5831" s="19"/>
      <c r="H5831" s="19"/>
      <c r="I5831" s="19"/>
      <c r="J5831" s="19"/>
      <c r="K5831" s="19"/>
      <c r="L5831" s="19"/>
      <c r="M5831" s="19"/>
      <c r="N5831" s="19"/>
      <c r="O5831" s="14" t="str">
        <f>HYPERLINK("https://otsuka-europe-crm.veevavault.com/ui/#object/email_activity__v/V8C00000004C478", "EN-002107947")</f>
        <v>EN-002107947</v>
      </c>
    </row>
    <row r="5832" spans="1:15" ht="48" x14ac:dyDescent="0.2">
      <c r="A5832" s="7" t="str">
        <f>HYPERLINK("https://otsuka-europe-crm.veevavault.com/ui/#object/account__v/V4TZ06G6O71T81Y", "RUTH LANDERA RODRIGUEZ")</f>
        <v>RUTH LANDERA RODRIGUEZ</v>
      </c>
      <c r="B5832" s="7" t="str">
        <f>HYPERLINK("https://otsuka-europe-crm.veevavault.com/ui/#object/vcountry__v/VENZ000004SONF5", "ES")</f>
        <v>ES</v>
      </c>
      <c r="C5832" s="8" t="s">
        <v>39</v>
      </c>
      <c r="D5832" s="9" t="str">
        <f>HYPERLINK("https://otsuka-europe-crm.veevavault.com/ui/#object/approved_document__v/V5O00000000R009", "AM2M - PSIQUIATRIA - Guía manejo práctico AM2M")</f>
        <v>AM2M - PSIQUIATRIA - Guía manejo práctico AM2M</v>
      </c>
      <c r="E5832" s="10" t="str">
        <f>HYPERLINK("https://otsuka-europe-crm.veevavault.com/ui/#object/sent_email__v/VBL000000039035", "SE-001444403")</f>
        <v>SE-001444403</v>
      </c>
      <c r="F5832" s="11"/>
      <c r="G5832" s="12">
        <v>0</v>
      </c>
      <c r="H5832" s="12">
        <v>0</v>
      </c>
      <c r="I5832" s="12">
        <v>0</v>
      </c>
      <c r="J5832" s="11"/>
      <c r="K5832" s="12">
        <v>0</v>
      </c>
      <c r="L5832" s="10" t="str">
        <f>HYPERLINK("https://otsuka-europe-crm.veevavault.com/ui/#object/approved_document__v/V5O00000000R009", "AM2M - PSIQUIATRIA - Guía manejo práctico AM2M")</f>
        <v>AM2M - PSIQUIATRIA - Guía manejo práctico AM2M</v>
      </c>
      <c r="M5832" s="10" t="str">
        <f>HYPERLINK("mailto:fdiaz@crm.otsuka-europe.com", "fdiaz@crm.otsuka-europe.com")</f>
        <v>fdiaz@crm.otsuka-europe.com</v>
      </c>
      <c r="N5832" s="13">
        <v>46226.29923611111</v>
      </c>
      <c r="O5832" s="14" t="str">
        <f>HYPERLINK("https://otsuka-europe-crm.veevavault.com/ui/#object/email_activity__v/V8C00000004B388", "EN-002107401")</f>
        <v>EN-002107401</v>
      </c>
    </row>
    <row r="5833" spans="1:15" ht="16" x14ac:dyDescent="0.2">
      <c r="A5833" s="18" t="str">
        <f>HYPERLINK("https://otsuka-europe-crm.veevavault.com/ui/#object/account__v/V4TZ025E869CFWK", "RAFAEL ORTEGA BUENO")</f>
        <v>RAFAEL ORTEGA BUENO</v>
      </c>
      <c r="B5833" s="18" t="str">
        <f>HYPERLINK("https://otsuka-europe-crm.veevavault.com/ui/#object/vcountry__v/VENZ000004SONF5", "ES")</f>
        <v>ES</v>
      </c>
      <c r="C5833" s="20" t="s">
        <v>39</v>
      </c>
      <c r="D5833" s="21" t="str">
        <f>HYPERLINK("https://otsuka-europe-crm.veevavault.com/ui/#object/approved_document__v/V5OZ04ASG4FWKA9", "Documento Autorizaciขn Centro Empleador")</f>
        <v>Documento Autorizaciขn Centro Empleador</v>
      </c>
      <c r="E5833" s="22" t="str">
        <f>HYPERLINK("https://otsuka-europe-crm.veevavault.com/ui/#object/sent_email__v/VBL00000003A131", "SE-001444404")</f>
        <v>SE-001444404</v>
      </c>
      <c r="F5833" s="25">
        <v>46226.44425925926</v>
      </c>
      <c r="G5833" s="24">
        <v>1</v>
      </c>
      <c r="H5833" s="24">
        <v>2</v>
      </c>
      <c r="I5833" s="24">
        <v>1</v>
      </c>
      <c r="J5833" s="25">
        <v>46226.326805555553</v>
      </c>
      <c r="K5833" s="24">
        <v>1</v>
      </c>
      <c r="L5833" s="22" t="str">
        <f>HYPERLINK("https://otsuka-europe-crm.veevavault.com/ui/#object/approved_document__v/V5OZ04ASG4FWKA9", "Documento Autorizaciขn Centro Empleador")</f>
        <v>Documento Autorizaciขn Centro Empleador</v>
      </c>
      <c r="M5833" s="22" t="str">
        <f>HYPERLINK("mailto:jcastro@crm.otsuka-europe.com", "jcastro@crm.otsuka-europe.com")</f>
        <v>jcastro@crm.otsuka-europe.com</v>
      </c>
      <c r="N5833" s="25">
        <v>46226.299155092594</v>
      </c>
      <c r="O5833" s="14" t="str">
        <f>HYPERLINK("https://otsuka-europe-crm.veevavault.com/ui/#object/email_activity__v/V8C00000004B400", "EN-002107414")</f>
        <v>EN-002107414</v>
      </c>
    </row>
    <row r="5834" spans="1:15" ht="16" x14ac:dyDescent="0.2">
      <c r="A5834" s="26"/>
      <c r="B5834" s="26"/>
      <c r="C5834" s="26"/>
      <c r="D5834" s="26"/>
      <c r="E5834" s="26"/>
      <c r="F5834" s="26"/>
      <c r="G5834" s="26"/>
      <c r="H5834" s="26"/>
      <c r="I5834" s="26"/>
      <c r="J5834" s="26"/>
      <c r="K5834" s="26"/>
      <c r="L5834" s="26"/>
      <c r="M5834" s="26"/>
      <c r="N5834" s="26"/>
      <c r="O5834" s="14" t="str">
        <f>HYPERLINK("https://otsuka-europe-crm.veevavault.com/ui/#object/email_activity__v/V8C00000004B468", "EN-002107576")</f>
        <v>EN-002107576</v>
      </c>
    </row>
    <row r="5835" spans="1:15" ht="16" x14ac:dyDescent="0.2">
      <c r="A5835" s="26"/>
      <c r="B5835" s="26"/>
      <c r="C5835" s="26"/>
      <c r="D5835" s="26"/>
      <c r="E5835" s="26"/>
      <c r="F5835" s="26"/>
      <c r="G5835" s="26"/>
      <c r="H5835" s="26"/>
      <c r="I5835" s="26"/>
      <c r="J5835" s="26"/>
      <c r="K5835" s="26"/>
      <c r="L5835" s="26"/>
      <c r="M5835" s="26"/>
      <c r="N5835" s="26"/>
      <c r="O5835" s="14" t="str">
        <f>HYPERLINK("https://otsuka-europe-crm.veevavault.com/ui/#object/email_activity__v/V8C00000004C383", "EN-002107579")</f>
        <v>EN-002107579</v>
      </c>
    </row>
    <row r="5836" spans="1:15" ht="16" x14ac:dyDescent="0.2">
      <c r="A5836" s="19"/>
      <c r="B5836" s="19"/>
      <c r="C5836" s="19"/>
      <c r="D5836" s="19"/>
      <c r="E5836" s="19"/>
      <c r="F5836" s="19"/>
      <c r="G5836" s="19"/>
      <c r="H5836" s="19"/>
      <c r="I5836" s="19"/>
      <c r="J5836" s="19"/>
      <c r="K5836" s="19"/>
      <c r="L5836" s="19"/>
      <c r="M5836" s="19"/>
      <c r="N5836" s="19"/>
      <c r="O5836" s="14" t="str">
        <f>HYPERLINK("https://otsuka-europe-crm.veevavault.com/ui/#object/email_activity__v/V8C00000004C441", "EN-002107891")</f>
        <v>EN-002107891</v>
      </c>
    </row>
    <row r="5837" spans="1:15" ht="32" x14ac:dyDescent="0.2">
      <c r="A5837" s="7" t="str">
        <f>HYPERLINK("https://otsuka-europe-crm.veevavault.com/ui/#object/account__v/V4T00000002G051", "CESAR EMILIO VENCE MORON")</f>
        <v>CESAR EMILIO VENCE MORON</v>
      </c>
      <c r="B5837" s="7" t="str">
        <f>HYPERLINK("https://otsuka-europe-crm.veevavault.com/ui/#object/vcountry__v/VENZ000004SONF5", "ES")</f>
        <v>ES</v>
      </c>
      <c r="C5837" s="8" t="s">
        <v>39</v>
      </c>
      <c r="D5837" s="9" t="str">
        <f>HYPERLINK("https://otsuka-europe-crm.veevavault.com/ui/#object/approved_document__v/V5O00000000D100", "Spain - Consent Email 1 Aug 25")</f>
        <v>Spain - Consent Email 1 Aug 25</v>
      </c>
      <c r="E5837" s="10" t="str">
        <f>HYPERLINK("https://otsuka-europe-crm.veevavault.com/ui/#object/sent_email__v/VBL00000003A132", "SE-001444405")</f>
        <v>SE-001444405</v>
      </c>
      <c r="F5837" s="11"/>
      <c r="G5837" s="12">
        <v>0</v>
      </c>
      <c r="H5837" s="12">
        <v>0</v>
      </c>
      <c r="I5837" s="12">
        <v>0</v>
      </c>
      <c r="J5837" s="11"/>
      <c r="K5837" s="12">
        <v>0</v>
      </c>
      <c r="L5837" s="10" t="str">
        <f>HYPERLINK("https://otsuka-europe-crm.veevavault.com/ui/#object/approved_document__v/V5O00000000D100", "Spain - Consent Email 1 Aug 25")</f>
        <v>Spain - Consent Email 1 Aug 25</v>
      </c>
      <c r="M5837" s="10" t="str">
        <f>HYPERLINK("mailto:jcastro@crm.otsuka-europe.com", "jcastro@crm.otsuka-europe.com")</f>
        <v>jcastro@crm.otsuka-europe.com</v>
      </c>
      <c r="N5837" s="13">
        <v>46226.299131944441</v>
      </c>
      <c r="O5837" s="14" t="str">
        <f>HYPERLINK("https://otsuka-europe-crm.veevavault.com/ui/#object/email_activity__v/V8C00000004C305", "EN-002107471")</f>
        <v>EN-002107471</v>
      </c>
    </row>
    <row r="5838" spans="1:15" ht="16" x14ac:dyDescent="0.2">
      <c r="A5838" s="18" t="str">
        <f>HYPERLINK("https://otsuka-europe-crm.veevavault.com/ui/#object/account__v/V4T00000002G051", "CESAR EMILIO VENCE MORON")</f>
        <v>CESAR EMILIO VENCE MORON</v>
      </c>
      <c r="B5838" s="18" t="str">
        <f>HYPERLINK("https://otsuka-europe-crm.veevavault.com/ui/#object/vcountry__v/VENZ000004SONF5", "ES")</f>
        <v>ES</v>
      </c>
      <c r="C5838" s="20" t="s">
        <v>39</v>
      </c>
      <c r="D5838" s="21" t="str">
        <f>HYPERLINK("https://otsuka-europe-crm.veevavault.com/ui/#object/approved_document__v/V5OZ04ASG4FWKA7", "Reuniones Online Consent - 2")</f>
        <v>Reuniones Online Consent - 2</v>
      </c>
      <c r="E5838" s="22" t="str">
        <f>HYPERLINK("https://otsuka-europe-crm.veevavault.com/ui/#object/sent_email__v/VBL00000003A133", "SE-001444406")</f>
        <v>SE-001444406</v>
      </c>
      <c r="F5838" s="25">
        <v>46226.6325462963</v>
      </c>
      <c r="G5838" s="24">
        <v>1</v>
      </c>
      <c r="H5838" s="24">
        <v>3</v>
      </c>
      <c r="I5838" s="24">
        <v>1</v>
      </c>
      <c r="J5838" s="25">
        <v>46226.632569444446</v>
      </c>
      <c r="K5838" s="24">
        <v>3</v>
      </c>
      <c r="L5838" s="22" t="str">
        <f>HYPERLINK("https://otsuka-europe-crm.veevavault.com/ui/#object/approved_document__v/V5OZ04ASG4FWKA7", "Reuniones Online Consent - 2")</f>
        <v>Reuniones Online Consent - 2</v>
      </c>
      <c r="M5838" s="22" t="str">
        <f>HYPERLINK("mailto:jcastro@crm.otsuka-europe.com", "jcastro@crm.otsuka-europe.com")</f>
        <v>jcastro@crm.otsuka-europe.com</v>
      </c>
      <c r="N5838" s="25">
        <v>46226.299131944441</v>
      </c>
      <c r="O5838" s="14" t="str">
        <f>HYPERLINK("https://otsuka-europe-crm.veevavault.com/ui/#object/email_activity__v/V8C00000004B558", "EN-002107669")</f>
        <v>EN-002107669</v>
      </c>
    </row>
    <row r="5839" spans="1:15" ht="16" x14ac:dyDescent="0.2">
      <c r="A5839" s="26"/>
      <c r="B5839" s="26"/>
      <c r="C5839" s="26"/>
      <c r="D5839" s="26"/>
      <c r="E5839" s="26"/>
      <c r="F5839" s="26"/>
      <c r="G5839" s="26"/>
      <c r="H5839" s="26"/>
      <c r="I5839" s="26"/>
      <c r="J5839" s="26"/>
      <c r="K5839" s="26"/>
      <c r="L5839" s="26"/>
      <c r="M5839" s="26"/>
      <c r="N5839" s="26"/>
      <c r="O5839" s="14" t="str">
        <f>HYPERLINK("https://otsuka-europe-crm.veevavault.com/ui/#object/email_activity__v/V8C00000004B658", "EN-002107769")</f>
        <v>EN-002107769</v>
      </c>
    </row>
    <row r="5840" spans="1:15" ht="16" x14ac:dyDescent="0.2">
      <c r="A5840" s="26"/>
      <c r="B5840" s="26"/>
      <c r="C5840" s="26"/>
      <c r="D5840" s="26"/>
      <c r="E5840" s="26"/>
      <c r="F5840" s="26"/>
      <c r="G5840" s="26"/>
      <c r="H5840" s="26"/>
      <c r="I5840" s="26"/>
      <c r="J5840" s="26"/>
      <c r="K5840" s="26"/>
      <c r="L5840" s="26"/>
      <c r="M5840" s="26"/>
      <c r="N5840" s="26"/>
      <c r="O5840" s="14" t="str">
        <f>HYPERLINK("https://otsuka-europe-crm.veevavault.com/ui/#object/email_activity__v/V8C00000004B659", "EN-002107770")</f>
        <v>EN-002107770</v>
      </c>
    </row>
    <row r="5841" spans="1:15" ht="16" x14ac:dyDescent="0.2">
      <c r="A5841" s="26"/>
      <c r="B5841" s="26"/>
      <c r="C5841" s="26"/>
      <c r="D5841" s="26"/>
      <c r="E5841" s="26"/>
      <c r="F5841" s="26"/>
      <c r="G5841" s="26"/>
      <c r="H5841" s="26"/>
      <c r="I5841" s="26"/>
      <c r="J5841" s="26"/>
      <c r="K5841" s="26"/>
      <c r="L5841" s="26"/>
      <c r="M5841" s="26"/>
      <c r="N5841" s="26"/>
      <c r="O5841" s="14" t="str">
        <f>HYPERLINK("https://otsuka-europe-crm.veevavault.com/ui/#object/email_activity__v/V8C00000004B660", "EN-002107771")</f>
        <v>EN-002107771</v>
      </c>
    </row>
    <row r="5842" spans="1:15" ht="16" x14ac:dyDescent="0.2">
      <c r="A5842" s="26"/>
      <c r="B5842" s="26"/>
      <c r="C5842" s="26"/>
      <c r="D5842" s="26"/>
      <c r="E5842" s="26"/>
      <c r="F5842" s="26"/>
      <c r="G5842" s="26"/>
      <c r="H5842" s="26"/>
      <c r="I5842" s="26"/>
      <c r="J5842" s="26"/>
      <c r="K5842" s="26"/>
      <c r="L5842" s="26"/>
      <c r="M5842" s="26"/>
      <c r="N5842" s="26"/>
      <c r="O5842" s="14" t="str">
        <f>HYPERLINK("https://otsuka-europe-crm.veevavault.com/ui/#object/email_activity__v/V8C00000004B751", "EN-002107968")</f>
        <v>EN-002107968</v>
      </c>
    </row>
    <row r="5843" spans="1:15" ht="16" x14ac:dyDescent="0.2">
      <c r="A5843" s="26"/>
      <c r="B5843" s="26"/>
      <c r="C5843" s="26"/>
      <c r="D5843" s="26"/>
      <c r="E5843" s="26"/>
      <c r="F5843" s="26"/>
      <c r="G5843" s="26"/>
      <c r="H5843" s="26"/>
      <c r="I5843" s="26"/>
      <c r="J5843" s="26"/>
      <c r="K5843" s="26"/>
      <c r="L5843" s="26"/>
      <c r="M5843" s="26"/>
      <c r="N5843" s="26"/>
      <c r="O5843" s="14" t="str">
        <f>HYPERLINK("https://otsuka-europe-crm.veevavault.com/ui/#object/email_activity__v/V8C00000004B752", "EN-002107969")</f>
        <v>EN-002107969</v>
      </c>
    </row>
    <row r="5844" spans="1:15" ht="16" x14ac:dyDescent="0.2">
      <c r="A5844" s="26"/>
      <c r="B5844" s="26"/>
      <c r="C5844" s="26"/>
      <c r="D5844" s="26"/>
      <c r="E5844" s="26"/>
      <c r="F5844" s="26"/>
      <c r="G5844" s="26"/>
      <c r="H5844" s="26"/>
      <c r="I5844" s="26"/>
      <c r="J5844" s="26"/>
      <c r="K5844" s="26"/>
      <c r="L5844" s="26"/>
      <c r="M5844" s="26"/>
      <c r="N5844" s="26"/>
      <c r="O5844" s="14" t="str">
        <f>HYPERLINK("https://otsuka-europe-crm.veevavault.com/ui/#object/email_activity__v/V8C00000004C407", "EN-002107848")</f>
        <v>EN-002107848</v>
      </c>
    </row>
    <row r="5845" spans="1:15" ht="16" x14ac:dyDescent="0.2">
      <c r="A5845" s="19"/>
      <c r="B5845" s="19"/>
      <c r="C5845" s="19"/>
      <c r="D5845" s="19"/>
      <c r="E5845" s="19"/>
      <c r="F5845" s="19"/>
      <c r="G5845" s="19"/>
      <c r="H5845" s="19"/>
      <c r="I5845" s="19"/>
      <c r="J5845" s="19"/>
      <c r="K5845" s="19"/>
      <c r="L5845" s="19"/>
      <c r="M5845" s="19"/>
      <c r="N5845" s="19"/>
      <c r="O5845" s="14" t="str">
        <f>HYPERLINK("https://otsuka-europe-crm.veevavault.com/ui/#object/email_activity__v/V8C00000004C561", "EN-002108071")</f>
        <v>EN-002108071</v>
      </c>
    </row>
    <row r="5846" spans="1:15" ht="16" x14ac:dyDescent="0.2">
      <c r="A5846" s="18" t="str">
        <f>HYPERLINK("https://otsuka-europe-crm.veevavault.com/ui/#object/account__v/V4T00000002G051", "CESAR EMILIO VENCE MORON")</f>
        <v>CESAR EMILIO VENCE MORON</v>
      </c>
      <c r="B5846" s="18" t="str">
        <f>HYPERLINK("https://otsuka-europe-crm.veevavault.com/ui/#object/vcountry__v/VENZ000004SONF5", "ES")</f>
        <v>ES</v>
      </c>
      <c r="C5846" s="20" t="s">
        <v>39</v>
      </c>
      <c r="D5846" s="21" t="str">
        <f>HYPERLINK("https://otsuka-europe-crm.veevavault.com/ui/#object/approved_document__v/V5OZ04ASG4FWKA9", "Documento Autorizaciขn Centro Empleador")</f>
        <v>Documento Autorizaciขn Centro Empleador</v>
      </c>
      <c r="E5846" s="22" t="str">
        <f>HYPERLINK("https://otsuka-europe-crm.veevavault.com/ui/#object/sent_email__v/VBL00000003A134", "SE-001444407")</f>
        <v>SE-001444407</v>
      </c>
      <c r="F5846" s="25">
        <v>46226.365474537037</v>
      </c>
      <c r="G5846" s="24">
        <v>1</v>
      </c>
      <c r="H5846" s="24">
        <v>1</v>
      </c>
      <c r="I5846" s="24">
        <v>1</v>
      </c>
      <c r="J5846" s="25">
        <v>46226.632719907408</v>
      </c>
      <c r="K5846" s="24">
        <v>2</v>
      </c>
      <c r="L5846" s="22" t="str">
        <f>HYPERLINK("https://otsuka-europe-crm.veevavault.com/ui/#object/approved_document__v/V5OZ04ASG4FWKA9", "Documento Autorizaciขn Centro Empleador")</f>
        <v>Documento Autorizaciขn Centro Empleador</v>
      </c>
      <c r="M5846" s="22" t="str">
        <f>HYPERLINK("mailto:jcastro@crm.otsuka-europe.com", "jcastro@crm.otsuka-europe.com")</f>
        <v>jcastro@crm.otsuka-europe.com</v>
      </c>
      <c r="N5846" s="25">
        <v>46226.299155092594</v>
      </c>
      <c r="O5846" s="14" t="str">
        <f>HYPERLINK("https://otsuka-europe-crm.veevavault.com/ui/#object/email_activity__v/V8C00000004B661", "EN-002107773")</f>
        <v>EN-002107773</v>
      </c>
    </row>
    <row r="5847" spans="1:15" ht="16" x14ac:dyDescent="0.2">
      <c r="A5847" s="26"/>
      <c r="B5847" s="26"/>
      <c r="C5847" s="26"/>
      <c r="D5847" s="26"/>
      <c r="E5847" s="26"/>
      <c r="F5847" s="26"/>
      <c r="G5847" s="26"/>
      <c r="H5847" s="26"/>
      <c r="I5847" s="26"/>
      <c r="J5847" s="26"/>
      <c r="K5847" s="26"/>
      <c r="L5847" s="26"/>
      <c r="M5847" s="26"/>
      <c r="N5847" s="26"/>
      <c r="O5847" s="14" t="str">
        <f>HYPERLINK("https://otsuka-europe-crm.veevavault.com/ui/#object/email_activity__v/V8C00000004B662", "EN-002107772")</f>
        <v>EN-002107772</v>
      </c>
    </row>
    <row r="5848" spans="1:15" ht="16" x14ac:dyDescent="0.2">
      <c r="A5848" s="26"/>
      <c r="B5848" s="26"/>
      <c r="C5848" s="26"/>
      <c r="D5848" s="26"/>
      <c r="E5848" s="26"/>
      <c r="F5848" s="26"/>
      <c r="G5848" s="26"/>
      <c r="H5848" s="26"/>
      <c r="I5848" s="26"/>
      <c r="J5848" s="26"/>
      <c r="K5848" s="26"/>
      <c r="L5848" s="26"/>
      <c r="M5848" s="26"/>
      <c r="N5848" s="26"/>
      <c r="O5848" s="14" t="str">
        <f>HYPERLINK("https://otsuka-europe-crm.veevavault.com/ui/#object/email_activity__v/V8C00000004C310", "EN-002107476")</f>
        <v>EN-002107476</v>
      </c>
    </row>
    <row r="5849" spans="1:15" ht="16" x14ac:dyDescent="0.2">
      <c r="A5849" s="19"/>
      <c r="B5849" s="19"/>
      <c r="C5849" s="19"/>
      <c r="D5849" s="19"/>
      <c r="E5849" s="19"/>
      <c r="F5849" s="19"/>
      <c r="G5849" s="19"/>
      <c r="H5849" s="19"/>
      <c r="I5849" s="19"/>
      <c r="J5849" s="19"/>
      <c r="K5849" s="19"/>
      <c r="L5849" s="19"/>
      <c r="M5849" s="19"/>
      <c r="N5849" s="19"/>
      <c r="O5849" s="14" t="str">
        <f>HYPERLINK("https://otsuka-europe-crm.veevavault.com/ui/#object/email_activity__v/V8C00000004C583", "EN-002108160")</f>
        <v>EN-002108160</v>
      </c>
    </row>
    <row r="5850" spans="1:15" ht="16" x14ac:dyDescent="0.2">
      <c r="A5850" s="18" t="str">
        <f>HYPERLINK("https://otsuka-europe-crm.veevavault.com/ui/#object/account__v/V4T00000002G051", "CESAR EMILIO VENCE MORON")</f>
        <v>CESAR EMILIO VENCE MORON</v>
      </c>
      <c r="B5850" s="18" t="str">
        <f>HYPERLINK("https://otsuka-europe-crm.veevavault.com/ui/#object/vcountry__v/VENZ000004SONF5", "ES")</f>
        <v>ES</v>
      </c>
      <c r="C5850" s="20" t="s">
        <v>39</v>
      </c>
      <c r="D5850" s="21" t="str">
        <f>HYPERLINK("https://otsuka-europe-crm.veevavault.com/ui/#object/approved_document__v/V5OZ06G6O6RFL1P", "ES Veeva Privacy Notice Email")</f>
        <v>ES Veeva Privacy Notice Email</v>
      </c>
      <c r="E5850" s="22" t="str">
        <f>HYPERLINK("https://otsuka-europe-crm.veevavault.com/ui/#object/sent_email__v/VBL000000039036", "SE-001444408")</f>
        <v>SE-001444408</v>
      </c>
      <c r="F5850" s="25">
        <v>46226.632951388892</v>
      </c>
      <c r="G5850" s="24">
        <v>1</v>
      </c>
      <c r="H5850" s="24">
        <v>1</v>
      </c>
      <c r="I5850" s="24">
        <v>0</v>
      </c>
      <c r="J5850" s="23"/>
      <c r="K5850" s="24">
        <v>0</v>
      </c>
      <c r="L5850" s="22" t="str">
        <f>HYPERLINK("https://otsuka-europe-crm.veevavault.com/ui/#object/approved_document__v/V5OZ06G6O6RFL1P", "ES Veeva Privacy Notice Email")</f>
        <v>ES Veeva Privacy Notice Email</v>
      </c>
      <c r="M5850" s="22" t="str">
        <f>HYPERLINK("mailto:jcastro@crm.otsuka-europe.com", "jcastro@crm.otsuka-europe.com")</f>
        <v>jcastro@crm.otsuka-europe.com</v>
      </c>
      <c r="N5850" s="25">
        <v>46226.299189814818</v>
      </c>
      <c r="O5850" s="14" t="str">
        <f>HYPERLINK("https://otsuka-europe-crm.veevavault.com/ui/#object/email_activity__v/V8C00000004B457", "EN-002107565")</f>
        <v>EN-002107565</v>
      </c>
    </row>
    <row r="5851" spans="1:15" ht="16" x14ac:dyDescent="0.2">
      <c r="A5851" s="19"/>
      <c r="B5851" s="19"/>
      <c r="C5851" s="19"/>
      <c r="D5851" s="19"/>
      <c r="E5851" s="19"/>
      <c r="F5851" s="19"/>
      <c r="G5851" s="19"/>
      <c r="H5851" s="19"/>
      <c r="I5851" s="19"/>
      <c r="J5851" s="19"/>
      <c r="K5851" s="19"/>
      <c r="L5851" s="19"/>
      <c r="M5851" s="19"/>
      <c r="N5851" s="19"/>
      <c r="O5851" s="14" t="str">
        <f>HYPERLINK("https://otsuka-europe-crm.veevavault.com/ui/#object/email_activity__v/V8C00000004B753", "EN-002107970")</f>
        <v>EN-002107970</v>
      </c>
    </row>
    <row r="5852" spans="1:15" ht="16" x14ac:dyDescent="0.2">
      <c r="A5852" s="18" t="str">
        <f>HYPERLINK("https://otsuka-europe-crm.veevavault.com/ui/#object/account__v/V4TZ025E87BV6HU", "PAULA MEDINA GIMENO")</f>
        <v>PAULA MEDINA GIMENO</v>
      </c>
      <c r="B5852" s="18" t="str">
        <f>HYPERLINK("https://otsuka-europe-crm.veevavault.com/ui/#object/vcountry__v/VENZ000004SONF5", "ES")</f>
        <v>ES</v>
      </c>
      <c r="C5852" s="20" t="s">
        <v>39</v>
      </c>
      <c r="D5852" s="21" t="str">
        <f>HYPERLINK("https://otsuka-europe-crm.veevavault.com/ui/#object/approved_document__v/V5OZ04ASG4FWKA9", "Documento Autorizaciขn Centro Empleador")</f>
        <v>Documento Autorizaciขn Centro Empleador</v>
      </c>
      <c r="E5852" s="22" t="str">
        <f>HYPERLINK("https://otsuka-europe-crm.veevavault.com/ui/#object/sent_email__v/VBL00000003A135", "SE-001444409")</f>
        <v>SE-001444409</v>
      </c>
      <c r="F5852" s="25">
        <v>46226.299884259257</v>
      </c>
      <c r="G5852" s="24">
        <v>1</v>
      </c>
      <c r="H5852" s="24">
        <v>1</v>
      </c>
      <c r="I5852" s="24">
        <v>1</v>
      </c>
      <c r="J5852" s="25">
        <v>46226.299884259257</v>
      </c>
      <c r="K5852" s="24">
        <v>1</v>
      </c>
      <c r="L5852" s="22" t="str">
        <f>HYPERLINK("https://otsuka-europe-crm.veevavault.com/ui/#object/approved_document__v/V5OZ04ASG4FWKA9", "Documento Autorizaciขn Centro Empleador")</f>
        <v>Documento Autorizaciขn Centro Empleador</v>
      </c>
      <c r="M5852" s="22" t="str">
        <f>HYPERLINK("mailto:jcastro@crm.otsuka-europe.com", "jcastro@crm.otsuka-europe.com")</f>
        <v>jcastro@crm.otsuka-europe.com</v>
      </c>
      <c r="N5852" s="25">
        <v>46226.299155092594</v>
      </c>
      <c r="O5852" s="14" t="str">
        <f>HYPERLINK("https://otsuka-europe-crm.veevavault.com/ui/#object/email_activity__v/V8C00000004C234", "EN-002107306")</f>
        <v>EN-002107306</v>
      </c>
    </row>
    <row r="5853" spans="1:15" ht="16" x14ac:dyDescent="0.2">
      <c r="A5853" s="26"/>
      <c r="B5853" s="26"/>
      <c r="C5853" s="26"/>
      <c r="D5853" s="26"/>
      <c r="E5853" s="26"/>
      <c r="F5853" s="26"/>
      <c r="G5853" s="26"/>
      <c r="H5853" s="26"/>
      <c r="I5853" s="26"/>
      <c r="J5853" s="26"/>
      <c r="K5853" s="26"/>
      <c r="L5853" s="26"/>
      <c r="M5853" s="26"/>
      <c r="N5853" s="26"/>
      <c r="O5853" s="14" t="str">
        <f>HYPERLINK("https://otsuka-europe-crm.veevavault.com/ui/#object/email_activity__v/V8C00000004C332", "EN-002107498")</f>
        <v>EN-002107498</v>
      </c>
    </row>
    <row r="5854" spans="1:15" ht="16" x14ac:dyDescent="0.2">
      <c r="A5854" s="19"/>
      <c r="B5854" s="19"/>
      <c r="C5854" s="19"/>
      <c r="D5854" s="19"/>
      <c r="E5854" s="19"/>
      <c r="F5854" s="19"/>
      <c r="G5854" s="19"/>
      <c r="H5854" s="19"/>
      <c r="I5854" s="19"/>
      <c r="J5854" s="19"/>
      <c r="K5854" s="19"/>
      <c r="L5854" s="19"/>
      <c r="M5854" s="19"/>
      <c r="N5854" s="19"/>
      <c r="O5854" s="14" t="str">
        <f>HYPERLINK("https://otsuka-europe-crm.veevavault.com/ui/#object/email_activity__v/V8C00000004C334", "EN-002107470")</f>
        <v>EN-002107470</v>
      </c>
    </row>
    <row r="5855" spans="1:15" ht="16" x14ac:dyDescent="0.2">
      <c r="A5855" s="18" t="str">
        <f>HYPERLINK("https://otsuka-europe-crm.veevavault.com/ui/#object/account__v/V4TZ06G6O71SABQ", "LUCA DE NICOLA")</f>
        <v>LUCA DE NICOLA</v>
      </c>
      <c r="B5855" s="18" t="str">
        <f>HYPERLINK("https://otsuka-europe-crm.veevavault.com/ui/#object/vcountry__v/VENZ000004SONFQ", "IT")</f>
        <v>IT</v>
      </c>
      <c r="C5855" s="20" t="s">
        <v>42</v>
      </c>
      <c r="D5855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855" s="22" t="str">
        <f>HYPERLINK("https://otsuka-europe-crm.veevavault.com/ui/#object/sent_email__v/VBL000000039037", "SE-001444410")</f>
        <v>SE-001444410</v>
      </c>
      <c r="F5855" s="25">
        <v>46226.314745370371</v>
      </c>
      <c r="G5855" s="24">
        <v>1</v>
      </c>
      <c r="H5855" s="24">
        <v>2</v>
      </c>
      <c r="I5855" s="24">
        <v>0</v>
      </c>
      <c r="J5855" s="23"/>
      <c r="K5855" s="24">
        <v>0</v>
      </c>
      <c r="L5855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855" s="22" t="str">
        <f>HYPERLINK("mailto:linda.ottavo@crm.otsuka-europe.com", "linda.ottavo@crm.otsuka-europe.com")</f>
        <v>linda.ottavo@crm.otsuka-europe.com</v>
      </c>
      <c r="N5855" s="25">
        <v>46226.299201388887</v>
      </c>
      <c r="O5855" s="14" t="str">
        <f>HYPERLINK("https://otsuka-europe-crm.veevavault.com/ui/#object/email_activity__v/V8C00000004B439", "EN-002107501")</f>
        <v>EN-002107501</v>
      </c>
    </row>
    <row r="5856" spans="1:15" ht="16" x14ac:dyDescent="0.2">
      <c r="A5856" s="26"/>
      <c r="B5856" s="26"/>
      <c r="C5856" s="26"/>
      <c r="D5856" s="26"/>
      <c r="E5856" s="26"/>
      <c r="F5856" s="26"/>
      <c r="G5856" s="26"/>
      <c r="H5856" s="26"/>
      <c r="I5856" s="26"/>
      <c r="J5856" s="26"/>
      <c r="K5856" s="26"/>
      <c r="L5856" s="26"/>
      <c r="M5856" s="26"/>
      <c r="N5856" s="26"/>
      <c r="O5856" s="14" t="str">
        <f>HYPERLINK("https://otsuka-europe-crm.veevavault.com/ui/#object/email_activity__v/V8C00000004B476", "EN-002107587")</f>
        <v>EN-002107587</v>
      </c>
    </row>
    <row r="5857" spans="1:15" ht="16" x14ac:dyDescent="0.2">
      <c r="A5857" s="26"/>
      <c r="B5857" s="26"/>
      <c r="C5857" s="26"/>
      <c r="D5857" s="26"/>
      <c r="E5857" s="26"/>
      <c r="F5857" s="26"/>
      <c r="G5857" s="26"/>
      <c r="H5857" s="26"/>
      <c r="I5857" s="26"/>
      <c r="J5857" s="26"/>
      <c r="K5857" s="26"/>
      <c r="L5857" s="26"/>
      <c r="M5857" s="26"/>
      <c r="N5857" s="26"/>
      <c r="O5857" s="14" t="str">
        <f>HYPERLINK("https://otsuka-europe-crm.veevavault.com/ui/#object/email_activity__v/V8C00000004B856", "EN-002108167")</f>
        <v>EN-002108167</v>
      </c>
    </row>
    <row r="5858" spans="1:15" ht="16" x14ac:dyDescent="0.2">
      <c r="A5858" s="19"/>
      <c r="B5858" s="19"/>
      <c r="C5858" s="19"/>
      <c r="D5858" s="19"/>
      <c r="E5858" s="19"/>
      <c r="F5858" s="19"/>
      <c r="G5858" s="19"/>
      <c r="H5858" s="19"/>
      <c r="I5858" s="19"/>
      <c r="J5858" s="19"/>
      <c r="K5858" s="19"/>
      <c r="L5858" s="19"/>
      <c r="M5858" s="19"/>
      <c r="N5858" s="19"/>
      <c r="O5858" s="14" t="str">
        <f>HYPERLINK("https://otsuka-europe-crm.veevavault.com/ui/#object/email_activity__v/V8C00000004C469", "EN-002107936")</f>
        <v>EN-002107936</v>
      </c>
    </row>
    <row r="5859" spans="1:15" ht="16" x14ac:dyDescent="0.2">
      <c r="A5859" s="18" t="str">
        <f>HYPERLINK("https://otsuka-europe-crm.veevavault.com/ui/#object/account__v/V4T00000002E014", "SANDRA CASTAÑO DIEZ")</f>
        <v>SANDRA CASTAÑO DIEZ</v>
      </c>
      <c r="B5859" s="18" t="str">
        <f>HYPERLINK("https://otsuka-europe-crm.veevavault.com/ui/#object/vcountry__v/VENZ000004SONF5", "ES")</f>
        <v>ES</v>
      </c>
      <c r="C5859" s="20" t="s">
        <v>39</v>
      </c>
      <c r="D5859" s="21" t="str">
        <f>HYPERLINK("https://otsuka-europe-crm.veevavault.com/ui/#object/approved_document__v/V5O00000000D100", "Spain - Consent Email 1 Aug 25")</f>
        <v>Spain - Consent Email 1 Aug 25</v>
      </c>
      <c r="E5859" s="22" t="str">
        <f>HYPERLINK("https://otsuka-europe-crm.veevavault.com/ui/#object/sent_email__v/VBL000000039038", "SE-001444411")</f>
        <v>SE-001444411</v>
      </c>
      <c r="F5859" s="25">
        <v>46226.348946759259</v>
      </c>
      <c r="G5859" s="24">
        <v>1</v>
      </c>
      <c r="H5859" s="24">
        <v>1</v>
      </c>
      <c r="I5859" s="24">
        <v>1</v>
      </c>
      <c r="J5859" s="25">
        <v>46226.348946759259</v>
      </c>
      <c r="K5859" s="24">
        <v>1</v>
      </c>
      <c r="L5859" s="22" t="str">
        <f>HYPERLINK("https://otsuka-europe-crm.veevavault.com/ui/#object/approved_document__v/V5O00000000D100", "Spain - Consent Email 1 Aug 25")</f>
        <v>Spain - Consent Email 1 Aug 25</v>
      </c>
      <c r="M5859" s="22" t="str">
        <f>HYPERLINK("mailto:ccoll@crm.otsuka-europe.com", "ccoll@crm.otsuka-europe.com")</f>
        <v>ccoll@crm.otsuka-europe.com</v>
      </c>
      <c r="N5859" s="25">
        <v>46226.299120370371</v>
      </c>
      <c r="O5859" s="14" t="str">
        <f>HYPERLINK("https://otsuka-europe-crm.veevavault.com/ui/#object/email_activity__v/V8C00000004B893", "EN-002108206")</f>
        <v>EN-002108206</v>
      </c>
    </row>
    <row r="5860" spans="1:15" ht="16" x14ac:dyDescent="0.2">
      <c r="A5860" s="26"/>
      <c r="B5860" s="26"/>
      <c r="C5860" s="26"/>
      <c r="D5860" s="26"/>
      <c r="E5860" s="26"/>
      <c r="F5860" s="26"/>
      <c r="G5860" s="26"/>
      <c r="H5860" s="26"/>
      <c r="I5860" s="26"/>
      <c r="J5860" s="26"/>
      <c r="K5860" s="26"/>
      <c r="L5860" s="26"/>
      <c r="M5860" s="26"/>
      <c r="N5860" s="26"/>
      <c r="O5860" s="14" t="str">
        <f>HYPERLINK("https://otsuka-europe-crm.veevavault.com/ui/#object/email_activity__v/V8C00000004B895", "EN-002108203")</f>
        <v>EN-002108203</v>
      </c>
    </row>
    <row r="5861" spans="1:15" ht="16" x14ac:dyDescent="0.2">
      <c r="A5861" s="19"/>
      <c r="B5861" s="19"/>
      <c r="C5861" s="19"/>
      <c r="D5861" s="19"/>
      <c r="E5861" s="19"/>
      <c r="F5861" s="19"/>
      <c r="G5861" s="19"/>
      <c r="H5861" s="19"/>
      <c r="I5861" s="19"/>
      <c r="J5861" s="19"/>
      <c r="K5861" s="19"/>
      <c r="L5861" s="19"/>
      <c r="M5861" s="19"/>
      <c r="N5861" s="19"/>
      <c r="O5861" s="14" t="str">
        <f>HYPERLINK("https://otsuka-europe-crm.veevavault.com/ui/#object/email_activity__v/V8C00000004C306", "EN-002107472")</f>
        <v>EN-002107472</v>
      </c>
    </row>
    <row r="5862" spans="1:15" ht="16" x14ac:dyDescent="0.2">
      <c r="A5862" s="18" t="str">
        <f>HYPERLINK("https://otsuka-europe-crm.veevavault.com/ui/#object/account__v/V4T00000002E014", "SANDRA CASTAÑO DIEZ")</f>
        <v>SANDRA CASTAÑO DIEZ</v>
      </c>
      <c r="B5862" s="18" t="str">
        <f>HYPERLINK("https://otsuka-europe-crm.veevavault.com/ui/#object/vcountry__v/VENZ000004SONF5", "ES")</f>
        <v>ES</v>
      </c>
      <c r="C5862" s="20" t="s">
        <v>39</v>
      </c>
      <c r="D5862" s="21" t="str">
        <f>HYPERLINK("https://otsuka-europe-crm.veevavault.com/ui/#object/approved_document__v/V5OZ04ASG4FWKA7", "Reuniones Online Consent - 2")</f>
        <v>Reuniones Online Consent - 2</v>
      </c>
      <c r="E5862" s="22" t="str">
        <f>HYPERLINK("https://otsuka-europe-crm.veevavault.com/ui/#object/sent_email__v/VBL000000039039", "SE-001444412")</f>
        <v>SE-001444412</v>
      </c>
      <c r="F5862" s="25">
        <v>46226.348715277774</v>
      </c>
      <c r="G5862" s="24">
        <v>1</v>
      </c>
      <c r="H5862" s="24">
        <v>1</v>
      </c>
      <c r="I5862" s="24">
        <v>1</v>
      </c>
      <c r="J5862" s="25">
        <v>46226.348715277774</v>
      </c>
      <c r="K5862" s="24">
        <v>1</v>
      </c>
      <c r="L5862" s="22" t="str">
        <f>HYPERLINK("https://otsuka-europe-crm.veevavault.com/ui/#object/approved_document__v/V5OZ04ASG4FWKA7", "Reuniones Online Consent - 2")</f>
        <v>Reuniones Online Consent - 2</v>
      </c>
      <c r="M5862" s="22" t="str">
        <f>HYPERLINK("mailto:ccoll@crm.otsuka-europe.com", "ccoll@crm.otsuka-europe.com")</f>
        <v>ccoll@crm.otsuka-europe.com</v>
      </c>
      <c r="N5862" s="25">
        <v>46226.299131944441</v>
      </c>
      <c r="O5862" s="14" t="str">
        <f>HYPERLINK("https://otsuka-europe-crm.veevavault.com/ui/#object/email_activity__v/V8C00000004B477", "EN-002107588")</f>
        <v>EN-002107588</v>
      </c>
    </row>
    <row r="5863" spans="1:15" ht="16" x14ac:dyDescent="0.2">
      <c r="A5863" s="26"/>
      <c r="B5863" s="26"/>
      <c r="C5863" s="26"/>
      <c r="D5863" s="26"/>
      <c r="E5863" s="26"/>
      <c r="F5863" s="26"/>
      <c r="G5863" s="26"/>
      <c r="H5863" s="26"/>
      <c r="I5863" s="26"/>
      <c r="J5863" s="26"/>
      <c r="K5863" s="26"/>
      <c r="L5863" s="26"/>
      <c r="M5863" s="26"/>
      <c r="N5863" s="26"/>
      <c r="O5863" s="14" t="str">
        <f>HYPERLINK("https://otsuka-europe-crm.veevavault.com/ui/#object/email_activity__v/V8C00000004B892", "EN-002108205")</f>
        <v>EN-002108205</v>
      </c>
    </row>
    <row r="5864" spans="1:15" ht="16" x14ac:dyDescent="0.2">
      <c r="A5864" s="26"/>
      <c r="B5864" s="26"/>
      <c r="C5864" s="26"/>
      <c r="D5864" s="26"/>
      <c r="E5864" s="26"/>
      <c r="F5864" s="26"/>
      <c r="G5864" s="26"/>
      <c r="H5864" s="26"/>
      <c r="I5864" s="26"/>
      <c r="J5864" s="26"/>
      <c r="K5864" s="26"/>
      <c r="L5864" s="26"/>
      <c r="M5864" s="26"/>
      <c r="N5864" s="26"/>
      <c r="O5864" s="14" t="str">
        <f>HYPERLINK("https://otsuka-europe-crm.veevavault.com/ui/#object/email_activity__v/V8C00000004B896", "EN-002108204")</f>
        <v>EN-002108204</v>
      </c>
    </row>
    <row r="5865" spans="1:15" ht="16" x14ac:dyDescent="0.2">
      <c r="A5865" s="19"/>
      <c r="B5865" s="19"/>
      <c r="C5865" s="19"/>
      <c r="D5865" s="19"/>
      <c r="E5865" s="19"/>
      <c r="F5865" s="19"/>
      <c r="G5865" s="19"/>
      <c r="H5865" s="19"/>
      <c r="I5865" s="19"/>
      <c r="J5865" s="19"/>
      <c r="K5865" s="19"/>
      <c r="L5865" s="19"/>
      <c r="M5865" s="19"/>
      <c r="N5865" s="19"/>
      <c r="O5865" s="14" t="str">
        <f>HYPERLINK("https://otsuka-europe-crm.veevavault.com/ui/#object/email_activity__v/V8C00000004C544", "EN-002108054")</f>
        <v>EN-002108054</v>
      </c>
    </row>
    <row r="5866" spans="1:15" ht="16" x14ac:dyDescent="0.2">
      <c r="A5866" s="18" t="str">
        <f>HYPERLINK("https://otsuka-europe-crm.veevavault.com/ui/#object/account__v/V4T00000002E014", "SANDRA CASTAÑO DIEZ")</f>
        <v>SANDRA CASTAÑO DIEZ</v>
      </c>
      <c r="B5866" s="18" t="str">
        <f>HYPERLINK("https://otsuka-europe-crm.veevavault.com/ui/#object/vcountry__v/VENZ000004SONF5", "ES")</f>
        <v>ES</v>
      </c>
      <c r="C5866" s="20" t="s">
        <v>39</v>
      </c>
      <c r="D5866" s="21" t="str">
        <f>HYPERLINK("https://otsuka-europe-crm.veevavault.com/ui/#object/approved_document__v/V5OZ04ASG4FWKA9", "Documento Autorizaciขn Centro Empleador")</f>
        <v>Documento Autorizaciขn Centro Empleador</v>
      </c>
      <c r="E5866" s="22" t="str">
        <f>HYPERLINK("https://otsuka-europe-crm.veevavault.com/ui/#object/sent_email__v/VBL00000003A136", "SE-001444413")</f>
        <v>SE-001444413</v>
      </c>
      <c r="F5866" s="25">
        <v>46226.349097222221</v>
      </c>
      <c r="G5866" s="24">
        <v>1</v>
      </c>
      <c r="H5866" s="24">
        <v>1</v>
      </c>
      <c r="I5866" s="24">
        <v>1</v>
      </c>
      <c r="J5866" s="25">
        <v>46226.349097222221</v>
      </c>
      <c r="K5866" s="24">
        <v>1</v>
      </c>
      <c r="L5866" s="22" t="str">
        <f>HYPERLINK("https://otsuka-europe-crm.veevavault.com/ui/#object/approved_document__v/V5OZ04ASG4FWKA9", "Documento Autorizaciขn Centro Empleador")</f>
        <v>Documento Autorizaciขn Centro Empleador</v>
      </c>
      <c r="M5866" s="22" t="str">
        <f>HYPERLINK("mailto:ccoll@crm.otsuka-europe.com", "ccoll@crm.otsuka-europe.com")</f>
        <v>ccoll@crm.otsuka-europe.com</v>
      </c>
      <c r="N5866" s="25">
        <v>46226.299143518518</v>
      </c>
      <c r="O5866" s="14" t="str">
        <f>HYPERLINK("https://otsuka-europe-crm.veevavault.com/ui/#object/email_activity__v/V8C00000004B836", "EN-002108145")</f>
        <v>EN-002108145</v>
      </c>
    </row>
    <row r="5867" spans="1:15" ht="16" x14ac:dyDescent="0.2">
      <c r="A5867" s="26"/>
      <c r="B5867" s="26"/>
      <c r="C5867" s="26"/>
      <c r="D5867" s="26"/>
      <c r="E5867" s="26"/>
      <c r="F5867" s="26"/>
      <c r="G5867" s="26"/>
      <c r="H5867" s="26"/>
      <c r="I5867" s="26"/>
      <c r="J5867" s="26"/>
      <c r="K5867" s="26"/>
      <c r="L5867" s="26"/>
      <c r="M5867" s="26"/>
      <c r="N5867" s="26"/>
      <c r="O5867" s="14" t="str">
        <f>HYPERLINK("https://otsuka-europe-crm.veevavault.com/ui/#object/email_activity__v/V8C00000004B839", "EN-002108144")</f>
        <v>EN-002108144</v>
      </c>
    </row>
    <row r="5868" spans="1:15" ht="16" x14ac:dyDescent="0.2">
      <c r="A5868" s="19"/>
      <c r="B5868" s="19"/>
      <c r="C5868" s="19"/>
      <c r="D5868" s="19"/>
      <c r="E5868" s="19"/>
      <c r="F5868" s="19"/>
      <c r="G5868" s="19"/>
      <c r="H5868" s="19"/>
      <c r="I5868" s="19"/>
      <c r="J5868" s="19"/>
      <c r="K5868" s="19"/>
      <c r="L5868" s="19"/>
      <c r="M5868" s="19"/>
      <c r="N5868" s="19"/>
      <c r="O5868" s="14" t="str">
        <f>HYPERLINK("https://otsuka-europe-crm.veevavault.com/ui/#object/email_activity__v/V8C00000004C258", "EN-002107330")</f>
        <v>EN-002107330</v>
      </c>
    </row>
    <row r="5869" spans="1:15" ht="16" x14ac:dyDescent="0.2">
      <c r="A5869" s="18" t="str">
        <f>HYPERLINK("https://otsuka-europe-crm.veevavault.com/ui/#object/account__v/V4T00000001X050", "GIULIA MARIA GENNARO")</f>
        <v>GIULIA MARIA GENNARO</v>
      </c>
      <c r="B5869" s="18" t="str">
        <f>HYPERLINK("https://otsuka-europe-crm.veevavault.com/ui/#object/vcountry__v/VENZ000004SONFQ", "IT")</f>
        <v>IT</v>
      </c>
      <c r="C5869" s="20" t="s">
        <v>42</v>
      </c>
      <c r="D5869" s="21" t="str">
        <f>HYPERLINK("https://otsuka-europe-crm.veevavault.com/ui/#object/approved_document__v/V5OZ025E82UFNWM", "ABILIFY 960720_Branded_AE Fagiolini_IT-AM2-2500131")</f>
        <v>ABILIFY 960720_Branded_AE Fagiolini_IT-AM2-2500131</v>
      </c>
      <c r="E5869" s="22" t="str">
        <f>HYPERLINK("https://otsuka-europe-crm.veevavault.com/ui/#object/sent_email__v/VBL000000039043", "SE-001444417")</f>
        <v>SE-001444417</v>
      </c>
      <c r="F5869" s="25">
        <v>46226.299733796295</v>
      </c>
      <c r="G5869" s="24">
        <v>1</v>
      </c>
      <c r="H5869" s="24">
        <v>3</v>
      </c>
      <c r="I5869" s="24">
        <v>0</v>
      </c>
      <c r="J5869" s="23"/>
      <c r="K5869" s="24">
        <v>0</v>
      </c>
      <c r="L5869" s="22" t="str">
        <f>HYPERLINK("https://otsuka-europe-crm.veevavault.com/ui/#object/approved_document__v/V5OZ025E82UFNWM", "ABILIFY 960720_Branded_AE Fagiolini_IT-AM2-2500131")</f>
        <v>ABILIFY 960720_Branded_AE Fagiolini_IT-AM2-2500131</v>
      </c>
      <c r="M5869" s="22" t="str">
        <f>HYPERLINK("mailto:laura.mallia@crm.otsuka-europe.com", "laura.mallia@crm.otsuka-europe.com")</f>
        <v>laura.mallia@crm.otsuka-europe.com</v>
      </c>
      <c r="N5869" s="25">
        <v>46226.299189814818</v>
      </c>
      <c r="O5869" s="14" t="str">
        <f>HYPERLINK("https://otsuka-europe-crm.veevavault.com/ui/#object/email_activity__v/V8C00000004B411", "EN-002107425")</f>
        <v>EN-002107425</v>
      </c>
    </row>
    <row r="5870" spans="1:15" ht="16" x14ac:dyDescent="0.2">
      <c r="A5870" s="26"/>
      <c r="B5870" s="26"/>
      <c r="C5870" s="26"/>
      <c r="D5870" s="26"/>
      <c r="E5870" s="26"/>
      <c r="F5870" s="26"/>
      <c r="G5870" s="26"/>
      <c r="H5870" s="26"/>
      <c r="I5870" s="26"/>
      <c r="J5870" s="26"/>
      <c r="K5870" s="26"/>
      <c r="L5870" s="26"/>
      <c r="M5870" s="26"/>
      <c r="N5870" s="26"/>
      <c r="O5870" s="14" t="str">
        <f>HYPERLINK("https://otsuka-europe-crm.veevavault.com/ui/#object/email_activity__v/V8C00000004B886", "EN-002108197")</f>
        <v>EN-002108197</v>
      </c>
    </row>
    <row r="5871" spans="1:15" ht="16" x14ac:dyDescent="0.2">
      <c r="A5871" s="26"/>
      <c r="B5871" s="26"/>
      <c r="C5871" s="26"/>
      <c r="D5871" s="26"/>
      <c r="E5871" s="26"/>
      <c r="F5871" s="26"/>
      <c r="G5871" s="26"/>
      <c r="H5871" s="26"/>
      <c r="I5871" s="26"/>
      <c r="J5871" s="26"/>
      <c r="K5871" s="26"/>
      <c r="L5871" s="26"/>
      <c r="M5871" s="26"/>
      <c r="N5871" s="26"/>
      <c r="O5871" s="14" t="str">
        <f>HYPERLINK("https://otsuka-europe-crm.veevavault.com/ui/#object/email_activity__v/V8C00000004B887", "EN-002108198")</f>
        <v>EN-002108198</v>
      </c>
    </row>
    <row r="5872" spans="1:15" ht="16" x14ac:dyDescent="0.2">
      <c r="A5872" s="19"/>
      <c r="B5872" s="19"/>
      <c r="C5872" s="19"/>
      <c r="D5872" s="19"/>
      <c r="E5872" s="19"/>
      <c r="F5872" s="19"/>
      <c r="G5872" s="19"/>
      <c r="H5872" s="19"/>
      <c r="I5872" s="19"/>
      <c r="J5872" s="19"/>
      <c r="K5872" s="19"/>
      <c r="L5872" s="19"/>
      <c r="M5872" s="19"/>
      <c r="N5872" s="19"/>
      <c r="O5872" s="14" t="str">
        <f>HYPERLINK("https://otsuka-europe-crm.veevavault.com/ui/#object/email_activity__v/V8C00000004C313", "EN-002107479")</f>
        <v>EN-002107479</v>
      </c>
    </row>
    <row r="5873" spans="1:15" ht="16" x14ac:dyDescent="0.2">
      <c r="A5873" s="18" t="str">
        <f>HYPERLINK("https://otsuka-europe-crm.veevavault.com/ui/#object/account__v/V4T00000001X050", "GIULIA MARIA GENNARO")</f>
        <v>GIULIA MARIA GENNARO</v>
      </c>
      <c r="B5873" s="18" t="str">
        <f>HYPERLINK("https://otsuka-europe-crm.veevavault.com/ui/#object/vcountry__v/VENZ000004SONFQ", "IT")</f>
        <v>IT</v>
      </c>
      <c r="C5873" s="20" t="s">
        <v>42</v>
      </c>
      <c r="D5873" s="21" t="str">
        <f>HYPERLINK("https://otsuka-europe-crm.veevavault.com/ui/#object/approved_document__v/V5O000000018003", "AE dialoghi di tempo fiducia e cura episodi 2-3-4")</f>
        <v>AE dialoghi di tempo fiducia e cura episodi 2-3-4</v>
      </c>
      <c r="E5873" s="22" t="str">
        <f>HYPERLINK("https://otsuka-europe-crm.veevavault.com/ui/#object/sent_email__v/VBL000000039044", "SE-001444418")</f>
        <v>SE-001444418</v>
      </c>
      <c r="F5873" s="25">
        <v>46226.299664351849</v>
      </c>
      <c r="G5873" s="24">
        <v>1</v>
      </c>
      <c r="H5873" s="24">
        <v>2</v>
      </c>
      <c r="I5873" s="24">
        <v>0</v>
      </c>
      <c r="J5873" s="23"/>
      <c r="K5873" s="24">
        <v>0</v>
      </c>
      <c r="L5873" s="22" t="str">
        <f>HYPERLINK("https://otsuka-europe-crm.veevavault.com/ui/#object/approved_document__v/V5O000000018003", "AE dialoghi di tempo fiducia e cura episodi 2-3-4")</f>
        <v>AE dialoghi di tempo fiducia e cura episodi 2-3-4</v>
      </c>
      <c r="M5873" s="22" t="str">
        <f>HYPERLINK("mailto:laura.mallia@crm.otsuka-europe.com", "laura.mallia@crm.otsuka-europe.com")</f>
        <v>laura.mallia@crm.otsuka-europe.com</v>
      </c>
      <c r="N5873" s="25">
        <v>46226.299189814818</v>
      </c>
      <c r="O5873" s="14" t="str">
        <f>HYPERLINK("https://otsuka-europe-crm.veevavault.com/ui/#object/email_activity__v/V8C00000004B478", "EN-002107589")</f>
        <v>EN-002107589</v>
      </c>
    </row>
    <row r="5874" spans="1:15" ht="16" x14ac:dyDescent="0.2">
      <c r="A5874" s="26"/>
      <c r="B5874" s="26"/>
      <c r="C5874" s="26"/>
      <c r="D5874" s="26"/>
      <c r="E5874" s="26"/>
      <c r="F5874" s="26"/>
      <c r="G5874" s="26"/>
      <c r="H5874" s="26"/>
      <c r="I5874" s="26"/>
      <c r="J5874" s="26"/>
      <c r="K5874" s="26"/>
      <c r="L5874" s="26"/>
      <c r="M5874" s="26"/>
      <c r="N5874" s="26"/>
      <c r="O5874" s="14" t="str">
        <f>HYPERLINK("https://otsuka-europe-crm.veevavault.com/ui/#object/email_activity__v/V8C00000004B708", "EN-002107840")</f>
        <v>EN-002107840</v>
      </c>
    </row>
    <row r="5875" spans="1:15" ht="16" x14ac:dyDescent="0.2">
      <c r="A5875" s="26"/>
      <c r="B5875" s="26"/>
      <c r="C5875" s="26"/>
      <c r="D5875" s="26"/>
      <c r="E5875" s="26"/>
      <c r="F5875" s="26"/>
      <c r="G5875" s="26"/>
      <c r="H5875" s="26"/>
      <c r="I5875" s="26"/>
      <c r="J5875" s="26"/>
      <c r="K5875" s="26"/>
      <c r="L5875" s="26"/>
      <c r="M5875" s="26"/>
      <c r="N5875" s="26"/>
      <c r="O5875" s="14" t="str">
        <f>HYPERLINK("https://otsuka-europe-crm.veevavault.com/ui/#object/email_activity__v/V8C00000004C269", "EN-002107341")</f>
        <v>EN-002107341</v>
      </c>
    </row>
    <row r="5876" spans="1:15" ht="16" x14ac:dyDescent="0.2">
      <c r="A5876" s="19"/>
      <c r="B5876" s="19"/>
      <c r="C5876" s="19"/>
      <c r="D5876" s="19"/>
      <c r="E5876" s="19"/>
      <c r="F5876" s="19"/>
      <c r="G5876" s="19"/>
      <c r="H5876" s="19"/>
      <c r="I5876" s="19"/>
      <c r="J5876" s="19"/>
      <c r="K5876" s="19"/>
      <c r="L5876" s="19"/>
      <c r="M5876" s="19"/>
      <c r="N5876" s="19"/>
      <c r="O5876" s="14" t="str">
        <f>HYPERLINK("https://otsuka-europe-crm.veevavault.com/ui/#object/email_activity__v/V8C00000004C514", "EN-002108012")</f>
        <v>EN-002108012</v>
      </c>
    </row>
    <row r="5877" spans="1:15" ht="16" x14ac:dyDescent="0.2">
      <c r="A5877" s="18" t="str">
        <f>HYPERLINK("https://otsuka-europe-crm.veevavault.com/ui/#object/account__v/V4T00000002B020", "LUCIA PININ BRAÑA")</f>
        <v>LUCIA PININ BRAÑA</v>
      </c>
      <c r="B5877" s="18" t="str">
        <f>HYPERLINK("https://otsuka-europe-crm.veevavault.com/ui/#object/vcountry__v/VENZ000004SONF5", "ES")</f>
        <v>ES</v>
      </c>
      <c r="C5877" s="20" t="s">
        <v>39</v>
      </c>
      <c r="D5877" s="21" t="str">
        <f>HYPERLINK("https://otsuka-europe-crm.veevavault.com/ui/#object/approved_document__v/V5OZ06G6O6RFL1P", "ES Veeva Privacy Notice Email")</f>
        <v>ES Veeva Privacy Notice Email</v>
      </c>
      <c r="E5877" s="22" t="str">
        <f>HYPERLINK("https://otsuka-europe-crm.veevavault.com/ui/#object/sent_email__v/VBL00000003A137", "SE-001444419")</f>
        <v>SE-001444419</v>
      </c>
      <c r="F5877" s="23"/>
      <c r="G5877" s="24">
        <v>0</v>
      </c>
      <c r="H5877" s="24">
        <v>0</v>
      </c>
      <c r="I5877" s="24">
        <v>0</v>
      </c>
      <c r="J5877" s="23"/>
      <c r="K5877" s="24">
        <v>0</v>
      </c>
      <c r="L5877" s="22" t="str">
        <f>HYPERLINK("https://otsuka-europe-crm.veevavault.com/ui/#object/approved_document__v/V5OZ06G6O6RFL1P", "ES Veeva Privacy Notice Email")</f>
        <v>ES Veeva Privacy Notice Email</v>
      </c>
      <c r="M5877" s="22" t="str">
        <f>HYPERLINK("mailto:jcastro@crm.otsuka-europe.com", "jcastro@crm.otsuka-europe.com")</f>
        <v>jcastro@crm.otsuka-europe.com</v>
      </c>
      <c r="N5877" s="25">
        <v>46226.299178240741</v>
      </c>
      <c r="O5877" s="14" t="str">
        <f>HYPERLINK("https://otsuka-europe-crm.veevavault.com/ui/#object/email_activity__v/V8C00000004B329", "EN-002107289")</f>
        <v>EN-002107289</v>
      </c>
    </row>
    <row r="5878" spans="1:15" ht="16" x14ac:dyDescent="0.2">
      <c r="A5878" s="26"/>
      <c r="B5878" s="26"/>
      <c r="C5878" s="26"/>
      <c r="D5878" s="26"/>
      <c r="E5878" s="26"/>
      <c r="F5878" s="26"/>
      <c r="G5878" s="26"/>
      <c r="H5878" s="26"/>
      <c r="I5878" s="26"/>
      <c r="J5878" s="26"/>
      <c r="K5878" s="26"/>
      <c r="L5878" s="26"/>
      <c r="M5878" s="26"/>
      <c r="N5878" s="26"/>
      <c r="O5878" s="14" t="str">
        <f>HYPERLINK("https://otsuka-europe-crm.veevavault.com/ui/#object/email_activity__v/V8C00000004B899", "EN-002108214")</f>
        <v>EN-002108214</v>
      </c>
    </row>
    <row r="5879" spans="1:15" ht="16" x14ac:dyDescent="0.2">
      <c r="A5879" s="19"/>
      <c r="B5879" s="19"/>
      <c r="C5879" s="19"/>
      <c r="D5879" s="19"/>
      <c r="E5879" s="19"/>
      <c r="F5879" s="19"/>
      <c r="G5879" s="19"/>
      <c r="H5879" s="19"/>
      <c r="I5879" s="19"/>
      <c r="J5879" s="19"/>
      <c r="K5879" s="19"/>
      <c r="L5879" s="19"/>
      <c r="M5879" s="19"/>
      <c r="N5879" s="19"/>
      <c r="O5879" s="14" t="str">
        <f>HYPERLINK("https://otsuka-europe-crm.veevavault.com/ui/#object/email_activity__v/V8C00000004C493", "EN-002107973")</f>
        <v>EN-002107973</v>
      </c>
    </row>
    <row r="5880" spans="1:15" ht="32" x14ac:dyDescent="0.2">
      <c r="A5880" s="7" t="str">
        <f>HYPERLINK("https://otsuka-europe-crm.veevavault.com/ui/#object/account__v/V4TZ025E83K1VAF", "ANNALISA MARINO")</f>
        <v>ANNALISA MARINO</v>
      </c>
      <c r="B5880" s="7" t="str">
        <f>HYPERLINK("https://otsuka-europe-crm.veevavault.com/ui/#object/vcountry__v/VENZ000004SONFQ", "IT")</f>
        <v>IT</v>
      </c>
      <c r="C5880" s="8" t="s">
        <v>42</v>
      </c>
      <c r="D5880" s="9" t="str">
        <f>HYPERLINK("https://otsuka-europe-crm.veevavault.com/ui/#object/approved_document__v/V5O00000001B003", "Lupkynis_Proteinuria_IT-LUP-2600004 V1.0 -Reuma")</f>
        <v>Lupkynis_Proteinuria_IT-LUP-2600004 V1.0 -Reuma</v>
      </c>
      <c r="E5880" s="10" t="str">
        <f>HYPERLINK("https://otsuka-europe-crm.veevavault.com/ui/#object/sent_email__v/VBL000000039045", "SE-001444420")</f>
        <v>SE-001444420</v>
      </c>
      <c r="F5880" s="11"/>
      <c r="G5880" s="12">
        <v>0</v>
      </c>
      <c r="H5880" s="12">
        <v>0</v>
      </c>
      <c r="I5880" s="12">
        <v>0</v>
      </c>
      <c r="J5880" s="11"/>
      <c r="K5880" s="12">
        <v>0</v>
      </c>
      <c r="L5880" s="10" t="str">
        <f>HYPERLINK("https://otsuka-europe-crm.veevavault.com/ui/#object/approved_document__v/V5O00000001B003", "Lupkynis_Proteinuria_IT-LUP-2600004 V1.0 -Reuma")</f>
        <v>Lupkynis_Proteinuria_IT-LUP-2600004 V1.0 -Reuma</v>
      </c>
      <c r="M5880" s="10" t="str">
        <f>HYPERLINK("mailto:linda.ottavo@crm.otsuka-europe.com", "linda.ottavo@crm.otsuka-europe.com")</f>
        <v>linda.ottavo@crm.otsuka-europe.com</v>
      </c>
      <c r="N5880" s="13">
        <v>46226.299201388887</v>
      </c>
      <c r="O5880" s="14" t="str">
        <f>HYPERLINK("https://otsuka-europe-crm.veevavault.com/ui/#object/email_activity__v/V8C00000004B424", "EN-002107437")</f>
        <v>EN-002107437</v>
      </c>
    </row>
    <row r="5881" spans="1:15" ht="16" x14ac:dyDescent="0.2">
      <c r="A5881" s="18" t="str">
        <f>HYPERLINK("https://otsuka-europe-crm.veevavault.com/ui/#object/account__v/V4TZ04ASGBC5XMK", "ROBERTO GIACOMELLI")</f>
        <v>ROBERTO GIACOMELLI</v>
      </c>
      <c r="B5881" s="18" t="str">
        <f>HYPERLINK("https://otsuka-europe-crm.veevavault.com/ui/#object/vcountry__v/VENZ000004SONFQ", "IT")</f>
        <v>IT</v>
      </c>
      <c r="C5881" s="20" t="s">
        <v>42</v>
      </c>
      <c r="D5881" s="21" t="str">
        <f>HYPERLINK("https://otsuka-europe-crm.veevavault.com/ui/#object/approved_document__v/V5O00000001B003", "Lupkynis_Proteinuria_IT-LUP-2600004 V1.0 -Reuma")</f>
        <v>Lupkynis_Proteinuria_IT-LUP-2600004 V1.0 -Reuma</v>
      </c>
      <c r="E5881" s="22" t="str">
        <f>HYPERLINK("https://otsuka-europe-crm.veevavault.com/ui/#object/sent_email__v/VBL00000003A138", "SE-001444421")</f>
        <v>SE-001444421</v>
      </c>
      <c r="F5881" s="23"/>
      <c r="G5881" s="24">
        <v>0</v>
      </c>
      <c r="H5881" s="24">
        <v>0</v>
      </c>
      <c r="I5881" s="24">
        <v>0</v>
      </c>
      <c r="J5881" s="23"/>
      <c r="K5881" s="24">
        <v>0</v>
      </c>
      <c r="L5881" s="22" t="str">
        <f>HYPERLINK("https://otsuka-europe-crm.veevavault.com/ui/#object/approved_document__v/V5O00000001B003", "Lupkynis_Proteinuria_IT-LUP-2600004 V1.0 -Reuma")</f>
        <v>Lupkynis_Proteinuria_IT-LUP-2600004 V1.0 -Reuma</v>
      </c>
      <c r="M5881" s="22" t="str">
        <f>HYPERLINK("mailto:linda.ottavo@crm.otsuka-europe.com", "linda.ottavo@crm.otsuka-europe.com")</f>
        <v>linda.ottavo@crm.otsuka-europe.com</v>
      </c>
      <c r="N5881" s="25">
        <v>46226.299178240741</v>
      </c>
      <c r="O5881" s="14" t="str">
        <f>HYPERLINK("https://otsuka-europe-crm.veevavault.com/ui/#object/email_activity__v/V8C00000004B559", "EN-002107670")</f>
        <v>EN-002107670</v>
      </c>
    </row>
    <row r="5882" spans="1:15" ht="16" x14ac:dyDescent="0.2">
      <c r="A5882" s="19"/>
      <c r="B5882" s="19"/>
      <c r="C5882" s="19"/>
      <c r="D5882" s="19"/>
      <c r="E5882" s="19"/>
      <c r="F5882" s="19"/>
      <c r="G5882" s="19"/>
      <c r="H5882" s="19"/>
      <c r="I5882" s="19"/>
      <c r="J5882" s="19"/>
      <c r="K5882" s="19"/>
      <c r="L5882" s="19"/>
      <c r="M5882" s="19"/>
      <c r="N5882" s="19"/>
      <c r="O5882" s="14" t="str">
        <f>HYPERLINK("https://otsuka-europe-crm.veevavault.com/ui/#object/email_activity__v/V8C00000004B809", "EN-002108117")</f>
        <v>EN-002108117</v>
      </c>
    </row>
    <row r="5883" spans="1:15" ht="16" x14ac:dyDescent="0.2">
      <c r="A5883" s="18" t="str">
        <f>HYPERLINK("https://otsuka-europe-crm.veevavault.com/ui/#object/account__v/V4T00000002B020", "LUCIA PININ BRAÑA")</f>
        <v>LUCIA PININ BRAÑA</v>
      </c>
      <c r="B5883" s="18" t="str">
        <f>HYPERLINK("https://otsuka-europe-crm.veevavault.com/ui/#object/vcountry__v/VENZ000004SONF5", "ES")</f>
        <v>ES</v>
      </c>
      <c r="C5883" s="20" t="s">
        <v>39</v>
      </c>
      <c r="D5883" s="21" t="str">
        <f>HYPERLINK("https://otsuka-europe-crm.veevavault.com/ui/#object/approved_document__v/V5O00000000D100", "Spain - Consent Email 1 Aug 25")</f>
        <v>Spain - Consent Email 1 Aug 25</v>
      </c>
      <c r="E5883" s="22" t="str">
        <f>HYPERLINK("https://otsuka-europe-crm.veevavault.com/ui/#object/sent_email__v/VBL00000003A139", "SE-001444422")</f>
        <v>SE-001444422</v>
      </c>
      <c r="F5883" s="23"/>
      <c r="G5883" s="24">
        <v>0</v>
      </c>
      <c r="H5883" s="24">
        <v>0</v>
      </c>
      <c r="I5883" s="24">
        <v>0</v>
      </c>
      <c r="J5883" s="23"/>
      <c r="K5883" s="24">
        <v>0</v>
      </c>
      <c r="L5883" s="22" t="str">
        <f>HYPERLINK("https://otsuka-europe-crm.veevavault.com/ui/#object/approved_document__v/V5O00000000D100", "Spain - Consent Email 1 Aug 25")</f>
        <v>Spain - Consent Email 1 Aug 25</v>
      </c>
      <c r="M5883" s="22" t="str">
        <f>HYPERLINK("mailto:jcastro@crm.otsuka-europe.com", "jcastro@crm.otsuka-europe.com")</f>
        <v>jcastro@crm.otsuka-europe.com</v>
      </c>
      <c r="N5883" s="25">
        <v>46226.299131944441</v>
      </c>
      <c r="O5883" s="14" t="str">
        <f>HYPERLINK("https://otsuka-europe-crm.veevavault.com/ui/#object/email_activity__v/V8C00000004B382", "EN-002107395")</f>
        <v>EN-002107395</v>
      </c>
    </row>
    <row r="5884" spans="1:15" ht="16" x14ac:dyDescent="0.2">
      <c r="A5884" s="26"/>
      <c r="B5884" s="26"/>
      <c r="C5884" s="26"/>
      <c r="D5884" s="26"/>
      <c r="E5884" s="26"/>
      <c r="F5884" s="26"/>
      <c r="G5884" s="26"/>
      <c r="H5884" s="26"/>
      <c r="I5884" s="26"/>
      <c r="J5884" s="26"/>
      <c r="K5884" s="26"/>
      <c r="L5884" s="26"/>
      <c r="M5884" s="26"/>
      <c r="N5884" s="26"/>
      <c r="O5884" s="14" t="str">
        <f>HYPERLINK("https://otsuka-europe-crm.veevavault.com/ui/#object/email_activity__v/V8C00000004B832", "EN-002108140")</f>
        <v>EN-002108140</v>
      </c>
    </row>
    <row r="5885" spans="1:15" ht="16" x14ac:dyDescent="0.2">
      <c r="A5885" s="19"/>
      <c r="B5885" s="19"/>
      <c r="C5885" s="19"/>
      <c r="D5885" s="19"/>
      <c r="E5885" s="19"/>
      <c r="F5885" s="19"/>
      <c r="G5885" s="19"/>
      <c r="H5885" s="19"/>
      <c r="I5885" s="19"/>
      <c r="J5885" s="19"/>
      <c r="K5885" s="19"/>
      <c r="L5885" s="19"/>
      <c r="M5885" s="19"/>
      <c r="N5885" s="19"/>
      <c r="O5885" s="14" t="str">
        <f>HYPERLINK("https://otsuka-europe-crm.veevavault.com/ui/#object/email_activity__v/V8C00000004C392", "EN-002107786")</f>
        <v>EN-002107786</v>
      </c>
    </row>
    <row r="5886" spans="1:15" ht="16" x14ac:dyDescent="0.2">
      <c r="A5886" s="18" t="str">
        <f>HYPERLINK("https://otsuka-europe-crm.veevavault.com/ui/#object/account__v/V4TZ04ASGBC5XTF", "MARTA VADACCA")</f>
        <v>MARTA VADACCA</v>
      </c>
      <c r="B5886" s="18" t="str">
        <f>HYPERLINK("https://otsuka-europe-crm.veevavault.com/ui/#object/vcountry__v/VENZ000004SONFQ", "IT")</f>
        <v>IT</v>
      </c>
      <c r="C5886" s="20" t="s">
        <v>42</v>
      </c>
      <c r="D5886" s="21" t="str">
        <f>HYPERLINK("https://otsuka-europe-crm.veevavault.com/ui/#object/approved_document__v/V5O00000001B003", "Lupkynis_Proteinuria_IT-LUP-2600004 V1.0 -Reuma")</f>
        <v>Lupkynis_Proteinuria_IT-LUP-2600004 V1.0 -Reuma</v>
      </c>
      <c r="E5886" s="22" t="str">
        <f>HYPERLINK("https://otsuka-europe-crm.veevavault.com/ui/#object/sent_email__v/VBL000000039046", "SE-001444423")</f>
        <v>SE-001444423</v>
      </c>
      <c r="F5886" s="25">
        <v>46226.475115740737</v>
      </c>
      <c r="G5886" s="24">
        <v>1</v>
      </c>
      <c r="H5886" s="24">
        <v>13</v>
      </c>
      <c r="I5886" s="24">
        <v>0</v>
      </c>
      <c r="J5886" s="23"/>
      <c r="K5886" s="24">
        <v>0</v>
      </c>
      <c r="L5886" s="22" t="str">
        <f>HYPERLINK("https://otsuka-europe-crm.veevavault.com/ui/#object/approved_document__v/V5O00000001B003", "Lupkynis_Proteinuria_IT-LUP-2600004 V1.0 -Reuma")</f>
        <v>Lupkynis_Proteinuria_IT-LUP-2600004 V1.0 -Reuma</v>
      </c>
      <c r="M5886" s="22" t="str">
        <f>HYPERLINK("mailto:linda.ottavo@crm.otsuka-europe.com", "linda.ottavo@crm.otsuka-europe.com")</f>
        <v>linda.ottavo@crm.otsuka-europe.com</v>
      </c>
      <c r="N5886" s="25">
        <v>46226.299201388887</v>
      </c>
      <c r="O5886" s="14" t="str">
        <f>HYPERLINK("https://otsuka-europe-crm.veevavault.com/ui/#object/email_activity__v/V8C00000004B445", "EN-002107543")</f>
        <v>EN-002107543</v>
      </c>
    </row>
    <row r="5887" spans="1:15" ht="16" x14ac:dyDescent="0.2">
      <c r="A5887" s="26"/>
      <c r="B5887" s="26"/>
      <c r="C5887" s="26"/>
      <c r="D5887" s="26"/>
      <c r="E5887" s="26"/>
      <c r="F5887" s="26"/>
      <c r="G5887" s="26"/>
      <c r="H5887" s="26"/>
      <c r="I5887" s="26"/>
      <c r="J5887" s="26"/>
      <c r="K5887" s="26"/>
      <c r="L5887" s="26"/>
      <c r="M5887" s="26"/>
      <c r="N5887" s="26"/>
      <c r="O5887" s="14" t="str">
        <f>HYPERLINK("https://otsuka-europe-crm.veevavault.com/ui/#object/email_activity__v/V8C00000004B466", "EN-002107574")</f>
        <v>EN-002107574</v>
      </c>
    </row>
    <row r="5888" spans="1:15" ht="16" x14ac:dyDescent="0.2">
      <c r="A5888" s="26"/>
      <c r="B5888" s="26"/>
      <c r="C5888" s="26"/>
      <c r="D5888" s="26"/>
      <c r="E5888" s="26"/>
      <c r="F5888" s="26"/>
      <c r="G5888" s="26"/>
      <c r="H5888" s="26"/>
      <c r="I5888" s="26"/>
      <c r="J5888" s="26"/>
      <c r="K5888" s="26"/>
      <c r="L5888" s="26"/>
      <c r="M5888" s="26"/>
      <c r="N5888" s="26"/>
      <c r="O5888" s="14" t="str">
        <f>HYPERLINK("https://otsuka-europe-crm.veevavault.com/ui/#object/email_activity__v/V8C00000004B479", "EN-002107590")</f>
        <v>EN-002107590</v>
      </c>
    </row>
    <row r="5889" spans="1:15" ht="16" x14ac:dyDescent="0.2">
      <c r="A5889" s="26"/>
      <c r="B5889" s="26"/>
      <c r="C5889" s="26"/>
      <c r="D5889" s="26"/>
      <c r="E5889" s="26"/>
      <c r="F5889" s="26"/>
      <c r="G5889" s="26"/>
      <c r="H5889" s="26"/>
      <c r="I5889" s="26"/>
      <c r="J5889" s="26"/>
      <c r="K5889" s="26"/>
      <c r="L5889" s="26"/>
      <c r="M5889" s="26"/>
      <c r="N5889" s="26"/>
      <c r="O5889" s="14" t="str">
        <f>HYPERLINK("https://otsuka-europe-crm.veevavault.com/ui/#object/email_activity__v/V8C00000004B727", "EN-002107906")</f>
        <v>EN-002107906</v>
      </c>
    </row>
    <row r="5890" spans="1:15" ht="16" x14ac:dyDescent="0.2">
      <c r="A5890" s="26"/>
      <c r="B5890" s="26"/>
      <c r="C5890" s="26"/>
      <c r="D5890" s="26"/>
      <c r="E5890" s="26"/>
      <c r="F5890" s="26"/>
      <c r="G5890" s="26"/>
      <c r="H5890" s="26"/>
      <c r="I5890" s="26"/>
      <c r="J5890" s="26"/>
      <c r="K5890" s="26"/>
      <c r="L5890" s="26"/>
      <c r="M5890" s="26"/>
      <c r="N5890" s="26"/>
      <c r="O5890" s="14" t="str">
        <f>HYPERLINK("https://otsuka-europe-crm.veevavault.com/ui/#object/email_activity__v/V8C00000004B731", "EN-002107910")</f>
        <v>EN-002107910</v>
      </c>
    </row>
    <row r="5891" spans="1:15" ht="16" x14ac:dyDescent="0.2">
      <c r="A5891" s="26"/>
      <c r="B5891" s="26"/>
      <c r="C5891" s="26"/>
      <c r="D5891" s="26"/>
      <c r="E5891" s="26"/>
      <c r="F5891" s="26"/>
      <c r="G5891" s="26"/>
      <c r="H5891" s="26"/>
      <c r="I5891" s="26"/>
      <c r="J5891" s="26"/>
      <c r="K5891" s="26"/>
      <c r="L5891" s="26"/>
      <c r="M5891" s="26"/>
      <c r="N5891" s="26"/>
      <c r="O5891" s="14" t="str">
        <f>HYPERLINK("https://otsuka-europe-crm.veevavault.com/ui/#object/email_activity__v/V8C00000004B791", "EN-002108099")</f>
        <v>EN-002108099</v>
      </c>
    </row>
    <row r="5892" spans="1:15" ht="16" x14ac:dyDescent="0.2">
      <c r="A5892" s="26"/>
      <c r="B5892" s="26"/>
      <c r="C5892" s="26"/>
      <c r="D5892" s="26"/>
      <c r="E5892" s="26"/>
      <c r="F5892" s="26"/>
      <c r="G5892" s="26"/>
      <c r="H5892" s="26"/>
      <c r="I5892" s="26"/>
      <c r="J5892" s="26"/>
      <c r="K5892" s="26"/>
      <c r="L5892" s="26"/>
      <c r="M5892" s="26"/>
      <c r="N5892" s="26"/>
      <c r="O5892" s="14" t="str">
        <f>HYPERLINK("https://otsuka-europe-crm.veevavault.com/ui/#object/email_activity__v/V8C00000004B837", "EN-002108146")</f>
        <v>EN-002108146</v>
      </c>
    </row>
    <row r="5893" spans="1:15" ht="16" x14ac:dyDescent="0.2">
      <c r="A5893" s="26"/>
      <c r="B5893" s="26"/>
      <c r="C5893" s="26"/>
      <c r="D5893" s="26"/>
      <c r="E5893" s="26"/>
      <c r="F5893" s="26"/>
      <c r="G5893" s="26"/>
      <c r="H5893" s="26"/>
      <c r="I5893" s="26"/>
      <c r="J5893" s="26"/>
      <c r="K5893" s="26"/>
      <c r="L5893" s="26"/>
      <c r="M5893" s="26"/>
      <c r="N5893" s="26"/>
      <c r="O5893" s="14" t="str">
        <f>HYPERLINK("https://otsuka-europe-crm.veevavault.com/ui/#object/email_activity__v/V8C00000004C380", "EN-002107553")</f>
        <v>EN-002107553</v>
      </c>
    </row>
    <row r="5894" spans="1:15" ht="16" x14ac:dyDescent="0.2">
      <c r="A5894" s="26"/>
      <c r="B5894" s="26"/>
      <c r="C5894" s="26"/>
      <c r="D5894" s="26"/>
      <c r="E5894" s="26"/>
      <c r="F5894" s="26"/>
      <c r="G5894" s="26"/>
      <c r="H5894" s="26"/>
      <c r="I5894" s="26"/>
      <c r="J5894" s="26"/>
      <c r="K5894" s="26"/>
      <c r="L5894" s="26"/>
      <c r="M5894" s="26"/>
      <c r="N5894" s="26"/>
      <c r="O5894" s="14" t="str">
        <f>HYPERLINK("https://otsuka-europe-crm.veevavault.com/ui/#object/email_activity__v/V8C00000004C382", "EN-002107578")</f>
        <v>EN-002107578</v>
      </c>
    </row>
    <row r="5895" spans="1:15" ht="16" x14ac:dyDescent="0.2">
      <c r="A5895" s="26"/>
      <c r="B5895" s="26"/>
      <c r="C5895" s="26"/>
      <c r="D5895" s="26"/>
      <c r="E5895" s="26"/>
      <c r="F5895" s="26"/>
      <c r="G5895" s="26"/>
      <c r="H5895" s="26"/>
      <c r="I5895" s="26"/>
      <c r="J5895" s="26"/>
      <c r="K5895" s="26"/>
      <c r="L5895" s="26"/>
      <c r="M5895" s="26"/>
      <c r="N5895" s="26"/>
      <c r="O5895" s="14" t="str">
        <f>HYPERLINK("https://otsuka-europe-crm.veevavault.com/ui/#object/email_activity__v/V8C00000004C393", "EN-002107787")</f>
        <v>EN-002107787</v>
      </c>
    </row>
    <row r="5896" spans="1:15" ht="16" x14ac:dyDescent="0.2">
      <c r="A5896" s="26"/>
      <c r="B5896" s="26"/>
      <c r="C5896" s="26"/>
      <c r="D5896" s="26"/>
      <c r="E5896" s="26"/>
      <c r="F5896" s="26"/>
      <c r="G5896" s="26"/>
      <c r="H5896" s="26"/>
      <c r="I5896" s="26"/>
      <c r="J5896" s="26"/>
      <c r="K5896" s="26"/>
      <c r="L5896" s="26"/>
      <c r="M5896" s="26"/>
      <c r="N5896" s="26"/>
      <c r="O5896" s="14" t="str">
        <f>HYPERLINK("https://otsuka-europe-crm.veevavault.com/ui/#object/email_activity__v/V8C00000004C398", "EN-002107796")</f>
        <v>EN-002107796</v>
      </c>
    </row>
    <row r="5897" spans="1:15" ht="16" x14ac:dyDescent="0.2">
      <c r="A5897" s="26"/>
      <c r="B5897" s="26"/>
      <c r="C5897" s="26"/>
      <c r="D5897" s="26"/>
      <c r="E5897" s="26"/>
      <c r="F5897" s="26"/>
      <c r="G5897" s="26"/>
      <c r="H5897" s="26"/>
      <c r="I5897" s="26"/>
      <c r="J5897" s="26"/>
      <c r="K5897" s="26"/>
      <c r="L5897" s="26"/>
      <c r="M5897" s="26"/>
      <c r="N5897" s="26"/>
      <c r="O5897" s="14" t="str">
        <f>HYPERLINK("https://otsuka-europe-crm.veevavault.com/ui/#object/email_activity__v/V8C00000004C451", "EN-002107905")</f>
        <v>EN-002107905</v>
      </c>
    </row>
    <row r="5898" spans="1:15" ht="16" x14ac:dyDescent="0.2">
      <c r="A5898" s="26"/>
      <c r="B5898" s="26"/>
      <c r="C5898" s="26"/>
      <c r="D5898" s="26"/>
      <c r="E5898" s="26"/>
      <c r="F5898" s="26"/>
      <c r="G5898" s="26"/>
      <c r="H5898" s="26"/>
      <c r="I5898" s="26"/>
      <c r="J5898" s="26"/>
      <c r="K5898" s="26"/>
      <c r="L5898" s="26"/>
      <c r="M5898" s="26"/>
      <c r="N5898" s="26"/>
      <c r="O5898" s="14" t="str">
        <f>HYPERLINK("https://otsuka-europe-crm.veevavault.com/ui/#object/email_activity__v/V8C00000004C452", "EN-002107911")</f>
        <v>EN-002107911</v>
      </c>
    </row>
    <row r="5899" spans="1:15" ht="16" x14ac:dyDescent="0.2">
      <c r="A5899" s="26"/>
      <c r="B5899" s="26"/>
      <c r="C5899" s="26"/>
      <c r="D5899" s="26"/>
      <c r="E5899" s="26"/>
      <c r="F5899" s="26"/>
      <c r="G5899" s="26"/>
      <c r="H5899" s="26"/>
      <c r="I5899" s="26"/>
      <c r="J5899" s="26"/>
      <c r="K5899" s="26"/>
      <c r="L5899" s="26"/>
      <c r="M5899" s="26"/>
      <c r="N5899" s="26"/>
      <c r="O5899" s="14" t="str">
        <f>HYPERLINK("https://otsuka-europe-crm.veevavault.com/ui/#object/email_activity__v/V8C00000004C524", "EN-002108023")</f>
        <v>EN-002108023</v>
      </c>
    </row>
    <row r="5900" spans="1:15" ht="16" x14ac:dyDescent="0.2">
      <c r="A5900" s="19"/>
      <c r="B5900" s="19"/>
      <c r="C5900" s="19"/>
      <c r="D5900" s="19"/>
      <c r="E5900" s="19"/>
      <c r="F5900" s="19"/>
      <c r="G5900" s="19"/>
      <c r="H5900" s="19"/>
      <c r="I5900" s="19"/>
      <c r="J5900" s="19"/>
      <c r="K5900" s="19"/>
      <c r="L5900" s="19"/>
      <c r="M5900" s="19"/>
      <c r="N5900" s="19"/>
      <c r="O5900" s="14" t="str">
        <f>HYPERLINK("https://otsuka-europe-crm.veevavault.com/ui/#object/email_activity__v/V8C00000004C525", "EN-002108024")</f>
        <v>EN-002108024</v>
      </c>
    </row>
    <row r="5901" spans="1:15" ht="16" x14ac:dyDescent="0.2">
      <c r="A5901" s="18" t="str">
        <f>HYPERLINK("https://otsuka-europe-crm.veevavault.com/ui/#object/account__v/V4T00000002B020", "LUCIA PININ BRAÑA")</f>
        <v>LUCIA PININ BRAÑA</v>
      </c>
      <c r="B5901" s="18" t="str">
        <f>HYPERLINK("https://otsuka-europe-crm.veevavault.com/ui/#object/vcountry__v/VENZ000004SONF5", "ES")</f>
        <v>ES</v>
      </c>
      <c r="C5901" s="20" t="s">
        <v>39</v>
      </c>
      <c r="D5901" s="21" t="str">
        <f>HYPERLINK("https://otsuka-europe-crm.veevavault.com/ui/#object/approved_document__v/V5OZ04ASG4FWKA7", "Reuniones Online Consent - 2")</f>
        <v>Reuniones Online Consent - 2</v>
      </c>
      <c r="E5901" s="22" t="str">
        <f>HYPERLINK("https://otsuka-europe-crm.veevavault.com/ui/#object/sent_email__v/VBL00000003A140", "SE-001444424")</f>
        <v>SE-001444424</v>
      </c>
      <c r="F5901" s="23"/>
      <c r="G5901" s="24">
        <v>0</v>
      </c>
      <c r="H5901" s="24">
        <v>0</v>
      </c>
      <c r="I5901" s="24">
        <v>0</v>
      </c>
      <c r="J5901" s="23"/>
      <c r="K5901" s="24">
        <v>0</v>
      </c>
      <c r="L5901" s="22" t="str">
        <f>HYPERLINK("https://otsuka-europe-crm.veevavault.com/ui/#object/approved_document__v/V5OZ04ASG4FWKA7", "Reuniones Online Consent - 2")</f>
        <v>Reuniones Online Consent - 2</v>
      </c>
      <c r="M5901" s="22" t="str">
        <f>HYPERLINK("mailto:jcastro@crm.otsuka-europe.com", "jcastro@crm.otsuka-europe.com")</f>
        <v>jcastro@crm.otsuka-europe.com</v>
      </c>
      <c r="N5901" s="25">
        <v>46226.299131944441</v>
      </c>
      <c r="O5901" s="14" t="str">
        <f>HYPERLINK("https://otsuka-europe-crm.veevavault.com/ui/#object/email_activity__v/V8C00000004B345", "EN-002107358")</f>
        <v>EN-002107358</v>
      </c>
    </row>
    <row r="5902" spans="1:15" ht="16" x14ac:dyDescent="0.2">
      <c r="A5902" s="26"/>
      <c r="B5902" s="26"/>
      <c r="C5902" s="26"/>
      <c r="D5902" s="26"/>
      <c r="E5902" s="26"/>
      <c r="F5902" s="26"/>
      <c r="G5902" s="26"/>
      <c r="H5902" s="26"/>
      <c r="I5902" s="26"/>
      <c r="J5902" s="26"/>
      <c r="K5902" s="26"/>
      <c r="L5902" s="26"/>
      <c r="M5902" s="26"/>
      <c r="N5902" s="26"/>
      <c r="O5902" s="14" t="str">
        <f>HYPERLINK("https://otsuka-europe-crm.veevavault.com/ui/#object/email_activity__v/V8C00000004B900", "EN-002108215")</f>
        <v>EN-002108215</v>
      </c>
    </row>
    <row r="5903" spans="1:15" ht="16" x14ac:dyDescent="0.2">
      <c r="A5903" s="26"/>
      <c r="B5903" s="26"/>
      <c r="C5903" s="26"/>
      <c r="D5903" s="26"/>
      <c r="E5903" s="26"/>
      <c r="F5903" s="26"/>
      <c r="G5903" s="26"/>
      <c r="H5903" s="26"/>
      <c r="I5903" s="26"/>
      <c r="J5903" s="26"/>
      <c r="K5903" s="26"/>
      <c r="L5903" s="26"/>
      <c r="M5903" s="26"/>
      <c r="N5903" s="26"/>
      <c r="O5903" s="14" t="str">
        <f>HYPERLINK("https://otsuka-europe-crm.veevavault.com/ui/#object/email_activity__v/V8C00000004C434", "EN-002107883")</f>
        <v>EN-002107883</v>
      </c>
    </row>
    <row r="5904" spans="1:15" ht="16" x14ac:dyDescent="0.2">
      <c r="A5904" s="19"/>
      <c r="B5904" s="19"/>
      <c r="C5904" s="19"/>
      <c r="D5904" s="19"/>
      <c r="E5904" s="19"/>
      <c r="F5904" s="19"/>
      <c r="G5904" s="19"/>
      <c r="H5904" s="19"/>
      <c r="I5904" s="19"/>
      <c r="J5904" s="19"/>
      <c r="K5904" s="19"/>
      <c r="L5904" s="19"/>
      <c r="M5904" s="19"/>
      <c r="N5904" s="19"/>
      <c r="O5904" s="14" t="str">
        <f>HYPERLINK("https://otsuka-europe-crm.veevavault.com/ui/#object/email_activity__v/V8C00000004E658", "EN-002109633")</f>
        <v>EN-002109633</v>
      </c>
    </row>
    <row r="5905" spans="1:15" ht="16" x14ac:dyDescent="0.2">
      <c r="A5905" s="18" t="str">
        <f>HYPERLINK("https://otsuka-europe-crm.veevavault.com/ui/#object/account__v/V4TZ04ASGC7DXDO", "AUGUSTA ORTOLAN")</f>
        <v>AUGUSTA ORTOLAN</v>
      </c>
      <c r="B5905" s="18" t="str">
        <f>HYPERLINK("https://otsuka-europe-crm.veevavault.com/ui/#object/vcountry__v/VENZ000004SONFQ", "IT")</f>
        <v>IT</v>
      </c>
      <c r="C5905" s="20" t="s">
        <v>42</v>
      </c>
      <c r="D5905" s="21" t="str">
        <f>HYPERLINK("https://otsuka-europe-crm.veevavault.com/ui/#object/approved_document__v/V5O00000001B003", "Lupkynis_Proteinuria_IT-LUP-2600004 V1.0 -Reuma")</f>
        <v>Lupkynis_Proteinuria_IT-LUP-2600004 V1.0 -Reuma</v>
      </c>
      <c r="E5905" s="22" t="str">
        <f>HYPERLINK("https://otsuka-europe-crm.veevavault.com/ui/#object/sent_email__v/VBL00000003A141", "SE-001444425")</f>
        <v>SE-001444425</v>
      </c>
      <c r="F5905" s="23"/>
      <c r="G5905" s="24">
        <v>0</v>
      </c>
      <c r="H5905" s="24">
        <v>0</v>
      </c>
      <c r="I5905" s="24">
        <v>0</v>
      </c>
      <c r="J5905" s="23"/>
      <c r="K5905" s="24">
        <v>0</v>
      </c>
      <c r="L5905" s="22" t="str">
        <f>HYPERLINK("https://otsuka-europe-crm.veevavault.com/ui/#object/approved_document__v/V5O00000001B003", "Lupkynis_Proteinuria_IT-LUP-2600004 V1.0 -Reuma")</f>
        <v>Lupkynis_Proteinuria_IT-LUP-2600004 V1.0 -Reuma</v>
      </c>
      <c r="M5905" s="22" t="str">
        <f>HYPERLINK("mailto:linda.ottavo@crm.otsuka-europe.com", "linda.ottavo@crm.otsuka-europe.com")</f>
        <v>linda.ottavo@crm.otsuka-europe.com</v>
      </c>
      <c r="N5905" s="25">
        <v>46226.299178240741</v>
      </c>
      <c r="O5905" s="14" t="str">
        <f>HYPERLINK("https://otsuka-europe-crm.veevavault.com/ui/#object/email_activity__v/V8C00000004B560", "EN-002107671")</f>
        <v>EN-002107671</v>
      </c>
    </row>
    <row r="5906" spans="1:15" ht="16" x14ac:dyDescent="0.2">
      <c r="A5906" s="19"/>
      <c r="B5906" s="19"/>
      <c r="C5906" s="19"/>
      <c r="D5906" s="19"/>
      <c r="E5906" s="19"/>
      <c r="F5906" s="19"/>
      <c r="G5906" s="19"/>
      <c r="H5906" s="19"/>
      <c r="I5906" s="19"/>
      <c r="J5906" s="19"/>
      <c r="K5906" s="19"/>
      <c r="L5906" s="19"/>
      <c r="M5906" s="19"/>
      <c r="N5906" s="19"/>
      <c r="O5906" s="14" t="str">
        <f>HYPERLINK("https://otsuka-europe-crm.veevavault.com/ui/#object/email_activity__v/V8C00000004B811", "EN-002108119")</f>
        <v>EN-002108119</v>
      </c>
    </row>
    <row r="5907" spans="1:15" ht="16" x14ac:dyDescent="0.2">
      <c r="A5907" s="18" t="str">
        <f>HYPERLINK("https://otsuka-europe-crm.veevavault.com/ui/#object/account__v/V4T00000002B020", "LUCIA PININ BRAÑA")</f>
        <v>LUCIA PININ BRAÑA</v>
      </c>
      <c r="B5907" s="18" t="str">
        <f>HYPERLINK("https://otsuka-europe-crm.veevavault.com/ui/#object/vcountry__v/VENZ000004SONF5", "ES")</f>
        <v>ES</v>
      </c>
      <c r="C5907" s="20" t="s">
        <v>39</v>
      </c>
      <c r="D5907" s="21" t="str">
        <f>HYPERLINK("https://otsuka-europe-crm.veevavault.com/ui/#object/approved_document__v/V5OZ04ASG4FWKA9", "Documento Autorizaciขn Centro Empleador")</f>
        <v>Documento Autorizaciขn Centro Empleador</v>
      </c>
      <c r="E5907" s="22" t="str">
        <f>HYPERLINK("https://otsuka-europe-crm.veevavault.com/ui/#object/sent_email__v/VBL00000003A142", "SE-001444426")</f>
        <v>SE-001444426</v>
      </c>
      <c r="F5907" s="23"/>
      <c r="G5907" s="24">
        <v>0</v>
      </c>
      <c r="H5907" s="24">
        <v>0</v>
      </c>
      <c r="I5907" s="24">
        <v>0</v>
      </c>
      <c r="J5907" s="23"/>
      <c r="K5907" s="24">
        <v>0</v>
      </c>
      <c r="L5907" s="22" t="str">
        <f>HYPERLINK("https://otsuka-europe-crm.veevavault.com/ui/#object/approved_document__v/V5OZ04ASG4FWKA9", "Documento Autorizaciขn Centro Empleador")</f>
        <v>Documento Autorizaciขn Centro Empleador</v>
      </c>
      <c r="M5907" s="22" t="str">
        <f>HYPERLINK("mailto:jcastro@crm.otsuka-europe.com", "jcastro@crm.otsuka-europe.com")</f>
        <v>jcastro@crm.otsuka-europe.com</v>
      </c>
      <c r="N5907" s="25">
        <v>46226.299155092594</v>
      </c>
      <c r="O5907" s="14" t="str">
        <f>HYPERLINK("https://otsuka-europe-crm.veevavault.com/ui/#object/email_activity__v/V8C00000004B722", "EN-002107884")</f>
        <v>EN-002107884</v>
      </c>
    </row>
    <row r="5908" spans="1:15" ht="16" x14ac:dyDescent="0.2">
      <c r="A5908" s="26"/>
      <c r="B5908" s="26"/>
      <c r="C5908" s="26"/>
      <c r="D5908" s="26"/>
      <c r="E5908" s="26"/>
      <c r="F5908" s="26"/>
      <c r="G5908" s="26"/>
      <c r="H5908" s="26"/>
      <c r="I5908" s="26"/>
      <c r="J5908" s="26"/>
      <c r="K5908" s="26"/>
      <c r="L5908" s="26"/>
      <c r="M5908" s="26"/>
      <c r="N5908" s="26"/>
      <c r="O5908" s="14" t="str">
        <f>HYPERLINK("https://otsuka-europe-crm.veevavault.com/ui/#object/email_activity__v/V8C00000004B898", "EN-002108213")</f>
        <v>EN-002108213</v>
      </c>
    </row>
    <row r="5909" spans="1:15" ht="16" x14ac:dyDescent="0.2">
      <c r="A5909" s="19"/>
      <c r="B5909" s="19"/>
      <c r="C5909" s="19"/>
      <c r="D5909" s="19"/>
      <c r="E5909" s="19"/>
      <c r="F5909" s="19"/>
      <c r="G5909" s="19"/>
      <c r="H5909" s="19"/>
      <c r="I5909" s="19"/>
      <c r="J5909" s="19"/>
      <c r="K5909" s="19"/>
      <c r="L5909" s="19"/>
      <c r="M5909" s="19"/>
      <c r="N5909" s="19"/>
      <c r="O5909" s="14" t="str">
        <f>HYPERLINK("https://otsuka-europe-crm.veevavault.com/ui/#object/email_activity__v/V8C00000004C338", "EN-002107505")</f>
        <v>EN-002107505</v>
      </c>
    </row>
    <row r="5910" spans="1:15" ht="16" x14ac:dyDescent="0.2">
      <c r="A5910" s="18" t="str">
        <f>HYPERLINK("https://otsuka-europe-crm.veevavault.com/ui/#object/account__v/V4TZ04ASGB4UR3E", "SAVIANA GANDOLFO")</f>
        <v>SAVIANA GANDOLFO</v>
      </c>
      <c r="B5910" s="18" t="str">
        <f>HYPERLINK("https://otsuka-europe-crm.veevavault.com/ui/#object/vcountry__v/VENZ000004SONFQ", "IT")</f>
        <v>IT</v>
      </c>
      <c r="C5910" s="20" t="s">
        <v>42</v>
      </c>
      <c r="D5910" s="21" t="str">
        <f>HYPERLINK("https://otsuka-europe-crm.veevavault.com/ui/#object/approved_document__v/V5O00000001B003", "Lupkynis_Proteinuria_IT-LUP-2600004 V1.0 -Reuma")</f>
        <v>Lupkynis_Proteinuria_IT-LUP-2600004 V1.0 -Reuma</v>
      </c>
      <c r="E5910" s="22" t="str">
        <f>HYPERLINK("https://otsuka-europe-crm.veevavault.com/ui/#object/sent_email__v/VBL000000039047", "SE-001444427")</f>
        <v>SE-001444427</v>
      </c>
      <c r="F5910" s="23"/>
      <c r="G5910" s="24">
        <v>0</v>
      </c>
      <c r="H5910" s="24">
        <v>0</v>
      </c>
      <c r="I5910" s="24">
        <v>0</v>
      </c>
      <c r="J5910" s="23"/>
      <c r="K5910" s="24">
        <v>0</v>
      </c>
      <c r="L5910" s="22" t="str">
        <f>HYPERLINK("https://otsuka-europe-crm.veevavault.com/ui/#object/approved_document__v/V5O00000001B003", "Lupkynis_Proteinuria_IT-LUP-2600004 V1.0 -Reuma")</f>
        <v>Lupkynis_Proteinuria_IT-LUP-2600004 V1.0 -Reuma</v>
      </c>
      <c r="M5910" s="22" t="str">
        <f>HYPERLINK("mailto:linda.ottavo@crm.otsuka-europe.com", "linda.ottavo@crm.otsuka-europe.com")</f>
        <v>linda.ottavo@crm.otsuka-europe.com</v>
      </c>
      <c r="N5910" s="25">
        <v>46226.299201388887</v>
      </c>
      <c r="O5910" s="14" t="str">
        <f>HYPERLINK("https://otsuka-europe-crm.veevavault.com/ui/#object/email_activity__v/V8C00000004B480", "EN-002107591")</f>
        <v>EN-002107591</v>
      </c>
    </row>
    <row r="5911" spans="1:15" ht="16" x14ac:dyDescent="0.2">
      <c r="A5911" s="19"/>
      <c r="B5911" s="19"/>
      <c r="C5911" s="19"/>
      <c r="D5911" s="19"/>
      <c r="E5911" s="19"/>
      <c r="F5911" s="19"/>
      <c r="G5911" s="19"/>
      <c r="H5911" s="19"/>
      <c r="I5911" s="19"/>
      <c r="J5911" s="19"/>
      <c r="K5911" s="19"/>
      <c r="L5911" s="19"/>
      <c r="M5911" s="19"/>
      <c r="N5911" s="19"/>
      <c r="O5911" s="14" t="str">
        <f>HYPERLINK("https://otsuka-europe-crm.veevavault.com/ui/#object/email_activity__v/V8C00000004B858", "EN-002108169")</f>
        <v>EN-002108169</v>
      </c>
    </row>
    <row r="5912" spans="1:15" ht="16" x14ac:dyDescent="0.2">
      <c r="A5912" s="18" t="str">
        <f>HYPERLINK("https://otsuka-europe-crm.veevavault.com/ui/#object/account__v/V4TZ025E84GCU9J", "LIVIA MARIA SORRENTINO")</f>
        <v>LIVIA MARIA SORRENTINO</v>
      </c>
      <c r="B5912" s="18" t="str">
        <f>HYPERLINK("https://otsuka-europe-crm.veevavault.com/ui/#object/vcountry__v/VENZ000004SONFQ", "IT")</f>
        <v>IT</v>
      </c>
      <c r="C5912" s="20" t="s">
        <v>42</v>
      </c>
      <c r="D5912" s="21" t="str">
        <f>HYPERLINK("https://otsuka-europe-crm.veevavault.com/ui/#object/approved_document__v/V5O00000001B007", "Lupkynis_Proteinuria_IT-LUP-2600004 V1.0 - NEPHRO")</f>
        <v>Lupkynis_Proteinuria_IT-LUP-2600004 V1.0 - NEPHRO</v>
      </c>
      <c r="E5912" s="22" t="str">
        <f>HYPERLINK("https://otsuka-europe-crm.veevavault.com/ui/#object/sent_email__v/VBL000000039048", "SE-001444428")</f>
        <v>SE-001444428</v>
      </c>
      <c r="F5912" s="25">
        <v>46239.440636574072</v>
      </c>
      <c r="G5912" s="24">
        <v>1</v>
      </c>
      <c r="H5912" s="24">
        <v>19</v>
      </c>
      <c r="I5912" s="24">
        <v>0</v>
      </c>
      <c r="J5912" s="23"/>
      <c r="K5912" s="24">
        <v>0</v>
      </c>
      <c r="L5912" s="22" t="str">
        <f>HYPERLINK("https://otsuka-europe-crm.veevavault.com/ui/#object/approved_document__v/V5O00000001B007", "Lupkynis_Proteinuria_IT-LUP-2600004 V1.0 - NEPHRO")</f>
        <v>Lupkynis_Proteinuria_IT-LUP-2600004 V1.0 - NEPHRO</v>
      </c>
      <c r="M5912" s="22" t="str">
        <f>HYPERLINK("mailto:linda.ottavo@crm.otsuka-europe.com", "linda.ottavo@crm.otsuka-europe.com")</f>
        <v>linda.ottavo@crm.otsuka-europe.com</v>
      </c>
      <c r="N5912" s="25">
        <v>46226.299201388887</v>
      </c>
      <c r="O5912" s="14" t="str">
        <f>HYPERLINK("https://otsuka-europe-crm.veevavault.com/ui/#object/email_activity__v/V8C00000004B336", "EN-002107296")</f>
        <v>EN-002107296</v>
      </c>
    </row>
    <row r="5913" spans="1:15" ht="16" x14ac:dyDescent="0.2">
      <c r="A5913" s="26"/>
      <c r="B5913" s="26"/>
      <c r="C5913" s="26"/>
      <c r="D5913" s="26"/>
      <c r="E5913" s="26"/>
      <c r="F5913" s="26"/>
      <c r="G5913" s="26"/>
      <c r="H5913" s="26"/>
      <c r="I5913" s="26"/>
      <c r="J5913" s="26"/>
      <c r="K5913" s="26"/>
      <c r="L5913" s="26"/>
      <c r="M5913" s="26"/>
      <c r="N5913" s="26"/>
      <c r="O5913" s="14" t="str">
        <f>HYPERLINK("https://otsuka-europe-crm.veevavault.com/ui/#object/email_activity__v/V8C00000004D031", "EN-002108254")</f>
        <v>EN-002108254</v>
      </c>
    </row>
    <row r="5914" spans="1:15" ht="16" x14ac:dyDescent="0.2">
      <c r="A5914" s="26"/>
      <c r="B5914" s="26"/>
      <c r="C5914" s="26"/>
      <c r="D5914" s="26"/>
      <c r="E5914" s="26"/>
      <c r="F5914" s="26"/>
      <c r="G5914" s="26"/>
      <c r="H5914" s="26"/>
      <c r="I5914" s="26"/>
      <c r="J5914" s="26"/>
      <c r="K5914" s="26"/>
      <c r="L5914" s="26"/>
      <c r="M5914" s="26"/>
      <c r="N5914" s="26"/>
      <c r="O5914" s="14" t="str">
        <f>HYPERLINK("https://otsuka-europe-crm.veevavault.com/ui/#object/email_activity__v/V8C00000004D032", "EN-002108255")</f>
        <v>EN-002108255</v>
      </c>
    </row>
    <row r="5915" spans="1:15" ht="16" x14ac:dyDescent="0.2">
      <c r="A5915" s="26"/>
      <c r="B5915" s="26"/>
      <c r="C5915" s="26"/>
      <c r="D5915" s="26"/>
      <c r="E5915" s="26"/>
      <c r="F5915" s="26"/>
      <c r="G5915" s="26"/>
      <c r="H5915" s="26"/>
      <c r="I5915" s="26"/>
      <c r="J5915" s="26"/>
      <c r="K5915" s="26"/>
      <c r="L5915" s="26"/>
      <c r="M5915" s="26"/>
      <c r="N5915" s="26"/>
      <c r="O5915" s="14" t="str">
        <f>HYPERLINK("https://otsuka-europe-crm.veevavault.com/ui/#object/email_activity__v/V8C00000004D039", "EN-002108262")</f>
        <v>EN-002108262</v>
      </c>
    </row>
    <row r="5916" spans="1:15" ht="16" x14ac:dyDescent="0.2">
      <c r="A5916" s="26"/>
      <c r="B5916" s="26"/>
      <c r="C5916" s="26"/>
      <c r="D5916" s="26"/>
      <c r="E5916" s="26"/>
      <c r="F5916" s="26"/>
      <c r="G5916" s="26"/>
      <c r="H5916" s="26"/>
      <c r="I5916" s="26"/>
      <c r="J5916" s="26"/>
      <c r="K5916" s="26"/>
      <c r="L5916" s="26"/>
      <c r="M5916" s="26"/>
      <c r="N5916" s="26"/>
      <c r="O5916" s="14" t="str">
        <f>HYPERLINK("https://otsuka-europe-crm.veevavault.com/ui/#object/email_activity__v/V8C00000004D456", "EN-002108992")</f>
        <v>EN-002108992</v>
      </c>
    </row>
    <row r="5917" spans="1:15" ht="16" x14ac:dyDescent="0.2">
      <c r="A5917" s="26"/>
      <c r="B5917" s="26"/>
      <c r="C5917" s="26"/>
      <c r="D5917" s="26"/>
      <c r="E5917" s="26"/>
      <c r="F5917" s="26"/>
      <c r="G5917" s="26"/>
      <c r="H5917" s="26"/>
      <c r="I5917" s="26"/>
      <c r="J5917" s="26"/>
      <c r="K5917" s="26"/>
      <c r="L5917" s="26"/>
      <c r="M5917" s="26"/>
      <c r="N5917" s="26"/>
      <c r="O5917" s="14" t="str">
        <f>HYPERLINK("https://otsuka-europe-crm.veevavault.com/ui/#object/email_activity__v/V8C00000004D473", "EN-002109028")</f>
        <v>EN-002109028</v>
      </c>
    </row>
    <row r="5918" spans="1:15" ht="16" x14ac:dyDescent="0.2">
      <c r="A5918" s="26"/>
      <c r="B5918" s="26"/>
      <c r="C5918" s="26"/>
      <c r="D5918" s="26"/>
      <c r="E5918" s="26"/>
      <c r="F5918" s="26"/>
      <c r="G5918" s="26"/>
      <c r="H5918" s="26"/>
      <c r="I5918" s="26"/>
      <c r="J5918" s="26"/>
      <c r="K5918" s="26"/>
      <c r="L5918" s="26"/>
      <c r="M5918" s="26"/>
      <c r="N5918" s="26"/>
      <c r="O5918" s="14" t="str">
        <f>HYPERLINK("https://otsuka-europe-crm.veevavault.com/ui/#object/email_activity__v/V8C00000004E407", "EN-002109160")</f>
        <v>EN-002109160</v>
      </c>
    </row>
    <row r="5919" spans="1:15" ht="16" x14ac:dyDescent="0.2">
      <c r="A5919" s="26"/>
      <c r="B5919" s="26"/>
      <c r="C5919" s="26"/>
      <c r="D5919" s="26"/>
      <c r="E5919" s="26"/>
      <c r="F5919" s="26"/>
      <c r="G5919" s="26"/>
      <c r="H5919" s="26"/>
      <c r="I5919" s="26"/>
      <c r="J5919" s="26"/>
      <c r="K5919" s="26"/>
      <c r="L5919" s="26"/>
      <c r="M5919" s="26"/>
      <c r="N5919" s="26"/>
      <c r="O5919" s="14" t="str">
        <f>HYPERLINK("https://otsuka-europe-crm.veevavault.com/ui/#object/email_activity__v/V8C00000004E578", "EN-002109489")</f>
        <v>EN-002109489</v>
      </c>
    </row>
    <row r="5920" spans="1:15" ht="16" x14ac:dyDescent="0.2">
      <c r="A5920" s="26"/>
      <c r="B5920" s="26"/>
      <c r="C5920" s="26"/>
      <c r="D5920" s="26"/>
      <c r="E5920" s="26"/>
      <c r="F5920" s="26"/>
      <c r="G5920" s="26"/>
      <c r="H5920" s="26"/>
      <c r="I5920" s="26"/>
      <c r="J5920" s="26"/>
      <c r="K5920" s="26"/>
      <c r="L5920" s="26"/>
      <c r="M5920" s="26"/>
      <c r="N5920" s="26"/>
      <c r="O5920" s="14" t="str">
        <f>HYPERLINK("https://otsuka-europe-crm.veevavault.com/ui/#object/email_activity__v/V8C00000004E714", "EN-002109712")</f>
        <v>EN-002109712</v>
      </c>
    </row>
    <row r="5921" spans="1:15" ht="16" x14ac:dyDescent="0.2">
      <c r="A5921" s="26"/>
      <c r="B5921" s="26"/>
      <c r="C5921" s="26"/>
      <c r="D5921" s="26"/>
      <c r="E5921" s="26"/>
      <c r="F5921" s="26"/>
      <c r="G5921" s="26"/>
      <c r="H5921" s="26"/>
      <c r="I5921" s="26"/>
      <c r="J5921" s="26"/>
      <c r="K5921" s="26"/>
      <c r="L5921" s="26"/>
      <c r="M5921" s="26"/>
      <c r="N5921" s="26"/>
      <c r="O5921" s="14" t="str">
        <f>HYPERLINK("https://otsuka-europe-crm.veevavault.com/ui/#object/email_activity__v/V8C00000004E715", "EN-002109713")</f>
        <v>EN-002109713</v>
      </c>
    </row>
    <row r="5922" spans="1:15" ht="16" x14ac:dyDescent="0.2">
      <c r="A5922" s="26"/>
      <c r="B5922" s="26"/>
      <c r="C5922" s="26"/>
      <c r="D5922" s="26"/>
      <c r="E5922" s="26"/>
      <c r="F5922" s="26"/>
      <c r="G5922" s="26"/>
      <c r="H5922" s="26"/>
      <c r="I5922" s="26"/>
      <c r="J5922" s="26"/>
      <c r="K5922" s="26"/>
      <c r="L5922" s="26"/>
      <c r="M5922" s="26"/>
      <c r="N5922" s="26"/>
      <c r="O5922" s="14" t="str">
        <f>HYPERLINK("https://otsuka-europe-crm.veevavault.com/ui/#object/email_activity__v/V8C00000004F465", "EN-002110878")</f>
        <v>EN-002110878</v>
      </c>
    </row>
    <row r="5923" spans="1:15" ht="16" x14ac:dyDescent="0.2">
      <c r="A5923" s="26"/>
      <c r="B5923" s="26"/>
      <c r="C5923" s="26"/>
      <c r="D5923" s="26"/>
      <c r="E5923" s="26"/>
      <c r="F5923" s="26"/>
      <c r="G5923" s="26"/>
      <c r="H5923" s="26"/>
      <c r="I5923" s="26"/>
      <c r="J5923" s="26"/>
      <c r="K5923" s="26"/>
      <c r="L5923" s="26"/>
      <c r="M5923" s="26"/>
      <c r="N5923" s="26"/>
      <c r="O5923" s="14" t="str">
        <f>HYPERLINK("https://otsuka-europe-crm.veevavault.com/ui/#object/email_activity__v/V8C00000004G025", "EN-002109819")</f>
        <v>EN-002109819</v>
      </c>
    </row>
    <row r="5924" spans="1:15" ht="16" x14ac:dyDescent="0.2">
      <c r="A5924" s="26"/>
      <c r="B5924" s="26"/>
      <c r="C5924" s="26"/>
      <c r="D5924" s="26"/>
      <c r="E5924" s="26"/>
      <c r="F5924" s="26"/>
      <c r="G5924" s="26"/>
      <c r="H5924" s="26"/>
      <c r="I5924" s="26"/>
      <c r="J5924" s="26"/>
      <c r="K5924" s="26"/>
      <c r="L5924" s="26"/>
      <c r="M5924" s="26"/>
      <c r="N5924" s="26"/>
      <c r="O5924" s="14" t="str">
        <f>HYPERLINK("https://otsuka-europe-crm.veevavault.com/ui/#object/email_activity__v/V8C00000004G026", "EN-002109820")</f>
        <v>EN-002109820</v>
      </c>
    </row>
    <row r="5925" spans="1:15" ht="16" x14ac:dyDescent="0.2">
      <c r="A5925" s="26"/>
      <c r="B5925" s="26"/>
      <c r="C5925" s="26"/>
      <c r="D5925" s="26"/>
      <c r="E5925" s="26"/>
      <c r="F5925" s="26"/>
      <c r="G5925" s="26"/>
      <c r="H5925" s="26"/>
      <c r="I5925" s="26"/>
      <c r="J5925" s="26"/>
      <c r="K5925" s="26"/>
      <c r="L5925" s="26"/>
      <c r="M5925" s="26"/>
      <c r="N5925" s="26"/>
      <c r="O5925" s="14" t="str">
        <f>HYPERLINK("https://otsuka-europe-crm.veevavault.com/ui/#object/email_activity__v/V8C00000004G033", "EN-002109827")</f>
        <v>EN-002109827</v>
      </c>
    </row>
    <row r="5926" spans="1:15" ht="16" x14ac:dyDescent="0.2">
      <c r="A5926" s="26"/>
      <c r="B5926" s="26"/>
      <c r="C5926" s="26"/>
      <c r="D5926" s="26"/>
      <c r="E5926" s="26"/>
      <c r="F5926" s="26"/>
      <c r="G5926" s="26"/>
      <c r="H5926" s="26"/>
      <c r="I5926" s="26"/>
      <c r="J5926" s="26"/>
      <c r="K5926" s="26"/>
      <c r="L5926" s="26"/>
      <c r="M5926" s="26"/>
      <c r="N5926" s="26"/>
      <c r="O5926" s="14" t="str">
        <f>HYPERLINK("https://otsuka-europe-crm.veevavault.com/ui/#object/email_activity__v/V8C00000004H019", "EN-002110969")</f>
        <v>EN-002110969</v>
      </c>
    </row>
    <row r="5927" spans="1:15" ht="16" x14ac:dyDescent="0.2">
      <c r="A5927" s="26"/>
      <c r="B5927" s="26"/>
      <c r="C5927" s="26"/>
      <c r="D5927" s="26"/>
      <c r="E5927" s="26"/>
      <c r="F5927" s="26"/>
      <c r="G5927" s="26"/>
      <c r="H5927" s="26"/>
      <c r="I5927" s="26"/>
      <c r="J5927" s="26"/>
      <c r="K5927" s="26"/>
      <c r="L5927" s="26"/>
      <c r="M5927" s="26"/>
      <c r="N5927" s="26"/>
      <c r="O5927" s="14" t="str">
        <f>HYPERLINK("https://otsuka-europe-crm.veevavault.com/ui/#object/email_activity__v/V8C00000004H020", "EN-002110970")</f>
        <v>EN-002110970</v>
      </c>
    </row>
    <row r="5928" spans="1:15" ht="16" x14ac:dyDescent="0.2">
      <c r="A5928" s="26"/>
      <c r="B5928" s="26"/>
      <c r="C5928" s="26"/>
      <c r="D5928" s="26"/>
      <c r="E5928" s="26"/>
      <c r="F5928" s="26"/>
      <c r="G5928" s="26"/>
      <c r="H5928" s="26"/>
      <c r="I5928" s="26"/>
      <c r="J5928" s="26"/>
      <c r="K5928" s="26"/>
      <c r="L5928" s="26"/>
      <c r="M5928" s="26"/>
      <c r="N5928" s="26"/>
      <c r="O5928" s="14" t="str">
        <f>HYPERLINK("https://otsuka-europe-crm.veevavault.com/ui/#object/email_activity__v/V8C00000004H028", "EN-002110978")</f>
        <v>EN-002110978</v>
      </c>
    </row>
    <row r="5929" spans="1:15" ht="16" x14ac:dyDescent="0.2">
      <c r="A5929" s="26"/>
      <c r="B5929" s="26"/>
      <c r="C5929" s="26"/>
      <c r="D5929" s="26"/>
      <c r="E5929" s="26"/>
      <c r="F5929" s="26"/>
      <c r="G5929" s="26"/>
      <c r="H5929" s="26"/>
      <c r="I5929" s="26"/>
      <c r="J5929" s="26"/>
      <c r="K5929" s="26"/>
      <c r="L5929" s="26"/>
      <c r="M5929" s="26"/>
      <c r="N5929" s="26"/>
      <c r="O5929" s="14" t="str">
        <f>HYPERLINK("https://otsuka-europe-crm.veevavault.com/ui/#object/email_activity__v/V8C00000004H068", "EN-002111058")</f>
        <v>EN-002111058</v>
      </c>
    </row>
    <row r="5930" spans="1:15" ht="16" x14ac:dyDescent="0.2">
      <c r="A5930" s="26"/>
      <c r="B5930" s="26"/>
      <c r="C5930" s="26"/>
      <c r="D5930" s="26"/>
      <c r="E5930" s="26"/>
      <c r="F5930" s="26"/>
      <c r="G5930" s="26"/>
      <c r="H5930" s="26"/>
      <c r="I5930" s="26"/>
      <c r="J5930" s="26"/>
      <c r="K5930" s="26"/>
      <c r="L5930" s="26"/>
      <c r="M5930" s="26"/>
      <c r="N5930" s="26"/>
      <c r="O5930" s="14" t="str">
        <f>HYPERLINK("https://otsuka-europe-crm.veevavault.com/ui/#object/email_activity__v/V8C00000004I260", "EN-002111546")</f>
        <v>EN-002111546</v>
      </c>
    </row>
    <row r="5931" spans="1:15" ht="16" x14ac:dyDescent="0.2">
      <c r="A5931" s="19"/>
      <c r="B5931" s="19"/>
      <c r="C5931" s="19"/>
      <c r="D5931" s="19"/>
      <c r="E5931" s="19"/>
      <c r="F5931" s="19"/>
      <c r="G5931" s="19"/>
      <c r="H5931" s="19"/>
      <c r="I5931" s="19"/>
      <c r="J5931" s="19"/>
      <c r="K5931" s="19"/>
      <c r="L5931" s="19"/>
      <c r="M5931" s="19"/>
      <c r="N5931" s="19"/>
      <c r="O5931" s="14" t="str">
        <f>HYPERLINK("https://otsuka-europe-crm.veevavault.com/ui/#object/email_activity__v/V8C00000004I274", "EN-002111589")</f>
        <v>EN-002111589</v>
      </c>
    </row>
    <row r="5932" spans="1:15" ht="48" x14ac:dyDescent="0.2">
      <c r="A5932" s="7" t="str">
        <f>HYPERLINK("https://otsuka-europe-crm.veevavault.com/ui/#object/account__v/V4TZ04ASGE0FU3U", "MARIAROSARIA IANNUZZI")</f>
        <v>MARIAROSARIA IANNUZZI</v>
      </c>
      <c r="B5932" s="7" t="str">
        <f>HYPERLINK("https://otsuka-europe-crm.veevavault.com/ui/#object/vcountry__v/VENZ000004SONFQ", "IT")</f>
        <v>IT</v>
      </c>
      <c r="C5932" s="8" t="s">
        <v>42</v>
      </c>
      <c r="D5932" s="9" t="str">
        <f>HYPERLINK("https://otsuka-europe-crm.veevavault.com/ui/#object/approved_document__v/V5O00000001B007", "Lupkynis_Proteinuria_IT-LUP-2600004 V1.0 - NEPHRO")</f>
        <v>Lupkynis_Proteinuria_IT-LUP-2600004 V1.0 - NEPHRO</v>
      </c>
      <c r="E5932" s="10" t="str">
        <f>HYPERLINK("https://otsuka-europe-crm.veevavault.com/ui/#object/sent_email__v/VBL000000039049", "SE-001444429")</f>
        <v>SE-001444429</v>
      </c>
      <c r="F5932" s="11"/>
      <c r="G5932" s="12">
        <v>0</v>
      </c>
      <c r="H5932" s="12">
        <v>0</v>
      </c>
      <c r="I5932" s="12">
        <v>0</v>
      </c>
      <c r="J5932" s="11"/>
      <c r="K5932" s="12">
        <v>0</v>
      </c>
      <c r="L5932" s="10" t="str">
        <f>HYPERLINK("https://otsuka-europe-crm.veevavault.com/ui/#object/approved_document__v/V5O00000001B007", "Lupkynis_Proteinuria_IT-LUP-2600004 V1.0 - NEPHRO")</f>
        <v>Lupkynis_Proteinuria_IT-LUP-2600004 V1.0 - NEPHRO</v>
      </c>
      <c r="M5932" s="10" t="str">
        <f>HYPERLINK("mailto:linda.ottavo@crm.otsuka-europe.com", "linda.ottavo@crm.otsuka-europe.com")</f>
        <v>linda.ottavo@crm.otsuka-europe.com</v>
      </c>
      <c r="N5932" s="13">
        <v>46226.299201388887</v>
      </c>
      <c r="O5932" s="14" t="str">
        <f>HYPERLINK("https://otsuka-europe-crm.veevavault.com/ui/#object/email_activity__v/V8C00000004B338", "EN-002107298")</f>
        <v>EN-002107298</v>
      </c>
    </row>
    <row r="5933" spans="1:15" ht="16" x14ac:dyDescent="0.2">
      <c r="A5933" s="18" t="str">
        <f>HYPERLINK("https://otsuka-europe-crm.veevavault.com/ui/#object/account__v/V4T00000002B046", "ANA GARCIA IGLESIAS")</f>
        <v>ANA GARCIA IGLESIAS</v>
      </c>
      <c r="B5933" s="18" t="str">
        <f>HYPERLINK("https://otsuka-europe-crm.veevavault.com/ui/#object/vcountry__v/VENZ000004SONF5", "ES")</f>
        <v>ES</v>
      </c>
      <c r="C5933" s="20" t="s">
        <v>39</v>
      </c>
      <c r="D5933" s="21" t="str">
        <f>HYPERLINK("https://otsuka-europe-crm.veevavault.com/ui/#object/approved_document__v/V5O00000000D100", "Spain - Consent Email 1 Aug 25")</f>
        <v>Spain - Consent Email 1 Aug 25</v>
      </c>
      <c r="E5933" s="22" t="str">
        <f>HYPERLINK("https://otsuka-europe-crm.veevavault.com/ui/#object/sent_email__v/VBL00000003A143", "SE-001444430")</f>
        <v>SE-001444430</v>
      </c>
      <c r="F5933" s="25">
        <v>46226.305601851855</v>
      </c>
      <c r="G5933" s="24">
        <v>1</v>
      </c>
      <c r="H5933" s="24">
        <v>2</v>
      </c>
      <c r="I5933" s="24">
        <v>0</v>
      </c>
      <c r="J5933" s="23"/>
      <c r="K5933" s="24">
        <v>0</v>
      </c>
      <c r="L5933" s="22" t="str">
        <f>HYPERLINK("https://otsuka-europe-crm.veevavault.com/ui/#object/approved_document__v/V5O00000000D100", "Spain - Consent Email 1 Aug 25")</f>
        <v>Spain - Consent Email 1 Aug 25</v>
      </c>
      <c r="M5933" s="22" t="str">
        <f>HYPERLINK("mailto:jcastro@crm.otsuka-europe.com", "jcastro@crm.otsuka-europe.com")</f>
        <v>jcastro@crm.otsuka-europe.com</v>
      </c>
      <c r="N5933" s="25">
        <v>46226.299131944441</v>
      </c>
      <c r="O5933" s="14" t="str">
        <f>HYPERLINK("https://otsuka-europe-crm.veevavault.com/ui/#object/email_activity__v/V8C00000004B313", "EN-002107273")</f>
        <v>EN-002107273</v>
      </c>
    </row>
    <row r="5934" spans="1:15" ht="16" x14ac:dyDescent="0.2">
      <c r="A5934" s="26"/>
      <c r="B5934" s="26"/>
      <c r="C5934" s="26"/>
      <c r="D5934" s="26"/>
      <c r="E5934" s="26"/>
      <c r="F5934" s="26"/>
      <c r="G5934" s="26"/>
      <c r="H5934" s="26"/>
      <c r="I5934" s="26"/>
      <c r="J5934" s="26"/>
      <c r="K5934" s="26"/>
      <c r="L5934" s="26"/>
      <c r="M5934" s="26"/>
      <c r="N5934" s="26"/>
      <c r="O5934" s="14" t="str">
        <f>HYPERLINK("https://otsuka-europe-crm.veevavault.com/ui/#object/email_activity__v/V8C00000004C287", "EN-002107452")</f>
        <v>EN-002107452</v>
      </c>
    </row>
    <row r="5935" spans="1:15" ht="16" x14ac:dyDescent="0.2">
      <c r="A5935" s="19"/>
      <c r="B5935" s="19"/>
      <c r="C5935" s="19"/>
      <c r="D5935" s="19"/>
      <c r="E5935" s="19"/>
      <c r="F5935" s="19"/>
      <c r="G5935" s="19"/>
      <c r="H5935" s="19"/>
      <c r="I5935" s="19"/>
      <c r="J5935" s="19"/>
      <c r="K5935" s="19"/>
      <c r="L5935" s="19"/>
      <c r="M5935" s="19"/>
      <c r="N5935" s="19"/>
      <c r="O5935" s="14" t="str">
        <f>HYPERLINK("https://otsuka-europe-crm.veevavault.com/ui/#object/email_activity__v/V8C00000004C308", "EN-002107474")</f>
        <v>EN-002107474</v>
      </c>
    </row>
    <row r="5936" spans="1:15" ht="16" x14ac:dyDescent="0.2">
      <c r="A5936" s="18" t="str">
        <f>HYPERLINK("https://otsuka-europe-crm.veevavault.com/ui/#object/account__v/V4T00000002B046", "ANA GARCIA IGLESIAS")</f>
        <v>ANA GARCIA IGLESIAS</v>
      </c>
      <c r="B5936" s="18" t="str">
        <f>HYPERLINK("https://otsuka-europe-crm.veevavault.com/ui/#object/vcountry__v/VENZ000004SONF5", "ES")</f>
        <v>ES</v>
      </c>
      <c r="C5936" s="20" t="s">
        <v>39</v>
      </c>
      <c r="D5936" s="21" t="str">
        <f>HYPERLINK("https://otsuka-europe-crm.veevavault.com/ui/#object/approved_document__v/V5OZ04ASG4FWKA7", "Reuniones Online Consent - 2")</f>
        <v>Reuniones Online Consent - 2</v>
      </c>
      <c r="E5936" s="22" t="str">
        <f>HYPERLINK("https://otsuka-europe-crm.veevavault.com/ui/#object/sent_email__v/VBL00000003A144", "SE-001444431")</f>
        <v>SE-001444431</v>
      </c>
      <c r="F5936" s="25">
        <v>46226.305694444447</v>
      </c>
      <c r="G5936" s="24">
        <v>1</v>
      </c>
      <c r="H5936" s="24">
        <v>3</v>
      </c>
      <c r="I5936" s="24">
        <v>0</v>
      </c>
      <c r="J5936" s="23"/>
      <c r="K5936" s="24">
        <v>0</v>
      </c>
      <c r="L5936" s="22" t="str">
        <f>HYPERLINK("https://otsuka-europe-crm.veevavault.com/ui/#object/approved_document__v/V5OZ04ASG4FWKA7", "Reuniones Online Consent - 2")</f>
        <v>Reuniones Online Consent - 2</v>
      </c>
      <c r="M5936" s="22" t="str">
        <f>HYPERLINK("mailto:jcastro@crm.otsuka-europe.com", "jcastro@crm.otsuka-europe.com")</f>
        <v>jcastro@crm.otsuka-europe.com</v>
      </c>
      <c r="N5936" s="25">
        <v>46226.299131944441</v>
      </c>
      <c r="O5936" s="14" t="str">
        <f>HYPERLINK("https://otsuka-europe-crm.veevavault.com/ui/#object/email_activity__v/V8C00000004B438", "EN-002107500")</f>
        <v>EN-002107500</v>
      </c>
    </row>
    <row r="5937" spans="1:15" ht="16" x14ac:dyDescent="0.2">
      <c r="A5937" s="26"/>
      <c r="B5937" s="26"/>
      <c r="C5937" s="26"/>
      <c r="D5937" s="26"/>
      <c r="E5937" s="26"/>
      <c r="F5937" s="26"/>
      <c r="G5937" s="26"/>
      <c r="H5937" s="26"/>
      <c r="I5937" s="26"/>
      <c r="J5937" s="26"/>
      <c r="K5937" s="26"/>
      <c r="L5937" s="26"/>
      <c r="M5937" s="26"/>
      <c r="N5937" s="26"/>
      <c r="O5937" s="14" t="str">
        <f>HYPERLINK("https://otsuka-europe-crm.veevavault.com/ui/#object/email_activity__v/V8C00000004B790", "EN-002108098")</f>
        <v>EN-002108098</v>
      </c>
    </row>
    <row r="5938" spans="1:15" ht="16" x14ac:dyDescent="0.2">
      <c r="A5938" s="26"/>
      <c r="B5938" s="26"/>
      <c r="C5938" s="26"/>
      <c r="D5938" s="26"/>
      <c r="E5938" s="26"/>
      <c r="F5938" s="26"/>
      <c r="G5938" s="26"/>
      <c r="H5938" s="26"/>
      <c r="I5938" s="26"/>
      <c r="J5938" s="26"/>
      <c r="K5938" s="26"/>
      <c r="L5938" s="26"/>
      <c r="M5938" s="26"/>
      <c r="N5938" s="26"/>
      <c r="O5938" s="14" t="str">
        <f>HYPERLINK("https://otsuka-europe-crm.veevavault.com/ui/#object/email_activity__v/V8C00000004C336", "EN-002107503")</f>
        <v>EN-002107503</v>
      </c>
    </row>
    <row r="5939" spans="1:15" ht="16" x14ac:dyDescent="0.2">
      <c r="A5939" s="19"/>
      <c r="B5939" s="19"/>
      <c r="C5939" s="19"/>
      <c r="D5939" s="19"/>
      <c r="E5939" s="19"/>
      <c r="F5939" s="19"/>
      <c r="G5939" s="19"/>
      <c r="H5939" s="19"/>
      <c r="I5939" s="19"/>
      <c r="J5939" s="19"/>
      <c r="K5939" s="19"/>
      <c r="L5939" s="19"/>
      <c r="M5939" s="19"/>
      <c r="N5939" s="19"/>
      <c r="O5939" s="14" t="str">
        <f>HYPERLINK("https://otsuka-europe-crm.veevavault.com/ui/#object/email_activity__v/V8C00000004C368", "EN-002107539")</f>
        <v>EN-002107539</v>
      </c>
    </row>
    <row r="5940" spans="1:15" ht="16" x14ac:dyDescent="0.2">
      <c r="A5940" s="18" t="str">
        <f>HYPERLINK("https://otsuka-europe-crm.veevavault.com/ui/#object/account__v/V4T00000002B046", "ANA GARCIA IGLESIAS")</f>
        <v>ANA GARCIA IGLESIAS</v>
      </c>
      <c r="B5940" s="18" t="str">
        <f>HYPERLINK("https://otsuka-europe-crm.veevavault.com/ui/#object/vcountry__v/VENZ000004SONF5", "ES")</f>
        <v>ES</v>
      </c>
      <c r="C5940" s="20" t="s">
        <v>39</v>
      </c>
      <c r="D5940" s="21" t="str">
        <f>HYPERLINK("https://otsuka-europe-crm.veevavault.com/ui/#object/approved_document__v/V5OZ04ASG4FWKA9", "Documento Autorizaciขn Centro Empleador")</f>
        <v>Documento Autorizaciขn Centro Empleador</v>
      </c>
      <c r="E5940" s="22" t="str">
        <f>HYPERLINK("https://otsuka-europe-crm.veevavault.com/ui/#object/sent_email__v/VBL00000003A145", "SE-001444432")</f>
        <v>SE-001444432</v>
      </c>
      <c r="F5940" s="23"/>
      <c r="G5940" s="24">
        <v>0</v>
      </c>
      <c r="H5940" s="24">
        <v>0</v>
      </c>
      <c r="I5940" s="24">
        <v>0</v>
      </c>
      <c r="J5940" s="23"/>
      <c r="K5940" s="24">
        <v>0</v>
      </c>
      <c r="L5940" s="22" t="str">
        <f>HYPERLINK("https://otsuka-europe-crm.veevavault.com/ui/#object/approved_document__v/V5OZ04ASG4FWKA9", "Documento Autorizaciขn Centro Empleador")</f>
        <v>Documento Autorizaciขn Centro Empleador</v>
      </c>
      <c r="M5940" s="22" t="str">
        <f>HYPERLINK("mailto:jcastro@crm.otsuka-europe.com", "jcastro@crm.otsuka-europe.com")</f>
        <v>jcastro@crm.otsuka-europe.com</v>
      </c>
      <c r="N5940" s="25">
        <v>46226.299155092594</v>
      </c>
      <c r="O5940" s="14" t="str">
        <f>HYPERLINK("https://otsuka-europe-crm.veevavault.com/ui/#object/email_activity__v/V8C00000004B561", "EN-002107672")</f>
        <v>EN-002107672</v>
      </c>
    </row>
    <row r="5941" spans="1:15" ht="16" x14ac:dyDescent="0.2">
      <c r="A5941" s="19"/>
      <c r="B5941" s="19"/>
      <c r="C5941" s="19"/>
      <c r="D5941" s="19"/>
      <c r="E5941" s="19"/>
      <c r="F5941" s="19"/>
      <c r="G5941" s="19"/>
      <c r="H5941" s="19"/>
      <c r="I5941" s="19"/>
      <c r="J5941" s="19"/>
      <c r="K5941" s="19"/>
      <c r="L5941" s="19"/>
      <c r="M5941" s="19"/>
      <c r="N5941" s="19"/>
      <c r="O5941" s="14" t="str">
        <f>HYPERLINK("https://otsuka-europe-crm.veevavault.com/ui/#object/email_activity__v/V8C00000004B758", "EN-002107983")</f>
        <v>EN-002107983</v>
      </c>
    </row>
    <row r="5942" spans="1:15" ht="16" x14ac:dyDescent="0.2">
      <c r="A5942" s="18" t="str">
        <f>HYPERLINK("https://otsuka-europe-crm.veevavault.com/ui/#object/account__v/V4T00000002B021", "ANA MARIA DORDEA")</f>
        <v>ANA MARIA DORDEA</v>
      </c>
      <c r="B5942" s="18" t="str">
        <f>HYPERLINK("https://otsuka-europe-crm.veevavault.com/ui/#object/vcountry__v/VENZ000004SONF5", "ES")</f>
        <v>ES</v>
      </c>
      <c r="C5942" s="20" t="s">
        <v>39</v>
      </c>
      <c r="D5942" s="21" t="str">
        <f>HYPERLINK("https://otsuka-europe-crm.veevavault.com/ui/#object/approved_document__v/V5O00000000D100", "Spain - Consent Email 1 Aug 25")</f>
        <v>Spain - Consent Email 1 Aug 25</v>
      </c>
      <c r="E5942" s="22" t="str">
        <f>HYPERLINK("https://otsuka-europe-crm.veevavault.com/ui/#object/sent_email__v/VBL00000003A146", "SE-001444433")</f>
        <v>SE-001444433</v>
      </c>
      <c r="F5942" s="25">
        <v>46226.299224537041</v>
      </c>
      <c r="G5942" s="24">
        <v>1</v>
      </c>
      <c r="H5942" s="24">
        <v>1</v>
      </c>
      <c r="I5942" s="24">
        <v>0</v>
      </c>
      <c r="J5942" s="23"/>
      <c r="K5942" s="24">
        <v>0</v>
      </c>
      <c r="L5942" s="22" t="str">
        <f>HYPERLINK("https://otsuka-europe-crm.veevavault.com/ui/#object/approved_document__v/V5O00000000D100", "Spain - Consent Email 1 Aug 25")</f>
        <v>Spain - Consent Email 1 Aug 25</v>
      </c>
      <c r="M5942" s="22" t="str">
        <f>HYPERLINK("mailto:jcastro@crm.otsuka-europe.com", "jcastro@crm.otsuka-europe.com")</f>
        <v>jcastro@crm.otsuka-europe.com</v>
      </c>
      <c r="N5942" s="25">
        <v>46226.299131944441</v>
      </c>
      <c r="O5942" s="14" t="str">
        <f>HYPERLINK("https://otsuka-europe-crm.veevavault.com/ui/#object/email_activity__v/V8C00000004B447", "EN-002107555")</f>
        <v>EN-002107555</v>
      </c>
    </row>
    <row r="5943" spans="1:15" ht="16" x14ac:dyDescent="0.2">
      <c r="A5943" s="19"/>
      <c r="B5943" s="19"/>
      <c r="C5943" s="19"/>
      <c r="D5943" s="19"/>
      <c r="E5943" s="19"/>
      <c r="F5943" s="19"/>
      <c r="G5943" s="19"/>
      <c r="H5943" s="19"/>
      <c r="I5943" s="19"/>
      <c r="J5943" s="19"/>
      <c r="K5943" s="19"/>
      <c r="L5943" s="19"/>
      <c r="M5943" s="19"/>
      <c r="N5943" s="19"/>
      <c r="O5943" s="14" t="str">
        <f>HYPERLINK("https://otsuka-europe-crm.veevavault.com/ui/#object/email_activity__v/V8C00000004B706", "EN-002107838")</f>
        <v>EN-002107838</v>
      </c>
    </row>
    <row r="5944" spans="1:15" ht="32" x14ac:dyDescent="0.2">
      <c r="A5944" s="7" t="str">
        <f>HYPERLINK("https://otsuka-europe-crm.veevavault.com/ui/#object/account__v/V4T00000002B021", "ANA MARIA DORDEA")</f>
        <v>ANA MARIA DORDEA</v>
      </c>
      <c r="B5944" s="7" t="str">
        <f>HYPERLINK("https://otsuka-europe-crm.veevavault.com/ui/#object/vcountry__v/VENZ000004SONF5", "ES")</f>
        <v>ES</v>
      </c>
      <c r="C5944" s="8" t="s">
        <v>39</v>
      </c>
      <c r="D5944" s="9" t="str">
        <f>HYPERLINK("https://otsuka-europe-crm.veevavault.com/ui/#object/approved_document__v/V5OZ04ASG4FWKA7", "Reuniones Online Consent - 2")</f>
        <v>Reuniones Online Consent - 2</v>
      </c>
      <c r="E5944" s="10" t="str">
        <f>HYPERLINK("https://otsuka-europe-crm.veevavault.com/ui/#object/sent_email__v/VBL00000003A147", "SE-001444434")</f>
        <v>SE-001444434</v>
      </c>
      <c r="F5944" s="11"/>
      <c r="G5944" s="12">
        <v>0</v>
      </c>
      <c r="H5944" s="12">
        <v>0</v>
      </c>
      <c r="I5944" s="12">
        <v>0</v>
      </c>
      <c r="J5944" s="11"/>
      <c r="K5944" s="12">
        <v>0</v>
      </c>
      <c r="L5944" s="10" t="str">
        <f>HYPERLINK("https://otsuka-europe-crm.veevavault.com/ui/#object/approved_document__v/V5OZ04ASG4FWKA7", "Reuniones Online Consent - 2")</f>
        <v>Reuniones Online Consent - 2</v>
      </c>
      <c r="M5944" s="10" t="str">
        <f>HYPERLINK("mailto:jcastro@crm.otsuka-europe.com", "jcastro@crm.otsuka-europe.com")</f>
        <v>jcastro@crm.otsuka-europe.com</v>
      </c>
      <c r="N5944" s="13">
        <v>46226.299131944441</v>
      </c>
      <c r="O5944" s="14" t="str">
        <f>HYPERLINK("https://otsuka-europe-crm.veevavault.com/ui/#object/email_activity__v/V8C00000004B346", "EN-002107359")</f>
        <v>EN-002107359</v>
      </c>
    </row>
    <row r="5945" spans="1:15" ht="32" x14ac:dyDescent="0.2">
      <c r="A5945" s="7" t="str">
        <f>HYPERLINK("https://otsuka-europe-crm.veevavault.com/ui/#object/account__v/V4T00000002B021", "ANA MARIA DORDEA")</f>
        <v>ANA MARIA DORDEA</v>
      </c>
      <c r="B5945" s="7" t="str">
        <f>HYPERLINK("https://otsuka-europe-crm.veevavault.com/ui/#object/vcountry__v/VENZ000004SONF5", "ES")</f>
        <v>ES</v>
      </c>
      <c r="C5945" s="8" t="s">
        <v>39</v>
      </c>
      <c r="D5945" s="9" t="str">
        <f>HYPERLINK("https://otsuka-europe-crm.veevavault.com/ui/#object/approved_document__v/V5OZ04ASG4FWKA9", "Documento Autorizaciขn Centro Empleador")</f>
        <v>Documento Autorizaciขn Centro Empleador</v>
      </c>
      <c r="E5945" s="10" t="str">
        <f>HYPERLINK("https://otsuka-europe-crm.veevavault.com/ui/#object/sent_email__v/VBL00000003A148", "SE-001444435")</f>
        <v>SE-001444435</v>
      </c>
      <c r="F5945" s="11"/>
      <c r="G5945" s="12">
        <v>0</v>
      </c>
      <c r="H5945" s="12">
        <v>0</v>
      </c>
      <c r="I5945" s="12">
        <v>0</v>
      </c>
      <c r="J5945" s="11"/>
      <c r="K5945" s="12">
        <v>0</v>
      </c>
      <c r="L5945" s="10" t="str">
        <f>HYPERLINK("https://otsuka-europe-crm.veevavault.com/ui/#object/approved_document__v/V5OZ04ASG4FWKA9", "Documento Autorizaciขn Centro Empleador")</f>
        <v>Documento Autorizaciขn Centro Empleador</v>
      </c>
      <c r="M5945" s="10" t="str">
        <f>HYPERLINK("mailto:jcastro@crm.otsuka-europe.com", "jcastro@crm.otsuka-europe.com")</f>
        <v>jcastro@crm.otsuka-europe.com</v>
      </c>
      <c r="N5945" s="13">
        <v>46226.299155092594</v>
      </c>
      <c r="O5945" s="14" t="str">
        <f>HYPERLINK("https://otsuka-europe-crm.veevavault.com/ui/#object/email_activity__v/V8C00000004B307", "EN-002107267")</f>
        <v>EN-002107267</v>
      </c>
    </row>
    <row r="5946" spans="1:15" ht="16" x14ac:dyDescent="0.2">
      <c r="A5946" s="18" t="str">
        <f>HYPERLINK("https://otsuka-europe-crm.veevavault.com/ui/#object/account__v/V4T00000002B021", "ANA MARIA DORDEA")</f>
        <v>ANA MARIA DORDEA</v>
      </c>
      <c r="B5946" s="18" t="str">
        <f>HYPERLINK("https://otsuka-europe-crm.veevavault.com/ui/#object/vcountry__v/VENZ000004SONF5", "ES")</f>
        <v>ES</v>
      </c>
      <c r="C5946" s="20" t="s">
        <v>39</v>
      </c>
      <c r="D5946" s="21" t="str">
        <f>HYPERLINK("https://otsuka-europe-crm.veevavault.com/ui/#object/approved_document__v/V5OZ06G6O6RFL1P", "ES Veeva Privacy Notice Email")</f>
        <v>ES Veeva Privacy Notice Email</v>
      </c>
      <c r="E5946" s="22" t="str">
        <f>HYPERLINK("https://otsuka-europe-crm.veevavault.com/ui/#object/sent_email__v/VBL00000003A149", "SE-001444436")</f>
        <v>SE-001444436</v>
      </c>
      <c r="F5946" s="25">
        <v>46226.29923611111</v>
      </c>
      <c r="G5946" s="24">
        <v>1</v>
      </c>
      <c r="H5946" s="24">
        <v>1</v>
      </c>
      <c r="I5946" s="24">
        <v>0</v>
      </c>
      <c r="J5946" s="23"/>
      <c r="K5946" s="24">
        <v>0</v>
      </c>
      <c r="L5946" s="22" t="str">
        <f>HYPERLINK("https://otsuka-europe-crm.veevavault.com/ui/#object/approved_document__v/V5OZ06G6O6RFL1P", "ES Veeva Privacy Notice Email")</f>
        <v>ES Veeva Privacy Notice Email</v>
      </c>
      <c r="M5946" s="22" t="str">
        <f>HYPERLINK("mailto:jcastro@crm.otsuka-europe.com", "jcastro@crm.otsuka-europe.com")</f>
        <v>jcastro@crm.otsuka-europe.com</v>
      </c>
      <c r="N5946" s="25">
        <v>46226.299178240741</v>
      </c>
      <c r="O5946" s="14" t="str">
        <f>HYPERLINK("https://otsuka-europe-crm.veevavault.com/ui/#object/email_activity__v/V8C00000004B309", "EN-002107269")</f>
        <v>EN-002107269</v>
      </c>
    </row>
    <row r="5947" spans="1:15" ht="16" x14ac:dyDescent="0.2">
      <c r="A5947" s="19"/>
      <c r="B5947" s="19"/>
      <c r="C5947" s="19"/>
      <c r="D5947" s="19"/>
      <c r="E5947" s="19"/>
      <c r="F5947" s="19"/>
      <c r="G5947" s="19"/>
      <c r="H5947" s="19"/>
      <c r="I5947" s="19"/>
      <c r="J5947" s="19"/>
      <c r="K5947" s="19"/>
      <c r="L5947" s="19"/>
      <c r="M5947" s="19"/>
      <c r="N5947" s="19"/>
      <c r="O5947" s="14" t="str">
        <f>HYPERLINK("https://otsuka-europe-crm.veevavault.com/ui/#object/email_activity__v/V8C00000004B793", "EN-002108101")</f>
        <v>EN-002108101</v>
      </c>
    </row>
    <row r="5948" spans="1:15" ht="16" x14ac:dyDescent="0.2">
      <c r="A5948" s="18" t="str">
        <f>HYPERLINK("https://otsuka-europe-crm.veevavault.com/ui/#object/account__v/V4T00000002B046", "ANA GARCIA IGLESIAS")</f>
        <v>ANA GARCIA IGLESIAS</v>
      </c>
      <c r="B5948" s="18" t="str">
        <f>HYPERLINK("https://otsuka-europe-crm.veevavault.com/ui/#object/vcountry__v/VENZ000004SONF5", "ES")</f>
        <v>ES</v>
      </c>
      <c r="C5948" s="20" t="s">
        <v>39</v>
      </c>
      <c r="D5948" s="21" t="str">
        <f>HYPERLINK("https://otsuka-europe-crm.veevavault.com/ui/#object/approved_document__v/V5OZ06G6O6RFL1P", "ES Veeva Privacy Notice Email")</f>
        <v>ES Veeva Privacy Notice Email</v>
      </c>
      <c r="E5948" s="22" t="str">
        <f>HYPERLINK("https://otsuka-europe-crm.veevavault.com/ui/#object/sent_email__v/VBL000000039050", "SE-001444437")</f>
        <v>SE-001444437</v>
      </c>
      <c r="F5948" s="25">
        <v>46226.305717592593</v>
      </c>
      <c r="G5948" s="24">
        <v>1</v>
      </c>
      <c r="H5948" s="24">
        <v>3</v>
      </c>
      <c r="I5948" s="24">
        <v>0</v>
      </c>
      <c r="J5948" s="23"/>
      <c r="K5948" s="24">
        <v>0</v>
      </c>
      <c r="L5948" s="22" t="str">
        <f>HYPERLINK("https://otsuka-europe-crm.veevavault.com/ui/#object/approved_document__v/V5OZ06G6O6RFL1P", "ES Veeva Privacy Notice Email")</f>
        <v>ES Veeva Privacy Notice Email</v>
      </c>
      <c r="M5948" s="22" t="str">
        <f>HYPERLINK("mailto:jcastro@crm.otsuka-europe.com", "jcastro@crm.otsuka-europe.com")</f>
        <v>jcastro@crm.otsuka-europe.com</v>
      </c>
      <c r="N5948" s="25">
        <v>46226.299189814818</v>
      </c>
      <c r="O5948" s="14" t="str">
        <f>HYPERLINK("https://otsuka-europe-crm.veevavault.com/ui/#object/email_activity__v/V8C00000004B416", "EN-002107430")</f>
        <v>EN-002107430</v>
      </c>
    </row>
    <row r="5949" spans="1:15" ht="16" x14ac:dyDescent="0.2">
      <c r="A5949" s="26"/>
      <c r="B5949" s="26"/>
      <c r="C5949" s="26"/>
      <c r="D5949" s="26"/>
      <c r="E5949" s="26"/>
      <c r="F5949" s="26"/>
      <c r="G5949" s="26"/>
      <c r="H5949" s="26"/>
      <c r="I5949" s="26"/>
      <c r="J5949" s="26"/>
      <c r="K5949" s="26"/>
      <c r="L5949" s="26"/>
      <c r="M5949" s="26"/>
      <c r="N5949" s="26"/>
      <c r="O5949" s="14" t="str">
        <f>HYPERLINK("https://otsuka-europe-crm.veevavault.com/ui/#object/email_activity__v/V8C00000004B684", "EN-002107811")</f>
        <v>EN-002107811</v>
      </c>
    </row>
    <row r="5950" spans="1:15" ht="16" x14ac:dyDescent="0.2">
      <c r="A5950" s="26"/>
      <c r="B5950" s="26"/>
      <c r="C5950" s="26"/>
      <c r="D5950" s="26"/>
      <c r="E5950" s="26"/>
      <c r="F5950" s="26"/>
      <c r="G5950" s="26"/>
      <c r="H5950" s="26"/>
      <c r="I5950" s="26"/>
      <c r="J5950" s="26"/>
      <c r="K5950" s="26"/>
      <c r="L5950" s="26"/>
      <c r="M5950" s="26"/>
      <c r="N5950" s="26"/>
      <c r="O5950" s="14" t="str">
        <f>HYPERLINK("https://otsuka-europe-crm.veevavault.com/ui/#object/email_activity__v/V8C00000004B874", "EN-002108185")</f>
        <v>EN-002108185</v>
      </c>
    </row>
    <row r="5951" spans="1:15" ht="16" x14ac:dyDescent="0.2">
      <c r="A5951" s="19"/>
      <c r="B5951" s="19"/>
      <c r="C5951" s="19"/>
      <c r="D5951" s="19"/>
      <c r="E5951" s="19"/>
      <c r="F5951" s="19"/>
      <c r="G5951" s="19"/>
      <c r="H5951" s="19"/>
      <c r="I5951" s="19"/>
      <c r="J5951" s="19"/>
      <c r="K5951" s="19"/>
      <c r="L5951" s="19"/>
      <c r="M5951" s="19"/>
      <c r="N5951" s="19"/>
      <c r="O5951" s="14" t="str">
        <f>HYPERLINK("https://otsuka-europe-crm.veevavault.com/ui/#object/email_activity__v/V8C00000004C556", "EN-002108066")</f>
        <v>EN-002108066</v>
      </c>
    </row>
    <row r="5952" spans="1:15" ht="16" x14ac:dyDescent="0.2">
      <c r="A5952" s="18" t="str">
        <f>HYPERLINK("https://otsuka-europe-crm.veevavault.com/ui/#object/account__v/V4TZ06G6O7VT6I2", "MARIA PAZ GONZALEZ CALVO")</f>
        <v>MARIA PAZ GONZALEZ CALVO</v>
      </c>
      <c r="B5952" s="18" t="str">
        <f>HYPERLINK("https://otsuka-europe-crm.veevavault.com/ui/#object/vcountry__v/VENZ000004SONF5", "ES")</f>
        <v>ES</v>
      </c>
      <c r="C5952" s="20" t="s">
        <v>39</v>
      </c>
      <c r="D5952" s="21" t="str">
        <f>HYPERLINK("https://otsuka-europe-crm.veevavault.com/ui/#object/approved_document__v/V5OZ04ASG4FWKA9", "Documento Autorizaciขn Centro Empleador")</f>
        <v>Documento Autorizaciขn Centro Empleador</v>
      </c>
      <c r="E5952" s="22" t="str">
        <f>HYPERLINK("https://otsuka-europe-crm.veevavault.com/ui/#object/sent_email__v/VBL000000039051", "SE-001444438")</f>
        <v>SE-001444438</v>
      </c>
      <c r="F5952" s="25">
        <v>46229.936192129629</v>
      </c>
      <c r="G5952" s="24">
        <v>1</v>
      </c>
      <c r="H5952" s="24">
        <v>1</v>
      </c>
      <c r="I5952" s="24">
        <v>1</v>
      </c>
      <c r="J5952" s="25">
        <v>46229.936412037037</v>
      </c>
      <c r="K5952" s="24">
        <v>2</v>
      </c>
      <c r="L5952" s="22" t="str">
        <f>HYPERLINK("https://otsuka-europe-crm.veevavault.com/ui/#object/approved_document__v/V5OZ04ASG4FWKA9", "Documento Autorizaciขn Centro Empleador")</f>
        <v>Documento Autorizaciขn Centro Empleador</v>
      </c>
      <c r="M5952" s="22" t="str">
        <f>HYPERLINK("mailto:msanchezagustino@crm.otsuka-europe.com", "msanchezagustino@crm.otsuka-europe.com")</f>
        <v>msanchezagustino@crm.otsuka-europe.com</v>
      </c>
      <c r="N5952" s="25">
        <v>46226.299155092594</v>
      </c>
      <c r="O5952" s="14" t="str">
        <f>HYPERLINK("https://otsuka-europe-crm.veevavault.com/ui/#object/email_activity__v/V8C00000004B398", "EN-002107412")</f>
        <v>EN-002107412</v>
      </c>
    </row>
    <row r="5953" spans="1:15" ht="16" x14ac:dyDescent="0.2">
      <c r="A5953" s="26"/>
      <c r="B5953" s="26"/>
      <c r="C5953" s="26"/>
      <c r="D5953" s="26"/>
      <c r="E5953" s="26"/>
      <c r="F5953" s="26"/>
      <c r="G5953" s="26"/>
      <c r="H5953" s="26"/>
      <c r="I5953" s="26"/>
      <c r="J5953" s="26"/>
      <c r="K5953" s="26"/>
      <c r="L5953" s="26"/>
      <c r="M5953" s="26"/>
      <c r="N5953" s="26"/>
      <c r="O5953" s="14" t="str">
        <f>HYPERLINK("https://otsuka-europe-crm.veevavault.com/ui/#object/email_activity__v/V8C00000004D488", "EN-002109059")</f>
        <v>EN-002109059</v>
      </c>
    </row>
    <row r="5954" spans="1:15" ht="16" x14ac:dyDescent="0.2">
      <c r="A5954" s="26"/>
      <c r="B5954" s="26"/>
      <c r="C5954" s="26"/>
      <c r="D5954" s="26"/>
      <c r="E5954" s="26"/>
      <c r="F5954" s="26"/>
      <c r="G5954" s="26"/>
      <c r="H5954" s="26"/>
      <c r="I5954" s="26"/>
      <c r="J5954" s="26"/>
      <c r="K5954" s="26"/>
      <c r="L5954" s="26"/>
      <c r="M5954" s="26"/>
      <c r="N5954" s="26"/>
      <c r="O5954" s="14" t="str">
        <f>HYPERLINK("https://otsuka-europe-crm.veevavault.com/ui/#object/email_activity__v/V8C00000004D489", "EN-002109060")</f>
        <v>EN-002109060</v>
      </c>
    </row>
    <row r="5955" spans="1:15" ht="16" x14ac:dyDescent="0.2">
      <c r="A5955" s="19"/>
      <c r="B5955" s="19"/>
      <c r="C5955" s="19"/>
      <c r="D5955" s="19"/>
      <c r="E5955" s="19"/>
      <c r="F5955" s="19"/>
      <c r="G5955" s="19"/>
      <c r="H5955" s="19"/>
      <c r="I5955" s="19"/>
      <c r="J5955" s="19"/>
      <c r="K5955" s="19"/>
      <c r="L5955" s="19"/>
      <c r="M5955" s="19"/>
      <c r="N5955" s="19"/>
      <c r="O5955" s="14" t="str">
        <f>HYPERLINK("https://otsuka-europe-crm.veevavault.com/ui/#object/email_activity__v/V8C00000004E353", "EN-002109058")</f>
        <v>EN-002109058</v>
      </c>
    </row>
    <row r="5956" spans="1:15" ht="16" x14ac:dyDescent="0.2">
      <c r="A5956" s="18" t="str">
        <f>HYPERLINK("https://otsuka-europe-crm.veevavault.com/ui/#object/account__v/V4T00000002E014", "SANDRA CASTAÑO DIEZ")</f>
        <v>SANDRA CASTAÑO DIEZ</v>
      </c>
      <c r="B5956" s="18" t="str">
        <f>HYPERLINK("https://otsuka-europe-crm.veevavault.com/ui/#object/vcountry__v/VENZ000004SONF5", "ES")</f>
        <v>ES</v>
      </c>
      <c r="C5956" s="20" t="s">
        <v>39</v>
      </c>
      <c r="D5956" s="21" t="str">
        <f>HYPERLINK("https://otsuka-europe-crm.veevavault.com/ui/#object/approved_document__v/V5O00000000D100", "Spain - Consent Email 1 Aug 25")</f>
        <v>Spain - Consent Email 1 Aug 25</v>
      </c>
      <c r="E5956" s="22" t="str">
        <f>HYPERLINK("https://otsuka-europe-crm.veevavault.com/ui/#object/sent_email__v/VBL00000003A150", "SE-001444439")</f>
        <v>SE-001444439</v>
      </c>
      <c r="F5956" s="23"/>
      <c r="G5956" s="24">
        <v>0</v>
      </c>
      <c r="H5956" s="24">
        <v>0</v>
      </c>
      <c r="I5956" s="24">
        <v>0</v>
      </c>
      <c r="J5956" s="23"/>
      <c r="K5956" s="24">
        <v>0</v>
      </c>
      <c r="L5956" s="22" t="str">
        <f>HYPERLINK("https://otsuka-europe-crm.veevavault.com/ui/#object/approved_document__v/V5O00000000D100", "Spain - Consent Email 1 Aug 25")</f>
        <v>Spain - Consent Email 1 Aug 25</v>
      </c>
      <c r="M5956" s="22" t="str">
        <f>HYPERLINK("mailto:ccoll@crm.otsuka-europe.com", "ccoll@crm.otsuka-europe.com")</f>
        <v>ccoll@crm.otsuka-europe.com</v>
      </c>
      <c r="N5956" s="25">
        <v>46226.299131944441</v>
      </c>
      <c r="O5956" s="14" t="str">
        <f>HYPERLINK("https://otsuka-europe-crm.veevavault.com/ui/#object/email_activity__v/V8C00000004B562", "EN-002107673")</f>
        <v>EN-002107673</v>
      </c>
    </row>
    <row r="5957" spans="1:15" ht="16" x14ac:dyDescent="0.2">
      <c r="A5957" s="19"/>
      <c r="B5957" s="19"/>
      <c r="C5957" s="19"/>
      <c r="D5957" s="19"/>
      <c r="E5957" s="19"/>
      <c r="F5957" s="19"/>
      <c r="G5957" s="19"/>
      <c r="H5957" s="19"/>
      <c r="I5957" s="19"/>
      <c r="J5957" s="19"/>
      <c r="K5957" s="19"/>
      <c r="L5957" s="19"/>
      <c r="M5957" s="19"/>
      <c r="N5957" s="19"/>
      <c r="O5957" s="14" t="str">
        <f>HYPERLINK("https://otsuka-europe-crm.veevavault.com/ui/#object/email_activity__v/V8C00000004C562", "EN-002108072")</f>
        <v>EN-002108072</v>
      </c>
    </row>
    <row r="5958" spans="1:15" ht="32" x14ac:dyDescent="0.2">
      <c r="A5958" s="7" t="str">
        <f>HYPERLINK("https://otsuka-europe-crm.veevavault.com/ui/#object/account__v/V4T00000002E014", "SANDRA CASTAÑO DIEZ")</f>
        <v>SANDRA CASTAÑO DIEZ</v>
      </c>
      <c r="B5958" s="7" t="str">
        <f>HYPERLINK("https://otsuka-europe-crm.veevavault.com/ui/#object/vcountry__v/VENZ000004SONF5", "ES")</f>
        <v>ES</v>
      </c>
      <c r="C5958" s="8" t="s">
        <v>39</v>
      </c>
      <c r="D5958" s="9" t="str">
        <f>HYPERLINK("https://otsuka-europe-crm.veevavault.com/ui/#object/approved_document__v/V5OZ04ASG4FWKA7", "Reuniones Online Consent - 2")</f>
        <v>Reuniones Online Consent - 2</v>
      </c>
      <c r="E5958" s="10" t="str">
        <f>HYPERLINK("https://otsuka-europe-crm.veevavault.com/ui/#object/sent_email__v/VBL00000003A151", "SE-001444440")</f>
        <v>SE-001444440</v>
      </c>
      <c r="F5958" s="11"/>
      <c r="G5958" s="12">
        <v>0</v>
      </c>
      <c r="H5958" s="12">
        <v>0</v>
      </c>
      <c r="I5958" s="12">
        <v>0</v>
      </c>
      <c r="J5958" s="11"/>
      <c r="K5958" s="12">
        <v>0</v>
      </c>
      <c r="L5958" s="10" t="str">
        <f>HYPERLINK("https://otsuka-europe-crm.veevavault.com/ui/#object/approved_document__v/V5OZ04ASG4FWKA7", "Reuniones Online Consent - 2")</f>
        <v>Reuniones Online Consent - 2</v>
      </c>
      <c r="M5958" s="10" t="str">
        <f>HYPERLINK("mailto:ccoll@crm.otsuka-europe.com", "ccoll@crm.otsuka-europe.com")</f>
        <v>ccoll@crm.otsuka-europe.com</v>
      </c>
      <c r="N5958" s="13">
        <v>46226.299131944441</v>
      </c>
      <c r="O5958" s="14" t="str">
        <f>HYPERLINK("https://otsuka-europe-crm.veevavault.com/ui/#object/email_activity__v/V8C00000004B380", "EN-002107393")</f>
        <v>EN-002107393</v>
      </c>
    </row>
    <row r="5959" spans="1:15" ht="32" x14ac:dyDescent="0.2">
      <c r="A5959" s="7" t="str">
        <f>HYPERLINK("https://otsuka-europe-crm.veevavault.com/ui/#object/account__v/V4T00000002E014", "SANDRA CASTAÑO DIEZ")</f>
        <v>SANDRA CASTAÑO DIEZ</v>
      </c>
      <c r="B5959" s="7" t="str">
        <f>HYPERLINK("https://otsuka-europe-crm.veevavault.com/ui/#object/vcountry__v/VENZ000004SONF5", "ES")</f>
        <v>ES</v>
      </c>
      <c r="C5959" s="8" t="s">
        <v>39</v>
      </c>
      <c r="D5959" s="9" t="str">
        <f>HYPERLINK("https://otsuka-europe-crm.veevavault.com/ui/#object/approved_document__v/V5OZ04ASG4FWKA9", "Documento Autorizaciขn Centro Empleador")</f>
        <v>Documento Autorizaciขn Centro Empleador</v>
      </c>
      <c r="E5959" s="10" t="str">
        <f>HYPERLINK("https://otsuka-europe-crm.veevavault.com/ui/#object/sent_email__v/VBL000000039052", "SE-001444441")</f>
        <v>SE-001444441</v>
      </c>
      <c r="F5959" s="11"/>
      <c r="G5959" s="12">
        <v>0</v>
      </c>
      <c r="H5959" s="12">
        <v>0</v>
      </c>
      <c r="I5959" s="12">
        <v>0</v>
      </c>
      <c r="J5959" s="11"/>
      <c r="K5959" s="12">
        <v>0</v>
      </c>
      <c r="L5959" s="10" t="str">
        <f>HYPERLINK("https://otsuka-europe-crm.veevavault.com/ui/#object/approved_document__v/V5OZ04ASG4FWKA9", "Documento Autorizaciขn Centro Empleador")</f>
        <v>Documento Autorizaciขn Centro Empleador</v>
      </c>
      <c r="M5959" s="10" t="str">
        <f>HYPERLINK("mailto:ccoll@crm.otsuka-europe.com", "ccoll@crm.otsuka-europe.com")</f>
        <v>ccoll@crm.otsuka-europe.com</v>
      </c>
      <c r="N5959" s="13">
        <v>46226.299143518518</v>
      </c>
      <c r="O5959" s="14" t="str">
        <f>HYPERLINK("https://otsuka-europe-crm.veevavault.com/ui/#object/email_activity__v/V8C00000004B448", "EN-002107556")</f>
        <v>EN-002107556</v>
      </c>
    </row>
    <row r="5960" spans="1:15" ht="16" x14ac:dyDescent="0.2">
      <c r="A5960" s="18" t="str">
        <f>HYPERLINK("https://otsuka-europe-crm.veevavault.com/ui/#object/account__v/V4TZ06G6O71T7A3", "PILAR MILAN FERNANDEZ")</f>
        <v>PILAR MILAN FERNANDEZ</v>
      </c>
      <c r="B5960" s="18" t="str">
        <f>HYPERLINK("https://otsuka-europe-crm.veevavault.com/ui/#object/vcountry__v/VENZ000004SONF5", "ES")</f>
        <v>ES</v>
      </c>
      <c r="C5960" s="20" t="s">
        <v>39</v>
      </c>
      <c r="D5960" s="21" t="str">
        <f>HYPERLINK("https://otsuka-europe-crm.veevavault.com/ui/#object/approved_document__v/V5OZ04ASG4FWKA9", "Documento Autorizaciขn Centro Empleador")</f>
        <v>Documento Autorizaciขn Centro Empleador</v>
      </c>
      <c r="E5960" s="22" t="str">
        <f>HYPERLINK("https://otsuka-europe-crm.veevavault.com/ui/#object/sent_email__v/VBL00000003A152", "SE-001444442")</f>
        <v>SE-001444442</v>
      </c>
      <c r="F5960" s="25">
        <v>46226.517951388887</v>
      </c>
      <c r="G5960" s="24">
        <v>1</v>
      </c>
      <c r="H5960" s="24">
        <v>4</v>
      </c>
      <c r="I5960" s="24">
        <v>0</v>
      </c>
      <c r="J5960" s="23"/>
      <c r="K5960" s="24">
        <v>0</v>
      </c>
      <c r="L5960" s="22" t="str">
        <f>HYPERLINK("https://otsuka-europe-crm.veevavault.com/ui/#object/approved_document__v/V5OZ04ASG4FWKA9", "Documento Autorizaciขn Centro Empleador")</f>
        <v>Documento Autorizaciขn Centro Empleador</v>
      </c>
      <c r="M5960" s="22" t="str">
        <f>HYPERLINK("mailto:jcastro@crm.otsuka-europe.com", "jcastro@crm.otsuka-europe.com")</f>
        <v>jcastro@crm.otsuka-europe.com</v>
      </c>
      <c r="N5960" s="25">
        <v>46226.299131944441</v>
      </c>
      <c r="O5960" s="14" t="str">
        <f>HYPERLINK("https://otsuka-europe-crm.veevavault.com/ui/#object/email_activity__v/V8C00000004B772", "EN-002107997")</f>
        <v>EN-002107997</v>
      </c>
    </row>
    <row r="5961" spans="1:15" ht="16" x14ac:dyDescent="0.2">
      <c r="A5961" s="26"/>
      <c r="B5961" s="26"/>
      <c r="C5961" s="26"/>
      <c r="D5961" s="26"/>
      <c r="E5961" s="26"/>
      <c r="F5961" s="26"/>
      <c r="G5961" s="26"/>
      <c r="H5961" s="26"/>
      <c r="I5961" s="26"/>
      <c r="J5961" s="26"/>
      <c r="K5961" s="26"/>
      <c r="L5961" s="26"/>
      <c r="M5961" s="26"/>
      <c r="N5961" s="26"/>
      <c r="O5961" s="14" t="str">
        <f>HYPERLINK("https://otsuka-europe-crm.veevavault.com/ui/#object/email_activity__v/V8C00000004B842", "EN-002108150")</f>
        <v>EN-002108150</v>
      </c>
    </row>
    <row r="5962" spans="1:15" ht="16" x14ac:dyDescent="0.2">
      <c r="A5962" s="26"/>
      <c r="B5962" s="26"/>
      <c r="C5962" s="26"/>
      <c r="D5962" s="26"/>
      <c r="E5962" s="26"/>
      <c r="F5962" s="26"/>
      <c r="G5962" s="26"/>
      <c r="H5962" s="26"/>
      <c r="I5962" s="26"/>
      <c r="J5962" s="26"/>
      <c r="K5962" s="26"/>
      <c r="L5962" s="26"/>
      <c r="M5962" s="26"/>
      <c r="N5962" s="26"/>
      <c r="O5962" s="14" t="str">
        <f>HYPERLINK("https://otsuka-europe-crm.veevavault.com/ui/#object/email_activity__v/V8C00000004B843", "EN-002108151")</f>
        <v>EN-002108151</v>
      </c>
    </row>
    <row r="5963" spans="1:15" ht="16" x14ac:dyDescent="0.2">
      <c r="A5963" s="26"/>
      <c r="B5963" s="26"/>
      <c r="C5963" s="26"/>
      <c r="D5963" s="26"/>
      <c r="E5963" s="26"/>
      <c r="F5963" s="26"/>
      <c r="G5963" s="26"/>
      <c r="H5963" s="26"/>
      <c r="I5963" s="26"/>
      <c r="J5963" s="26"/>
      <c r="K5963" s="26"/>
      <c r="L5963" s="26"/>
      <c r="M5963" s="26"/>
      <c r="N5963" s="26"/>
      <c r="O5963" s="14" t="str">
        <f>HYPERLINK("https://otsuka-europe-crm.veevavault.com/ui/#object/email_activity__v/V8C00000004C307", "EN-002107473")</f>
        <v>EN-002107473</v>
      </c>
    </row>
    <row r="5964" spans="1:15" ht="16" x14ac:dyDescent="0.2">
      <c r="A5964" s="19"/>
      <c r="B5964" s="19"/>
      <c r="C5964" s="19"/>
      <c r="D5964" s="19"/>
      <c r="E5964" s="19"/>
      <c r="F5964" s="19"/>
      <c r="G5964" s="19"/>
      <c r="H5964" s="19"/>
      <c r="I5964" s="19"/>
      <c r="J5964" s="19"/>
      <c r="K5964" s="19"/>
      <c r="L5964" s="19"/>
      <c r="M5964" s="19"/>
      <c r="N5964" s="19"/>
      <c r="O5964" s="14" t="str">
        <f>HYPERLINK("https://otsuka-europe-crm.veevavault.com/ui/#object/email_activity__v/V8C00000004C462", "EN-002107929")</f>
        <v>EN-002107929</v>
      </c>
    </row>
    <row r="5965" spans="1:15" ht="16" x14ac:dyDescent="0.2">
      <c r="A5965" s="18" t="str">
        <f>HYPERLINK("https://otsuka-europe-crm.veevavault.com/ui/#object/account__v/V4TZ025E82TDWQY", "ANA GUARDIA MOLINA")</f>
        <v>ANA GUARDIA MOLINA</v>
      </c>
      <c r="B5965" s="18" t="str">
        <f>HYPERLINK("https://otsuka-europe-crm.veevavault.com/ui/#object/vcountry__v/VENZ000004SONF5", "ES")</f>
        <v>ES</v>
      </c>
      <c r="C5965" s="20" t="s">
        <v>39</v>
      </c>
      <c r="D5965" s="21" t="str">
        <f>HYPERLINK("https://otsuka-europe-crm.veevavault.com/ui/#object/approved_document__v/V5OZ04ASG4FWKA9", "Documento Autorizaciขn Centro Empleador")</f>
        <v>Documento Autorizaciขn Centro Empleador</v>
      </c>
      <c r="E5965" s="22" t="str">
        <f>HYPERLINK("https://otsuka-europe-crm.veevavault.com/ui/#object/sent_email__v/VBL00000003A153", "SE-001444443")</f>
        <v>SE-001444443</v>
      </c>
      <c r="F5965" s="25">
        <v>46226.341412037036</v>
      </c>
      <c r="G5965" s="24">
        <v>1</v>
      </c>
      <c r="H5965" s="24">
        <v>2</v>
      </c>
      <c r="I5965" s="24">
        <v>1</v>
      </c>
      <c r="J5965" s="25">
        <v>46226.341574074075</v>
      </c>
      <c r="K5965" s="24">
        <v>1</v>
      </c>
      <c r="L5965" s="22" t="str">
        <f>HYPERLINK("https://otsuka-europe-crm.veevavault.com/ui/#object/approved_document__v/V5OZ04ASG4FWKA9", "Documento Autorizaciขn Centro Empleador")</f>
        <v>Documento Autorizaciขn Centro Empleador</v>
      </c>
      <c r="M5965" s="22" t="str">
        <f>HYPERLINK("mailto:jcastro@crm.otsuka-europe.com", "jcastro@crm.otsuka-europe.com")</f>
        <v>jcastro@crm.otsuka-europe.com</v>
      </c>
      <c r="N5965" s="25">
        <v>46226.299131944441</v>
      </c>
      <c r="O5965" s="14" t="str">
        <f>HYPERLINK("https://otsuka-europe-crm.veevavault.com/ui/#object/email_activity__v/V8C00000004B378", "EN-002107391")</f>
        <v>EN-002107391</v>
      </c>
    </row>
    <row r="5966" spans="1:15" ht="16" x14ac:dyDescent="0.2">
      <c r="A5966" s="26"/>
      <c r="B5966" s="26"/>
      <c r="C5966" s="26"/>
      <c r="D5966" s="26"/>
      <c r="E5966" s="26"/>
      <c r="F5966" s="26"/>
      <c r="G5966" s="26"/>
      <c r="H5966" s="26"/>
      <c r="I5966" s="26"/>
      <c r="J5966" s="26"/>
      <c r="K5966" s="26"/>
      <c r="L5966" s="26"/>
      <c r="M5966" s="26"/>
      <c r="N5966" s="26"/>
      <c r="O5966" s="14" t="str">
        <f>HYPERLINK("https://otsuka-europe-crm.veevavault.com/ui/#object/email_activity__v/V8C00000004B634", "EN-002107745")</f>
        <v>EN-002107745</v>
      </c>
    </row>
    <row r="5967" spans="1:15" ht="16" x14ac:dyDescent="0.2">
      <c r="A5967" s="26"/>
      <c r="B5967" s="26"/>
      <c r="C5967" s="26"/>
      <c r="D5967" s="26"/>
      <c r="E5967" s="26"/>
      <c r="F5967" s="26"/>
      <c r="G5967" s="26"/>
      <c r="H5967" s="26"/>
      <c r="I5967" s="26"/>
      <c r="J5967" s="26"/>
      <c r="K5967" s="26"/>
      <c r="L5967" s="26"/>
      <c r="M5967" s="26"/>
      <c r="N5967" s="26"/>
      <c r="O5967" s="14" t="str">
        <f>HYPERLINK("https://otsuka-europe-crm.veevavault.com/ui/#object/email_activity__v/V8C00000004C422", "EN-002107863")</f>
        <v>EN-002107863</v>
      </c>
    </row>
    <row r="5968" spans="1:15" ht="16" x14ac:dyDescent="0.2">
      <c r="A5968" s="19"/>
      <c r="B5968" s="19"/>
      <c r="C5968" s="19"/>
      <c r="D5968" s="19"/>
      <c r="E5968" s="19"/>
      <c r="F5968" s="19"/>
      <c r="G5968" s="19"/>
      <c r="H5968" s="19"/>
      <c r="I5968" s="19"/>
      <c r="J5968" s="19"/>
      <c r="K5968" s="19"/>
      <c r="L5968" s="19"/>
      <c r="M5968" s="19"/>
      <c r="N5968" s="19"/>
      <c r="O5968" s="14" t="str">
        <f>HYPERLINK("https://otsuka-europe-crm.veevavault.com/ui/#object/email_activity__v/V8C00000004C515", "EN-002108013")</f>
        <v>EN-002108013</v>
      </c>
    </row>
    <row r="5969" spans="1:15" ht="16" x14ac:dyDescent="0.2">
      <c r="A5969" s="18" t="str">
        <f>HYPERLINK("https://otsuka-europe-crm.veevavault.com/ui/#object/account__v/V4T00000001K066", "ALBA CHIARA POZZI")</f>
        <v>ALBA CHIARA POZZI</v>
      </c>
      <c r="B5969" s="18" t="str">
        <f>HYPERLINK("https://otsuka-europe-crm.veevavault.com/ui/#object/vcountry__v/VENZ000004SONFQ", "IT")</f>
        <v>IT</v>
      </c>
      <c r="C5969" s="20" t="s">
        <v>42</v>
      </c>
      <c r="D5969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5969" s="22" t="str">
        <f>HYPERLINK("https://otsuka-europe-crm.veevavault.com/ui/#object/sent_email__v/VBL00000003A154", "SE-001444444")</f>
        <v>SE-001444444</v>
      </c>
      <c r="F5969" s="25">
        <v>46227.411469907405</v>
      </c>
      <c r="G5969" s="24">
        <v>1</v>
      </c>
      <c r="H5969" s="24">
        <v>2</v>
      </c>
      <c r="I5969" s="24">
        <v>0</v>
      </c>
      <c r="J5969" s="23"/>
      <c r="K5969" s="24">
        <v>0</v>
      </c>
      <c r="L5969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5969" s="22" t="str">
        <f>HYPERLINK("mailto:marco.aldrigo@crm.otsuka-europe.com", "marco.aldrigo@crm.otsuka-europe.com")</f>
        <v>marco.aldrigo@crm.otsuka-europe.com</v>
      </c>
      <c r="N5969" s="25">
        <v>46226.299178240741</v>
      </c>
      <c r="O5969" s="14" t="str">
        <f>HYPERLINK("https://otsuka-europe-crm.veevavault.com/ui/#object/email_activity__v/V8C00000004B458", "EN-002107566")</f>
        <v>EN-002107566</v>
      </c>
    </row>
    <row r="5970" spans="1:15" ht="16" x14ac:dyDescent="0.2">
      <c r="A5970" s="26"/>
      <c r="B5970" s="26"/>
      <c r="C5970" s="26"/>
      <c r="D5970" s="26"/>
      <c r="E5970" s="26"/>
      <c r="F5970" s="26"/>
      <c r="G5970" s="26"/>
      <c r="H5970" s="26"/>
      <c r="I5970" s="26"/>
      <c r="J5970" s="26"/>
      <c r="K5970" s="26"/>
      <c r="L5970" s="26"/>
      <c r="M5970" s="26"/>
      <c r="N5970" s="26"/>
      <c r="O5970" s="14" t="str">
        <f>HYPERLINK("https://otsuka-europe-crm.veevavault.com/ui/#object/email_activity__v/V8C00000004C296", "EN-002107461")</f>
        <v>EN-002107461</v>
      </c>
    </row>
    <row r="5971" spans="1:15" ht="16" x14ac:dyDescent="0.2">
      <c r="A5971" s="19"/>
      <c r="B5971" s="19"/>
      <c r="C5971" s="19"/>
      <c r="D5971" s="19"/>
      <c r="E5971" s="19"/>
      <c r="F5971" s="19"/>
      <c r="G5971" s="19"/>
      <c r="H5971" s="19"/>
      <c r="I5971" s="19"/>
      <c r="J5971" s="19"/>
      <c r="K5971" s="19"/>
      <c r="L5971" s="19"/>
      <c r="M5971" s="19"/>
      <c r="N5971" s="19"/>
      <c r="O5971" s="14" t="str">
        <f>HYPERLINK("https://otsuka-europe-crm.veevavault.com/ui/#object/email_activity__v/V8C00000004D058", "EN-002108287")</f>
        <v>EN-002108287</v>
      </c>
    </row>
    <row r="5972" spans="1:15" ht="32" x14ac:dyDescent="0.2">
      <c r="A5972" s="7" t="str">
        <f>HYPERLINK("https://otsuka-europe-crm.veevavault.com/ui/#object/account__v/V4TZ0000062R6EU", "Birke Glockmann")</f>
        <v>Birke Glockmann</v>
      </c>
      <c r="B5972" s="7" t="str">
        <f>HYPERLINK("https://otsuka-europe-crm.veevavault.com/ui/#object/vcountry__v/VENZ000004SONFN", "CH")</f>
        <v>CH</v>
      </c>
      <c r="C5972" s="8" t="s">
        <v>45</v>
      </c>
      <c r="D5972" s="9" t="str">
        <f>HYPERLINK("https://otsuka-europe-crm.veevavault.com/ui/#object/approved_document__v/V5O00000001L016", "ALL_Flexibilität_Ferienplanung_2026_AA_de")</f>
        <v>ALL_Flexibilität_Ferienplanung_2026_AA_de</v>
      </c>
      <c r="E5972" s="10" t="str">
        <f>HYPERLINK("https://otsuka-europe-crm.veevavault.com/ui/#object/sent_email__v/VBL000000039053", "SE-001444445")</f>
        <v>SE-001444445</v>
      </c>
      <c r="F5972" s="11"/>
      <c r="G5972" s="12">
        <v>0</v>
      </c>
      <c r="H5972" s="12">
        <v>0</v>
      </c>
      <c r="I5972" s="12">
        <v>0</v>
      </c>
      <c r="J5972" s="11"/>
      <c r="K5972" s="12">
        <v>0</v>
      </c>
      <c r="L5972" s="10" t="str">
        <f>HYPERLINK("https://otsuka-europe-crm.veevavault.com/ui/#object/approved_document__v/V5O00000001L016", "ALL_Flexibilität_Ferienplanung_2026_AA_de")</f>
        <v>ALL_Flexibilität_Ferienplanung_2026_AA_de</v>
      </c>
      <c r="M5972" s="10" t="str">
        <f>HYPERLINK("mailto:dharder@crm.otsuka-europe.com", "dharder@crm.otsuka-europe.com")</f>
        <v>dharder@crm.otsuka-europe.com</v>
      </c>
      <c r="N5972" s="13">
        <v>46226.299201388887</v>
      </c>
      <c r="O5972" s="14" t="str">
        <f>HYPERLINK("https://otsuka-europe-crm.veevavault.com/ui/#object/email_activity__v/V8C00000004B354", "EN-002107367")</f>
        <v>EN-002107367</v>
      </c>
    </row>
    <row r="5973" spans="1:15" ht="32" x14ac:dyDescent="0.2">
      <c r="A5973" s="7" t="str">
        <f>HYPERLINK("https://otsuka-europe-crm.veevavault.com/ui/#object/account__v/V4TZ0000062SA2X", "Martin Peterson")</f>
        <v>Martin Peterson</v>
      </c>
      <c r="B5973" s="7" t="str">
        <f>HYPERLINK("https://otsuka-europe-crm.veevavault.com/ui/#object/vcountry__v/VENZ000004SONFN", "CH")</f>
        <v>CH</v>
      </c>
      <c r="C5973" s="8" t="s">
        <v>45</v>
      </c>
      <c r="D5973" s="9" t="str">
        <f>HYPERLINK("https://otsuka-europe-crm.veevavault.com/ui/#object/approved_document__v/V5O00000001L016", "ALL_Flexibilität_Ferienplanung_2026_AA_de")</f>
        <v>ALL_Flexibilität_Ferienplanung_2026_AA_de</v>
      </c>
      <c r="E5973" s="10" t="str">
        <f>HYPERLINK("https://otsuka-europe-crm.veevavault.com/ui/#object/sent_email__v/VBL000000039054", "SE-001444446")</f>
        <v>SE-001444446</v>
      </c>
      <c r="F5973" s="11"/>
      <c r="G5973" s="12">
        <v>0</v>
      </c>
      <c r="H5973" s="12">
        <v>0</v>
      </c>
      <c r="I5973" s="12">
        <v>0</v>
      </c>
      <c r="J5973" s="11"/>
      <c r="K5973" s="12">
        <v>0</v>
      </c>
      <c r="L5973" s="10" t="str">
        <f>HYPERLINK("https://otsuka-europe-crm.veevavault.com/ui/#object/approved_document__v/V5O00000001L016", "ALL_Flexibilität_Ferienplanung_2026_AA_de")</f>
        <v>ALL_Flexibilität_Ferienplanung_2026_AA_de</v>
      </c>
      <c r="M5973" s="10" t="str">
        <f>HYPERLINK("mailto:dharder@crm.otsuka-europe.com", "dharder@crm.otsuka-europe.com")</f>
        <v>dharder@crm.otsuka-europe.com</v>
      </c>
      <c r="N5973" s="13">
        <v>46226.299201388887</v>
      </c>
      <c r="O5973" s="14" t="str">
        <f>HYPERLINK("https://otsuka-europe-crm.veevavault.com/ui/#object/email_activity__v/V8C00000004C342", "EN-002107509")</f>
        <v>EN-002107509</v>
      </c>
    </row>
    <row r="5974" spans="1:15" ht="16" x14ac:dyDescent="0.2">
      <c r="A5974" s="18" t="str">
        <f>HYPERLINK("https://otsuka-europe-crm.veevavault.com/ui/#object/account__v/V4TZ0000062R63X", "Liliana Engelhardt")</f>
        <v>Liliana Engelhardt</v>
      </c>
      <c r="B5974" s="18" t="str">
        <f>HYPERLINK("https://otsuka-europe-crm.veevavault.com/ui/#object/vcountry__v/VENZ000004SONFN", "CH")</f>
        <v>CH</v>
      </c>
      <c r="C5974" s="20" t="s">
        <v>45</v>
      </c>
      <c r="D5974" s="21" t="str">
        <f>HYPERLINK("https://otsuka-europe-crm.veevavault.com/ui/#object/approved_document__v/V5O00000001L016", "ALL_Flexibilität_Ferienplanung_2026_AA_de")</f>
        <v>ALL_Flexibilität_Ferienplanung_2026_AA_de</v>
      </c>
      <c r="E5974" s="22" t="str">
        <f>HYPERLINK("https://otsuka-europe-crm.veevavault.com/ui/#object/sent_email__v/VBL000000039055", "SE-001444447")</f>
        <v>SE-001444447</v>
      </c>
      <c r="F5974" s="23"/>
      <c r="G5974" s="24">
        <v>0</v>
      </c>
      <c r="H5974" s="24">
        <v>0</v>
      </c>
      <c r="I5974" s="24">
        <v>0</v>
      </c>
      <c r="J5974" s="23"/>
      <c r="K5974" s="24">
        <v>0</v>
      </c>
      <c r="L5974" s="22" t="str">
        <f>HYPERLINK("https://otsuka-europe-crm.veevavault.com/ui/#object/approved_document__v/V5O00000001L016", "ALL_Flexibilität_Ferienplanung_2026_AA_de")</f>
        <v>ALL_Flexibilität_Ferienplanung_2026_AA_de</v>
      </c>
      <c r="M5974" s="22" t="str">
        <f>HYPERLINK("mailto:dharder@crm.otsuka-europe.com", "dharder@crm.otsuka-europe.com")</f>
        <v>dharder@crm.otsuka-europe.com</v>
      </c>
      <c r="N5974" s="25">
        <v>46226.299201388887</v>
      </c>
      <c r="O5974" s="14" t="str">
        <f>HYPERLINK("https://otsuka-europe-crm.veevavault.com/ui/#object/email_activity__v/V8C00000004B481", "EN-002107592")</f>
        <v>EN-002107592</v>
      </c>
    </row>
    <row r="5975" spans="1:15" ht="16" x14ac:dyDescent="0.2">
      <c r="A5975" s="19"/>
      <c r="B5975" s="19"/>
      <c r="C5975" s="19"/>
      <c r="D5975" s="19"/>
      <c r="E5975" s="19"/>
      <c r="F5975" s="19"/>
      <c r="G5975" s="19"/>
      <c r="H5975" s="19"/>
      <c r="I5975" s="19"/>
      <c r="J5975" s="19"/>
      <c r="K5975" s="19"/>
      <c r="L5975" s="19"/>
      <c r="M5975" s="19"/>
      <c r="N5975" s="19"/>
      <c r="O5975" s="14" t="str">
        <f>HYPERLINK("https://otsuka-europe-crm.veevavault.com/ui/#object/email_activity__v/V8C00000004B709", "EN-002107841")</f>
        <v>EN-002107841</v>
      </c>
    </row>
    <row r="5976" spans="1:15" ht="48" x14ac:dyDescent="0.2">
      <c r="A5976" s="7" t="str">
        <f>HYPERLINK("https://otsuka-europe-crm.veevavault.com/ui/#object/account__v/V4TZ04ASGBCFKLL", "MICOL FRASSI")</f>
        <v>MICOL FRASSI</v>
      </c>
      <c r="B5976" s="7" t="str">
        <f>HYPERLINK("https://otsuka-europe-crm.veevavault.com/ui/#object/vcountry__v/VENZ000004SONFQ", "IT")</f>
        <v>IT</v>
      </c>
      <c r="C5976" s="8" t="s">
        <v>42</v>
      </c>
      <c r="D5976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5976" s="10" t="str">
        <f>HYPERLINK("https://otsuka-europe-crm.veevavault.com/ui/#object/sent_email__v/VBL00000003A155", "SE-001444448")</f>
        <v>SE-001444448</v>
      </c>
      <c r="F5976" s="11"/>
      <c r="G5976" s="12">
        <v>0</v>
      </c>
      <c r="H5976" s="12">
        <v>0</v>
      </c>
      <c r="I5976" s="12">
        <v>0</v>
      </c>
      <c r="J5976" s="11"/>
      <c r="K5976" s="12">
        <v>0</v>
      </c>
      <c r="L5976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5976" s="10" t="str">
        <f>HYPERLINK("mailto:marco.aldrigo@crm.otsuka-europe.com", "marco.aldrigo@crm.otsuka-europe.com")</f>
        <v>marco.aldrigo@crm.otsuka-europe.com</v>
      </c>
      <c r="N5976" s="13">
        <v>46226.299178240741</v>
      </c>
      <c r="O5976" s="14" t="str">
        <f>HYPERLINK("https://otsuka-europe-crm.veevavault.com/ui/#object/email_activity__v/V8C00000004B415", "EN-002107429")</f>
        <v>EN-002107429</v>
      </c>
    </row>
    <row r="5977" spans="1:15" ht="16" x14ac:dyDescent="0.2">
      <c r="A5977" s="18" t="str">
        <f>HYPERLINK("https://otsuka-europe-crm.veevavault.com/ui/#object/account__v/V4TZ025E82ZK59I", "ROBERTO PATANE'")</f>
        <v>ROBERTO PATANE'</v>
      </c>
      <c r="B5977" s="18" t="str">
        <f>HYPERLINK("https://otsuka-europe-crm.veevavault.com/ui/#object/vcountry__v/VENZ000004SONFQ", "IT")</f>
        <v>IT</v>
      </c>
      <c r="C5977" s="20" t="s">
        <v>42</v>
      </c>
      <c r="D5977" s="21" t="str">
        <f>HYPERLINK("https://otsuka-europe-crm.veevavault.com/ui/#object/approved_document__v/V5O00000001A026", "Lupkynis - rischio - IT-LUP-2600002 v1.0 - RHEUMA")</f>
        <v>Lupkynis - rischio - IT-LUP-2600002 v1.0 - RHEUMA</v>
      </c>
      <c r="E5977" s="22" t="str">
        <f>HYPERLINK("https://otsuka-europe-crm.veevavault.com/ui/#object/sent_email__v/VBL00000003A156", "SE-001444449")</f>
        <v>SE-001444449</v>
      </c>
      <c r="F5977" s="25">
        <v>46226.299340277779</v>
      </c>
      <c r="G5977" s="24">
        <v>1</v>
      </c>
      <c r="H5977" s="24">
        <v>1</v>
      </c>
      <c r="I5977" s="24">
        <v>0</v>
      </c>
      <c r="J5977" s="23"/>
      <c r="K5977" s="24">
        <v>0</v>
      </c>
      <c r="L5977" s="22" t="str">
        <f>HYPERLINK("https://otsuka-europe-crm.veevavault.com/ui/#object/approved_document__v/V5O00000001A026", "Lupkynis - rischio - IT-LUP-2600002 v1.0 - RHEUMA")</f>
        <v>Lupkynis - rischio - IT-LUP-2600002 v1.0 - RHEUMA</v>
      </c>
      <c r="M5977" s="22" t="str">
        <f>HYPERLINK("mailto:alfredo.pisapia@crm.otsuka-europe.com", "alfredo.pisapia@crm.otsuka-europe.com")</f>
        <v>alfredo.pisapia@crm.otsuka-europe.com</v>
      </c>
      <c r="N5977" s="25">
        <v>46226.299212962964</v>
      </c>
      <c r="O5977" s="14" t="str">
        <f>HYPERLINK("https://otsuka-europe-crm.veevavault.com/ui/#object/email_activity__v/V8C00000004B320", "EN-002107280")</f>
        <v>EN-002107280</v>
      </c>
    </row>
    <row r="5978" spans="1:15" ht="16" x14ac:dyDescent="0.2">
      <c r="A5978" s="19"/>
      <c r="B5978" s="19"/>
      <c r="C5978" s="19"/>
      <c r="D5978" s="19"/>
      <c r="E5978" s="19"/>
      <c r="F5978" s="19"/>
      <c r="G5978" s="19"/>
      <c r="H5978" s="19"/>
      <c r="I5978" s="19"/>
      <c r="J5978" s="19"/>
      <c r="K5978" s="19"/>
      <c r="L5978" s="19"/>
      <c r="M5978" s="19"/>
      <c r="N5978" s="19"/>
      <c r="O5978" s="14" t="str">
        <f>HYPERLINK("https://otsuka-europe-crm.veevavault.com/ui/#object/email_activity__v/V8C00000004B417", "EN-002107431")</f>
        <v>EN-002107431</v>
      </c>
    </row>
    <row r="5979" spans="1:15" ht="16" x14ac:dyDescent="0.2">
      <c r="A5979" s="18" t="str">
        <f>HYPERLINK("https://otsuka-europe-crm.veevavault.com/ui/#object/account__v/V4TZ06G6O71SBFP", "FRANCESCO MARINO")</f>
        <v>FRANCESCO MARINO</v>
      </c>
      <c r="B5979" s="18" t="str">
        <f>HYPERLINK("https://otsuka-europe-crm.veevavault.com/ui/#object/vcountry__v/VENZ000004SONFQ", "IT")</f>
        <v>IT</v>
      </c>
      <c r="C5979" s="20" t="s">
        <v>42</v>
      </c>
      <c r="D5979" s="21" t="str">
        <f>HYPERLINK("https://otsuka-europe-crm.veevavault.com/ui/#object/approved_document__v/V5O00000001A024", "Lupkynis - rischio - IT-LUP-2600002 v1.0 -  NEPHRO")</f>
        <v>Lupkynis - rischio - IT-LUP-2600002 v1.0 -  NEPHRO</v>
      </c>
      <c r="E5979" s="22" t="str">
        <f>HYPERLINK("https://otsuka-europe-crm.veevavault.com/ui/#object/sent_email__v/VBL000000039056", "SE-001444450")</f>
        <v>SE-001444450</v>
      </c>
      <c r="F5979" s="23"/>
      <c r="G5979" s="24">
        <v>0</v>
      </c>
      <c r="H5979" s="24">
        <v>0</v>
      </c>
      <c r="I5979" s="24">
        <v>0</v>
      </c>
      <c r="J5979" s="23"/>
      <c r="K5979" s="24">
        <v>0</v>
      </c>
      <c r="L5979" s="22" t="str">
        <f>HYPERLINK("https://otsuka-europe-crm.veevavault.com/ui/#object/approved_document__v/V5O00000001A024", "Lupkynis - rischio - IT-LUP-2600002 v1.0 -  NEPHRO")</f>
        <v>Lupkynis - rischio - IT-LUP-2600002 v1.0 -  NEPHRO</v>
      </c>
      <c r="M5979" s="22" t="str">
        <f>HYPERLINK("mailto:alfredo.pisapia@crm.otsuka-europe.com", "alfredo.pisapia@crm.otsuka-europe.com")</f>
        <v>alfredo.pisapia@crm.otsuka-europe.com</v>
      </c>
      <c r="N5979" s="25">
        <v>46226.299340277779</v>
      </c>
      <c r="O5979" s="14" t="str">
        <f>HYPERLINK("https://otsuka-europe-crm.veevavault.com/ui/#object/email_activity__v/V8C00000004B482", "EN-002107593")</f>
        <v>EN-002107593</v>
      </c>
    </row>
    <row r="5980" spans="1:15" ht="16" x14ac:dyDescent="0.2">
      <c r="A5980" s="19"/>
      <c r="B5980" s="19"/>
      <c r="C5980" s="19"/>
      <c r="D5980" s="19"/>
      <c r="E5980" s="19"/>
      <c r="F5980" s="19"/>
      <c r="G5980" s="19"/>
      <c r="H5980" s="19"/>
      <c r="I5980" s="19"/>
      <c r="J5980" s="19"/>
      <c r="K5980" s="19"/>
      <c r="L5980" s="19"/>
      <c r="M5980" s="19"/>
      <c r="N5980" s="19"/>
      <c r="O5980" s="14" t="str">
        <f>HYPERLINK("https://otsuka-europe-crm.veevavault.com/ui/#object/email_activity__v/V8C00000004B829", "EN-002108137")</f>
        <v>EN-002108137</v>
      </c>
    </row>
    <row r="5981" spans="1:15" ht="48" x14ac:dyDescent="0.2">
      <c r="A5981" s="7" t="str">
        <f>HYPERLINK("https://otsuka-europe-crm.veevavault.com/ui/#object/account__v/V4TZ06G6O71SBFP", "FRANCESCO MARINO")</f>
        <v>FRANCESCO MARINO</v>
      </c>
      <c r="B5981" s="7" t="str">
        <f>HYPERLINK("https://otsuka-europe-crm.veevavault.com/ui/#object/vcountry__v/VENZ000004SONFQ", "IT")</f>
        <v>IT</v>
      </c>
      <c r="C5981" s="8" t="s">
        <v>42</v>
      </c>
      <c r="D5981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981" s="10" t="str">
        <f>HYPERLINK("https://otsuka-europe-crm.veevavault.com/ui/#object/sent_email__v/VBL00000003A157", "SE-001444451")</f>
        <v>SE-001444451</v>
      </c>
      <c r="F5981" s="11"/>
      <c r="G5981" s="12">
        <v>0</v>
      </c>
      <c r="H5981" s="12">
        <v>0</v>
      </c>
      <c r="I5981" s="12">
        <v>0</v>
      </c>
      <c r="J5981" s="11"/>
      <c r="K5981" s="12">
        <v>0</v>
      </c>
      <c r="L5981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981" s="10" t="str">
        <f>HYPERLINK("mailto:alfredo.pisapia@crm.otsuka-europe.com", "alfredo.pisapia@crm.otsuka-europe.com")</f>
        <v>alfredo.pisapia@crm.otsuka-europe.com</v>
      </c>
      <c r="N5981" s="13">
        <v>46226.299259259256</v>
      </c>
      <c r="O5981" s="14" t="str">
        <f>HYPERLINK("https://otsuka-europe-crm.veevavault.com/ui/#object/email_activity__v/V8C00000004C265", "EN-002107337")</f>
        <v>EN-002107337</v>
      </c>
    </row>
    <row r="5982" spans="1:15" ht="16" x14ac:dyDescent="0.2">
      <c r="A5982" s="18" t="str">
        <f>HYPERLINK("https://otsuka-europe-crm.veevavault.com/ui/#object/account__v/V4TZ025E831QUR2", "DAVIDE BOLIGNANO")</f>
        <v>DAVIDE BOLIGNANO</v>
      </c>
      <c r="B5982" s="18" t="str">
        <f>HYPERLINK("https://otsuka-europe-crm.veevavault.com/ui/#object/vcountry__v/VENZ000004SONFQ", "IT")</f>
        <v>IT</v>
      </c>
      <c r="C5982" s="20" t="s">
        <v>42</v>
      </c>
      <c r="D5982" s="21" t="str">
        <f>HYPERLINK("https://otsuka-europe-crm.veevavault.com/ui/#object/approved_document__v/V5O00000001A024", "Lupkynis - rischio - IT-LUP-2600002 v1.0 -  NEPHRO")</f>
        <v>Lupkynis - rischio - IT-LUP-2600002 v1.0 -  NEPHRO</v>
      </c>
      <c r="E5982" s="22" t="str">
        <f>HYPERLINK("https://otsuka-europe-crm.veevavault.com/ui/#object/sent_email__v/VBL000000039057", "SE-001444452")</f>
        <v>SE-001444452</v>
      </c>
      <c r="F5982" s="25">
        <v>46226.299432870372</v>
      </c>
      <c r="G5982" s="24">
        <v>1</v>
      </c>
      <c r="H5982" s="24">
        <v>1</v>
      </c>
      <c r="I5982" s="24">
        <v>0</v>
      </c>
      <c r="J5982" s="23"/>
      <c r="K5982" s="24">
        <v>0</v>
      </c>
      <c r="L5982" s="22" t="str">
        <f>HYPERLINK("https://otsuka-europe-crm.veevavault.com/ui/#object/approved_document__v/V5O00000001A024", "Lupkynis - rischio - IT-LUP-2600002 v1.0 -  NEPHRO")</f>
        <v>Lupkynis - rischio - IT-LUP-2600002 v1.0 -  NEPHRO</v>
      </c>
      <c r="M5982" s="22" t="str">
        <f>HYPERLINK("mailto:alfredo.pisapia@crm.otsuka-europe.com", "alfredo.pisapia@crm.otsuka-europe.com")</f>
        <v>alfredo.pisapia@crm.otsuka-europe.com</v>
      </c>
      <c r="N5982" s="25">
        <v>46226.299340277779</v>
      </c>
      <c r="O5982" s="14" t="str">
        <f>HYPERLINK("https://otsuka-europe-crm.veevavault.com/ui/#object/email_activity__v/V8C00000004B483", "EN-002107594")</f>
        <v>EN-002107594</v>
      </c>
    </row>
    <row r="5983" spans="1:15" ht="16" x14ac:dyDescent="0.2">
      <c r="A5983" s="26"/>
      <c r="B5983" s="26"/>
      <c r="C5983" s="26"/>
      <c r="D5983" s="26"/>
      <c r="E5983" s="26"/>
      <c r="F5983" s="26"/>
      <c r="G5983" s="26"/>
      <c r="H5983" s="26"/>
      <c r="I5983" s="26"/>
      <c r="J5983" s="26"/>
      <c r="K5983" s="26"/>
      <c r="L5983" s="26"/>
      <c r="M5983" s="26"/>
      <c r="N5983" s="26"/>
      <c r="O5983" s="14" t="str">
        <f>HYPERLINK("https://otsuka-europe-crm.veevavault.com/ui/#object/email_activity__v/V8C00000004B761", "EN-002107986")</f>
        <v>EN-002107986</v>
      </c>
    </row>
    <row r="5984" spans="1:15" ht="16" x14ac:dyDescent="0.2">
      <c r="A5984" s="19"/>
      <c r="B5984" s="19"/>
      <c r="C5984" s="19"/>
      <c r="D5984" s="19"/>
      <c r="E5984" s="19"/>
      <c r="F5984" s="19"/>
      <c r="G5984" s="19"/>
      <c r="H5984" s="19"/>
      <c r="I5984" s="19"/>
      <c r="J5984" s="19"/>
      <c r="K5984" s="19"/>
      <c r="L5984" s="19"/>
      <c r="M5984" s="19"/>
      <c r="N5984" s="19"/>
      <c r="O5984" s="14" t="str">
        <f>HYPERLINK("https://otsuka-europe-crm.veevavault.com/ui/#object/email_activity__v/V8C00000004C517", "EN-002108015")</f>
        <v>EN-002108015</v>
      </c>
    </row>
    <row r="5985" spans="1:15" ht="16" x14ac:dyDescent="0.2">
      <c r="A5985" s="18" t="str">
        <f>HYPERLINK("https://otsuka-europe-crm.veevavault.com/ui/#object/account__v/V4TZ025E831QUR2", "DAVIDE BOLIGNANO")</f>
        <v>DAVIDE BOLIGNANO</v>
      </c>
      <c r="B5985" s="18" t="str">
        <f>HYPERLINK("https://otsuka-europe-crm.veevavault.com/ui/#object/vcountry__v/VENZ000004SONFQ", "IT")</f>
        <v>IT</v>
      </c>
      <c r="C5985" s="20" t="s">
        <v>42</v>
      </c>
      <c r="D5985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985" s="22" t="str">
        <f>HYPERLINK("https://otsuka-europe-crm.veevavault.com/ui/#object/sent_email__v/VBL00000003A158", "SE-001444453")</f>
        <v>SE-001444453</v>
      </c>
      <c r="F5985" s="25">
        <v>46226.299432870372</v>
      </c>
      <c r="G5985" s="24">
        <v>1</v>
      </c>
      <c r="H5985" s="24">
        <v>1</v>
      </c>
      <c r="I5985" s="24">
        <v>0</v>
      </c>
      <c r="J5985" s="23"/>
      <c r="K5985" s="24">
        <v>0</v>
      </c>
      <c r="L5985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985" s="22" t="str">
        <f>HYPERLINK("mailto:alfredo.pisapia@crm.otsuka-europe.com", "alfredo.pisapia@crm.otsuka-europe.com")</f>
        <v>alfredo.pisapia@crm.otsuka-europe.com</v>
      </c>
      <c r="N5985" s="25">
        <v>46226.299259259256</v>
      </c>
      <c r="O5985" s="14" t="str">
        <f>HYPERLINK("https://otsuka-europe-crm.veevavault.com/ui/#object/email_activity__v/V8C00000004B453", "EN-002107561")</f>
        <v>EN-002107561</v>
      </c>
    </row>
    <row r="5986" spans="1:15" ht="16" x14ac:dyDescent="0.2">
      <c r="A5986" s="26"/>
      <c r="B5986" s="26"/>
      <c r="C5986" s="26"/>
      <c r="D5986" s="26"/>
      <c r="E5986" s="26"/>
      <c r="F5986" s="26"/>
      <c r="G5986" s="26"/>
      <c r="H5986" s="26"/>
      <c r="I5986" s="26"/>
      <c r="J5986" s="26"/>
      <c r="K5986" s="26"/>
      <c r="L5986" s="26"/>
      <c r="M5986" s="26"/>
      <c r="N5986" s="26"/>
      <c r="O5986" s="14" t="str">
        <f>HYPERLINK("https://otsuka-europe-crm.veevavault.com/ui/#object/email_activity__v/V8C00000004B563", "EN-002107674")</f>
        <v>EN-002107674</v>
      </c>
    </row>
    <row r="5987" spans="1:15" ht="16" x14ac:dyDescent="0.2">
      <c r="A5987" s="19"/>
      <c r="B5987" s="19"/>
      <c r="C5987" s="19"/>
      <c r="D5987" s="19"/>
      <c r="E5987" s="19"/>
      <c r="F5987" s="19"/>
      <c r="G5987" s="19"/>
      <c r="H5987" s="19"/>
      <c r="I5987" s="19"/>
      <c r="J5987" s="19"/>
      <c r="K5987" s="19"/>
      <c r="L5987" s="19"/>
      <c r="M5987" s="19"/>
      <c r="N5987" s="19"/>
      <c r="O5987" s="14" t="str">
        <f>HYPERLINK("https://otsuka-europe-crm.veevavault.com/ui/#object/email_activity__v/V8C00000004B827", "EN-002108135")</f>
        <v>EN-002108135</v>
      </c>
    </row>
    <row r="5988" spans="1:15" ht="32" x14ac:dyDescent="0.2">
      <c r="A5988" s="7" t="str">
        <f>HYPERLINK("https://otsuka-europe-crm.veevavault.com/ui/#object/account__v/V4TZ06G6O71SC99", "DOMENICO SANTORO")</f>
        <v>DOMENICO SANTORO</v>
      </c>
      <c r="B5988" s="7" t="str">
        <f>HYPERLINK("https://otsuka-europe-crm.veevavault.com/ui/#object/vcountry__v/VENZ000004SONFQ", "IT")</f>
        <v>IT</v>
      </c>
      <c r="C5988" s="8" t="s">
        <v>42</v>
      </c>
      <c r="D5988" s="9" t="str">
        <f>HYPERLINK("https://otsuka-europe-crm.veevavault.com/ui/#object/approved_document__v/V5O00000001A024", "Lupkynis - rischio - IT-LUP-2600002 v1.0 -  NEPHRO")</f>
        <v>Lupkynis - rischio - IT-LUP-2600002 v1.0 -  NEPHRO</v>
      </c>
      <c r="E5988" s="10" t="str">
        <f>HYPERLINK("https://otsuka-europe-crm.veevavault.com/ui/#object/sent_email__v/VBL00000003A159", "SE-001444454")</f>
        <v>SE-001444454</v>
      </c>
      <c r="F5988" s="11"/>
      <c r="G5988" s="12">
        <v>0</v>
      </c>
      <c r="H5988" s="12">
        <v>0</v>
      </c>
      <c r="I5988" s="12">
        <v>0</v>
      </c>
      <c r="J5988" s="11"/>
      <c r="K5988" s="12">
        <v>0</v>
      </c>
      <c r="L5988" s="10" t="str">
        <f>HYPERLINK("https://otsuka-europe-crm.veevavault.com/ui/#object/approved_document__v/V5O00000001A024", "Lupkynis - rischio - IT-LUP-2600002 v1.0 -  NEPHRO")</f>
        <v>Lupkynis - rischio - IT-LUP-2600002 v1.0 -  NEPHRO</v>
      </c>
      <c r="M5988" s="10" t="str">
        <f>HYPERLINK("mailto:alfredo.pisapia@crm.otsuka-europe.com", "alfredo.pisapia@crm.otsuka-europe.com")</f>
        <v>alfredo.pisapia@crm.otsuka-europe.com</v>
      </c>
      <c r="N5988" s="13">
        <v>46226.299340277779</v>
      </c>
      <c r="O5988" s="14" t="str">
        <f>HYPERLINK("https://otsuka-europe-crm.veevavault.com/ui/#object/email_activity__v/V8C00000004C329", "EN-002107495")</f>
        <v>EN-002107495</v>
      </c>
    </row>
    <row r="5989" spans="1:15" ht="16" x14ac:dyDescent="0.2">
      <c r="A5989" s="18" t="str">
        <f>HYPERLINK("https://otsuka-europe-crm.veevavault.com/ui/#object/account__v/V4TZ06G6O71SC99", "DOMENICO SANTORO")</f>
        <v>DOMENICO SANTORO</v>
      </c>
      <c r="B5989" s="18" t="str">
        <f>HYPERLINK("https://otsuka-europe-crm.veevavault.com/ui/#object/vcountry__v/VENZ000004SONFQ", "IT")</f>
        <v>IT</v>
      </c>
      <c r="C5989" s="20" t="s">
        <v>42</v>
      </c>
      <c r="D5989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5989" s="22" t="str">
        <f>HYPERLINK("https://otsuka-europe-crm.veevavault.com/ui/#object/sent_email__v/VBL00000003A160", "SE-001444455")</f>
        <v>SE-001444455</v>
      </c>
      <c r="F5989" s="23"/>
      <c r="G5989" s="24">
        <v>0</v>
      </c>
      <c r="H5989" s="24">
        <v>0</v>
      </c>
      <c r="I5989" s="24">
        <v>0</v>
      </c>
      <c r="J5989" s="23"/>
      <c r="K5989" s="24">
        <v>0</v>
      </c>
      <c r="L5989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5989" s="22" t="str">
        <f>HYPERLINK("mailto:alfredo.pisapia@crm.otsuka-europe.com", "alfredo.pisapia@crm.otsuka-europe.com")</f>
        <v>alfredo.pisapia@crm.otsuka-europe.com</v>
      </c>
      <c r="N5989" s="25">
        <v>46226.299259259256</v>
      </c>
      <c r="O5989" s="14" t="str">
        <f>HYPERLINK("https://otsuka-europe-crm.veevavault.com/ui/#object/email_activity__v/V8C00000004B564", "EN-002107675")</f>
        <v>EN-002107675</v>
      </c>
    </row>
    <row r="5990" spans="1:15" ht="16" x14ac:dyDescent="0.2">
      <c r="A5990" s="19"/>
      <c r="B5990" s="19"/>
      <c r="C5990" s="19"/>
      <c r="D5990" s="19"/>
      <c r="E5990" s="19"/>
      <c r="F5990" s="19"/>
      <c r="G5990" s="19"/>
      <c r="H5990" s="19"/>
      <c r="I5990" s="19"/>
      <c r="J5990" s="19"/>
      <c r="K5990" s="19"/>
      <c r="L5990" s="19"/>
      <c r="M5990" s="19"/>
      <c r="N5990" s="19"/>
      <c r="O5990" s="14" t="str">
        <f>HYPERLINK("https://otsuka-europe-crm.veevavault.com/ui/#object/email_activity__v/V8C00000004B826", "EN-002108134")</f>
        <v>EN-002108134</v>
      </c>
    </row>
    <row r="5991" spans="1:15" ht="16" x14ac:dyDescent="0.2">
      <c r="A5991" s="18" t="str">
        <f>HYPERLINK("https://otsuka-europe-crm.veevavault.com/ui/#object/account__v/V4TZ04ASGBXIQAY", "FABIOLA ATZENI")</f>
        <v>FABIOLA ATZENI</v>
      </c>
      <c r="B5991" s="18" t="str">
        <f>HYPERLINK("https://otsuka-europe-crm.veevavault.com/ui/#object/vcountry__v/VENZ000004SONFQ", "IT")</f>
        <v>IT</v>
      </c>
      <c r="C5991" s="20" t="s">
        <v>42</v>
      </c>
      <c r="D5991" s="21" t="str">
        <f>HYPERLINK("https://otsuka-europe-crm.veevavault.com/ui/#object/approved_document__v/V5O00000001A026", "Lupkynis - rischio - IT-LUP-2600002 v1.0 - RHEUMA")</f>
        <v>Lupkynis - rischio - IT-LUP-2600002 v1.0 - RHEUMA</v>
      </c>
      <c r="E5991" s="22" t="str">
        <f>HYPERLINK("https://otsuka-europe-crm.veevavault.com/ui/#object/sent_email__v/VBL00000003A161", "SE-001444456")</f>
        <v>SE-001444456</v>
      </c>
      <c r="F5991" s="25">
        <v>46226.316203703704</v>
      </c>
      <c r="G5991" s="24">
        <v>1</v>
      </c>
      <c r="H5991" s="24">
        <v>1</v>
      </c>
      <c r="I5991" s="24">
        <v>0</v>
      </c>
      <c r="J5991" s="23"/>
      <c r="K5991" s="24">
        <v>0</v>
      </c>
      <c r="L5991" s="22" t="str">
        <f>HYPERLINK("https://otsuka-europe-crm.veevavault.com/ui/#object/approved_document__v/V5O00000001A026", "Lupkynis - rischio - IT-LUP-2600002 v1.0 - RHEUMA")</f>
        <v>Lupkynis - rischio - IT-LUP-2600002 v1.0 - RHEUMA</v>
      </c>
      <c r="M5991" s="22" t="str">
        <f>HYPERLINK("mailto:alfredo.pisapia@crm.otsuka-europe.com", "alfredo.pisapia@crm.otsuka-europe.com")</f>
        <v>alfredo.pisapia@crm.otsuka-europe.com</v>
      </c>
      <c r="N5991" s="25">
        <v>46226.299212962964</v>
      </c>
      <c r="O5991" s="14" t="str">
        <f>HYPERLINK("https://otsuka-europe-crm.veevavault.com/ui/#object/email_activity__v/V8C00000004B402", "EN-002107416")</f>
        <v>EN-002107416</v>
      </c>
    </row>
    <row r="5992" spans="1:15" ht="16" x14ac:dyDescent="0.2">
      <c r="A5992" s="19"/>
      <c r="B5992" s="19"/>
      <c r="C5992" s="19"/>
      <c r="D5992" s="19"/>
      <c r="E5992" s="19"/>
      <c r="F5992" s="19"/>
      <c r="G5992" s="19"/>
      <c r="H5992" s="19"/>
      <c r="I5992" s="19"/>
      <c r="J5992" s="19"/>
      <c r="K5992" s="19"/>
      <c r="L5992" s="19"/>
      <c r="M5992" s="19"/>
      <c r="N5992" s="19"/>
      <c r="O5992" s="14" t="str">
        <f>HYPERLINK("https://otsuka-europe-crm.veevavault.com/ui/#object/email_activity__v/V8C00000004B702", "EN-002107830")</f>
        <v>EN-002107830</v>
      </c>
    </row>
    <row r="5993" spans="1:15" ht="16" x14ac:dyDescent="0.2">
      <c r="A5993" s="18" t="str">
        <f>HYPERLINK("https://otsuka-europe-crm.veevavault.com/ui/#object/account__v/V4TZ04ASGBXIQAY", "FABIOLA ATZENI")</f>
        <v>FABIOLA ATZENI</v>
      </c>
      <c r="B5993" s="18" t="str">
        <f>HYPERLINK("https://otsuka-europe-crm.veevavault.com/ui/#object/vcountry__v/VENZ000004SONFQ", "IT")</f>
        <v>IT</v>
      </c>
      <c r="C5993" s="20" t="s">
        <v>42</v>
      </c>
      <c r="D5993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5993" s="22" t="str">
        <f>HYPERLINK("https://otsuka-europe-crm.veevavault.com/ui/#object/sent_email__v/VBL000000039058", "SE-001444457")</f>
        <v>SE-001444457</v>
      </c>
      <c r="F5993" s="23"/>
      <c r="G5993" s="24">
        <v>0</v>
      </c>
      <c r="H5993" s="24">
        <v>0</v>
      </c>
      <c r="I5993" s="24">
        <v>0</v>
      </c>
      <c r="J5993" s="23"/>
      <c r="K5993" s="24">
        <v>0</v>
      </c>
      <c r="L5993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5993" s="22" t="str">
        <f>HYPERLINK("mailto:alfredo.pisapia@crm.otsuka-europe.com", "alfredo.pisapia@crm.otsuka-europe.com")</f>
        <v>alfredo.pisapia@crm.otsuka-europe.com</v>
      </c>
      <c r="N5993" s="25">
        <v>46226.299189814818</v>
      </c>
      <c r="O5993" s="14" t="str">
        <f>HYPERLINK("https://otsuka-europe-crm.veevavault.com/ui/#object/email_activity__v/V8C00000004B484", "EN-002107595")</f>
        <v>EN-002107595</v>
      </c>
    </row>
    <row r="5994" spans="1:15" ht="16" x14ac:dyDescent="0.2">
      <c r="A5994" s="19"/>
      <c r="B5994" s="19"/>
      <c r="C5994" s="19"/>
      <c r="D5994" s="19"/>
      <c r="E5994" s="19"/>
      <c r="F5994" s="19"/>
      <c r="G5994" s="19"/>
      <c r="H5994" s="19"/>
      <c r="I5994" s="19"/>
      <c r="J5994" s="19"/>
      <c r="K5994" s="19"/>
      <c r="L5994" s="19"/>
      <c r="M5994" s="19"/>
      <c r="N5994" s="19"/>
      <c r="O5994" s="14" t="str">
        <f>HYPERLINK("https://otsuka-europe-crm.veevavault.com/ui/#object/email_activity__v/V8C00000004B828", "EN-002108136")</f>
        <v>EN-002108136</v>
      </c>
    </row>
    <row r="5995" spans="1:15" ht="16" x14ac:dyDescent="0.2">
      <c r="A5995" s="18" t="str">
        <f>HYPERLINK("https://otsuka-europe-crm.veevavault.com/ui/#object/account__v/V4TZ025E85JUPOU", "PIETRO GIGLIOTTI")</f>
        <v>PIETRO GIGLIOTTI</v>
      </c>
      <c r="B5995" s="18" t="str">
        <f>HYPERLINK("https://otsuka-europe-crm.veevavault.com/ui/#object/vcountry__v/VENZ000004SONFQ", "IT")</f>
        <v>IT</v>
      </c>
      <c r="C5995" s="20" t="s">
        <v>42</v>
      </c>
      <c r="D5995" s="21" t="str">
        <f>HYPERLINK("https://otsuka-europe-crm.veevavault.com/ui/#object/approved_document__v/V5O00000001A026", "Lupkynis - rischio - IT-LUP-2600002 v1.0 - RHEUMA")</f>
        <v>Lupkynis - rischio - IT-LUP-2600002 v1.0 - RHEUMA</v>
      </c>
      <c r="E5995" s="22" t="str">
        <f>HYPERLINK("https://otsuka-europe-crm.veevavault.com/ui/#object/sent_email__v/VBL00000003A162", "SE-001444458")</f>
        <v>SE-001444458</v>
      </c>
      <c r="F5995" s="25">
        <v>46228.796296296299</v>
      </c>
      <c r="G5995" s="24">
        <v>1</v>
      </c>
      <c r="H5995" s="24">
        <v>1</v>
      </c>
      <c r="I5995" s="24">
        <v>0</v>
      </c>
      <c r="J5995" s="23"/>
      <c r="K5995" s="24">
        <v>0</v>
      </c>
      <c r="L5995" s="22" t="str">
        <f>HYPERLINK("https://otsuka-europe-crm.veevavault.com/ui/#object/approved_document__v/V5O00000001A026", "Lupkynis - rischio - IT-LUP-2600002 v1.0 - RHEUMA")</f>
        <v>Lupkynis - rischio - IT-LUP-2600002 v1.0 - RHEUMA</v>
      </c>
      <c r="M5995" s="22" t="str">
        <f>HYPERLINK("mailto:alfredo.pisapia@crm.otsuka-europe.com", "alfredo.pisapia@crm.otsuka-europe.com")</f>
        <v>alfredo.pisapia@crm.otsuka-europe.com</v>
      </c>
      <c r="N5995" s="25">
        <v>46226.299212962964</v>
      </c>
      <c r="O5995" s="14" t="str">
        <f>HYPERLINK("https://otsuka-europe-crm.veevavault.com/ui/#object/email_activity__v/V8C00000004B565", "EN-002107676")</f>
        <v>EN-002107676</v>
      </c>
    </row>
    <row r="5996" spans="1:15" ht="16" x14ac:dyDescent="0.2">
      <c r="A5996" s="26"/>
      <c r="B5996" s="26"/>
      <c r="C5996" s="26"/>
      <c r="D5996" s="26"/>
      <c r="E5996" s="26"/>
      <c r="F5996" s="26"/>
      <c r="G5996" s="26"/>
      <c r="H5996" s="26"/>
      <c r="I5996" s="26"/>
      <c r="J5996" s="26"/>
      <c r="K5996" s="26"/>
      <c r="L5996" s="26"/>
      <c r="M5996" s="26"/>
      <c r="N5996" s="26"/>
      <c r="O5996" s="14" t="str">
        <f>HYPERLINK("https://otsuka-europe-crm.veevavault.com/ui/#object/email_activity__v/V8C00000004B859", "EN-002108170")</f>
        <v>EN-002108170</v>
      </c>
    </row>
    <row r="5997" spans="1:15" ht="16" x14ac:dyDescent="0.2">
      <c r="A5997" s="19"/>
      <c r="B5997" s="19"/>
      <c r="C5997" s="19"/>
      <c r="D5997" s="19"/>
      <c r="E5997" s="19"/>
      <c r="F5997" s="19"/>
      <c r="G5997" s="19"/>
      <c r="H5997" s="19"/>
      <c r="I5997" s="19"/>
      <c r="J5997" s="19"/>
      <c r="K5997" s="19"/>
      <c r="L5997" s="19"/>
      <c r="M5997" s="19"/>
      <c r="N5997" s="19"/>
      <c r="O5997" s="14" t="str">
        <f>HYPERLINK("https://otsuka-europe-crm.veevavault.com/ui/#object/email_activity__v/V8C00000004E326", "EN-002109004")</f>
        <v>EN-002109004</v>
      </c>
    </row>
    <row r="5998" spans="1:15" ht="16" x14ac:dyDescent="0.2">
      <c r="A5998" s="18" t="str">
        <f>HYPERLINK("https://otsuka-europe-crm.veevavault.com/ui/#object/account__v/V4TZ06G6O71SB5V", "FRANCESCA LEONE")</f>
        <v>FRANCESCA LEONE</v>
      </c>
      <c r="B5998" s="18" t="str">
        <f>HYPERLINK("https://otsuka-europe-crm.veevavault.com/ui/#object/vcountry__v/VENZ000004SONFQ", "IT")</f>
        <v>IT</v>
      </c>
      <c r="C5998" s="20" t="s">
        <v>42</v>
      </c>
      <c r="D5998" s="21" t="str">
        <f>HYPERLINK("https://otsuka-europe-crm.veevavault.com/ui/#object/approved_document__v/V5O00000001A024", "Lupkynis - rischio - IT-LUP-2600002 v1.0 -  NEPHRO")</f>
        <v>Lupkynis - rischio - IT-LUP-2600002 v1.0 -  NEPHRO</v>
      </c>
      <c r="E5998" s="22" t="str">
        <f>HYPERLINK("https://otsuka-europe-crm.veevavault.com/ui/#object/sent_email__v/VBL00000003A163", "SE-001444459")</f>
        <v>SE-001444459</v>
      </c>
      <c r="F5998" s="25">
        <v>46226.299432870372</v>
      </c>
      <c r="G5998" s="24">
        <v>1</v>
      </c>
      <c r="H5998" s="24">
        <v>1</v>
      </c>
      <c r="I5998" s="24">
        <v>0</v>
      </c>
      <c r="J5998" s="23"/>
      <c r="K5998" s="24">
        <v>0</v>
      </c>
      <c r="L5998" s="22" t="str">
        <f>HYPERLINK("https://otsuka-europe-crm.veevavault.com/ui/#object/approved_document__v/V5O00000001A024", "Lupkynis - rischio - IT-LUP-2600002 v1.0 -  NEPHRO")</f>
        <v>Lupkynis - rischio - IT-LUP-2600002 v1.0 -  NEPHRO</v>
      </c>
      <c r="M5998" s="22" t="str">
        <f>HYPERLINK("mailto:alfredo.pisapia@crm.otsuka-europe.com", "alfredo.pisapia@crm.otsuka-europe.com")</f>
        <v>alfredo.pisapia@crm.otsuka-europe.com</v>
      </c>
      <c r="N5998" s="25">
        <v>46226.299340277779</v>
      </c>
      <c r="O5998" s="14" t="str">
        <f>HYPERLINK("https://otsuka-europe-crm.veevavault.com/ui/#object/email_activity__v/V8C00000004B418", "EN-002107432")</f>
        <v>EN-002107432</v>
      </c>
    </row>
    <row r="5999" spans="1:15" ht="16" x14ac:dyDescent="0.2">
      <c r="A5999" s="19"/>
      <c r="B5999" s="19"/>
      <c r="C5999" s="19"/>
      <c r="D5999" s="19"/>
      <c r="E5999" s="19"/>
      <c r="F5999" s="19"/>
      <c r="G5999" s="19"/>
      <c r="H5999" s="19"/>
      <c r="I5999" s="19"/>
      <c r="J5999" s="19"/>
      <c r="K5999" s="19"/>
      <c r="L5999" s="19"/>
      <c r="M5999" s="19"/>
      <c r="N5999" s="19"/>
      <c r="O5999" s="14" t="str">
        <f>HYPERLINK("https://otsuka-europe-crm.veevavault.com/ui/#object/email_activity__v/V8C00000004C578", "EN-002108088")</f>
        <v>EN-002108088</v>
      </c>
    </row>
    <row r="6000" spans="1:15" ht="16" x14ac:dyDescent="0.2">
      <c r="A6000" s="18" t="str">
        <f>HYPERLINK("https://otsuka-europe-crm.veevavault.com/ui/#object/account__v/V4TZ06G6O71SB5V", "FRANCESCA LEONE")</f>
        <v>FRANCESCA LEONE</v>
      </c>
      <c r="B6000" s="18" t="str">
        <f>HYPERLINK("https://otsuka-europe-crm.veevavault.com/ui/#object/vcountry__v/VENZ000004SONFQ", "IT")</f>
        <v>IT</v>
      </c>
      <c r="C6000" s="20" t="s">
        <v>42</v>
      </c>
      <c r="D6000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00" s="22" t="str">
        <f>HYPERLINK("https://otsuka-europe-crm.veevavault.com/ui/#object/sent_email__v/VBL000000039059", "SE-001444460")</f>
        <v>SE-001444460</v>
      </c>
      <c r="F6000" s="23"/>
      <c r="G6000" s="24">
        <v>0</v>
      </c>
      <c r="H6000" s="24">
        <v>0</v>
      </c>
      <c r="I6000" s="24">
        <v>0</v>
      </c>
      <c r="J6000" s="23"/>
      <c r="K6000" s="24">
        <v>0</v>
      </c>
      <c r="L6000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00" s="22" t="str">
        <f>HYPERLINK("mailto:alfredo.pisapia@crm.otsuka-europe.com", "alfredo.pisapia@crm.otsuka-europe.com")</f>
        <v>alfredo.pisapia@crm.otsuka-europe.com</v>
      </c>
      <c r="N6000" s="25">
        <v>46226.299259259256</v>
      </c>
      <c r="O6000" s="14" t="str">
        <f>HYPERLINK("https://otsuka-europe-crm.veevavault.com/ui/#object/email_activity__v/V8C00000004B485", "EN-002107596")</f>
        <v>EN-002107596</v>
      </c>
    </row>
    <row r="6001" spans="1:15" ht="16" x14ac:dyDescent="0.2">
      <c r="A6001" s="19"/>
      <c r="B6001" s="19"/>
      <c r="C6001" s="19"/>
      <c r="D6001" s="19"/>
      <c r="E6001" s="19"/>
      <c r="F6001" s="19"/>
      <c r="G6001" s="19"/>
      <c r="H6001" s="19"/>
      <c r="I6001" s="19"/>
      <c r="J6001" s="19"/>
      <c r="K6001" s="19"/>
      <c r="L6001" s="19"/>
      <c r="M6001" s="19"/>
      <c r="N6001" s="19"/>
      <c r="O6001" s="14" t="str">
        <f>HYPERLINK("https://otsuka-europe-crm.veevavault.com/ui/#object/email_activity__v/V8C00000004B802", "EN-002108110")</f>
        <v>EN-002108110</v>
      </c>
    </row>
    <row r="6002" spans="1:15" ht="32" x14ac:dyDescent="0.2">
      <c r="A6002" s="7" t="str">
        <f>HYPERLINK("https://otsuka-europe-crm.veevavault.com/ui/#object/account__v/V4TZ06G6O71S9OH", "MICHELE ANDREUCCI")</f>
        <v>MICHELE ANDREUCCI</v>
      </c>
      <c r="B6002" s="7" t="str">
        <f>HYPERLINK("https://otsuka-europe-crm.veevavault.com/ui/#object/vcountry__v/VENZ000004SONFQ", "IT")</f>
        <v>IT</v>
      </c>
      <c r="C6002" s="8" t="s">
        <v>42</v>
      </c>
      <c r="D6002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02" s="10" t="str">
        <f>HYPERLINK("https://otsuka-europe-crm.veevavault.com/ui/#object/sent_email__v/VBL00000003A164", "SE-001444461")</f>
        <v>SE-001444461</v>
      </c>
      <c r="F6002" s="11"/>
      <c r="G6002" s="12">
        <v>0</v>
      </c>
      <c r="H6002" s="12">
        <v>0</v>
      </c>
      <c r="I6002" s="12">
        <v>0</v>
      </c>
      <c r="J6002" s="11"/>
      <c r="K6002" s="12">
        <v>0</v>
      </c>
      <c r="L6002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02" s="10" t="str">
        <f>HYPERLINK("mailto:alfredo.pisapia@crm.otsuka-europe.com", "alfredo.pisapia@crm.otsuka-europe.com")</f>
        <v>alfredo.pisapia@crm.otsuka-europe.com</v>
      </c>
      <c r="N6002" s="13">
        <v>46226.299340277779</v>
      </c>
      <c r="O6002" s="14" t="str">
        <f>HYPERLINK("https://otsuka-europe-crm.veevavault.com/ui/#object/email_activity__v/V8C00000004C256", "EN-002107328")</f>
        <v>EN-002107328</v>
      </c>
    </row>
    <row r="6003" spans="1:15" ht="48" x14ac:dyDescent="0.2">
      <c r="A6003" s="7" t="str">
        <f>HYPERLINK("https://otsuka-europe-crm.veevavault.com/ui/#object/account__v/V4TZ06G6O71S9OH", "MICHELE ANDREUCCI")</f>
        <v>MICHELE ANDREUCCI</v>
      </c>
      <c r="B6003" s="7" t="str">
        <f>HYPERLINK("https://otsuka-europe-crm.veevavault.com/ui/#object/vcountry__v/VENZ000004SONFQ", "IT")</f>
        <v>IT</v>
      </c>
      <c r="C6003" s="8" t="s">
        <v>42</v>
      </c>
      <c r="D6003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03" s="10" t="str">
        <f>HYPERLINK("https://otsuka-europe-crm.veevavault.com/ui/#object/sent_email__v/VBL00000003A165", "SE-001444462")</f>
        <v>SE-001444462</v>
      </c>
      <c r="F6003" s="11"/>
      <c r="G6003" s="12">
        <v>0</v>
      </c>
      <c r="H6003" s="12">
        <v>0</v>
      </c>
      <c r="I6003" s="12">
        <v>0</v>
      </c>
      <c r="J6003" s="11"/>
      <c r="K6003" s="12">
        <v>0</v>
      </c>
      <c r="L6003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03" s="10" t="str">
        <f>HYPERLINK("mailto:alfredo.pisapia@crm.otsuka-europe.com", "alfredo.pisapia@crm.otsuka-europe.com")</f>
        <v>alfredo.pisapia@crm.otsuka-europe.com</v>
      </c>
      <c r="N6003" s="13">
        <v>46226.299259259256</v>
      </c>
      <c r="O6003" s="14" t="str">
        <f>HYPERLINK("https://otsuka-europe-crm.veevavault.com/ui/#object/email_activity__v/V8C00000004B412", "EN-002107426")</f>
        <v>EN-002107426</v>
      </c>
    </row>
    <row r="6004" spans="1:15" ht="16" x14ac:dyDescent="0.2">
      <c r="A6004" s="18" t="str">
        <f>HYPERLINK("https://otsuka-europe-crm.veevavault.com/ui/#object/account__v/V4TZ06G6O71SAZ8", "MARIA CAPRIA")</f>
        <v>MARIA CAPRIA</v>
      </c>
      <c r="B6004" s="18" t="str">
        <f>HYPERLINK("https://otsuka-europe-crm.veevavault.com/ui/#object/vcountry__v/VENZ000004SONFQ", "IT")</f>
        <v>IT</v>
      </c>
      <c r="C6004" s="20" t="s">
        <v>42</v>
      </c>
      <c r="D6004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04" s="22" t="str">
        <f>HYPERLINK("https://otsuka-europe-crm.veevavault.com/ui/#object/sent_email__v/VBL00000003A166", "SE-001444463")</f>
        <v>SE-001444463</v>
      </c>
      <c r="F6004" s="23"/>
      <c r="G6004" s="24">
        <v>0</v>
      </c>
      <c r="H6004" s="24">
        <v>0</v>
      </c>
      <c r="I6004" s="24">
        <v>0</v>
      </c>
      <c r="J6004" s="23"/>
      <c r="K6004" s="24">
        <v>0</v>
      </c>
      <c r="L6004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04" s="22" t="str">
        <f>HYPERLINK("mailto:alfredo.pisapia@crm.otsuka-europe.com", "alfredo.pisapia@crm.otsuka-europe.com")</f>
        <v>alfredo.pisapia@crm.otsuka-europe.com</v>
      </c>
      <c r="N6004" s="25">
        <v>46226.299340277779</v>
      </c>
      <c r="O6004" s="14" t="str">
        <f>HYPERLINK("https://otsuka-europe-crm.veevavault.com/ui/#object/email_activity__v/V8C00000004B566", "EN-002107677")</f>
        <v>EN-002107677</v>
      </c>
    </row>
    <row r="6005" spans="1:15" ht="16" x14ac:dyDescent="0.2">
      <c r="A6005" s="19"/>
      <c r="B6005" s="19"/>
      <c r="C6005" s="19"/>
      <c r="D6005" s="19"/>
      <c r="E6005" s="19"/>
      <c r="F6005" s="19"/>
      <c r="G6005" s="19"/>
      <c r="H6005" s="19"/>
      <c r="I6005" s="19"/>
      <c r="J6005" s="19"/>
      <c r="K6005" s="19"/>
      <c r="L6005" s="19"/>
      <c r="M6005" s="19"/>
      <c r="N6005" s="19"/>
      <c r="O6005" s="14" t="str">
        <f>HYPERLINK("https://otsuka-europe-crm.veevavault.com/ui/#object/email_activity__v/V8C00000004C575", "EN-002108085")</f>
        <v>EN-002108085</v>
      </c>
    </row>
    <row r="6006" spans="1:15" ht="16" x14ac:dyDescent="0.2">
      <c r="A6006" s="18" t="str">
        <f>HYPERLINK("https://otsuka-europe-crm.veevavault.com/ui/#object/account__v/V4TZ06G6O71SAZ8", "MARIA CAPRIA")</f>
        <v>MARIA CAPRIA</v>
      </c>
      <c r="B6006" s="18" t="str">
        <f>HYPERLINK("https://otsuka-europe-crm.veevavault.com/ui/#object/vcountry__v/VENZ000004SONFQ", "IT")</f>
        <v>IT</v>
      </c>
      <c r="C6006" s="20" t="s">
        <v>42</v>
      </c>
      <c r="D6006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06" s="22" t="str">
        <f>HYPERLINK("https://otsuka-europe-crm.veevavault.com/ui/#object/sent_email__v/VBL00000003A167", "SE-001444464")</f>
        <v>SE-001444464</v>
      </c>
      <c r="F6006" s="23"/>
      <c r="G6006" s="24">
        <v>0</v>
      </c>
      <c r="H6006" s="24">
        <v>0</v>
      </c>
      <c r="I6006" s="24">
        <v>0</v>
      </c>
      <c r="J6006" s="23"/>
      <c r="K6006" s="24">
        <v>0</v>
      </c>
      <c r="L6006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06" s="22" t="str">
        <f>HYPERLINK("mailto:alfredo.pisapia@crm.otsuka-europe.com", "alfredo.pisapia@crm.otsuka-europe.com")</f>
        <v>alfredo.pisapia@crm.otsuka-europe.com</v>
      </c>
      <c r="N6006" s="25">
        <v>46226.299259259256</v>
      </c>
      <c r="O6006" s="14" t="str">
        <f>HYPERLINK("https://otsuka-europe-crm.veevavault.com/ui/#object/email_activity__v/V8C00000004B567", "EN-002107678")</f>
        <v>EN-002107678</v>
      </c>
    </row>
    <row r="6007" spans="1:15" ht="16" x14ac:dyDescent="0.2">
      <c r="A6007" s="19"/>
      <c r="B6007" s="19"/>
      <c r="C6007" s="19"/>
      <c r="D6007" s="19"/>
      <c r="E6007" s="19"/>
      <c r="F6007" s="19"/>
      <c r="G6007" s="19"/>
      <c r="H6007" s="19"/>
      <c r="I6007" s="19"/>
      <c r="J6007" s="19"/>
      <c r="K6007" s="19"/>
      <c r="L6007" s="19"/>
      <c r="M6007" s="19"/>
      <c r="N6007" s="19"/>
      <c r="O6007" s="14" t="str">
        <f>HYPERLINK("https://otsuka-europe-crm.veevavault.com/ui/#object/email_activity__v/V8C00000004C554", "EN-002108064")</f>
        <v>EN-002108064</v>
      </c>
    </row>
    <row r="6008" spans="1:15" ht="16" x14ac:dyDescent="0.2">
      <c r="A6008" s="18" t="str">
        <f>HYPERLINK("https://otsuka-europe-crm.veevavault.com/ui/#object/account__v/V4TZ025E86Q75S4", "EMILIO XAVIER FELIZ ALTAMIRANO")</f>
        <v>EMILIO XAVIER FELIZ ALTAMIRANO</v>
      </c>
      <c r="B6008" s="18" t="str">
        <f>HYPERLINK("https://otsuka-europe-crm.veevavault.com/ui/#object/vcountry__v/VENZ000004SONF5", "ES")</f>
        <v>ES</v>
      </c>
      <c r="C6008" s="20" t="s">
        <v>39</v>
      </c>
      <c r="D6008" s="21" t="str">
        <f>HYPERLINK("https://otsuka-europe-crm.veevavault.com/ui/#object/approved_document__v/V5O000000006010", "RXULTI - Eficaz y fácil de iniciar")</f>
        <v>RXULTI - Eficaz y fácil de iniciar</v>
      </c>
      <c r="E6008" s="22" t="str">
        <f>HYPERLINK("https://otsuka-europe-crm.veevavault.com/ui/#object/sent_email__v/VBL00000003A168", "SE-001444465")</f>
        <v>SE-001444465</v>
      </c>
      <c r="F6008" s="25">
        <v>46228.355810185189</v>
      </c>
      <c r="G6008" s="24">
        <v>1</v>
      </c>
      <c r="H6008" s="24">
        <v>2</v>
      </c>
      <c r="I6008" s="24">
        <v>0</v>
      </c>
      <c r="J6008" s="23"/>
      <c r="K6008" s="24">
        <v>0</v>
      </c>
      <c r="L6008" s="22" t="str">
        <f>HYPERLINK("https://otsuka-europe-crm.veevavault.com/ui/#object/approved_document__v/V5O000000006010", "RXULTI - Eficaz y fácil de iniciar")</f>
        <v>RXULTI - Eficaz y fácil de iniciar</v>
      </c>
      <c r="M6008" s="22" t="str">
        <f>HYPERLINK("mailto:aqueralt@crm.otsuka-europe.com", "aqueralt@crm.otsuka-europe.com")</f>
        <v>aqueralt@crm.otsuka-europe.com</v>
      </c>
      <c r="N6008" s="25">
        <v>46226.299189814818</v>
      </c>
      <c r="O6008" s="14" t="str">
        <f>HYPERLINK("https://otsuka-europe-crm.veevavault.com/ui/#object/email_activity__v/V8C00000004B358", "EN-002107371")</f>
        <v>EN-002107371</v>
      </c>
    </row>
    <row r="6009" spans="1:15" ht="16" x14ac:dyDescent="0.2">
      <c r="A6009" s="26"/>
      <c r="B6009" s="26"/>
      <c r="C6009" s="26"/>
      <c r="D6009" s="26"/>
      <c r="E6009" s="26"/>
      <c r="F6009" s="26"/>
      <c r="G6009" s="26"/>
      <c r="H6009" s="26"/>
      <c r="I6009" s="26"/>
      <c r="J6009" s="26"/>
      <c r="K6009" s="26"/>
      <c r="L6009" s="26"/>
      <c r="M6009" s="26"/>
      <c r="N6009" s="26"/>
      <c r="O6009" s="14" t="str">
        <f>HYPERLINK("https://otsuka-europe-crm.veevavault.com/ui/#object/email_activity__v/V8C00000004B450", "EN-002107558")</f>
        <v>EN-002107558</v>
      </c>
    </row>
    <row r="6010" spans="1:15" ht="16" x14ac:dyDescent="0.2">
      <c r="A6010" s="19"/>
      <c r="B6010" s="19"/>
      <c r="C6010" s="19"/>
      <c r="D6010" s="19"/>
      <c r="E6010" s="19"/>
      <c r="F6010" s="19"/>
      <c r="G6010" s="19"/>
      <c r="H6010" s="19"/>
      <c r="I6010" s="19"/>
      <c r="J6010" s="19"/>
      <c r="K6010" s="19"/>
      <c r="L6010" s="19"/>
      <c r="M6010" s="19"/>
      <c r="N6010" s="19"/>
      <c r="O6010" s="14" t="str">
        <f>HYPERLINK("https://otsuka-europe-crm.veevavault.com/ui/#object/email_activity__v/V8C00000004D444", "EN-002108968")</f>
        <v>EN-002108968</v>
      </c>
    </row>
    <row r="6011" spans="1:15" ht="16" x14ac:dyDescent="0.2">
      <c r="A6011" s="18" t="str">
        <f>HYPERLINK("https://otsuka-europe-crm.veevavault.com/ui/#object/account__v/V4TZ025E86Q75S4", "EMILIO XAVIER FELIZ ALTAMIRANO")</f>
        <v>EMILIO XAVIER FELIZ ALTAMIRANO</v>
      </c>
      <c r="B6011" s="18" t="str">
        <f>HYPERLINK("https://otsuka-europe-crm.veevavault.com/ui/#object/vcountry__v/VENZ000004SONF5", "ES")</f>
        <v>ES</v>
      </c>
      <c r="C6011" s="20" t="s">
        <v>39</v>
      </c>
      <c r="D6011" s="21" t="str">
        <f>HYPERLINK("https://otsuka-europe-crm.veevavault.com/ui/#object/approved_document__v/V5O000000006009", "RXULTI - Monografía de producto")</f>
        <v>RXULTI - Monografía de producto</v>
      </c>
      <c r="E6011" s="22" t="str">
        <f>HYPERLINK("https://otsuka-europe-crm.veevavault.com/ui/#object/sent_email__v/VBL00000003A169", "SE-001444466")</f>
        <v>SE-001444466</v>
      </c>
      <c r="F6011" s="25">
        <v>46228.355810185189</v>
      </c>
      <c r="G6011" s="24">
        <v>1</v>
      </c>
      <c r="H6011" s="24">
        <v>1</v>
      </c>
      <c r="I6011" s="24">
        <v>0</v>
      </c>
      <c r="J6011" s="23"/>
      <c r="K6011" s="24">
        <v>0</v>
      </c>
      <c r="L6011" s="22" t="str">
        <f>HYPERLINK("https://otsuka-europe-crm.veevavault.com/ui/#object/approved_document__v/V5O000000006009", "RXULTI - Monografía de producto")</f>
        <v>RXULTI - Monografía de producto</v>
      </c>
      <c r="M6011" s="22" t="str">
        <f>HYPERLINK("mailto:aqueralt@crm.otsuka-europe.com", "aqueralt@crm.otsuka-europe.com")</f>
        <v>aqueralt@crm.otsuka-europe.com</v>
      </c>
      <c r="N6011" s="25">
        <v>46226.299189814818</v>
      </c>
      <c r="O6011" s="14" t="str">
        <f>HYPERLINK("https://otsuka-europe-crm.veevavault.com/ui/#object/email_activity__v/V8C00000004B360", "EN-002107373")</f>
        <v>EN-002107373</v>
      </c>
    </row>
    <row r="6012" spans="1:15" ht="16" x14ac:dyDescent="0.2">
      <c r="A6012" s="19"/>
      <c r="B6012" s="19"/>
      <c r="C6012" s="19"/>
      <c r="D6012" s="19"/>
      <c r="E6012" s="19"/>
      <c r="F6012" s="19"/>
      <c r="G6012" s="19"/>
      <c r="H6012" s="19"/>
      <c r="I6012" s="19"/>
      <c r="J6012" s="19"/>
      <c r="K6012" s="19"/>
      <c r="L6012" s="19"/>
      <c r="M6012" s="19"/>
      <c r="N6012" s="19"/>
      <c r="O6012" s="14" t="str">
        <f>HYPERLINK("https://otsuka-europe-crm.veevavault.com/ui/#object/email_activity__v/V8C00000004D445", "EN-002108969")</f>
        <v>EN-002108969</v>
      </c>
    </row>
    <row r="6013" spans="1:15" ht="16" x14ac:dyDescent="0.2">
      <c r="A6013" s="18" t="str">
        <f>HYPERLINK("https://otsuka-europe-crm.veevavault.com/ui/#object/account__v/V4TZ025E85VMZJ1", "ALESSANDRA SALERNO")</f>
        <v>ALESSANDRA SALERNO</v>
      </c>
      <c r="B6013" s="18" t="str">
        <f>HYPERLINK("https://otsuka-europe-crm.veevavault.com/ui/#object/vcountry__v/VENZ000004SONFQ", "IT")</f>
        <v>IT</v>
      </c>
      <c r="C6013" s="20" t="s">
        <v>42</v>
      </c>
      <c r="D6013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13" s="22" t="str">
        <f>HYPERLINK("https://otsuka-europe-crm.veevavault.com/ui/#object/sent_email__v/VBL00000003A170", "SE-001444467")</f>
        <v>SE-001444467</v>
      </c>
      <c r="F6013" s="23"/>
      <c r="G6013" s="24">
        <v>0</v>
      </c>
      <c r="H6013" s="24">
        <v>0</v>
      </c>
      <c r="I6013" s="24">
        <v>0</v>
      </c>
      <c r="J6013" s="23"/>
      <c r="K6013" s="24">
        <v>0</v>
      </c>
      <c r="L6013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13" s="22" t="str">
        <f>HYPERLINK("mailto:alfredo.pisapia@crm.otsuka-europe.com", "alfredo.pisapia@crm.otsuka-europe.com")</f>
        <v>alfredo.pisapia@crm.otsuka-europe.com</v>
      </c>
      <c r="N6013" s="25">
        <v>46226.299340277779</v>
      </c>
      <c r="O6013" s="14" t="str">
        <f>HYPERLINK("https://otsuka-europe-crm.veevavault.com/ui/#object/email_activity__v/V8C00000004B568", "EN-002107679")</f>
        <v>EN-002107679</v>
      </c>
    </row>
    <row r="6014" spans="1:15" ht="16" x14ac:dyDescent="0.2">
      <c r="A6014" s="19"/>
      <c r="B6014" s="19"/>
      <c r="C6014" s="19"/>
      <c r="D6014" s="19"/>
      <c r="E6014" s="19"/>
      <c r="F6014" s="19"/>
      <c r="G6014" s="19"/>
      <c r="H6014" s="19"/>
      <c r="I6014" s="19"/>
      <c r="J6014" s="19"/>
      <c r="K6014" s="19"/>
      <c r="L6014" s="19"/>
      <c r="M6014" s="19"/>
      <c r="N6014" s="19"/>
      <c r="O6014" s="14" t="str">
        <f>HYPERLINK("https://otsuka-europe-crm.veevavault.com/ui/#object/email_activity__v/V8C00000004B830", "EN-002108138")</f>
        <v>EN-002108138</v>
      </c>
    </row>
    <row r="6015" spans="1:15" ht="16" x14ac:dyDescent="0.2">
      <c r="A6015" s="18" t="str">
        <f>HYPERLINK("https://otsuka-europe-crm.veevavault.com/ui/#object/account__v/V4TZ025E85VMZJ1", "ALESSANDRA SALERNO")</f>
        <v>ALESSANDRA SALERNO</v>
      </c>
      <c r="B6015" s="18" t="str">
        <f>HYPERLINK("https://otsuka-europe-crm.veevavault.com/ui/#object/vcountry__v/VENZ000004SONFQ", "IT")</f>
        <v>IT</v>
      </c>
      <c r="C6015" s="20" t="s">
        <v>42</v>
      </c>
      <c r="D6015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15" s="22" t="str">
        <f>HYPERLINK("https://otsuka-europe-crm.veevavault.com/ui/#object/sent_email__v/VBL00000003A171", "SE-001444468")</f>
        <v>SE-001444468</v>
      </c>
      <c r="F6015" s="23"/>
      <c r="G6015" s="24">
        <v>0</v>
      </c>
      <c r="H6015" s="24">
        <v>0</v>
      </c>
      <c r="I6015" s="24">
        <v>0</v>
      </c>
      <c r="J6015" s="23"/>
      <c r="K6015" s="24">
        <v>0</v>
      </c>
      <c r="L6015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15" s="22" t="str">
        <f>HYPERLINK("mailto:alfredo.pisapia@crm.otsuka-europe.com", "alfredo.pisapia@crm.otsuka-europe.com")</f>
        <v>alfredo.pisapia@crm.otsuka-europe.com</v>
      </c>
      <c r="N6015" s="25">
        <v>46226.299259259256</v>
      </c>
      <c r="O6015" s="14" t="str">
        <f>HYPERLINK("https://otsuka-europe-crm.veevavault.com/ui/#object/email_activity__v/V8C00000004B569", "EN-002107680")</f>
        <v>EN-002107680</v>
      </c>
    </row>
    <row r="6016" spans="1:15" ht="16" x14ac:dyDescent="0.2">
      <c r="A6016" s="19"/>
      <c r="B6016" s="19"/>
      <c r="C6016" s="19"/>
      <c r="D6016" s="19"/>
      <c r="E6016" s="19"/>
      <c r="F6016" s="19"/>
      <c r="G6016" s="19"/>
      <c r="H6016" s="19"/>
      <c r="I6016" s="19"/>
      <c r="J6016" s="19"/>
      <c r="K6016" s="19"/>
      <c r="L6016" s="19"/>
      <c r="M6016" s="19"/>
      <c r="N6016" s="19"/>
      <c r="O6016" s="14" t="str">
        <f>HYPERLINK("https://otsuka-europe-crm.veevavault.com/ui/#object/email_activity__v/V8C00000004B710", "EN-002107842")</f>
        <v>EN-002107842</v>
      </c>
    </row>
    <row r="6017" spans="1:15" ht="16" x14ac:dyDescent="0.2">
      <c r="A6017" s="18" t="str">
        <f>HYPERLINK("https://otsuka-europe-crm.veevavault.com/ui/#object/account__v/V4TZ04ASGC7DC65", "ROSARIO FOTI")</f>
        <v>ROSARIO FOTI</v>
      </c>
      <c r="B6017" s="18" t="str">
        <f>HYPERLINK("https://otsuka-europe-crm.veevavault.com/ui/#object/vcountry__v/VENZ000004SONFQ", "IT")</f>
        <v>IT</v>
      </c>
      <c r="C6017" s="20" t="s">
        <v>42</v>
      </c>
      <c r="D6017" s="21" t="str">
        <f>HYPERLINK("https://otsuka-europe-crm.veevavault.com/ui/#object/approved_document__v/V5O00000001A026", "Lupkynis - rischio - IT-LUP-2600002 v1.0 - RHEUMA")</f>
        <v>Lupkynis - rischio - IT-LUP-2600002 v1.0 - RHEUMA</v>
      </c>
      <c r="E6017" s="22" t="str">
        <f>HYPERLINK("https://otsuka-europe-crm.veevavault.com/ui/#object/sent_email__v/VBL00000003A172", "SE-001444469")</f>
        <v>SE-001444469</v>
      </c>
      <c r="F6017" s="25">
        <v>46227.404583333337</v>
      </c>
      <c r="G6017" s="24">
        <v>1</v>
      </c>
      <c r="H6017" s="24">
        <v>1</v>
      </c>
      <c r="I6017" s="24">
        <v>0</v>
      </c>
      <c r="J6017" s="23"/>
      <c r="K6017" s="24">
        <v>0</v>
      </c>
      <c r="L6017" s="22" t="str">
        <f>HYPERLINK("https://otsuka-europe-crm.veevavault.com/ui/#object/approved_document__v/V5O00000001A026", "Lupkynis - rischio - IT-LUP-2600002 v1.0 - RHEUMA")</f>
        <v>Lupkynis - rischio - IT-LUP-2600002 v1.0 - RHEUMA</v>
      </c>
      <c r="M6017" s="22" t="str">
        <f>HYPERLINK("mailto:alfredo.pisapia@crm.otsuka-europe.com", "alfredo.pisapia@crm.otsuka-europe.com")</f>
        <v>alfredo.pisapia@crm.otsuka-europe.com</v>
      </c>
      <c r="N6017" s="25">
        <v>46226.299212962964</v>
      </c>
      <c r="O6017" s="14" t="str">
        <f>HYPERLINK("https://otsuka-europe-crm.veevavault.com/ui/#object/email_activity__v/V8C00000004B570", "EN-002107681")</f>
        <v>EN-002107681</v>
      </c>
    </row>
    <row r="6018" spans="1:15" ht="16" x14ac:dyDescent="0.2">
      <c r="A6018" s="26"/>
      <c r="B6018" s="26"/>
      <c r="C6018" s="26"/>
      <c r="D6018" s="26"/>
      <c r="E6018" s="26"/>
      <c r="F6018" s="26"/>
      <c r="G6018" s="26"/>
      <c r="H6018" s="26"/>
      <c r="I6018" s="26"/>
      <c r="J6018" s="26"/>
      <c r="K6018" s="26"/>
      <c r="L6018" s="26"/>
      <c r="M6018" s="26"/>
      <c r="N6018" s="26"/>
      <c r="O6018" s="14" t="str">
        <f>HYPERLINK("https://otsuka-europe-crm.veevavault.com/ui/#object/email_activity__v/V8C00000004B705", "EN-002107837")</f>
        <v>EN-002107837</v>
      </c>
    </row>
    <row r="6019" spans="1:15" ht="16" x14ac:dyDescent="0.2">
      <c r="A6019" s="26"/>
      <c r="B6019" s="26"/>
      <c r="C6019" s="26"/>
      <c r="D6019" s="26"/>
      <c r="E6019" s="26"/>
      <c r="F6019" s="26"/>
      <c r="G6019" s="26"/>
      <c r="H6019" s="26"/>
      <c r="I6019" s="26"/>
      <c r="J6019" s="26"/>
      <c r="K6019" s="26"/>
      <c r="L6019" s="26"/>
      <c r="M6019" s="26"/>
      <c r="N6019" s="26"/>
      <c r="O6019" s="14" t="str">
        <f>HYPERLINK("https://otsuka-europe-crm.veevavault.com/ui/#object/email_activity__v/V8C00000004E010", "EN-002108285")</f>
        <v>EN-002108285</v>
      </c>
    </row>
    <row r="6020" spans="1:15" ht="16" x14ac:dyDescent="0.2">
      <c r="A6020" s="19"/>
      <c r="B6020" s="19"/>
      <c r="C6020" s="19"/>
      <c r="D6020" s="19"/>
      <c r="E6020" s="19"/>
      <c r="F6020" s="19"/>
      <c r="G6020" s="19"/>
      <c r="H6020" s="19"/>
      <c r="I6020" s="19"/>
      <c r="J6020" s="19"/>
      <c r="K6020" s="19"/>
      <c r="L6020" s="19"/>
      <c r="M6020" s="19"/>
      <c r="N6020" s="19"/>
      <c r="O6020" s="14" t="str">
        <f>HYPERLINK("https://otsuka-europe-crm.veevavault.com/ui/#object/email_activity__v/V8C00000004E355", "EN-002109063")</f>
        <v>EN-002109063</v>
      </c>
    </row>
    <row r="6021" spans="1:15" ht="16" x14ac:dyDescent="0.2">
      <c r="A6021" s="18" t="str">
        <f>HYPERLINK("https://otsuka-europe-crm.veevavault.com/ui/#object/account__v/V4TZ04ASGC7DC65", "ROSARIO FOTI")</f>
        <v>ROSARIO FOTI</v>
      </c>
      <c r="B6021" s="18" t="str">
        <f>HYPERLINK("https://otsuka-europe-crm.veevavault.com/ui/#object/vcountry__v/VENZ000004SONFQ", "IT")</f>
        <v>IT</v>
      </c>
      <c r="C6021" s="20" t="s">
        <v>42</v>
      </c>
      <c r="D6021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021" s="22" t="str">
        <f>HYPERLINK("https://otsuka-europe-crm.veevavault.com/ui/#object/sent_email__v/VBL00000003A173", "SE-001444470")</f>
        <v>SE-001444470</v>
      </c>
      <c r="F6021" s="23"/>
      <c r="G6021" s="24">
        <v>0</v>
      </c>
      <c r="H6021" s="24">
        <v>0</v>
      </c>
      <c r="I6021" s="24">
        <v>0</v>
      </c>
      <c r="J6021" s="23"/>
      <c r="K6021" s="24">
        <v>0</v>
      </c>
      <c r="L6021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021" s="22" t="str">
        <f>HYPERLINK("mailto:alfredo.pisapia@crm.otsuka-europe.com", "alfredo.pisapia@crm.otsuka-europe.com")</f>
        <v>alfredo.pisapia@crm.otsuka-europe.com</v>
      </c>
      <c r="N6021" s="25">
        <v>46226.299189814818</v>
      </c>
      <c r="O6021" s="14" t="str">
        <f>HYPERLINK("https://otsuka-europe-crm.veevavault.com/ui/#object/email_activity__v/V8C00000004B359", "EN-002107372")</f>
        <v>EN-002107372</v>
      </c>
    </row>
    <row r="6022" spans="1:15" ht="16" x14ac:dyDescent="0.2">
      <c r="A6022" s="19"/>
      <c r="B6022" s="19"/>
      <c r="C6022" s="19"/>
      <c r="D6022" s="19"/>
      <c r="E6022" s="19"/>
      <c r="F6022" s="19"/>
      <c r="G6022" s="19"/>
      <c r="H6022" s="19"/>
      <c r="I6022" s="19"/>
      <c r="J6022" s="19"/>
      <c r="K6022" s="19"/>
      <c r="L6022" s="19"/>
      <c r="M6022" s="19"/>
      <c r="N6022" s="19"/>
      <c r="O6022" s="14" t="str">
        <f>HYPERLINK("https://otsuka-europe-crm.veevavault.com/ui/#object/email_activity__v/V8C00000004E354", "EN-002109062")</f>
        <v>EN-002109062</v>
      </c>
    </row>
    <row r="6023" spans="1:15" ht="16" x14ac:dyDescent="0.2">
      <c r="A6023" s="18" t="str">
        <f>HYPERLINK("https://otsuka-europe-crm.veevavault.com/ui/#object/account__v/V4TZ025E83886FX", "GIORGIO AMATO")</f>
        <v>GIORGIO AMATO</v>
      </c>
      <c r="B6023" s="18" t="str">
        <f>HYPERLINK("https://otsuka-europe-crm.veevavault.com/ui/#object/vcountry__v/VENZ000004SONFQ", "IT")</f>
        <v>IT</v>
      </c>
      <c r="C6023" s="20" t="s">
        <v>42</v>
      </c>
      <c r="D6023" s="21" t="str">
        <f>HYPERLINK("https://otsuka-europe-crm.veevavault.com/ui/#object/approved_document__v/V5O00000001A026", "Lupkynis - rischio - IT-LUP-2600002 v1.0 - RHEUMA")</f>
        <v>Lupkynis - rischio - IT-LUP-2600002 v1.0 - RHEUMA</v>
      </c>
      <c r="E6023" s="22" t="str">
        <f>HYPERLINK("https://otsuka-europe-crm.veevavault.com/ui/#object/sent_email__v/VBL00000003A174", "SE-001444471")</f>
        <v>SE-001444471</v>
      </c>
      <c r="F6023" s="23"/>
      <c r="G6023" s="24">
        <v>0</v>
      </c>
      <c r="H6023" s="24">
        <v>0</v>
      </c>
      <c r="I6023" s="24">
        <v>0</v>
      </c>
      <c r="J6023" s="23"/>
      <c r="K6023" s="24">
        <v>0</v>
      </c>
      <c r="L6023" s="22" t="str">
        <f>HYPERLINK("https://otsuka-europe-crm.veevavault.com/ui/#object/approved_document__v/V5O00000001A026", "Lupkynis - rischio - IT-LUP-2600002 v1.0 - RHEUMA")</f>
        <v>Lupkynis - rischio - IT-LUP-2600002 v1.0 - RHEUMA</v>
      </c>
      <c r="M6023" s="22" t="str">
        <f>HYPERLINK("mailto:alfredo.pisapia@crm.otsuka-europe.com", "alfredo.pisapia@crm.otsuka-europe.com")</f>
        <v>alfredo.pisapia@crm.otsuka-europe.com</v>
      </c>
      <c r="N6023" s="25">
        <v>46226.299212962964</v>
      </c>
      <c r="O6023" s="14" t="str">
        <f>HYPERLINK("https://otsuka-europe-crm.veevavault.com/ui/#object/email_activity__v/V8C00000004B571", "EN-002107682")</f>
        <v>EN-002107682</v>
      </c>
    </row>
    <row r="6024" spans="1:15" ht="16" x14ac:dyDescent="0.2">
      <c r="A6024" s="19"/>
      <c r="B6024" s="19"/>
      <c r="C6024" s="19"/>
      <c r="D6024" s="19"/>
      <c r="E6024" s="19"/>
      <c r="F6024" s="19"/>
      <c r="G6024" s="19"/>
      <c r="H6024" s="19"/>
      <c r="I6024" s="19"/>
      <c r="J6024" s="19"/>
      <c r="K6024" s="19"/>
      <c r="L6024" s="19"/>
      <c r="M6024" s="19"/>
      <c r="N6024" s="19"/>
      <c r="O6024" s="14" t="str">
        <f>HYPERLINK("https://otsuka-europe-crm.veevavault.com/ui/#object/email_activity__v/V8C00000004B682", "EN-002107809")</f>
        <v>EN-002107809</v>
      </c>
    </row>
    <row r="6025" spans="1:15" ht="48" x14ac:dyDescent="0.2">
      <c r="A6025" s="7" t="str">
        <f>HYPERLINK("https://otsuka-europe-crm.veevavault.com/ui/#object/account__v/V4TZ025E83886FX", "GIORGIO AMATO")</f>
        <v>GIORGIO AMATO</v>
      </c>
      <c r="B6025" s="7" t="str">
        <f>HYPERLINK("https://otsuka-europe-crm.veevavault.com/ui/#object/vcountry__v/VENZ000004SONFQ", "IT")</f>
        <v>IT</v>
      </c>
      <c r="C6025" s="8" t="s">
        <v>42</v>
      </c>
      <c r="D6025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025" s="10" t="str">
        <f>HYPERLINK("https://otsuka-europe-crm.veevavault.com/ui/#object/sent_email__v/VBL00000003A175", "SE-001444472")</f>
        <v>SE-001444472</v>
      </c>
      <c r="F6025" s="11"/>
      <c r="G6025" s="12">
        <v>0</v>
      </c>
      <c r="H6025" s="12">
        <v>0</v>
      </c>
      <c r="I6025" s="12">
        <v>0</v>
      </c>
      <c r="J6025" s="11"/>
      <c r="K6025" s="12">
        <v>0</v>
      </c>
      <c r="L6025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025" s="10" t="str">
        <f>HYPERLINK("mailto:alfredo.pisapia@crm.otsuka-europe.com", "alfredo.pisapia@crm.otsuka-europe.com")</f>
        <v>alfredo.pisapia@crm.otsuka-europe.com</v>
      </c>
      <c r="N6025" s="13">
        <v>46226.299189814818</v>
      </c>
      <c r="O6025" s="14" t="str">
        <f>HYPERLINK("https://otsuka-europe-crm.veevavault.com/ui/#object/email_activity__v/V8C00000004C316", "EN-002107482")</f>
        <v>EN-002107482</v>
      </c>
    </row>
    <row r="6026" spans="1:15" ht="16" x14ac:dyDescent="0.2">
      <c r="A6026" s="18" t="str">
        <f>HYPERLINK("https://otsuka-europe-crm.veevavault.com/ui/#object/account__v/V4TZ04ASGC7DVVD", "ELISA VISALLI")</f>
        <v>ELISA VISALLI</v>
      </c>
      <c r="B6026" s="18" t="str">
        <f>HYPERLINK("https://otsuka-europe-crm.veevavault.com/ui/#object/vcountry__v/VENZ000004SONFQ", "IT")</f>
        <v>IT</v>
      </c>
      <c r="C6026" s="20" t="s">
        <v>42</v>
      </c>
      <c r="D6026" s="21" t="str">
        <f>HYPERLINK("https://otsuka-europe-crm.veevavault.com/ui/#object/approved_document__v/V5O00000001A026", "Lupkynis - rischio - IT-LUP-2600002 v1.0 - RHEUMA")</f>
        <v>Lupkynis - rischio - IT-LUP-2600002 v1.0 - RHEUMA</v>
      </c>
      <c r="E6026" s="22" t="str">
        <f>HYPERLINK("https://otsuka-europe-crm.veevavault.com/ui/#object/sent_email__v/VBL00000003A176", "SE-001444473")</f>
        <v>SE-001444473</v>
      </c>
      <c r="F6026" s="23"/>
      <c r="G6026" s="24">
        <v>0</v>
      </c>
      <c r="H6026" s="24">
        <v>0</v>
      </c>
      <c r="I6026" s="24">
        <v>0</v>
      </c>
      <c r="J6026" s="23"/>
      <c r="K6026" s="24">
        <v>0</v>
      </c>
      <c r="L6026" s="22" t="str">
        <f>HYPERLINK("https://otsuka-europe-crm.veevavault.com/ui/#object/approved_document__v/V5O00000001A026", "Lupkynis - rischio - IT-LUP-2600002 v1.0 - RHEUMA")</f>
        <v>Lupkynis - rischio - IT-LUP-2600002 v1.0 - RHEUMA</v>
      </c>
      <c r="M6026" s="22" t="str">
        <f>HYPERLINK("mailto:alfredo.pisapia@crm.otsuka-europe.com", "alfredo.pisapia@crm.otsuka-europe.com")</f>
        <v>alfredo.pisapia@crm.otsuka-europe.com</v>
      </c>
      <c r="N6026" s="25">
        <v>46226.299212962964</v>
      </c>
      <c r="O6026" s="14" t="str">
        <f>HYPERLINK("https://otsuka-europe-crm.veevavault.com/ui/#object/email_activity__v/V8C00000004B572", "EN-002107683")</f>
        <v>EN-002107683</v>
      </c>
    </row>
    <row r="6027" spans="1:15" ht="16" x14ac:dyDescent="0.2">
      <c r="A6027" s="26"/>
      <c r="B6027" s="26"/>
      <c r="C6027" s="26"/>
      <c r="D6027" s="26"/>
      <c r="E6027" s="26"/>
      <c r="F6027" s="26"/>
      <c r="G6027" s="26"/>
      <c r="H6027" s="26"/>
      <c r="I6027" s="26"/>
      <c r="J6027" s="26"/>
      <c r="K6027" s="26"/>
      <c r="L6027" s="26"/>
      <c r="M6027" s="26"/>
      <c r="N6027" s="26"/>
      <c r="O6027" s="14" t="str">
        <f>HYPERLINK("https://otsuka-europe-crm.veevavault.com/ui/#object/email_activity__v/V8C00000004B813", "EN-002108121")</f>
        <v>EN-002108121</v>
      </c>
    </row>
    <row r="6028" spans="1:15" ht="16" x14ac:dyDescent="0.2">
      <c r="A6028" s="19"/>
      <c r="B6028" s="19"/>
      <c r="C6028" s="19"/>
      <c r="D6028" s="19"/>
      <c r="E6028" s="19"/>
      <c r="F6028" s="19"/>
      <c r="G6028" s="19"/>
      <c r="H6028" s="19"/>
      <c r="I6028" s="19"/>
      <c r="J6028" s="19"/>
      <c r="K6028" s="19"/>
      <c r="L6028" s="19"/>
      <c r="M6028" s="19"/>
      <c r="N6028" s="19"/>
      <c r="O6028" s="14" t="str">
        <f>HYPERLINK("https://otsuka-europe-crm.veevavault.com/ui/#object/email_activity__v/V8C00000004E295", "EN-002108942")</f>
        <v>EN-002108942</v>
      </c>
    </row>
    <row r="6029" spans="1:15" ht="16" x14ac:dyDescent="0.2">
      <c r="A6029" s="18" t="str">
        <f>HYPERLINK("https://otsuka-europe-crm.veevavault.com/ui/#object/account__v/V4TZ04ASGC7DVVD", "ELISA VISALLI")</f>
        <v>ELISA VISALLI</v>
      </c>
      <c r="B6029" s="18" t="str">
        <f>HYPERLINK("https://otsuka-europe-crm.veevavault.com/ui/#object/vcountry__v/VENZ000004SONFQ", "IT")</f>
        <v>IT</v>
      </c>
      <c r="C6029" s="20" t="s">
        <v>42</v>
      </c>
      <c r="D6029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029" s="22" t="str">
        <f>HYPERLINK("https://otsuka-europe-crm.veevavault.com/ui/#object/sent_email__v/VBL00000003A177", "SE-001444474")</f>
        <v>SE-001444474</v>
      </c>
      <c r="F6029" s="23"/>
      <c r="G6029" s="24">
        <v>0</v>
      </c>
      <c r="H6029" s="24">
        <v>0</v>
      </c>
      <c r="I6029" s="24">
        <v>0</v>
      </c>
      <c r="J6029" s="23"/>
      <c r="K6029" s="24">
        <v>0</v>
      </c>
      <c r="L6029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029" s="22" t="str">
        <f>HYPERLINK("mailto:alfredo.pisapia@crm.otsuka-europe.com", "alfredo.pisapia@crm.otsuka-europe.com")</f>
        <v>alfredo.pisapia@crm.otsuka-europe.com</v>
      </c>
      <c r="N6029" s="25">
        <v>46226.299189814818</v>
      </c>
      <c r="O6029" s="14" t="str">
        <f>HYPERLINK("https://otsuka-europe-crm.veevavault.com/ui/#object/email_activity__v/V8C00000004B573", "EN-002107684")</f>
        <v>EN-002107684</v>
      </c>
    </row>
    <row r="6030" spans="1:15" ht="16" x14ac:dyDescent="0.2">
      <c r="A6030" s="26"/>
      <c r="B6030" s="26"/>
      <c r="C6030" s="26"/>
      <c r="D6030" s="26"/>
      <c r="E6030" s="26"/>
      <c r="F6030" s="26"/>
      <c r="G6030" s="26"/>
      <c r="H6030" s="26"/>
      <c r="I6030" s="26"/>
      <c r="J6030" s="26"/>
      <c r="K6030" s="26"/>
      <c r="L6030" s="26"/>
      <c r="M6030" s="26"/>
      <c r="N6030" s="26"/>
      <c r="O6030" s="14" t="str">
        <f>HYPERLINK("https://otsuka-europe-crm.veevavault.com/ui/#object/email_activity__v/V8C00000004C410", "EN-002107851")</f>
        <v>EN-002107851</v>
      </c>
    </row>
    <row r="6031" spans="1:15" ht="16" x14ac:dyDescent="0.2">
      <c r="A6031" s="19"/>
      <c r="B6031" s="19"/>
      <c r="C6031" s="19"/>
      <c r="D6031" s="19"/>
      <c r="E6031" s="19"/>
      <c r="F6031" s="19"/>
      <c r="G6031" s="19"/>
      <c r="H6031" s="19"/>
      <c r="I6031" s="19"/>
      <c r="J6031" s="19"/>
      <c r="K6031" s="19"/>
      <c r="L6031" s="19"/>
      <c r="M6031" s="19"/>
      <c r="N6031" s="19"/>
      <c r="O6031" s="14" t="str">
        <f>HYPERLINK("https://otsuka-europe-crm.veevavault.com/ui/#object/email_activity__v/V8C00000004E294", "EN-002108941")</f>
        <v>EN-002108941</v>
      </c>
    </row>
    <row r="6032" spans="1:15" ht="32" x14ac:dyDescent="0.2">
      <c r="A6032" s="7" t="str">
        <f>HYPERLINK("https://otsuka-europe-crm.veevavault.com/ui/#object/account__v/V4TZ06G6O71SAPE", "MAURIZIO GAROZZO")</f>
        <v>MAURIZIO GAROZZO</v>
      </c>
      <c r="B6032" s="7" t="str">
        <f>HYPERLINK("https://otsuka-europe-crm.veevavault.com/ui/#object/vcountry__v/VENZ000004SONFQ", "IT")</f>
        <v>IT</v>
      </c>
      <c r="C6032" s="8" t="s">
        <v>42</v>
      </c>
      <c r="D6032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32" s="10" t="str">
        <f>HYPERLINK("https://otsuka-europe-crm.veevavault.com/ui/#object/sent_email__v/VBL00000003A178", "SE-001444475")</f>
        <v>SE-001444475</v>
      </c>
      <c r="F6032" s="11"/>
      <c r="G6032" s="12">
        <v>0</v>
      </c>
      <c r="H6032" s="12">
        <v>0</v>
      </c>
      <c r="I6032" s="12">
        <v>0</v>
      </c>
      <c r="J6032" s="11"/>
      <c r="K6032" s="12">
        <v>0</v>
      </c>
      <c r="L6032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32" s="10" t="str">
        <f>HYPERLINK("mailto:alfredo.pisapia@crm.otsuka-europe.com", "alfredo.pisapia@crm.otsuka-europe.com")</f>
        <v>alfredo.pisapia@crm.otsuka-europe.com</v>
      </c>
      <c r="N6032" s="13">
        <v>46226.299340277779</v>
      </c>
      <c r="O6032" s="14" t="str">
        <f>HYPERLINK("https://otsuka-europe-crm.veevavault.com/ui/#object/email_activity__v/V8C00000004B391", "EN-002107404")</f>
        <v>EN-002107404</v>
      </c>
    </row>
    <row r="6033" spans="1:15" ht="48" x14ac:dyDescent="0.2">
      <c r="A6033" s="7" t="str">
        <f>HYPERLINK("https://otsuka-europe-crm.veevavault.com/ui/#object/account__v/V4TZ06G6O71SAPE", "MAURIZIO GAROZZO")</f>
        <v>MAURIZIO GAROZZO</v>
      </c>
      <c r="B6033" s="7" t="str">
        <f>HYPERLINK("https://otsuka-europe-crm.veevavault.com/ui/#object/vcountry__v/VENZ000004SONFQ", "IT")</f>
        <v>IT</v>
      </c>
      <c r="C6033" s="8" t="s">
        <v>42</v>
      </c>
      <c r="D6033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33" s="10" t="str">
        <f>HYPERLINK("https://otsuka-europe-crm.veevavault.com/ui/#object/sent_email__v/VBL00000003A179", "SE-001444476")</f>
        <v>SE-001444476</v>
      </c>
      <c r="F6033" s="11"/>
      <c r="G6033" s="12">
        <v>0</v>
      </c>
      <c r="H6033" s="12">
        <v>0</v>
      </c>
      <c r="I6033" s="12">
        <v>0</v>
      </c>
      <c r="J6033" s="11"/>
      <c r="K6033" s="12">
        <v>0</v>
      </c>
      <c r="L6033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33" s="10" t="str">
        <f>HYPERLINK("mailto:alfredo.pisapia@crm.otsuka-europe.com", "alfredo.pisapia@crm.otsuka-europe.com")</f>
        <v>alfredo.pisapia@crm.otsuka-europe.com</v>
      </c>
      <c r="N6033" s="13">
        <v>46226.299259259256</v>
      </c>
      <c r="O6033" s="14" t="str">
        <f>HYPERLINK("https://otsuka-europe-crm.veevavault.com/ui/#object/email_activity__v/V8C00000004C281", "EN-002107353")</f>
        <v>EN-002107353</v>
      </c>
    </row>
    <row r="6034" spans="1:15" ht="16" x14ac:dyDescent="0.2">
      <c r="A6034" s="18" t="str">
        <f>HYPERLINK("https://otsuka-europe-crm.veevavault.com/ui/#object/account__v/V4TZ06G6O71SA41", "GIOVANNI BATTAGLIA")</f>
        <v>GIOVANNI BATTAGLIA</v>
      </c>
      <c r="B6034" s="18" t="str">
        <f>HYPERLINK("https://otsuka-europe-crm.veevavault.com/ui/#object/vcountry__v/VENZ000004SONFQ", "IT")</f>
        <v>IT</v>
      </c>
      <c r="C6034" s="20" t="s">
        <v>42</v>
      </c>
      <c r="D6034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34" s="22" t="str">
        <f>HYPERLINK("https://otsuka-europe-crm.veevavault.com/ui/#object/sent_email__v/VBL00000003A180", "SE-001444477")</f>
        <v>SE-001444477</v>
      </c>
      <c r="F6034" s="23"/>
      <c r="G6034" s="24">
        <v>0</v>
      </c>
      <c r="H6034" s="24">
        <v>0</v>
      </c>
      <c r="I6034" s="24">
        <v>0</v>
      </c>
      <c r="J6034" s="23"/>
      <c r="K6034" s="24">
        <v>0</v>
      </c>
      <c r="L6034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34" s="22" t="str">
        <f>HYPERLINK("mailto:alfredo.pisapia@crm.otsuka-europe.com", "alfredo.pisapia@crm.otsuka-europe.com")</f>
        <v>alfredo.pisapia@crm.otsuka-europe.com</v>
      </c>
      <c r="N6034" s="25">
        <v>46226.299340277779</v>
      </c>
      <c r="O6034" s="14" t="str">
        <f>HYPERLINK("https://otsuka-europe-crm.veevavault.com/ui/#object/email_activity__v/V8C00000004C328", "EN-002107494")</f>
        <v>EN-002107494</v>
      </c>
    </row>
    <row r="6035" spans="1:15" ht="16" x14ac:dyDescent="0.2">
      <c r="A6035" s="19"/>
      <c r="B6035" s="19"/>
      <c r="C6035" s="19"/>
      <c r="D6035" s="19"/>
      <c r="E6035" s="19"/>
      <c r="F6035" s="19"/>
      <c r="G6035" s="19"/>
      <c r="H6035" s="19"/>
      <c r="I6035" s="19"/>
      <c r="J6035" s="19"/>
      <c r="K6035" s="19"/>
      <c r="L6035" s="19"/>
      <c r="M6035" s="19"/>
      <c r="N6035" s="19"/>
      <c r="O6035" s="14" t="str">
        <f>HYPERLINK("https://otsuka-europe-crm.veevavault.com/ui/#object/email_activity__v/V8C00000004C384", "EN-002107775")</f>
        <v>EN-002107775</v>
      </c>
    </row>
    <row r="6036" spans="1:15" ht="16" x14ac:dyDescent="0.2">
      <c r="A6036" s="18" t="str">
        <f>HYPERLINK("https://otsuka-europe-crm.veevavault.com/ui/#object/account__v/V4TZ06G6O71SA41", "GIOVANNI BATTAGLIA")</f>
        <v>GIOVANNI BATTAGLIA</v>
      </c>
      <c r="B6036" s="18" t="str">
        <f>HYPERLINK("https://otsuka-europe-crm.veevavault.com/ui/#object/vcountry__v/VENZ000004SONFQ", "IT")</f>
        <v>IT</v>
      </c>
      <c r="C6036" s="20" t="s">
        <v>42</v>
      </c>
      <c r="D6036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36" s="22" t="str">
        <f>HYPERLINK("https://otsuka-europe-crm.veevavault.com/ui/#object/sent_email__v/VBL00000003A181", "SE-001444478")</f>
        <v>SE-001444478</v>
      </c>
      <c r="F6036" s="23"/>
      <c r="G6036" s="24">
        <v>0</v>
      </c>
      <c r="H6036" s="24">
        <v>0</v>
      </c>
      <c r="I6036" s="24">
        <v>0</v>
      </c>
      <c r="J6036" s="23"/>
      <c r="K6036" s="24">
        <v>0</v>
      </c>
      <c r="L6036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36" s="22" t="str">
        <f>HYPERLINK("mailto:alfredo.pisapia@crm.otsuka-europe.com", "alfredo.pisapia@crm.otsuka-europe.com")</f>
        <v>alfredo.pisapia@crm.otsuka-europe.com</v>
      </c>
      <c r="N6036" s="25">
        <v>46226.299259259256</v>
      </c>
      <c r="O6036" s="14" t="str">
        <f>HYPERLINK("https://otsuka-europe-crm.veevavault.com/ui/#object/email_activity__v/V8C00000004B574", "EN-002107685")</f>
        <v>EN-002107685</v>
      </c>
    </row>
    <row r="6037" spans="1:15" ht="16" x14ac:dyDescent="0.2">
      <c r="A6037" s="26"/>
      <c r="B6037" s="26"/>
      <c r="C6037" s="26"/>
      <c r="D6037" s="26"/>
      <c r="E6037" s="26"/>
      <c r="F6037" s="26"/>
      <c r="G6037" s="26"/>
      <c r="H6037" s="26"/>
      <c r="I6037" s="26"/>
      <c r="J6037" s="26"/>
      <c r="K6037" s="26"/>
      <c r="L6037" s="26"/>
      <c r="M6037" s="26"/>
      <c r="N6037" s="26"/>
      <c r="O6037" s="14" t="str">
        <f>HYPERLINK("https://otsuka-europe-crm.veevavault.com/ui/#object/email_activity__v/V8C00000004B663", "EN-002107774")</f>
        <v>EN-002107774</v>
      </c>
    </row>
    <row r="6038" spans="1:15" ht="16" x14ac:dyDescent="0.2">
      <c r="A6038" s="19"/>
      <c r="B6038" s="19"/>
      <c r="C6038" s="19"/>
      <c r="D6038" s="19"/>
      <c r="E6038" s="19"/>
      <c r="F6038" s="19"/>
      <c r="G6038" s="19"/>
      <c r="H6038" s="19"/>
      <c r="I6038" s="19"/>
      <c r="J6038" s="19"/>
      <c r="K6038" s="19"/>
      <c r="L6038" s="19"/>
      <c r="M6038" s="19"/>
      <c r="N6038" s="19"/>
      <c r="O6038" s="14" t="str">
        <f>HYPERLINK("https://otsuka-europe-crm.veevavault.com/ui/#object/email_activity__v/V8C00000004B870", "EN-002108181")</f>
        <v>EN-002108181</v>
      </c>
    </row>
    <row r="6039" spans="1:15" ht="32" x14ac:dyDescent="0.2">
      <c r="A6039" s="7" t="str">
        <f>HYPERLINK("https://otsuka-europe-crm.veevavault.com/ui/#object/account__v/V4TZ025E87DYVC2", "ANNA CLEMENTI")</f>
        <v>ANNA CLEMENTI</v>
      </c>
      <c r="B6039" s="7" t="str">
        <f>HYPERLINK("https://otsuka-europe-crm.veevavault.com/ui/#object/vcountry__v/VENZ000004SONFQ", "IT")</f>
        <v>IT</v>
      </c>
      <c r="C6039" s="8" t="s">
        <v>42</v>
      </c>
      <c r="D6039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39" s="10" t="str">
        <f>HYPERLINK("https://otsuka-europe-crm.veevavault.com/ui/#object/sent_email__v/VBL00000003A182", "SE-001444479")</f>
        <v>SE-001444479</v>
      </c>
      <c r="F6039" s="11"/>
      <c r="G6039" s="12">
        <v>0</v>
      </c>
      <c r="H6039" s="12">
        <v>0</v>
      </c>
      <c r="I6039" s="12">
        <v>0</v>
      </c>
      <c r="J6039" s="11"/>
      <c r="K6039" s="12">
        <v>0</v>
      </c>
      <c r="L6039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39" s="10" t="str">
        <f>HYPERLINK("mailto:alfredo.pisapia@crm.otsuka-europe.com", "alfredo.pisapia@crm.otsuka-europe.com")</f>
        <v>alfredo.pisapia@crm.otsuka-europe.com</v>
      </c>
      <c r="N6039" s="13">
        <v>46226.299340277779</v>
      </c>
      <c r="O6039" s="14" t="str">
        <f>HYPERLINK("https://otsuka-europe-crm.veevavault.com/ui/#object/email_activity__v/V8C00000004B357", "EN-002107370")</f>
        <v>EN-002107370</v>
      </c>
    </row>
    <row r="6040" spans="1:15" ht="16" x14ac:dyDescent="0.2">
      <c r="A6040" s="18" t="str">
        <f>HYPERLINK("https://otsuka-europe-crm.veevavault.com/ui/#object/account__v/V4TZ025E87DYVC2", "ANNA CLEMENTI")</f>
        <v>ANNA CLEMENTI</v>
      </c>
      <c r="B6040" s="18" t="str">
        <f>HYPERLINK("https://otsuka-europe-crm.veevavault.com/ui/#object/vcountry__v/VENZ000004SONFQ", "IT")</f>
        <v>IT</v>
      </c>
      <c r="C6040" s="20" t="s">
        <v>42</v>
      </c>
      <c r="D6040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40" s="22" t="str">
        <f>HYPERLINK("https://otsuka-europe-crm.veevavault.com/ui/#object/sent_email__v/VBL00000003A183", "SE-001444480")</f>
        <v>SE-001444480</v>
      </c>
      <c r="F6040" s="23"/>
      <c r="G6040" s="24">
        <v>0</v>
      </c>
      <c r="H6040" s="24">
        <v>0</v>
      </c>
      <c r="I6040" s="24">
        <v>0</v>
      </c>
      <c r="J6040" s="23"/>
      <c r="K6040" s="24">
        <v>0</v>
      </c>
      <c r="L6040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40" s="22" t="str">
        <f>HYPERLINK("mailto:alfredo.pisapia@crm.otsuka-europe.com", "alfredo.pisapia@crm.otsuka-europe.com")</f>
        <v>alfredo.pisapia@crm.otsuka-europe.com</v>
      </c>
      <c r="N6040" s="25">
        <v>46226.299259259256</v>
      </c>
      <c r="O6040" s="14" t="str">
        <f>HYPERLINK("https://otsuka-europe-crm.veevavault.com/ui/#object/email_activity__v/V8C00000004B575", "EN-002107686")</f>
        <v>EN-002107686</v>
      </c>
    </row>
    <row r="6041" spans="1:15" ht="16" x14ac:dyDescent="0.2">
      <c r="A6041" s="19"/>
      <c r="B6041" s="19"/>
      <c r="C6041" s="19"/>
      <c r="D6041" s="19"/>
      <c r="E6041" s="19"/>
      <c r="F6041" s="19"/>
      <c r="G6041" s="19"/>
      <c r="H6041" s="19"/>
      <c r="I6041" s="19"/>
      <c r="J6041" s="19"/>
      <c r="K6041" s="19"/>
      <c r="L6041" s="19"/>
      <c r="M6041" s="19"/>
      <c r="N6041" s="19"/>
      <c r="O6041" s="14" t="str">
        <f>HYPERLINK("https://otsuka-europe-crm.veevavault.com/ui/#object/email_activity__v/V8C00000004B685", "EN-002107812")</f>
        <v>EN-002107812</v>
      </c>
    </row>
    <row r="6042" spans="1:15" ht="16" x14ac:dyDescent="0.2">
      <c r="A6042" s="18" t="str">
        <f>HYPERLINK("https://otsuka-europe-crm.veevavault.com/ui/#object/account__v/V4TZ06G6O71SCS2", "ANNA ZITO")</f>
        <v>ANNA ZITO</v>
      </c>
      <c r="B6042" s="18" t="str">
        <f>HYPERLINK("https://otsuka-europe-crm.veevavault.com/ui/#object/vcountry__v/VENZ000004SONFQ", "IT")</f>
        <v>IT</v>
      </c>
      <c r="C6042" s="20" t="s">
        <v>42</v>
      </c>
      <c r="D6042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42" s="22" t="str">
        <f>HYPERLINK("https://otsuka-europe-crm.veevavault.com/ui/#object/sent_email__v/VBL00000003A184", "SE-001444481")</f>
        <v>SE-001444481</v>
      </c>
      <c r="F6042" s="25">
        <v>46228.192916666667</v>
      </c>
      <c r="G6042" s="24">
        <v>1</v>
      </c>
      <c r="H6042" s="24">
        <v>5</v>
      </c>
      <c r="I6042" s="24">
        <v>0</v>
      </c>
      <c r="J6042" s="23"/>
      <c r="K6042" s="24">
        <v>0</v>
      </c>
      <c r="L6042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42" s="22" t="str">
        <f>HYPERLINK("mailto:alfredo.pisapia@crm.otsuka-europe.com", "alfredo.pisapia@crm.otsuka-europe.com")</f>
        <v>alfredo.pisapia@crm.otsuka-europe.com</v>
      </c>
      <c r="N6042" s="25">
        <v>46226.299340277779</v>
      </c>
      <c r="O6042" s="14" t="str">
        <f>HYPERLINK("https://otsuka-europe-crm.veevavault.com/ui/#object/email_activity__v/V8C00000004B325", "EN-002107285")</f>
        <v>EN-002107285</v>
      </c>
    </row>
    <row r="6043" spans="1:15" ht="16" x14ac:dyDescent="0.2">
      <c r="A6043" s="26"/>
      <c r="B6043" s="26"/>
      <c r="C6043" s="26"/>
      <c r="D6043" s="26"/>
      <c r="E6043" s="26"/>
      <c r="F6043" s="26"/>
      <c r="G6043" s="26"/>
      <c r="H6043" s="26"/>
      <c r="I6043" s="26"/>
      <c r="J6043" s="26"/>
      <c r="K6043" s="26"/>
      <c r="L6043" s="26"/>
      <c r="M6043" s="26"/>
      <c r="N6043" s="26"/>
      <c r="O6043" s="14" t="str">
        <f>HYPERLINK("https://otsuka-europe-crm.veevavault.com/ui/#object/email_activity__v/V8C00000004B395", "EN-002107409")</f>
        <v>EN-002107409</v>
      </c>
    </row>
    <row r="6044" spans="1:15" ht="16" x14ac:dyDescent="0.2">
      <c r="A6044" s="26"/>
      <c r="B6044" s="26"/>
      <c r="C6044" s="26"/>
      <c r="D6044" s="26"/>
      <c r="E6044" s="26"/>
      <c r="F6044" s="26"/>
      <c r="G6044" s="26"/>
      <c r="H6044" s="26"/>
      <c r="I6044" s="26"/>
      <c r="J6044" s="26"/>
      <c r="K6044" s="26"/>
      <c r="L6044" s="26"/>
      <c r="M6044" s="26"/>
      <c r="N6044" s="26"/>
      <c r="O6044" s="14" t="str">
        <f>HYPERLINK("https://otsuka-europe-crm.veevavault.com/ui/#object/email_activity__v/V8C00000004B653", "EN-002107764")</f>
        <v>EN-002107764</v>
      </c>
    </row>
    <row r="6045" spans="1:15" ht="16" x14ac:dyDescent="0.2">
      <c r="A6045" s="26"/>
      <c r="B6045" s="26"/>
      <c r="C6045" s="26"/>
      <c r="D6045" s="26"/>
      <c r="E6045" s="26"/>
      <c r="F6045" s="26"/>
      <c r="G6045" s="26"/>
      <c r="H6045" s="26"/>
      <c r="I6045" s="26"/>
      <c r="J6045" s="26"/>
      <c r="K6045" s="26"/>
      <c r="L6045" s="26"/>
      <c r="M6045" s="26"/>
      <c r="N6045" s="26"/>
      <c r="O6045" s="14" t="str">
        <f>HYPERLINK("https://otsuka-europe-crm.veevavault.com/ui/#object/email_activity__v/V8C00000004B768", "EN-002107993")</f>
        <v>EN-002107993</v>
      </c>
    </row>
    <row r="6046" spans="1:15" ht="16" x14ac:dyDescent="0.2">
      <c r="A6046" s="26"/>
      <c r="B6046" s="26"/>
      <c r="C6046" s="26"/>
      <c r="D6046" s="26"/>
      <c r="E6046" s="26"/>
      <c r="F6046" s="26"/>
      <c r="G6046" s="26"/>
      <c r="H6046" s="26"/>
      <c r="I6046" s="26"/>
      <c r="J6046" s="26"/>
      <c r="K6046" s="26"/>
      <c r="L6046" s="26"/>
      <c r="M6046" s="26"/>
      <c r="N6046" s="26"/>
      <c r="O6046" s="14" t="str">
        <f>HYPERLINK("https://otsuka-europe-crm.veevavault.com/ui/#object/email_activity__v/V8C00000004D068", "EN-002108303")</f>
        <v>EN-002108303</v>
      </c>
    </row>
    <row r="6047" spans="1:15" ht="16" x14ac:dyDescent="0.2">
      <c r="A6047" s="19"/>
      <c r="B6047" s="19"/>
      <c r="C6047" s="19"/>
      <c r="D6047" s="19"/>
      <c r="E6047" s="19"/>
      <c r="F6047" s="19"/>
      <c r="G6047" s="19"/>
      <c r="H6047" s="19"/>
      <c r="I6047" s="19"/>
      <c r="J6047" s="19"/>
      <c r="K6047" s="19"/>
      <c r="L6047" s="19"/>
      <c r="M6047" s="19"/>
      <c r="N6047" s="19"/>
      <c r="O6047" s="14" t="str">
        <f>HYPERLINK("https://otsuka-europe-crm.veevavault.com/ui/#object/email_activity__v/V8C00000004D440", "EN-002108961")</f>
        <v>EN-002108961</v>
      </c>
    </row>
    <row r="6048" spans="1:15" ht="16" x14ac:dyDescent="0.2">
      <c r="A6048" s="18" t="str">
        <f>HYPERLINK("https://otsuka-europe-crm.veevavault.com/ui/#object/account__v/V4TZ06G6O71SCS2", "ANNA ZITO")</f>
        <v>ANNA ZITO</v>
      </c>
      <c r="B6048" s="18" t="str">
        <f>HYPERLINK("https://otsuka-europe-crm.veevavault.com/ui/#object/vcountry__v/VENZ000004SONFQ", "IT")</f>
        <v>IT</v>
      </c>
      <c r="C6048" s="20" t="s">
        <v>42</v>
      </c>
      <c r="D6048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48" s="22" t="str">
        <f>HYPERLINK("https://otsuka-europe-crm.veevavault.com/ui/#object/sent_email__v/VBL000000039060", "SE-001444482")</f>
        <v>SE-001444482</v>
      </c>
      <c r="F6048" s="23"/>
      <c r="G6048" s="24">
        <v>0</v>
      </c>
      <c r="H6048" s="24">
        <v>0</v>
      </c>
      <c r="I6048" s="24">
        <v>0</v>
      </c>
      <c r="J6048" s="23"/>
      <c r="K6048" s="24">
        <v>0</v>
      </c>
      <c r="L6048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48" s="22" t="str">
        <f>HYPERLINK("mailto:alfredo.pisapia@crm.otsuka-europe.com", "alfredo.pisapia@crm.otsuka-europe.com")</f>
        <v>alfredo.pisapia@crm.otsuka-europe.com</v>
      </c>
      <c r="N6048" s="25">
        <v>46226.299259259256</v>
      </c>
      <c r="O6048" s="14" t="str">
        <f>HYPERLINK("https://otsuka-europe-crm.veevavault.com/ui/#object/email_activity__v/V8C00000004B486", "EN-002107597")</f>
        <v>EN-002107597</v>
      </c>
    </row>
    <row r="6049" spans="1:15" ht="16" x14ac:dyDescent="0.2">
      <c r="A6049" s="19"/>
      <c r="B6049" s="19"/>
      <c r="C6049" s="19"/>
      <c r="D6049" s="19"/>
      <c r="E6049" s="19"/>
      <c r="F6049" s="19"/>
      <c r="G6049" s="19"/>
      <c r="H6049" s="19"/>
      <c r="I6049" s="19"/>
      <c r="J6049" s="19"/>
      <c r="K6049" s="19"/>
      <c r="L6049" s="19"/>
      <c r="M6049" s="19"/>
      <c r="N6049" s="19"/>
      <c r="O6049" s="14" t="str">
        <f>HYPERLINK("https://otsuka-europe-crm.veevavault.com/ui/#object/email_activity__v/V8C00000004C512", "EN-002108010")</f>
        <v>EN-002108010</v>
      </c>
    </row>
    <row r="6050" spans="1:15" ht="16" x14ac:dyDescent="0.2">
      <c r="A6050" s="18" t="str">
        <f>HYPERLINK("https://otsuka-europe-crm.veevavault.com/ui/#object/account__v/V4TZ025E832J3YH", "PAOLO PROTOPAPA")</f>
        <v>PAOLO PROTOPAPA</v>
      </c>
      <c r="B6050" s="18" t="str">
        <f>HYPERLINK("https://otsuka-europe-crm.veevavault.com/ui/#object/vcountry__v/VENZ000004SONFQ", "IT")</f>
        <v>IT</v>
      </c>
      <c r="C6050" s="20" t="s">
        <v>42</v>
      </c>
      <c r="D6050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50" s="22" t="str">
        <f>HYPERLINK("https://otsuka-europe-crm.veevavault.com/ui/#object/sent_email__v/VBL000000039061", "SE-001444483")</f>
        <v>SE-001444483</v>
      </c>
      <c r="F6050" s="23"/>
      <c r="G6050" s="24">
        <v>0</v>
      </c>
      <c r="H6050" s="24">
        <v>0</v>
      </c>
      <c r="I6050" s="24">
        <v>0</v>
      </c>
      <c r="J6050" s="23"/>
      <c r="K6050" s="24">
        <v>0</v>
      </c>
      <c r="L6050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50" s="22" t="str">
        <f>HYPERLINK("mailto:alfredo.pisapia@crm.otsuka-europe.com", "alfredo.pisapia@crm.otsuka-europe.com")</f>
        <v>alfredo.pisapia@crm.otsuka-europe.com</v>
      </c>
      <c r="N6050" s="25">
        <v>46226.299340277779</v>
      </c>
      <c r="O6050" s="14" t="str">
        <f>HYPERLINK("https://otsuka-europe-crm.veevavault.com/ui/#object/email_activity__v/V8C00000004B487", "EN-002107598")</f>
        <v>EN-002107598</v>
      </c>
    </row>
    <row r="6051" spans="1:15" ht="16" x14ac:dyDescent="0.2">
      <c r="A6051" s="19"/>
      <c r="B6051" s="19"/>
      <c r="C6051" s="19"/>
      <c r="D6051" s="19"/>
      <c r="E6051" s="19"/>
      <c r="F6051" s="19"/>
      <c r="G6051" s="19"/>
      <c r="H6051" s="19"/>
      <c r="I6051" s="19"/>
      <c r="J6051" s="19"/>
      <c r="K6051" s="19"/>
      <c r="L6051" s="19"/>
      <c r="M6051" s="19"/>
      <c r="N6051" s="19"/>
      <c r="O6051" s="14" t="str">
        <f>HYPERLINK("https://otsuka-europe-crm.veevavault.com/ui/#object/email_activity__v/V8C00000004B713", "EN-002107845")</f>
        <v>EN-002107845</v>
      </c>
    </row>
    <row r="6052" spans="1:15" ht="16" x14ac:dyDescent="0.2">
      <c r="A6052" s="18" t="str">
        <f>HYPERLINK("https://otsuka-europe-crm.veevavault.com/ui/#object/account__v/V4TZ025E832J3YH", "PAOLO PROTOPAPA")</f>
        <v>PAOLO PROTOPAPA</v>
      </c>
      <c r="B6052" s="18" t="str">
        <f>HYPERLINK("https://otsuka-europe-crm.veevavault.com/ui/#object/vcountry__v/VENZ000004SONFQ", "IT")</f>
        <v>IT</v>
      </c>
      <c r="C6052" s="20" t="s">
        <v>42</v>
      </c>
      <c r="D6052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52" s="22" t="str">
        <f>HYPERLINK("https://otsuka-europe-crm.veevavault.com/ui/#object/sent_email__v/VBL00000003A185", "SE-001444484")</f>
        <v>SE-001444484</v>
      </c>
      <c r="F6052" s="23"/>
      <c r="G6052" s="24">
        <v>0</v>
      </c>
      <c r="H6052" s="24">
        <v>0</v>
      </c>
      <c r="I6052" s="24">
        <v>0</v>
      </c>
      <c r="J6052" s="23"/>
      <c r="K6052" s="24">
        <v>0</v>
      </c>
      <c r="L6052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52" s="22" t="str">
        <f>HYPERLINK("mailto:alfredo.pisapia@crm.otsuka-europe.com", "alfredo.pisapia@crm.otsuka-europe.com")</f>
        <v>alfredo.pisapia@crm.otsuka-europe.com</v>
      </c>
      <c r="N6052" s="25">
        <v>46226.299259259256</v>
      </c>
      <c r="O6052" s="14" t="str">
        <f>HYPERLINK("https://otsuka-europe-crm.veevavault.com/ui/#object/email_activity__v/V8C00000004B576", "EN-002107687")</f>
        <v>EN-002107687</v>
      </c>
    </row>
    <row r="6053" spans="1:15" ht="16" x14ac:dyDescent="0.2">
      <c r="A6053" s="19"/>
      <c r="B6053" s="19"/>
      <c r="C6053" s="19"/>
      <c r="D6053" s="19"/>
      <c r="E6053" s="19"/>
      <c r="F6053" s="19"/>
      <c r="G6053" s="19"/>
      <c r="H6053" s="19"/>
      <c r="I6053" s="19"/>
      <c r="J6053" s="19"/>
      <c r="K6053" s="19"/>
      <c r="L6053" s="19"/>
      <c r="M6053" s="19"/>
      <c r="N6053" s="19"/>
      <c r="O6053" s="14" t="str">
        <f>HYPERLINK("https://otsuka-europe-crm.veevavault.com/ui/#object/email_activity__v/V8C00000004B873", "EN-002108184")</f>
        <v>EN-002108184</v>
      </c>
    </row>
    <row r="6054" spans="1:15" ht="16" x14ac:dyDescent="0.2">
      <c r="A6054" s="18" t="str">
        <f>HYPERLINK("https://otsuka-europe-crm.veevavault.com/ui/#object/account__v/V4TZ06G6O71SABV", "ANTONIO DE PASCALIS")</f>
        <v>ANTONIO DE PASCALIS</v>
      </c>
      <c r="B6054" s="18" t="str">
        <f>HYPERLINK("https://otsuka-europe-crm.veevavault.com/ui/#object/vcountry__v/VENZ000004SONFQ", "IT")</f>
        <v>IT</v>
      </c>
      <c r="C6054" s="20" t="s">
        <v>42</v>
      </c>
      <c r="D6054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54" s="22" t="str">
        <f>HYPERLINK("https://otsuka-europe-crm.veevavault.com/ui/#object/sent_email__v/VBL000000039062", "SE-001444485")</f>
        <v>SE-001444485</v>
      </c>
      <c r="F6054" s="23"/>
      <c r="G6054" s="24">
        <v>0</v>
      </c>
      <c r="H6054" s="24">
        <v>0</v>
      </c>
      <c r="I6054" s="24">
        <v>0</v>
      </c>
      <c r="J6054" s="23"/>
      <c r="K6054" s="24">
        <v>0</v>
      </c>
      <c r="L6054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54" s="22" t="str">
        <f>HYPERLINK("mailto:alfredo.pisapia@crm.otsuka-europe.com", "alfredo.pisapia@crm.otsuka-europe.com")</f>
        <v>alfredo.pisapia@crm.otsuka-europe.com</v>
      </c>
      <c r="N6054" s="25">
        <v>46226.299340277779</v>
      </c>
      <c r="O6054" s="14" t="str">
        <f>HYPERLINK("https://otsuka-europe-crm.veevavault.com/ui/#object/email_activity__v/V8C00000004C253", "EN-002107325")</f>
        <v>EN-002107325</v>
      </c>
    </row>
    <row r="6055" spans="1:15" ht="16" x14ac:dyDescent="0.2">
      <c r="A6055" s="26"/>
      <c r="B6055" s="26"/>
      <c r="C6055" s="26"/>
      <c r="D6055" s="26"/>
      <c r="E6055" s="26"/>
      <c r="F6055" s="26"/>
      <c r="G6055" s="26"/>
      <c r="H6055" s="26"/>
      <c r="I6055" s="26"/>
      <c r="J6055" s="26"/>
      <c r="K6055" s="26"/>
      <c r="L6055" s="26"/>
      <c r="M6055" s="26"/>
      <c r="N6055" s="26"/>
      <c r="O6055" s="14" t="str">
        <f>HYPERLINK("https://otsuka-europe-crm.veevavault.com/ui/#object/email_activity__v/V8C00000004D021", "EN-002108244")</f>
        <v>EN-002108244</v>
      </c>
    </row>
    <row r="6056" spans="1:15" ht="16" x14ac:dyDescent="0.2">
      <c r="A6056" s="26"/>
      <c r="B6056" s="26"/>
      <c r="C6056" s="26"/>
      <c r="D6056" s="26"/>
      <c r="E6056" s="26"/>
      <c r="F6056" s="26"/>
      <c r="G6056" s="26"/>
      <c r="H6056" s="26"/>
      <c r="I6056" s="26"/>
      <c r="J6056" s="26"/>
      <c r="K6056" s="26"/>
      <c r="L6056" s="26"/>
      <c r="M6056" s="26"/>
      <c r="N6056" s="26"/>
      <c r="O6056" s="14" t="str">
        <f>HYPERLINK("https://otsuka-europe-crm.veevavault.com/ui/#object/email_activity__v/V8C00000004E003", "EN-002108225")</f>
        <v>EN-002108225</v>
      </c>
    </row>
    <row r="6057" spans="1:15" ht="16" x14ac:dyDescent="0.2">
      <c r="A6057" s="26"/>
      <c r="B6057" s="26"/>
      <c r="C6057" s="26"/>
      <c r="D6057" s="26"/>
      <c r="E6057" s="26"/>
      <c r="F6057" s="26"/>
      <c r="G6057" s="26"/>
      <c r="H6057" s="26"/>
      <c r="I6057" s="26"/>
      <c r="J6057" s="26"/>
      <c r="K6057" s="26"/>
      <c r="L6057" s="26"/>
      <c r="M6057" s="26"/>
      <c r="N6057" s="26"/>
      <c r="O6057" s="14" t="str">
        <f>HYPERLINK("https://otsuka-europe-crm.veevavault.com/ui/#object/email_activity__v/V8C00000004G015", "EN-002109809")</f>
        <v>EN-002109809</v>
      </c>
    </row>
    <row r="6058" spans="1:15" ht="16" x14ac:dyDescent="0.2">
      <c r="A6058" s="19"/>
      <c r="B6058" s="19"/>
      <c r="C6058" s="19"/>
      <c r="D6058" s="19"/>
      <c r="E6058" s="19"/>
      <c r="F6058" s="19"/>
      <c r="G6058" s="19"/>
      <c r="H6058" s="19"/>
      <c r="I6058" s="19"/>
      <c r="J6058" s="19"/>
      <c r="K6058" s="19"/>
      <c r="L6058" s="19"/>
      <c r="M6058" s="19"/>
      <c r="N6058" s="19"/>
      <c r="O6058" s="14" t="str">
        <f>HYPERLINK("https://otsuka-europe-crm.veevavault.com/ui/#object/email_activity__v/V8C00000004H009", "EN-002110959")</f>
        <v>EN-002110959</v>
      </c>
    </row>
    <row r="6059" spans="1:15" ht="16" x14ac:dyDescent="0.2">
      <c r="A6059" s="18" t="str">
        <f>HYPERLINK("https://otsuka-europe-crm.veevavault.com/ui/#object/account__v/V4TZ06G6O71SABV", "ANTONIO DE PASCALIS")</f>
        <v>ANTONIO DE PASCALIS</v>
      </c>
      <c r="B6059" s="18" t="str">
        <f>HYPERLINK("https://otsuka-europe-crm.veevavault.com/ui/#object/vcountry__v/VENZ000004SONFQ", "IT")</f>
        <v>IT</v>
      </c>
      <c r="C6059" s="20" t="s">
        <v>42</v>
      </c>
      <c r="D6059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59" s="22" t="str">
        <f>HYPERLINK("https://otsuka-europe-crm.veevavault.com/ui/#object/sent_email__v/VBL00000003A186", "SE-001444486")</f>
        <v>SE-001444486</v>
      </c>
      <c r="F6059" s="23"/>
      <c r="G6059" s="24">
        <v>0</v>
      </c>
      <c r="H6059" s="24">
        <v>0</v>
      </c>
      <c r="I6059" s="24">
        <v>0</v>
      </c>
      <c r="J6059" s="23"/>
      <c r="K6059" s="24">
        <v>0</v>
      </c>
      <c r="L6059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59" s="22" t="str">
        <f>HYPERLINK("mailto:alfredo.pisapia@crm.otsuka-europe.com", "alfredo.pisapia@crm.otsuka-europe.com")</f>
        <v>alfredo.pisapia@crm.otsuka-europe.com</v>
      </c>
      <c r="N6059" s="25">
        <v>46226.299259259256</v>
      </c>
      <c r="O6059" s="14" t="str">
        <f>HYPERLINK("https://otsuka-europe-crm.veevavault.com/ui/#object/email_activity__v/V8C00000004C297", "EN-002107462")</f>
        <v>EN-002107462</v>
      </c>
    </row>
    <row r="6060" spans="1:15" ht="16" x14ac:dyDescent="0.2">
      <c r="A6060" s="26"/>
      <c r="B6060" s="26"/>
      <c r="C6060" s="26"/>
      <c r="D6060" s="26"/>
      <c r="E6060" s="26"/>
      <c r="F6060" s="26"/>
      <c r="G6060" s="26"/>
      <c r="H6060" s="26"/>
      <c r="I6060" s="26"/>
      <c r="J6060" s="26"/>
      <c r="K6060" s="26"/>
      <c r="L6060" s="26"/>
      <c r="M6060" s="26"/>
      <c r="N6060" s="26"/>
      <c r="O6060" s="14" t="str">
        <f>HYPERLINK("https://otsuka-europe-crm.veevavault.com/ui/#object/email_activity__v/V8C00000004D020", "EN-002108243")</f>
        <v>EN-002108243</v>
      </c>
    </row>
    <row r="6061" spans="1:15" ht="16" x14ac:dyDescent="0.2">
      <c r="A6061" s="26"/>
      <c r="B6061" s="26"/>
      <c r="C6061" s="26"/>
      <c r="D6061" s="26"/>
      <c r="E6061" s="26"/>
      <c r="F6061" s="26"/>
      <c r="G6061" s="26"/>
      <c r="H6061" s="26"/>
      <c r="I6061" s="26"/>
      <c r="J6061" s="26"/>
      <c r="K6061" s="26"/>
      <c r="L6061" s="26"/>
      <c r="M6061" s="26"/>
      <c r="N6061" s="26"/>
      <c r="O6061" s="14" t="str">
        <f>HYPERLINK("https://otsuka-europe-crm.veevavault.com/ui/#object/email_activity__v/V8C00000004G014", "EN-002109808")</f>
        <v>EN-002109808</v>
      </c>
    </row>
    <row r="6062" spans="1:15" ht="16" x14ac:dyDescent="0.2">
      <c r="A6062" s="19"/>
      <c r="B6062" s="19"/>
      <c r="C6062" s="19"/>
      <c r="D6062" s="19"/>
      <c r="E6062" s="19"/>
      <c r="F6062" s="19"/>
      <c r="G6062" s="19"/>
      <c r="H6062" s="19"/>
      <c r="I6062" s="19"/>
      <c r="J6062" s="19"/>
      <c r="K6062" s="19"/>
      <c r="L6062" s="19"/>
      <c r="M6062" s="19"/>
      <c r="N6062" s="19"/>
      <c r="O6062" s="14" t="str">
        <f>HYPERLINK("https://otsuka-europe-crm.veevavault.com/ui/#object/email_activity__v/V8C00000004H008", "EN-002110958")</f>
        <v>EN-002110958</v>
      </c>
    </row>
    <row r="6063" spans="1:15" ht="16" x14ac:dyDescent="0.2">
      <c r="A6063" s="18" t="str">
        <f>HYPERLINK("https://otsuka-europe-crm.veevavault.com/ui/#object/account__v/V4TZ04ASGC004XJ", "ALDO BIAGIO MOLICA COLELLA")</f>
        <v>ALDO BIAGIO MOLICA COLELLA</v>
      </c>
      <c r="B6063" s="18" t="str">
        <f>HYPERLINK("https://otsuka-europe-crm.veevavault.com/ui/#object/vcountry__v/VENZ000004SONFQ", "IT")</f>
        <v>IT</v>
      </c>
      <c r="C6063" s="20" t="s">
        <v>42</v>
      </c>
      <c r="D6063" s="21" t="str">
        <f>HYPERLINK("https://otsuka-europe-crm.veevavault.com/ui/#object/approved_document__v/V5O00000001A026", "Lupkynis - rischio - IT-LUP-2600002 v1.0 - RHEUMA")</f>
        <v>Lupkynis - rischio - IT-LUP-2600002 v1.0 - RHEUMA</v>
      </c>
      <c r="E6063" s="22" t="str">
        <f>HYPERLINK("https://otsuka-europe-crm.veevavault.com/ui/#object/sent_email__v/VBL00000003A187", "SE-001444487")</f>
        <v>SE-001444487</v>
      </c>
      <c r="F6063" s="25">
        <v>46226.299351851849</v>
      </c>
      <c r="G6063" s="24">
        <v>1</v>
      </c>
      <c r="H6063" s="24">
        <v>1</v>
      </c>
      <c r="I6063" s="24">
        <v>0</v>
      </c>
      <c r="J6063" s="23"/>
      <c r="K6063" s="24">
        <v>0</v>
      </c>
      <c r="L6063" s="22" t="str">
        <f>HYPERLINK("https://otsuka-europe-crm.veevavault.com/ui/#object/approved_document__v/V5O00000001A026", "Lupkynis - rischio - IT-LUP-2600002 v1.0 - RHEUMA")</f>
        <v>Lupkynis - rischio - IT-LUP-2600002 v1.0 - RHEUMA</v>
      </c>
      <c r="M6063" s="22" t="str">
        <f>HYPERLINK("mailto:alfredo.pisapia@crm.otsuka-europe.com", "alfredo.pisapia@crm.otsuka-europe.com")</f>
        <v>alfredo.pisapia@crm.otsuka-europe.com</v>
      </c>
      <c r="N6063" s="25">
        <v>46226.299212962964</v>
      </c>
      <c r="O6063" s="14" t="str">
        <f>HYPERLINK("https://otsuka-europe-crm.veevavault.com/ui/#object/email_activity__v/V8C00000004B322", "EN-002107282")</f>
        <v>EN-002107282</v>
      </c>
    </row>
    <row r="6064" spans="1:15" ht="16" x14ac:dyDescent="0.2">
      <c r="A6064" s="19"/>
      <c r="B6064" s="19"/>
      <c r="C6064" s="19"/>
      <c r="D6064" s="19"/>
      <c r="E6064" s="19"/>
      <c r="F6064" s="19"/>
      <c r="G6064" s="19"/>
      <c r="H6064" s="19"/>
      <c r="I6064" s="19"/>
      <c r="J6064" s="19"/>
      <c r="K6064" s="19"/>
      <c r="L6064" s="19"/>
      <c r="M6064" s="19"/>
      <c r="N6064" s="19"/>
      <c r="O6064" s="14" t="str">
        <f>HYPERLINK("https://otsuka-europe-crm.veevavault.com/ui/#object/email_activity__v/V8C00000004C254", "EN-002107326")</f>
        <v>EN-002107326</v>
      </c>
    </row>
    <row r="6065" spans="1:15" ht="16" x14ac:dyDescent="0.2">
      <c r="A6065" s="18" t="str">
        <f>HYPERLINK("https://otsuka-europe-crm.veevavault.com/ui/#object/account__v/V4TZ04ASGC004XJ", "ALDO BIAGIO MOLICA COLELLA")</f>
        <v>ALDO BIAGIO MOLICA COLELLA</v>
      </c>
      <c r="B6065" s="18" t="str">
        <f>HYPERLINK("https://otsuka-europe-crm.veevavault.com/ui/#object/vcountry__v/VENZ000004SONFQ", "IT")</f>
        <v>IT</v>
      </c>
      <c r="C6065" s="20" t="s">
        <v>42</v>
      </c>
      <c r="D6065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065" s="22" t="str">
        <f>HYPERLINK("https://otsuka-europe-crm.veevavault.com/ui/#object/sent_email__v/VBL000000039063", "SE-001444488")</f>
        <v>SE-001444488</v>
      </c>
      <c r="F6065" s="25">
        <v>46226.299328703702</v>
      </c>
      <c r="G6065" s="24">
        <v>1</v>
      </c>
      <c r="H6065" s="24">
        <v>1</v>
      </c>
      <c r="I6065" s="24">
        <v>0</v>
      </c>
      <c r="J6065" s="23"/>
      <c r="K6065" s="24">
        <v>0</v>
      </c>
      <c r="L6065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065" s="22" t="str">
        <f>HYPERLINK("mailto:alfredo.pisapia@crm.otsuka-europe.com", "alfredo.pisapia@crm.otsuka-europe.com")</f>
        <v>alfredo.pisapia@crm.otsuka-europe.com</v>
      </c>
      <c r="N6065" s="25">
        <v>46226.299201388887</v>
      </c>
      <c r="O6065" s="14" t="str">
        <f>HYPERLINK("https://otsuka-europe-crm.veevavault.com/ui/#object/email_activity__v/V8C00000004B488", "EN-002107599")</f>
        <v>EN-002107599</v>
      </c>
    </row>
    <row r="6066" spans="1:15" ht="16" x14ac:dyDescent="0.2">
      <c r="A6066" s="26"/>
      <c r="B6066" s="26"/>
      <c r="C6066" s="26"/>
      <c r="D6066" s="26"/>
      <c r="E6066" s="26"/>
      <c r="F6066" s="26"/>
      <c r="G6066" s="26"/>
      <c r="H6066" s="26"/>
      <c r="I6066" s="26"/>
      <c r="J6066" s="26"/>
      <c r="K6066" s="26"/>
      <c r="L6066" s="26"/>
      <c r="M6066" s="26"/>
      <c r="N6066" s="26"/>
      <c r="O6066" s="14" t="str">
        <f>HYPERLINK("https://otsuka-europe-crm.veevavault.com/ui/#object/email_activity__v/V8C00000004C267", "EN-002107339")</f>
        <v>EN-002107339</v>
      </c>
    </row>
    <row r="6067" spans="1:15" ht="16" x14ac:dyDescent="0.2">
      <c r="A6067" s="19"/>
      <c r="B6067" s="19"/>
      <c r="C6067" s="19"/>
      <c r="D6067" s="19"/>
      <c r="E6067" s="19"/>
      <c r="F6067" s="19"/>
      <c r="G6067" s="19"/>
      <c r="H6067" s="19"/>
      <c r="I6067" s="19"/>
      <c r="J6067" s="19"/>
      <c r="K6067" s="19"/>
      <c r="L6067" s="19"/>
      <c r="M6067" s="19"/>
      <c r="N6067" s="19"/>
      <c r="O6067" s="14" t="str">
        <f>HYPERLINK("https://otsuka-europe-crm.veevavault.com/ui/#object/email_activity__v/V8C00000004C549", "EN-002108059")</f>
        <v>EN-002108059</v>
      </c>
    </row>
    <row r="6068" spans="1:15" ht="16" x14ac:dyDescent="0.2">
      <c r="A6068" s="18" t="str">
        <f>HYPERLINK("https://otsuka-europe-crm.veevavault.com/ui/#object/account__v/V4TZ025E84BAM2V", "VERDIANA MANCUSO")</f>
        <v>VERDIANA MANCUSO</v>
      </c>
      <c r="B6068" s="18" t="str">
        <f>HYPERLINK("https://otsuka-europe-crm.veevavault.com/ui/#object/vcountry__v/VENZ000004SONFQ", "IT")</f>
        <v>IT</v>
      </c>
      <c r="C6068" s="20" t="s">
        <v>42</v>
      </c>
      <c r="D6068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68" s="22" t="str">
        <f>HYPERLINK("https://otsuka-europe-crm.veevavault.com/ui/#object/sent_email__v/VBL00000003A188", "SE-001444489")</f>
        <v>SE-001444489</v>
      </c>
      <c r="F6068" s="23"/>
      <c r="G6068" s="24">
        <v>0</v>
      </c>
      <c r="H6068" s="24">
        <v>0</v>
      </c>
      <c r="I6068" s="24">
        <v>0</v>
      </c>
      <c r="J6068" s="23"/>
      <c r="K6068" s="24">
        <v>0</v>
      </c>
      <c r="L6068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68" s="22" t="str">
        <f>HYPERLINK("mailto:alfredo.pisapia@crm.otsuka-europe.com", "alfredo.pisapia@crm.otsuka-europe.com")</f>
        <v>alfredo.pisapia@crm.otsuka-europe.com</v>
      </c>
      <c r="N6068" s="25">
        <v>46226.299340277779</v>
      </c>
      <c r="O6068" s="14" t="str">
        <f>HYPERLINK("https://otsuka-europe-crm.veevavault.com/ui/#object/email_activity__v/V8C00000004B577", "EN-002107688")</f>
        <v>EN-002107688</v>
      </c>
    </row>
    <row r="6069" spans="1:15" ht="16" x14ac:dyDescent="0.2">
      <c r="A6069" s="19"/>
      <c r="B6069" s="19"/>
      <c r="C6069" s="19"/>
      <c r="D6069" s="19"/>
      <c r="E6069" s="19"/>
      <c r="F6069" s="19"/>
      <c r="G6069" s="19"/>
      <c r="H6069" s="19"/>
      <c r="I6069" s="19"/>
      <c r="J6069" s="19"/>
      <c r="K6069" s="19"/>
      <c r="L6069" s="19"/>
      <c r="M6069" s="19"/>
      <c r="N6069" s="19"/>
      <c r="O6069" s="14" t="str">
        <f>HYPERLINK("https://otsuka-europe-crm.veevavault.com/ui/#object/email_activity__v/V8C00000004C576", "EN-002108086")</f>
        <v>EN-002108086</v>
      </c>
    </row>
    <row r="6070" spans="1:15" ht="16" x14ac:dyDescent="0.2">
      <c r="A6070" s="18" t="str">
        <f>HYPERLINK("https://otsuka-europe-crm.veevavault.com/ui/#object/account__v/V4TZ025E84BAM2V", "VERDIANA MANCUSO")</f>
        <v>VERDIANA MANCUSO</v>
      </c>
      <c r="B6070" s="18" t="str">
        <f>HYPERLINK("https://otsuka-europe-crm.veevavault.com/ui/#object/vcountry__v/VENZ000004SONFQ", "IT")</f>
        <v>IT</v>
      </c>
      <c r="C6070" s="20" t="s">
        <v>42</v>
      </c>
      <c r="D6070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70" s="22" t="str">
        <f>HYPERLINK("https://otsuka-europe-crm.veevavault.com/ui/#object/sent_email__v/VBL00000003A189", "SE-001444490")</f>
        <v>SE-001444490</v>
      </c>
      <c r="F6070" s="23"/>
      <c r="G6070" s="24">
        <v>0</v>
      </c>
      <c r="H6070" s="24">
        <v>0</v>
      </c>
      <c r="I6070" s="24">
        <v>0</v>
      </c>
      <c r="J6070" s="23"/>
      <c r="K6070" s="24">
        <v>0</v>
      </c>
      <c r="L6070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70" s="22" t="str">
        <f>HYPERLINK("mailto:alfredo.pisapia@crm.otsuka-europe.com", "alfredo.pisapia@crm.otsuka-europe.com")</f>
        <v>alfredo.pisapia@crm.otsuka-europe.com</v>
      </c>
      <c r="N6070" s="25">
        <v>46226.299259259256</v>
      </c>
      <c r="O6070" s="14" t="str">
        <f>HYPERLINK("https://otsuka-europe-crm.veevavault.com/ui/#object/email_activity__v/V8C00000004B578", "EN-002107689")</f>
        <v>EN-002107689</v>
      </c>
    </row>
    <row r="6071" spans="1:15" ht="16" x14ac:dyDescent="0.2">
      <c r="A6071" s="19"/>
      <c r="B6071" s="19"/>
      <c r="C6071" s="19"/>
      <c r="D6071" s="19"/>
      <c r="E6071" s="19"/>
      <c r="F6071" s="19"/>
      <c r="G6071" s="19"/>
      <c r="H6071" s="19"/>
      <c r="I6071" s="19"/>
      <c r="J6071" s="19"/>
      <c r="K6071" s="19"/>
      <c r="L6071" s="19"/>
      <c r="M6071" s="19"/>
      <c r="N6071" s="19"/>
      <c r="O6071" s="14" t="str">
        <f>HYPERLINK("https://otsuka-europe-crm.veevavault.com/ui/#object/email_activity__v/V8C00000004C570", "EN-002108080")</f>
        <v>EN-002108080</v>
      </c>
    </row>
    <row r="6072" spans="1:15" ht="16" x14ac:dyDescent="0.2">
      <c r="A6072" s="18" t="str">
        <f>HYPERLINK("https://otsuka-europe-crm.veevavault.com/ui/#object/account__v/V4TZ025E8397SGP", "ALFONSO PRINCIPATO")</f>
        <v>ALFONSO PRINCIPATO</v>
      </c>
      <c r="B6072" s="18" t="str">
        <f>HYPERLINK("https://otsuka-europe-crm.veevavault.com/ui/#object/vcountry__v/VENZ000004SONFQ", "IT")</f>
        <v>IT</v>
      </c>
      <c r="C6072" s="20" t="s">
        <v>42</v>
      </c>
      <c r="D6072" s="21" t="str">
        <f>HYPERLINK("https://otsuka-europe-crm.veevavault.com/ui/#object/approved_document__v/V5O00000001A026", "Lupkynis - rischio - IT-LUP-2600002 v1.0 - RHEUMA")</f>
        <v>Lupkynis - rischio - IT-LUP-2600002 v1.0 - RHEUMA</v>
      </c>
      <c r="E6072" s="22" t="str">
        <f>HYPERLINK("https://otsuka-europe-crm.veevavault.com/ui/#object/sent_email__v/VBL00000003A190", "SE-001444491")</f>
        <v>SE-001444491</v>
      </c>
      <c r="F6072" s="23"/>
      <c r="G6072" s="24">
        <v>0</v>
      </c>
      <c r="H6072" s="24">
        <v>0</v>
      </c>
      <c r="I6072" s="24">
        <v>0</v>
      </c>
      <c r="J6072" s="23"/>
      <c r="K6072" s="24">
        <v>0</v>
      </c>
      <c r="L6072" s="22" t="str">
        <f>HYPERLINK("https://otsuka-europe-crm.veevavault.com/ui/#object/approved_document__v/V5O00000001A026", "Lupkynis - rischio - IT-LUP-2600002 v1.0 - RHEUMA")</f>
        <v>Lupkynis - rischio - IT-LUP-2600002 v1.0 - RHEUMA</v>
      </c>
      <c r="M6072" s="22" t="str">
        <f>HYPERLINK("mailto:alfredo.pisapia@crm.otsuka-europe.com", "alfredo.pisapia@crm.otsuka-europe.com")</f>
        <v>alfredo.pisapia@crm.otsuka-europe.com</v>
      </c>
      <c r="N6072" s="25">
        <v>46226.299212962964</v>
      </c>
      <c r="O6072" s="14" t="str">
        <f>HYPERLINK("https://otsuka-europe-crm.veevavault.com/ui/#object/email_activity__v/V8C00000004B579", "EN-002107690")</f>
        <v>EN-002107690</v>
      </c>
    </row>
    <row r="6073" spans="1:15" ht="16" x14ac:dyDescent="0.2">
      <c r="A6073" s="19"/>
      <c r="B6073" s="19"/>
      <c r="C6073" s="19"/>
      <c r="D6073" s="19"/>
      <c r="E6073" s="19"/>
      <c r="F6073" s="19"/>
      <c r="G6073" s="19"/>
      <c r="H6073" s="19"/>
      <c r="I6073" s="19"/>
      <c r="J6073" s="19"/>
      <c r="K6073" s="19"/>
      <c r="L6073" s="19"/>
      <c r="M6073" s="19"/>
      <c r="N6073" s="19"/>
      <c r="O6073" s="14" t="str">
        <f>HYPERLINK("https://otsuka-europe-crm.veevavault.com/ui/#object/email_activity__v/V8C00000004B864", "EN-002108175")</f>
        <v>EN-002108175</v>
      </c>
    </row>
    <row r="6074" spans="1:15" ht="16" x14ac:dyDescent="0.2">
      <c r="A6074" s="18" t="str">
        <f>HYPERLINK("https://otsuka-europe-crm.veevavault.com/ui/#object/account__v/V4TZ025E8397SGP", "ALFONSO PRINCIPATO")</f>
        <v>ALFONSO PRINCIPATO</v>
      </c>
      <c r="B6074" s="18" t="str">
        <f>HYPERLINK("https://otsuka-europe-crm.veevavault.com/ui/#object/vcountry__v/VENZ000004SONFQ", "IT")</f>
        <v>IT</v>
      </c>
      <c r="C6074" s="20" t="s">
        <v>42</v>
      </c>
      <c r="D6074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074" s="22" t="str">
        <f>HYPERLINK("https://otsuka-europe-crm.veevavault.com/ui/#object/sent_email__v/VBL00000003A191", "SE-001444492")</f>
        <v>SE-001444492</v>
      </c>
      <c r="F6074" s="23"/>
      <c r="G6074" s="24">
        <v>0</v>
      </c>
      <c r="H6074" s="24">
        <v>0</v>
      </c>
      <c r="I6074" s="24">
        <v>0</v>
      </c>
      <c r="J6074" s="23"/>
      <c r="K6074" s="24">
        <v>0</v>
      </c>
      <c r="L6074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074" s="22" t="str">
        <f>HYPERLINK("mailto:alfredo.pisapia@crm.otsuka-europe.com", "alfredo.pisapia@crm.otsuka-europe.com")</f>
        <v>alfredo.pisapia@crm.otsuka-europe.com</v>
      </c>
      <c r="N6074" s="25">
        <v>46226.299178240741</v>
      </c>
      <c r="O6074" s="14" t="str">
        <f>HYPERLINK("https://otsuka-europe-crm.veevavault.com/ui/#object/email_activity__v/V8C00000004B580", "EN-002107691")</f>
        <v>EN-002107691</v>
      </c>
    </row>
    <row r="6075" spans="1:15" ht="16" x14ac:dyDescent="0.2">
      <c r="A6075" s="19"/>
      <c r="B6075" s="19"/>
      <c r="C6075" s="19"/>
      <c r="D6075" s="19"/>
      <c r="E6075" s="19"/>
      <c r="F6075" s="19"/>
      <c r="G6075" s="19"/>
      <c r="H6075" s="19"/>
      <c r="I6075" s="19"/>
      <c r="J6075" s="19"/>
      <c r="K6075" s="19"/>
      <c r="L6075" s="19"/>
      <c r="M6075" s="19"/>
      <c r="N6075" s="19"/>
      <c r="O6075" s="14" t="str">
        <f>HYPERLINK("https://otsuka-europe-crm.veevavault.com/ui/#object/email_activity__v/V8C00000004B674", "EN-002107801")</f>
        <v>EN-002107801</v>
      </c>
    </row>
    <row r="6076" spans="1:15" ht="32" x14ac:dyDescent="0.2">
      <c r="A6076" s="7" t="str">
        <f>HYPERLINK("https://otsuka-europe-crm.veevavault.com/ui/#object/account__v/V4TZ025E84B6MHG", "ROSA SCURRIA")</f>
        <v>ROSA SCURRIA</v>
      </c>
      <c r="B6076" s="7" t="str">
        <f>HYPERLINK("https://otsuka-europe-crm.veevavault.com/ui/#object/vcountry__v/VENZ000004SONFQ", "IT")</f>
        <v>IT</v>
      </c>
      <c r="C6076" s="8" t="s">
        <v>42</v>
      </c>
      <c r="D6076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76" s="10" t="str">
        <f>HYPERLINK("https://otsuka-europe-crm.veevavault.com/ui/#object/sent_email__v/VBL00000003A192", "SE-001444493")</f>
        <v>SE-001444493</v>
      </c>
      <c r="F6076" s="11"/>
      <c r="G6076" s="12">
        <v>0</v>
      </c>
      <c r="H6076" s="12">
        <v>0</v>
      </c>
      <c r="I6076" s="12">
        <v>0</v>
      </c>
      <c r="J6076" s="11"/>
      <c r="K6076" s="12">
        <v>0</v>
      </c>
      <c r="L6076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76" s="10" t="str">
        <f>HYPERLINK("mailto:alfredo.pisapia@crm.otsuka-europe.com", "alfredo.pisapia@crm.otsuka-europe.com")</f>
        <v>alfredo.pisapia@crm.otsuka-europe.com</v>
      </c>
      <c r="N6076" s="13">
        <v>46226.299178240741</v>
      </c>
      <c r="O6076" s="14" t="str">
        <f>HYPERLINK("https://otsuka-europe-crm.veevavault.com/ui/#object/email_activity__v/V8C00000004B333", "EN-002107293")</f>
        <v>EN-002107293</v>
      </c>
    </row>
    <row r="6077" spans="1:15" ht="48" x14ac:dyDescent="0.2">
      <c r="A6077" s="7" t="str">
        <f>HYPERLINK("https://otsuka-europe-crm.veevavault.com/ui/#object/account__v/V4TZ025E84B6MHG", "ROSA SCURRIA")</f>
        <v>ROSA SCURRIA</v>
      </c>
      <c r="B6077" s="7" t="str">
        <f>HYPERLINK("https://otsuka-europe-crm.veevavault.com/ui/#object/vcountry__v/VENZ000004SONFQ", "IT")</f>
        <v>IT</v>
      </c>
      <c r="C6077" s="8" t="s">
        <v>42</v>
      </c>
      <c r="D6077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77" s="10" t="str">
        <f>HYPERLINK("https://otsuka-europe-crm.veevavault.com/ui/#object/sent_email__v/VBL00000003A193", "SE-001444494")</f>
        <v>SE-001444494</v>
      </c>
      <c r="F6077" s="11"/>
      <c r="G6077" s="12">
        <v>0</v>
      </c>
      <c r="H6077" s="12">
        <v>0</v>
      </c>
      <c r="I6077" s="12">
        <v>0</v>
      </c>
      <c r="J6077" s="11"/>
      <c r="K6077" s="12">
        <v>0</v>
      </c>
      <c r="L6077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77" s="10" t="str">
        <f>HYPERLINK("mailto:alfredo.pisapia@crm.otsuka-europe.com", "alfredo.pisapia@crm.otsuka-europe.com")</f>
        <v>alfredo.pisapia@crm.otsuka-europe.com</v>
      </c>
      <c r="N6077" s="13">
        <v>46226.299259259256</v>
      </c>
      <c r="O6077" s="14" t="str">
        <f>HYPERLINK("https://otsuka-europe-crm.veevavault.com/ui/#object/email_activity__v/V8C00000004B463", "EN-002107571")</f>
        <v>EN-002107571</v>
      </c>
    </row>
    <row r="6078" spans="1:15" ht="16" x14ac:dyDescent="0.2">
      <c r="A6078" s="18" t="str">
        <f>HYPERLINK("https://otsuka-europe-crm.veevavault.com/ui/#object/account__v/V4TZ06G6O71SB2Y", "GIUSEPPE COPPOLINO")</f>
        <v>GIUSEPPE COPPOLINO</v>
      </c>
      <c r="B6078" s="18" t="str">
        <f>HYPERLINK("https://otsuka-europe-crm.veevavault.com/ui/#object/vcountry__v/VENZ000004SONFQ", "IT")</f>
        <v>IT</v>
      </c>
      <c r="C6078" s="20" t="s">
        <v>42</v>
      </c>
      <c r="D6078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78" s="22" t="str">
        <f>HYPERLINK("https://otsuka-europe-crm.veevavault.com/ui/#object/sent_email__v/VBL00000003A194", "SE-001444495")</f>
        <v>SE-001444495</v>
      </c>
      <c r="F6078" s="23"/>
      <c r="G6078" s="24">
        <v>0</v>
      </c>
      <c r="H6078" s="24">
        <v>0</v>
      </c>
      <c r="I6078" s="24">
        <v>0</v>
      </c>
      <c r="J6078" s="23"/>
      <c r="K6078" s="24">
        <v>0</v>
      </c>
      <c r="L6078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78" s="22" t="str">
        <f>HYPERLINK("mailto:alfredo.pisapia@crm.otsuka-europe.com", "alfredo.pisapia@crm.otsuka-europe.com")</f>
        <v>alfredo.pisapia@crm.otsuka-europe.com</v>
      </c>
      <c r="N6078" s="25">
        <v>46226.299178240741</v>
      </c>
      <c r="O6078" s="14" t="str">
        <f>HYPERLINK("https://otsuka-europe-crm.veevavault.com/ui/#object/email_activity__v/V8C00000004B581", "EN-002107692")</f>
        <v>EN-002107692</v>
      </c>
    </row>
    <row r="6079" spans="1:15" ht="16" x14ac:dyDescent="0.2">
      <c r="A6079" s="26"/>
      <c r="B6079" s="26"/>
      <c r="C6079" s="26"/>
      <c r="D6079" s="26"/>
      <c r="E6079" s="26"/>
      <c r="F6079" s="26"/>
      <c r="G6079" s="26"/>
      <c r="H6079" s="26"/>
      <c r="I6079" s="26"/>
      <c r="J6079" s="26"/>
      <c r="K6079" s="26"/>
      <c r="L6079" s="26"/>
      <c r="M6079" s="26"/>
      <c r="N6079" s="26"/>
      <c r="O6079" s="14" t="str">
        <f>HYPERLINK("https://otsuka-europe-crm.veevavault.com/ui/#object/email_activity__v/V8C00000004B808", "EN-002108116")</f>
        <v>EN-002108116</v>
      </c>
    </row>
    <row r="6080" spans="1:15" ht="16" x14ac:dyDescent="0.2">
      <c r="A6080" s="19"/>
      <c r="B6080" s="19"/>
      <c r="C6080" s="19"/>
      <c r="D6080" s="19"/>
      <c r="E6080" s="19"/>
      <c r="F6080" s="19"/>
      <c r="G6080" s="19"/>
      <c r="H6080" s="19"/>
      <c r="I6080" s="19"/>
      <c r="J6080" s="19"/>
      <c r="K6080" s="19"/>
      <c r="L6080" s="19"/>
      <c r="M6080" s="19"/>
      <c r="N6080" s="19"/>
      <c r="O6080" s="14" t="str">
        <f>HYPERLINK("https://otsuka-europe-crm.veevavault.com/ui/#object/email_activity__v/V8C00000004E005", "EN-002108233")</f>
        <v>EN-002108233</v>
      </c>
    </row>
    <row r="6081" spans="1:15" ht="16" x14ac:dyDescent="0.2">
      <c r="A6081" s="18" t="str">
        <f>HYPERLINK("https://otsuka-europe-crm.veevavault.com/ui/#object/account__v/V4TZ06G6O71SB2Y", "GIUSEPPE COPPOLINO")</f>
        <v>GIUSEPPE COPPOLINO</v>
      </c>
      <c r="B6081" s="18" t="str">
        <f>HYPERLINK("https://otsuka-europe-crm.veevavault.com/ui/#object/vcountry__v/VENZ000004SONFQ", "IT")</f>
        <v>IT</v>
      </c>
      <c r="C6081" s="20" t="s">
        <v>42</v>
      </c>
      <c r="D6081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81" s="22" t="str">
        <f>HYPERLINK("https://otsuka-europe-crm.veevavault.com/ui/#object/sent_email__v/VBL00000003A195", "SE-001444496")</f>
        <v>SE-001444496</v>
      </c>
      <c r="F6081" s="23"/>
      <c r="G6081" s="24">
        <v>0</v>
      </c>
      <c r="H6081" s="24">
        <v>0</v>
      </c>
      <c r="I6081" s="24">
        <v>0</v>
      </c>
      <c r="J6081" s="23"/>
      <c r="K6081" s="24">
        <v>0</v>
      </c>
      <c r="L6081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81" s="22" t="str">
        <f>HYPERLINK("mailto:alfredo.pisapia@crm.otsuka-europe.com", "alfredo.pisapia@crm.otsuka-europe.com")</f>
        <v>alfredo.pisapia@crm.otsuka-europe.com</v>
      </c>
      <c r="N6081" s="25">
        <v>46226.299259259256</v>
      </c>
      <c r="O6081" s="14" t="str">
        <f>HYPERLINK("https://otsuka-europe-crm.veevavault.com/ui/#object/email_activity__v/V8C00000004B582", "EN-002107693")</f>
        <v>EN-002107693</v>
      </c>
    </row>
    <row r="6082" spans="1:15" ht="16" x14ac:dyDescent="0.2">
      <c r="A6082" s="26"/>
      <c r="B6082" s="26"/>
      <c r="C6082" s="26"/>
      <c r="D6082" s="26"/>
      <c r="E6082" s="26"/>
      <c r="F6082" s="26"/>
      <c r="G6082" s="26"/>
      <c r="H6082" s="26"/>
      <c r="I6082" s="26"/>
      <c r="J6082" s="26"/>
      <c r="K6082" s="26"/>
      <c r="L6082" s="26"/>
      <c r="M6082" s="26"/>
      <c r="N6082" s="26"/>
      <c r="O6082" s="14" t="str">
        <f>HYPERLINK("https://otsuka-europe-crm.veevavault.com/ui/#object/email_activity__v/V8C00000004B806", "EN-002108114")</f>
        <v>EN-002108114</v>
      </c>
    </row>
    <row r="6083" spans="1:15" ht="16" x14ac:dyDescent="0.2">
      <c r="A6083" s="19"/>
      <c r="B6083" s="19"/>
      <c r="C6083" s="19"/>
      <c r="D6083" s="19"/>
      <c r="E6083" s="19"/>
      <c r="F6083" s="19"/>
      <c r="G6083" s="19"/>
      <c r="H6083" s="19"/>
      <c r="I6083" s="19"/>
      <c r="J6083" s="19"/>
      <c r="K6083" s="19"/>
      <c r="L6083" s="19"/>
      <c r="M6083" s="19"/>
      <c r="N6083" s="19"/>
      <c r="O6083" s="14" t="str">
        <f>HYPERLINK("https://otsuka-europe-crm.veevavault.com/ui/#object/email_activity__v/V8C00000004E004", "EN-002108232")</f>
        <v>EN-002108232</v>
      </c>
    </row>
    <row r="6084" spans="1:15" ht="32" x14ac:dyDescent="0.2">
      <c r="A6084" s="7" t="str">
        <f>HYPERLINK("https://otsuka-europe-crm.veevavault.com/ui/#object/account__v/V4T00000000Y053", "ANNALISA TEUTONICO")</f>
        <v>ANNALISA TEUTONICO</v>
      </c>
      <c r="B6084" s="7" t="str">
        <f>HYPERLINK("https://otsuka-europe-crm.veevavault.com/ui/#object/vcountry__v/VENZ000004SONFQ", "IT")</f>
        <v>IT</v>
      </c>
      <c r="C6084" s="8" t="s">
        <v>42</v>
      </c>
      <c r="D6084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84" s="10" t="str">
        <f>HYPERLINK("https://otsuka-europe-crm.veevavault.com/ui/#object/sent_email__v/VBL00000003A196", "SE-001444497")</f>
        <v>SE-001444497</v>
      </c>
      <c r="F6084" s="11"/>
      <c r="G6084" s="12">
        <v>0</v>
      </c>
      <c r="H6084" s="12">
        <v>0</v>
      </c>
      <c r="I6084" s="12">
        <v>0</v>
      </c>
      <c r="J6084" s="11"/>
      <c r="K6084" s="12">
        <v>0</v>
      </c>
      <c r="L6084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84" s="10" t="str">
        <f>HYPERLINK("mailto:alfredo.pisapia@crm.otsuka-europe.com", "alfredo.pisapia@crm.otsuka-europe.com")</f>
        <v>alfredo.pisapia@crm.otsuka-europe.com</v>
      </c>
      <c r="N6084" s="13">
        <v>46226.299340277779</v>
      </c>
      <c r="O6084" s="14" t="str">
        <f>HYPERLINK("https://otsuka-europe-crm.veevavault.com/ui/#object/email_activity__v/V8C00000004C331", "EN-002107497")</f>
        <v>EN-002107497</v>
      </c>
    </row>
    <row r="6085" spans="1:15" ht="48" x14ac:dyDescent="0.2">
      <c r="A6085" s="7" t="str">
        <f>HYPERLINK("https://otsuka-europe-crm.veevavault.com/ui/#object/account__v/V4T00000000Y053", "ANNALISA TEUTONICO")</f>
        <v>ANNALISA TEUTONICO</v>
      </c>
      <c r="B6085" s="7" t="str">
        <f>HYPERLINK("https://otsuka-europe-crm.veevavault.com/ui/#object/vcountry__v/VENZ000004SONFQ", "IT")</f>
        <v>IT</v>
      </c>
      <c r="C6085" s="8" t="s">
        <v>42</v>
      </c>
      <c r="D6085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85" s="10" t="str">
        <f>HYPERLINK("https://otsuka-europe-crm.veevavault.com/ui/#object/sent_email__v/VBL00000003A197", "SE-001444498")</f>
        <v>SE-001444498</v>
      </c>
      <c r="F6085" s="11"/>
      <c r="G6085" s="12">
        <v>0</v>
      </c>
      <c r="H6085" s="12">
        <v>0</v>
      </c>
      <c r="I6085" s="12">
        <v>0</v>
      </c>
      <c r="J6085" s="11"/>
      <c r="K6085" s="12">
        <v>0</v>
      </c>
      <c r="L6085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85" s="10" t="str">
        <f>HYPERLINK("mailto:alfredo.pisapia@crm.otsuka-europe.com", "alfredo.pisapia@crm.otsuka-europe.com")</f>
        <v>alfredo.pisapia@crm.otsuka-europe.com</v>
      </c>
      <c r="N6085" s="13">
        <v>46226.299259259256</v>
      </c>
      <c r="O6085" s="14" t="str">
        <f>HYPERLINK("https://otsuka-europe-crm.veevavault.com/ui/#object/email_activity__v/V8C00000004B374", "EN-002107387")</f>
        <v>EN-002107387</v>
      </c>
    </row>
    <row r="6086" spans="1:15" ht="32" x14ac:dyDescent="0.2">
      <c r="A6086" s="7" t="str">
        <f>HYPERLINK("https://otsuka-europe-crm.veevavault.com/ui/#object/account__v/V4TZ025E841P9QX", "LUIGI ROSSI")</f>
        <v>LUIGI ROSSI</v>
      </c>
      <c r="B6086" s="7" t="str">
        <f>HYPERLINK("https://otsuka-europe-crm.veevavault.com/ui/#object/vcountry__v/VENZ000004SONFQ", "IT")</f>
        <v>IT</v>
      </c>
      <c r="C6086" s="8" t="s">
        <v>42</v>
      </c>
      <c r="D6086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86" s="10" t="str">
        <f>HYPERLINK("https://otsuka-europe-crm.veevavault.com/ui/#object/sent_email__v/VBL00000003A198", "SE-001444499")</f>
        <v>SE-001444499</v>
      </c>
      <c r="F6086" s="11"/>
      <c r="G6086" s="12">
        <v>0</v>
      </c>
      <c r="H6086" s="12">
        <v>0</v>
      </c>
      <c r="I6086" s="12">
        <v>0</v>
      </c>
      <c r="J6086" s="11"/>
      <c r="K6086" s="12">
        <v>0</v>
      </c>
      <c r="L6086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86" s="10" t="str">
        <f>HYPERLINK("mailto:alfredo.pisapia@crm.otsuka-europe.com", "alfredo.pisapia@crm.otsuka-europe.com")</f>
        <v>alfredo.pisapia@crm.otsuka-europe.com</v>
      </c>
      <c r="N6086" s="13">
        <v>46226.299340277779</v>
      </c>
      <c r="O6086" s="14" t="str">
        <f>HYPERLINK("https://otsuka-europe-crm.veevavault.com/ui/#object/email_activity__v/V8C00000004C330", "EN-002107496")</f>
        <v>EN-002107496</v>
      </c>
    </row>
    <row r="6087" spans="1:15" ht="16" x14ac:dyDescent="0.2">
      <c r="A6087" s="18" t="str">
        <f>HYPERLINK("https://otsuka-europe-crm.veevavault.com/ui/#object/account__v/V4TZ025E841P9QX", "LUIGI ROSSI")</f>
        <v>LUIGI ROSSI</v>
      </c>
      <c r="B6087" s="18" t="str">
        <f>HYPERLINK("https://otsuka-europe-crm.veevavault.com/ui/#object/vcountry__v/VENZ000004SONFQ", "IT")</f>
        <v>IT</v>
      </c>
      <c r="C6087" s="20" t="s">
        <v>42</v>
      </c>
      <c r="D6087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87" s="22" t="str">
        <f>HYPERLINK("https://otsuka-europe-crm.veevavault.com/ui/#object/sent_email__v/VBL00000003A199", "SE-001444500")</f>
        <v>SE-001444500</v>
      </c>
      <c r="F6087" s="23"/>
      <c r="G6087" s="24">
        <v>0</v>
      </c>
      <c r="H6087" s="24">
        <v>0</v>
      </c>
      <c r="I6087" s="24">
        <v>0</v>
      </c>
      <c r="J6087" s="23"/>
      <c r="K6087" s="24">
        <v>0</v>
      </c>
      <c r="L6087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87" s="22" t="str">
        <f>HYPERLINK("mailto:alfredo.pisapia@crm.otsuka-europe.com", "alfredo.pisapia@crm.otsuka-europe.com")</f>
        <v>alfredo.pisapia@crm.otsuka-europe.com</v>
      </c>
      <c r="N6087" s="25">
        <v>46226.299259259256</v>
      </c>
      <c r="O6087" s="14" t="str">
        <f>HYPERLINK("https://otsuka-europe-crm.veevavault.com/ui/#object/email_activity__v/V8C00000004B583", "EN-002107694")</f>
        <v>EN-002107694</v>
      </c>
    </row>
    <row r="6088" spans="1:15" ht="16" x14ac:dyDescent="0.2">
      <c r="A6088" s="19"/>
      <c r="B6088" s="19"/>
      <c r="C6088" s="19"/>
      <c r="D6088" s="19"/>
      <c r="E6088" s="19"/>
      <c r="F6088" s="19"/>
      <c r="G6088" s="19"/>
      <c r="H6088" s="19"/>
      <c r="I6088" s="19"/>
      <c r="J6088" s="19"/>
      <c r="K6088" s="19"/>
      <c r="L6088" s="19"/>
      <c r="M6088" s="19"/>
      <c r="N6088" s="19"/>
      <c r="O6088" s="14" t="str">
        <f>HYPERLINK("https://otsuka-europe-crm.veevavault.com/ui/#object/email_activity__v/V8C00000004B805", "EN-002108113")</f>
        <v>EN-002108113</v>
      </c>
    </row>
    <row r="6089" spans="1:15" ht="16" x14ac:dyDescent="0.2">
      <c r="A6089" s="18" t="str">
        <f>HYPERLINK("https://otsuka-europe-crm.veevavault.com/ui/#object/account__v/V4TZ025E82RPMII", "VINCENZO MONTINARO")</f>
        <v>VINCENZO MONTINARO</v>
      </c>
      <c r="B6089" s="18" t="str">
        <f>HYPERLINK("https://otsuka-europe-crm.veevavault.com/ui/#object/vcountry__v/VENZ000004SONFQ", "IT")</f>
        <v>IT</v>
      </c>
      <c r="C6089" s="20" t="s">
        <v>42</v>
      </c>
      <c r="D6089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089" s="22" t="str">
        <f>HYPERLINK("https://otsuka-europe-crm.veevavault.com/ui/#object/sent_email__v/VBL00000003A200", "SE-001444501")</f>
        <v>SE-001444501</v>
      </c>
      <c r="F6089" s="25">
        <v>46226.357476851852</v>
      </c>
      <c r="G6089" s="24">
        <v>1</v>
      </c>
      <c r="H6089" s="24">
        <v>2</v>
      </c>
      <c r="I6089" s="24">
        <v>0</v>
      </c>
      <c r="J6089" s="23"/>
      <c r="K6089" s="24">
        <v>0</v>
      </c>
      <c r="L6089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089" s="22" t="str">
        <f>HYPERLINK("mailto:alfredo.pisapia@crm.otsuka-europe.com", "alfredo.pisapia@crm.otsuka-europe.com")</f>
        <v>alfredo.pisapia@crm.otsuka-europe.com</v>
      </c>
      <c r="N6089" s="25">
        <v>46226.299340277779</v>
      </c>
      <c r="O6089" s="14" t="str">
        <f>HYPERLINK("https://otsuka-europe-crm.veevavault.com/ui/#object/email_activity__v/V8C00000004B894", "EN-002108207")</f>
        <v>EN-002108207</v>
      </c>
    </row>
    <row r="6090" spans="1:15" ht="16" x14ac:dyDescent="0.2">
      <c r="A6090" s="26"/>
      <c r="B6090" s="26"/>
      <c r="C6090" s="26"/>
      <c r="D6090" s="26"/>
      <c r="E6090" s="26"/>
      <c r="F6090" s="26"/>
      <c r="G6090" s="26"/>
      <c r="H6090" s="26"/>
      <c r="I6090" s="26"/>
      <c r="J6090" s="26"/>
      <c r="K6090" s="26"/>
      <c r="L6090" s="26"/>
      <c r="M6090" s="26"/>
      <c r="N6090" s="26"/>
      <c r="O6090" s="14" t="str">
        <f>HYPERLINK("https://otsuka-europe-crm.veevavault.com/ui/#object/email_activity__v/V8C00000004B897", "EN-002108208")</f>
        <v>EN-002108208</v>
      </c>
    </row>
    <row r="6091" spans="1:15" ht="16" x14ac:dyDescent="0.2">
      <c r="A6091" s="19"/>
      <c r="B6091" s="19"/>
      <c r="C6091" s="19"/>
      <c r="D6091" s="19"/>
      <c r="E6091" s="19"/>
      <c r="F6091" s="19"/>
      <c r="G6091" s="19"/>
      <c r="H6091" s="19"/>
      <c r="I6091" s="19"/>
      <c r="J6091" s="19"/>
      <c r="K6091" s="19"/>
      <c r="L6091" s="19"/>
      <c r="M6091" s="19"/>
      <c r="N6091" s="19"/>
      <c r="O6091" s="14" t="str">
        <f>HYPERLINK("https://otsuka-europe-crm.veevavault.com/ui/#object/email_activity__v/V8C00000004C358", "EN-002107526")</f>
        <v>EN-002107526</v>
      </c>
    </row>
    <row r="6092" spans="1:15" ht="16" x14ac:dyDescent="0.2">
      <c r="A6092" s="18" t="str">
        <f>HYPERLINK("https://otsuka-europe-crm.veevavault.com/ui/#object/account__v/V4TZ025E82RPMII", "VINCENZO MONTINARO")</f>
        <v>VINCENZO MONTINARO</v>
      </c>
      <c r="B6092" s="18" t="str">
        <f>HYPERLINK("https://otsuka-europe-crm.veevavault.com/ui/#object/vcountry__v/VENZ000004SONFQ", "IT")</f>
        <v>IT</v>
      </c>
      <c r="C6092" s="20" t="s">
        <v>42</v>
      </c>
      <c r="D6092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92" s="22" t="str">
        <f>HYPERLINK("https://otsuka-europe-crm.veevavault.com/ui/#object/sent_email__v/VBL00000003A201", "SE-001444502")</f>
        <v>SE-001444502</v>
      </c>
      <c r="F6092" s="25">
        <v>46226.357303240744</v>
      </c>
      <c r="G6092" s="24">
        <v>1</v>
      </c>
      <c r="H6092" s="24">
        <v>2</v>
      </c>
      <c r="I6092" s="24">
        <v>0</v>
      </c>
      <c r="J6092" s="23"/>
      <c r="K6092" s="24">
        <v>0</v>
      </c>
      <c r="L6092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92" s="22" t="str">
        <f>HYPERLINK("mailto:alfredo.pisapia@crm.otsuka-europe.com", "alfredo.pisapia@crm.otsuka-europe.com")</f>
        <v>alfredo.pisapia@crm.otsuka-europe.com</v>
      </c>
      <c r="N6092" s="25">
        <v>46226.299259259256</v>
      </c>
      <c r="O6092" s="14" t="str">
        <f>HYPERLINK("https://otsuka-europe-crm.veevavault.com/ui/#object/email_activity__v/V8C00000004B655", "EN-002107766")</f>
        <v>EN-002107766</v>
      </c>
    </row>
    <row r="6093" spans="1:15" ht="16" x14ac:dyDescent="0.2">
      <c r="A6093" s="26"/>
      <c r="B6093" s="26"/>
      <c r="C6093" s="26"/>
      <c r="D6093" s="26"/>
      <c r="E6093" s="26"/>
      <c r="F6093" s="26"/>
      <c r="G6093" s="26"/>
      <c r="H6093" s="26"/>
      <c r="I6093" s="26"/>
      <c r="J6093" s="26"/>
      <c r="K6093" s="26"/>
      <c r="L6093" s="26"/>
      <c r="M6093" s="26"/>
      <c r="N6093" s="26"/>
      <c r="O6093" s="14" t="str">
        <f>HYPERLINK("https://otsuka-europe-crm.veevavault.com/ui/#object/email_activity__v/V8C00000004B763", "EN-002107988")</f>
        <v>EN-002107988</v>
      </c>
    </row>
    <row r="6094" spans="1:15" ht="16" x14ac:dyDescent="0.2">
      <c r="A6094" s="19"/>
      <c r="B6094" s="19"/>
      <c r="C6094" s="19"/>
      <c r="D6094" s="19"/>
      <c r="E6094" s="19"/>
      <c r="F6094" s="19"/>
      <c r="G6094" s="19"/>
      <c r="H6094" s="19"/>
      <c r="I6094" s="19"/>
      <c r="J6094" s="19"/>
      <c r="K6094" s="19"/>
      <c r="L6094" s="19"/>
      <c r="M6094" s="19"/>
      <c r="N6094" s="19"/>
      <c r="O6094" s="14" t="str">
        <f>HYPERLINK("https://otsuka-europe-crm.veevavault.com/ui/#object/email_activity__v/V8C00000004C249", "EN-002107321")</f>
        <v>EN-002107321</v>
      </c>
    </row>
    <row r="6095" spans="1:15" ht="32" x14ac:dyDescent="0.2">
      <c r="A6095" s="7" t="str">
        <f>HYPERLINK("https://otsuka-europe-crm.veevavault.com/ui/#object/account__v/V4TZ04ASGC4LKY8", "FLORENZO IANNONE")</f>
        <v>FLORENZO IANNONE</v>
      </c>
      <c r="B6095" s="7" t="str">
        <f>HYPERLINK("https://otsuka-europe-crm.veevavault.com/ui/#object/vcountry__v/VENZ000004SONFQ", "IT")</f>
        <v>IT</v>
      </c>
      <c r="C6095" s="8" t="s">
        <v>42</v>
      </c>
      <c r="D6095" s="9" t="str">
        <f>HYPERLINK("https://otsuka-europe-crm.veevavault.com/ui/#object/approved_document__v/V5O00000001A026", "Lupkynis - rischio - IT-LUP-2600002 v1.0 - RHEUMA")</f>
        <v>Lupkynis - rischio - IT-LUP-2600002 v1.0 - RHEUMA</v>
      </c>
      <c r="E6095" s="10" t="str">
        <f>HYPERLINK("https://otsuka-europe-crm.veevavault.com/ui/#object/sent_email__v/VBL00000003A202", "SE-001444503")</f>
        <v>SE-001444503</v>
      </c>
      <c r="F6095" s="11"/>
      <c r="G6095" s="12">
        <v>0</v>
      </c>
      <c r="H6095" s="12">
        <v>0</v>
      </c>
      <c r="I6095" s="12">
        <v>0</v>
      </c>
      <c r="J6095" s="11"/>
      <c r="K6095" s="12">
        <v>0</v>
      </c>
      <c r="L6095" s="10" t="str">
        <f>HYPERLINK("https://otsuka-europe-crm.veevavault.com/ui/#object/approved_document__v/V5O00000001A026", "Lupkynis - rischio - IT-LUP-2600002 v1.0 - RHEUMA")</f>
        <v>Lupkynis - rischio - IT-LUP-2600002 v1.0 - RHEUMA</v>
      </c>
      <c r="M6095" s="10" t="str">
        <f>HYPERLINK("mailto:alfredo.pisapia@crm.otsuka-europe.com", "alfredo.pisapia@crm.otsuka-europe.com")</f>
        <v>alfredo.pisapia@crm.otsuka-europe.com</v>
      </c>
      <c r="N6095" s="13">
        <v>46226.299212962964</v>
      </c>
      <c r="O6095" s="14" t="str">
        <f>HYPERLINK("https://otsuka-europe-crm.veevavault.com/ui/#object/email_activity__v/V8C00000004B355", "EN-002107368")</f>
        <v>EN-002107368</v>
      </c>
    </row>
    <row r="6096" spans="1:15" ht="48" x14ac:dyDescent="0.2">
      <c r="A6096" s="7" t="str">
        <f>HYPERLINK("https://otsuka-europe-crm.veevavault.com/ui/#object/account__v/V4TZ04ASGC4LKY8", "FLORENZO IANNONE")</f>
        <v>FLORENZO IANNONE</v>
      </c>
      <c r="B6096" s="7" t="str">
        <f>HYPERLINK("https://otsuka-europe-crm.veevavault.com/ui/#object/vcountry__v/VENZ000004SONFQ", "IT")</f>
        <v>IT</v>
      </c>
      <c r="C6096" s="8" t="s">
        <v>42</v>
      </c>
      <c r="D6096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096" s="10" t="str">
        <f>HYPERLINK("https://otsuka-europe-crm.veevavault.com/ui/#object/sent_email__v/VBL00000003A203", "SE-001444504")</f>
        <v>SE-001444504</v>
      </c>
      <c r="F6096" s="11"/>
      <c r="G6096" s="12">
        <v>0</v>
      </c>
      <c r="H6096" s="12">
        <v>0</v>
      </c>
      <c r="I6096" s="12">
        <v>0</v>
      </c>
      <c r="J6096" s="11"/>
      <c r="K6096" s="12">
        <v>0</v>
      </c>
      <c r="L6096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096" s="10" t="str">
        <f>HYPERLINK("mailto:alfredo.pisapia@crm.otsuka-europe.com", "alfredo.pisapia@crm.otsuka-europe.com")</f>
        <v>alfredo.pisapia@crm.otsuka-europe.com</v>
      </c>
      <c r="N6096" s="13">
        <v>46226.299201388887</v>
      </c>
      <c r="O6096" s="14" t="str">
        <f>HYPERLINK("https://otsuka-europe-crm.veevavault.com/ui/#object/email_activity__v/V8C00000004B351", "EN-002107364")</f>
        <v>EN-002107364</v>
      </c>
    </row>
    <row r="6097" spans="1:15" ht="32" x14ac:dyDescent="0.2">
      <c r="A6097" s="7" t="str">
        <f>HYPERLINK("https://otsuka-europe-crm.veevavault.com/ui/#object/account__v/V4TZ06G6O71SAJ1", "ANGELO FERRANTELLI")</f>
        <v>ANGELO FERRANTELLI</v>
      </c>
      <c r="B6097" s="7" t="str">
        <f>HYPERLINK("https://otsuka-europe-crm.veevavault.com/ui/#object/vcountry__v/VENZ000004SONFQ", "IT")</f>
        <v>IT</v>
      </c>
      <c r="C6097" s="8" t="s">
        <v>42</v>
      </c>
      <c r="D6097" s="9" t="str">
        <f>HYPERLINK("https://otsuka-europe-crm.veevavault.com/ui/#object/approved_document__v/V5O00000001A024", "Lupkynis - rischio - IT-LUP-2600002 v1.0 -  NEPHRO")</f>
        <v>Lupkynis - rischio - IT-LUP-2600002 v1.0 -  NEPHRO</v>
      </c>
      <c r="E6097" s="10" t="str">
        <f>HYPERLINK("https://otsuka-europe-crm.veevavault.com/ui/#object/sent_email__v/VBL00000003A204", "SE-001444505")</f>
        <v>SE-001444505</v>
      </c>
      <c r="F6097" s="11"/>
      <c r="G6097" s="12">
        <v>0</v>
      </c>
      <c r="H6097" s="12">
        <v>0</v>
      </c>
      <c r="I6097" s="12">
        <v>0</v>
      </c>
      <c r="J6097" s="11"/>
      <c r="K6097" s="12">
        <v>0</v>
      </c>
      <c r="L6097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097" s="10" t="str">
        <f>HYPERLINK("mailto:alfredo.pisapia@crm.otsuka-europe.com", "alfredo.pisapia@crm.otsuka-europe.com")</f>
        <v>alfredo.pisapia@crm.otsuka-europe.com</v>
      </c>
      <c r="N6097" s="13">
        <v>46226.299340277779</v>
      </c>
      <c r="O6097" s="14" t="str">
        <f>HYPERLINK("https://otsuka-europe-crm.veevavault.com/ui/#object/email_activity__v/V8C00000004C268", "EN-002107340")</f>
        <v>EN-002107340</v>
      </c>
    </row>
    <row r="6098" spans="1:15" ht="16" x14ac:dyDescent="0.2">
      <c r="A6098" s="18" t="str">
        <f>HYPERLINK("https://otsuka-europe-crm.veevavault.com/ui/#object/account__v/V4TZ06G6O71SAJ1", "ANGELO FERRANTELLI")</f>
        <v>ANGELO FERRANTELLI</v>
      </c>
      <c r="B6098" s="18" t="str">
        <f>HYPERLINK("https://otsuka-europe-crm.veevavault.com/ui/#object/vcountry__v/VENZ000004SONFQ", "IT")</f>
        <v>IT</v>
      </c>
      <c r="C6098" s="20" t="s">
        <v>42</v>
      </c>
      <c r="D6098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098" s="22" t="str">
        <f>HYPERLINK("https://otsuka-europe-crm.veevavault.com/ui/#object/sent_email__v/VBL00000003A205", "SE-001444506")</f>
        <v>SE-001444506</v>
      </c>
      <c r="F6098" s="23"/>
      <c r="G6098" s="24">
        <v>0</v>
      </c>
      <c r="H6098" s="24">
        <v>0</v>
      </c>
      <c r="I6098" s="24">
        <v>0</v>
      </c>
      <c r="J6098" s="23"/>
      <c r="K6098" s="24">
        <v>0</v>
      </c>
      <c r="L6098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098" s="22" t="str">
        <f>HYPERLINK("mailto:alfredo.pisapia@crm.otsuka-europe.com", "alfredo.pisapia@crm.otsuka-europe.com")</f>
        <v>alfredo.pisapia@crm.otsuka-europe.com</v>
      </c>
      <c r="N6098" s="25">
        <v>46226.299259259256</v>
      </c>
      <c r="O6098" s="14" t="str">
        <f>HYPERLINK("https://otsuka-europe-crm.veevavault.com/ui/#object/email_activity__v/V8C00000004B584", "EN-002107695")</f>
        <v>EN-002107695</v>
      </c>
    </row>
    <row r="6099" spans="1:15" ht="16" x14ac:dyDescent="0.2">
      <c r="A6099" s="19"/>
      <c r="B6099" s="19"/>
      <c r="C6099" s="19"/>
      <c r="D6099" s="19"/>
      <c r="E6099" s="19"/>
      <c r="F6099" s="19"/>
      <c r="G6099" s="19"/>
      <c r="H6099" s="19"/>
      <c r="I6099" s="19"/>
      <c r="J6099" s="19"/>
      <c r="K6099" s="19"/>
      <c r="L6099" s="19"/>
      <c r="M6099" s="19"/>
      <c r="N6099" s="19"/>
      <c r="O6099" s="14" t="str">
        <f>HYPERLINK("https://otsuka-europe-crm.veevavault.com/ui/#object/email_activity__v/V8C00000004B822", "EN-002108130")</f>
        <v>EN-002108130</v>
      </c>
    </row>
    <row r="6100" spans="1:15" ht="16" x14ac:dyDescent="0.2">
      <c r="A6100" s="18" t="str">
        <f>HYPERLINK("https://otsuka-europe-crm.veevavault.com/ui/#object/account__v/V4TZ04ASGCDEUV1", "GIUSEPPE PROVENZANO")</f>
        <v>GIUSEPPE PROVENZANO</v>
      </c>
      <c r="B6100" s="18" t="str">
        <f>HYPERLINK("https://otsuka-europe-crm.veevavault.com/ui/#object/vcountry__v/VENZ000004SONFQ", "IT")</f>
        <v>IT</v>
      </c>
      <c r="C6100" s="20" t="s">
        <v>42</v>
      </c>
      <c r="D6100" s="21" t="str">
        <f>HYPERLINK("https://otsuka-europe-crm.veevavault.com/ui/#object/approved_document__v/V5O00000001A026", "Lupkynis - rischio - IT-LUP-2600002 v1.0 - RHEUMA")</f>
        <v>Lupkynis - rischio - IT-LUP-2600002 v1.0 - RHEUMA</v>
      </c>
      <c r="E6100" s="22" t="str">
        <f>HYPERLINK("https://otsuka-europe-crm.veevavault.com/ui/#object/sent_email__v/VBL000000039064", "SE-001444507")</f>
        <v>SE-001444507</v>
      </c>
      <c r="F6100" s="23"/>
      <c r="G6100" s="24">
        <v>0</v>
      </c>
      <c r="H6100" s="24">
        <v>0</v>
      </c>
      <c r="I6100" s="24">
        <v>0</v>
      </c>
      <c r="J6100" s="23"/>
      <c r="K6100" s="24">
        <v>0</v>
      </c>
      <c r="L6100" s="22" t="str">
        <f>HYPERLINK("https://otsuka-europe-crm.veevavault.com/ui/#object/approved_document__v/V5O00000001A026", "Lupkynis - rischio - IT-LUP-2600002 v1.0 - RHEUMA")</f>
        <v>Lupkynis - rischio - IT-LUP-2600002 v1.0 - RHEUMA</v>
      </c>
      <c r="M6100" s="22" t="str">
        <f>HYPERLINK("mailto:alfredo.pisapia@crm.otsuka-europe.com", "alfredo.pisapia@crm.otsuka-europe.com")</f>
        <v>alfredo.pisapia@crm.otsuka-europe.com</v>
      </c>
      <c r="N6100" s="25">
        <v>46226.299212962964</v>
      </c>
      <c r="O6100" s="14" t="str">
        <f>HYPERLINK("https://otsuka-europe-crm.veevavault.com/ui/#object/email_activity__v/V8C00000004B489", "EN-002107600")</f>
        <v>EN-002107600</v>
      </c>
    </row>
    <row r="6101" spans="1:15" ht="16" x14ac:dyDescent="0.2">
      <c r="A6101" s="19"/>
      <c r="B6101" s="19"/>
      <c r="C6101" s="19"/>
      <c r="D6101" s="19"/>
      <c r="E6101" s="19"/>
      <c r="F6101" s="19"/>
      <c r="G6101" s="19"/>
      <c r="H6101" s="19"/>
      <c r="I6101" s="19"/>
      <c r="J6101" s="19"/>
      <c r="K6101" s="19"/>
      <c r="L6101" s="19"/>
      <c r="M6101" s="19"/>
      <c r="N6101" s="19"/>
      <c r="O6101" s="14" t="str">
        <f>HYPERLINK("https://otsuka-europe-crm.veevavault.com/ui/#object/email_activity__v/V8C00000004B882", "EN-002108193")</f>
        <v>EN-002108193</v>
      </c>
    </row>
    <row r="6102" spans="1:15" ht="48" x14ac:dyDescent="0.2">
      <c r="A6102" s="7" t="str">
        <f>HYPERLINK("https://otsuka-europe-crm.veevavault.com/ui/#object/account__v/V4TZ04ASGCDEUV1", "GIUSEPPE PROVENZANO")</f>
        <v>GIUSEPPE PROVENZANO</v>
      </c>
      <c r="B6102" s="7" t="str">
        <f t="shared" ref="B6102:B6107" si="265">HYPERLINK("https://otsuka-europe-crm.veevavault.com/ui/#object/vcountry__v/VENZ000004SONFQ", "IT")</f>
        <v>IT</v>
      </c>
      <c r="C6102" s="8" t="s">
        <v>42</v>
      </c>
      <c r="D6102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102" s="10" t="str">
        <f>HYPERLINK("https://otsuka-europe-crm.veevavault.com/ui/#object/sent_email__v/VBL00000003A206", "SE-001444508")</f>
        <v>SE-001444508</v>
      </c>
      <c r="F6102" s="11"/>
      <c r="G6102" s="12">
        <v>0</v>
      </c>
      <c r="H6102" s="12">
        <v>0</v>
      </c>
      <c r="I6102" s="12">
        <v>0</v>
      </c>
      <c r="J6102" s="11"/>
      <c r="K6102" s="12">
        <v>0</v>
      </c>
      <c r="L6102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102" s="10" t="str">
        <f>HYPERLINK("mailto:alfredo.pisapia@crm.otsuka-europe.com", "alfredo.pisapia@crm.otsuka-europe.com")</f>
        <v>alfredo.pisapia@crm.otsuka-europe.com</v>
      </c>
      <c r="N6102" s="13">
        <v>46226.299201388887</v>
      </c>
      <c r="O6102" s="14" t="str">
        <f>HYPERLINK("https://otsuka-europe-crm.veevavault.com/ui/#object/email_activity__v/V8C00000004B426", "EN-002107439")</f>
        <v>EN-002107439</v>
      </c>
    </row>
    <row r="6103" spans="1:15" ht="32" x14ac:dyDescent="0.2">
      <c r="A6103" s="7" t="str">
        <f>HYPERLINK("https://otsuka-europe-crm.veevavault.com/ui/#object/account__v/V4TZ04ASGETCVHC", "FRANCESCA SPICA")</f>
        <v>FRANCESCA SPICA</v>
      </c>
      <c r="B6103" s="7" t="str">
        <f t="shared" si="265"/>
        <v>IT</v>
      </c>
      <c r="C6103" s="8" t="s">
        <v>42</v>
      </c>
      <c r="D6103" s="9" t="str">
        <f>HYPERLINK("https://otsuka-europe-crm.veevavault.com/ui/#object/approved_document__v/V5O00000001A024", "Lupkynis - rischio - IT-LUP-2600002 v1.0 -  NEPHRO")</f>
        <v>Lupkynis - rischio - IT-LUP-2600002 v1.0 -  NEPHRO</v>
      </c>
      <c r="E6103" s="10" t="str">
        <f>HYPERLINK("https://otsuka-europe-crm.veevavault.com/ui/#object/sent_email__v/VBL00000003A207", "SE-001444509")</f>
        <v>SE-001444509</v>
      </c>
      <c r="F6103" s="11"/>
      <c r="G6103" s="12">
        <v>0</v>
      </c>
      <c r="H6103" s="12">
        <v>0</v>
      </c>
      <c r="I6103" s="12">
        <v>0</v>
      </c>
      <c r="J6103" s="11"/>
      <c r="K6103" s="12">
        <v>0</v>
      </c>
      <c r="L6103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103" s="10" t="str">
        <f>HYPERLINK("mailto:alfredo.pisapia@crm.otsuka-europe.com", "alfredo.pisapia@crm.otsuka-europe.com")</f>
        <v>alfredo.pisapia@crm.otsuka-europe.com</v>
      </c>
      <c r="N6103" s="13">
        <v>46226.299340277779</v>
      </c>
      <c r="O6103" s="14" t="str">
        <f>HYPERLINK("https://otsuka-europe-crm.veevavault.com/ui/#object/email_activity__v/V8C00000004B324", "EN-002107284")</f>
        <v>EN-002107284</v>
      </c>
    </row>
    <row r="6104" spans="1:15" ht="48" x14ac:dyDescent="0.2">
      <c r="A6104" s="7" t="str">
        <f>HYPERLINK("https://otsuka-europe-crm.veevavault.com/ui/#object/account__v/V4TZ04ASGETCVHC", "FRANCESCA SPICA")</f>
        <v>FRANCESCA SPICA</v>
      </c>
      <c r="B6104" s="7" t="str">
        <f t="shared" si="265"/>
        <v>IT</v>
      </c>
      <c r="C6104" s="8" t="s">
        <v>42</v>
      </c>
      <c r="D6104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04" s="10" t="str">
        <f>HYPERLINK("https://otsuka-europe-crm.veevavault.com/ui/#object/sent_email__v/VBL00000003A208", "SE-001444510")</f>
        <v>SE-001444510</v>
      </c>
      <c r="F6104" s="11"/>
      <c r="G6104" s="12">
        <v>0</v>
      </c>
      <c r="H6104" s="12">
        <v>0</v>
      </c>
      <c r="I6104" s="12">
        <v>0</v>
      </c>
      <c r="J6104" s="11"/>
      <c r="K6104" s="12">
        <v>0</v>
      </c>
      <c r="L6104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04" s="10" t="str">
        <f>HYPERLINK("mailto:alfredo.pisapia@crm.otsuka-europe.com", "alfredo.pisapia@crm.otsuka-europe.com")</f>
        <v>alfredo.pisapia@crm.otsuka-europe.com</v>
      </c>
      <c r="N6104" s="13">
        <v>46226.299259259256</v>
      </c>
      <c r="O6104" s="14" t="str">
        <f>HYPERLINK("https://otsuka-europe-crm.veevavault.com/ui/#object/email_activity__v/V8C00000004B370", "EN-002107383")</f>
        <v>EN-002107383</v>
      </c>
    </row>
    <row r="6105" spans="1:15" ht="32" x14ac:dyDescent="0.2">
      <c r="A6105" s="7" t="str">
        <f>HYPERLINK("https://otsuka-europe-crm.veevavault.com/ui/#object/account__v/V4TZ06G6O71S9I7", "CONCETTO SESSA")</f>
        <v>CONCETTO SESSA</v>
      </c>
      <c r="B6105" s="7" t="str">
        <f t="shared" si="265"/>
        <v>IT</v>
      </c>
      <c r="C6105" s="8" t="s">
        <v>42</v>
      </c>
      <c r="D6105" s="9" t="str">
        <f>HYPERLINK("https://otsuka-europe-crm.veevavault.com/ui/#object/approved_document__v/V5O00000001A024", "Lupkynis - rischio - IT-LUP-2600002 v1.0 -  NEPHRO")</f>
        <v>Lupkynis - rischio - IT-LUP-2600002 v1.0 -  NEPHRO</v>
      </c>
      <c r="E6105" s="10" t="str">
        <f>HYPERLINK("https://otsuka-europe-crm.veevavault.com/ui/#object/sent_email__v/VBL00000003A209", "SE-001444511")</f>
        <v>SE-001444511</v>
      </c>
      <c r="F6105" s="11"/>
      <c r="G6105" s="12">
        <v>0</v>
      </c>
      <c r="H6105" s="12">
        <v>0</v>
      </c>
      <c r="I6105" s="12">
        <v>0</v>
      </c>
      <c r="J6105" s="11"/>
      <c r="K6105" s="12">
        <v>0</v>
      </c>
      <c r="L6105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105" s="10" t="str">
        <f>HYPERLINK("mailto:alfredo.pisapia@crm.otsuka-europe.com", "alfredo.pisapia@crm.otsuka-europe.com")</f>
        <v>alfredo.pisapia@crm.otsuka-europe.com</v>
      </c>
      <c r="N6105" s="13">
        <v>46226.299293981479</v>
      </c>
      <c r="O6105" s="14" t="str">
        <f>HYPERLINK("https://otsuka-europe-crm.veevavault.com/ui/#object/email_activity__v/V8C00000004B449", "EN-002107557")</f>
        <v>EN-002107557</v>
      </c>
    </row>
    <row r="6106" spans="1:15" ht="48" x14ac:dyDescent="0.2">
      <c r="A6106" s="7" t="str">
        <f>HYPERLINK("https://otsuka-europe-crm.veevavault.com/ui/#object/account__v/V4TZ06G6O71S9I7", "CONCETTO SESSA")</f>
        <v>CONCETTO SESSA</v>
      </c>
      <c r="B6106" s="7" t="str">
        <f t="shared" si="265"/>
        <v>IT</v>
      </c>
      <c r="C6106" s="8" t="s">
        <v>42</v>
      </c>
      <c r="D6106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06" s="10" t="str">
        <f>HYPERLINK("https://otsuka-europe-crm.veevavault.com/ui/#object/sent_email__v/VBL00000003A210", "SE-001444512")</f>
        <v>SE-001444512</v>
      </c>
      <c r="F6106" s="11"/>
      <c r="G6106" s="12">
        <v>0</v>
      </c>
      <c r="H6106" s="12">
        <v>0</v>
      </c>
      <c r="I6106" s="12">
        <v>0</v>
      </c>
      <c r="J6106" s="11"/>
      <c r="K6106" s="12">
        <v>0</v>
      </c>
      <c r="L6106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06" s="10" t="str">
        <f>HYPERLINK("mailto:alfredo.pisapia@crm.otsuka-europe.com", "alfredo.pisapia@crm.otsuka-europe.com")</f>
        <v>alfredo.pisapia@crm.otsuka-europe.com</v>
      </c>
      <c r="N6106" s="13">
        <v>46226.299201388887</v>
      </c>
      <c r="O6106" s="14" t="str">
        <f>HYPERLINK("https://otsuka-europe-crm.veevavault.com/ui/#object/email_activity__v/V8C00000004B349", "EN-002107362")</f>
        <v>EN-002107362</v>
      </c>
    </row>
    <row r="6107" spans="1:15" ht="16" x14ac:dyDescent="0.2">
      <c r="A6107" s="18" t="str">
        <f>HYPERLINK("https://otsuka-europe-crm.veevavault.com/ui/#object/account__v/V4TZ06G6O71SBRH", "ALESSANDRA PERNA")</f>
        <v>ALESSANDRA PERNA</v>
      </c>
      <c r="B6107" s="18" t="str">
        <f t="shared" si="265"/>
        <v>IT</v>
      </c>
      <c r="C6107" s="20" t="s">
        <v>42</v>
      </c>
      <c r="D6107" s="21" t="str">
        <f>HYPERLINK("https://otsuka-europe-crm.veevavault.com/ui/#object/approved_document__v/V5O00000001B007", "Lupkynis_Proteinuria_IT-LUP-2600004 V1.0 - NEPHRO")</f>
        <v>Lupkynis_Proteinuria_IT-LUP-2600004 V1.0 - NEPHRO</v>
      </c>
      <c r="E6107" s="22" t="str">
        <f>HYPERLINK("https://otsuka-europe-crm.veevavault.com/ui/#object/sent_email__v/VBL00000003A211", "SE-001444513")</f>
        <v>SE-001444513</v>
      </c>
      <c r="F6107" s="25">
        <v>46226.38380787037</v>
      </c>
      <c r="G6107" s="24">
        <v>1</v>
      </c>
      <c r="H6107" s="24">
        <v>2</v>
      </c>
      <c r="I6107" s="24">
        <v>0</v>
      </c>
      <c r="J6107" s="23"/>
      <c r="K6107" s="24">
        <v>0</v>
      </c>
      <c r="L6107" s="22" t="str">
        <f>HYPERLINK("https://otsuka-europe-crm.veevavault.com/ui/#object/approved_document__v/V5O00000001B007", "Lupkynis_Proteinuria_IT-LUP-2600004 V1.0 - NEPHRO")</f>
        <v>Lupkynis_Proteinuria_IT-LUP-2600004 V1.0 - NEPHRO</v>
      </c>
      <c r="M6107" s="22" t="str">
        <f>HYPERLINK("mailto:linda.ottavo@crm.otsuka-europe.com", "linda.ottavo@crm.otsuka-europe.com")</f>
        <v>linda.ottavo@crm.otsuka-europe.com</v>
      </c>
      <c r="N6107" s="25">
        <v>46226.299201388887</v>
      </c>
      <c r="O6107" s="14" t="str">
        <f>HYPERLINK("https://otsuka-europe-crm.veevavault.com/ui/#object/email_activity__v/V8C00000004B585", "EN-002107696")</f>
        <v>EN-002107696</v>
      </c>
    </row>
    <row r="6108" spans="1:15" ht="16" x14ac:dyDescent="0.2">
      <c r="A6108" s="26"/>
      <c r="B6108" s="26"/>
      <c r="C6108" s="26"/>
      <c r="D6108" s="26"/>
      <c r="E6108" s="26"/>
      <c r="F6108" s="26"/>
      <c r="G6108" s="26"/>
      <c r="H6108" s="26"/>
      <c r="I6108" s="26"/>
      <c r="J6108" s="26"/>
      <c r="K6108" s="26"/>
      <c r="L6108" s="26"/>
      <c r="M6108" s="26"/>
      <c r="N6108" s="26"/>
      <c r="O6108" s="14" t="str">
        <f>HYPERLINK("https://otsuka-europe-crm.veevavault.com/ui/#object/email_activity__v/V8C00000004C387", "EN-002107781")</f>
        <v>EN-002107781</v>
      </c>
    </row>
    <row r="6109" spans="1:15" ht="16" x14ac:dyDescent="0.2">
      <c r="A6109" s="26"/>
      <c r="B6109" s="26"/>
      <c r="C6109" s="26"/>
      <c r="D6109" s="26"/>
      <c r="E6109" s="26"/>
      <c r="F6109" s="26"/>
      <c r="G6109" s="26"/>
      <c r="H6109" s="26"/>
      <c r="I6109" s="26"/>
      <c r="J6109" s="26"/>
      <c r="K6109" s="26"/>
      <c r="L6109" s="26"/>
      <c r="M6109" s="26"/>
      <c r="N6109" s="26"/>
      <c r="O6109" s="14" t="str">
        <f>HYPERLINK("https://otsuka-europe-crm.veevavault.com/ui/#object/email_activity__v/V8C00000004C388", "EN-002107782")</f>
        <v>EN-002107782</v>
      </c>
    </row>
    <row r="6110" spans="1:15" ht="16" x14ac:dyDescent="0.2">
      <c r="A6110" s="19"/>
      <c r="B6110" s="19"/>
      <c r="C6110" s="19"/>
      <c r="D6110" s="19"/>
      <c r="E6110" s="19"/>
      <c r="F6110" s="19"/>
      <c r="G6110" s="19"/>
      <c r="H6110" s="19"/>
      <c r="I6110" s="19"/>
      <c r="J6110" s="19"/>
      <c r="K6110" s="19"/>
      <c r="L6110" s="19"/>
      <c r="M6110" s="19"/>
      <c r="N6110" s="19"/>
      <c r="O6110" s="14" t="str">
        <f>HYPERLINK("https://otsuka-europe-crm.veevavault.com/ui/#object/email_activity__v/V8C00000004C466", "EN-002107933")</f>
        <v>EN-002107933</v>
      </c>
    </row>
    <row r="6111" spans="1:15" ht="32" x14ac:dyDescent="0.2">
      <c r="A6111" s="7" t="str">
        <f>HYPERLINK("https://otsuka-europe-crm.veevavault.com/ui/#object/account__v/V4TZ06G6O71S9I7", "CONCETTO SESSA")</f>
        <v>CONCETTO SESSA</v>
      </c>
      <c r="B6111" s="7" t="str">
        <f>HYPERLINK("https://otsuka-europe-crm.veevavault.com/ui/#object/vcountry__v/VENZ000004SONFQ", "IT")</f>
        <v>IT</v>
      </c>
      <c r="C6111" s="8" t="s">
        <v>42</v>
      </c>
      <c r="D6111" s="9" t="str">
        <f>HYPERLINK("https://otsuka-europe-crm.veevavault.com/ui/#object/approved_document__v/V5O00000001A024", "Lupkynis - rischio - IT-LUP-2600002 v1.0 -  NEPHRO")</f>
        <v>Lupkynis - rischio - IT-LUP-2600002 v1.0 -  NEPHRO</v>
      </c>
      <c r="E6111" s="10" t="str">
        <f>HYPERLINK("https://otsuka-europe-crm.veevavault.com/ui/#object/sent_email__v/VBL00000003A212", "SE-001444514")</f>
        <v>SE-001444514</v>
      </c>
      <c r="F6111" s="11"/>
      <c r="G6111" s="12">
        <v>0</v>
      </c>
      <c r="H6111" s="12">
        <v>0</v>
      </c>
      <c r="I6111" s="12">
        <v>0</v>
      </c>
      <c r="J6111" s="11"/>
      <c r="K6111" s="12">
        <v>0</v>
      </c>
      <c r="L6111" s="10" t="str">
        <f>HYPERLINK("https://otsuka-europe-crm.veevavault.com/ui/#object/approved_document__v/V5O00000001A024", "Lupkynis - rischio - IT-LUP-2600002 v1.0 -  NEPHRO")</f>
        <v>Lupkynis - rischio - IT-LUP-2600002 v1.0 -  NEPHRO</v>
      </c>
      <c r="M6111" s="10" t="str">
        <f>HYPERLINK("mailto:alfredo.pisapia@crm.otsuka-europe.com", "alfredo.pisapia@crm.otsuka-europe.com")</f>
        <v>alfredo.pisapia@crm.otsuka-europe.com</v>
      </c>
      <c r="N6111" s="13">
        <v>46226.299340277779</v>
      </c>
      <c r="O6111" s="14" t="str">
        <f>HYPERLINK("https://otsuka-europe-crm.veevavault.com/ui/#object/email_activity__v/V8C00000004C255", "EN-002107327")</f>
        <v>EN-002107327</v>
      </c>
    </row>
    <row r="6112" spans="1:15" ht="16" x14ac:dyDescent="0.2">
      <c r="A6112" s="18" t="str">
        <f>HYPERLINK("https://otsuka-europe-crm.veevavault.com/ui/#object/account__v/V4TZ06G6O71S9I7", "CONCETTO SESSA")</f>
        <v>CONCETTO SESSA</v>
      </c>
      <c r="B6112" s="18" t="str">
        <f>HYPERLINK("https://otsuka-europe-crm.veevavault.com/ui/#object/vcountry__v/VENZ000004SONFQ", "IT")</f>
        <v>IT</v>
      </c>
      <c r="C6112" s="20" t="s">
        <v>42</v>
      </c>
      <c r="D6112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12" s="22" t="str">
        <f>HYPERLINK("https://otsuka-europe-crm.veevavault.com/ui/#object/sent_email__v/VBL00000003A213", "SE-001444515")</f>
        <v>SE-001444515</v>
      </c>
      <c r="F6112" s="23"/>
      <c r="G6112" s="24">
        <v>0</v>
      </c>
      <c r="H6112" s="24">
        <v>0</v>
      </c>
      <c r="I6112" s="24">
        <v>0</v>
      </c>
      <c r="J6112" s="23"/>
      <c r="K6112" s="24">
        <v>0</v>
      </c>
      <c r="L6112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12" s="22" t="str">
        <f>HYPERLINK("mailto:alfredo.pisapia@crm.otsuka-europe.com", "alfredo.pisapia@crm.otsuka-europe.com")</f>
        <v>alfredo.pisapia@crm.otsuka-europe.com</v>
      </c>
      <c r="N6112" s="25">
        <v>46226.299259259256</v>
      </c>
      <c r="O6112" s="14" t="str">
        <f>HYPERLINK("https://otsuka-europe-crm.veevavault.com/ui/#object/email_activity__v/V8C00000004B586", "EN-002107697")</f>
        <v>EN-002107697</v>
      </c>
    </row>
    <row r="6113" spans="1:15" ht="16" x14ac:dyDescent="0.2">
      <c r="A6113" s="19"/>
      <c r="B6113" s="19"/>
      <c r="C6113" s="19"/>
      <c r="D6113" s="19"/>
      <c r="E6113" s="19"/>
      <c r="F6113" s="19"/>
      <c r="G6113" s="19"/>
      <c r="H6113" s="19"/>
      <c r="I6113" s="19"/>
      <c r="J6113" s="19"/>
      <c r="K6113" s="19"/>
      <c r="L6113" s="19"/>
      <c r="M6113" s="19"/>
      <c r="N6113" s="19"/>
      <c r="O6113" s="14" t="str">
        <f>HYPERLINK("https://otsuka-europe-crm.veevavault.com/ui/#object/email_activity__v/V8C00000004B686", "EN-002107813")</f>
        <v>EN-002107813</v>
      </c>
    </row>
    <row r="6114" spans="1:15" ht="16" x14ac:dyDescent="0.2">
      <c r="A6114" s="18" t="str">
        <f>HYPERLINK("https://otsuka-europe-crm.veevavault.com/ui/#object/account__v/V4TZ06G6O7W7LFZ", "WALTER MORALE")</f>
        <v>WALTER MORALE</v>
      </c>
      <c r="B6114" s="18" t="str">
        <f>HYPERLINK("https://otsuka-europe-crm.veevavault.com/ui/#object/vcountry__v/VENZ000004SONFQ", "IT")</f>
        <v>IT</v>
      </c>
      <c r="C6114" s="20" t="s">
        <v>42</v>
      </c>
      <c r="D6114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114" s="22" t="str">
        <f>HYPERLINK("https://otsuka-europe-crm.veevavault.com/ui/#object/sent_email__v/VBL00000003A214", "SE-001444516")</f>
        <v>SE-001444516</v>
      </c>
      <c r="F6114" s="25">
        <v>46227.408171296294</v>
      </c>
      <c r="G6114" s="24">
        <v>1</v>
      </c>
      <c r="H6114" s="24">
        <v>2</v>
      </c>
      <c r="I6114" s="24">
        <v>0</v>
      </c>
      <c r="J6114" s="23"/>
      <c r="K6114" s="24">
        <v>0</v>
      </c>
      <c r="L6114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114" s="22" t="str">
        <f>HYPERLINK("mailto:alfredo.pisapia@crm.otsuka-europe.com", "alfredo.pisapia@crm.otsuka-europe.com")</f>
        <v>alfredo.pisapia@crm.otsuka-europe.com</v>
      </c>
      <c r="N6114" s="25">
        <v>46226.299340277779</v>
      </c>
      <c r="O6114" s="14" t="str">
        <f>HYPERLINK("https://otsuka-europe-crm.veevavault.com/ui/#object/email_activity__v/V8C00000004C357", "EN-002107525")</f>
        <v>EN-002107525</v>
      </c>
    </row>
    <row r="6115" spans="1:15" ht="16" x14ac:dyDescent="0.2">
      <c r="A6115" s="26"/>
      <c r="B6115" s="26"/>
      <c r="C6115" s="26"/>
      <c r="D6115" s="26"/>
      <c r="E6115" s="26"/>
      <c r="F6115" s="26"/>
      <c r="G6115" s="26"/>
      <c r="H6115" s="26"/>
      <c r="I6115" s="26"/>
      <c r="J6115" s="26"/>
      <c r="K6115" s="26"/>
      <c r="L6115" s="26"/>
      <c r="M6115" s="26"/>
      <c r="N6115" s="26"/>
      <c r="O6115" s="14" t="str">
        <f>HYPERLINK("https://otsuka-europe-crm.veevavault.com/ui/#object/email_activity__v/V8C00000004C397", "EN-002107795")</f>
        <v>EN-002107795</v>
      </c>
    </row>
    <row r="6116" spans="1:15" ht="16" x14ac:dyDescent="0.2">
      <c r="A6116" s="19"/>
      <c r="B6116" s="19"/>
      <c r="C6116" s="19"/>
      <c r="D6116" s="19"/>
      <c r="E6116" s="19"/>
      <c r="F6116" s="19"/>
      <c r="G6116" s="19"/>
      <c r="H6116" s="19"/>
      <c r="I6116" s="19"/>
      <c r="J6116" s="19"/>
      <c r="K6116" s="19"/>
      <c r="L6116" s="19"/>
      <c r="M6116" s="19"/>
      <c r="N6116" s="19"/>
      <c r="O6116" s="14" t="str">
        <f>HYPERLINK("https://otsuka-europe-crm.veevavault.com/ui/#object/email_activity__v/V8C00000004E011", "EN-002108286")</f>
        <v>EN-002108286</v>
      </c>
    </row>
    <row r="6117" spans="1:15" ht="48" x14ac:dyDescent="0.2">
      <c r="A6117" s="7" t="str">
        <f>HYPERLINK("https://otsuka-europe-crm.veevavault.com/ui/#object/account__v/V4TZ04ASGBNVSN6", "AMATO DE PAULIS")</f>
        <v>AMATO DE PAULIS</v>
      </c>
      <c r="B6117" s="7" t="str">
        <f t="shared" ref="B6117:B6122" si="266">HYPERLINK("https://otsuka-europe-crm.veevavault.com/ui/#object/vcountry__v/VENZ000004SONFQ", "IT")</f>
        <v>IT</v>
      </c>
      <c r="C6117" s="8" t="s">
        <v>42</v>
      </c>
      <c r="D6117" s="9" t="str">
        <f>HYPERLINK("https://otsuka-europe-crm.veevavault.com/ui/#object/approved_document__v/V5O00000001B002", "Lupkynis_Proteinuria_IT-LUP-2600004 V1.0 - IMMUNO")</f>
        <v>Lupkynis_Proteinuria_IT-LUP-2600004 V1.0 - IMMUNO</v>
      </c>
      <c r="E6117" s="10" t="str">
        <f>HYPERLINK("https://otsuka-europe-crm.veevavault.com/ui/#object/sent_email__v/VBL00000003A215", "SE-001444517")</f>
        <v>SE-001444517</v>
      </c>
      <c r="F6117" s="11"/>
      <c r="G6117" s="12">
        <v>0</v>
      </c>
      <c r="H6117" s="12">
        <v>0</v>
      </c>
      <c r="I6117" s="12">
        <v>0</v>
      </c>
      <c r="J6117" s="11"/>
      <c r="K6117" s="12">
        <v>0</v>
      </c>
      <c r="L6117" s="10" t="str">
        <f>HYPERLINK("https://otsuka-europe-crm.veevavault.com/ui/#object/approved_document__v/V5O00000001B002", "Lupkynis_Proteinuria_IT-LUP-2600004 V1.0 - IMMUNO")</f>
        <v>Lupkynis_Proteinuria_IT-LUP-2600004 V1.0 - IMMUNO</v>
      </c>
      <c r="M6117" s="10" t="str">
        <f>HYPERLINK("mailto:linda.ottavo@crm.otsuka-europe.com", "linda.ottavo@crm.otsuka-europe.com")</f>
        <v>linda.ottavo@crm.otsuka-europe.com</v>
      </c>
      <c r="N6117" s="13">
        <v>46226.299247685187</v>
      </c>
      <c r="O6117" s="14" t="str">
        <f>HYPERLINK("https://otsuka-europe-crm.veevavault.com/ui/#object/email_activity__v/V8C00000004C278", "EN-002107350")</f>
        <v>EN-002107350</v>
      </c>
    </row>
    <row r="6118" spans="1:15" ht="48" x14ac:dyDescent="0.2">
      <c r="A6118" s="7" t="str">
        <f>HYPERLINK("https://otsuka-europe-crm.veevavault.com/ui/#object/account__v/V4TZ06G6O7W7LFZ", "WALTER MORALE")</f>
        <v>WALTER MORALE</v>
      </c>
      <c r="B6118" s="7" t="str">
        <f t="shared" si="266"/>
        <v>IT</v>
      </c>
      <c r="C6118" s="8" t="s">
        <v>42</v>
      </c>
      <c r="D6118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18" s="10" t="str">
        <f>HYPERLINK("https://otsuka-europe-crm.veevavault.com/ui/#object/sent_email__v/VBL00000003A216", "SE-001444518")</f>
        <v>SE-001444518</v>
      </c>
      <c r="F6118" s="11"/>
      <c r="G6118" s="12">
        <v>0</v>
      </c>
      <c r="H6118" s="12">
        <v>0</v>
      </c>
      <c r="I6118" s="12">
        <v>0</v>
      </c>
      <c r="J6118" s="11"/>
      <c r="K6118" s="12">
        <v>0</v>
      </c>
      <c r="L6118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18" s="10" t="str">
        <f>HYPERLINK("mailto:alfredo.pisapia@crm.otsuka-europe.com", "alfredo.pisapia@crm.otsuka-europe.com")</f>
        <v>alfredo.pisapia@crm.otsuka-europe.com</v>
      </c>
      <c r="N6118" s="13">
        <v>46226.299259259256</v>
      </c>
      <c r="O6118" s="14" t="str">
        <f>HYPERLINK("https://otsuka-europe-crm.veevavault.com/ui/#object/email_activity__v/V8C00000004C294", "EN-002107459")</f>
        <v>EN-002107459</v>
      </c>
    </row>
    <row r="6119" spans="1:15" ht="48" x14ac:dyDescent="0.2">
      <c r="A6119" s="7" t="str">
        <f>HYPERLINK("https://otsuka-europe-crm.veevavault.com/ui/#object/account__v/V4TZ06G6O71S9E9", "FRANCESCO TREPICCIONE")</f>
        <v>FRANCESCO TREPICCIONE</v>
      </c>
      <c r="B6119" s="7" t="str">
        <f t="shared" si="266"/>
        <v>IT</v>
      </c>
      <c r="C6119" s="8" t="s">
        <v>42</v>
      </c>
      <c r="D6119" s="9" t="str">
        <f>HYPERLINK("https://otsuka-europe-crm.veevavault.com/ui/#object/approved_document__v/V5O00000001B007", "Lupkynis_Proteinuria_IT-LUP-2600004 V1.0 - NEPHRO")</f>
        <v>Lupkynis_Proteinuria_IT-LUP-2600004 V1.0 - NEPHRO</v>
      </c>
      <c r="E6119" s="10" t="str">
        <f>HYPERLINK("https://otsuka-europe-crm.veevavault.com/ui/#object/sent_email__v/VBL000000039065", "SE-001444519")</f>
        <v>SE-001444519</v>
      </c>
      <c r="F6119" s="11"/>
      <c r="G6119" s="12">
        <v>0</v>
      </c>
      <c r="H6119" s="12">
        <v>0</v>
      </c>
      <c r="I6119" s="12">
        <v>0</v>
      </c>
      <c r="J6119" s="11"/>
      <c r="K6119" s="12">
        <v>0</v>
      </c>
      <c r="L6119" s="10" t="str">
        <f>HYPERLINK("https://otsuka-europe-crm.veevavault.com/ui/#object/approved_document__v/V5O00000001B007", "Lupkynis_Proteinuria_IT-LUP-2600004 V1.0 - NEPHRO")</f>
        <v>Lupkynis_Proteinuria_IT-LUP-2600004 V1.0 - NEPHRO</v>
      </c>
      <c r="M6119" s="10" t="str">
        <f>HYPERLINK("mailto:linda.ottavo@crm.otsuka-europe.com", "linda.ottavo@crm.otsuka-europe.com")</f>
        <v>linda.ottavo@crm.otsuka-europe.com</v>
      </c>
      <c r="N6119" s="13">
        <v>46226.299201388887</v>
      </c>
      <c r="O6119" s="14" t="str">
        <f>HYPERLINK("https://otsuka-europe-crm.veevavault.com/ui/#object/email_activity__v/V8C00000004B314", "EN-002107274")</f>
        <v>EN-002107274</v>
      </c>
    </row>
    <row r="6120" spans="1:15" ht="48" x14ac:dyDescent="0.2">
      <c r="A6120" s="7" t="str">
        <f>HYPERLINK("https://otsuka-europe-crm.veevavault.com/ui/#object/account__v/V4TZ025E82HRLP1", "ILARIA MORMILE")</f>
        <v>ILARIA MORMILE</v>
      </c>
      <c r="B6120" s="7" t="str">
        <f t="shared" si="266"/>
        <v>IT</v>
      </c>
      <c r="C6120" s="8" t="s">
        <v>42</v>
      </c>
      <c r="D6120" s="9" t="str">
        <f>HYPERLINK("https://otsuka-europe-crm.veevavault.com/ui/#object/approved_document__v/V5O00000001B002", "Lupkynis_Proteinuria_IT-LUP-2600004 V1.0 - IMMUNO")</f>
        <v>Lupkynis_Proteinuria_IT-LUP-2600004 V1.0 - IMMUNO</v>
      </c>
      <c r="E6120" s="10" t="str">
        <f>HYPERLINK("https://otsuka-europe-crm.veevavault.com/ui/#object/sent_email__v/VBL00000003A217", "SE-001444520")</f>
        <v>SE-001444520</v>
      </c>
      <c r="F6120" s="11"/>
      <c r="G6120" s="12">
        <v>0</v>
      </c>
      <c r="H6120" s="12">
        <v>0</v>
      </c>
      <c r="I6120" s="12">
        <v>0</v>
      </c>
      <c r="J6120" s="11"/>
      <c r="K6120" s="12">
        <v>0</v>
      </c>
      <c r="L6120" s="10" t="str">
        <f>HYPERLINK("https://otsuka-europe-crm.veevavault.com/ui/#object/approved_document__v/V5O00000001B002", "Lupkynis_Proteinuria_IT-LUP-2600004 V1.0 - IMMUNO")</f>
        <v>Lupkynis_Proteinuria_IT-LUP-2600004 V1.0 - IMMUNO</v>
      </c>
      <c r="M6120" s="10" t="str">
        <f>HYPERLINK("mailto:linda.ottavo@crm.otsuka-europe.com", "linda.ottavo@crm.otsuka-europe.com")</f>
        <v>linda.ottavo@crm.otsuka-europe.com</v>
      </c>
      <c r="N6120" s="13">
        <v>46226.299247685187</v>
      </c>
      <c r="O6120" s="14" t="str">
        <f>HYPERLINK("https://otsuka-europe-crm.veevavault.com/ui/#object/email_activity__v/V8C00000004C262", "EN-002107334")</f>
        <v>EN-002107334</v>
      </c>
    </row>
    <row r="6121" spans="1:15" ht="48" x14ac:dyDescent="0.2">
      <c r="A6121" s="7" t="str">
        <f>HYPERLINK("https://otsuka-europe-crm.veevavault.com/ui/#object/account__v/V4TZ04ASGBNVSQK", "FRANCESCA WANDA ROSSI")</f>
        <v>FRANCESCA WANDA ROSSI</v>
      </c>
      <c r="B6121" s="7" t="str">
        <f t="shared" si="266"/>
        <v>IT</v>
      </c>
      <c r="C6121" s="8" t="s">
        <v>42</v>
      </c>
      <c r="D6121" s="9" t="str">
        <f>HYPERLINK("https://otsuka-europe-crm.veevavault.com/ui/#object/approved_document__v/V5O00000001B002", "Lupkynis_Proteinuria_IT-LUP-2600004 V1.0 - IMMUNO")</f>
        <v>Lupkynis_Proteinuria_IT-LUP-2600004 V1.0 - IMMUNO</v>
      </c>
      <c r="E6121" s="10" t="str">
        <f>HYPERLINK("https://otsuka-europe-crm.veevavault.com/ui/#object/sent_email__v/VBL000000039066", "SE-001444521")</f>
        <v>SE-001444521</v>
      </c>
      <c r="F6121" s="11"/>
      <c r="G6121" s="12">
        <v>0</v>
      </c>
      <c r="H6121" s="12">
        <v>0</v>
      </c>
      <c r="I6121" s="12">
        <v>0</v>
      </c>
      <c r="J6121" s="11"/>
      <c r="K6121" s="12">
        <v>0</v>
      </c>
      <c r="L6121" s="10" t="str">
        <f>HYPERLINK("https://otsuka-europe-crm.veevavault.com/ui/#object/approved_document__v/V5O00000001B002", "Lupkynis_Proteinuria_IT-LUP-2600004 V1.0 - IMMUNO")</f>
        <v>Lupkynis_Proteinuria_IT-LUP-2600004 V1.0 - IMMUNO</v>
      </c>
      <c r="M6121" s="10" t="str">
        <f>HYPERLINK("mailto:linda.ottavo@crm.otsuka-europe.com", "linda.ottavo@crm.otsuka-europe.com")</f>
        <v>linda.ottavo@crm.otsuka-europe.com</v>
      </c>
      <c r="N6121" s="13">
        <v>46226.299247685187</v>
      </c>
      <c r="O6121" s="14" t="str">
        <f>HYPERLINK("https://otsuka-europe-crm.veevavault.com/ui/#object/email_activity__v/V8C00000004B413", "EN-002107427")</f>
        <v>EN-002107427</v>
      </c>
    </row>
    <row r="6122" spans="1:15" ht="16" x14ac:dyDescent="0.2">
      <c r="A6122" s="18" t="str">
        <f>HYPERLINK("https://otsuka-europe-crm.veevavault.com/ui/#object/account__v/V4TZ06G6O71SAPK", "MARCO GUARNERI")</f>
        <v>MARCO GUARNERI</v>
      </c>
      <c r="B6122" s="18" t="str">
        <f t="shared" si="266"/>
        <v>IT</v>
      </c>
      <c r="C6122" s="20" t="s">
        <v>42</v>
      </c>
      <c r="D6122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122" s="22" t="str">
        <f>HYPERLINK("https://otsuka-europe-crm.veevavault.com/ui/#object/sent_email__v/VBL000000039067", "SE-001444522")</f>
        <v>SE-001444522</v>
      </c>
      <c r="F6122" s="25">
        <v>46226.299421296295</v>
      </c>
      <c r="G6122" s="24">
        <v>1</v>
      </c>
      <c r="H6122" s="24">
        <v>1</v>
      </c>
      <c r="I6122" s="24">
        <v>0</v>
      </c>
      <c r="J6122" s="23"/>
      <c r="K6122" s="24">
        <v>0</v>
      </c>
      <c r="L6122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122" s="22" t="str">
        <f>HYPERLINK("mailto:alfredo.pisapia@crm.otsuka-europe.com", "alfredo.pisapia@crm.otsuka-europe.com")</f>
        <v>alfredo.pisapia@crm.otsuka-europe.com</v>
      </c>
      <c r="N6122" s="25">
        <v>46226.299340277779</v>
      </c>
      <c r="O6122" s="14" t="str">
        <f>HYPERLINK("https://otsuka-europe-crm.veevavault.com/ui/#object/email_activity__v/V8C00000004B326", "EN-002107286")</f>
        <v>EN-002107286</v>
      </c>
    </row>
    <row r="6123" spans="1:15" ht="16" x14ac:dyDescent="0.2">
      <c r="A6123" s="26"/>
      <c r="B6123" s="26"/>
      <c r="C6123" s="26"/>
      <c r="D6123" s="26"/>
      <c r="E6123" s="26"/>
      <c r="F6123" s="26"/>
      <c r="G6123" s="26"/>
      <c r="H6123" s="26"/>
      <c r="I6123" s="26"/>
      <c r="J6123" s="26"/>
      <c r="K6123" s="26"/>
      <c r="L6123" s="26"/>
      <c r="M6123" s="26"/>
      <c r="N6123" s="26"/>
      <c r="O6123" s="14" t="str">
        <f>HYPERLINK("https://otsuka-europe-crm.veevavault.com/ui/#object/email_activity__v/V8C00000004B760", "EN-002107985")</f>
        <v>EN-002107985</v>
      </c>
    </row>
    <row r="6124" spans="1:15" ht="16" x14ac:dyDescent="0.2">
      <c r="A6124" s="19"/>
      <c r="B6124" s="19"/>
      <c r="C6124" s="19"/>
      <c r="D6124" s="19"/>
      <c r="E6124" s="19"/>
      <c r="F6124" s="19"/>
      <c r="G6124" s="19"/>
      <c r="H6124" s="19"/>
      <c r="I6124" s="19"/>
      <c r="J6124" s="19"/>
      <c r="K6124" s="19"/>
      <c r="L6124" s="19"/>
      <c r="M6124" s="19"/>
      <c r="N6124" s="19"/>
      <c r="O6124" s="14" t="str">
        <f>HYPERLINK("https://otsuka-europe-crm.veevavault.com/ui/#object/email_activity__v/V8C00000004C366", "EN-002107535")</f>
        <v>EN-002107535</v>
      </c>
    </row>
    <row r="6125" spans="1:15" ht="16" x14ac:dyDescent="0.2">
      <c r="A6125" s="18" t="str">
        <f>HYPERLINK("https://otsuka-europe-crm.veevavault.com/ui/#object/account__v/V4TZ06G6O71SAPK", "MARCO GUARNERI")</f>
        <v>MARCO GUARNERI</v>
      </c>
      <c r="B6125" s="18" t="str">
        <f>HYPERLINK("https://otsuka-europe-crm.veevavault.com/ui/#object/vcountry__v/VENZ000004SONFQ", "IT")</f>
        <v>IT</v>
      </c>
      <c r="C6125" s="20" t="s">
        <v>42</v>
      </c>
      <c r="D6125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25" s="22" t="str">
        <f>HYPERLINK("https://otsuka-europe-crm.veevavault.com/ui/#object/sent_email__v/VBL000000039068", "SE-001444523")</f>
        <v>SE-001444523</v>
      </c>
      <c r="F6125" s="25">
        <v>46226.299363425926</v>
      </c>
      <c r="G6125" s="24">
        <v>1</v>
      </c>
      <c r="H6125" s="24">
        <v>1</v>
      </c>
      <c r="I6125" s="24">
        <v>0</v>
      </c>
      <c r="J6125" s="23"/>
      <c r="K6125" s="24">
        <v>0</v>
      </c>
      <c r="L6125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25" s="22" t="str">
        <f>HYPERLINK("mailto:alfredo.pisapia@crm.otsuka-europe.com", "alfredo.pisapia@crm.otsuka-europe.com")</f>
        <v>alfredo.pisapia@crm.otsuka-europe.com</v>
      </c>
      <c r="N6125" s="25">
        <v>46226.299259259256</v>
      </c>
      <c r="O6125" s="14" t="str">
        <f>HYPERLINK("https://otsuka-europe-crm.veevavault.com/ui/#object/email_activity__v/V8C00000004C240", "EN-002107312")</f>
        <v>EN-002107312</v>
      </c>
    </row>
    <row r="6126" spans="1:15" ht="16" x14ac:dyDescent="0.2">
      <c r="A6126" s="26"/>
      <c r="B6126" s="26"/>
      <c r="C6126" s="26"/>
      <c r="D6126" s="26"/>
      <c r="E6126" s="26"/>
      <c r="F6126" s="26"/>
      <c r="G6126" s="26"/>
      <c r="H6126" s="26"/>
      <c r="I6126" s="26"/>
      <c r="J6126" s="26"/>
      <c r="K6126" s="26"/>
      <c r="L6126" s="26"/>
      <c r="M6126" s="26"/>
      <c r="N6126" s="26"/>
      <c r="O6126" s="14" t="str">
        <f>HYPERLINK("https://otsuka-europe-crm.veevavault.com/ui/#object/email_activity__v/V8C00000004C277", "EN-002107349")</f>
        <v>EN-002107349</v>
      </c>
    </row>
    <row r="6127" spans="1:15" ht="16" x14ac:dyDescent="0.2">
      <c r="A6127" s="19"/>
      <c r="B6127" s="19"/>
      <c r="C6127" s="19"/>
      <c r="D6127" s="19"/>
      <c r="E6127" s="19"/>
      <c r="F6127" s="19"/>
      <c r="G6127" s="19"/>
      <c r="H6127" s="19"/>
      <c r="I6127" s="19"/>
      <c r="J6127" s="19"/>
      <c r="K6127" s="19"/>
      <c r="L6127" s="19"/>
      <c r="M6127" s="19"/>
      <c r="N6127" s="19"/>
      <c r="O6127" s="14" t="str">
        <f>HYPERLINK("https://otsuka-europe-crm.veevavault.com/ui/#object/email_activity__v/V8C00000004C367", "EN-002107536")</f>
        <v>EN-002107536</v>
      </c>
    </row>
    <row r="6128" spans="1:15" ht="16" x14ac:dyDescent="0.2">
      <c r="A6128" s="18" t="str">
        <f>HYPERLINK("https://otsuka-europe-crm.veevavault.com/ui/#object/account__v/V4TZ04ASG7A4WW3", "FABRIZIO CONTI")</f>
        <v>FABRIZIO CONTI</v>
      </c>
      <c r="B6128" s="18" t="str">
        <f>HYPERLINK("https://otsuka-europe-crm.veevavault.com/ui/#object/vcountry__v/VENZ000004SONFQ", "IT")</f>
        <v>IT</v>
      </c>
      <c r="C6128" s="20" t="s">
        <v>42</v>
      </c>
      <c r="D6128" s="21" t="str">
        <f>HYPERLINK("https://otsuka-europe-crm.veevavault.com/ui/#object/approved_document__v/V5O00000001B003", "Lupkynis_Proteinuria_IT-LUP-2600004 V1.0 -Reuma")</f>
        <v>Lupkynis_Proteinuria_IT-LUP-2600004 V1.0 -Reuma</v>
      </c>
      <c r="E6128" s="22" t="str">
        <f>HYPERLINK("https://otsuka-europe-crm.veevavault.com/ui/#object/sent_email__v/VBL000000039069", "SE-001444524")</f>
        <v>SE-001444524</v>
      </c>
      <c r="F6128" s="25">
        <v>46226.783148148148</v>
      </c>
      <c r="G6128" s="24">
        <v>1</v>
      </c>
      <c r="H6128" s="24">
        <v>3</v>
      </c>
      <c r="I6128" s="24">
        <v>0</v>
      </c>
      <c r="J6128" s="23"/>
      <c r="K6128" s="24">
        <v>0</v>
      </c>
      <c r="L6128" s="22" t="str">
        <f>HYPERLINK("https://otsuka-europe-crm.veevavault.com/ui/#object/approved_document__v/V5O00000001B003", "Lupkynis_Proteinuria_IT-LUP-2600004 V1.0 -Reuma")</f>
        <v>Lupkynis_Proteinuria_IT-LUP-2600004 V1.0 -Reuma</v>
      </c>
      <c r="M6128" s="22" t="str">
        <f>HYPERLINK("mailto:linda.ottavo@crm.otsuka-europe.com", "linda.ottavo@crm.otsuka-europe.com")</f>
        <v>linda.ottavo@crm.otsuka-europe.com</v>
      </c>
      <c r="N6128" s="25">
        <v>46226.299201388887</v>
      </c>
      <c r="O6128" s="14" t="str">
        <f>HYPERLINK("https://otsuka-europe-crm.veevavault.com/ui/#object/email_activity__v/V8C00000004C339", "EN-002107506")</f>
        <v>EN-002107506</v>
      </c>
    </row>
    <row r="6129" spans="1:15" ht="16" x14ac:dyDescent="0.2">
      <c r="A6129" s="26"/>
      <c r="B6129" s="26"/>
      <c r="C6129" s="26"/>
      <c r="D6129" s="26"/>
      <c r="E6129" s="26"/>
      <c r="F6129" s="26"/>
      <c r="G6129" s="26"/>
      <c r="H6129" s="26"/>
      <c r="I6129" s="26"/>
      <c r="J6129" s="26"/>
      <c r="K6129" s="26"/>
      <c r="L6129" s="26"/>
      <c r="M6129" s="26"/>
      <c r="N6129" s="26"/>
      <c r="O6129" s="14" t="str">
        <f>HYPERLINK("https://otsuka-europe-crm.veevavault.com/ui/#object/email_activity__v/V8C00000004D015", "EN-002108238")</f>
        <v>EN-002108238</v>
      </c>
    </row>
    <row r="6130" spans="1:15" ht="16" x14ac:dyDescent="0.2">
      <c r="A6130" s="26"/>
      <c r="B6130" s="26"/>
      <c r="C6130" s="26"/>
      <c r="D6130" s="26"/>
      <c r="E6130" s="26"/>
      <c r="F6130" s="26"/>
      <c r="G6130" s="26"/>
      <c r="H6130" s="26"/>
      <c r="I6130" s="26"/>
      <c r="J6130" s="26"/>
      <c r="K6130" s="26"/>
      <c r="L6130" s="26"/>
      <c r="M6130" s="26"/>
      <c r="N6130" s="26"/>
      <c r="O6130" s="14" t="str">
        <f>HYPERLINK("https://otsuka-europe-crm.veevavault.com/ui/#object/email_activity__v/V8C00000004G009", "EN-002109803")</f>
        <v>EN-002109803</v>
      </c>
    </row>
    <row r="6131" spans="1:15" ht="16" x14ac:dyDescent="0.2">
      <c r="A6131" s="19"/>
      <c r="B6131" s="19"/>
      <c r="C6131" s="19"/>
      <c r="D6131" s="19"/>
      <c r="E6131" s="19"/>
      <c r="F6131" s="19"/>
      <c r="G6131" s="19"/>
      <c r="H6131" s="19"/>
      <c r="I6131" s="19"/>
      <c r="J6131" s="19"/>
      <c r="K6131" s="19"/>
      <c r="L6131" s="19"/>
      <c r="M6131" s="19"/>
      <c r="N6131" s="19"/>
      <c r="O6131" s="14" t="str">
        <f>HYPERLINK("https://otsuka-europe-crm.veevavault.com/ui/#object/email_activity__v/V8C00000004H003", "EN-002110953")</f>
        <v>EN-002110953</v>
      </c>
    </row>
    <row r="6132" spans="1:15" ht="16" x14ac:dyDescent="0.2">
      <c r="A6132" s="18" t="str">
        <f>HYPERLINK("https://otsuka-europe-crm.veevavault.com/ui/#object/account__v/V4TZ025E86FK8AA", "SILVIA MANCUSO")</f>
        <v>SILVIA MANCUSO</v>
      </c>
      <c r="B6132" s="18" t="str">
        <f>HYPERLINK("https://otsuka-europe-crm.veevavault.com/ui/#object/vcountry__v/VENZ000004SONFQ", "IT")</f>
        <v>IT</v>
      </c>
      <c r="C6132" s="20" t="s">
        <v>42</v>
      </c>
      <c r="D6132" s="21" t="str">
        <f>HYPERLINK("https://otsuka-europe-crm.veevavault.com/ui/#object/approved_document__v/V5O00000001B003", "Lupkynis_Proteinuria_IT-LUP-2600004 V1.0 -Reuma")</f>
        <v>Lupkynis_Proteinuria_IT-LUP-2600004 V1.0 -Reuma</v>
      </c>
      <c r="E6132" s="22" t="str">
        <f>HYPERLINK("https://otsuka-europe-crm.veevavault.com/ui/#object/sent_email__v/VBL000000039070", "SE-001444525")</f>
        <v>SE-001444525</v>
      </c>
      <c r="F6132" s="25">
        <v>46226.299317129633</v>
      </c>
      <c r="G6132" s="24">
        <v>1</v>
      </c>
      <c r="H6132" s="24">
        <v>1</v>
      </c>
      <c r="I6132" s="24">
        <v>1</v>
      </c>
      <c r="J6132" s="25">
        <v>46226.299490740741</v>
      </c>
      <c r="K6132" s="24">
        <v>1</v>
      </c>
      <c r="L6132" s="22" t="str">
        <f>HYPERLINK("https://otsuka-europe-crm.veevavault.com/ui/#object/approved_document__v/V5O00000001B003", "Lupkynis_Proteinuria_IT-LUP-2600004 V1.0 -Reuma")</f>
        <v>Lupkynis_Proteinuria_IT-LUP-2600004 V1.0 -Reuma</v>
      </c>
      <c r="M6132" s="22" t="str">
        <f>HYPERLINK("mailto:linda.ottavo@crm.otsuka-europe.com", "linda.ottavo@crm.otsuka-europe.com")</f>
        <v>linda.ottavo@crm.otsuka-europe.com</v>
      </c>
      <c r="N6132" s="25">
        <v>46226.299178240741</v>
      </c>
      <c r="O6132" s="14" t="str">
        <f>HYPERLINK("https://otsuka-europe-crm.veevavault.com/ui/#object/email_activity__v/V8C00000004B332", "EN-002107292")</f>
        <v>EN-002107292</v>
      </c>
    </row>
    <row r="6133" spans="1:15" ht="16" x14ac:dyDescent="0.2">
      <c r="A6133" s="26"/>
      <c r="B6133" s="26"/>
      <c r="C6133" s="26"/>
      <c r="D6133" s="26"/>
      <c r="E6133" s="26"/>
      <c r="F6133" s="26"/>
      <c r="G6133" s="26"/>
      <c r="H6133" s="26"/>
      <c r="I6133" s="26"/>
      <c r="J6133" s="26"/>
      <c r="K6133" s="26"/>
      <c r="L6133" s="26"/>
      <c r="M6133" s="26"/>
      <c r="N6133" s="26"/>
      <c r="O6133" s="14" t="str">
        <f>HYPERLINK("https://otsuka-europe-crm.veevavault.com/ui/#object/email_activity__v/V8C00000004B454", "EN-002107562")</f>
        <v>EN-002107562</v>
      </c>
    </row>
    <row r="6134" spans="1:15" ht="16" x14ac:dyDescent="0.2">
      <c r="A6134" s="19"/>
      <c r="B6134" s="19"/>
      <c r="C6134" s="19"/>
      <c r="D6134" s="19"/>
      <c r="E6134" s="19"/>
      <c r="F6134" s="19"/>
      <c r="G6134" s="19"/>
      <c r="H6134" s="19"/>
      <c r="I6134" s="19"/>
      <c r="J6134" s="19"/>
      <c r="K6134" s="19"/>
      <c r="L6134" s="19"/>
      <c r="M6134" s="19"/>
      <c r="N6134" s="19"/>
      <c r="O6134" s="14" t="str">
        <f>HYPERLINK("https://otsuka-europe-crm.veevavault.com/ui/#object/email_activity__v/V8C00000004C264", "EN-002107336")</f>
        <v>EN-002107336</v>
      </c>
    </row>
    <row r="6135" spans="1:15" ht="16" x14ac:dyDescent="0.2">
      <c r="A6135" s="18" t="str">
        <f>HYPERLINK("https://otsuka-europe-crm.veevavault.com/ui/#object/account__v/V4TZ06G6O71S9JP", "MARIA GIOVANNA VARIO")</f>
        <v>MARIA GIOVANNA VARIO</v>
      </c>
      <c r="B6135" s="18" t="str">
        <f>HYPERLINK("https://otsuka-europe-crm.veevavault.com/ui/#object/vcountry__v/VENZ000004SONFQ", "IT")</f>
        <v>IT</v>
      </c>
      <c r="C6135" s="20" t="s">
        <v>42</v>
      </c>
      <c r="D6135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135" s="22" t="str">
        <f>HYPERLINK("https://otsuka-europe-crm.veevavault.com/ui/#object/sent_email__v/VBL000000039071", "SE-001444526")</f>
        <v>SE-001444526</v>
      </c>
      <c r="F6135" s="23"/>
      <c r="G6135" s="24">
        <v>0</v>
      </c>
      <c r="H6135" s="24">
        <v>0</v>
      </c>
      <c r="I6135" s="24">
        <v>0</v>
      </c>
      <c r="J6135" s="23"/>
      <c r="K6135" s="24">
        <v>0</v>
      </c>
      <c r="L6135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135" s="22" t="str">
        <f>HYPERLINK("mailto:alfredo.pisapia@crm.otsuka-europe.com", "alfredo.pisapia@crm.otsuka-europe.com")</f>
        <v>alfredo.pisapia@crm.otsuka-europe.com</v>
      </c>
      <c r="N6135" s="25">
        <v>46226.299340277779</v>
      </c>
      <c r="O6135" s="14" t="str">
        <f>HYPERLINK("https://otsuka-europe-crm.veevavault.com/ui/#object/email_activity__v/V8C00000004B419", "EN-002107433")</f>
        <v>EN-002107433</v>
      </c>
    </row>
    <row r="6136" spans="1:15" ht="16" x14ac:dyDescent="0.2">
      <c r="A6136" s="19"/>
      <c r="B6136" s="19"/>
      <c r="C6136" s="19"/>
      <c r="D6136" s="19"/>
      <c r="E6136" s="19"/>
      <c r="F6136" s="19"/>
      <c r="G6136" s="19"/>
      <c r="H6136" s="19"/>
      <c r="I6136" s="19"/>
      <c r="J6136" s="19"/>
      <c r="K6136" s="19"/>
      <c r="L6136" s="19"/>
      <c r="M6136" s="19"/>
      <c r="N6136" s="19"/>
      <c r="O6136" s="14" t="str">
        <f>HYPERLINK("https://otsuka-europe-crm.veevavault.com/ui/#object/email_activity__v/V8C00000004G590", "EN-002110779")</f>
        <v>EN-002110779</v>
      </c>
    </row>
    <row r="6137" spans="1:15" ht="16" x14ac:dyDescent="0.2">
      <c r="A6137" s="18" t="str">
        <f>HYPERLINK("https://otsuka-europe-crm.veevavault.com/ui/#object/account__v/V4TZ06G6O71S9JP", "MARIA GIOVANNA VARIO")</f>
        <v>MARIA GIOVANNA VARIO</v>
      </c>
      <c r="B6137" s="18" t="str">
        <f>HYPERLINK("https://otsuka-europe-crm.veevavault.com/ui/#object/vcountry__v/VENZ000004SONFQ", "IT")</f>
        <v>IT</v>
      </c>
      <c r="C6137" s="20" t="s">
        <v>42</v>
      </c>
      <c r="D6137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37" s="22" t="str">
        <f>HYPERLINK("https://otsuka-europe-crm.veevavault.com/ui/#object/sent_email__v/VBL000000039072", "SE-001444527")</f>
        <v>SE-001444527</v>
      </c>
      <c r="F6137" s="23"/>
      <c r="G6137" s="24">
        <v>0</v>
      </c>
      <c r="H6137" s="24">
        <v>0</v>
      </c>
      <c r="I6137" s="24">
        <v>0</v>
      </c>
      <c r="J6137" s="23"/>
      <c r="K6137" s="24">
        <v>0</v>
      </c>
      <c r="L6137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37" s="22" t="str">
        <f>HYPERLINK("mailto:alfredo.pisapia@crm.otsuka-europe.com", "alfredo.pisapia@crm.otsuka-europe.com")</f>
        <v>alfredo.pisapia@crm.otsuka-europe.com</v>
      </c>
      <c r="N6137" s="25">
        <v>46226.299259259256</v>
      </c>
      <c r="O6137" s="14" t="str">
        <f>HYPERLINK("https://otsuka-europe-crm.veevavault.com/ui/#object/email_activity__v/V8C00000004B461", "EN-002107569")</f>
        <v>EN-002107569</v>
      </c>
    </row>
    <row r="6138" spans="1:15" ht="16" x14ac:dyDescent="0.2">
      <c r="A6138" s="19"/>
      <c r="B6138" s="19"/>
      <c r="C6138" s="19"/>
      <c r="D6138" s="19"/>
      <c r="E6138" s="19"/>
      <c r="F6138" s="19"/>
      <c r="G6138" s="19"/>
      <c r="H6138" s="19"/>
      <c r="I6138" s="19"/>
      <c r="J6138" s="19"/>
      <c r="K6138" s="19"/>
      <c r="L6138" s="19"/>
      <c r="M6138" s="19"/>
      <c r="N6138" s="19"/>
      <c r="O6138" s="14" t="str">
        <f>HYPERLINK("https://otsuka-europe-crm.veevavault.com/ui/#object/email_activity__v/V8C00000004G589", "EN-002110778")</f>
        <v>EN-002110778</v>
      </c>
    </row>
    <row r="6139" spans="1:15" ht="16" x14ac:dyDescent="0.2">
      <c r="A6139" s="18" t="str">
        <f>HYPERLINK("https://otsuka-europe-crm.veevavault.com/ui/#object/account__v/V4TZ04ASGB9OKAO", "FRANCESCA ROMANA SPINELLI")</f>
        <v>FRANCESCA ROMANA SPINELLI</v>
      </c>
      <c r="B6139" s="18" t="str">
        <f>HYPERLINK("https://otsuka-europe-crm.veevavault.com/ui/#object/vcountry__v/VENZ000004SONFQ", "IT")</f>
        <v>IT</v>
      </c>
      <c r="C6139" s="20" t="s">
        <v>42</v>
      </c>
      <c r="D6139" s="21" t="str">
        <f>HYPERLINK("https://otsuka-europe-crm.veevavault.com/ui/#object/approved_document__v/V5O00000001B003", "Lupkynis_Proteinuria_IT-LUP-2600004 V1.0 -Reuma")</f>
        <v>Lupkynis_Proteinuria_IT-LUP-2600004 V1.0 -Reuma</v>
      </c>
      <c r="E6139" s="22" t="str">
        <f>HYPERLINK("https://otsuka-europe-crm.veevavault.com/ui/#object/sent_email__v/VBL000000039073", "SE-001444528")</f>
        <v>SE-001444528</v>
      </c>
      <c r="F6139" s="25">
        <v>46226.312569444446</v>
      </c>
      <c r="G6139" s="24">
        <v>1</v>
      </c>
      <c r="H6139" s="24">
        <v>1</v>
      </c>
      <c r="I6139" s="24">
        <v>0</v>
      </c>
      <c r="J6139" s="23"/>
      <c r="K6139" s="24">
        <v>0</v>
      </c>
      <c r="L6139" s="22" t="str">
        <f>HYPERLINK("https://otsuka-europe-crm.veevavault.com/ui/#object/approved_document__v/V5O00000001B003", "Lupkynis_Proteinuria_IT-LUP-2600004 V1.0 -Reuma")</f>
        <v>Lupkynis_Proteinuria_IT-LUP-2600004 V1.0 -Reuma</v>
      </c>
      <c r="M6139" s="22" t="str">
        <f>HYPERLINK("mailto:linda.ottavo@crm.otsuka-europe.com", "linda.ottavo@crm.otsuka-europe.com")</f>
        <v>linda.ottavo@crm.otsuka-europe.com</v>
      </c>
      <c r="N6139" s="25">
        <v>46226.299201388887</v>
      </c>
      <c r="O6139" s="14" t="str">
        <f>HYPERLINK("https://otsuka-europe-crm.veevavault.com/ui/#object/email_activity__v/V8C00000004B443", "EN-002107538")</f>
        <v>EN-002107538</v>
      </c>
    </row>
    <row r="6140" spans="1:15" ht="16" x14ac:dyDescent="0.2">
      <c r="A6140" s="19"/>
      <c r="B6140" s="19"/>
      <c r="C6140" s="19"/>
      <c r="D6140" s="19"/>
      <c r="E6140" s="19"/>
      <c r="F6140" s="19"/>
      <c r="G6140" s="19"/>
      <c r="H6140" s="19"/>
      <c r="I6140" s="19"/>
      <c r="J6140" s="19"/>
      <c r="K6140" s="19"/>
      <c r="L6140" s="19"/>
      <c r="M6140" s="19"/>
      <c r="N6140" s="19"/>
      <c r="O6140" s="14" t="str">
        <f>HYPERLINK("https://otsuka-europe-crm.veevavault.com/ui/#object/email_activity__v/V8C00000004C341", "EN-002107508")</f>
        <v>EN-002107508</v>
      </c>
    </row>
    <row r="6141" spans="1:15" ht="48" x14ac:dyDescent="0.2">
      <c r="A6141" s="7" t="str">
        <f>HYPERLINK("https://otsuka-europe-crm.veevavault.com/ui/#object/account__v/V4TZ06G6O71SCRY", "GIANLUIGI ZAZA")</f>
        <v>GIANLUIGI ZAZA</v>
      </c>
      <c r="B6141" s="7" t="str">
        <f>HYPERLINK("https://otsuka-europe-crm.veevavault.com/ui/#object/vcountry__v/VENZ000004SONFQ", "IT")</f>
        <v>IT</v>
      </c>
      <c r="C6141" s="8" t="s">
        <v>42</v>
      </c>
      <c r="D6141" s="9" t="str">
        <f>HYPERLINK("https://otsuka-europe-crm.veevavault.com/ui/#object/approved_document__v/V5O00000001B007", "Lupkynis_Proteinuria_IT-LUP-2600004 V1.0 - NEPHRO")</f>
        <v>Lupkynis_Proteinuria_IT-LUP-2600004 V1.0 - NEPHRO</v>
      </c>
      <c r="E6141" s="10" t="str">
        <f>HYPERLINK("https://otsuka-europe-crm.veevavault.com/ui/#object/sent_email__v/VBL000000039074", "SE-001444529")</f>
        <v>SE-001444529</v>
      </c>
      <c r="F6141" s="11"/>
      <c r="G6141" s="12">
        <v>0</v>
      </c>
      <c r="H6141" s="12">
        <v>0</v>
      </c>
      <c r="I6141" s="12">
        <v>0</v>
      </c>
      <c r="J6141" s="11"/>
      <c r="K6141" s="12">
        <v>0</v>
      </c>
      <c r="L6141" s="10" t="str">
        <f>HYPERLINK("https://otsuka-europe-crm.veevavault.com/ui/#object/approved_document__v/V5O00000001B007", "Lupkynis_Proteinuria_IT-LUP-2600004 V1.0 - NEPHRO")</f>
        <v>Lupkynis_Proteinuria_IT-LUP-2600004 V1.0 - NEPHRO</v>
      </c>
      <c r="M6141" s="10" t="str">
        <f>HYPERLINK("mailto:linda.ottavo@crm.otsuka-europe.com", "linda.ottavo@crm.otsuka-europe.com")</f>
        <v>linda.ottavo@crm.otsuka-europe.com</v>
      </c>
      <c r="N6141" s="13">
        <v>46226.299201388887</v>
      </c>
      <c r="O6141" s="14" t="str">
        <f>HYPERLINK("https://otsuka-europe-crm.veevavault.com/ui/#object/email_activity__v/V8C00000004B364", "EN-002107377")</f>
        <v>EN-002107377</v>
      </c>
    </row>
    <row r="6142" spans="1:15" ht="16" x14ac:dyDescent="0.2">
      <c r="A6142" s="18" t="str">
        <f>HYPERLINK("https://otsuka-europe-crm.veevavault.com/ui/#object/account__v/V4TZ06G6O71SATT", "LORETO GESUALDO")</f>
        <v>LORETO GESUALDO</v>
      </c>
      <c r="B6142" s="18" t="str">
        <f>HYPERLINK("https://otsuka-europe-crm.veevavault.com/ui/#object/vcountry__v/VENZ000004SONFQ", "IT")</f>
        <v>IT</v>
      </c>
      <c r="C6142" s="20" t="s">
        <v>42</v>
      </c>
      <c r="D6142" s="21" t="str">
        <f>HYPERLINK("https://otsuka-europe-crm.veevavault.com/ui/#object/approved_document__v/V5O00000001A024", "Lupkynis - rischio - IT-LUP-2600002 v1.0 -  NEPHRO")</f>
        <v>Lupkynis - rischio - IT-LUP-2600002 v1.0 -  NEPHRO</v>
      </c>
      <c r="E6142" s="22" t="str">
        <f>HYPERLINK("https://otsuka-europe-crm.veevavault.com/ui/#object/sent_email__v/VBL000000039075", "SE-001444530")</f>
        <v>SE-001444530</v>
      </c>
      <c r="F6142" s="23"/>
      <c r="G6142" s="24">
        <v>0</v>
      </c>
      <c r="H6142" s="24">
        <v>0</v>
      </c>
      <c r="I6142" s="24">
        <v>0</v>
      </c>
      <c r="J6142" s="23"/>
      <c r="K6142" s="24">
        <v>0</v>
      </c>
      <c r="L6142" s="22" t="str">
        <f>HYPERLINK("https://otsuka-europe-crm.veevavault.com/ui/#object/approved_document__v/V5O00000001A024", "Lupkynis - rischio - IT-LUP-2600002 v1.0 -  NEPHRO")</f>
        <v>Lupkynis - rischio - IT-LUP-2600002 v1.0 -  NEPHRO</v>
      </c>
      <c r="M6142" s="22" t="str">
        <f>HYPERLINK("mailto:alfredo.pisapia@crm.otsuka-europe.com", "alfredo.pisapia@crm.otsuka-europe.com")</f>
        <v>alfredo.pisapia@crm.otsuka-europe.com</v>
      </c>
      <c r="N6142" s="25">
        <v>46226.299340277779</v>
      </c>
      <c r="O6142" s="14" t="str">
        <f>HYPERLINK("https://otsuka-europe-crm.veevavault.com/ui/#object/email_activity__v/V8C00000004B490", "EN-002107601")</f>
        <v>EN-002107601</v>
      </c>
    </row>
    <row r="6143" spans="1:15" ht="16" x14ac:dyDescent="0.2">
      <c r="A6143" s="19"/>
      <c r="B6143" s="19"/>
      <c r="C6143" s="19"/>
      <c r="D6143" s="19"/>
      <c r="E6143" s="19"/>
      <c r="F6143" s="19"/>
      <c r="G6143" s="19"/>
      <c r="H6143" s="19"/>
      <c r="I6143" s="19"/>
      <c r="J6143" s="19"/>
      <c r="K6143" s="19"/>
      <c r="L6143" s="19"/>
      <c r="M6143" s="19"/>
      <c r="N6143" s="19"/>
      <c r="O6143" s="14" t="str">
        <f>HYPERLINK("https://otsuka-europe-crm.veevavault.com/ui/#object/email_activity__v/V8C00000004C577", "EN-002108087")</f>
        <v>EN-002108087</v>
      </c>
    </row>
    <row r="6144" spans="1:15" ht="16" x14ac:dyDescent="0.2">
      <c r="A6144" s="18" t="str">
        <f>HYPERLINK("https://otsuka-europe-crm.veevavault.com/ui/#object/account__v/V4TZ06G6O71SATT", "LORETO GESUALDO")</f>
        <v>LORETO GESUALDO</v>
      </c>
      <c r="B6144" s="18" t="str">
        <f>HYPERLINK("https://otsuka-europe-crm.veevavault.com/ui/#object/vcountry__v/VENZ000004SONFQ", "IT")</f>
        <v>IT</v>
      </c>
      <c r="C6144" s="20" t="s">
        <v>42</v>
      </c>
      <c r="D6144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6144" s="22" t="str">
        <f>HYPERLINK("https://otsuka-europe-crm.veevavault.com/ui/#object/sent_email__v/VBL000000039076", "SE-001444531")</f>
        <v>SE-001444531</v>
      </c>
      <c r="F6144" s="23"/>
      <c r="G6144" s="24">
        <v>0</v>
      </c>
      <c r="H6144" s="24">
        <v>0</v>
      </c>
      <c r="I6144" s="24">
        <v>0</v>
      </c>
      <c r="J6144" s="23"/>
      <c r="K6144" s="24">
        <v>0</v>
      </c>
      <c r="L6144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6144" s="22" t="str">
        <f>HYPERLINK("mailto:alfredo.pisapia@crm.otsuka-europe.com", "alfredo.pisapia@crm.otsuka-europe.com")</f>
        <v>alfredo.pisapia@crm.otsuka-europe.com</v>
      </c>
      <c r="N6144" s="25">
        <v>46226.299259259256</v>
      </c>
      <c r="O6144" s="14" t="str">
        <f>HYPERLINK("https://otsuka-europe-crm.veevavault.com/ui/#object/email_activity__v/V8C00000004B491", "EN-002107602")</f>
        <v>EN-002107602</v>
      </c>
    </row>
    <row r="6145" spans="1:15" ht="16" x14ac:dyDescent="0.2">
      <c r="A6145" s="19"/>
      <c r="B6145" s="19"/>
      <c r="C6145" s="19"/>
      <c r="D6145" s="19"/>
      <c r="E6145" s="19"/>
      <c r="F6145" s="19"/>
      <c r="G6145" s="19"/>
      <c r="H6145" s="19"/>
      <c r="I6145" s="19"/>
      <c r="J6145" s="19"/>
      <c r="K6145" s="19"/>
      <c r="L6145" s="19"/>
      <c r="M6145" s="19"/>
      <c r="N6145" s="19"/>
      <c r="O6145" s="14" t="str">
        <f>HYPERLINK("https://otsuka-europe-crm.veevavault.com/ui/#object/email_activity__v/V8C00000004C569", "EN-002108079")</f>
        <v>EN-002108079</v>
      </c>
    </row>
    <row r="6146" spans="1:15" ht="16" x14ac:dyDescent="0.2">
      <c r="A6146" s="18" t="str">
        <f>HYPERLINK("https://otsuka-europe-crm.veevavault.com/ui/#object/account__v/V4TZ04ASGC4LRBX", "ANGELO VACCA")</f>
        <v>ANGELO VACCA</v>
      </c>
      <c r="B6146" s="18" t="str">
        <f>HYPERLINK("https://otsuka-europe-crm.veevavault.com/ui/#object/vcountry__v/VENZ000004SONFQ", "IT")</f>
        <v>IT</v>
      </c>
      <c r="C6146" s="20" t="s">
        <v>42</v>
      </c>
      <c r="D6146" s="21" t="str">
        <f>HYPERLINK("https://otsuka-europe-crm.veevavault.com/ui/#object/approved_document__v/V5O00000001A028", "Lupkynis - rischio - IT-LUP-2600002 v1.0 - IMMUNO")</f>
        <v>Lupkynis - rischio - IT-LUP-2600002 v1.0 - IMMUNO</v>
      </c>
      <c r="E6146" s="22" t="str">
        <f>HYPERLINK("https://otsuka-europe-crm.veevavault.com/ui/#object/sent_email__v/VBL000000039077", "SE-001444532")</f>
        <v>SE-001444532</v>
      </c>
      <c r="F6146" s="23"/>
      <c r="G6146" s="24">
        <v>0</v>
      </c>
      <c r="H6146" s="24">
        <v>0</v>
      </c>
      <c r="I6146" s="24">
        <v>0</v>
      </c>
      <c r="J6146" s="23"/>
      <c r="K6146" s="24">
        <v>0</v>
      </c>
      <c r="L6146" s="22" t="str">
        <f>HYPERLINK("https://otsuka-europe-crm.veevavault.com/ui/#object/approved_document__v/V5O00000001A028", "Lupkynis - rischio - IT-LUP-2600002 v1.0 - IMMUNO")</f>
        <v>Lupkynis - rischio - IT-LUP-2600002 v1.0 - IMMUNO</v>
      </c>
      <c r="M6146" s="22" t="str">
        <f>HYPERLINK("mailto:alfredo.pisapia@crm.otsuka-europe.com", "alfredo.pisapia@crm.otsuka-europe.com")</f>
        <v>alfredo.pisapia@crm.otsuka-europe.com</v>
      </c>
      <c r="N6146" s="25">
        <v>46226.299201388887</v>
      </c>
      <c r="O6146" s="14" t="str">
        <f>HYPERLINK("https://otsuka-europe-crm.veevavault.com/ui/#object/email_activity__v/V8C00000004B403", "EN-002107417")</f>
        <v>EN-002107417</v>
      </c>
    </row>
    <row r="6147" spans="1:15" ht="16" x14ac:dyDescent="0.2">
      <c r="A6147" s="19"/>
      <c r="B6147" s="19"/>
      <c r="C6147" s="19"/>
      <c r="D6147" s="19"/>
      <c r="E6147" s="19"/>
      <c r="F6147" s="19"/>
      <c r="G6147" s="19"/>
      <c r="H6147" s="19"/>
      <c r="I6147" s="19"/>
      <c r="J6147" s="19"/>
      <c r="K6147" s="19"/>
      <c r="L6147" s="19"/>
      <c r="M6147" s="19"/>
      <c r="N6147" s="19"/>
      <c r="O6147" s="14" t="str">
        <f>HYPERLINK("https://otsuka-europe-crm.veevavault.com/ui/#object/email_activity__v/V8C00000004E287", "EN-002108931")</f>
        <v>EN-002108931</v>
      </c>
    </row>
    <row r="6148" spans="1:15" ht="16" x14ac:dyDescent="0.2">
      <c r="A6148" s="18" t="str">
        <f>HYPERLINK("https://otsuka-europe-crm.veevavault.com/ui/#object/account__v/V4TZ04ASGC4LRBX", "ANGELO VACCA")</f>
        <v>ANGELO VACCA</v>
      </c>
      <c r="B6148" s="18" t="str">
        <f>HYPERLINK("https://otsuka-europe-crm.veevavault.com/ui/#object/vcountry__v/VENZ000004SONFQ", "IT")</f>
        <v>IT</v>
      </c>
      <c r="C6148" s="20" t="s">
        <v>42</v>
      </c>
      <c r="D6148" s="21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6148" s="22" t="str">
        <f>HYPERLINK("https://otsuka-europe-crm.veevavault.com/ui/#object/sent_email__v/VBL000000039078", "SE-001444533")</f>
        <v>SE-001444533</v>
      </c>
      <c r="F6148" s="23"/>
      <c r="G6148" s="24">
        <v>0</v>
      </c>
      <c r="H6148" s="24">
        <v>0</v>
      </c>
      <c r="I6148" s="24">
        <v>0</v>
      </c>
      <c r="J6148" s="23"/>
      <c r="K6148" s="24">
        <v>0</v>
      </c>
      <c r="L6148" s="22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6148" s="22" t="str">
        <f>HYPERLINK("mailto:alfredo.pisapia@crm.otsuka-europe.com", "alfredo.pisapia@crm.otsuka-europe.com")</f>
        <v>alfredo.pisapia@crm.otsuka-europe.com</v>
      </c>
      <c r="N6148" s="25">
        <v>46226.299212962964</v>
      </c>
      <c r="O6148" s="14" t="str">
        <f>HYPERLINK("https://otsuka-europe-crm.veevavault.com/ui/#object/email_activity__v/V8C00000004B492", "EN-002107603")</f>
        <v>EN-002107603</v>
      </c>
    </row>
    <row r="6149" spans="1:15" ht="16" x14ac:dyDescent="0.2">
      <c r="A6149" s="26"/>
      <c r="B6149" s="26"/>
      <c r="C6149" s="26"/>
      <c r="D6149" s="26"/>
      <c r="E6149" s="26"/>
      <c r="F6149" s="26"/>
      <c r="G6149" s="26"/>
      <c r="H6149" s="26"/>
      <c r="I6149" s="26"/>
      <c r="J6149" s="26"/>
      <c r="K6149" s="26"/>
      <c r="L6149" s="26"/>
      <c r="M6149" s="26"/>
      <c r="N6149" s="26"/>
      <c r="O6149" s="14" t="str">
        <f>HYPERLINK("https://otsuka-europe-crm.veevavault.com/ui/#object/email_activity__v/V8C00000004B679", "EN-002107806")</f>
        <v>EN-002107806</v>
      </c>
    </row>
    <row r="6150" spans="1:15" ht="16" x14ac:dyDescent="0.2">
      <c r="A6150" s="19"/>
      <c r="B6150" s="19"/>
      <c r="C6150" s="19"/>
      <c r="D6150" s="19"/>
      <c r="E6150" s="19"/>
      <c r="F6150" s="19"/>
      <c r="G6150" s="19"/>
      <c r="H6150" s="19"/>
      <c r="I6150" s="19"/>
      <c r="J6150" s="19"/>
      <c r="K6150" s="19"/>
      <c r="L6150" s="19"/>
      <c r="M6150" s="19"/>
      <c r="N6150" s="19"/>
      <c r="O6150" s="14" t="str">
        <f>HYPERLINK("https://otsuka-europe-crm.veevavault.com/ui/#object/email_activity__v/V8C00000004E288", "EN-002108932")</f>
        <v>EN-002108932</v>
      </c>
    </row>
    <row r="6151" spans="1:15" ht="32" x14ac:dyDescent="0.2">
      <c r="A6151" s="7" t="str">
        <f>HYPERLINK("https://otsuka-europe-crm.veevavault.com/ui/#object/account__v/V4T00000002G050", "GINEVRA TRAVERSO")</f>
        <v>GINEVRA TRAVERSO</v>
      </c>
      <c r="B6151" s="7" t="str">
        <f>HYPERLINK("https://otsuka-europe-crm.veevavault.com/ui/#object/vcountry__v/VENZ000004SONFQ", "IT")</f>
        <v>IT</v>
      </c>
      <c r="C6151" s="8" t="s">
        <v>42</v>
      </c>
      <c r="D6151" s="9" t="str">
        <f>HYPERLINK("https://otsuka-europe-crm.veevavault.com/ui/#object/approved_document__v/V5OZ06G6O6RG2EU", "IT Veeva Double Opt-In Market Med+Sci")</f>
        <v>IT Veeva Double Opt-In Market Med+Sci</v>
      </c>
      <c r="E6151" s="10" t="str">
        <f>HYPERLINK("https://otsuka-europe-crm.veevavault.com/ui/#object/sent_email__v/VBL00000003A218", "SE-001444534")</f>
        <v>SE-001444534</v>
      </c>
      <c r="F6151" s="11"/>
      <c r="G6151" s="12">
        <v>0</v>
      </c>
      <c r="H6151" s="12">
        <v>0</v>
      </c>
      <c r="I6151" s="12">
        <v>0</v>
      </c>
      <c r="J6151" s="11"/>
      <c r="K6151" s="12">
        <v>0</v>
      </c>
      <c r="L6151" s="10" t="str">
        <f>HYPERLINK("https://otsuka-europe-crm.veevavault.com/ui/#object/approved_document__v/V5OZ06G6O6RG2EU", "IT Veeva Double Opt-In Market Med+Sci")</f>
        <v>IT Veeva Double Opt-In Market Med+Sci</v>
      </c>
      <c r="M6151" s="10" t="str">
        <f>HYPERLINK("mailto:valerio.iannarilli@crm.otsuka-europe.com", "valerio.iannarilli@crm.otsuka-europe.com")</f>
        <v>valerio.iannarilli@crm.otsuka-europe.com</v>
      </c>
      <c r="N6151" s="13">
        <v>46226.299131944441</v>
      </c>
      <c r="O6151" s="14" t="str">
        <f>HYPERLINK("https://otsuka-europe-crm.veevavault.com/ui/#object/email_activity__v/V8C00000004B467", "EN-002107575")</f>
        <v>EN-002107575</v>
      </c>
    </row>
    <row r="6152" spans="1:15" ht="16" x14ac:dyDescent="0.2">
      <c r="A6152" s="18" t="str">
        <f>HYPERLINK("https://otsuka-europe-crm.veevavault.com/ui/#object/account__v/V4T00000002G050", "GINEVRA TRAVERSO")</f>
        <v>GINEVRA TRAVERSO</v>
      </c>
      <c r="B6152" s="18" t="str">
        <f>HYPERLINK("https://otsuka-europe-crm.veevavault.com/ui/#object/vcountry__v/VENZ000004SONFQ", "IT")</f>
        <v>IT</v>
      </c>
      <c r="C6152" s="20" t="s">
        <v>42</v>
      </c>
      <c r="D6152" s="21" t="str">
        <f>HYPERLINK("https://otsuka-europe-crm.veevavault.com/ui/#object/approved_document__v/V5OZ06G6O6RG2EW", "IT Veeva Double Opt-In Market Research")</f>
        <v>IT Veeva Double Opt-In Market Research</v>
      </c>
      <c r="E6152" s="22" t="str">
        <f>HYPERLINK("https://otsuka-europe-crm.veevavault.com/ui/#object/sent_email__v/VBL00000003A219", "SE-001444535")</f>
        <v>SE-001444535</v>
      </c>
      <c r="F6152" s="23"/>
      <c r="G6152" s="24">
        <v>0</v>
      </c>
      <c r="H6152" s="24">
        <v>0</v>
      </c>
      <c r="I6152" s="24">
        <v>0</v>
      </c>
      <c r="J6152" s="23"/>
      <c r="K6152" s="24">
        <v>0</v>
      </c>
      <c r="L6152" s="22" t="str">
        <f>HYPERLINK("https://otsuka-europe-crm.veevavault.com/ui/#object/approved_document__v/V5OZ06G6O6RG2EW", "IT Veeva Double Opt-In Market Research")</f>
        <v>IT Veeva Double Opt-In Market Research</v>
      </c>
      <c r="M6152" s="22" t="str">
        <f>HYPERLINK("mailto:valerio.iannarilli@crm.otsuka-europe.com", "valerio.iannarilli@crm.otsuka-europe.com")</f>
        <v>valerio.iannarilli@crm.otsuka-europe.com</v>
      </c>
      <c r="N6152" s="25">
        <v>46226.299131944441</v>
      </c>
      <c r="O6152" s="14" t="str">
        <f>HYPERLINK("https://otsuka-europe-crm.veevavault.com/ui/#object/email_activity__v/V8C00000004B587", "EN-002107698")</f>
        <v>EN-002107698</v>
      </c>
    </row>
    <row r="6153" spans="1:15" ht="16" x14ac:dyDescent="0.2">
      <c r="A6153" s="19"/>
      <c r="B6153" s="19"/>
      <c r="C6153" s="19"/>
      <c r="D6153" s="19"/>
      <c r="E6153" s="19"/>
      <c r="F6153" s="19"/>
      <c r="G6153" s="19"/>
      <c r="H6153" s="19"/>
      <c r="I6153" s="19"/>
      <c r="J6153" s="19"/>
      <c r="K6153" s="19"/>
      <c r="L6153" s="19"/>
      <c r="M6153" s="19"/>
      <c r="N6153" s="19"/>
      <c r="O6153" s="14" t="str">
        <f>HYPERLINK("https://otsuka-europe-crm.veevavault.com/ui/#object/email_activity__v/V8C00000004C417", "EN-002107858")</f>
        <v>EN-002107858</v>
      </c>
    </row>
    <row r="6154" spans="1:15" ht="16" x14ac:dyDescent="0.2">
      <c r="A6154" s="18" t="str">
        <f>HYPERLINK("https://otsuka-europe-crm.veevavault.com/ui/#object/account__v/V4T00000002G050", "GINEVRA TRAVERSO")</f>
        <v>GINEVRA TRAVERSO</v>
      </c>
      <c r="B6154" s="18" t="str">
        <f>HYPERLINK("https://otsuka-europe-crm.veevavault.com/ui/#object/vcountry__v/VENZ000004SONFQ", "IT")</f>
        <v>IT</v>
      </c>
      <c r="C6154" s="20" t="s">
        <v>42</v>
      </c>
      <c r="D6154" s="21" t="str">
        <f>HYPERLINK("https://otsuka-europe-crm.veevavault.com/ui/#object/approved_document__v/V5OZ06G6O6RG2EY", "IT Veeva Double Opt-In Professional Profiling")</f>
        <v>IT Veeva Double Opt-In Professional Profiling</v>
      </c>
      <c r="E6154" s="22" t="str">
        <f>HYPERLINK("https://otsuka-europe-crm.veevavault.com/ui/#object/sent_email__v/VBL00000003A220", "SE-001444536")</f>
        <v>SE-001444536</v>
      </c>
      <c r="F6154" s="23"/>
      <c r="G6154" s="24">
        <v>0</v>
      </c>
      <c r="H6154" s="24">
        <v>0</v>
      </c>
      <c r="I6154" s="24">
        <v>0</v>
      </c>
      <c r="J6154" s="23"/>
      <c r="K6154" s="24">
        <v>0</v>
      </c>
      <c r="L6154" s="22" t="str">
        <f>HYPERLINK("https://otsuka-europe-crm.veevavault.com/ui/#object/approved_document__v/V5OZ06G6O6RG2EY", "IT Veeva Double Opt-In Professional Profiling")</f>
        <v>IT Veeva Double Opt-In Professional Profiling</v>
      </c>
      <c r="M6154" s="22" t="str">
        <f>HYPERLINK("mailto:valerio.iannarilli@crm.otsuka-europe.com", "valerio.iannarilli@crm.otsuka-europe.com")</f>
        <v>valerio.iannarilli@crm.otsuka-europe.com</v>
      </c>
      <c r="N6154" s="25">
        <v>46226.299120370371</v>
      </c>
      <c r="O6154" s="14" t="str">
        <f>HYPERLINK("https://otsuka-europe-crm.veevavault.com/ui/#object/email_activity__v/V8C00000004B588", "EN-002107699")</f>
        <v>EN-002107699</v>
      </c>
    </row>
    <row r="6155" spans="1:15" ht="16" x14ac:dyDescent="0.2">
      <c r="A6155" s="19"/>
      <c r="B6155" s="19"/>
      <c r="C6155" s="19"/>
      <c r="D6155" s="19"/>
      <c r="E6155" s="19"/>
      <c r="F6155" s="19"/>
      <c r="G6155" s="19"/>
      <c r="H6155" s="19"/>
      <c r="I6155" s="19"/>
      <c r="J6155" s="19"/>
      <c r="K6155" s="19"/>
      <c r="L6155" s="19"/>
      <c r="M6155" s="19"/>
      <c r="N6155" s="19"/>
      <c r="O6155" s="14" t="str">
        <f>HYPERLINK("https://otsuka-europe-crm.veevavault.com/ui/#object/email_activity__v/V8C00000004C418", "EN-002107859")</f>
        <v>EN-002107859</v>
      </c>
    </row>
    <row r="6156" spans="1:15" ht="32" x14ac:dyDescent="0.2">
      <c r="A6156" s="7" t="str">
        <f>HYPERLINK("https://otsuka-europe-crm.veevavault.com/ui/#object/account__v/V4T00000002G050", "GINEVRA TRAVERSO")</f>
        <v>GINEVRA TRAVERSO</v>
      </c>
      <c r="B6156" s="7" t="str">
        <f>HYPERLINK("https://otsuka-europe-crm.veevavault.com/ui/#object/vcountry__v/VENZ000004SONFQ", "IT")</f>
        <v>IT</v>
      </c>
      <c r="C6156" s="8" t="s">
        <v>42</v>
      </c>
      <c r="D6156" s="9" t="str">
        <f>HYPERLINK("https://otsuka-europe-crm.veevavault.com/ui/#object/approved_document__v/V5OZ06G6O6RG2ES", "IT Veeva Double Opt-In Remote Meetings")</f>
        <v>IT Veeva Double Opt-In Remote Meetings</v>
      </c>
      <c r="E6156" s="10" t="str">
        <f>HYPERLINK("https://otsuka-europe-crm.veevavault.com/ui/#object/sent_email__v/VBL00000003A221", "SE-001444537")</f>
        <v>SE-001444537</v>
      </c>
      <c r="F6156" s="11"/>
      <c r="G6156" s="12">
        <v>0</v>
      </c>
      <c r="H6156" s="12">
        <v>0</v>
      </c>
      <c r="I6156" s="12">
        <v>0</v>
      </c>
      <c r="J6156" s="11"/>
      <c r="K6156" s="12">
        <v>0</v>
      </c>
      <c r="L6156" s="10" t="str">
        <f>HYPERLINK("https://otsuka-europe-crm.veevavault.com/ui/#object/approved_document__v/V5OZ06G6O6RG2ES", "IT Veeva Double Opt-In Remote Meetings")</f>
        <v>IT Veeva Double Opt-In Remote Meetings</v>
      </c>
      <c r="M6156" s="10" t="str">
        <f>HYPERLINK("mailto:valerio.iannarilli@crm.otsuka-europe.com", "valerio.iannarilli@crm.otsuka-europe.com")</f>
        <v>valerio.iannarilli@crm.otsuka-europe.com</v>
      </c>
      <c r="N6156" s="13">
        <v>46226.299143518518</v>
      </c>
      <c r="O6156" s="14" t="str">
        <f>HYPERLINK("https://otsuka-europe-crm.veevavault.com/ui/#object/email_activity__v/V8C00000004C286", "EN-002107451")</f>
        <v>EN-002107451</v>
      </c>
    </row>
    <row r="6157" spans="1:15" ht="16" x14ac:dyDescent="0.2">
      <c r="A6157" s="18" t="str">
        <f>HYPERLINK("https://otsuka-europe-crm.veevavault.com/ui/#object/account__v/V4TZ025E831YQBJ", "CARLO PERRICONE")</f>
        <v>CARLO PERRICONE</v>
      </c>
      <c r="B6157" s="18" t="str">
        <f>HYPERLINK("https://otsuka-europe-crm.veevavault.com/ui/#object/vcountry__v/VENZ000004SONFQ", "IT")</f>
        <v>IT</v>
      </c>
      <c r="C6157" s="20" t="s">
        <v>42</v>
      </c>
      <c r="D6157" s="21" t="str">
        <f>HYPERLINK("https://otsuka-europe-crm.veevavault.com/ui/#object/approved_document__v/V5OZ025E82RRA5M", "AURORA 2 - AE RHEUMA")</f>
        <v>AURORA 2 - AE RHEUMA</v>
      </c>
      <c r="E6157" s="22" t="str">
        <f>HYPERLINK("https://otsuka-europe-crm.veevavault.com/ui/#object/sent_email__v/VBL00000003A222", "SE-001444538")</f>
        <v>SE-001444538</v>
      </c>
      <c r="F6157" s="23"/>
      <c r="G6157" s="24">
        <v>0</v>
      </c>
      <c r="H6157" s="24">
        <v>0</v>
      </c>
      <c r="I6157" s="24">
        <v>0</v>
      </c>
      <c r="J6157" s="23"/>
      <c r="K6157" s="24">
        <v>0</v>
      </c>
      <c r="L6157" s="22" t="str">
        <f>HYPERLINK("https://otsuka-europe-crm.veevavault.com/ui/#object/approved_document__v/V5OZ025E82RRA5M", "AURORA 2 - AE RHEUMA")</f>
        <v>AURORA 2 - AE RHEUMA</v>
      </c>
      <c r="M6157" s="22" t="str">
        <f>HYPERLINK("mailto:matteo.digennaro@crm.otsuka-europe.com", "matteo.digennaro@crm.otsuka-europe.com")</f>
        <v>matteo.digennaro@crm.otsuka-europe.com</v>
      </c>
      <c r="N6157" s="25">
        <v>46226.299259259256</v>
      </c>
      <c r="O6157" s="14" t="str">
        <f>HYPERLINK("https://otsuka-europe-crm.veevavault.com/ui/#object/email_activity__v/V8C00000004B589", "EN-002107700")</f>
        <v>EN-002107700</v>
      </c>
    </row>
    <row r="6158" spans="1:15" ht="16" x14ac:dyDescent="0.2">
      <c r="A6158" s="19"/>
      <c r="B6158" s="19"/>
      <c r="C6158" s="19"/>
      <c r="D6158" s="19"/>
      <c r="E6158" s="19"/>
      <c r="F6158" s="19"/>
      <c r="G6158" s="19"/>
      <c r="H6158" s="19"/>
      <c r="I6158" s="19"/>
      <c r="J6158" s="19"/>
      <c r="K6158" s="19"/>
      <c r="L6158" s="19"/>
      <c r="M6158" s="19"/>
      <c r="N6158" s="19"/>
      <c r="O6158" s="14" t="str">
        <f>HYPERLINK("https://otsuka-europe-crm.veevavault.com/ui/#object/email_activity__v/V8C00000004B689", "EN-002107816")</f>
        <v>EN-002107816</v>
      </c>
    </row>
    <row r="6159" spans="1:15" ht="32" x14ac:dyDescent="0.2">
      <c r="A6159" s="7" t="str">
        <f>HYPERLINK("https://otsuka-europe-crm.veevavault.com/ui/#object/account__v/V4TZ025E831YQBJ", "CARLO PERRICONE")</f>
        <v>CARLO PERRICONE</v>
      </c>
      <c r="B6159" s="7" t="str">
        <f>HYPERLINK("https://otsuka-europe-crm.veevavault.com/ui/#object/vcountry__v/VENZ000004SONFQ", "IT")</f>
        <v>IT</v>
      </c>
      <c r="C6159" s="8" t="s">
        <v>42</v>
      </c>
      <c r="D6159" s="9" t="str">
        <f>HYPERLINK("https://otsuka-europe-crm.veevavault.com/ui/#object/approved_document__v/V5OZ025E82RR47W", "AE Propensity Analysis- IT-LUP-2500004 Reuma")</f>
        <v>AE Propensity Analysis- IT-LUP-2500004 Reuma</v>
      </c>
      <c r="E6159" s="10" t="str">
        <f>HYPERLINK("https://otsuka-europe-crm.veevavault.com/ui/#object/sent_email__v/VBL000000039079", "SE-001444539")</f>
        <v>SE-001444539</v>
      </c>
      <c r="F6159" s="11"/>
      <c r="G6159" s="12">
        <v>0</v>
      </c>
      <c r="H6159" s="12">
        <v>0</v>
      </c>
      <c r="I6159" s="12">
        <v>0</v>
      </c>
      <c r="J6159" s="11"/>
      <c r="K6159" s="12">
        <v>0</v>
      </c>
      <c r="L6159" s="10" t="str">
        <f>HYPERLINK("https://otsuka-europe-crm.veevavault.com/ui/#object/approved_document__v/V5OZ025E82RR47W", "AE Propensity Analysis- IT-LUP-2500004 Reuma")</f>
        <v>AE Propensity Analysis- IT-LUP-2500004 Reuma</v>
      </c>
      <c r="M6159" s="10" t="str">
        <f>HYPERLINK("mailto:matteo.digennaro@crm.otsuka-europe.com", "matteo.digennaro@crm.otsuka-europe.com")</f>
        <v>matteo.digennaro@crm.otsuka-europe.com</v>
      </c>
      <c r="N6159" s="13">
        <v>46226.29923611111</v>
      </c>
      <c r="O6159" s="14" t="str">
        <f>HYPERLINK("https://otsuka-europe-crm.veevavault.com/ui/#object/email_activity__v/V8C00000004B394", "EN-002107408")</f>
        <v>EN-002107408</v>
      </c>
    </row>
    <row r="6160" spans="1:15" ht="16" x14ac:dyDescent="0.2">
      <c r="A6160" s="18" t="str">
        <f>HYPERLINK("https://otsuka-europe-crm.veevavault.com/ui/#object/account__v/V4TZ025E831YQBJ", "CARLO PERRICONE")</f>
        <v>CARLO PERRICONE</v>
      </c>
      <c r="B6160" s="18" t="str">
        <f>HYPERLINK("https://otsuka-europe-crm.veevavault.com/ui/#object/vcountry__v/VENZ000004SONFQ", "IT")</f>
        <v>IT</v>
      </c>
      <c r="C6160" s="20" t="s">
        <v>42</v>
      </c>
      <c r="D6160" s="21" t="str">
        <f>HYPERLINK("https://otsuka-europe-crm.veevavault.com/ui/#object/approved_document__v/V5OZ025E82RR47U", "AE Focus pz prevalenti- IT-LUP-2500005 Reuma")</f>
        <v>AE Focus pz prevalenti- IT-LUP-2500005 Reuma</v>
      </c>
      <c r="E6160" s="22" t="str">
        <f>HYPERLINK("https://otsuka-europe-crm.veevavault.com/ui/#object/sent_email__v/VBL000000039080", "SE-001444540")</f>
        <v>SE-001444540</v>
      </c>
      <c r="F6160" s="23"/>
      <c r="G6160" s="24">
        <v>0</v>
      </c>
      <c r="H6160" s="24">
        <v>0</v>
      </c>
      <c r="I6160" s="24">
        <v>0</v>
      </c>
      <c r="J6160" s="23"/>
      <c r="K6160" s="24">
        <v>0</v>
      </c>
      <c r="L6160" s="22" t="str">
        <f>HYPERLINK("https://otsuka-europe-crm.veevavault.com/ui/#object/approved_document__v/V5OZ025E82RR47U", "AE Focus pz prevalenti- IT-LUP-2500005 Reuma")</f>
        <v>AE Focus pz prevalenti- IT-LUP-2500005 Reuma</v>
      </c>
      <c r="M6160" s="22" t="str">
        <f>HYPERLINK("mailto:matteo.digennaro@crm.otsuka-europe.com", "matteo.digennaro@crm.otsuka-europe.com")</f>
        <v>matteo.digennaro@crm.otsuka-europe.com</v>
      </c>
      <c r="N6160" s="25">
        <v>46226.299201388887</v>
      </c>
      <c r="O6160" s="14" t="str">
        <f>HYPERLINK("https://otsuka-europe-crm.veevavault.com/ui/#object/email_activity__v/V8C00000004B493", "EN-002107604")</f>
        <v>EN-002107604</v>
      </c>
    </row>
    <row r="6161" spans="1:15" ht="16" x14ac:dyDescent="0.2">
      <c r="A6161" s="19"/>
      <c r="B6161" s="19"/>
      <c r="C6161" s="19"/>
      <c r="D6161" s="19"/>
      <c r="E6161" s="19"/>
      <c r="F6161" s="19"/>
      <c r="G6161" s="19"/>
      <c r="H6161" s="19"/>
      <c r="I6161" s="19"/>
      <c r="J6161" s="19"/>
      <c r="K6161" s="19"/>
      <c r="L6161" s="19"/>
      <c r="M6161" s="19"/>
      <c r="N6161" s="19"/>
      <c r="O6161" s="14" t="str">
        <f>HYPERLINK("https://otsuka-europe-crm.veevavault.com/ui/#object/email_activity__v/V8C00000004B792", "EN-002108100")</f>
        <v>EN-002108100</v>
      </c>
    </row>
    <row r="6162" spans="1:15" ht="32" x14ac:dyDescent="0.2">
      <c r="A6162" s="7" t="str">
        <f>HYPERLINK("https://otsuka-europe-crm.veevavault.com/ui/#object/account__v/V4TZ025E831YQBJ", "CARLO PERRICONE")</f>
        <v>CARLO PERRICONE</v>
      </c>
      <c r="B6162" s="7" t="str">
        <f>HYPERLINK("https://otsuka-europe-crm.veevavault.com/ui/#object/vcountry__v/VENZ000004SONFQ", "IT")</f>
        <v>IT</v>
      </c>
      <c r="C6162" s="8" t="s">
        <v>42</v>
      </c>
      <c r="D6162" s="9" t="str">
        <f>HYPERLINK("https://otsuka-europe-crm.veevavault.com/ui/#object/approved_document__v/V5OZ025E82RR47L", "RTE Proteinuria C1 - IT-LUP-2500006 - Reuma")</f>
        <v>RTE Proteinuria C1 - IT-LUP-2500006 - Reuma</v>
      </c>
      <c r="E6162" s="10" t="str">
        <f>HYPERLINK("https://otsuka-europe-crm.veevavault.com/ui/#object/sent_email__v/VBL000000039081", "SE-001444541")</f>
        <v>SE-001444541</v>
      </c>
      <c r="F6162" s="11"/>
      <c r="G6162" s="12">
        <v>0</v>
      </c>
      <c r="H6162" s="12">
        <v>0</v>
      </c>
      <c r="I6162" s="12">
        <v>0</v>
      </c>
      <c r="J6162" s="11"/>
      <c r="K6162" s="12">
        <v>0</v>
      </c>
      <c r="L6162" s="10" t="str">
        <f>HYPERLINK("https://otsuka-europe-crm.veevavault.com/ui/#object/approved_document__v/V5OZ025E82RR47L", "RTE Proteinuria C1 - IT-LUP-2500006 - Reuma")</f>
        <v>RTE Proteinuria C1 - IT-LUP-2500006 - Reuma</v>
      </c>
      <c r="M6162" s="10" t="str">
        <f>HYPERLINK("mailto:matteo.digennaro@crm.otsuka-europe.com", "matteo.digennaro@crm.otsuka-europe.com")</f>
        <v>matteo.digennaro@crm.otsuka-europe.com</v>
      </c>
      <c r="N6162" s="13">
        <v>46226.29928240741</v>
      </c>
      <c r="O6162" s="14" t="str">
        <f>HYPERLINK("https://otsuka-europe-crm.veevavault.com/ui/#object/email_activity__v/V8C00000004B465", "EN-002107573")</f>
        <v>EN-002107573</v>
      </c>
    </row>
    <row r="6163" spans="1:15" ht="48" x14ac:dyDescent="0.2">
      <c r="A6163" s="7" t="str">
        <f>HYPERLINK("https://otsuka-europe-crm.veevavault.com/ui/#object/account__v/V4TZ025E831YQBJ", "CARLO PERRICONE")</f>
        <v>CARLO PERRICONE</v>
      </c>
      <c r="B6163" s="7" t="str">
        <f>HYPERLINK("https://otsuka-europe-crm.veevavault.com/ui/#object/vcountry__v/VENZ000004SONFQ", "IT")</f>
        <v>IT</v>
      </c>
      <c r="C6163" s="8" t="s">
        <v>42</v>
      </c>
      <c r="D6163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163" s="10" t="str">
        <f>HYPERLINK("https://otsuka-europe-crm.veevavault.com/ui/#object/sent_email__v/VBL000000039082", "SE-001444542")</f>
        <v>SE-001444542</v>
      </c>
      <c r="F6163" s="11"/>
      <c r="G6163" s="12">
        <v>0</v>
      </c>
      <c r="H6163" s="12">
        <v>0</v>
      </c>
      <c r="I6163" s="12">
        <v>0</v>
      </c>
      <c r="J6163" s="11"/>
      <c r="K6163" s="12">
        <v>0</v>
      </c>
      <c r="L6163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163" s="10" t="str">
        <f>HYPERLINK("mailto:matteo.digennaro@crm.otsuka-europe.com", "matteo.digennaro@crm.otsuka-europe.com")</f>
        <v>matteo.digennaro@crm.otsuka-europe.com</v>
      </c>
      <c r="N6163" s="13">
        <v>46226.29923611111</v>
      </c>
      <c r="O6163" s="14" t="str">
        <f>HYPERLINK("https://otsuka-europe-crm.veevavault.com/ui/#object/email_activity__v/V8C00000004C371", "EN-002107544")</f>
        <v>EN-002107544</v>
      </c>
    </row>
    <row r="6164" spans="1:15" ht="16" x14ac:dyDescent="0.2">
      <c r="A6164" s="18" t="str">
        <f>HYPERLINK("https://otsuka-europe-crm.veevavault.com/ui/#object/account__v/V4TZ04ASGDP1JTR", "RAFFAELA SCIRI")</f>
        <v>RAFFAELA SCIRI</v>
      </c>
      <c r="B6164" s="18" t="str">
        <f>HYPERLINK("https://otsuka-europe-crm.veevavault.com/ui/#object/vcountry__v/VENZ000004SONFQ", "IT")</f>
        <v>IT</v>
      </c>
      <c r="C6164" s="20" t="s">
        <v>42</v>
      </c>
      <c r="D6164" s="21" t="str">
        <f>HYPERLINK("https://otsuka-europe-crm.veevavault.com/ui/#object/approved_document__v/V5OZ025E82RRA5I", "AURORA 2 - AE NEPHRO")</f>
        <v>AURORA 2 - AE NEPHRO</v>
      </c>
      <c r="E6164" s="22" t="str">
        <f>HYPERLINK("https://otsuka-europe-crm.veevavault.com/ui/#object/sent_email__v/VBL000000039083", "SE-001444543")</f>
        <v>SE-001444543</v>
      </c>
      <c r="F6164" s="23"/>
      <c r="G6164" s="24">
        <v>0</v>
      </c>
      <c r="H6164" s="24">
        <v>0</v>
      </c>
      <c r="I6164" s="24">
        <v>0</v>
      </c>
      <c r="J6164" s="23"/>
      <c r="K6164" s="24">
        <v>0</v>
      </c>
      <c r="L6164" s="22" t="str">
        <f>HYPERLINK("https://otsuka-europe-crm.veevavault.com/ui/#object/approved_document__v/V5OZ025E82RRA5I", "AURORA 2 - AE NEPHRO")</f>
        <v>AURORA 2 - AE NEPHRO</v>
      </c>
      <c r="M6164" s="22" t="str">
        <f>HYPERLINK("mailto:matteo.digennaro@crm.otsuka-europe.com", "matteo.digennaro@crm.otsuka-europe.com")</f>
        <v>matteo.digennaro@crm.otsuka-europe.com</v>
      </c>
      <c r="N6164" s="25">
        <v>46226.299293981479</v>
      </c>
      <c r="O6164" s="14" t="str">
        <f>HYPERLINK("https://otsuka-europe-crm.veevavault.com/ui/#object/email_activity__v/V8C00000004B494", "EN-002107605")</f>
        <v>EN-002107605</v>
      </c>
    </row>
    <row r="6165" spans="1:15" ht="16" x14ac:dyDescent="0.2">
      <c r="A6165" s="19"/>
      <c r="B6165" s="19"/>
      <c r="C6165" s="19"/>
      <c r="D6165" s="19"/>
      <c r="E6165" s="19"/>
      <c r="F6165" s="19"/>
      <c r="G6165" s="19"/>
      <c r="H6165" s="19"/>
      <c r="I6165" s="19"/>
      <c r="J6165" s="19"/>
      <c r="K6165" s="19"/>
      <c r="L6165" s="19"/>
      <c r="M6165" s="19"/>
      <c r="N6165" s="19"/>
      <c r="O6165" s="14" t="str">
        <f>HYPERLINK("https://otsuka-europe-crm.veevavault.com/ui/#object/email_activity__v/V8C00000004B693", "EN-002107820")</f>
        <v>EN-002107820</v>
      </c>
    </row>
    <row r="6166" spans="1:15" ht="32" x14ac:dyDescent="0.2">
      <c r="A6166" s="7" t="str">
        <f>HYPERLINK("https://otsuka-europe-crm.veevavault.com/ui/#object/account__v/V4TZ04ASGDP1JTR", "RAFFAELA SCIRI")</f>
        <v>RAFFAELA SCIRI</v>
      </c>
      <c r="B6166" s="7" t="str">
        <f>HYPERLINK("https://otsuka-europe-crm.veevavault.com/ui/#object/vcountry__v/VENZ000004SONFQ", "IT")</f>
        <v>IT</v>
      </c>
      <c r="C6166" s="8" t="s">
        <v>42</v>
      </c>
      <c r="D6166" s="9" t="str">
        <f>HYPERLINK("https://otsuka-europe-crm.veevavault.com/ui/#object/approved_document__v/V5OZ025E82RR480", "RTE Proteinuria C1 - IT-LUP-2500006 - Nephro")</f>
        <v>RTE Proteinuria C1 - IT-LUP-2500006 - Nephro</v>
      </c>
      <c r="E6166" s="10" t="str">
        <f>HYPERLINK("https://otsuka-europe-crm.veevavault.com/ui/#object/sent_email__v/VBL000000039084", "SE-001444544")</f>
        <v>SE-001444544</v>
      </c>
      <c r="F6166" s="11"/>
      <c r="G6166" s="12">
        <v>0</v>
      </c>
      <c r="H6166" s="12">
        <v>0</v>
      </c>
      <c r="I6166" s="12">
        <v>0</v>
      </c>
      <c r="J6166" s="11"/>
      <c r="K6166" s="12">
        <v>0</v>
      </c>
      <c r="L6166" s="10" t="str">
        <f>HYPERLINK("https://otsuka-europe-crm.veevavault.com/ui/#object/approved_document__v/V5OZ025E82RR480", "RTE Proteinuria C1 - IT-LUP-2500006 - Nephro")</f>
        <v>RTE Proteinuria C1 - IT-LUP-2500006 - Nephro</v>
      </c>
      <c r="M6166" s="10" t="str">
        <f>HYPERLINK("mailto:matteo.digennaro@crm.otsuka-europe.com", "matteo.digennaro@crm.otsuka-europe.com")</f>
        <v>matteo.digennaro@crm.otsuka-europe.com</v>
      </c>
      <c r="N6166" s="13">
        <v>46226.299224537041</v>
      </c>
      <c r="O6166" s="14" t="str">
        <f>HYPERLINK("https://otsuka-europe-crm.veevavault.com/ui/#object/email_activity__v/V8C00000004C318", "EN-002107484")</f>
        <v>EN-002107484</v>
      </c>
    </row>
    <row r="6167" spans="1:15" ht="16" x14ac:dyDescent="0.2">
      <c r="A6167" s="18" t="str">
        <f>HYPERLINK("https://otsuka-europe-crm.veevavault.com/ui/#object/account__v/V4TZ04ASGDP1JTR", "RAFFAELA SCIRI")</f>
        <v>RAFFAELA SCIRI</v>
      </c>
      <c r="B6167" s="18" t="str">
        <f>HYPERLINK("https://otsuka-europe-crm.veevavault.com/ui/#object/vcountry__v/VENZ000004SONFQ", "IT")</f>
        <v>IT</v>
      </c>
      <c r="C6167" s="20" t="s">
        <v>42</v>
      </c>
      <c r="D6167" s="21" t="str">
        <f>HYPERLINK("https://otsuka-europe-crm.veevavault.com/ui/#object/approved_document__v/V5OZ025E82RR47T", "AE Propensity Analysis- IT-LUP-2500004 Nefro")</f>
        <v>AE Propensity Analysis- IT-LUP-2500004 Nefro</v>
      </c>
      <c r="E6167" s="22" t="str">
        <f>HYPERLINK("https://otsuka-europe-crm.veevavault.com/ui/#object/sent_email__v/VBL000000039085", "SE-001444545")</f>
        <v>SE-001444545</v>
      </c>
      <c r="F6167" s="23"/>
      <c r="G6167" s="24">
        <v>0</v>
      </c>
      <c r="H6167" s="24">
        <v>0</v>
      </c>
      <c r="I6167" s="24">
        <v>0</v>
      </c>
      <c r="J6167" s="23"/>
      <c r="K6167" s="24">
        <v>0</v>
      </c>
      <c r="L6167" s="22" t="str">
        <f>HYPERLINK("https://otsuka-europe-crm.veevavault.com/ui/#object/approved_document__v/V5OZ025E82RR47T", "AE Propensity Analysis- IT-LUP-2500004 Nefro")</f>
        <v>AE Propensity Analysis- IT-LUP-2500004 Nefro</v>
      </c>
      <c r="M6167" s="22" t="str">
        <f>HYPERLINK("mailto:matteo.digennaro@crm.otsuka-europe.com", "matteo.digennaro@crm.otsuka-europe.com")</f>
        <v>matteo.digennaro@crm.otsuka-europe.com</v>
      </c>
      <c r="N6167" s="25">
        <v>46226.299212962964</v>
      </c>
      <c r="O6167" s="14" t="str">
        <f>HYPERLINK("https://otsuka-europe-crm.veevavault.com/ui/#object/email_activity__v/V8C00000004B495", "EN-002107606")</f>
        <v>EN-002107606</v>
      </c>
    </row>
    <row r="6168" spans="1:15" ht="16" x14ac:dyDescent="0.2">
      <c r="A6168" s="19"/>
      <c r="B6168" s="19"/>
      <c r="C6168" s="19"/>
      <c r="D6168" s="19"/>
      <c r="E6168" s="19"/>
      <c r="F6168" s="19"/>
      <c r="G6168" s="19"/>
      <c r="H6168" s="19"/>
      <c r="I6168" s="19"/>
      <c r="J6168" s="19"/>
      <c r="K6168" s="19"/>
      <c r="L6168" s="19"/>
      <c r="M6168" s="19"/>
      <c r="N6168" s="19"/>
      <c r="O6168" s="14" t="str">
        <f>HYPERLINK("https://otsuka-europe-crm.veevavault.com/ui/#object/email_activity__v/V8C00000004B814", "EN-002108122")</f>
        <v>EN-002108122</v>
      </c>
    </row>
    <row r="6169" spans="1:15" ht="32" x14ac:dyDescent="0.2">
      <c r="A6169" s="7" t="str">
        <f>HYPERLINK("https://otsuka-europe-crm.veevavault.com/ui/#object/account__v/V4TZ04ASGDP1JTR", "RAFFAELA SCIRI")</f>
        <v>RAFFAELA SCIRI</v>
      </c>
      <c r="B6169" s="7" t="str">
        <f>HYPERLINK("https://otsuka-europe-crm.veevavault.com/ui/#object/vcountry__v/VENZ000004SONFQ", "IT")</f>
        <v>IT</v>
      </c>
      <c r="C6169" s="8" t="s">
        <v>42</v>
      </c>
      <c r="D6169" s="9" t="str">
        <f>HYPERLINK("https://otsuka-europe-crm.veevavault.com/ui/#object/approved_document__v/V5OZ025E82RR47S", "AE Focus pz prevalenti- IT-LUP-2500005 Nefro")</f>
        <v>AE Focus pz prevalenti- IT-LUP-2500005 Nefro</v>
      </c>
      <c r="E6169" s="10" t="str">
        <f>HYPERLINK("https://otsuka-europe-crm.veevavault.com/ui/#object/sent_email__v/VBL000000039086", "SE-001444546")</f>
        <v>SE-001444546</v>
      </c>
      <c r="F6169" s="11"/>
      <c r="G6169" s="12">
        <v>0</v>
      </c>
      <c r="H6169" s="12">
        <v>0</v>
      </c>
      <c r="I6169" s="12">
        <v>0</v>
      </c>
      <c r="J6169" s="11"/>
      <c r="K6169" s="12">
        <v>0</v>
      </c>
      <c r="L6169" s="10" t="str">
        <f>HYPERLINK("https://otsuka-europe-crm.veevavault.com/ui/#object/approved_document__v/V5OZ025E82RR47S", "AE Focus pz prevalenti- IT-LUP-2500005 Nefro")</f>
        <v>AE Focus pz prevalenti- IT-LUP-2500005 Nefro</v>
      </c>
      <c r="M6169" s="10" t="str">
        <f>HYPERLINK("mailto:matteo.digennaro@crm.otsuka-europe.com", "matteo.digennaro@crm.otsuka-europe.com")</f>
        <v>matteo.digennaro@crm.otsuka-europe.com</v>
      </c>
      <c r="N6169" s="13">
        <v>46226.299247685187</v>
      </c>
      <c r="O6169" s="14" t="str">
        <f>HYPERLINK("https://otsuka-europe-crm.veevavault.com/ui/#object/email_activity__v/V8C00000004B318", "EN-002107278")</f>
        <v>EN-002107278</v>
      </c>
    </row>
    <row r="6170" spans="1:15" ht="48" x14ac:dyDescent="0.2">
      <c r="A6170" s="7" t="str">
        <f>HYPERLINK("https://otsuka-europe-crm.veevavault.com/ui/#object/account__v/V4TZ04ASGDP1JTR", "RAFFAELA SCIRI")</f>
        <v>RAFFAELA SCIRI</v>
      </c>
      <c r="B6170" s="7" t="str">
        <f>HYPERLINK("https://otsuka-europe-crm.veevavault.com/ui/#object/vcountry__v/VENZ000004SONFQ", "IT")</f>
        <v>IT</v>
      </c>
      <c r="C6170" s="8" t="s">
        <v>42</v>
      </c>
      <c r="D6170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170" s="10" t="str">
        <f>HYPERLINK("https://otsuka-europe-crm.veevavault.com/ui/#object/sent_email__v/VBL00000003A223", "SE-001444547")</f>
        <v>SE-001444547</v>
      </c>
      <c r="F6170" s="11"/>
      <c r="G6170" s="12">
        <v>0</v>
      </c>
      <c r="H6170" s="12">
        <v>0</v>
      </c>
      <c r="I6170" s="12">
        <v>0</v>
      </c>
      <c r="J6170" s="11"/>
      <c r="K6170" s="12">
        <v>0</v>
      </c>
      <c r="L6170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170" s="10" t="str">
        <f>HYPERLINK("mailto:matteo.digennaro@crm.otsuka-europe.com", "matteo.digennaro@crm.otsuka-europe.com")</f>
        <v>matteo.digennaro@crm.otsuka-europe.com</v>
      </c>
      <c r="N6170" s="13">
        <v>46226.29923611111</v>
      </c>
      <c r="O6170" s="14" t="str">
        <f>HYPERLINK("https://otsuka-europe-crm.veevavault.com/ui/#object/email_activity__v/V8C00000004B409", "EN-002107423")</f>
        <v>EN-002107423</v>
      </c>
    </row>
    <row r="6171" spans="1:15" ht="16" x14ac:dyDescent="0.2">
      <c r="A6171" s="18" t="str">
        <f>HYPERLINK("https://otsuka-europe-crm.veevavault.com/ui/#object/account__v/V4TZ025E8444PQY", "MICHELANGELO EROLI")</f>
        <v>MICHELANGELO EROLI</v>
      </c>
      <c r="B6171" s="18" t="str">
        <f>HYPERLINK("https://otsuka-europe-crm.veevavault.com/ui/#object/vcountry__v/VENZ000004SONFQ", "IT")</f>
        <v>IT</v>
      </c>
      <c r="C6171" s="20" t="s">
        <v>42</v>
      </c>
      <c r="D6171" s="21" t="str">
        <f>HYPERLINK("https://otsuka-europe-crm.veevavault.com/ui/#object/approved_document__v/V5OZ025E82RRA5I", "AURORA 2 - AE NEPHRO")</f>
        <v>AURORA 2 - AE NEPHRO</v>
      </c>
      <c r="E6171" s="22" t="str">
        <f>HYPERLINK("https://otsuka-europe-crm.veevavault.com/ui/#object/sent_email__v/VBL000000039087", "SE-001444548")</f>
        <v>SE-001444548</v>
      </c>
      <c r="F6171" s="25">
        <v>46226.508101851854</v>
      </c>
      <c r="G6171" s="24">
        <v>1</v>
      </c>
      <c r="H6171" s="24">
        <v>3</v>
      </c>
      <c r="I6171" s="24">
        <v>0</v>
      </c>
      <c r="J6171" s="23"/>
      <c r="K6171" s="24">
        <v>0</v>
      </c>
      <c r="L6171" s="22" t="str">
        <f>HYPERLINK("https://otsuka-europe-crm.veevavault.com/ui/#object/approved_document__v/V5OZ025E82RRA5I", "AURORA 2 - AE NEPHRO")</f>
        <v>AURORA 2 - AE NEPHRO</v>
      </c>
      <c r="M6171" s="22" t="str">
        <f>HYPERLINK("mailto:matteo.digennaro@crm.otsuka-europe.com", "matteo.digennaro@crm.otsuka-europe.com")</f>
        <v>matteo.digennaro@crm.otsuka-europe.com</v>
      </c>
      <c r="N6171" s="25">
        <v>46226.299293981479</v>
      </c>
      <c r="O6171" s="14" t="str">
        <f>HYPERLINK("https://otsuka-europe-crm.veevavault.com/ui/#object/email_activity__v/V8C00000004B875", "EN-002108186")</f>
        <v>EN-002108186</v>
      </c>
    </row>
    <row r="6172" spans="1:15" ht="16" x14ac:dyDescent="0.2">
      <c r="A6172" s="26"/>
      <c r="B6172" s="26"/>
      <c r="C6172" s="26"/>
      <c r="D6172" s="26"/>
      <c r="E6172" s="26"/>
      <c r="F6172" s="26"/>
      <c r="G6172" s="26"/>
      <c r="H6172" s="26"/>
      <c r="I6172" s="26"/>
      <c r="J6172" s="26"/>
      <c r="K6172" s="26"/>
      <c r="L6172" s="26"/>
      <c r="M6172" s="26"/>
      <c r="N6172" s="26"/>
      <c r="O6172" s="14" t="str">
        <f>HYPERLINK("https://otsuka-europe-crm.veevavault.com/ui/#object/email_activity__v/V8C00000004C349", "EN-002107516")</f>
        <v>EN-002107516</v>
      </c>
    </row>
    <row r="6173" spans="1:15" ht="16" x14ac:dyDescent="0.2">
      <c r="A6173" s="26"/>
      <c r="B6173" s="26"/>
      <c r="C6173" s="26"/>
      <c r="D6173" s="26"/>
      <c r="E6173" s="26"/>
      <c r="F6173" s="26"/>
      <c r="G6173" s="26"/>
      <c r="H6173" s="26"/>
      <c r="I6173" s="26"/>
      <c r="J6173" s="26"/>
      <c r="K6173" s="26"/>
      <c r="L6173" s="26"/>
      <c r="M6173" s="26"/>
      <c r="N6173" s="26"/>
      <c r="O6173" s="14" t="str">
        <f>HYPERLINK("https://otsuka-europe-crm.veevavault.com/ui/#object/email_activity__v/V8C00000004C419", "EN-002107860")</f>
        <v>EN-002107860</v>
      </c>
    </row>
    <row r="6174" spans="1:15" ht="16" x14ac:dyDescent="0.2">
      <c r="A6174" s="19"/>
      <c r="B6174" s="19"/>
      <c r="C6174" s="19"/>
      <c r="D6174" s="19"/>
      <c r="E6174" s="19"/>
      <c r="F6174" s="19"/>
      <c r="G6174" s="19"/>
      <c r="H6174" s="19"/>
      <c r="I6174" s="19"/>
      <c r="J6174" s="19"/>
      <c r="K6174" s="19"/>
      <c r="L6174" s="19"/>
      <c r="M6174" s="19"/>
      <c r="N6174" s="19"/>
      <c r="O6174" s="14" t="str">
        <f>HYPERLINK("https://otsuka-europe-crm.veevavault.com/ui/#object/email_activity__v/V8C00000004C461", "EN-002107928")</f>
        <v>EN-002107928</v>
      </c>
    </row>
    <row r="6175" spans="1:15" ht="32" x14ac:dyDescent="0.2">
      <c r="A6175" s="7" t="str">
        <f>HYPERLINK("https://otsuka-europe-crm.veevavault.com/ui/#object/account__v/V4TZ025E8444PQY", "MICHELANGELO EROLI")</f>
        <v>MICHELANGELO EROLI</v>
      </c>
      <c r="B6175" s="7" t="str">
        <f>HYPERLINK("https://otsuka-europe-crm.veevavault.com/ui/#object/vcountry__v/VENZ000004SONFQ", "IT")</f>
        <v>IT</v>
      </c>
      <c r="C6175" s="8" t="s">
        <v>42</v>
      </c>
      <c r="D6175" s="9" t="str">
        <f>HYPERLINK("https://otsuka-europe-crm.veevavault.com/ui/#object/approved_document__v/V5OZ025E82RR480", "RTE Proteinuria C1 - IT-LUP-2500006 - Nephro")</f>
        <v>RTE Proteinuria C1 - IT-LUP-2500006 - Nephro</v>
      </c>
      <c r="E6175" s="10" t="str">
        <f>HYPERLINK("https://otsuka-europe-crm.veevavault.com/ui/#object/sent_email__v/VBL000000039088", "SE-001444549")</f>
        <v>SE-001444549</v>
      </c>
      <c r="F6175" s="11"/>
      <c r="G6175" s="12">
        <v>0</v>
      </c>
      <c r="H6175" s="12">
        <v>0</v>
      </c>
      <c r="I6175" s="12">
        <v>0</v>
      </c>
      <c r="J6175" s="11"/>
      <c r="K6175" s="12">
        <v>0</v>
      </c>
      <c r="L6175" s="10" t="str">
        <f>HYPERLINK("https://otsuka-europe-crm.veevavault.com/ui/#object/approved_document__v/V5OZ025E82RR480", "RTE Proteinuria C1 - IT-LUP-2500006 - Nephro")</f>
        <v>RTE Proteinuria C1 - IT-LUP-2500006 - Nephro</v>
      </c>
      <c r="M6175" s="10" t="str">
        <f>HYPERLINK("mailto:matteo.digennaro@crm.otsuka-europe.com", "matteo.digennaro@crm.otsuka-europe.com")</f>
        <v>matteo.digennaro@crm.otsuka-europe.com</v>
      </c>
      <c r="N6175" s="13">
        <v>46226.299224537041</v>
      </c>
      <c r="O6175" s="14" t="str">
        <f>HYPERLINK("https://otsuka-europe-crm.veevavault.com/ui/#object/email_activity__v/V8C00000004B427", "EN-002107440")</f>
        <v>EN-002107440</v>
      </c>
    </row>
    <row r="6176" spans="1:15" ht="16" x14ac:dyDescent="0.2">
      <c r="A6176" s="18" t="str">
        <f>HYPERLINK("https://otsuka-europe-crm.veevavault.com/ui/#object/account__v/V4TZ025E8444PQY", "MICHELANGELO EROLI")</f>
        <v>MICHELANGELO EROLI</v>
      </c>
      <c r="B6176" s="18" t="str">
        <f>HYPERLINK("https://otsuka-europe-crm.veevavault.com/ui/#object/vcountry__v/VENZ000004SONFQ", "IT")</f>
        <v>IT</v>
      </c>
      <c r="C6176" s="20" t="s">
        <v>42</v>
      </c>
      <c r="D6176" s="21" t="str">
        <f>HYPERLINK("https://otsuka-europe-crm.veevavault.com/ui/#object/approved_document__v/V5OZ025E82RR47T", "AE Propensity Analysis- IT-LUP-2500004 Nefro")</f>
        <v>AE Propensity Analysis- IT-LUP-2500004 Nefro</v>
      </c>
      <c r="E6176" s="22" t="str">
        <f>HYPERLINK("https://otsuka-europe-crm.veevavault.com/ui/#object/sent_email__v/VBL00000003A224", "SE-001444550")</f>
        <v>SE-001444550</v>
      </c>
      <c r="F6176" s="23"/>
      <c r="G6176" s="24">
        <v>0</v>
      </c>
      <c r="H6176" s="24">
        <v>0</v>
      </c>
      <c r="I6176" s="24">
        <v>0</v>
      </c>
      <c r="J6176" s="23"/>
      <c r="K6176" s="24">
        <v>0</v>
      </c>
      <c r="L6176" s="22" t="str">
        <f>HYPERLINK("https://otsuka-europe-crm.veevavault.com/ui/#object/approved_document__v/V5OZ025E82RR47T", "AE Propensity Analysis- IT-LUP-2500004 Nefro")</f>
        <v>AE Propensity Analysis- IT-LUP-2500004 Nefro</v>
      </c>
      <c r="M6176" s="22" t="str">
        <f>HYPERLINK("mailto:matteo.digennaro@crm.otsuka-europe.com", "matteo.digennaro@crm.otsuka-europe.com")</f>
        <v>matteo.digennaro@crm.otsuka-europe.com</v>
      </c>
      <c r="N6176" s="25">
        <v>46226.299212962964</v>
      </c>
      <c r="O6176" s="14" t="str">
        <f>HYPERLINK("https://otsuka-europe-crm.veevavault.com/ui/#object/email_activity__v/V8C00000004B590", "EN-002107701")</f>
        <v>EN-002107701</v>
      </c>
    </row>
    <row r="6177" spans="1:15" ht="16" x14ac:dyDescent="0.2">
      <c r="A6177" s="19"/>
      <c r="B6177" s="19"/>
      <c r="C6177" s="19"/>
      <c r="D6177" s="19"/>
      <c r="E6177" s="19"/>
      <c r="F6177" s="19"/>
      <c r="G6177" s="19"/>
      <c r="H6177" s="19"/>
      <c r="I6177" s="19"/>
      <c r="J6177" s="19"/>
      <c r="K6177" s="19"/>
      <c r="L6177" s="19"/>
      <c r="M6177" s="19"/>
      <c r="N6177" s="19"/>
      <c r="O6177" s="14" t="str">
        <f>HYPERLINK("https://otsuka-europe-crm.veevavault.com/ui/#object/email_activity__v/V8C00000004B707", "EN-002107839")</f>
        <v>EN-002107839</v>
      </c>
    </row>
    <row r="6178" spans="1:15" ht="16" x14ac:dyDescent="0.2">
      <c r="A6178" s="18" t="str">
        <f>HYPERLINK("https://otsuka-europe-crm.veevavault.com/ui/#object/account__v/V4TZ025E8444PQY", "MICHELANGELO EROLI")</f>
        <v>MICHELANGELO EROLI</v>
      </c>
      <c r="B6178" s="18" t="str">
        <f>HYPERLINK("https://otsuka-europe-crm.veevavault.com/ui/#object/vcountry__v/VENZ000004SONFQ", "IT")</f>
        <v>IT</v>
      </c>
      <c r="C6178" s="20" t="s">
        <v>42</v>
      </c>
      <c r="D6178" s="21" t="str">
        <f>HYPERLINK("https://otsuka-europe-crm.veevavault.com/ui/#object/approved_document__v/V5OZ025E82RR47S", "AE Focus pz prevalenti- IT-LUP-2500005 Nefro")</f>
        <v>AE Focus pz prevalenti- IT-LUP-2500005 Nefro</v>
      </c>
      <c r="E6178" s="22" t="str">
        <f>HYPERLINK("https://otsuka-europe-crm.veevavault.com/ui/#object/sent_email__v/VBL000000039089", "SE-001444551")</f>
        <v>SE-001444551</v>
      </c>
      <c r="F6178" s="25">
        <v>46226.308668981481</v>
      </c>
      <c r="G6178" s="24">
        <v>1</v>
      </c>
      <c r="H6178" s="24">
        <v>2</v>
      </c>
      <c r="I6178" s="24">
        <v>0</v>
      </c>
      <c r="J6178" s="23"/>
      <c r="K6178" s="24">
        <v>0</v>
      </c>
      <c r="L6178" s="22" t="str">
        <f>HYPERLINK("https://otsuka-europe-crm.veevavault.com/ui/#object/approved_document__v/V5OZ025E82RR47S", "AE Focus pz prevalenti- IT-LUP-2500005 Nefro")</f>
        <v>AE Focus pz prevalenti- IT-LUP-2500005 Nefro</v>
      </c>
      <c r="M6178" s="22" t="str">
        <f>HYPERLINK("mailto:matteo.digennaro@crm.otsuka-europe.com", "matteo.digennaro@crm.otsuka-europe.com")</f>
        <v>matteo.digennaro@crm.otsuka-europe.com</v>
      </c>
      <c r="N6178" s="25">
        <v>46226.299247685187</v>
      </c>
      <c r="O6178" s="14" t="str">
        <f>HYPERLINK("https://otsuka-europe-crm.veevavault.com/ui/#object/email_activity__v/V8C00000004C293", "EN-002107458")</f>
        <v>EN-002107458</v>
      </c>
    </row>
    <row r="6179" spans="1:15" ht="16" x14ac:dyDescent="0.2">
      <c r="A6179" s="26"/>
      <c r="B6179" s="26"/>
      <c r="C6179" s="26"/>
      <c r="D6179" s="26"/>
      <c r="E6179" s="26"/>
      <c r="F6179" s="26"/>
      <c r="G6179" s="26"/>
      <c r="H6179" s="26"/>
      <c r="I6179" s="26"/>
      <c r="J6179" s="26"/>
      <c r="K6179" s="26"/>
      <c r="L6179" s="26"/>
      <c r="M6179" s="26"/>
      <c r="N6179" s="26"/>
      <c r="O6179" s="14" t="str">
        <f>HYPERLINK("https://otsuka-europe-crm.veevavault.com/ui/#object/email_activity__v/V8C00000004C468", "EN-002107935")</f>
        <v>EN-002107935</v>
      </c>
    </row>
    <row r="6180" spans="1:15" ht="16" x14ac:dyDescent="0.2">
      <c r="A6180" s="19"/>
      <c r="B6180" s="19"/>
      <c r="C6180" s="19"/>
      <c r="D6180" s="19"/>
      <c r="E6180" s="19"/>
      <c r="F6180" s="19"/>
      <c r="G6180" s="19"/>
      <c r="H6180" s="19"/>
      <c r="I6180" s="19"/>
      <c r="J6180" s="19"/>
      <c r="K6180" s="19"/>
      <c r="L6180" s="19"/>
      <c r="M6180" s="19"/>
      <c r="N6180" s="19"/>
      <c r="O6180" s="14" t="str">
        <f>HYPERLINK("https://otsuka-europe-crm.veevavault.com/ui/#object/email_activity__v/V8C00000004C557", "EN-002108067")</f>
        <v>EN-002108067</v>
      </c>
    </row>
    <row r="6181" spans="1:15" ht="16" x14ac:dyDescent="0.2">
      <c r="A6181" s="18" t="str">
        <f>HYPERLINK("https://otsuka-europe-crm.veevavault.com/ui/#object/account__v/V4TZ025E8444PQY", "MICHELANGELO EROLI")</f>
        <v>MICHELANGELO EROLI</v>
      </c>
      <c r="B6181" s="18" t="str">
        <f>HYPERLINK("https://otsuka-europe-crm.veevavault.com/ui/#object/vcountry__v/VENZ000004SONFQ", "IT")</f>
        <v>IT</v>
      </c>
      <c r="C6181" s="20" t="s">
        <v>42</v>
      </c>
      <c r="D6181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181" s="22" t="str">
        <f>HYPERLINK("https://otsuka-europe-crm.veevavault.com/ui/#object/sent_email__v/VBL000000039090", "SE-001444552")</f>
        <v>SE-001444552</v>
      </c>
      <c r="F6181" s="25">
        <v>46226.308668981481</v>
      </c>
      <c r="G6181" s="24">
        <v>1</v>
      </c>
      <c r="H6181" s="24">
        <v>1</v>
      </c>
      <c r="I6181" s="24">
        <v>0</v>
      </c>
      <c r="J6181" s="23"/>
      <c r="K6181" s="24">
        <v>0</v>
      </c>
      <c r="L6181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181" s="22" t="str">
        <f>HYPERLINK("mailto:matteo.digennaro@crm.otsuka-europe.com", "matteo.digennaro@crm.otsuka-europe.com")</f>
        <v>matteo.digennaro@crm.otsuka-europe.com</v>
      </c>
      <c r="N6181" s="25">
        <v>46226.29923611111</v>
      </c>
      <c r="O6181" s="14" t="str">
        <f>HYPERLINK("https://otsuka-europe-crm.veevavault.com/ui/#object/email_activity__v/V8C00000004C274", "EN-002107346")</f>
        <v>EN-002107346</v>
      </c>
    </row>
    <row r="6182" spans="1:15" ht="16" x14ac:dyDescent="0.2">
      <c r="A6182" s="19"/>
      <c r="B6182" s="19"/>
      <c r="C6182" s="19"/>
      <c r="D6182" s="19"/>
      <c r="E6182" s="19"/>
      <c r="F6182" s="19"/>
      <c r="G6182" s="19"/>
      <c r="H6182" s="19"/>
      <c r="I6182" s="19"/>
      <c r="J6182" s="19"/>
      <c r="K6182" s="19"/>
      <c r="L6182" s="19"/>
      <c r="M6182" s="19"/>
      <c r="N6182" s="19"/>
      <c r="O6182" s="14" t="str">
        <f>HYPERLINK("https://otsuka-europe-crm.veevavault.com/ui/#object/email_activity__v/V8C00000004C333", "EN-002107499")</f>
        <v>EN-002107499</v>
      </c>
    </row>
    <row r="6183" spans="1:15" ht="32" x14ac:dyDescent="0.2">
      <c r="A6183" s="7" t="str">
        <f>HYPERLINK("https://otsuka-europe-crm.veevavault.com/ui/#object/account__v/V4TZ06G6O71SB0E", "LEONARDO CAROTI")</f>
        <v>LEONARDO CAROTI</v>
      </c>
      <c r="B6183" s="7" t="str">
        <f>HYPERLINK("https://otsuka-europe-crm.veevavault.com/ui/#object/vcountry__v/VENZ000004SONFQ", "IT")</f>
        <v>IT</v>
      </c>
      <c r="C6183" s="8" t="s">
        <v>42</v>
      </c>
      <c r="D6183" s="9" t="str">
        <f>HYPERLINK("https://otsuka-europe-crm.veevavault.com/ui/#object/approved_document__v/V5OZ025E82RRA5I", "AURORA 2 - AE NEPHRO")</f>
        <v>AURORA 2 - AE NEPHRO</v>
      </c>
      <c r="E6183" s="10" t="str">
        <f>HYPERLINK("https://otsuka-europe-crm.veevavault.com/ui/#object/sent_email__v/VBL000000039091", "SE-001444553")</f>
        <v>SE-001444553</v>
      </c>
      <c r="F6183" s="11"/>
      <c r="G6183" s="12">
        <v>0</v>
      </c>
      <c r="H6183" s="12">
        <v>0</v>
      </c>
      <c r="I6183" s="12">
        <v>0</v>
      </c>
      <c r="J6183" s="11"/>
      <c r="K6183" s="12">
        <v>0</v>
      </c>
      <c r="L6183" s="10" t="str">
        <f>HYPERLINK("https://otsuka-europe-crm.veevavault.com/ui/#object/approved_document__v/V5OZ025E82RRA5I", "AURORA 2 - AE NEPHRO")</f>
        <v>AURORA 2 - AE NEPHRO</v>
      </c>
      <c r="M6183" s="10" t="str">
        <f>HYPERLINK("mailto:matteo.digennaro@crm.otsuka-europe.com", "matteo.digennaro@crm.otsuka-europe.com")</f>
        <v>matteo.digennaro@crm.otsuka-europe.com</v>
      </c>
      <c r="N6183" s="13">
        <v>46226.299293981479</v>
      </c>
      <c r="O6183" s="14" t="str">
        <f>HYPERLINK("https://otsuka-europe-crm.veevavault.com/ui/#object/email_activity__v/V8C00000004C282", "EN-002107354")</f>
        <v>EN-002107354</v>
      </c>
    </row>
    <row r="6184" spans="1:15" ht="16" x14ac:dyDescent="0.2">
      <c r="A6184" s="18" t="str">
        <f>HYPERLINK("https://otsuka-europe-crm.veevavault.com/ui/#object/account__v/V4TZ06G6O71SB0E", "LEONARDO CAROTI")</f>
        <v>LEONARDO CAROTI</v>
      </c>
      <c r="B6184" s="18" t="str">
        <f>HYPERLINK("https://otsuka-europe-crm.veevavault.com/ui/#object/vcountry__v/VENZ000004SONFQ", "IT")</f>
        <v>IT</v>
      </c>
      <c r="C6184" s="20" t="s">
        <v>42</v>
      </c>
      <c r="D6184" s="21" t="str">
        <f>HYPERLINK("https://otsuka-europe-crm.veevavault.com/ui/#object/approved_document__v/V5OZ025E82RR480", "RTE Proteinuria C1 - IT-LUP-2500006 - Nephro")</f>
        <v>RTE Proteinuria C1 - IT-LUP-2500006 - Nephro</v>
      </c>
      <c r="E6184" s="22" t="str">
        <f>HYPERLINK("https://otsuka-europe-crm.veevavault.com/ui/#object/sent_email__v/VBL000000039092", "SE-001444554")</f>
        <v>SE-001444554</v>
      </c>
      <c r="F6184" s="23"/>
      <c r="G6184" s="24">
        <v>0</v>
      </c>
      <c r="H6184" s="24">
        <v>0</v>
      </c>
      <c r="I6184" s="24">
        <v>0</v>
      </c>
      <c r="J6184" s="23"/>
      <c r="K6184" s="24">
        <v>0</v>
      </c>
      <c r="L6184" s="22" t="str">
        <f>HYPERLINK("https://otsuka-europe-crm.veevavault.com/ui/#object/approved_document__v/V5OZ025E82RR480", "RTE Proteinuria C1 - IT-LUP-2500006 - Nephro")</f>
        <v>RTE Proteinuria C1 - IT-LUP-2500006 - Nephro</v>
      </c>
      <c r="M6184" s="22" t="str">
        <f>HYPERLINK("mailto:matteo.digennaro@crm.otsuka-europe.com", "matteo.digennaro@crm.otsuka-europe.com")</f>
        <v>matteo.digennaro@crm.otsuka-europe.com</v>
      </c>
      <c r="N6184" s="25">
        <v>46226.299189814818</v>
      </c>
      <c r="O6184" s="14" t="str">
        <f>HYPERLINK("https://otsuka-europe-crm.veevavault.com/ui/#object/email_activity__v/V8C00000004B496", "EN-002107607")</f>
        <v>EN-002107607</v>
      </c>
    </row>
    <row r="6185" spans="1:15" ht="16" x14ac:dyDescent="0.2">
      <c r="A6185" s="19"/>
      <c r="B6185" s="19"/>
      <c r="C6185" s="19"/>
      <c r="D6185" s="19"/>
      <c r="E6185" s="19"/>
      <c r="F6185" s="19"/>
      <c r="G6185" s="19"/>
      <c r="H6185" s="19"/>
      <c r="I6185" s="19"/>
      <c r="J6185" s="19"/>
      <c r="K6185" s="19"/>
      <c r="L6185" s="19"/>
      <c r="M6185" s="19"/>
      <c r="N6185" s="19"/>
      <c r="O6185" s="14" t="str">
        <f>HYPERLINK("https://otsuka-europe-crm.veevavault.com/ui/#object/email_activity__v/V8C00000004B823", "EN-002108131")</f>
        <v>EN-002108131</v>
      </c>
    </row>
    <row r="6186" spans="1:15" ht="32" x14ac:dyDescent="0.2">
      <c r="A6186" s="7" t="str">
        <f>HYPERLINK("https://otsuka-europe-crm.veevavault.com/ui/#object/account__v/V4TZ06G6O71SB0E", "LEONARDO CAROTI")</f>
        <v>LEONARDO CAROTI</v>
      </c>
      <c r="B6186" s="7" t="str">
        <f>HYPERLINK("https://otsuka-europe-crm.veevavault.com/ui/#object/vcountry__v/VENZ000004SONFQ", "IT")</f>
        <v>IT</v>
      </c>
      <c r="C6186" s="8" t="s">
        <v>42</v>
      </c>
      <c r="D6186" s="9" t="str">
        <f>HYPERLINK("https://otsuka-europe-crm.veevavault.com/ui/#object/approved_document__v/V5OZ025E82RR47T", "AE Propensity Analysis- IT-LUP-2500004 Nefro")</f>
        <v>AE Propensity Analysis- IT-LUP-2500004 Nefro</v>
      </c>
      <c r="E6186" s="10" t="str">
        <f>HYPERLINK("https://otsuka-europe-crm.veevavault.com/ui/#object/sent_email__v/VBL000000039093", "SE-001444555")</f>
        <v>SE-001444555</v>
      </c>
      <c r="F6186" s="11"/>
      <c r="G6186" s="12">
        <v>0</v>
      </c>
      <c r="H6186" s="12">
        <v>0</v>
      </c>
      <c r="I6186" s="12">
        <v>0</v>
      </c>
      <c r="J6186" s="11"/>
      <c r="K6186" s="12">
        <v>0</v>
      </c>
      <c r="L6186" s="10" t="str">
        <f>HYPERLINK("https://otsuka-europe-crm.veevavault.com/ui/#object/approved_document__v/V5OZ025E82RR47T", "AE Propensity Analysis- IT-LUP-2500004 Nefro")</f>
        <v>AE Propensity Analysis- IT-LUP-2500004 Nefro</v>
      </c>
      <c r="M6186" s="10" t="str">
        <f>HYPERLINK("mailto:matteo.digennaro@crm.otsuka-europe.com", "matteo.digennaro@crm.otsuka-europe.com")</f>
        <v>matteo.digennaro@crm.otsuka-europe.com</v>
      </c>
      <c r="N6186" s="13">
        <v>46226.299189814818</v>
      </c>
      <c r="O6186" s="14" t="str">
        <f>HYPERLINK("https://otsuka-europe-crm.veevavault.com/ui/#object/email_activity__v/V8C00000004B350", "EN-002107363")</f>
        <v>EN-002107363</v>
      </c>
    </row>
    <row r="6187" spans="1:15" ht="32" x14ac:dyDescent="0.2">
      <c r="A6187" s="7" t="str">
        <f>HYPERLINK("https://otsuka-europe-crm.veevavault.com/ui/#object/account__v/V4TZ06G6O71SB0E", "LEONARDO CAROTI")</f>
        <v>LEONARDO CAROTI</v>
      </c>
      <c r="B6187" s="7" t="str">
        <f>HYPERLINK("https://otsuka-europe-crm.veevavault.com/ui/#object/vcountry__v/VENZ000004SONFQ", "IT")</f>
        <v>IT</v>
      </c>
      <c r="C6187" s="8" t="s">
        <v>42</v>
      </c>
      <c r="D6187" s="9" t="str">
        <f>HYPERLINK("https://otsuka-europe-crm.veevavault.com/ui/#object/approved_document__v/V5OZ025E82RR47S", "AE Focus pz prevalenti- IT-LUP-2500005 Nefro")</f>
        <v>AE Focus pz prevalenti- IT-LUP-2500005 Nefro</v>
      </c>
      <c r="E6187" s="10" t="str">
        <f>HYPERLINK("https://otsuka-europe-crm.veevavault.com/ui/#object/sent_email__v/VBL000000039094", "SE-001444556")</f>
        <v>SE-001444556</v>
      </c>
      <c r="F6187" s="11"/>
      <c r="G6187" s="12">
        <v>0</v>
      </c>
      <c r="H6187" s="12">
        <v>0</v>
      </c>
      <c r="I6187" s="12">
        <v>0</v>
      </c>
      <c r="J6187" s="11"/>
      <c r="K6187" s="12">
        <v>0</v>
      </c>
      <c r="L6187" s="10" t="str">
        <f>HYPERLINK("https://otsuka-europe-crm.veevavault.com/ui/#object/approved_document__v/V5OZ025E82RR47S", "AE Focus pz prevalenti- IT-LUP-2500005 Nefro")</f>
        <v>AE Focus pz prevalenti- IT-LUP-2500005 Nefro</v>
      </c>
      <c r="M6187" s="10" t="str">
        <f>HYPERLINK("mailto:matteo.digennaro@crm.otsuka-europe.com", "matteo.digennaro@crm.otsuka-europe.com")</f>
        <v>matteo.digennaro@crm.otsuka-europe.com</v>
      </c>
      <c r="N6187" s="13">
        <v>46226.299201388887</v>
      </c>
      <c r="O6187" s="14" t="str">
        <f>HYPERLINK("https://otsuka-europe-crm.veevavault.com/ui/#object/email_activity__v/V8C00000004C270", "EN-002107342")</f>
        <v>EN-002107342</v>
      </c>
    </row>
    <row r="6188" spans="1:15" ht="16" x14ac:dyDescent="0.2">
      <c r="A6188" s="18" t="str">
        <f>HYPERLINK("https://otsuka-europe-crm.veevavault.com/ui/#object/account__v/V4TZ06G6O71SB0E", "LEONARDO CAROTI")</f>
        <v>LEONARDO CAROTI</v>
      </c>
      <c r="B6188" s="18" t="str">
        <f>HYPERLINK("https://otsuka-europe-crm.veevavault.com/ui/#object/vcountry__v/VENZ000004SONFQ", "IT")</f>
        <v>IT</v>
      </c>
      <c r="C6188" s="20" t="s">
        <v>42</v>
      </c>
      <c r="D6188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188" s="22" t="str">
        <f>HYPERLINK("https://otsuka-europe-crm.veevavault.com/ui/#object/sent_email__v/VBL000000039095", "SE-001444557")</f>
        <v>SE-001444557</v>
      </c>
      <c r="F6188" s="23"/>
      <c r="G6188" s="24">
        <v>0</v>
      </c>
      <c r="H6188" s="24">
        <v>0</v>
      </c>
      <c r="I6188" s="24">
        <v>0</v>
      </c>
      <c r="J6188" s="23"/>
      <c r="K6188" s="24">
        <v>0</v>
      </c>
      <c r="L6188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188" s="22" t="str">
        <f>HYPERLINK("mailto:matteo.digennaro@crm.otsuka-europe.com", "matteo.digennaro@crm.otsuka-europe.com")</f>
        <v>matteo.digennaro@crm.otsuka-europe.com</v>
      </c>
      <c r="N6188" s="25">
        <v>46226.29923611111</v>
      </c>
      <c r="O6188" s="14" t="str">
        <f>HYPERLINK("https://otsuka-europe-crm.veevavault.com/ui/#object/email_activity__v/V8C00000004B497", "EN-002107608")</f>
        <v>EN-002107608</v>
      </c>
    </row>
    <row r="6189" spans="1:15" ht="16" x14ac:dyDescent="0.2">
      <c r="A6189" s="19"/>
      <c r="B6189" s="19"/>
      <c r="C6189" s="19"/>
      <c r="D6189" s="19"/>
      <c r="E6189" s="19"/>
      <c r="F6189" s="19"/>
      <c r="G6189" s="19"/>
      <c r="H6189" s="19"/>
      <c r="I6189" s="19"/>
      <c r="J6189" s="19"/>
      <c r="K6189" s="19"/>
      <c r="L6189" s="19"/>
      <c r="M6189" s="19"/>
      <c r="N6189" s="19"/>
      <c r="O6189" s="14" t="str">
        <f>HYPERLINK("https://otsuka-europe-crm.veevavault.com/ui/#object/email_activity__v/V8C00000004C506", "EN-002108004")</f>
        <v>EN-002108004</v>
      </c>
    </row>
    <row r="6190" spans="1:15" ht="32" x14ac:dyDescent="0.2">
      <c r="A6190" s="7" t="str">
        <f>HYPERLINK("https://otsuka-europe-crm.veevavault.com/ui/#object/account__v/V4TZ025E884RAS3", "JELENA BLAGOJEVIC")</f>
        <v>JELENA BLAGOJEVIC</v>
      </c>
      <c r="B6190" s="7" t="str">
        <f>HYPERLINK("https://otsuka-europe-crm.veevavault.com/ui/#object/vcountry__v/VENZ000004SONFQ", "IT")</f>
        <v>IT</v>
      </c>
      <c r="C6190" s="8" t="s">
        <v>42</v>
      </c>
      <c r="D6190" s="9" t="str">
        <f>HYPERLINK("https://otsuka-europe-crm.veevavault.com/ui/#object/approved_document__v/V5OZ025E82RRA5M", "AURORA 2 - AE RHEUMA")</f>
        <v>AURORA 2 - AE RHEUMA</v>
      </c>
      <c r="E6190" s="10" t="str">
        <f>HYPERLINK("https://otsuka-europe-crm.veevavault.com/ui/#object/sent_email__v/VBL000000039096", "SE-001444558")</f>
        <v>SE-001444558</v>
      </c>
      <c r="F6190" s="11"/>
      <c r="G6190" s="12">
        <v>0</v>
      </c>
      <c r="H6190" s="12">
        <v>0</v>
      </c>
      <c r="I6190" s="12">
        <v>0</v>
      </c>
      <c r="J6190" s="11"/>
      <c r="K6190" s="12">
        <v>0</v>
      </c>
      <c r="L6190" s="10" t="str">
        <f>HYPERLINK("https://otsuka-europe-crm.veevavault.com/ui/#object/approved_document__v/V5OZ025E82RRA5M", "AURORA 2 - AE RHEUMA")</f>
        <v>AURORA 2 - AE RHEUMA</v>
      </c>
      <c r="M6190" s="10" t="str">
        <f>HYPERLINK("mailto:matteo.digennaro@crm.otsuka-europe.com", "matteo.digennaro@crm.otsuka-europe.com")</f>
        <v>matteo.digennaro@crm.otsuka-europe.com</v>
      </c>
      <c r="N6190" s="13">
        <v>46226.299259259256</v>
      </c>
      <c r="O6190" s="14" t="str">
        <f>HYPERLINK("https://otsuka-europe-crm.veevavault.com/ui/#object/email_activity__v/V8C00000004C275", "EN-002107347")</f>
        <v>EN-002107347</v>
      </c>
    </row>
    <row r="6191" spans="1:15" ht="32" x14ac:dyDescent="0.2">
      <c r="A6191" s="7" t="str">
        <f>HYPERLINK("https://otsuka-europe-crm.veevavault.com/ui/#object/account__v/V4TZ025E884RAS3", "JELENA BLAGOJEVIC")</f>
        <v>JELENA BLAGOJEVIC</v>
      </c>
      <c r="B6191" s="7" t="str">
        <f>HYPERLINK("https://otsuka-europe-crm.veevavault.com/ui/#object/vcountry__v/VENZ000004SONFQ", "IT")</f>
        <v>IT</v>
      </c>
      <c r="C6191" s="8" t="s">
        <v>42</v>
      </c>
      <c r="D6191" s="9" t="str">
        <f>HYPERLINK("https://otsuka-europe-crm.veevavault.com/ui/#object/approved_document__v/V5OZ025E82RR47W", "AE Propensity Analysis- IT-LUP-2500004 Reuma")</f>
        <v>AE Propensity Analysis- IT-LUP-2500004 Reuma</v>
      </c>
      <c r="E6191" s="10" t="str">
        <f>HYPERLINK("https://otsuka-europe-crm.veevavault.com/ui/#object/sent_email__v/VBL000000039097", "SE-001444559")</f>
        <v>SE-001444559</v>
      </c>
      <c r="F6191" s="11"/>
      <c r="G6191" s="12">
        <v>0</v>
      </c>
      <c r="H6191" s="12">
        <v>0</v>
      </c>
      <c r="I6191" s="12">
        <v>0</v>
      </c>
      <c r="J6191" s="11"/>
      <c r="K6191" s="12">
        <v>0</v>
      </c>
      <c r="L6191" s="10" t="str">
        <f>HYPERLINK("https://otsuka-europe-crm.veevavault.com/ui/#object/approved_document__v/V5OZ025E82RR47W", "AE Propensity Analysis- IT-LUP-2500004 Reuma")</f>
        <v>AE Propensity Analysis- IT-LUP-2500004 Reuma</v>
      </c>
      <c r="M6191" s="10" t="str">
        <f>HYPERLINK("mailto:matteo.digennaro@crm.otsuka-europe.com", "matteo.digennaro@crm.otsuka-europe.com")</f>
        <v>matteo.digennaro@crm.otsuka-europe.com</v>
      </c>
      <c r="N6191" s="13">
        <v>46226.29923611111</v>
      </c>
      <c r="O6191" s="14" t="str">
        <f>HYPERLINK("https://otsuka-europe-crm.veevavault.com/ui/#object/email_activity__v/V8C00000004B410", "EN-002107424")</f>
        <v>EN-002107424</v>
      </c>
    </row>
    <row r="6192" spans="1:15" ht="16" x14ac:dyDescent="0.2">
      <c r="A6192" s="18" t="str">
        <f>HYPERLINK("https://otsuka-europe-crm.veevavault.com/ui/#object/account__v/V4TZ025E884RAS3", "JELENA BLAGOJEVIC")</f>
        <v>JELENA BLAGOJEVIC</v>
      </c>
      <c r="B6192" s="18" t="str">
        <f>HYPERLINK("https://otsuka-europe-crm.veevavault.com/ui/#object/vcountry__v/VENZ000004SONFQ", "IT")</f>
        <v>IT</v>
      </c>
      <c r="C6192" s="20" t="s">
        <v>42</v>
      </c>
      <c r="D6192" s="21" t="str">
        <f>HYPERLINK("https://otsuka-europe-crm.veevavault.com/ui/#object/approved_document__v/V5OZ025E82RR47U", "AE Focus pz prevalenti- IT-LUP-2500005 Reuma")</f>
        <v>AE Focus pz prevalenti- IT-LUP-2500005 Reuma</v>
      </c>
      <c r="E6192" s="22" t="str">
        <f>HYPERLINK("https://otsuka-europe-crm.veevavault.com/ui/#object/sent_email__v/VBL000000039098", "SE-001444560")</f>
        <v>SE-001444560</v>
      </c>
      <c r="F6192" s="23"/>
      <c r="G6192" s="24">
        <v>0</v>
      </c>
      <c r="H6192" s="24">
        <v>0</v>
      </c>
      <c r="I6192" s="24">
        <v>0</v>
      </c>
      <c r="J6192" s="23"/>
      <c r="K6192" s="24">
        <v>0</v>
      </c>
      <c r="L6192" s="22" t="str">
        <f>HYPERLINK("https://otsuka-europe-crm.veevavault.com/ui/#object/approved_document__v/V5OZ025E82RR47U", "AE Focus pz prevalenti- IT-LUP-2500005 Reuma")</f>
        <v>AE Focus pz prevalenti- IT-LUP-2500005 Reuma</v>
      </c>
      <c r="M6192" s="22" t="str">
        <f>HYPERLINK("mailto:matteo.digennaro@crm.otsuka-europe.com", "matteo.digennaro@crm.otsuka-europe.com")</f>
        <v>matteo.digennaro@crm.otsuka-europe.com</v>
      </c>
      <c r="N6192" s="25">
        <v>46226.299189814818</v>
      </c>
      <c r="O6192" s="14" t="str">
        <f>HYPERLINK("https://otsuka-europe-crm.veevavault.com/ui/#object/email_activity__v/V8C00000004B498", "EN-002107609")</f>
        <v>EN-002107609</v>
      </c>
    </row>
    <row r="6193" spans="1:15" ht="16" x14ac:dyDescent="0.2">
      <c r="A6193" s="19"/>
      <c r="B6193" s="19"/>
      <c r="C6193" s="19"/>
      <c r="D6193" s="19"/>
      <c r="E6193" s="19"/>
      <c r="F6193" s="19"/>
      <c r="G6193" s="19"/>
      <c r="H6193" s="19"/>
      <c r="I6193" s="19"/>
      <c r="J6193" s="19"/>
      <c r="K6193" s="19"/>
      <c r="L6193" s="19"/>
      <c r="M6193" s="19"/>
      <c r="N6193" s="19"/>
      <c r="O6193" s="14" t="str">
        <f>HYPERLINK("https://otsuka-europe-crm.veevavault.com/ui/#object/email_activity__v/V8C00000004B676", "EN-002107803")</f>
        <v>EN-002107803</v>
      </c>
    </row>
    <row r="6194" spans="1:15" ht="16" x14ac:dyDescent="0.2">
      <c r="A6194" s="18" t="str">
        <f>HYPERLINK("https://otsuka-europe-crm.veevavault.com/ui/#object/account__v/V4TZ025E884RAS3", "JELENA BLAGOJEVIC")</f>
        <v>JELENA BLAGOJEVIC</v>
      </c>
      <c r="B6194" s="18" t="str">
        <f>HYPERLINK("https://otsuka-europe-crm.veevavault.com/ui/#object/vcountry__v/VENZ000004SONFQ", "IT")</f>
        <v>IT</v>
      </c>
      <c r="C6194" s="20" t="s">
        <v>42</v>
      </c>
      <c r="D6194" s="21" t="str">
        <f>HYPERLINK("https://otsuka-europe-crm.veevavault.com/ui/#object/approved_document__v/V5OZ025E82RR47L", "RTE Proteinuria C1 - IT-LUP-2500006 - Reuma")</f>
        <v>RTE Proteinuria C1 - IT-LUP-2500006 - Reuma</v>
      </c>
      <c r="E6194" s="22" t="str">
        <f>HYPERLINK("https://otsuka-europe-crm.veevavault.com/ui/#object/sent_email__v/VBL00000003A225", "SE-001444561")</f>
        <v>SE-001444561</v>
      </c>
      <c r="F6194" s="23"/>
      <c r="G6194" s="24">
        <v>0</v>
      </c>
      <c r="H6194" s="24">
        <v>0</v>
      </c>
      <c r="I6194" s="24">
        <v>0</v>
      </c>
      <c r="J6194" s="23"/>
      <c r="K6194" s="24">
        <v>0</v>
      </c>
      <c r="L6194" s="22" t="str">
        <f>HYPERLINK("https://otsuka-europe-crm.veevavault.com/ui/#object/approved_document__v/V5OZ025E82RR47L", "RTE Proteinuria C1 - IT-LUP-2500006 - Reuma")</f>
        <v>RTE Proteinuria C1 - IT-LUP-2500006 - Reuma</v>
      </c>
      <c r="M6194" s="22" t="str">
        <f>HYPERLINK("mailto:matteo.digennaro@crm.otsuka-europe.com", "matteo.digennaro@crm.otsuka-europe.com")</f>
        <v>matteo.digennaro@crm.otsuka-europe.com</v>
      </c>
      <c r="N6194" s="25">
        <v>46226.29928240741</v>
      </c>
      <c r="O6194" s="14" t="str">
        <f>HYPERLINK("https://otsuka-europe-crm.veevavault.com/ui/#object/email_activity__v/V8C00000004B591", "EN-002107702")</f>
        <v>EN-002107702</v>
      </c>
    </row>
    <row r="6195" spans="1:15" ht="16" x14ac:dyDescent="0.2">
      <c r="A6195" s="19"/>
      <c r="B6195" s="19"/>
      <c r="C6195" s="19"/>
      <c r="D6195" s="19"/>
      <c r="E6195" s="19"/>
      <c r="F6195" s="19"/>
      <c r="G6195" s="19"/>
      <c r="H6195" s="19"/>
      <c r="I6195" s="19"/>
      <c r="J6195" s="19"/>
      <c r="K6195" s="19"/>
      <c r="L6195" s="19"/>
      <c r="M6195" s="19"/>
      <c r="N6195" s="19"/>
      <c r="O6195" s="14" t="str">
        <f>HYPERLINK("https://otsuka-europe-crm.veevavault.com/ui/#object/email_activity__v/V8C00000004B712", "EN-002107844")</f>
        <v>EN-002107844</v>
      </c>
    </row>
    <row r="6196" spans="1:15" ht="48" x14ac:dyDescent="0.2">
      <c r="A6196" s="7" t="str">
        <f>HYPERLINK("https://otsuka-europe-crm.veevavault.com/ui/#object/account__v/V4TZ025E884RAS3", "JELENA BLAGOJEVIC")</f>
        <v>JELENA BLAGOJEVIC</v>
      </c>
      <c r="B6196" s="7" t="str">
        <f>HYPERLINK("https://otsuka-europe-crm.veevavault.com/ui/#object/vcountry__v/VENZ000004SONFQ", "IT")</f>
        <v>IT</v>
      </c>
      <c r="C6196" s="8" t="s">
        <v>42</v>
      </c>
      <c r="D6196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196" s="10" t="str">
        <f>HYPERLINK("https://otsuka-europe-crm.veevavault.com/ui/#object/sent_email__v/VBL00000003A226", "SE-001444562")</f>
        <v>SE-001444562</v>
      </c>
      <c r="F6196" s="11"/>
      <c r="G6196" s="12">
        <v>0</v>
      </c>
      <c r="H6196" s="12">
        <v>0</v>
      </c>
      <c r="I6196" s="12">
        <v>0</v>
      </c>
      <c r="J6196" s="11"/>
      <c r="K6196" s="12">
        <v>0</v>
      </c>
      <c r="L6196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196" s="10" t="str">
        <f>HYPERLINK("mailto:matteo.digennaro@crm.otsuka-europe.com", "matteo.digennaro@crm.otsuka-europe.com")</f>
        <v>matteo.digennaro@crm.otsuka-europe.com</v>
      </c>
      <c r="N6196" s="13">
        <v>46226.29923611111</v>
      </c>
      <c r="O6196" s="14" t="str">
        <f>HYPERLINK("https://otsuka-europe-crm.veevavault.com/ui/#object/email_activity__v/V8C00000004C322", "EN-002107488")</f>
        <v>EN-002107488</v>
      </c>
    </row>
    <row r="6197" spans="1:15" ht="16" x14ac:dyDescent="0.2">
      <c r="A6197" s="18" t="str">
        <f>HYPERLINK("https://otsuka-europe-crm.veevavault.com/ui/#object/account__v/V4TZ04ASGE029PR", "DINA ZUCCHI")</f>
        <v>DINA ZUCCHI</v>
      </c>
      <c r="B6197" s="18" t="str">
        <f>HYPERLINK("https://otsuka-europe-crm.veevavault.com/ui/#object/vcountry__v/VENZ000004SONFQ", "IT")</f>
        <v>IT</v>
      </c>
      <c r="C6197" s="20" t="s">
        <v>42</v>
      </c>
      <c r="D6197" s="21" t="str">
        <f>HYPERLINK("https://otsuka-europe-crm.veevavault.com/ui/#object/approved_document__v/V5OZ025E82RRA5M", "AURORA 2 - AE RHEUMA")</f>
        <v>AURORA 2 - AE RHEUMA</v>
      </c>
      <c r="E6197" s="22" t="str">
        <f>HYPERLINK("https://otsuka-europe-crm.veevavault.com/ui/#object/sent_email__v/VBL000000039099", "SE-001444563")</f>
        <v>SE-001444563</v>
      </c>
      <c r="F6197" s="23"/>
      <c r="G6197" s="24">
        <v>0</v>
      </c>
      <c r="H6197" s="24">
        <v>0</v>
      </c>
      <c r="I6197" s="24">
        <v>0</v>
      </c>
      <c r="J6197" s="23"/>
      <c r="K6197" s="24">
        <v>0</v>
      </c>
      <c r="L6197" s="22" t="str">
        <f>HYPERLINK("https://otsuka-europe-crm.veevavault.com/ui/#object/approved_document__v/V5OZ025E82RRA5M", "AURORA 2 - AE RHEUMA")</f>
        <v>AURORA 2 - AE RHEUMA</v>
      </c>
      <c r="M6197" s="22" t="str">
        <f>HYPERLINK("mailto:matteo.digennaro@crm.otsuka-europe.com", "matteo.digennaro@crm.otsuka-europe.com")</f>
        <v>matteo.digennaro@crm.otsuka-europe.com</v>
      </c>
      <c r="N6197" s="25">
        <v>46226.299259259256</v>
      </c>
      <c r="O6197" s="14" t="str">
        <f>HYPERLINK("https://otsuka-europe-crm.veevavault.com/ui/#object/email_activity__v/V8C00000004B434", "EN-002107447")</f>
        <v>EN-002107447</v>
      </c>
    </row>
    <row r="6198" spans="1:15" ht="16" x14ac:dyDescent="0.2">
      <c r="A6198" s="19"/>
      <c r="B6198" s="19"/>
      <c r="C6198" s="19"/>
      <c r="D6198" s="19"/>
      <c r="E6198" s="19"/>
      <c r="F6198" s="19"/>
      <c r="G6198" s="19"/>
      <c r="H6198" s="19"/>
      <c r="I6198" s="19"/>
      <c r="J6198" s="19"/>
      <c r="K6198" s="19"/>
      <c r="L6198" s="19"/>
      <c r="M6198" s="19"/>
      <c r="N6198" s="19"/>
      <c r="O6198" s="14" t="str">
        <f>HYPERLINK("https://otsuka-europe-crm.veevavault.com/ui/#object/email_activity__v/V8C00000004B470", "EN-002107581")</f>
        <v>EN-002107581</v>
      </c>
    </row>
    <row r="6199" spans="1:15" ht="16" x14ac:dyDescent="0.2">
      <c r="A6199" s="18" t="str">
        <f>HYPERLINK("https://otsuka-europe-crm.veevavault.com/ui/#object/account__v/V4TZ04ASGE029PR", "DINA ZUCCHI")</f>
        <v>DINA ZUCCHI</v>
      </c>
      <c r="B6199" s="18" t="str">
        <f>HYPERLINK("https://otsuka-europe-crm.veevavault.com/ui/#object/vcountry__v/VENZ000004SONFQ", "IT")</f>
        <v>IT</v>
      </c>
      <c r="C6199" s="20" t="s">
        <v>42</v>
      </c>
      <c r="D6199" s="21" t="str">
        <f>HYPERLINK("https://otsuka-europe-crm.veevavault.com/ui/#object/approved_document__v/V5OZ025E82RR47W", "AE Propensity Analysis- IT-LUP-2500004 Reuma")</f>
        <v>AE Propensity Analysis- IT-LUP-2500004 Reuma</v>
      </c>
      <c r="E6199" s="22" t="str">
        <f>HYPERLINK("https://otsuka-europe-crm.veevavault.com/ui/#object/sent_email__v/VBL00000003A227", "SE-001444564")</f>
        <v>SE-001444564</v>
      </c>
      <c r="F6199" s="23"/>
      <c r="G6199" s="24">
        <v>0</v>
      </c>
      <c r="H6199" s="24">
        <v>0</v>
      </c>
      <c r="I6199" s="24">
        <v>0</v>
      </c>
      <c r="J6199" s="23"/>
      <c r="K6199" s="24">
        <v>0</v>
      </c>
      <c r="L6199" s="22" t="str">
        <f>HYPERLINK("https://otsuka-europe-crm.veevavault.com/ui/#object/approved_document__v/V5OZ025E82RR47W", "AE Propensity Analysis- IT-LUP-2500004 Reuma")</f>
        <v>AE Propensity Analysis- IT-LUP-2500004 Reuma</v>
      </c>
      <c r="M6199" s="22" t="str">
        <f>HYPERLINK("mailto:matteo.digennaro@crm.otsuka-europe.com", "matteo.digennaro@crm.otsuka-europe.com")</f>
        <v>matteo.digennaro@crm.otsuka-europe.com</v>
      </c>
      <c r="N6199" s="25">
        <v>46226.29923611111</v>
      </c>
      <c r="O6199" s="14" t="str">
        <f>HYPERLINK("https://otsuka-europe-crm.veevavault.com/ui/#object/email_activity__v/V8C00000004B436", "EN-002107449")</f>
        <v>EN-002107449</v>
      </c>
    </row>
    <row r="6200" spans="1:15" ht="16" x14ac:dyDescent="0.2">
      <c r="A6200" s="19"/>
      <c r="B6200" s="19"/>
      <c r="C6200" s="19"/>
      <c r="D6200" s="19"/>
      <c r="E6200" s="19"/>
      <c r="F6200" s="19"/>
      <c r="G6200" s="19"/>
      <c r="H6200" s="19"/>
      <c r="I6200" s="19"/>
      <c r="J6200" s="19"/>
      <c r="K6200" s="19"/>
      <c r="L6200" s="19"/>
      <c r="M6200" s="19"/>
      <c r="N6200" s="19"/>
      <c r="O6200" s="14" t="str">
        <f>HYPERLINK("https://otsuka-europe-crm.veevavault.com/ui/#object/email_activity__v/V8C00000004C364", "EN-002107533")</f>
        <v>EN-002107533</v>
      </c>
    </row>
    <row r="6201" spans="1:15" ht="16" x14ac:dyDescent="0.2">
      <c r="A6201" s="18" t="str">
        <f>HYPERLINK("https://otsuka-europe-crm.veevavault.com/ui/#object/account__v/V4TZ04ASGE029PR", "DINA ZUCCHI")</f>
        <v>DINA ZUCCHI</v>
      </c>
      <c r="B6201" s="18" t="str">
        <f>HYPERLINK("https://otsuka-europe-crm.veevavault.com/ui/#object/vcountry__v/VENZ000004SONFQ", "IT")</f>
        <v>IT</v>
      </c>
      <c r="C6201" s="20" t="s">
        <v>42</v>
      </c>
      <c r="D6201" s="21" t="str">
        <f>HYPERLINK("https://otsuka-europe-crm.veevavault.com/ui/#object/approved_document__v/V5OZ025E82RR47U", "AE Focus pz prevalenti- IT-LUP-2500005 Reuma")</f>
        <v>AE Focus pz prevalenti- IT-LUP-2500005 Reuma</v>
      </c>
      <c r="E6201" s="22" t="str">
        <f>HYPERLINK("https://otsuka-europe-crm.veevavault.com/ui/#object/sent_email__v/VBL000000039100", "SE-001444565")</f>
        <v>SE-001444565</v>
      </c>
      <c r="F6201" s="23"/>
      <c r="G6201" s="24">
        <v>0</v>
      </c>
      <c r="H6201" s="24">
        <v>0</v>
      </c>
      <c r="I6201" s="24">
        <v>0</v>
      </c>
      <c r="J6201" s="23"/>
      <c r="K6201" s="24">
        <v>0</v>
      </c>
      <c r="L6201" s="22" t="str">
        <f>HYPERLINK("https://otsuka-europe-crm.veevavault.com/ui/#object/approved_document__v/V5OZ025E82RR47U", "AE Focus pz prevalenti- IT-LUP-2500005 Reuma")</f>
        <v>AE Focus pz prevalenti- IT-LUP-2500005 Reuma</v>
      </c>
      <c r="M6201" s="22" t="str">
        <f>HYPERLINK("mailto:matteo.digennaro@crm.otsuka-europe.com", "matteo.digennaro@crm.otsuka-europe.com")</f>
        <v>matteo.digennaro@crm.otsuka-europe.com</v>
      </c>
      <c r="N6201" s="25">
        <v>46226.299189814818</v>
      </c>
      <c r="O6201" s="14" t="str">
        <f>HYPERLINK("https://otsuka-europe-crm.veevavault.com/ui/#object/email_activity__v/V8C00000004B499", "EN-002107610")</f>
        <v>EN-002107610</v>
      </c>
    </row>
    <row r="6202" spans="1:15" ht="16" x14ac:dyDescent="0.2">
      <c r="A6202" s="26"/>
      <c r="B6202" s="26"/>
      <c r="C6202" s="26"/>
      <c r="D6202" s="26"/>
      <c r="E6202" s="26"/>
      <c r="F6202" s="26"/>
      <c r="G6202" s="26"/>
      <c r="H6202" s="26"/>
      <c r="I6202" s="26"/>
      <c r="J6202" s="26"/>
      <c r="K6202" s="26"/>
      <c r="L6202" s="26"/>
      <c r="M6202" s="26"/>
      <c r="N6202" s="26"/>
      <c r="O6202" s="14" t="str">
        <f>HYPERLINK("https://otsuka-europe-crm.veevavault.com/ui/#object/email_activity__v/V8C00000004B675", "EN-002107802")</f>
        <v>EN-002107802</v>
      </c>
    </row>
    <row r="6203" spans="1:15" ht="16" x14ac:dyDescent="0.2">
      <c r="A6203" s="19"/>
      <c r="B6203" s="19"/>
      <c r="C6203" s="19"/>
      <c r="D6203" s="19"/>
      <c r="E6203" s="19"/>
      <c r="F6203" s="19"/>
      <c r="G6203" s="19"/>
      <c r="H6203" s="19"/>
      <c r="I6203" s="19"/>
      <c r="J6203" s="19"/>
      <c r="K6203" s="19"/>
      <c r="L6203" s="19"/>
      <c r="M6203" s="19"/>
      <c r="N6203" s="19"/>
      <c r="O6203" s="14" t="str">
        <f>HYPERLINK("https://otsuka-europe-crm.veevavault.com/ui/#object/email_activity__v/V8C00000004B762", "EN-002107987")</f>
        <v>EN-002107987</v>
      </c>
    </row>
    <row r="6204" spans="1:15" ht="16" x14ac:dyDescent="0.2">
      <c r="A6204" s="18" t="str">
        <f>HYPERLINK("https://otsuka-europe-crm.veevavault.com/ui/#object/account__v/V4TZ04ASGE029PR", "DINA ZUCCHI")</f>
        <v>DINA ZUCCHI</v>
      </c>
      <c r="B6204" s="18" t="str">
        <f>HYPERLINK("https://otsuka-europe-crm.veevavault.com/ui/#object/vcountry__v/VENZ000004SONFQ", "IT")</f>
        <v>IT</v>
      </c>
      <c r="C6204" s="20" t="s">
        <v>42</v>
      </c>
      <c r="D6204" s="21" t="str">
        <f>HYPERLINK("https://otsuka-europe-crm.veevavault.com/ui/#object/approved_document__v/V5OZ025E82RR47L", "RTE Proteinuria C1 - IT-LUP-2500006 - Reuma")</f>
        <v>RTE Proteinuria C1 - IT-LUP-2500006 - Reuma</v>
      </c>
      <c r="E6204" s="22" t="str">
        <f>HYPERLINK("https://otsuka-europe-crm.veevavault.com/ui/#object/sent_email__v/VBL000000039101", "SE-001444566")</f>
        <v>SE-001444566</v>
      </c>
      <c r="F6204" s="23"/>
      <c r="G6204" s="24">
        <v>0</v>
      </c>
      <c r="H6204" s="24">
        <v>0</v>
      </c>
      <c r="I6204" s="24">
        <v>0</v>
      </c>
      <c r="J6204" s="23"/>
      <c r="K6204" s="24">
        <v>0</v>
      </c>
      <c r="L6204" s="22" t="str">
        <f>HYPERLINK("https://otsuka-europe-crm.veevavault.com/ui/#object/approved_document__v/V5OZ025E82RR47L", "RTE Proteinuria C1 - IT-LUP-2500006 - Reuma")</f>
        <v>RTE Proteinuria C1 - IT-LUP-2500006 - Reuma</v>
      </c>
      <c r="M6204" s="22" t="str">
        <f>HYPERLINK("mailto:matteo.digennaro@crm.otsuka-europe.com", "matteo.digennaro@crm.otsuka-europe.com")</f>
        <v>matteo.digennaro@crm.otsuka-europe.com</v>
      </c>
      <c r="N6204" s="25">
        <v>46226.29928240741</v>
      </c>
      <c r="O6204" s="14" t="str">
        <f>HYPERLINK("https://otsuka-europe-crm.veevavault.com/ui/#object/email_activity__v/V8C00000004B339", "EN-002107299")</f>
        <v>EN-002107299</v>
      </c>
    </row>
    <row r="6205" spans="1:15" ht="16" x14ac:dyDescent="0.2">
      <c r="A6205" s="19"/>
      <c r="B6205" s="19"/>
      <c r="C6205" s="19"/>
      <c r="D6205" s="19"/>
      <c r="E6205" s="19"/>
      <c r="F6205" s="19"/>
      <c r="G6205" s="19"/>
      <c r="H6205" s="19"/>
      <c r="I6205" s="19"/>
      <c r="J6205" s="19"/>
      <c r="K6205" s="19"/>
      <c r="L6205" s="19"/>
      <c r="M6205" s="19"/>
      <c r="N6205" s="19"/>
      <c r="O6205" s="14" t="str">
        <f>HYPERLINK("https://otsuka-europe-crm.veevavault.com/ui/#object/email_activity__v/V8C00000004B444", "EN-002107542")</f>
        <v>EN-002107542</v>
      </c>
    </row>
    <row r="6206" spans="1:15" ht="16" x14ac:dyDescent="0.2">
      <c r="A6206" s="18" t="str">
        <f>HYPERLINK("https://otsuka-europe-crm.veevavault.com/ui/#object/account__v/V4TZ04ASGE029PR", "DINA ZUCCHI")</f>
        <v>DINA ZUCCHI</v>
      </c>
      <c r="B6206" s="18" t="str">
        <f>HYPERLINK("https://otsuka-europe-crm.veevavault.com/ui/#object/vcountry__v/VENZ000004SONFQ", "IT")</f>
        <v>IT</v>
      </c>
      <c r="C6206" s="20" t="s">
        <v>42</v>
      </c>
      <c r="D6206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206" s="22" t="str">
        <f>HYPERLINK("https://otsuka-europe-crm.veevavault.com/ui/#object/sent_email__v/VBL000000039102", "SE-001444567")</f>
        <v>SE-001444567</v>
      </c>
      <c r="F6206" s="23"/>
      <c r="G6206" s="24">
        <v>0</v>
      </c>
      <c r="H6206" s="24">
        <v>0</v>
      </c>
      <c r="I6206" s="24">
        <v>0</v>
      </c>
      <c r="J6206" s="23"/>
      <c r="K6206" s="24">
        <v>0</v>
      </c>
      <c r="L6206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206" s="22" t="str">
        <f>HYPERLINK("mailto:matteo.digennaro@crm.otsuka-europe.com", "matteo.digennaro@crm.otsuka-europe.com")</f>
        <v>matteo.digennaro@crm.otsuka-europe.com</v>
      </c>
      <c r="N6206" s="25">
        <v>46226.299178240741</v>
      </c>
      <c r="O6206" s="14" t="str">
        <f>HYPERLINK("https://otsuka-europe-crm.veevavault.com/ui/#object/email_activity__v/V8C00000004B500", "EN-002107611")</f>
        <v>EN-002107611</v>
      </c>
    </row>
    <row r="6207" spans="1:15" ht="16" x14ac:dyDescent="0.2">
      <c r="A6207" s="26"/>
      <c r="B6207" s="26"/>
      <c r="C6207" s="26"/>
      <c r="D6207" s="26"/>
      <c r="E6207" s="26"/>
      <c r="F6207" s="26"/>
      <c r="G6207" s="26"/>
      <c r="H6207" s="26"/>
      <c r="I6207" s="26"/>
      <c r="J6207" s="26"/>
      <c r="K6207" s="26"/>
      <c r="L6207" s="26"/>
      <c r="M6207" s="26"/>
      <c r="N6207" s="26"/>
      <c r="O6207" s="14" t="str">
        <f>HYPERLINK("https://otsuka-europe-crm.veevavault.com/ui/#object/email_activity__v/V8C00000004C409", "EN-002107850")</f>
        <v>EN-002107850</v>
      </c>
    </row>
    <row r="6208" spans="1:15" ht="16" x14ac:dyDescent="0.2">
      <c r="A6208" s="19"/>
      <c r="B6208" s="19"/>
      <c r="C6208" s="19"/>
      <c r="D6208" s="19"/>
      <c r="E6208" s="19"/>
      <c r="F6208" s="19"/>
      <c r="G6208" s="19"/>
      <c r="H6208" s="19"/>
      <c r="I6208" s="19"/>
      <c r="J6208" s="19"/>
      <c r="K6208" s="19"/>
      <c r="L6208" s="19"/>
      <c r="M6208" s="19"/>
      <c r="N6208" s="19"/>
      <c r="O6208" s="14" t="str">
        <f>HYPERLINK("https://otsuka-europe-crm.veevavault.com/ui/#object/email_activity__v/V8C00000004C421", "EN-002107862")</f>
        <v>EN-002107862</v>
      </c>
    </row>
    <row r="6209" spans="1:15" ht="32" x14ac:dyDescent="0.2">
      <c r="A6209" s="7" t="str">
        <f>HYPERLINK("https://otsuka-europe-crm.veevavault.com/ui/#object/account__v/V4TZ04ASGH6EOB4", "CHIARA TANI")</f>
        <v>CHIARA TANI</v>
      </c>
      <c r="B6209" s="7" t="str">
        <f>HYPERLINK("https://otsuka-europe-crm.veevavault.com/ui/#object/vcountry__v/VENZ000004SONFQ", "IT")</f>
        <v>IT</v>
      </c>
      <c r="C6209" s="8" t="s">
        <v>42</v>
      </c>
      <c r="D6209" s="9" t="str">
        <f>HYPERLINK("https://otsuka-europe-crm.veevavault.com/ui/#object/approved_document__v/V5OZ025E82RRA5M", "AURORA 2 - AE RHEUMA")</f>
        <v>AURORA 2 - AE RHEUMA</v>
      </c>
      <c r="E6209" s="10" t="str">
        <f>HYPERLINK("https://otsuka-europe-crm.veevavault.com/ui/#object/sent_email__v/VBL00000003A228", "SE-001444568")</f>
        <v>SE-001444568</v>
      </c>
      <c r="F6209" s="11"/>
      <c r="G6209" s="12">
        <v>0</v>
      </c>
      <c r="H6209" s="12">
        <v>0</v>
      </c>
      <c r="I6209" s="12">
        <v>0</v>
      </c>
      <c r="J6209" s="11"/>
      <c r="K6209" s="12">
        <v>0</v>
      </c>
      <c r="L6209" s="10" t="str">
        <f>HYPERLINK("https://otsuka-europe-crm.veevavault.com/ui/#object/approved_document__v/V5OZ025E82RRA5M", "AURORA 2 - AE RHEUMA")</f>
        <v>AURORA 2 - AE RHEUMA</v>
      </c>
      <c r="M6209" s="10" t="str">
        <f>HYPERLINK("mailto:matteo.digennaro@crm.otsuka-europe.com", "matteo.digennaro@crm.otsuka-europe.com")</f>
        <v>matteo.digennaro@crm.otsuka-europe.com</v>
      </c>
      <c r="N6209" s="13">
        <v>46226.299259259256</v>
      </c>
      <c r="O6209" s="14" t="str">
        <f>HYPERLINK("https://otsuka-europe-crm.veevavault.com/ui/#object/email_activity__v/V8C00000004B321", "EN-002107281")</f>
        <v>EN-002107281</v>
      </c>
    </row>
    <row r="6210" spans="1:15" ht="32" x14ac:dyDescent="0.2">
      <c r="A6210" s="7" t="str">
        <f>HYPERLINK("https://otsuka-europe-crm.veevavault.com/ui/#object/account__v/V4TZ04ASGH6EOB4", "CHIARA TANI")</f>
        <v>CHIARA TANI</v>
      </c>
      <c r="B6210" s="7" t="str">
        <f>HYPERLINK("https://otsuka-europe-crm.veevavault.com/ui/#object/vcountry__v/VENZ000004SONFQ", "IT")</f>
        <v>IT</v>
      </c>
      <c r="C6210" s="8" t="s">
        <v>42</v>
      </c>
      <c r="D6210" s="9" t="str">
        <f>HYPERLINK("https://otsuka-europe-crm.veevavault.com/ui/#object/approved_document__v/V5OZ025E82RR47W", "AE Propensity Analysis- IT-LUP-2500004 Reuma")</f>
        <v>AE Propensity Analysis- IT-LUP-2500004 Reuma</v>
      </c>
      <c r="E6210" s="10" t="str">
        <f>HYPERLINK("https://otsuka-europe-crm.veevavault.com/ui/#object/sent_email__v/VBL000000039103", "SE-001444569")</f>
        <v>SE-001444569</v>
      </c>
      <c r="F6210" s="11"/>
      <c r="G6210" s="12">
        <v>0</v>
      </c>
      <c r="H6210" s="12">
        <v>0</v>
      </c>
      <c r="I6210" s="12">
        <v>0</v>
      </c>
      <c r="J6210" s="11"/>
      <c r="K6210" s="12">
        <v>0</v>
      </c>
      <c r="L6210" s="10" t="str">
        <f>HYPERLINK("https://otsuka-europe-crm.veevavault.com/ui/#object/approved_document__v/V5OZ025E82RR47W", "AE Propensity Analysis- IT-LUP-2500004 Reuma")</f>
        <v>AE Propensity Analysis- IT-LUP-2500004 Reuma</v>
      </c>
      <c r="M6210" s="10" t="str">
        <f>HYPERLINK("mailto:matteo.digennaro@crm.otsuka-europe.com", "matteo.digennaro@crm.otsuka-europe.com")</f>
        <v>matteo.digennaro@crm.otsuka-europe.com</v>
      </c>
      <c r="N6210" s="13">
        <v>46226.29923611111</v>
      </c>
      <c r="O6210" s="14" t="str">
        <f>HYPERLINK("https://otsuka-europe-crm.veevavault.com/ui/#object/email_activity__v/V8C00000004C378", "EN-002107551")</f>
        <v>EN-002107551</v>
      </c>
    </row>
    <row r="6211" spans="1:15" ht="16" x14ac:dyDescent="0.2">
      <c r="A6211" s="18" t="str">
        <f>HYPERLINK("https://otsuka-europe-crm.veevavault.com/ui/#object/account__v/V4TZ04ASGH6EOB4", "CHIARA TANI")</f>
        <v>CHIARA TANI</v>
      </c>
      <c r="B6211" s="18" t="str">
        <f>HYPERLINK("https://otsuka-europe-crm.veevavault.com/ui/#object/vcountry__v/VENZ000004SONFQ", "IT")</f>
        <v>IT</v>
      </c>
      <c r="C6211" s="20" t="s">
        <v>42</v>
      </c>
      <c r="D6211" s="21" t="str">
        <f>HYPERLINK("https://otsuka-europe-crm.veevavault.com/ui/#object/approved_document__v/V5OZ025E82RR47U", "AE Focus pz prevalenti- IT-LUP-2500005 Reuma")</f>
        <v>AE Focus pz prevalenti- IT-LUP-2500005 Reuma</v>
      </c>
      <c r="E6211" s="22" t="str">
        <f>HYPERLINK("https://otsuka-europe-crm.veevavault.com/ui/#object/sent_email__v/VBL00000003A229", "SE-001444570")</f>
        <v>SE-001444570</v>
      </c>
      <c r="F6211" s="23"/>
      <c r="G6211" s="24">
        <v>0</v>
      </c>
      <c r="H6211" s="24">
        <v>0</v>
      </c>
      <c r="I6211" s="24">
        <v>0</v>
      </c>
      <c r="J6211" s="23"/>
      <c r="K6211" s="24">
        <v>0</v>
      </c>
      <c r="L6211" s="22" t="str">
        <f>HYPERLINK("https://otsuka-europe-crm.veevavault.com/ui/#object/approved_document__v/V5OZ025E82RR47U", "AE Focus pz prevalenti- IT-LUP-2500005 Reuma")</f>
        <v>AE Focus pz prevalenti- IT-LUP-2500005 Reuma</v>
      </c>
      <c r="M6211" s="22" t="str">
        <f>HYPERLINK("mailto:matteo.digennaro@crm.otsuka-europe.com", "matteo.digennaro@crm.otsuka-europe.com")</f>
        <v>matteo.digennaro@crm.otsuka-europe.com</v>
      </c>
      <c r="N6211" s="25">
        <v>46226.299224537041</v>
      </c>
      <c r="O6211" s="14" t="str">
        <f>HYPERLINK("https://otsuka-europe-crm.veevavault.com/ui/#object/email_activity__v/V8C00000004B592", "EN-002107703")</f>
        <v>EN-002107703</v>
      </c>
    </row>
    <row r="6212" spans="1:15" ht="16" x14ac:dyDescent="0.2">
      <c r="A6212" s="19"/>
      <c r="B6212" s="19"/>
      <c r="C6212" s="19"/>
      <c r="D6212" s="19"/>
      <c r="E6212" s="19"/>
      <c r="F6212" s="19"/>
      <c r="G6212" s="19"/>
      <c r="H6212" s="19"/>
      <c r="I6212" s="19"/>
      <c r="J6212" s="19"/>
      <c r="K6212" s="19"/>
      <c r="L6212" s="19"/>
      <c r="M6212" s="19"/>
      <c r="N6212" s="19"/>
      <c r="O6212" s="14" t="str">
        <f>HYPERLINK("https://otsuka-europe-crm.veevavault.com/ui/#object/email_activity__v/V8C00000004C547", "EN-002108057")</f>
        <v>EN-002108057</v>
      </c>
    </row>
    <row r="6213" spans="1:15" ht="16" x14ac:dyDescent="0.2">
      <c r="A6213" s="18" t="str">
        <f>HYPERLINK("https://otsuka-europe-crm.veevavault.com/ui/#object/account__v/V4TZ04ASGH6EOB4", "CHIARA TANI")</f>
        <v>CHIARA TANI</v>
      </c>
      <c r="B6213" s="18" t="str">
        <f>HYPERLINK("https://otsuka-europe-crm.veevavault.com/ui/#object/vcountry__v/VENZ000004SONFQ", "IT")</f>
        <v>IT</v>
      </c>
      <c r="C6213" s="20" t="s">
        <v>42</v>
      </c>
      <c r="D6213" s="21" t="str">
        <f>HYPERLINK("https://otsuka-europe-crm.veevavault.com/ui/#object/approved_document__v/V5OZ025E82RR47L", "RTE Proteinuria C1 - IT-LUP-2500006 - Reuma")</f>
        <v>RTE Proteinuria C1 - IT-LUP-2500006 - Reuma</v>
      </c>
      <c r="E6213" s="22" t="str">
        <f>HYPERLINK("https://otsuka-europe-crm.veevavault.com/ui/#object/sent_email__v/VBL000000039104", "SE-001444571")</f>
        <v>SE-001444571</v>
      </c>
      <c r="F6213" s="23"/>
      <c r="G6213" s="24">
        <v>0</v>
      </c>
      <c r="H6213" s="24">
        <v>0</v>
      </c>
      <c r="I6213" s="24">
        <v>0</v>
      </c>
      <c r="J6213" s="23"/>
      <c r="K6213" s="24">
        <v>0</v>
      </c>
      <c r="L6213" s="22" t="str">
        <f>HYPERLINK("https://otsuka-europe-crm.veevavault.com/ui/#object/approved_document__v/V5OZ025E82RR47L", "RTE Proteinuria C1 - IT-LUP-2500006 - Reuma")</f>
        <v>RTE Proteinuria C1 - IT-LUP-2500006 - Reuma</v>
      </c>
      <c r="M6213" s="22" t="str">
        <f>HYPERLINK("mailto:matteo.digennaro@crm.otsuka-europe.com", "matteo.digennaro@crm.otsuka-europe.com")</f>
        <v>matteo.digennaro@crm.otsuka-europe.com</v>
      </c>
      <c r="N6213" s="25">
        <v>46226.29928240741</v>
      </c>
      <c r="O6213" s="14" t="str">
        <f>HYPERLINK("https://otsuka-europe-crm.veevavault.com/ui/#object/email_activity__v/V8C00000004B501", "EN-002107612")</f>
        <v>EN-002107612</v>
      </c>
    </row>
    <row r="6214" spans="1:15" ht="16" x14ac:dyDescent="0.2">
      <c r="A6214" s="19"/>
      <c r="B6214" s="19"/>
      <c r="C6214" s="19"/>
      <c r="D6214" s="19"/>
      <c r="E6214" s="19"/>
      <c r="F6214" s="19"/>
      <c r="G6214" s="19"/>
      <c r="H6214" s="19"/>
      <c r="I6214" s="19"/>
      <c r="J6214" s="19"/>
      <c r="K6214" s="19"/>
      <c r="L6214" s="19"/>
      <c r="M6214" s="19"/>
      <c r="N6214" s="19"/>
      <c r="O6214" s="14" t="str">
        <f>HYPERLINK("https://otsuka-europe-crm.veevavault.com/ui/#object/email_activity__v/V8C00000004B687", "EN-002107814")</f>
        <v>EN-002107814</v>
      </c>
    </row>
    <row r="6215" spans="1:15" ht="48" x14ac:dyDescent="0.2">
      <c r="A6215" s="7" t="str">
        <f>HYPERLINK("https://otsuka-europe-crm.veevavault.com/ui/#object/account__v/V4TZ04ASGH6EOB4", "CHIARA TANI")</f>
        <v>CHIARA TANI</v>
      </c>
      <c r="B6215" s="7" t="str">
        <f>HYPERLINK("https://otsuka-europe-crm.veevavault.com/ui/#object/vcountry__v/VENZ000004SONFQ", "IT")</f>
        <v>IT</v>
      </c>
      <c r="C6215" s="8" t="s">
        <v>42</v>
      </c>
      <c r="D6215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215" s="10" t="str">
        <f>HYPERLINK("https://otsuka-europe-crm.veevavault.com/ui/#object/sent_email__v/VBL00000003A230", "SE-001444572")</f>
        <v>SE-001444572</v>
      </c>
      <c r="F6215" s="11"/>
      <c r="G6215" s="12">
        <v>0</v>
      </c>
      <c r="H6215" s="12">
        <v>0</v>
      </c>
      <c r="I6215" s="12">
        <v>0</v>
      </c>
      <c r="J6215" s="11"/>
      <c r="K6215" s="12">
        <v>0</v>
      </c>
      <c r="L6215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215" s="10" t="str">
        <f>HYPERLINK("mailto:matteo.digennaro@crm.otsuka-europe.com", "matteo.digennaro@crm.otsuka-europe.com")</f>
        <v>matteo.digennaro@crm.otsuka-europe.com</v>
      </c>
      <c r="N6215" s="13">
        <v>46226.29923611111</v>
      </c>
      <c r="O6215" s="14" t="str">
        <f>HYPERLINK("https://otsuka-europe-crm.veevavault.com/ui/#object/email_activity__v/V8C00000004C345", "EN-002107512")</f>
        <v>EN-002107512</v>
      </c>
    </row>
    <row r="6216" spans="1:15" ht="32" x14ac:dyDescent="0.2">
      <c r="A6216" s="7" t="str">
        <f>HYPERLINK("https://otsuka-europe-crm.veevavault.com/ui/#object/account__v/V4TZ04ASGE025PW", "DOMENICO GIANNESE")</f>
        <v>DOMENICO GIANNESE</v>
      </c>
      <c r="B6216" s="7" t="str">
        <f>HYPERLINK("https://otsuka-europe-crm.veevavault.com/ui/#object/vcountry__v/VENZ000004SONFQ", "IT")</f>
        <v>IT</v>
      </c>
      <c r="C6216" s="8" t="s">
        <v>42</v>
      </c>
      <c r="D6216" s="9" t="str">
        <f>HYPERLINK("https://otsuka-europe-crm.veevavault.com/ui/#object/approved_document__v/V5OZ025E82RRA5I", "AURORA 2 - AE NEPHRO")</f>
        <v>AURORA 2 - AE NEPHRO</v>
      </c>
      <c r="E6216" s="10" t="str">
        <f>HYPERLINK("https://otsuka-europe-crm.veevavault.com/ui/#object/sent_email__v/VBL000000039105", "SE-001444573")</f>
        <v>SE-001444573</v>
      </c>
      <c r="F6216" s="11"/>
      <c r="G6216" s="12">
        <v>0</v>
      </c>
      <c r="H6216" s="12">
        <v>0</v>
      </c>
      <c r="I6216" s="12">
        <v>0</v>
      </c>
      <c r="J6216" s="11"/>
      <c r="K6216" s="12">
        <v>0</v>
      </c>
      <c r="L6216" s="10" t="str">
        <f>HYPERLINK("https://otsuka-europe-crm.veevavault.com/ui/#object/approved_document__v/V5OZ025E82RRA5I", "AURORA 2 - AE NEPHRO")</f>
        <v>AURORA 2 - AE NEPHRO</v>
      </c>
      <c r="M6216" s="10" t="str">
        <f>HYPERLINK("mailto:matteo.digennaro@crm.otsuka-europe.com", "matteo.digennaro@crm.otsuka-europe.com")</f>
        <v>matteo.digennaro@crm.otsuka-europe.com</v>
      </c>
      <c r="N6216" s="13">
        <v>46226.299178240741</v>
      </c>
      <c r="O6216" s="14" t="str">
        <f>HYPERLINK("https://otsuka-europe-crm.veevavault.com/ui/#object/email_activity__v/V8C00000004C346", "EN-002107513")</f>
        <v>EN-002107513</v>
      </c>
    </row>
    <row r="6217" spans="1:15" ht="16" x14ac:dyDescent="0.2">
      <c r="A6217" s="18" t="str">
        <f>HYPERLINK("https://otsuka-europe-crm.veevavault.com/ui/#object/account__v/V4TZ04ASGE025PW", "DOMENICO GIANNESE")</f>
        <v>DOMENICO GIANNESE</v>
      </c>
      <c r="B6217" s="18" t="str">
        <f>HYPERLINK("https://otsuka-europe-crm.veevavault.com/ui/#object/vcountry__v/VENZ000004SONFQ", "IT")</f>
        <v>IT</v>
      </c>
      <c r="C6217" s="20" t="s">
        <v>42</v>
      </c>
      <c r="D6217" s="21" t="str">
        <f>HYPERLINK("https://otsuka-europe-crm.veevavault.com/ui/#object/approved_document__v/V5OZ025E82RR480", "RTE Proteinuria C1 - IT-LUP-2500006 - Nephro")</f>
        <v>RTE Proteinuria C1 - IT-LUP-2500006 - Nephro</v>
      </c>
      <c r="E6217" s="22" t="str">
        <f>HYPERLINK("https://otsuka-europe-crm.veevavault.com/ui/#object/sent_email__v/VBL000000039106", "SE-001444574")</f>
        <v>SE-001444574</v>
      </c>
      <c r="F6217" s="23"/>
      <c r="G6217" s="24">
        <v>0</v>
      </c>
      <c r="H6217" s="24">
        <v>0</v>
      </c>
      <c r="I6217" s="24">
        <v>0</v>
      </c>
      <c r="J6217" s="23"/>
      <c r="K6217" s="24">
        <v>0</v>
      </c>
      <c r="L6217" s="22" t="str">
        <f>HYPERLINK("https://otsuka-europe-crm.veevavault.com/ui/#object/approved_document__v/V5OZ025E82RR480", "RTE Proteinuria C1 - IT-LUP-2500006 - Nephro")</f>
        <v>RTE Proteinuria C1 - IT-LUP-2500006 - Nephro</v>
      </c>
      <c r="M6217" s="22" t="str">
        <f>HYPERLINK("mailto:matteo.digennaro@crm.otsuka-europe.com", "matteo.digennaro@crm.otsuka-europe.com")</f>
        <v>matteo.digennaro@crm.otsuka-europe.com</v>
      </c>
      <c r="N6217" s="25">
        <v>46226.299166666664</v>
      </c>
      <c r="O6217" s="14" t="str">
        <f>HYPERLINK("https://otsuka-europe-crm.veevavault.com/ui/#object/email_activity__v/V8C00000004B502", "EN-002107613")</f>
        <v>EN-002107613</v>
      </c>
    </row>
    <row r="6218" spans="1:15" ht="16" x14ac:dyDescent="0.2">
      <c r="A6218" s="19"/>
      <c r="B6218" s="19"/>
      <c r="C6218" s="19"/>
      <c r="D6218" s="19"/>
      <c r="E6218" s="19"/>
      <c r="F6218" s="19"/>
      <c r="G6218" s="19"/>
      <c r="H6218" s="19"/>
      <c r="I6218" s="19"/>
      <c r="J6218" s="19"/>
      <c r="K6218" s="19"/>
      <c r="L6218" s="19"/>
      <c r="M6218" s="19"/>
      <c r="N6218" s="19"/>
      <c r="O6218" s="14" t="str">
        <f>HYPERLINK("https://otsuka-europe-crm.veevavault.com/ui/#object/email_activity__v/V8C00000004B789", "EN-002108097")</f>
        <v>EN-002108097</v>
      </c>
    </row>
    <row r="6219" spans="1:15" ht="16" x14ac:dyDescent="0.2">
      <c r="A6219" s="18" t="str">
        <f>HYPERLINK("https://otsuka-europe-crm.veevavault.com/ui/#object/account__v/V4TZ04ASGE025PW", "DOMENICO GIANNESE")</f>
        <v>DOMENICO GIANNESE</v>
      </c>
      <c r="B6219" s="18" t="str">
        <f>HYPERLINK("https://otsuka-europe-crm.veevavault.com/ui/#object/vcountry__v/VENZ000004SONFQ", "IT")</f>
        <v>IT</v>
      </c>
      <c r="C6219" s="20" t="s">
        <v>42</v>
      </c>
      <c r="D6219" s="21" t="str">
        <f>HYPERLINK("https://otsuka-europe-crm.veevavault.com/ui/#object/approved_document__v/V5OZ025E82RR47T", "AE Propensity Analysis- IT-LUP-2500004 Nefro")</f>
        <v>AE Propensity Analysis- IT-LUP-2500004 Nefro</v>
      </c>
      <c r="E6219" s="22" t="str">
        <f>HYPERLINK("https://otsuka-europe-crm.veevavault.com/ui/#object/sent_email__v/VBL000000039107", "SE-001444575")</f>
        <v>SE-001444575</v>
      </c>
      <c r="F6219" s="23"/>
      <c r="G6219" s="24">
        <v>0</v>
      </c>
      <c r="H6219" s="24">
        <v>0</v>
      </c>
      <c r="I6219" s="24">
        <v>0</v>
      </c>
      <c r="J6219" s="23"/>
      <c r="K6219" s="24">
        <v>0</v>
      </c>
      <c r="L6219" s="22" t="str">
        <f>HYPERLINK("https://otsuka-europe-crm.veevavault.com/ui/#object/approved_document__v/V5OZ025E82RR47T", "AE Propensity Analysis- IT-LUP-2500004 Nefro")</f>
        <v>AE Propensity Analysis- IT-LUP-2500004 Nefro</v>
      </c>
      <c r="M6219" s="22" t="str">
        <f>HYPERLINK("mailto:matteo.digennaro@crm.otsuka-europe.com", "matteo.digennaro@crm.otsuka-europe.com")</f>
        <v>matteo.digennaro@crm.otsuka-europe.com</v>
      </c>
      <c r="N6219" s="25">
        <v>46226.299189814818</v>
      </c>
      <c r="O6219" s="14" t="str">
        <f>HYPERLINK("https://otsuka-europe-crm.veevavault.com/ui/#object/email_activity__v/V8C00000004B503", "EN-002107614")</f>
        <v>EN-002107614</v>
      </c>
    </row>
    <row r="6220" spans="1:15" ht="16" x14ac:dyDescent="0.2">
      <c r="A6220" s="19"/>
      <c r="B6220" s="19"/>
      <c r="C6220" s="19"/>
      <c r="D6220" s="19"/>
      <c r="E6220" s="19"/>
      <c r="F6220" s="19"/>
      <c r="G6220" s="19"/>
      <c r="H6220" s="19"/>
      <c r="I6220" s="19"/>
      <c r="J6220" s="19"/>
      <c r="K6220" s="19"/>
      <c r="L6220" s="19"/>
      <c r="M6220" s="19"/>
      <c r="N6220" s="19"/>
      <c r="O6220" s="14" t="str">
        <f>HYPERLINK("https://otsuka-europe-crm.veevavault.com/ui/#object/email_activity__v/V8C00000004B677", "EN-002107804")</f>
        <v>EN-002107804</v>
      </c>
    </row>
    <row r="6221" spans="1:15" ht="32" x14ac:dyDescent="0.2">
      <c r="A6221" s="7" t="str">
        <f>HYPERLINK("https://otsuka-europe-crm.veevavault.com/ui/#object/account__v/V4TZ04ASGE025PW", "DOMENICO GIANNESE")</f>
        <v>DOMENICO GIANNESE</v>
      </c>
      <c r="B6221" s="7" t="str">
        <f>HYPERLINK("https://otsuka-europe-crm.veevavault.com/ui/#object/vcountry__v/VENZ000004SONFQ", "IT")</f>
        <v>IT</v>
      </c>
      <c r="C6221" s="8" t="s">
        <v>42</v>
      </c>
      <c r="D6221" s="9" t="str">
        <f>HYPERLINK("https://otsuka-europe-crm.veevavault.com/ui/#object/approved_document__v/V5OZ025E82RR47S", "AE Focus pz prevalenti- IT-LUP-2500005 Nefro")</f>
        <v>AE Focus pz prevalenti- IT-LUP-2500005 Nefro</v>
      </c>
      <c r="E6221" s="10" t="str">
        <f>HYPERLINK("https://otsuka-europe-crm.veevavault.com/ui/#object/sent_email__v/VBL000000039108", "SE-001444576")</f>
        <v>SE-001444576</v>
      </c>
      <c r="F6221" s="11"/>
      <c r="G6221" s="12">
        <v>0</v>
      </c>
      <c r="H6221" s="12">
        <v>0</v>
      </c>
      <c r="I6221" s="12">
        <v>0</v>
      </c>
      <c r="J6221" s="11"/>
      <c r="K6221" s="12">
        <v>0</v>
      </c>
      <c r="L6221" s="10" t="str">
        <f>HYPERLINK("https://otsuka-europe-crm.veevavault.com/ui/#object/approved_document__v/V5OZ025E82RR47S", "AE Focus pz prevalenti- IT-LUP-2500005 Nefro")</f>
        <v>AE Focus pz prevalenti- IT-LUP-2500005 Nefro</v>
      </c>
      <c r="M6221" s="10" t="str">
        <f>HYPERLINK("mailto:matteo.digennaro@crm.otsuka-europe.com", "matteo.digennaro@crm.otsuka-europe.com")</f>
        <v>matteo.digennaro@crm.otsuka-europe.com</v>
      </c>
      <c r="N6221" s="13">
        <v>46226.299247685187</v>
      </c>
      <c r="O6221" s="14" t="str">
        <f>HYPERLINK("https://otsuka-europe-crm.veevavault.com/ui/#object/email_activity__v/V8C00000004C238", "EN-002107310")</f>
        <v>EN-002107310</v>
      </c>
    </row>
    <row r="6222" spans="1:15" ht="48" x14ac:dyDescent="0.2">
      <c r="A6222" s="7" t="str">
        <f>HYPERLINK("https://otsuka-europe-crm.veevavault.com/ui/#object/account__v/V4TZ04ASGE025PW", "DOMENICO GIANNESE")</f>
        <v>DOMENICO GIANNESE</v>
      </c>
      <c r="B6222" s="7" t="str">
        <f>HYPERLINK("https://otsuka-europe-crm.veevavault.com/ui/#object/vcountry__v/VENZ000004SONFQ", "IT")</f>
        <v>IT</v>
      </c>
      <c r="C6222" s="8" t="s">
        <v>42</v>
      </c>
      <c r="D6222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22" s="10" t="str">
        <f>HYPERLINK("https://otsuka-europe-crm.veevavault.com/ui/#object/sent_email__v/VBL000000039109", "SE-001444577")</f>
        <v>SE-001444577</v>
      </c>
      <c r="F6222" s="11"/>
      <c r="G6222" s="12">
        <v>0</v>
      </c>
      <c r="H6222" s="12">
        <v>0</v>
      </c>
      <c r="I6222" s="12">
        <v>0</v>
      </c>
      <c r="J6222" s="11"/>
      <c r="K6222" s="12">
        <v>0</v>
      </c>
      <c r="L6222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22" s="10" t="str">
        <f>HYPERLINK("mailto:matteo.digennaro@crm.otsuka-europe.com", "matteo.digennaro@crm.otsuka-europe.com")</f>
        <v>matteo.digennaro@crm.otsuka-europe.com</v>
      </c>
      <c r="N6222" s="13">
        <v>46226.299189814818</v>
      </c>
      <c r="O6222" s="14" t="str">
        <f>HYPERLINK("https://otsuka-europe-crm.veevavault.com/ui/#object/email_activity__v/V8C00000004C377", "EN-002107550")</f>
        <v>EN-002107550</v>
      </c>
    </row>
    <row r="6223" spans="1:15" ht="16" x14ac:dyDescent="0.2">
      <c r="A6223" s="18" t="str">
        <f>HYPERLINK("https://otsuka-europe-crm.veevavault.com/ui/#object/account__v/V4TZ06G6O71SB0E", "LEONARDO CAROTI")</f>
        <v>LEONARDO CAROTI</v>
      </c>
      <c r="B6223" s="18" t="str">
        <f>HYPERLINK("https://otsuka-europe-crm.veevavault.com/ui/#object/vcountry__v/VENZ000004SONFQ", "IT")</f>
        <v>IT</v>
      </c>
      <c r="C6223" s="20" t="s">
        <v>42</v>
      </c>
      <c r="D6223" s="21" t="str">
        <f>HYPERLINK("https://otsuka-europe-crm.veevavault.com/ui/#object/approved_document__v/V5OZ025E82RRA5I", "AURORA 2 - AE NEPHRO")</f>
        <v>AURORA 2 - AE NEPHRO</v>
      </c>
      <c r="E6223" s="22" t="str">
        <f>HYPERLINK("https://otsuka-europe-crm.veevavault.com/ui/#object/sent_email__v/VBL000000039110", "SE-001444578")</f>
        <v>SE-001444578</v>
      </c>
      <c r="F6223" s="23"/>
      <c r="G6223" s="24">
        <v>0</v>
      </c>
      <c r="H6223" s="24">
        <v>0</v>
      </c>
      <c r="I6223" s="24">
        <v>0</v>
      </c>
      <c r="J6223" s="23"/>
      <c r="K6223" s="24">
        <v>0</v>
      </c>
      <c r="L6223" s="22" t="str">
        <f>HYPERLINK("https://otsuka-europe-crm.veevavault.com/ui/#object/approved_document__v/V5OZ025E82RRA5I", "AURORA 2 - AE NEPHRO")</f>
        <v>AURORA 2 - AE NEPHRO</v>
      </c>
      <c r="M6223" s="22" t="str">
        <f>HYPERLINK("mailto:matteo.digennaro@crm.otsuka-europe.com", "matteo.digennaro@crm.otsuka-europe.com")</f>
        <v>matteo.digennaro@crm.otsuka-europe.com</v>
      </c>
      <c r="N6223" s="25">
        <v>46226.299178240741</v>
      </c>
      <c r="O6223" s="14" t="str">
        <f>HYPERLINK("https://otsuka-europe-crm.veevavault.com/ui/#object/email_activity__v/V8C00000004B504", "EN-002107615")</f>
        <v>EN-002107615</v>
      </c>
    </row>
    <row r="6224" spans="1:15" ht="16" x14ac:dyDescent="0.2">
      <c r="A6224" s="19"/>
      <c r="B6224" s="19"/>
      <c r="C6224" s="19"/>
      <c r="D6224" s="19"/>
      <c r="E6224" s="19"/>
      <c r="F6224" s="19"/>
      <c r="G6224" s="19"/>
      <c r="H6224" s="19"/>
      <c r="I6224" s="19"/>
      <c r="J6224" s="19"/>
      <c r="K6224" s="19"/>
      <c r="L6224" s="19"/>
      <c r="M6224" s="19"/>
      <c r="N6224" s="19"/>
      <c r="O6224" s="14" t="str">
        <f>HYPERLINK("https://otsuka-europe-crm.veevavault.com/ui/#object/email_activity__v/V8C00000004B878", "EN-002108189")</f>
        <v>EN-002108189</v>
      </c>
    </row>
    <row r="6225" spans="1:15" ht="32" x14ac:dyDescent="0.2">
      <c r="A6225" s="7" t="str">
        <f>HYPERLINK("https://otsuka-europe-crm.veevavault.com/ui/#object/account__v/V4TZ06G6O71SB0E", "LEONARDO CAROTI")</f>
        <v>LEONARDO CAROTI</v>
      </c>
      <c r="B6225" s="7" t="str">
        <f>HYPERLINK("https://otsuka-europe-crm.veevavault.com/ui/#object/vcountry__v/VENZ000004SONFQ", "IT")</f>
        <v>IT</v>
      </c>
      <c r="C6225" s="8" t="s">
        <v>42</v>
      </c>
      <c r="D6225" s="9" t="str">
        <f>HYPERLINK("https://otsuka-europe-crm.veevavault.com/ui/#object/approved_document__v/V5OZ025E82RR480", "RTE Proteinuria C1 - IT-LUP-2500006 - Nephro")</f>
        <v>RTE Proteinuria C1 - IT-LUP-2500006 - Nephro</v>
      </c>
      <c r="E6225" s="10" t="str">
        <f>HYPERLINK("https://otsuka-europe-crm.veevavault.com/ui/#object/sent_email__v/VBL000000039111", "SE-001444579")</f>
        <v>SE-001444579</v>
      </c>
      <c r="F6225" s="11"/>
      <c r="G6225" s="12">
        <v>0</v>
      </c>
      <c r="H6225" s="12">
        <v>0</v>
      </c>
      <c r="I6225" s="12">
        <v>0</v>
      </c>
      <c r="J6225" s="11"/>
      <c r="K6225" s="12">
        <v>0</v>
      </c>
      <c r="L6225" s="10" t="str">
        <f>HYPERLINK("https://otsuka-europe-crm.veevavault.com/ui/#object/approved_document__v/V5OZ025E82RR480", "RTE Proteinuria C1 - IT-LUP-2500006 - Nephro")</f>
        <v>RTE Proteinuria C1 - IT-LUP-2500006 - Nephro</v>
      </c>
      <c r="M6225" s="10" t="str">
        <f>HYPERLINK("mailto:matteo.digennaro@crm.otsuka-europe.com", "matteo.digennaro@crm.otsuka-europe.com")</f>
        <v>matteo.digennaro@crm.otsuka-europe.com</v>
      </c>
      <c r="N6225" s="13">
        <v>46226.299224537041</v>
      </c>
      <c r="O6225" s="14" t="str">
        <f>HYPERLINK("https://otsuka-europe-crm.veevavault.com/ui/#object/email_activity__v/V8C00000004C295", "EN-002107460")</f>
        <v>EN-002107460</v>
      </c>
    </row>
    <row r="6226" spans="1:15" ht="32" x14ac:dyDescent="0.2">
      <c r="A6226" s="7" t="str">
        <f>HYPERLINK("https://otsuka-europe-crm.veevavault.com/ui/#object/account__v/V4TZ06G6O71SB0E", "LEONARDO CAROTI")</f>
        <v>LEONARDO CAROTI</v>
      </c>
      <c r="B6226" s="7" t="str">
        <f>HYPERLINK("https://otsuka-europe-crm.veevavault.com/ui/#object/vcountry__v/VENZ000004SONFQ", "IT")</f>
        <v>IT</v>
      </c>
      <c r="C6226" s="8" t="s">
        <v>42</v>
      </c>
      <c r="D6226" s="9" t="str">
        <f>HYPERLINK("https://otsuka-europe-crm.veevavault.com/ui/#object/approved_document__v/V5OZ025E82RR47T", "AE Propensity Analysis- IT-LUP-2500004 Nefro")</f>
        <v>AE Propensity Analysis- IT-LUP-2500004 Nefro</v>
      </c>
      <c r="E6226" s="10" t="str">
        <f>HYPERLINK("https://otsuka-europe-crm.veevavault.com/ui/#object/sent_email__v/VBL00000003A231", "SE-001444580")</f>
        <v>SE-001444580</v>
      </c>
      <c r="F6226" s="11"/>
      <c r="G6226" s="12">
        <v>0</v>
      </c>
      <c r="H6226" s="12">
        <v>0</v>
      </c>
      <c r="I6226" s="12">
        <v>0</v>
      </c>
      <c r="J6226" s="11"/>
      <c r="K6226" s="12">
        <v>0</v>
      </c>
      <c r="L6226" s="10" t="str">
        <f>HYPERLINK("https://otsuka-europe-crm.veevavault.com/ui/#object/approved_document__v/V5OZ025E82RR47T", "AE Propensity Analysis- IT-LUP-2500004 Nefro")</f>
        <v>AE Propensity Analysis- IT-LUP-2500004 Nefro</v>
      </c>
      <c r="M6226" s="10" t="str">
        <f>HYPERLINK("mailto:matteo.digennaro@crm.otsuka-europe.com", "matteo.digennaro@crm.otsuka-europe.com")</f>
        <v>matteo.digennaro@crm.otsuka-europe.com</v>
      </c>
      <c r="N6226" s="13">
        <v>46226.299212962964</v>
      </c>
      <c r="O6226" s="14" t="str">
        <f>HYPERLINK("https://otsuka-europe-crm.veevavault.com/ui/#object/email_activity__v/V8C00000004C327", "EN-002107493")</f>
        <v>EN-002107493</v>
      </c>
    </row>
    <row r="6227" spans="1:15" ht="16" x14ac:dyDescent="0.2">
      <c r="A6227" s="18" t="str">
        <f>HYPERLINK("https://otsuka-europe-crm.veevavault.com/ui/#object/account__v/V4TZ06G6O71SB0E", "LEONARDO CAROTI")</f>
        <v>LEONARDO CAROTI</v>
      </c>
      <c r="B6227" s="18" t="str">
        <f>HYPERLINK("https://otsuka-europe-crm.veevavault.com/ui/#object/vcountry__v/VENZ000004SONFQ", "IT")</f>
        <v>IT</v>
      </c>
      <c r="C6227" s="20" t="s">
        <v>42</v>
      </c>
      <c r="D6227" s="21" t="str">
        <f>HYPERLINK("https://otsuka-europe-crm.veevavault.com/ui/#object/approved_document__v/V5OZ025E82RR47S", "AE Focus pz prevalenti- IT-LUP-2500005 Nefro")</f>
        <v>AE Focus pz prevalenti- IT-LUP-2500005 Nefro</v>
      </c>
      <c r="E6227" s="22" t="str">
        <f>HYPERLINK("https://otsuka-europe-crm.veevavault.com/ui/#object/sent_email__v/VBL000000039112", "SE-001444581")</f>
        <v>SE-001444581</v>
      </c>
      <c r="F6227" s="23"/>
      <c r="G6227" s="24">
        <v>0</v>
      </c>
      <c r="H6227" s="24">
        <v>0</v>
      </c>
      <c r="I6227" s="24">
        <v>0</v>
      </c>
      <c r="J6227" s="23"/>
      <c r="K6227" s="24">
        <v>0</v>
      </c>
      <c r="L6227" s="22" t="str">
        <f>HYPERLINK("https://otsuka-europe-crm.veevavault.com/ui/#object/approved_document__v/V5OZ025E82RR47S", "AE Focus pz prevalenti- IT-LUP-2500005 Nefro")</f>
        <v>AE Focus pz prevalenti- IT-LUP-2500005 Nefro</v>
      </c>
      <c r="M6227" s="22" t="str">
        <f>HYPERLINK("mailto:matteo.digennaro@crm.otsuka-europe.com", "matteo.digennaro@crm.otsuka-europe.com")</f>
        <v>matteo.digennaro@crm.otsuka-europe.com</v>
      </c>
      <c r="N6227" s="25">
        <v>46226.299247685187</v>
      </c>
      <c r="O6227" s="14" t="str">
        <f>HYPERLINK("https://otsuka-europe-crm.veevavault.com/ui/#object/email_activity__v/V8C00000004B505", "EN-002107616")</f>
        <v>EN-002107616</v>
      </c>
    </row>
    <row r="6228" spans="1:15" ht="16" x14ac:dyDescent="0.2">
      <c r="A6228" s="19"/>
      <c r="B6228" s="19"/>
      <c r="C6228" s="19"/>
      <c r="D6228" s="19"/>
      <c r="E6228" s="19"/>
      <c r="F6228" s="19"/>
      <c r="G6228" s="19"/>
      <c r="H6228" s="19"/>
      <c r="I6228" s="19"/>
      <c r="J6228" s="19"/>
      <c r="K6228" s="19"/>
      <c r="L6228" s="19"/>
      <c r="M6228" s="19"/>
      <c r="N6228" s="19"/>
      <c r="O6228" s="14" t="str">
        <f>HYPERLINK("https://otsuka-europe-crm.veevavault.com/ui/#object/email_activity__v/V8C00000004C509", "EN-002108007")</f>
        <v>EN-002108007</v>
      </c>
    </row>
    <row r="6229" spans="1:15" ht="16" x14ac:dyDescent="0.2">
      <c r="A6229" s="18" t="str">
        <f>HYPERLINK("https://otsuka-europe-crm.veevavault.com/ui/#object/account__v/V4TZ06G6O71SB0E", "LEONARDO CAROTI")</f>
        <v>LEONARDO CAROTI</v>
      </c>
      <c r="B6229" s="18" t="str">
        <f>HYPERLINK("https://otsuka-europe-crm.veevavault.com/ui/#object/vcountry__v/VENZ000004SONFQ", "IT")</f>
        <v>IT</v>
      </c>
      <c r="C6229" s="20" t="s">
        <v>42</v>
      </c>
      <c r="D6229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29" s="22" t="str">
        <f>HYPERLINK("https://otsuka-europe-crm.veevavault.com/ui/#object/sent_email__v/VBL000000039113", "SE-001444582")</f>
        <v>SE-001444582</v>
      </c>
      <c r="F6229" s="23"/>
      <c r="G6229" s="24">
        <v>0</v>
      </c>
      <c r="H6229" s="24">
        <v>0</v>
      </c>
      <c r="I6229" s="24">
        <v>0</v>
      </c>
      <c r="J6229" s="23"/>
      <c r="K6229" s="24">
        <v>0</v>
      </c>
      <c r="L6229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29" s="22" t="str">
        <f>HYPERLINK("mailto:matteo.digennaro@crm.otsuka-europe.com", "matteo.digennaro@crm.otsuka-europe.com")</f>
        <v>matteo.digennaro@crm.otsuka-europe.com</v>
      </c>
      <c r="N6229" s="25">
        <v>46226.299189814818</v>
      </c>
      <c r="O6229" s="14" t="str">
        <f>HYPERLINK("https://otsuka-europe-crm.veevavault.com/ui/#object/email_activity__v/V8C00000004B506", "EN-002107617")</f>
        <v>EN-002107617</v>
      </c>
    </row>
    <row r="6230" spans="1:15" ht="16" x14ac:dyDescent="0.2">
      <c r="A6230" s="19"/>
      <c r="B6230" s="19"/>
      <c r="C6230" s="19"/>
      <c r="D6230" s="19"/>
      <c r="E6230" s="19"/>
      <c r="F6230" s="19"/>
      <c r="G6230" s="19"/>
      <c r="H6230" s="19"/>
      <c r="I6230" s="19"/>
      <c r="J6230" s="19"/>
      <c r="K6230" s="19"/>
      <c r="L6230" s="19"/>
      <c r="M6230" s="19"/>
      <c r="N6230" s="19"/>
      <c r="O6230" s="14" t="str">
        <f>HYPERLINK("https://otsuka-europe-crm.veevavault.com/ui/#object/email_activity__v/V8C00000004B681", "EN-002107808")</f>
        <v>EN-002107808</v>
      </c>
    </row>
    <row r="6231" spans="1:15" ht="32" x14ac:dyDescent="0.2">
      <c r="A6231" s="7" t="str">
        <f>HYPERLINK("https://otsuka-europe-crm.veevavault.com/ui/#object/account__v/V4TZ025E83CWJ0I", "MARCO ALLINOVI")</f>
        <v>MARCO ALLINOVI</v>
      </c>
      <c r="B6231" s="7" t="str">
        <f>HYPERLINK("https://otsuka-europe-crm.veevavault.com/ui/#object/vcountry__v/VENZ000004SONFQ", "IT")</f>
        <v>IT</v>
      </c>
      <c r="C6231" s="8" t="s">
        <v>42</v>
      </c>
      <c r="D6231" s="9" t="str">
        <f>HYPERLINK("https://otsuka-europe-crm.veevavault.com/ui/#object/approved_document__v/V5OZ025E82RRA5I", "AURORA 2 - AE NEPHRO")</f>
        <v>AURORA 2 - AE NEPHRO</v>
      </c>
      <c r="E6231" s="10" t="str">
        <f>HYPERLINK("https://otsuka-europe-crm.veevavault.com/ui/#object/sent_email__v/VBL00000003A232", "SE-001444583")</f>
        <v>SE-001444583</v>
      </c>
      <c r="F6231" s="11"/>
      <c r="G6231" s="12">
        <v>0</v>
      </c>
      <c r="H6231" s="12">
        <v>0</v>
      </c>
      <c r="I6231" s="12">
        <v>0</v>
      </c>
      <c r="J6231" s="11"/>
      <c r="K6231" s="12">
        <v>0</v>
      </c>
      <c r="L6231" s="10" t="str">
        <f>HYPERLINK("https://otsuka-europe-crm.veevavault.com/ui/#object/approved_document__v/V5OZ025E82RRA5I", "AURORA 2 - AE NEPHRO")</f>
        <v>AURORA 2 - AE NEPHRO</v>
      </c>
      <c r="M6231" s="10" t="str">
        <f>HYPERLINK("mailto:matteo.digennaro@crm.otsuka-europe.com", "matteo.digennaro@crm.otsuka-europe.com")</f>
        <v>matteo.digennaro@crm.otsuka-europe.com</v>
      </c>
      <c r="N6231" s="13">
        <v>46226.299293981479</v>
      </c>
      <c r="O6231" s="14" t="str">
        <f>HYPERLINK("https://otsuka-europe-crm.veevavault.com/ui/#object/email_activity__v/V8C00000004B344", "EN-002107304")</f>
        <v>EN-002107304</v>
      </c>
    </row>
    <row r="6232" spans="1:15" ht="16" x14ac:dyDescent="0.2">
      <c r="A6232" s="18" t="str">
        <f>HYPERLINK("https://otsuka-europe-crm.veevavault.com/ui/#object/account__v/V4TZ025E83CWJ0I", "MARCO ALLINOVI")</f>
        <v>MARCO ALLINOVI</v>
      </c>
      <c r="B6232" s="18" t="str">
        <f>HYPERLINK("https://otsuka-europe-crm.veevavault.com/ui/#object/vcountry__v/VENZ000004SONFQ", "IT")</f>
        <v>IT</v>
      </c>
      <c r="C6232" s="20" t="s">
        <v>42</v>
      </c>
      <c r="D6232" s="21" t="str">
        <f>HYPERLINK("https://otsuka-europe-crm.veevavault.com/ui/#object/approved_document__v/V5OZ025E82RR480", "RTE Proteinuria C1 - IT-LUP-2500006 - Nephro")</f>
        <v>RTE Proteinuria C1 - IT-LUP-2500006 - Nephro</v>
      </c>
      <c r="E6232" s="22" t="str">
        <f>HYPERLINK("https://otsuka-europe-crm.veevavault.com/ui/#object/sent_email__v/VBL00000003A233", "SE-001444584")</f>
        <v>SE-001444584</v>
      </c>
      <c r="F6232" s="23"/>
      <c r="G6232" s="24">
        <v>0</v>
      </c>
      <c r="H6232" s="24">
        <v>0</v>
      </c>
      <c r="I6232" s="24">
        <v>0</v>
      </c>
      <c r="J6232" s="23"/>
      <c r="K6232" s="24">
        <v>0</v>
      </c>
      <c r="L6232" s="22" t="str">
        <f>HYPERLINK("https://otsuka-europe-crm.veevavault.com/ui/#object/approved_document__v/V5OZ025E82RR480", "RTE Proteinuria C1 - IT-LUP-2500006 - Nephro")</f>
        <v>RTE Proteinuria C1 - IT-LUP-2500006 - Nephro</v>
      </c>
      <c r="M6232" s="22" t="str">
        <f>HYPERLINK("mailto:matteo.digennaro@crm.otsuka-europe.com", "matteo.digennaro@crm.otsuka-europe.com")</f>
        <v>matteo.digennaro@crm.otsuka-europe.com</v>
      </c>
      <c r="N6232" s="25">
        <v>46226.299224537041</v>
      </c>
      <c r="O6232" s="14" t="str">
        <f>HYPERLINK("https://otsuka-europe-crm.veevavault.com/ui/#object/email_activity__v/V8C00000004B593", "EN-002107704")</f>
        <v>EN-002107704</v>
      </c>
    </row>
    <row r="6233" spans="1:15" ht="16" x14ac:dyDescent="0.2">
      <c r="A6233" s="19"/>
      <c r="B6233" s="19"/>
      <c r="C6233" s="19"/>
      <c r="D6233" s="19"/>
      <c r="E6233" s="19"/>
      <c r="F6233" s="19"/>
      <c r="G6233" s="19"/>
      <c r="H6233" s="19"/>
      <c r="I6233" s="19"/>
      <c r="J6233" s="19"/>
      <c r="K6233" s="19"/>
      <c r="L6233" s="19"/>
      <c r="M6233" s="19"/>
      <c r="N6233" s="19"/>
      <c r="O6233" s="14" t="str">
        <f>HYPERLINK("https://otsuka-europe-crm.veevavault.com/ui/#object/email_activity__v/V8C00000004C553", "EN-002108063")</f>
        <v>EN-002108063</v>
      </c>
    </row>
    <row r="6234" spans="1:15" ht="32" x14ac:dyDescent="0.2">
      <c r="A6234" s="7" t="str">
        <f>HYPERLINK("https://otsuka-europe-crm.veevavault.com/ui/#object/account__v/V4TZ025E83CWJ0I", "MARCO ALLINOVI")</f>
        <v>MARCO ALLINOVI</v>
      </c>
      <c r="B6234" s="7" t="str">
        <f>HYPERLINK("https://otsuka-europe-crm.veevavault.com/ui/#object/vcountry__v/VENZ000004SONFQ", "IT")</f>
        <v>IT</v>
      </c>
      <c r="C6234" s="8" t="s">
        <v>42</v>
      </c>
      <c r="D6234" s="9" t="str">
        <f>HYPERLINK("https://otsuka-europe-crm.veevavault.com/ui/#object/approved_document__v/V5OZ025E82RR47T", "AE Propensity Analysis- IT-LUP-2500004 Nefro")</f>
        <v>AE Propensity Analysis- IT-LUP-2500004 Nefro</v>
      </c>
      <c r="E6234" s="10" t="str">
        <f>HYPERLINK("https://otsuka-europe-crm.veevavault.com/ui/#object/sent_email__v/VBL000000039114", "SE-001444585")</f>
        <v>SE-001444585</v>
      </c>
      <c r="F6234" s="11"/>
      <c r="G6234" s="12">
        <v>0</v>
      </c>
      <c r="H6234" s="12">
        <v>0</v>
      </c>
      <c r="I6234" s="12">
        <v>0</v>
      </c>
      <c r="J6234" s="11"/>
      <c r="K6234" s="12">
        <v>0</v>
      </c>
      <c r="L6234" s="10" t="str">
        <f>HYPERLINK("https://otsuka-europe-crm.veevavault.com/ui/#object/approved_document__v/V5OZ025E82RR47T", "AE Propensity Analysis- IT-LUP-2500004 Nefro")</f>
        <v>AE Propensity Analysis- IT-LUP-2500004 Nefro</v>
      </c>
      <c r="M6234" s="10" t="str">
        <f>HYPERLINK("mailto:matteo.digennaro@crm.otsuka-europe.com", "matteo.digennaro@crm.otsuka-europe.com")</f>
        <v>matteo.digennaro@crm.otsuka-europe.com</v>
      </c>
      <c r="N6234" s="13">
        <v>46226.299189814818</v>
      </c>
      <c r="O6234" s="14" t="str">
        <f>HYPERLINK("https://otsuka-europe-crm.veevavault.com/ui/#object/email_activity__v/V8C00000004C319", "EN-002107485")</f>
        <v>EN-002107485</v>
      </c>
    </row>
    <row r="6235" spans="1:15" ht="32" x14ac:dyDescent="0.2">
      <c r="A6235" s="7" t="str">
        <f>HYPERLINK("https://otsuka-europe-crm.veevavault.com/ui/#object/account__v/V4TZ025E83CWJ0I", "MARCO ALLINOVI")</f>
        <v>MARCO ALLINOVI</v>
      </c>
      <c r="B6235" s="7" t="str">
        <f>HYPERLINK("https://otsuka-europe-crm.veevavault.com/ui/#object/vcountry__v/VENZ000004SONFQ", "IT")</f>
        <v>IT</v>
      </c>
      <c r="C6235" s="8" t="s">
        <v>42</v>
      </c>
      <c r="D6235" s="9" t="str">
        <f>HYPERLINK("https://otsuka-europe-crm.veevavault.com/ui/#object/approved_document__v/V5OZ025E82RR47S", "AE Focus pz prevalenti- IT-LUP-2500005 Nefro")</f>
        <v>AE Focus pz prevalenti- IT-LUP-2500005 Nefro</v>
      </c>
      <c r="E6235" s="10" t="str">
        <f>HYPERLINK("https://otsuka-europe-crm.veevavault.com/ui/#object/sent_email__v/VBL000000039115", "SE-001444586")</f>
        <v>SE-001444586</v>
      </c>
      <c r="F6235" s="11"/>
      <c r="G6235" s="12">
        <v>0</v>
      </c>
      <c r="H6235" s="12">
        <v>0</v>
      </c>
      <c r="I6235" s="12">
        <v>0</v>
      </c>
      <c r="J6235" s="11"/>
      <c r="K6235" s="12">
        <v>0</v>
      </c>
      <c r="L6235" s="10" t="str">
        <f>HYPERLINK("https://otsuka-europe-crm.veevavault.com/ui/#object/approved_document__v/V5OZ025E82RR47S", "AE Focus pz prevalenti- IT-LUP-2500005 Nefro")</f>
        <v>AE Focus pz prevalenti- IT-LUP-2500005 Nefro</v>
      </c>
      <c r="M6235" s="10" t="str">
        <f>HYPERLINK("mailto:matteo.digennaro@crm.otsuka-europe.com", "matteo.digennaro@crm.otsuka-europe.com")</f>
        <v>matteo.digennaro@crm.otsuka-europe.com</v>
      </c>
      <c r="N6235" s="13">
        <v>46226.299247685187</v>
      </c>
      <c r="O6235" s="14" t="str">
        <f>HYPERLINK("https://otsuka-europe-crm.veevavault.com/ui/#object/email_activity__v/V8C00000004B369", "EN-002107382")</f>
        <v>EN-002107382</v>
      </c>
    </row>
    <row r="6236" spans="1:15" ht="48" x14ac:dyDescent="0.2">
      <c r="A6236" s="7" t="str">
        <f>HYPERLINK("https://otsuka-europe-crm.veevavault.com/ui/#object/account__v/V4TZ025E83CWJ0I", "MARCO ALLINOVI")</f>
        <v>MARCO ALLINOVI</v>
      </c>
      <c r="B6236" s="7" t="str">
        <f>HYPERLINK("https://otsuka-europe-crm.veevavault.com/ui/#object/vcountry__v/VENZ000004SONFQ", "IT")</f>
        <v>IT</v>
      </c>
      <c r="C6236" s="8" t="s">
        <v>42</v>
      </c>
      <c r="D6236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36" s="10" t="str">
        <f>HYPERLINK("https://otsuka-europe-crm.veevavault.com/ui/#object/sent_email__v/VBL000000039116", "SE-001444587")</f>
        <v>SE-001444587</v>
      </c>
      <c r="F6236" s="11"/>
      <c r="G6236" s="12">
        <v>0</v>
      </c>
      <c r="H6236" s="12">
        <v>0</v>
      </c>
      <c r="I6236" s="12">
        <v>0</v>
      </c>
      <c r="J6236" s="11"/>
      <c r="K6236" s="12">
        <v>0</v>
      </c>
      <c r="L6236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36" s="10" t="str">
        <f>HYPERLINK("mailto:matteo.digennaro@crm.otsuka-europe.com", "matteo.digennaro@crm.otsuka-europe.com")</f>
        <v>matteo.digennaro@crm.otsuka-europe.com</v>
      </c>
      <c r="N6236" s="13">
        <v>46226.299189814818</v>
      </c>
      <c r="O6236" s="14" t="str">
        <f>HYPERLINK("https://otsuka-europe-crm.veevavault.com/ui/#object/email_activity__v/V8C00000004C372", "EN-002107545")</f>
        <v>EN-002107545</v>
      </c>
    </row>
    <row r="6237" spans="1:15" ht="16" x14ac:dyDescent="0.2">
      <c r="A6237" s="18" t="str">
        <f>HYPERLINK("https://otsuka-europe-crm.veevavault.com/ui/#object/account__v/V4TZ025E84QIXQL", "ANNALISA ZUCCHELLI")</f>
        <v>ANNALISA ZUCCHELLI</v>
      </c>
      <c r="B6237" s="18" t="str">
        <f>HYPERLINK("https://otsuka-europe-crm.veevavault.com/ui/#object/vcountry__v/VENZ000004SONFQ", "IT")</f>
        <v>IT</v>
      </c>
      <c r="C6237" s="20" t="s">
        <v>42</v>
      </c>
      <c r="D6237" s="21" t="str">
        <f>HYPERLINK("https://otsuka-europe-crm.veevavault.com/ui/#object/approved_document__v/V5OZ025E82RRA5I", "AURORA 2 - AE NEPHRO")</f>
        <v>AURORA 2 - AE NEPHRO</v>
      </c>
      <c r="E6237" s="22" t="str">
        <f>HYPERLINK("https://otsuka-europe-crm.veevavault.com/ui/#object/sent_email__v/VBL000000039117", "SE-001444588")</f>
        <v>SE-001444588</v>
      </c>
      <c r="F6237" s="23"/>
      <c r="G6237" s="24">
        <v>0</v>
      </c>
      <c r="H6237" s="24">
        <v>0</v>
      </c>
      <c r="I6237" s="24">
        <v>0</v>
      </c>
      <c r="J6237" s="23"/>
      <c r="K6237" s="24">
        <v>0</v>
      </c>
      <c r="L6237" s="22" t="str">
        <f>HYPERLINK("https://otsuka-europe-crm.veevavault.com/ui/#object/approved_document__v/V5OZ025E82RRA5I", "AURORA 2 - AE NEPHRO")</f>
        <v>AURORA 2 - AE NEPHRO</v>
      </c>
      <c r="M6237" s="22" t="str">
        <f>HYPERLINK("mailto:matteo.digennaro@crm.otsuka-europe.com", "matteo.digennaro@crm.otsuka-europe.com")</f>
        <v>matteo.digennaro@crm.otsuka-europe.com</v>
      </c>
      <c r="N6237" s="25">
        <v>46226.299178240741</v>
      </c>
      <c r="O6237" s="14" t="str">
        <f>HYPERLINK("https://otsuka-europe-crm.veevavault.com/ui/#object/email_activity__v/V8C00000004B507", "EN-002107618")</f>
        <v>EN-002107618</v>
      </c>
    </row>
    <row r="6238" spans="1:15" ht="16" x14ac:dyDescent="0.2">
      <c r="A6238" s="19"/>
      <c r="B6238" s="19"/>
      <c r="C6238" s="19"/>
      <c r="D6238" s="19"/>
      <c r="E6238" s="19"/>
      <c r="F6238" s="19"/>
      <c r="G6238" s="19"/>
      <c r="H6238" s="19"/>
      <c r="I6238" s="19"/>
      <c r="J6238" s="19"/>
      <c r="K6238" s="19"/>
      <c r="L6238" s="19"/>
      <c r="M6238" s="19"/>
      <c r="N6238" s="19"/>
      <c r="O6238" s="14" t="str">
        <f>HYPERLINK("https://otsuka-europe-crm.veevavault.com/ui/#object/email_activity__v/V8C00000004B672", "EN-002107799")</f>
        <v>EN-002107799</v>
      </c>
    </row>
    <row r="6239" spans="1:15" ht="32" x14ac:dyDescent="0.2">
      <c r="A6239" s="7" t="str">
        <f>HYPERLINK("https://otsuka-europe-crm.veevavault.com/ui/#object/account__v/V4TZ025E84QIXQL", "ANNALISA ZUCCHELLI")</f>
        <v>ANNALISA ZUCCHELLI</v>
      </c>
      <c r="B6239" s="7" t="str">
        <f>HYPERLINK("https://otsuka-europe-crm.veevavault.com/ui/#object/vcountry__v/VENZ000004SONFQ", "IT")</f>
        <v>IT</v>
      </c>
      <c r="C6239" s="8" t="s">
        <v>42</v>
      </c>
      <c r="D6239" s="9" t="str">
        <f>HYPERLINK("https://otsuka-europe-crm.veevavault.com/ui/#object/approved_document__v/V5OZ025E82RR480", "RTE Proteinuria C1 - IT-LUP-2500006 - Nephro")</f>
        <v>RTE Proteinuria C1 - IT-LUP-2500006 - Nephro</v>
      </c>
      <c r="E6239" s="10" t="str">
        <f>HYPERLINK("https://otsuka-europe-crm.veevavault.com/ui/#object/sent_email__v/VBL00000003A234", "SE-001444589")</f>
        <v>SE-001444589</v>
      </c>
      <c r="F6239" s="11"/>
      <c r="G6239" s="12">
        <v>0</v>
      </c>
      <c r="H6239" s="12">
        <v>0</v>
      </c>
      <c r="I6239" s="12">
        <v>0</v>
      </c>
      <c r="J6239" s="11"/>
      <c r="K6239" s="12">
        <v>0</v>
      </c>
      <c r="L6239" s="10" t="str">
        <f>HYPERLINK("https://otsuka-europe-crm.veevavault.com/ui/#object/approved_document__v/V5OZ025E82RR480", "RTE Proteinuria C1 - IT-LUP-2500006 - Nephro")</f>
        <v>RTE Proteinuria C1 - IT-LUP-2500006 - Nephro</v>
      </c>
      <c r="M6239" s="10" t="str">
        <f>HYPERLINK("mailto:matteo.digennaro@crm.otsuka-europe.com", "matteo.digennaro@crm.otsuka-europe.com")</f>
        <v>matteo.digennaro@crm.otsuka-europe.com</v>
      </c>
      <c r="N6239" s="13">
        <v>46226.299224537041</v>
      </c>
      <c r="O6239" s="14" t="str">
        <f>HYPERLINK("https://otsuka-europe-crm.veevavault.com/ui/#object/email_activity__v/V8C00000004B407", "EN-002107421")</f>
        <v>EN-002107421</v>
      </c>
    </row>
    <row r="6240" spans="1:15" ht="32" x14ac:dyDescent="0.2">
      <c r="A6240" s="7" t="str">
        <f>HYPERLINK("https://otsuka-europe-crm.veevavault.com/ui/#object/account__v/V4TZ025E84QIXQL", "ANNALISA ZUCCHELLI")</f>
        <v>ANNALISA ZUCCHELLI</v>
      </c>
      <c r="B6240" s="7" t="str">
        <f>HYPERLINK("https://otsuka-europe-crm.veevavault.com/ui/#object/vcountry__v/VENZ000004SONFQ", "IT")</f>
        <v>IT</v>
      </c>
      <c r="C6240" s="8" t="s">
        <v>42</v>
      </c>
      <c r="D6240" s="9" t="str">
        <f>HYPERLINK("https://otsuka-europe-crm.veevavault.com/ui/#object/approved_document__v/V5OZ025E82RR47T", "AE Propensity Analysis- IT-LUP-2500004 Nefro")</f>
        <v>AE Propensity Analysis- IT-LUP-2500004 Nefro</v>
      </c>
      <c r="E6240" s="10" t="str">
        <f>HYPERLINK("https://otsuka-europe-crm.veevavault.com/ui/#object/sent_email__v/VBL00000003A235", "SE-001444590")</f>
        <v>SE-001444590</v>
      </c>
      <c r="F6240" s="11"/>
      <c r="G6240" s="12">
        <v>0</v>
      </c>
      <c r="H6240" s="12">
        <v>0</v>
      </c>
      <c r="I6240" s="12">
        <v>0</v>
      </c>
      <c r="J6240" s="11"/>
      <c r="K6240" s="12">
        <v>0</v>
      </c>
      <c r="L6240" s="10" t="str">
        <f>HYPERLINK("https://otsuka-europe-crm.veevavault.com/ui/#object/approved_document__v/V5OZ025E82RR47T", "AE Propensity Analysis- IT-LUP-2500004 Nefro")</f>
        <v>AE Propensity Analysis- IT-LUP-2500004 Nefro</v>
      </c>
      <c r="M6240" s="10" t="str">
        <f>HYPERLINK("mailto:matteo.digennaro@crm.otsuka-europe.com", "matteo.digennaro@crm.otsuka-europe.com")</f>
        <v>matteo.digennaro@crm.otsuka-europe.com</v>
      </c>
      <c r="N6240" s="13">
        <v>46226.299212962964</v>
      </c>
      <c r="O6240" s="14" t="str">
        <f>HYPERLINK("https://otsuka-europe-crm.veevavault.com/ui/#object/email_activity__v/V8C00000004C246", "EN-002107318")</f>
        <v>EN-002107318</v>
      </c>
    </row>
    <row r="6241" spans="1:15" ht="16" x14ac:dyDescent="0.2">
      <c r="A6241" s="18" t="str">
        <f>HYPERLINK("https://otsuka-europe-crm.veevavault.com/ui/#object/account__v/V4TZ025E84QIXQL", "ANNALISA ZUCCHELLI")</f>
        <v>ANNALISA ZUCCHELLI</v>
      </c>
      <c r="B6241" s="18" t="str">
        <f>HYPERLINK("https://otsuka-europe-crm.veevavault.com/ui/#object/vcountry__v/VENZ000004SONFQ", "IT")</f>
        <v>IT</v>
      </c>
      <c r="C6241" s="20" t="s">
        <v>42</v>
      </c>
      <c r="D6241" s="21" t="str">
        <f>HYPERLINK("https://otsuka-europe-crm.veevavault.com/ui/#object/approved_document__v/V5OZ025E82RR47S", "AE Focus pz prevalenti- IT-LUP-2500005 Nefro")</f>
        <v>AE Focus pz prevalenti- IT-LUP-2500005 Nefro</v>
      </c>
      <c r="E6241" s="22" t="str">
        <f>HYPERLINK("https://otsuka-europe-crm.veevavault.com/ui/#object/sent_email__v/VBL000000039118", "SE-001444591")</f>
        <v>SE-001444591</v>
      </c>
      <c r="F6241" s="23"/>
      <c r="G6241" s="24">
        <v>0</v>
      </c>
      <c r="H6241" s="24">
        <v>0</v>
      </c>
      <c r="I6241" s="24">
        <v>0</v>
      </c>
      <c r="J6241" s="23"/>
      <c r="K6241" s="24">
        <v>0</v>
      </c>
      <c r="L6241" s="22" t="str">
        <f>HYPERLINK("https://otsuka-europe-crm.veevavault.com/ui/#object/approved_document__v/V5OZ025E82RR47S", "AE Focus pz prevalenti- IT-LUP-2500005 Nefro")</f>
        <v>AE Focus pz prevalenti- IT-LUP-2500005 Nefro</v>
      </c>
      <c r="M6241" s="22" t="str">
        <f>HYPERLINK("mailto:matteo.digennaro@crm.otsuka-europe.com", "matteo.digennaro@crm.otsuka-europe.com")</f>
        <v>matteo.digennaro@crm.otsuka-europe.com</v>
      </c>
      <c r="N6241" s="25">
        <v>46226.299247685187</v>
      </c>
      <c r="O6241" s="14" t="str">
        <f>HYPERLINK("https://otsuka-europe-crm.veevavault.com/ui/#object/email_activity__v/V8C00000004B508", "EN-002107619")</f>
        <v>EN-002107619</v>
      </c>
    </row>
    <row r="6242" spans="1:15" ht="16" x14ac:dyDescent="0.2">
      <c r="A6242" s="19"/>
      <c r="B6242" s="19"/>
      <c r="C6242" s="19"/>
      <c r="D6242" s="19"/>
      <c r="E6242" s="19"/>
      <c r="F6242" s="19"/>
      <c r="G6242" s="19"/>
      <c r="H6242" s="19"/>
      <c r="I6242" s="19"/>
      <c r="J6242" s="19"/>
      <c r="K6242" s="19"/>
      <c r="L6242" s="19"/>
      <c r="M6242" s="19"/>
      <c r="N6242" s="19"/>
      <c r="O6242" s="14" t="str">
        <f>HYPERLINK("https://otsuka-europe-crm.veevavault.com/ui/#object/email_activity__v/V8C00000004B825", "EN-002108133")</f>
        <v>EN-002108133</v>
      </c>
    </row>
    <row r="6243" spans="1:15" ht="16" x14ac:dyDescent="0.2">
      <c r="A6243" s="18" t="str">
        <f>HYPERLINK("https://otsuka-europe-crm.veevavault.com/ui/#object/account__v/V4TZ025E84QIXQL", "ANNALISA ZUCCHELLI")</f>
        <v>ANNALISA ZUCCHELLI</v>
      </c>
      <c r="B6243" s="18" t="str">
        <f>HYPERLINK("https://otsuka-europe-crm.veevavault.com/ui/#object/vcountry__v/VENZ000004SONFQ", "IT")</f>
        <v>IT</v>
      </c>
      <c r="C6243" s="20" t="s">
        <v>42</v>
      </c>
      <c r="D6243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43" s="22" t="str">
        <f>HYPERLINK("https://otsuka-europe-crm.veevavault.com/ui/#object/sent_email__v/VBL000000039119", "SE-001444592")</f>
        <v>SE-001444592</v>
      </c>
      <c r="F6243" s="23"/>
      <c r="G6243" s="24">
        <v>0</v>
      </c>
      <c r="H6243" s="24">
        <v>0</v>
      </c>
      <c r="I6243" s="24">
        <v>0</v>
      </c>
      <c r="J6243" s="23"/>
      <c r="K6243" s="24">
        <v>0</v>
      </c>
      <c r="L6243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43" s="22" t="str">
        <f>HYPERLINK("mailto:matteo.digennaro@crm.otsuka-europe.com", "matteo.digennaro@crm.otsuka-europe.com")</f>
        <v>matteo.digennaro@crm.otsuka-europe.com</v>
      </c>
      <c r="N6243" s="25">
        <v>46226.299189814818</v>
      </c>
      <c r="O6243" s="14" t="str">
        <f>HYPERLINK("https://otsuka-europe-crm.veevavault.com/ui/#object/email_activity__v/V8C00000004B509", "EN-002107620")</f>
        <v>EN-002107620</v>
      </c>
    </row>
    <row r="6244" spans="1:15" ht="16" x14ac:dyDescent="0.2">
      <c r="A6244" s="19"/>
      <c r="B6244" s="19"/>
      <c r="C6244" s="19"/>
      <c r="D6244" s="19"/>
      <c r="E6244" s="19"/>
      <c r="F6244" s="19"/>
      <c r="G6244" s="19"/>
      <c r="H6244" s="19"/>
      <c r="I6244" s="19"/>
      <c r="J6244" s="19"/>
      <c r="K6244" s="19"/>
      <c r="L6244" s="19"/>
      <c r="M6244" s="19"/>
      <c r="N6244" s="19"/>
      <c r="O6244" s="14" t="str">
        <f>HYPERLINK("https://otsuka-europe-crm.veevavault.com/ui/#object/email_activity__v/V8C00000004B815", "EN-002108123")</f>
        <v>EN-002108123</v>
      </c>
    </row>
    <row r="6245" spans="1:15" ht="32" x14ac:dyDescent="0.2">
      <c r="A6245" s="7" t="str">
        <f>HYPERLINK("https://otsuka-europe-crm.veevavault.com/ui/#object/account__v/V4TZ025E8431C86", "FEDERICA MARITATI")</f>
        <v>FEDERICA MARITATI</v>
      </c>
      <c r="B6245" s="7" t="str">
        <f>HYPERLINK("https://otsuka-europe-crm.veevavault.com/ui/#object/vcountry__v/VENZ000004SONFQ", "IT")</f>
        <v>IT</v>
      </c>
      <c r="C6245" s="8" t="s">
        <v>42</v>
      </c>
      <c r="D6245" s="9" t="str">
        <f>HYPERLINK("https://otsuka-europe-crm.veevavault.com/ui/#object/approved_document__v/V5OZ025E82RRA5I", "AURORA 2 - AE NEPHRO")</f>
        <v>AURORA 2 - AE NEPHRO</v>
      </c>
      <c r="E6245" s="10" t="str">
        <f>HYPERLINK("https://otsuka-europe-crm.veevavault.com/ui/#object/sent_email__v/VBL000000039120", "SE-001444593")</f>
        <v>SE-001444593</v>
      </c>
      <c r="F6245" s="11"/>
      <c r="G6245" s="12">
        <v>0</v>
      </c>
      <c r="H6245" s="12">
        <v>0</v>
      </c>
      <c r="I6245" s="12">
        <v>0</v>
      </c>
      <c r="J6245" s="11"/>
      <c r="K6245" s="12">
        <v>0</v>
      </c>
      <c r="L6245" s="10" t="str">
        <f>HYPERLINK("https://otsuka-europe-crm.veevavault.com/ui/#object/approved_document__v/V5OZ025E82RRA5I", "AURORA 2 - AE NEPHRO")</f>
        <v>AURORA 2 - AE NEPHRO</v>
      </c>
      <c r="M6245" s="10" t="str">
        <f>HYPERLINK("mailto:matteo.digennaro@crm.otsuka-europe.com", "matteo.digennaro@crm.otsuka-europe.com")</f>
        <v>matteo.digennaro@crm.otsuka-europe.com</v>
      </c>
      <c r="N6245" s="13">
        <v>46226.299189814818</v>
      </c>
      <c r="O6245" s="14" t="str">
        <f>HYPERLINK("https://otsuka-europe-crm.veevavault.com/ui/#object/email_activity__v/V8C00000004B337", "EN-002107297")</f>
        <v>EN-002107297</v>
      </c>
    </row>
    <row r="6246" spans="1:15" ht="32" x14ac:dyDescent="0.2">
      <c r="A6246" s="7" t="str">
        <f>HYPERLINK("https://otsuka-europe-crm.veevavault.com/ui/#object/account__v/V4TZ025E8431C86", "FEDERICA MARITATI")</f>
        <v>FEDERICA MARITATI</v>
      </c>
      <c r="B6246" s="7" t="str">
        <f>HYPERLINK("https://otsuka-europe-crm.veevavault.com/ui/#object/vcountry__v/VENZ000004SONFQ", "IT")</f>
        <v>IT</v>
      </c>
      <c r="C6246" s="8" t="s">
        <v>42</v>
      </c>
      <c r="D6246" s="9" t="str">
        <f>HYPERLINK("https://otsuka-europe-crm.veevavault.com/ui/#object/approved_document__v/V5OZ025E82RR480", "RTE Proteinuria C1 - IT-LUP-2500006 - Nephro")</f>
        <v>RTE Proteinuria C1 - IT-LUP-2500006 - Nephro</v>
      </c>
      <c r="E6246" s="10" t="str">
        <f>HYPERLINK("https://otsuka-europe-crm.veevavault.com/ui/#object/sent_email__v/VBL000000039121", "SE-001444594")</f>
        <v>SE-001444594</v>
      </c>
      <c r="F6246" s="11"/>
      <c r="G6246" s="12">
        <v>0</v>
      </c>
      <c r="H6246" s="12">
        <v>0</v>
      </c>
      <c r="I6246" s="12">
        <v>0</v>
      </c>
      <c r="J6246" s="11"/>
      <c r="K6246" s="12">
        <v>0</v>
      </c>
      <c r="L6246" s="10" t="str">
        <f>HYPERLINK("https://otsuka-europe-crm.veevavault.com/ui/#object/approved_document__v/V5OZ025E82RR480", "RTE Proteinuria C1 - IT-LUP-2500006 - Nephro")</f>
        <v>RTE Proteinuria C1 - IT-LUP-2500006 - Nephro</v>
      </c>
      <c r="M6246" s="10" t="str">
        <f>HYPERLINK("mailto:matteo.digennaro@crm.otsuka-europe.com", "matteo.digennaro@crm.otsuka-europe.com")</f>
        <v>matteo.digennaro@crm.otsuka-europe.com</v>
      </c>
      <c r="N6246" s="13">
        <v>46226.299224537041</v>
      </c>
      <c r="O6246" s="14" t="str">
        <f>HYPERLINK("https://otsuka-europe-crm.veevavault.com/ui/#object/email_activity__v/V8C00000004C379", "EN-002107552")</f>
        <v>EN-002107552</v>
      </c>
    </row>
    <row r="6247" spans="1:15" ht="32" x14ac:dyDescent="0.2">
      <c r="A6247" s="7" t="str">
        <f>HYPERLINK("https://otsuka-europe-crm.veevavault.com/ui/#object/account__v/V4TZ025E8431C86", "FEDERICA MARITATI")</f>
        <v>FEDERICA MARITATI</v>
      </c>
      <c r="B6247" s="7" t="str">
        <f>HYPERLINK("https://otsuka-europe-crm.veevavault.com/ui/#object/vcountry__v/VENZ000004SONFQ", "IT")</f>
        <v>IT</v>
      </c>
      <c r="C6247" s="8" t="s">
        <v>42</v>
      </c>
      <c r="D6247" s="9" t="str">
        <f>HYPERLINK("https://otsuka-europe-crm.veevavault.com/ui/#object/approved_document__v/V5OZ025E82RR47T", "AE Propensity Analysis- IT-LUP-2500004 Nefro")</f>
        <v>AE Propensity Analysis- IT-LUP-2500004 Nefro</v>
      </c>
      <c r="E6247" s="10" t="str">
        <f>HYPERLINK("https://otsuka-europe-crm.veevavault.com/ui/#object/sent_email__v/VBL000000039122", "SE-001444595")</f>
        <v>SE-001444595</v>
      </c>
      <c r="F6247" s="11"/>
      <c r="G6247" s="12">
        <v>0</v>
      </c>
      <c r="H6247" s="12">
        <v>0</v>
      </c>
      <c r="I6247" s="12">
        <v>0</v>
      </c>
      <c r="J6247" s="11"/>
      <c r="K6247" s="12">
        <v>0</v>
      </c>
      <c r="L6247" s="10" t="str">
        <f>HYPERLINK("https://otsuka-europe-crm.veevavault.com/ui/#object/approved_document__v/V5OZ025E82RR47T", "AE Propensity Analysis- IT-LUP-2500004 Nefro")</f>
        <v>AE Propensity Analysis- IT-LUP-2500004 Nefro</v>
      </c>
      <c r="M6247" s="10" t="str">
        <f>HYPERLINK("mailto:matteo.digennaro@crm.otsuka-europe.com", "matteo.digennaro@crm.otsuka-europe.com")</f>
        <v>matteo.digennaro@crm.otsuka-europe.com</v>
      </c>
      <c r="N6247" s="13">
        <v>46226.299189814818</v>
      </c>
      <c r="O6247" s="14" t="str">
        <f>HYPERLINK("https://otsuka-europe-crm.veevavault.com/ui/#object/email_activity__v/V8C00000004C311", "EN-002107477")</f>
        <v>EN-002107477</v>
      </c>
    </row>
    <row r="6248" spans="1:15" ht="32" x14ac:dyDescent="0.2">
      <c r="A6248" s="7" t="str">
        <f>HYPERLINK("https://otsuka-europe-crm.veevavault.com/ui/#object/account__v/V4TZ025E8431C86", "FEDERICA MARITATI")</f>
        <v>FEDERICA MARITATI</v>
      </c>
      <c r="B6248" s="7" t="str">
        <f>HYPERLINK("https://otsuka-europe-crm.veevavault.com/ui/#object/vcountry__v/VENZ000004SONFQ", "IT")</f>
        <v>IT</v>
      </c>
      <c r="C6248" s="8" t="s">
        <v>42</v>
      </c>
      <c r="D6248" s="9" t="str">
        <f>HYPERLINK("https://otsuka-europe-crm.veevavault.com/ui/#object/approved_document__v/V5OZ025E82RR47S", "AE Focus pz prevalenti- IT-LUP-2500005 Nefro")</f>
        <v>AE Focus pz prevalenti- IT-LUP-2500005 Nefro</v>
      </c>
      <c r="E6248" s="10" t="str">
        <f>HYPERLINK("https://otsuka-europe-crm.veevavault.com/ui/#object/sent_email__v/VBL000000039123", "SE-001444596")</f>
        <v>SE-001444596</v>
      </c>
      <c r="F6248" s="11"/>
      <c r="G6248" s="12">
        <v>0</v>
      </c>
      <c r="H6248" s="12">
        <v>0</v>
      </c>
      <c r="I6248" s="12">
        <v>0</v>
      </c>
      <c r="J6248" s="11"/>
      <c r="K6248" s="12">
        <v>0</v>
      </c>
      <c r="L6248" s="10" t="str">
        <f>HYPERLINK("https://otsuka-europe-crm.veevavault.com/ui/#object/approved_document__v/V5OZ025E82RR47S", "AE Focus pz prevalenti- IT-LUP-2500005 Nefro")</f>
        <v>AE Focus pz prevalenti- IT-LUP-2500005 Nefro</v>
      </c>
      <c r="M6248" s="10" t="str">
        <f>HYPERLINK("mailto:matteo.digennaro@crm.otsuka-europe.com", "matteo.digennaro@crm.otsuka-europe.com")</f>
        <v>matteo.digennaro@crm.otsuka-europe.com</v>
      </c>
      <c r="N6248" s="13">
        <v>46226.299247685187</v>
      </c>
      <c r="O6248" s="14" t="str">
        <f>HYPERLINK("https://otsuka-europe-crm.veevavault.com/ui/#object/email_activity__v/V8C00000004C260", "EN-002107332")</f>
        <v>EN-002107332</v>
      </c>
    </row>
    <row r="6249" spans="1:15" ht="16" x14ac:dyDescent="0.2">
      <c r="A6249" s="18" t="str">
        <f>HYPERLINK("https://otsuka-europe-crm.veevavault.com/ui/#object/account__v/V4TZ025E8431C86", "FEDERICA MARITATI")</f>
        <v>FEDERICA MARITATI</v>
      </c>
      <c r="B6249" s="18" t="str">
        <f>HYPERLINK("https://otsuka-europe-crm.veevavault.com/ui/#object/vcountry__v/VENZ000004SONFQ", "IT")</f>
        <v>IT</v>
      </c>
      <c r="C6249" s="20" t="s">
        <v>42</v>
      </c>
      <c r="D6249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49" s="22" t="str">
        <f>HYPERLINK("https://otsuka-europe-crm.veevavault.com/ui/#object/sent_email__v/VBL000000039124", "SE-001444597")</f>
        <v>SE-001444597</v>
      </c>
      <c r="F6249" s="23"/>
      <c r="G6249" s="24">
        <v>0</v>
      </c>
      <c r="H6249" s="24">
        <v>0</v>
      </c>
      <c r="I6249" s="24">
        <v>0</v>
      </c>
      <c r="J6249" s="23"/>
      <c r="K6249" s="24">
        <v>0</v>
      </c>
      <c r="L6249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49" s="22" t="str">
        <f>HYPERLINK("mailto:matteo.digennaro@crm.otsuka-europe.com", "matteo.digennaro@crm.otsuka-europe.com")</f>
        <v>matteo.digennaro@crm.otsuka-europe.com</v>
      </c>
      <c r="N6249" s="25">
        <v>46226.29923611111</v>
      </c>
      <c r="O6249" s="14" t="str">
        <f>HYPERLINK("https://otsuka-europe-crm.veevavault.com/ui/#object/email_activity__v/V8C00000004B510", "EN-002107621")</f>
        <v>EN-002107621</v>
      </c>
    </row>
    <row r="6250" spans="1:15" ht="16" x14ac:dyDescent="0.2">
      <c r="A6250" s="19"/>
      <c r="B6250" s="19"/>
      <c r="C6250" s="19"/>
      <c r="D6250" s="19"/>
      <c r="E6250" s="19"/>
      <c r="F6250" s="19"/>
      <c r="G6250" s="19"/>
      <c r="H6250" s="19"/>
      <c r="I6250" s="19"/>
      <c r="J6250" s="19"/>
      <c r="K6250" s="19"/>
      <c r="L6250" s="19"/>
      <c r="M6250" s="19"/>
      <c r="N6250" s="19"/>
      <c r="O6250" s="14" t="str">
        <f>HYPERLINK("https://otsuka-europe-crm.veevavault.com/ui/#object/email_activity__v/V8C00000004B819", "EN-002108127")</f>
        <v>EN-002108127</v>
      </c>
    </row>
    <row r="6251" spans="1:15" ht="32" x14ac:dyDescent="0.2">
      <c r="A6251" s="7" t="str">
        <f>HYPERLINK("https://otsuka-europe-crm.veevavault.com/ui/#object/account__v/V4TZ025E85UPH1Q", "ILARIA CHIAPPAROLI")</f>
        <v>ILARIA CHIAPPAROLI</v>
      </c>
      <c r="B6251" s="7" t="str">
        <f>HYPERLINK("https://otsuka-europe-crm.veevavault.com/ui/#object/vcountry__v/VENZ000004SONFQ", "IT")</f>
        <v>IT</v>
      </c>
      <c r="C6251" s="8" t="s">
        <v>42</v>
      </c>
      <c r="D6251" s="9" t="str">
        <f>HYPERLINK("https://otsuka-europe-crm.veevavault.com/ui/#object/approved_document__v/V5OZ025E82RRA5M", "AURORA 2 - AE RHEUMA")</f>
        <v>AURORA 2 - AE RHEUMA</v>
      </c>
      <c r="E6251" s="10" t="str">
        <f>HYPERLINK("https://otsuka-europe-crm.veevavault.com/ui/#object/sent_email__v/VBL000000039125", "SE-001444598")</f>
        <v>SE-001444598</v>
      </c>
      <c r="F6251" s="11"/>
      <c r="G6251" s="12">
        <v>0</v>
      </c>
      <c r="H6251" s="12">
        <v>0</v>
      </c>
      <c r="I6251" s="12">
        <v>0</v>
      </c>
      <c r="J6251" s="11"/>
      <c r="K6251" s="12">
        <v>0</v>
      </c>
      <c r="L6251" s="10" t="str">
        <f>HYPERLINK("https://otsuka-europe-crm.veevavault.com/ui/#object/approved_document__v/V5OZ025E82RRA5M", "AURORA 2 - AE RHEUMA")</f>
        <v>AURORA 2 - AE RHEUMA</v>
      </c>
      <c r="M6251" s="10" t="str">
        <f>HYPERLINK("mailto:matteo.digennaro@crm.otsuka-europe.com", "matteo.digennaro@crm.otsuka-europe.com")</f>
        <v>matteo.digennaro@crm.otsuka-europe.com</v>
      </c>
      <c r="N6251" s="13">
        <v>46226.299189814818</v>
      </c>
      <c r="O6251" s="14" t="str">
        <f>HYPERLINK("https://otsuka-europe-crm.veevavault.com/ui/#object/email_activity__v/V8C00000004B352", "EN-002107365")</f>
        <v>EN-002107365</v>
      </c>
    </row>
    <row r="6252" spans="1:15" ht="32" x14ac:dyDescent="0.2">
      <c r="A6252" s="7" t="str">
        <f>HYPERLINK("https://otsuka-europe-crm.veevavault.com/ui/#object/account__v/V4TZ025E85UPH1Q", "ILARIA CHIAPPAROLI")</f>
        <v>ILARIA CHIAPPAROLI</v>
      </c>
      <c r="B6252" s="7" t="str">
        <f>HYPERLINK("https://otsuka-europe-crm.veevavault.com/ui/#object/vcountry__v/VENZ000004SONFQ", "IT")</f>
        <v>IT</v>
      </c>
      <c r="C6252" s="8" t="s">
        <v>42</v>
      </c>
      <c r="D6252" s="9" t="str">
        <f>HYPERLINK("https://otsuka-europe-crm.veevavault.com/ui/#object/approved_document__v/V5OZ025E82RR47W", "AE Propensity Analysis- IT-LUP-2500004 Reuma")</f>
        <v>AE Propensity Analysis- IT-LUP-2500004 Reuma</v>
      </c>
      <c r="E6252" s="10" t="str">
        <f>HYPERLINK("https://otsuka-europe-crm.veevavault.com/ui/#object/sent_email__v/VBL000000039126", "SE-001444599")</f>
        <v>SE-001444599</v>
      </c>
      <c r="F6252" s="11"/>
      <c r="G6252" s="12">
        <v>0</v>
      </c>
      <c r="H6252" s="12">
        <v>0</v>
      </c>
      <c r="I6252" s="12">
        <v>0</v>
      </c>
      <c r="J6252" s="11"/>
      <c r="K6252" s="12">
        <v>0</v>
      </c>
      <c r="L6252" s="10" t="str">
        <f>HYPERLINK("https://otsuka-europe-crm.veevavault.com/ui/#object/approved_document__v/V5OZ025E82RR47W", "AE Propensity Analysis- IT-LUP-2500004 Reuma")</f>
        <v>AE Propensity Analysis- IT-LUP-2500004 Reuma</v>
      </c>
      <c r="M6252" s="10" t="str">
        <f>HYPERLINK("mailto:matteo.digennaro@crm.otsuka-europe.com", "matteo.digennaro@crm.otsuka-europe.com")</f>
        <v>matteo.digennaro@crm.otsuka-europe.com</v>
      </c>
      <c r="N6252" s="13">
        <v>46226.29923611111</v>
      </c>
      <c r="O6252" s="14" t="str">
        <f>HYPERLINK("https://otsuka-europe-crm.veevavault.com/ui/#object/email_activity__v/V8C00000004B460", "EN-002107568")</f>
        <v>EN-002107568</v>
      </c>
    </row>
    <row r="6253" spans="1:15" ht="32" x14ac:dyDescent="0.2">
      <c r="A6253" s="7" t="str">
        <f>HYPERLINK("https://otsuka-europe-crm.veevavault.com/ui/#object/account__v/V4TZ025E85UPH1Q", "ILARIA CHIAPPAROLI")</f>
        <v>ILARIA CHIAPPAROLI</v>
      </c>
      <c r="B6253" s="7" t="str">
        <f>HYPERLINK("https://otsuka-europe-crm.veevavault.com/ui/#object/vcountry__v/VENZ000004SONFQ", "IT")</f>
        <v>IT</v>
      </c>
      <c r="C6253" s="8" t="s">
        <v>42</v>
      </c>
      <c r="D6253" s="9" t="str">
        <f>HYPERLINK("https://otsuka-europe-crm.veevavault.com/ui/#object/approved_document__v/V5OZ025E82RR47U", "AE Focus pz prevalenti- IT-LUP-2500005 Reuma")</f>
        <v>AE Focus pz prevalenti- IT-LUP-2500005 Reuma</v>
      </c>
      <c r="E6253" s="10" t="str">
        <f>HYPERLINK("https://otsuka-europe-crm.veevavault.com/ui/#object/sent_email__v/VBL000000039127", "SE-001444600")</f>
        <v>SE-001444600</v>
      </c>
      <c r="F6253" s="11"/>
      <c r="G6253" s="12">
        <v>0</v>
      </c>
      <c r="H6253" s="12">
        <v>0</v>
      </c>
      <c r="I6253" s="12">
        <v>0</v>
      </c>
      <c r="J6253" s="11"/>
      <c r="K6253" s="12">
        <v>0</v>
      </c>
      <c r="L6253" s="10" t="str">
        <f>HYPERLINK("https://otsuka-europe-crm.veevavault.com/ui/#object/approved_document__v/V5OZ025E82RR47U", "AE Focus pz prevalenti- IT-LUP-2500005 Reuma")</f>
        <v>AE Focus pz prevalenti- IT-LUP-2500005 Reuma</v>
      </c>
      <c r="M6253" s="10" t="str">
        <f>HYPERLINK("mailto:matteo.digennaro@crm.otsuka-europe.com", "matteo.digennaro@crm.otsuka-europe.com")</f>
        <v>matteo.digennaro@crm.otsuka-europe.com</v>
      </c>
      <c r="N6253" s="13">
        <v>46226.299224537041</v>
      </c>
      <c r="O6253" s="14" t="str">
        <f>HYPERLINK("https://otsuka-europe-crm.veevavault.com/ui/#object/email_activity__v/V8C00000004B371", "EN-002107384")</f>
        <v>EN-002107384</v>
      </c>
    </row>
    <row r="6254" spans="1:15" ht="16" x14ac:dyDescent="0.2">
      <c r="A6254" s="18" t="str">
        <f>HYPERLINK("https://otsuka-europe-crm.veevavault.com/ui/#object/account__v/V4TZ025E85UPH1Q", "ILARIA CHIAPPAROLI")</f>
        <v>ILARIA CHIAPPAROLI</v>
      </c>
      <c r="B6254" s="18" t="str">
        <f>HYPERLINK("https://otsuka-europe-crm.veevavault.com/ui/#object/vcountry__v/VENZ000004SONFQ", "IT")</f>
        <v>IT</v>
      </c>
      <c r="C6254" s="20" t="s">
        <v>42</v>
      </c>
      <c r="D6254" s="21" t="str">
        <f>HYPERLINK("https://otsuka-europe-crm.veevavault.com/ui/#object/approved_document__v/V5OZ025E82RR47L", "RTE Proteinuria C1 - IT-LUP-2500006 - Reuma")</f>
        <v>RTE Proteinuria C1 - IT-LUP-2500006 - Reuma</v>
      </c>
      <c r="E6254" s="22" t="str">
        <f>HYPERLINK("https://otsuka-europe-crm.veevavault.com/ui/#object/sent_email__v/VBL00000003A236", "SE-001444601")</f>
        <v>SE-001444601</v>
      </c>
      <c r="F6254" s="23"/>
      <c r="G6254" s="24">
        <v>0</v>
      </c>
      <c r="H6254" s="24">
        <v>0</v>
      </c>
      <c r="I6254" s="24">
        <v>0</v>
      </c>
      <c r="J6254" s="23"/>
      <c r="K6254" s="24">
        <v>0</v>
      </c>
      <c r="L6254" s="22" t="str">
        <f>HYPERLINK("https://otsuka-europe-crm.veevavault.com/ui/#object/approved_document__v/V5OZ025E82RR47L", "RTE Proteinuria C1 - IT-LUP-2500006 - Reuma")</f>
        <v>RTE Proteinuria C1 - IT-LUP-2500006 - Reuma</v>
      </c>
      <c r="M6254" s="22" t="str">
        <f>HYPERLINK("mailto:matteo.digennaro@crm.otsuka-europe.com", "matteo.digennaro@crm.otsuka-europe.com")</f>
        <v>matteo.digennaro@crm.otsuka-europe.com</v>
      </c>
      <c r="N6254" s="25">
        <v>46226.29928240741</v>
      </c>
      <c r="O6254" s="14" t="str">
        <f>HYPERLINK("https://otsuka-europe-crm.veevavault.com/ui/#object/email_activity__v/V8C00000004B594", "EN-002107705")</f>
        <v>EN-002107705</v>
      </c>
    </row>
    <row r="6255" spans="1:15" ht="16" x14ac:dyDescent="0.2">
      <c r="A6255" s="19"/>
      <c r="B6255" s="19"/>
      <c r="C6255" s="19"/>
      <c r="D6255" s="19"/>
      <c r="E6255" s="19"/>
      <c r="F6255" s="19"/>
      <c r="G6255" s="19"/>
      <c r="H6255" s="19"/>
      <c r="I6255" s="19"/>
      <c r="J6255" s="19"/>
      <c r="K6255" s="19"/>
      <c r="L6255" s="19"/>
      <c r="M6255" s="19"/>
      <c r="N6255" s="19"/>
      <c r="O6255" s="14" t="str">
        <f>HYPERLINK("https://otsuka-europe-crm.veevavault.com/ui/#object/email_activity__v/V8C00000004C516", "EN-002108014")</f>
        <v>EN-002108014</v>
      </c>
    </row>
    <row r="6256" spans="1:15" ht="48" x14ac:dyDescent="0.2">
      <c r="A6256" s="7" t="str">
        <f>HYPERLINK("https://otsuka-europe-crm.veevavault.com/ui/#object/account__v/V4TZ025E85UPH1Q", "ILARIA CHIAPPAROLI")</f>
        <v>ILARIA CHIAPPAROLI</v>
      </c>
      <c r="B6256" s="7" t="str">
        <f>HYPERLINK("https://otsuka-europe-crm.veevavault.com/ui/#object/vcountry__v/VENZ000004SONFQ", "IT")</f>
        <v>IT</v>
      </c>
      <c r="C6256" s="8" t="s">
        <v>42</v>
      </c>
      <c r="D6256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256" s="10" t="str">
        <f>HYPERLINK("https://otsuka-europe-crm.veevavault.com/ui/#object/sent_email__v/VBL000000039128", "SE-001444602")</f>
        <v>SE-001444602</v>
      </c>
      <c r="F6256" s="11"/>
      <c r="G6256" s="12">
        <v>0</v>
      </c>
      <c r="H6256" s="12">
        <v>0</v>
      </c>
      <c r="I6256" s="12">
        <v>0</v>
      </c>
      <c r="J6256" s="11"/>
      <c r="K6256" s="12">
        <v>0</v>
      </c>
      <c r="L6256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256" s="10" t="str">
        <f>HYPERLINK("mailto:matteo.digennaro@crm.otsuka-europe.com", "matteo.digennaro@crm.otsuka-europe.com")</f>
        <v>matteo.digennaro@crm.otsuka-europe.com</v>
      </c>
      <c r="N6256" s="13">
        <v>46226.29923611111</v>
      </c>
      <c r="O6256" s="14" t="str">
        <f>HYPERLINK("https://otsuka-europe-crm.veevavault.com/ui/#object/email_activity__v/V8C00000004B393", "EN-002107407")</f>
        <v>EN-002107407</v>
      </c>
    </row>
    <row r="6257" spans="1:15" ht="16" x14ac:dyDescent="0.2">
      <c r="A6257" s="18" t="str">
        <f>HYPERLINK("https://otsuka-europe-crm.veevavault.com/ui/#object/account__v/V4TZ025E835GMNA", "NICOLA MARCHIONNA")</f>
        <v>NICOLA MARCHIONNA</v>
      </c>
      <c r="B6257" s="18" t="str">
        <f>HYPERLINK("https://otsuka-europe-crm.veevavault.com/ui/#object/vcountry__v/VENZ000004SONFQ", "IT")</f>
        <v>IT</v>
      </c>
      <c r="C6257" s="20" t="s">
        <v>42</v>
      </c>
      <c r="D6257" s="21" t="str">
        <f>HYPERLINK("https://otsuka-europe-crm.veevavault.com/ui/#object/approved_document__v/V5OZ025E82RRA5I", "AURORA 2 - AE NEPHRO")</f>
        <v>AURORA 2 - AE NEPHRO</v>
      </c>
      <c r="E6257" s="22" t="str">
        <f>HYPERLINK("https://otsuka-europe-crm.veevavault.com/ui/#object/sent_email__v/VBL00000003A237", "SE-001444603")</f>
        <v>SE-001444603</v>
      </c>
      <c r="F6257" s="23"/>
      <c r="G6257" s="24">
        <v>0</v>
      </c>
      <c r="H6257" s="24">
        <v>0</v>
      </c>
      <c r="I6257" s="24">
        <v>0</v>
      </c>
      <c r="J6257" s="23"/>
      <c r="K6257" s="24">
        <v>0</v>
      </c>
      <c r="L6257" s="22" t="str">
        <f>HYPERLINK("https://otsuka-europe-crm.veevavault.com/ui/#object/approved_document__v/V5OZ025E82RRA5I", "AURORA 2 - AE NEPHRO")</f>
        <v>AURORA 2 - AE NEPHRO</v>
      </c>
      <c r="M6257" s="22" t="str">
        <f>HYPERLINK("mailto:matteo.digennaro@crm.otsuka-europe.com", "matteo.digennaro@crm.otsuka-europe.com")</f>
        <v>matteo.digennaro@crm.otsuka-europe.com</v>
      </c>
      <c r="N6257" s="25">
        <v>46226.299293981479</v>
      </c>
      <c r="O6257" s="14" t="str">
        <f>HYPERLINK("https://otsuka-europe-crm.veevavault.com/ui/#object/email_activity__v/V8C00000004B595", "EN-002107706")</f>
        <v>EN-002107706</v>
      </c>
    </row>
    <row r="6258" spans="1:15" ht="16" x14ac:dyDescent="0.2">
      <c r="A6258" s="19"/>
      <c r="B6258" s="19"/>
      <c r="C6258" s="19"/>
      <c r="D6258" s="19"/>
      <c r="E6258" s="19"/>
      <c r="F6258" s="19"/>
      <c r="G6258" s="19"/>
      <c r="H6258" s="19"/>
      <c r="I6258" s="19"/>
      <c r="J6258" s="19"/>
      <c r="K6258" s="19"/>
      <c r="L6258" s="19"/>
      <c r="M6258" s="19"/>
      <c r="N6258" s="19"/>
      <c r="O6258" s="14" t="str">
        <f>HYPERLINK("https://otsuka-europe-crm.veevavault.com/ui/#object/email_activity__v/V8C00000004B694", "EN-002107821")</f>
        <v>EN-002107821</v>
      </c>
    </row>
    <row r="6259" spans="1:15" ht="16" x14ac:dyDescent="0.2">
      <c r="A6259" s="18" t="str">
        <f>HYPERLINK("https://otsuka-europe-crm.veevavault.com/ui/#object/account__v/V4TZ025E835GMNA", "NICOLA MARCHIONNA")</f>
        <v>NICOLA MARCHIONNA</v>
      </c>
      <c r="B6259" s="18" t="str">
        <f>HYPERLINK("https://otsuka-europe-crm.veevavault.com/ui/#object/vcountry__v/VENZ000004SONFQ", "IT")</f>
        <v>IT</v>
      </c>
      <c r="C6259" s="20" t="s">
        <v>42</v>
      </c>
      <c r="D6259" s="21" t="str">
        <f>HYPERLINK("https://otsuka-europe-crm.veevavault.com/ui/#object/approved_document__v/V5OZ025E82RR480", "RTE Proteinuria C1 - IT-LUP-2500006 - Nephro")</f>
        <v>RTE Proteinuria C1 - IT-LUP-2500006 - Nephro</v>
      </c>
      <c r="E6259" s="22" t="str">
        <f>HYPERLINK("https://otsuka-europe-crm.veevavault.com/ui/#object/sent_email__v/VBL000000039129", "SE-001444604")</f>
        <v>SE-001444604</v>
      </c>
      <c r="F6259" s="23"/>
      <c r="G6259" s="24">
        <v>0</v>
      </c>
      <c r="H6259" s="24">
        <v>0</v>
      </c>
      <c r="I6259" s="24">
        <v>0</v>
      </c>
      <c r="J6259" s="23"/>
      <c r="K6259" s="24">
        <v>0</v>
      </c>
      <c r="L6259" s="22" t="str">
        <f>HYPERLINK("https://otsuka-europe-crm.veevavault.com/ui/#object/approved_document__v/V5OZ025E82RR480", "RTE Proteinuria C1 - IT-LUP-2500006 - Nephro")</f>
        <v>RTE Proteinuria C1 - IT-LUP-2500006 - Nephro</v>
      </c>
      <c r="M6259" s="22" t="str">
        <f>HYPERLINK("mailto:matteo.digennaro@crm.otsuka-europe.com", "matteo.digennaro@crm.otsuka-europe.com")</f>
        <v>matteo.digennaro@crm.otsuka-europe.com</v>
      </c>
      <c r="N6259" s="25">
        <v>46226.299224537041</v>
      </c>
      <c r="O6259" s="14" t="str">
        <f>HYPERLINK("https://otsuka-europe-crm.veevavault.com/ui/#object/email_activity__v/V8C00000004B511", "EN-002107622")</f>
        <v>EN-002107622</v>
      </c>
    </row>
    <row r="6260" spans="1:15" ht="16" x14ac:dyDescent="0.2">
      <c r="A6260" s="19"/>
      <c r="B6260" s="19"/>
      <c r="C6260" s="19"/>
      <c r="D6260" s="19"/>
      <c r="E6260" s="19"/>
      <c r="F6260" s="19"/>
      <c r="G6260" s="19"/>
      <c r="H6260" s="19"/>
      <c r="I6260" s="19"/>
      <c r="J6260" s="19"/>
      <c r="K6260" s="19"/>
      <c r="L6260" s="19"/>
      <c r="M6260" s="19"/>
      <c r="N6260" s="19"/>
      <c r="O6260" s="14" t="str">
        <f>HYPERLINK("https://otsuka-europe-crm.veevavault.com/ui/#object/email_activity__v/V8C00000004C416", "EN-002107857")</f>
        <v>EN-002107857</v>
      </c>
    </row>
    <row r="6261" spans="1:15" ht="32" x14ac:dyDescent="0.2">
      <c r="A6261" s="7" t="str">
        <f>HYPERLINK("https://otsuka-europe-crm.veevavault.com/ui/#object/account__v/V4TZ025E835GMNA", "NICOLA MARCHIONNA")</f>
        <v>NICOLA MARCHIONNA</v>
      </c>
      <c r="B6261" s="7" t="str">
        <f>HYPERLINK("https://otsuka-europe-crm.veevavault.com/ui/#object/vcountry__v/VENZ000004SONFQ", "IT")</f>
        <v>IT</v>
      </c>
      <c r="C6261" s="8" t="s">
        <v>42</v>
      </c>
      <c r="D6261" s="9" t="str">
        <f>HYPERLINK("https://otsuka-europe-crm.veevavault.com/ui/#object/approved_document__v/V5OZ025E82RR47T", "AE Propensity Analysis- IT-LUP-2500004 Nefro")</f>
        <v>AE Propensity Analysis- IT-LUP-2500004 Nefro</v>
      </c>
      <c r="E6261" s="10" t="str">
        <f>HYPERLINK("https://otsuka-europe-crm.veevavault.com/ui/#object/sent_email__v/VBL000000039130", "SE-001444605")</f>
        <v>SE-001444605</v>
      </c>
      <c r="F6261" s="11"/>
      <c r="G6261" s="12">
        <v>0</v>
      </c>
      <c r="H6261" s="12">
        <v>0</v>
      </c>
      <c r="I6261" s="12">
        <v>0</v>
      </c>
      <c r="J6261" s="11"/>
      <c r="K6261" s="12">
        <v>0</v>
      </c>
      <c r="L6261" s="10" t="str">
        <f>HYPERLINK("https://otsuka-europe-crm.veevavault.com/ui/#object/approved_document__v/V5OZ025E82RR47T", "AE Propensity Analysis- IT-LUP-2500004 Nefro")</f>
        <v>AE Propensity Analysis- IT-LUP-2500004 Nefro</v>
      </c>
      <c r="M6261" s="10" t="str">
        <f>HYPERLINK("mailto:matteo.digennaro@crm.otsuka-europe.com", "matteo.digennaro@crm.otsuka-europe.com")</f>
        <v>matteo.digennaro@crm.otsuka-europe.com</v>
      </c>
      <c r="N6261" s="13">
        <v>46226.29923611111</v>
      </c>
      <c r="O6261" s="14" t="str">
        <f>HYPERLINK("https://otsuka-europe-crm.veevavault.com/ui/#object/email_activity__v/V8C00000004C236", "EN-002107308")</f>
        <v>EN-002107308</v>
      </c>
    </row>
    <row r="6262" spans="1:15" ht="16" x14ac:dyDescent="0.2">
      <c r="A6262" s="18" t="str">
        <f>HYPERLINK("https://otsuka-europe-crm.veevavault.com/ui/#object/account__v/V4TZ025E835GMNA", "NICOLA MARCHIONNA")</f>
        <v>NICOLA MARCHIONNA</v>
      </c>
      <c r="B6262" s="18" t="str">
        <f>HYPERLINK("https://otsuka-europe-crm.veevavault.com/ui/#object/vcountry__v/VENZ000004SONFQ", "IT")</f>
        <v>IT</v>
      </c>
      <c r="C6262" s="20" t="s">
        <v>42</v>
      </c>
      <c r="D6262" s="21" t="str">
        <f>HYPERLINK("https://otsuka-europe-crm.veevavault.com/ui/#object/approved_document__v/V5OZ025E82RR47S", "AE Focus pz prevalenti- IT-LUP-2500005 Nefro")</f>
        <v>AE Focus pz prevalenti- IT-LUP-2500005 Nefro</v>
      </c>
      <c r="E6262" s="22" t="str">
        <f>HYPERLINK("https://otsuka-europe-crm.veevavault.com/ui/#object/sent_email__v/VBL000000039131", "SE-001444606")</f>
        <v>SE-001444606</v>
      </c>
      <c r="F6262" s="23"/>
      <c r="G6262" s="24">
        <v>0</v>
      </c>
      <c r="H6262" s="24">
        <v>0</v>
      </c>
      <c r="I6262" s="24">
        <v>0</v>
      </c>
      <c r="J6262" s="23"/>
      <c r="K6262" s="24">
        <v>0</v>
      </c>
      <c r="L6262" s="22" t="str">
        <f>HYPERLINK("https://otsuka-europe-crm.veevavault.com/ui/#object/approved_document__v/V5OZ025E82RR47S", "AE Focus pz prevalenti- IT-LUP-2500005 Nefro")</f>
        <v>AE Focus pz prevalenti- IT-LUP-2500005 Nefro</v>
      </c>
      <c r="M6262" s="22" t="str">
        <f>HYPERLINK("mailto:matteo.digennaro@crm.otsuka-europe.com", "matteo.digennaro@crm.otsuka-europe.com")</f>
        <v>matteo.digennaro@crm.otsuka-europe.com</v>
      </c>
      <c r="N6262" s="25">
        <v>46226.299247685187</v>
      </c>
      <c r="O6262" s="14" t="str">
        <f>HYPERLINK("https://otsuka-europe-crm.veevavault.com/ui/#object/email_activity__v/V8C00000004B512", "EN-002107623")</f>
        <v>EN-002107623</v>
      </c>
    </row>
    <row r="6263" spans="1:15" ht="16" x14ac:dyDescent="0.2">
      <c r="A6263" s="19"/>
      <c r="B6263" s="19"/>
      <c r="C6263" s="19"/>
      <c r="D6263" s="19"/>
      <c r="E6263" s="19"/>
      <c r="F6263" s="19"/>
      <c r="G6263" s="19"/>
      <c r="H6263" s="19"/>
      <c r="I6263" s="19"/>
      <c r="J6263" s="19"/>
      <c r="K6263" s="19"/>
      <c r="L6263" s="19"/>
      <c r="M6263" s="19"/>
      <c r="N6263" s="19"/>
      <c r="O6263" s="14" t="str">
        <f>HYPERLINK("https://otsuka-europe-crm.veevavault.com/ui/#object/email_activity__v/V8C00000004C505", "EN-002108003")</f>
        <v>EN-002108003</v>
      </c>
    </row>
    <row r="6264" spans="1:15" ht="16" x14ac:dyDescent="0.2">
      <c r="A6264" s="18" t="str">
        <f>HYPERLINK("https://otsuka-europe-crm.veevavault.com/ui/#object/account__v/V4TZ025E835GMNA", "NICOLA MARCHIONNA")</f>
        <v>NICOLA MARCHIONNA</v>
      </c>
      <c r="B6264" s="18" t="str">
        <f>HYPERLINK("https://otsuka-europe-crm.veevavault.com/ui/#object/vcountry__v/VENZ000004SONFQ", "IT")</f>
        <v>IT</v>
      </c>
      <c r="C6264" s="20" t="s">
        <v>42</v>
      </c>
      <c r="D6264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64" s="22" t="str">
        <f>HYPERLINK("https://otsuka-europe-crm.veevavault.com/ui/#object/sent_email__v/VBL000000039132", "SE-001444607")</f>
        <v>SE-001444607</v>
      </c>
      <c r="F6264" s="23"/>
      <c r="G6264" s="24">
        <v>0</v>
      </c>
      <c r="H6264" s="24">
        <v>0</v>
      </c>
      <c r="I6264" s="24">
        <v>0</v>
      </c>
      <c r="J6264" s="23"/>
      <c r="K6264" s="24">
        <v>0</v>
      </c>
      <c r="L6264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64" s="22" t="str">
        <f>HYPERLINK("mailto:matteo.digennaro@crm.otsuka-europe.com", "matteo.digennaro@crm.otsuka-europe.com")</f>
        <v>matteo.digennaro@crm.otsuka-europe.com</v>
      </c>
      <c r="N6264" s="25">
        <v>46226.29923611111</v>
      </c>
      <c r="O6264" s="14" t="str">
        <f>HYPERLINK("https://otsuka-europe-crm.veevavault.com/ui/#object/email_activity__v/V8C00000004B513", "EN-002107624")</f>
        <v>EN-002107624</v>
      </c>
    </row>
    <row r="6265" spans="1:15" ht="16" x14ac:dyDescent="0.2">
      <c r="A6265" s="19"/>
      <c r="B6265" s="19"/>
      <c r="C6265" s="19"/>
      <c r="D6265" s="19"/>
      <c r="E6265" s="19"/>
      <c r="F6265" s="19"/>
      <c r="G6265" s="19"/>
      <c r="H6265" s="19"/>
      <c r="I6265" s="19"/>
      <c r="J6265" s="19"/>
      <c r="K6265" s="19"/>
      <c r="L6265" s="19"/>
      <c r="M6265" s="19"/>
      <c r="N6265" s="19"/>
      <c r="O6265" s="14" t="str">
        <f>HYPERLINK("https://otsuka-europe-crm.veevavault.com/ui/#object/email_activity__v/V8C00000004B797", "EN-002108105")</f>
        <v>EN-002108105</v>
      </c>
    </row>
    <row r="6266" spans="1:15" ht="16" x14ac:dyDescent="0.2">
      <c r="A6266" s="18" t="str">
        <f>HYPERLINK("https://otsuka-europe-crm.veevavault.com/ui/#object/account__v/V4TZ06G6O71SBNY", "FEDERICO NALESSO")</f>
        <v>FEDERICO NALESSO</v>
      </c>
      <c r="B6266" s="18" t="str">
        <f>HYPERLINK("https://otsuka-europe-crm.veevavault.com/ui/#object/vcountry__v/VENZ000004SONFQ", "IT")</f>
        <v>IT</v>
      </c>
      <c r="C6266" s="20" t="s">
        <v>42</v>
      </c>
      <c r="D6266" s="21" t="str">
        <f>HYPERLINK("https://otsuka-europe-crm.veevavault.com/ui/#object/approved_document__v/V5OZ025E82RRA5I", "AURORA 2 - AE NEPHRO")</f>
        <v>AURORA 2 - AE NEPHRO</v>
      </c>
      <c r="E6266" s="22" t="str">
        <f>HYPERLINK("https://otsuka-europe-crm.veevavault.com/ui/#object/sent_email__v/VBL000000039133", "SE-001444608")</f>
        <v>SE-001444608</v>
      </c>
      <c r="F6266" s="23"/>
      <c r="G6266" s="24">
        <v>0</v>
      </c>
      <c r="H6266" s="24">
        <v>0</v>
      </c>
      <c r="I6266" s="24">
        <v>0</v>
      </c>
      <c r="J6266" s="23"/>
      <c r="K6266" s="24">
        <v>0</v>
      </c>
      <c r="L6266" s="22" t="str">
        <f>HYPERLINK("https://otsuka-europe-crm.veevavault.com/ui/#object/approved_document__v/V5OZ025E82RRA5I", "AURORA 2 - AE NEPHRO")</f>
        <v>AURORA 2 - AE NEPHRO</v>
      </c>
      <c r="M6266" s="22" t="str">
        <f>HYPERLINK("mailto:matteo.digennaro@crm.otsuka-europe.com", "matteo.digennaro@crm.otsuka-europe.com")</f>
        <v>matteo.digennaro@crm.otsuka-europe.com</v>
      </c>
      <c r="N6266" s="25">
        <v>46226.299293981479</v>
      </c>
      <c r="O6266" s="14" t="str">
        <f>HYPERLINK("https://otsuka-europe-crm.veevavault.com/ui/#object/email_activity__v/V8C00000004B514", "EN-002107625")</f>
        <v>EN-002107625</v>
      </c>
    </row>
    <row r="6267" spans="1:15" ht="16" x14ac:dyDescent="0.2">
      <c r="A6267" s="19"/>
      <c r="B6267" s="19"/>
      <c r="C6267" s="19"/>
      <c r="D6267" s="19"/>
      <c r="E6267" s="19"/>
      <c r="F6267" s="19"/>
      <c r="G6267" s="19"/>
      <c r="H6267" s="19"/>
      <c r="I6267" s="19"/>
      <c r="J6267" s="19"/>
      <c r="K6267" s="19"/>
      <c r="L6267" s="19"/>
      <c r="M6267" s="19"/>
      <c r="N6267" s="19"/>
      <c r="O6267" s="14" t="str">
        <f>HYPERLINK("https://otsuka-europe-crm.veevavault.com/ui/#object/email_activity__v/V8C00000004B690", "EN-002107817")</f>
        <v>EN-002107817</v>
      </c>
    </row>
    <row r="6268" spans="1:15" ht="16" x14ac:dyDescent="0.2">
      <c r="A6268" s="18" t="str">
        <f>HYPERLINK("https://otsuka-europe-crm.veevavault.com/ui/#object/account__v/V4TZ06G6O71SBNY", "FEDERICO NALESSO")</f>
        <v>FEDERICO NALESSO</v>
      </c>
      <c r="B6268" s="18" t="str">
        <f>HYPERLINK("https://otsuka-europe-crm.veevavault.com/ui/#object/vcountry__v/VENZ000004SONFQ", "IT")</f>
        <v>IT</v>
      </c>
      <c r="C6268" s="20" t="s">
        <v>42</v>
      </c>
      <c r="D6268" s="21" t="str">
        <f>HYPERLINK("https://otsuka-europe-crm.veevavault.com/ui/#object/approved_document__v/V5OZ025E82RR480", "RTE Proteinuria C1 - IT-LUP-2500006 - Nephro")</f>
        <v>RTE Proteinuria C1 - IT-LUP-2500006 - Nephro</v>
      </c>
      <c r="E6268" s="22" t="str">
        <f>HYPERLINK("https://otsuka-europe-crm.veevavault.com/ui/#object/sent_email__v/VBL00000003A238", "SE-001444609")</f>
        <v>SE-001444609</v>
      </c>
      <c r="F6268" s="23"/>
      <c r="G6268" s="24">
        <v>0</v>
      </c>
      <c r="H6268" s="24">
        <v>0</v>
      </c>
      <c r="I6268" s="24">
        <v>0</v>
      </c>
      <c r="J6268" s="23"/>
      <c r="K6268" s="24">
        <v>0</v>
      </c>
      <c r="L6268" s="22" t="str">
        <f>HYPERLINK("https://otsuka-europe-crm.veevavault.com/ui/#object/approved_document__v/V5OZ025E82RR480", "RTE Proteinuria C1 - IT-LUP-2500006 - Nephro")</f>
        <v>RTE Proteinuria C1 - IT-LUP-2500006 - Nephro</v>
      </c>
      <c r="M6268" s="22" t="str">
        <f>HYPERLINK("mailto:matteo.digennaro@crm.otsuka-europe.com", "matteo.digennaro@crm.otsuka-europe.com")</f>
        <v>matteo.digennaro@crm.otsuka-europe.com</v>
      </c>
      <c r="N6268" s="25">
        <v>46226.299224537041</v>
      </c>
      <c r="O6268" s="14" t="str">
        <f>HYPERLINK("https://otsuka-europe-crm.veevavault.com/ui/#object/email_activity__v/V8C00000004B596", "EN-002107707")</f>
        <v>EN-002107707</v>
      </c>
    </row>
    <row r="6269" spans="1:15" ht="16" x14ac:dyDescent="0.2">
      <c r="A6269" s="19"/>
      <c r="B6269" s="19"/>
      <c r="C6269" s="19"/>
      <c r="D6269" s="19"/>
      <c r="E6269" s="19"/>
      <c r="F6269" s="19"/>
      <c r="G6269" s="19"/>
      <c r="H6269" s="19"/>
      <c r="I6269" s="19"/>
      <c r="J6269" s="19"/>
      <c r="K6269" s="19"/>
      <c r="L6269" s="19"/>
      <c r="M6269" s="19"/>
      <c r="N6269" s="19"/>
      <c r="O6269" s="14" t="str">
        <f>HYPERLINK("https://otsuka-europe-crm.veevavault.com/ui/#object/email_activity__v/V8C00000004B678", "EN-002107805")</f>
        <v>EN-002107805</v>
      </c>
    </row>
    <row r="6270" spans="1:15" ht="16" x14ac:dyDescent="0.2">
      <c r="A6270" s="18" t="str">
        <f>HYPERLINK("https://otsuka-europe-crm.veevavault.com/ui/#object/account__v/V4TZ06G6O71SBNY", "FEDERICO NALESSO")</f>
        <v>FEDERICO NALESSO</v>
      </c>
      <c r="B6270" s="18" t="str">
        <f>HYPERLINK("https://otsuka-europe-crm.veevavault.com/ui/#object/vcountry__v/VENZ000004SONFQ", "IT")</f>
        <v>IT</v>
      </c>
      <c r="C6270" s="20" t="s">
        <v>42</v>
      </c>
      <c r="D6270" s="21" t="str">
        <f>HYPERLINK("https://otsuka-europe-crm.veevavault.com/ui/#object/approved_document__v/V5OZ025E82RR47T", "AE Propensity Analysis- IT-LUP-2500004 Nefro")</f>
        <v>AE Propensity Analysis- IT-LUP-2500004 Nefro</v>
      </c>
      <c r="E6270" s="22" t="str">
        <f>HYPERLINK("https://otsuka-europe-crm.veevavault.com/ui/#object/sent_email__v/VBL000000039134", "SE-001444610")</f>
        <v>SE-001444610</v>
      </c>
      <c r="F6270" s="23"/>
      <c r="G6270" s="24">
        <v>0</v>
      </c>
      <c r="H6270" s="24">
        <v>0</v>
      </c>
      <c r="I6270" s="24">
        <v>0</v>
      </c>
      <c r="J6270" s="23"/>
      <c r="K6270" s="24">
        <v>0</v>
      </c>
      <c r="L6270" s="22" t="str">
        <f>HYPERLINK("https://otsuka-europe-crm.veevavault.com/ui/#object/approved_document__v/V5OZ025E82RR47T", "AE Propensity Analysis- IT-LUP-2500004 Nefro")</f>
        <v>AE Propensity Analysis- IT-LUP-2500004 Nefro</v>
      </c>
      <c r="M6270" s="22" t="str">
        <f>HYPERLINK("mailto:matteo.digennaro@crm.otsuka-europe.com", "matteo.digennaro@crm.otsuka-europe.com")</f>
        <v>matteo.digennaro@crm.otsuka-europe.com</v>
      </c>
      <c r="N6270" s="25">
        <v>46226.29923611111</v>
      </c>
      <c r="O6270" s="14" t="str">
        <f>HYPERLINK("https://otsuka-europe-crm.veevavault.com/ui/#object/email_activity__v/V8C00000004B515", "EN-002107626")</f>
        <v>EN-002107626</v>
      </c>
    </row>
    <row r="6271" spans="1:15" ht="16" x14ac:dyDescent="0.2">
      <c r="A6271" s="19"/>
      <c r="B6271" s="19"/>
      <c r="C6271" s="19"/>
      <c r="D6271" s="19"/>
      <c r="E6271" s="19"/>
      <c r="F6271" s="19"/>
      <c r="G6271" s="19"/>
      <c r="H6271" s="19"/>
      <c r="I6271" s="19"/>
      <c r="J6271" s="19"/>
      <c r="K6271" s="19"/>
      <c r="L6271" s="19"/>
      <c r="M6271" s="19"/>
      <c r="N6271" s="19"/>
      <c r="O6271" s="14" t="str">
        <f>HYPERLINK("https://otsuka-europe-crm.veevavault.com/ui/#object/email_activity__v/V8C00000004B880", "EN-002108191")</f>
        <v>EN-002108191</v>
      </c>
    </row>
    <row r="6272" spans="1:15" ht="32" x14ac:dyDescent="0.2">
      <c r="A6272" s="7" t="str">
        <f>HYPERLINK("https://otsuka-europe-crm.veevavault.com/ui/#object/account__v/V4TZ06G6O71SBNY", "FEDERICO NALESSO")</f>
        <v>FEDERICO NALESSO</v>
      </c>
      <c r="B6272" s="7" t="str">
        <f>HYPERLINK("https://otsuka-europe-crm.veevavault.com/ui/#object/vcountry__v/VENZ000004SONFQ", "IT")</f>
        <v>IT</v>
      </c>
      <c r="C6272" s="8" t="s">
        <v>42</v>
      </c>
      <c r="D6272" s="9" t="str">
        <f>HYPERLINK("https://otsuka-europe-crm.veevavault.com/ui/#object/approved_document__v/V5OZ025E82RR47S", "AE Focus pz prevalenti- IT-LUP-2500005 Nefro")</f>
        <v>AE Focus pz prevalenti- IT-LUP-2500005 Nefro</v>
      </c>
      <c r="E6272" s="10" t="str">
        <f>HYPERLINK("https://otsuka-europe-crm.veevavault.com/ui/#object/sent_email__v/VBL000000039135", "SE-001444611")</f>
        <v>SE-001444611</v>
      </c>
      <c r="F6272" s="11"/>
      <c r="G6272" s="12">
        <v>0</v>
      </c>
      <c r="H6272" s="12">
        <v>0</v>
      </c>
      <c r="I6272" s="12">
        <v>0</v>
      </c>
      <c r="J6272" s="11"/>
      <c r="K6272" s="12">
        <v>0</v>
      </c>
      <c r="L6272" s="10" t="str">
        <f>HYPERLINK("https://otsuka-europe-crm.veevavault.com/ui/#object/approved_document__v/V5OZ025E82RR47S", "AE Focus pz prevalenti- IT-LUP-2500005 Nefro")</f>
        <v>AE Focus pz prevalenti- IT-LUP-2500005 Nefro</v>
      </c>
      <c r="M6272" s="10" t="str">
        <f>HYPERLINK("mailto:matteo.digennaro@crm.otsuka-europe.com", "matteo.digennaro@crm.otsuka-europe.com")</f>
        <v>matteo.digennaro@crm.otsuka-europe.com</v>
      </c>
      <c r="N6272" s="13">
        <v>46226.299247685187</v>
      </c>
      <c r="O6272" s="14" t="str">
        <f>HYPERLINK("https://otsuka-europe-crm.veevavault.com/ui/#object/email_activity__v/V8C00000004B368", "EN-002107381")</f>
        <v>EN-002107381</v>
      </c>
    </row>
    <row r="6273" spans="1:15" ht="48" x14ac:dyDescent="0.2">
      <c r="A6273" s="7" t="str">
        <f>HYPERLINK("https://otsuka-europe-crm.veevavault.com/ui/#object/account__v/V4TZ06G6O71SBNY", "FEDERICO NALESSO")</f>
        <v>FEDERICO NALESSO</v>
      </c>
      <c r="B6273" s="7" t="str">
        <f>HYPERLINK("https://otsuka-europe-crm.veevavault.com/ui/#object/vcountry__v/VENZ000004SONFQ", "IT")</f>
        <v>IT</v>
      </c>
      <c r="C6273" s="8" t="s">
        <v>42</v>
      </c>
      <c r="D6273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73" s="10" t="str">
        <f>HYPERLINK("https://otsuka-europe-crm.veevavault.com/ui/#object/sent_email__v/VBL000000039136", "SE-001444612")</f>
        <v>SE-001444612</v>
      </c>
      <c r="F6273" s="11"/>
      <c r="G6273" s="12">
        <v>0</v>
      </c>
      <c r="H6273" s="12">
        <v>0</v>
      </c>
      <c r="I6273" s="12">
        <v>0</v>
      </c>
      <c r="J6273" s="11"/>
      <c r="K6273" s="12">
        <v>0</v>
      </c>
      <c r="L6273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73" s="10" t="str">
        <f>HYPERLINK("mailto:matteo.digennaro@crm.otsuka-europe.com", "matteo.digennaro@crm.otsuka-europe.com")</f>
        <v>matteo.digennaro@crm.otsuka-europe.com</v>
      </c>
      <c r="N6273" s="13">
        <v>46226.29923611111</v>
      </c>
      <c r="O6273" s="14" t="str">
        <f>HYPERLINK("https://otsuka-europe-crm.veevavault.com/ui/#object/email_activity__v/V8C00000004C245", "EN-002107317")</f>
        <v>EN-002107317</v>
      </c>
    </row>
    <row r="6274" spans="1:15" ht="16" x14ac:dyDescent="0.2">
      <c r="A6274" s="18" t="str">
        <f>HYPERLINK("https://otsuka-europe-crm.veevavault.com/ui/#object/account__v/V4TZ06G6O71TG1C", "MONICA ZANELLA")</f>
        <v>MONICA ZANELLA</v>
      </c>
      <c r="B6274" s="18" t="str">
        <f>HYPERLINK("https://otsuka-europe-crm.veevavault.com/ui/#object/vcountry__v/VENZ000004SONFQ", "IT")</f>
        <v>IT</v>
      </c>
      <c r="C6274" s="20" t="s">
        <v>42</v>
      </c>
      <c r="D6274" s="21" t="str">
        <f>HYPERLINK("https://otsuka-europe-crm.veevavault.com/ui/#object/approved_document__v/V5OZ025E82RRA5I", "AURORA 2 - AE NEPHRO")</f>
        <v>AURORA 2 - AE NEPHRO</v>
      </c>
      <c r="E6274" s="22" t="str">
        <f>HYPERLINK("https://otsuka-europe-crm.veevavault.com/ui/#object/sent_email__v/VBL00000003A239", "SE-001444613")</f>
        <v>SE-001444613</v>
      </c>
      <c r="F6274" s="25">
        <v>46226.353773148148</v>
      </c>
      <c r="G6274" s="24">
        <v>1</v>
      </c>
      <c r="H6274" s="24">
        <v>1</v>
      </c>
      <c r="I6274" s="24">
        <v>0</v>
      </c>
      <c r="J6274" s="23"/>
      <c r="K6274" s="24">
        <v>0</v>
      </c>
      <c r="L6274" s="22" t="str">
        <f>HYPERLINK("https://otsuka-europe-crm.veevavault.com/ui/#object/approved_document__v/V5OZ025E82RRA5I", "AURORA 2 - AE NEPHRO")</f>
        <v>AURORA 2 - AE NEPHRO</v>
      </c>
      <c r="M6274" s="22" t="str">
        <f>HYPERLINK("mailto:matteo.digennaro@crm.otsuka-europe.com", "matteo.digennaro@crm.otsuka-europe.com")</f>
        <v>matteo.digennaro@crm.otsuka-europe.com</v>
      </c>
      <c r="N6274" s="25">
        <v>46226.299293981479</v>
      </c>
      <c r="O6274" s="14" t="str">
        <f>HYPERLINK("https://otsuka-europe-crm.veevavault.com/ui/#object/email_activity__v/V8C00000004B654", "EN-002107765")</f>
        <v>EN-002107765</v>
      </c>
    </row>
    <row r="6275" spans="1:15" ht="16" x14ac:dyDescent="0.2">
      <c r="A6275" s="19"/>
      <c r="B6275" s="19"/>
      <c r="C6275" s="19"/>
      <c r="D6275" s="19"/>
      <c r="E6275" s="19"/>
      <c r="F6275" s="19"/>
      <c r="G6275" s="19"/>
      <c r="H6275" s="19"/>
      <c r="I6275" s="19"/>
      <c r="J6275" s="19"/>
      <c r="K6275" s="19"/>
      <c r="L6275" s="19"/>
      <c r="M6275" s="19"/>
      <c r="N6275" s="19"/>
      <c r="O6275" s="14" t="str">
        <f>HYPERLINK("https://otsuka-europe-crm.veevavault.com/ui/#object/email_activity__v/V8C00000004C351", "EN-002107518")</f>
        <v>EN-002107518</v>
      </c>
    </row>
    <row r="6276" spans="1:15" ht="16" x14ac:dyDescent="0.2">
      <c r="A6276" s="18" t="str">
        <f>HYPERLINK("https://otsuka-europe-crm.veevavault.com/ui/#object/account__v/V4TZ06G6O71TG1C", "MONICA ZANELLA")</f>
        <v>MONICA ZANELLA</v>
      </c>
      <c r="B6276" s="18" t="str">
        <f>HYPERLINK("https://otsuka-europe-crm.veevavault.com/ui/#object/vcountry__v/VENZ000004SONFQ", "IT")</f>
        <v>IT</v>
      </c>
      <c r="C6276" s="20" t="s">
        <v>42</v>
      </c>
      <c r="D6276" s="21" t="str">
        <f>HYPERLINK("https://otsuka-europe-crm.veevavault.com/ui/#object/approved_document__v/V5OZ025E82RR480", "RTE Proteinuria C1 - IT-LUP-2500006 - Nephro")</f>
        <v>RTE Proteinuria C1 - IT-LUP-2500006 - Nephro</v>
      </c>
      <c r="E6276" s="22" t="str">
        <f>HYPERLINK("https://otsuka-europe-crm.veevavault.com/ui/#object/sent_email__v/VBL00000003A240", "SE-001444614")</f>
        <v>SE-001444614</v>
      </c>
      <c r="F6276" s="25">
        <v>46226.353576388887</v>
      </c>
      <c r="G6276" s="24">
        <v>1</v>
      </c>
      <c r="H6276" s="24">
        <v>2</v>
      </c>
      <c r="I6276" s="24">
        <v>0</v>
      </c>
      <c r="J6276" s="23"/>
      <c r="K6276" s="24">
        <v>0</v>
      </c>
      <c r="L6276" s="22" t="str">
        <f>HYPERLINK("https://otsuka-europe-crm.veevavault.com/ui/#object/approved_document__v/V5OZ025E82RR480", "RTE Proteinuria C1 - IT-LUP-2500006 - Nephro")</f>
        <v>RTE Proteinuria C1 - IT-LUP-2500006 - Nephro</v>
      </c>
      <c r="M6276" s="22" t="str">
        <f>HYPERLINK("mailto:matteo.digennaro@crm.otsuka-europe.com", "matteo.digennaro@crm.otsuka-europe.com")</f>
        <v>matteo.digennaro@crm.otsuka-europe.com</v>
      </c>
      <c r="N6276" s="25">
        <v>46226.299224537041</v>
      </c>
      <c r="O6276" s="14" t="str">
        <f>HYPERLINK("https://otsuka-europe-crm.veevavault.com/ui/#object/email_activity__v/V8C00000004B649", "EN-002107760")</f>
        <v>EN-002107760</v>
      </c>
    </row>
    <row r="6277" spans="1:15" ht="16" x14ac:dyDescent="0.2">
      <c r="A6277" s="26"/>
      <c r="B6277" s="26"/>
      <c r="C6277" s="26"/>
      <c r="D6277" s="26"/>
      <c r="E6277" s="26"/>
      <c r="F6277" s="26"/>
      <c r="G6277" s="26"/>
      <c r="H6277" s="26"/>
      <c r="I6277" s="26"/>
      <c r="J6277" s="26"/>
      <c r="K6277" s="26"/>
      <c r="L6277" s="26"/>
      <c r="M6277" s="26"/>
      <c r="N6277" s="26"/>
      <c r="O6277" s="14" t="str">
        <f>HYPERLINK("https://otsuka-europe-crm.veevavault.com/ui/#object/email_activity__v/V8C00000004B651", "EN-002107762")</f>
        <v>EN-002107762</v>
      </c>
    </row>
    <row r="6278" spans="1:15" ht="16" x14ac:dyDescent="0.2">
      <c r="A6278" s="19"/>
      <c r="B6278" s="19"/>
      <c r="C6278" s="19"/>
      <c r="D6278" s="19"/>
      <c r="E6278" s="19"/>
      <c r="F6278" s="19"/>
      <c r="G6278" s="19"/>
      <c r="H6278" s="19"/>
      <c r="I6278" s="19"/>
      <c r="J6278" s="19"/>
      <c r="K6278" s="19"/>
      <c r="L6278" s="19"/>
      <c r="M6278" s="19"/>
      <c r="N6278" s="19"/>
      <c r="O6278" s="14" t="str">
        <f>HYPERLINK("https://otsuka-europe-crm.veevavault.com/ui/#object/email_activity__v/V8C00000004C290", "EN-002107455")</f>
        <v>EN-002107455</v>
      </c>
    </row>
    <row r="6279" spans="1:15" ht="16" x14ac:dyDescent="0.2">
      <c r="A6279" s="18" t="str">
        <f>HYPERLINK("https://otsuka-europe-crm.veevavault.com/ui/#object/account__v/V4TZ06G6O71TG1C", "MONICA ZANELLA")</f>
        <v>MONICA ZANELLA</v>
      </c>
      <c r="B6279" s="18" t="str">
        <f>HYPERLINK("https://otsuka-europe-crm.veevavault.com/ui/#object/vcountry__v/VENZ000004SONFQ", "IT")</f>
        <v>IT</v>
      </c>
      <c r="C6279" s="20" t="s">
        <v>42</v>
      </c>
      <c r="D6279" s="21" t="str">
        <f>HYPERLINK("https://otsuka-europe-crm.veevavault.com/ui/#object/approved_document__v/V5OZ025E82RR47T", "AE Propensity Analysis- IT-LUP-2500004 Nefro")</f>
        <v>AE Propensity Analysis- IT-LUP-2500004 Nefro</v>
      </c>
      <c r="E6279" s="22" t="str">
        <f>HYPERLINK("https://otsuka-europe-crm.veevavault.com/ui/#object/sent_email__v/VBL000000039137", "SE-001444615")</f>
        <v>SE-001444615</v>
      </c>
      <c r="F6279" s="25">
        <v>46226.353645833333</v>
      </c>
      <c r="G6279" s="24">
        <v>1</v>
      </c>
      <c r="H6279" s="24">
        <v>1</v>
      </c>
      <c r="I6279" s="24">
        <v>0</v>
      </c>
      <c r="J6279" s="23"/>
      <c r="K6279" s="24">
        <v>0</v>
      </c>
      <c r="L6279" s="22" t="str">
        <f>HYPERLINK("https://otsuka-europe-crm.veevavault.com/ui/#object/approved_document__v/V5OZ025E82RR47T", "AE Propensity Analysis- IT-LUP-2500004 Nefro")</f>
        <v>AE Propensity Analysis- IT-LUP-2500004 Nefro</v>
      </c>
      <c r="M6279" s="22" t="str">
        <f>HYPERLINK("mailto:matteo.digennaro@crm.otsuka-europe.com", "matteo.digennaro@crm.otsuka-europe.com")</f>
        <v>matteo.digennaro@crm.otsuka-europe.com</v>
      </c>
      <c r="N6279" s="25">
        <v>46226.29923611111</v>
      </c>
      <c r="O6279" s="14" t="str">
        <f>HYPERLINK("https://otsuka-europe-crm.veevavault.com/ui/#object/email_activity__v/V8C00000004B387", "EN-002107400")</f>
        <v>EN-002107400</v>
      </c>
    </row>
    <row r="6280" spans="1:15" ht="16" x14ac:dyDescent="0.2">
      <c r="A6280" s="19"/>
      <c r="B6280" s="19"/>
      <c r="C6280" s="19"/>
      <c r="D6280" s="19"/>
      <c r="E6280" s="19"/>
      <c r="F6280" s="19"/>
      <c r="G6280" s="19"/>
      <c r="H6280" s="19"/>
      <c r="I6280" s="19"/>
      <c r="J6280" s="19"/>
      <c r="K6280" s="19"/>
      <c r="L6280" s="19"/>
      <c r="M6280" s="19"/>
      <c r="N6280" s="19"/>
      <c r="O6280" s="14" t="str">
        <f>HYPERLINK("https://otsuka-europe-crm.veevavault.com/ui/#object/email_activity__v/V8C00000004B650", "EN-002107761")</f>
        <v>EN-002107761</v>
      </c>
    </row>
    <row r="6281" spans="1:15" ht="16" x14ac:dyDescent="0.2">
      <c r="A6281" s="18" t="str">
        <f>HYPERLINK("https://otsuka-europe-crm.veevavault.com/ui/#object/account__v/V4TZ06G6O71TG1C", "MONICA ZANELLA")</f>
        <v>MONICA ZANELLA</v>
      </c>
      <c r="B6281" s="18" t="str">
        <f>HYPERLINK("https://otsuka-europe-crm.veevavault.com/ui/#object/vcountry__v/VENZ000004SONFQ", "IT")</f>
        <v>IT</v>
      </c>
      <c r="C6281" s="20" t="s">
        <v>42</v>
      </c>
      <c r="D6281" s="21" t="str">
        <f>HYPERLINK("https://otsuka-europe-crm.veevavault.com/ui/#object/approved_document__v/V5OZ025E82RR47S", "AE Focus pz prevalenti- IT-LUP-2500005 Nefro")</f>
        <v>AE Focus pz prevalenti- IT-LUP-2500005 Nefro</v>
      </c>
      <c r="E6281" s="22" t="str">
        <f>HYPERLINK("https://otsuka-europe-crm.veevavault.com/ui/#object/sent_email__v/VBL00000003A241", "SE-001444616")</f>
        <v>SE-001444616</v>
      </c>
      <c r="F6281" s="25">
        <v>46226.353715277779</v>
      </c>
      <c r="G6281" s="24">
        <v>1</v>
      </c>
      <c r="H6281" s="24">
        <v>1</v>
      </c>
      <c r="I6281" s="24">
        <v>0</v>
      </c>
      <c r="J6281" s="23"/>
      <c r="K6281" s="24">
        <v>0</v>
      </c>
      <c r="L6281" s="22" t="str">
        <f>HYPERLINK("https://otsuka-europe-crm.veevavault.com/ui/#object/approved_document__v/V5OZ025E82RR47S", "AE Focus pz prevalenti- IT-LUP-2500005 Nefro")</f>
        <v>AE Focus pz prevalenti- IT-LUP-2500005 Nefro</v>
      </c>
      <c r="M6281" s="22" t="str">
        <f>HYPERLINK("mailto:matteo.digennaro@crm.otsuka-europe.com", "matteo.digennaro@crm.otsuka-europe.com")</f>
        <v>matteo.digennaro@crm.otsuka-europe.com</v>
      </c>
      <c r="N6281" s="25">
        <v>46226.299247685187</v>
      </c>
      <c r="O6281" s="14" t="str">
        <f>HYPERLINK("https://otsuka-europe-crm.veevavault.com/ui/#object/email_activity__v/V8C00000004B431", "EN-002107444")</f>
        <v>EN-002107444</v>
      </c>
    </row>
    <row r="6282" spans="1:15" ht="16" x14ac:dyDescent="0.2">
      <c r="A6282" s="19"/>
      <c r="B6282" s="19"/>
      <c r="C6282" s="19"/>
      <c r="D6282" s="19"/>
      <c r="E6282" s="19"/>
      <c r="F6282" s="19"/>
      <c r="G6282" s="19"/>
      <c r="H6282" s="19"/>
      <c r="I6282" s="19"/>
      <c r="J6282" s="19"/>
      <c r="K6282" s="19"/>
      <c r="L6282" s="19"/>
      <c r="M6282" s="19"/>
      <c r="N6282" s="19"/>
      <c r="O6282" s="14" t="str">
        <f>HYPERLINK("https://otsuka-europe-crm.veevavault.com/ui/#object/email_activity__v/V8C00000004B643", "EN-002107754")</f>
        <v>EN-002107754</v>
      </c>
    </row>
    <row r="6283" spans="1:15" ht="16" x14ac:dyDescent="0.2">
      <c r="A6283" s="18" t="str">
        <f>HYPERLINK("https://otsuka-europe-crm.veevavault.com/ui/#object/account__v/V4TZ06G6O71TG1C", "MONICA ZANELLA")</f>
        <v>MONICA ZANELLA</v>
      </c>
      <c r="B6283" s="18" t="str">
        <f>HYPERLINK("https://otsuka-europe-crm.veevavault.com/ui/#object/vcountry__v/VENZ000004SONFQ", "IT")</f>
        <v>IT</v>
      </c>
      <c r="C6283" s="20" t="s">
        <v>42</v>
      </c>
      <c r="D6283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83" s="22" t="str">
        <f>HYPERLINK("https://otsuka-europe-crm.veevavault.com/ui/#object/sent_email__v/VBL00000003A242", "SE-001444617")</f>
        <v>SE-001444617</v>
      </c>
      <c r="F6283" s="25">
        <v>46226.353738425925</v>
      </c>
      <c r="G6283" s="24">
        <v>1</v>
      </c>
      <c r="H6283" s="24">
        <v>1</v>
      </c>
      <c r="I6283" s="24">
        <v>0</v>
      </c>
      <c r="J6283" s="23"/>
      <c r="K6283" s="24">
        <v>0</v>
      </c>
      <c r="L6283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83" s="22" t="str">
        <f>HYPERLINK("mailto:matteo.digennaro@crm.otsuka-europe.com", "matteo.digennaro@crm.otsuka-europe.com")</f>
        <v>matteo.digennaro@crm.otsuka-europe.com</v>
      </c>
      <c r="N6283" s="25">
        <v>46226.29923611111</v>
      </c>
      <c r="O6283" s="14" t="str">
        <f>HYPERLINK("https://otsuka-europe-crm.veevavault.com/ui/#object/email_activity__v/V8C00000004B316", "EN-002107276")</f>
        <v>EN-002107276</v>
      </c>
    </row>
    <row r="6284" spans="1:15" ht="16" x14ac:dyDescent="0.2">
      <c r="A6284" s="19"/>
      <c r="B6284" s="19"/>
      <c r="C6284" s="19"/>
      <c r="D6284" s="19"/>
      <c r="E6284" s="19"/>
      <c r="F6284" s="19"/>
      <c r="G6284" s="19"/>
      <c r="H6284" s="19"/>
      <c r="I6284" s="19"/>
      <c r="J6284" s="19"/>
      <c r="K6284" s="19"/>
      <c r="L6284" s="19"/>
      <c r="M6284" s="19"/>
      <c r="N6284" s="19"/>
      <c r="O6284" s="14" t="str">
        <f>HYPERLINK("https://otsuka-europe-crm.veevavault.com/ui/#object/email_activity__v/V8C00000004B646", "EN-002107759")</f>
        <v>EN-002107759</v>
      </c>
    </row>
    <row r="6285" spans="1:15" ht="16" x14ac:dyDescent="0.2">
      <c r="A6285" s="18" t="str">
        <f>HYPERLINK("https://otsuka-europe-crm.veevavault.com/ui/#object/account__v/V4TZ06G6O71S9SY", "MATTEO RIGATO")</f>
        <v>MATTEO RIGATO</v>
      </c>
      <c r="B6285" s="18" t="str">
        <f>HYPERLINK("https://otsuka-europe-crm.veevavault.com/ui/#object/vcountry__v/VENZ000004SONFQ", "IT")</f>
        <v>IT</v>
      </c>
      <c r="C6285" s="20" t="s">
        <v>42</v>
      </c>
      <c r="D6285" s="21" t="str">
        <f>HYPERLINK("https://otsuka-europe-crm.veevavault.com/ui/#object/approved_document__v/V5OZ025E82RRA5I", "AURORA 2 - AE NEPHRO")</f>
        <v>AURORA 2 - AE NEPHRO</v>
      </c>
      <c r="E6285" s="22" t="str">
        <f>HYPERLINK("https://otsuka-europe-crm.veevavault.com/ui/#object/sent_email__v/VBL00000003A243", "SE-001444618")</f>
        <v>SE-001444618</v>
      </c>
      <c r="F6285" s="25">
        <v>46226.489583333336</v>
      </c>
      <c r="G6285" s="24">
        <v>1</v>
      </c>
      <c r="H6285" s="24">
        <v>2</v>
      </c>
      <c r="I6285" s="24">
        <v>0</v>
      </c>
      <c r="J6285" s="23"/>
      <c r="K6285" s="24">
        <v>0</v>
      </c>
      <c r="L6285" s="22" t="str">
        <f>HYPERLINK("https://otsuka-europe-crm.veevavault.com/ui/#object/approved_document__v/V5OZ025E82RRA5I", "AURORA 2 - AE NEPHRO")</f>
        <v>AURORA 2 - AE NEPHRO</v>
      </c>
      <c r="M6285" s="22" t="str">
        <f>HYPERLINK("mailto:matteo.digennaro@crm.otsuka-europe.com", "matteo.digennaro@crm.otsuka-europe.com")</f>
        <v>matteo.digennaro@crm.otsuka-europe.com</v>
      </c>
      <c r="N6285" s="25">
        <v>46226.299293981479</v>
      </c>
      <c r="O6285" s="14" t="str">
        <f>HYPERLINK("https://otsuka-europe-crm.veevavault.com/ui/#object/email_activity__v/V8C00000004B469", "EN-002107580")</f>
        <v>EN-002107580</v>
      </c>
    </row>
    <row r="6286" spans="1:15" ht="16" x14ac:dyDescent="0.2">
      <c r="A6286" s="26"/>
      <c r="B6286" s="26"/>
      <c r="C6286" s="26"/>
      <c r="D6286" s="26"/>
      <c r="E6286" s="26"/>
      <c r="F6286" s="26"/>
      <c r="G6286" s="26"/>
      <c r="H6286" s="26"/>
      <c r="I6286" s="26"/>
      <c r="J6286" s="26"/>
      <c r="K6286" s="26"/>
      <c r="L6286" s="26"/>
      <c r="M6286" s="26"/>
      <c r="N6286" s="26"/>
      <c r="O6286" s="14" t="str">
        <f>HYPERLINK("https://otsuka-europe-crm.veevavault.com/ui/#object/email_activity__v/V8C00000004C280", "EN-002107352")</f>
        <v>EN-002107352</v>
      </c>
    </row>
    <row r="6287" spans="1:15" ht="16" x14ac:dyDescent="0.2">
      <c r="A6287" s="19"/>
      <c r="B6287" s="19"/>
      <c r="C6287" s="19"/>
      <c r="D6287" s="19"/>
      <c r="E6287" s="19"/>
      <c r="F6287" s="19"/>
      <c r="G6287" s="19"/>
      <c r="H6287" s="19"/>
      <c r="I6287" s="19"/>
      <c r="J6287" s="19"/>
      <c r="K6287" s="19"/>
      <c r="L6287" s="19"/>
      <c r="M6287" s="19"/>
      <c r="N6287" s="19"/>
      <c r="O6287" s="14" t="str">
        <f>HYPERLINK("https://otsuka-europe-crm.veevavault.com/ui/#object/email_activity__v/V8C00000004C454", "EN-002107915")</f>
        <v>EN-002107915</v>
      </c>
    </row>
    <row r="6288" spans="1:15" ht="32" x14ac:dyDescent="0.2">
      <c r="A6288" s="7" t="str">
        <f>HYPERLINK("https://otsuka-europe-crm.veevavault.com/ui/#object/account__v/V4TZ06G6O71S9SY", "MATTEO RIGATO")</f>
        <v>MATTEO RIGATO</v>
      </c>
      <c r="B6288" s="7" t="str">
        <f>HYPERLINK("https://otsuka-europe-crm.veevavault.com/ui/#object/vcountry__v/VENZ000004SONFQ", "IT")</f>
        <v>IT</v>
      </c>
      <c r="C6288" s="8" t="s">
        <v>42</v>
      </c>
      <c r="D6288" s="9" t="str">
        <f>HYPERLINK("https://otsuka-europe-crm.veevavault.com/ui/#object/approved_document__v/V5OZ025E82RR480", "RTE Proteinuria C1 - IT-LUP-2500006 - Nephro")</f>
        <v>RTE Proteinuria C1 - IT-LUP-2500006 - Nephro</v>
      </c>
      <c r="E6288" s="10" t="str">
        <f>HYPERLINK("https://otsuka-europe-crm.veevavault.com/ui/#object/sent_email__v/VBL000000039138", "SE-001444619")</f>
        <v>SE-001444619</v>
      </c>
      <c r="F6288" s="11"/>
      <c r="G6288" s="12">
        <v>0</v>
      </c>
      <c r="H6288" s="12">
        <v>0</v>
      </c>
      <c r="I6288" s="12">
        <v>0</v>
      </c>
      <c r="J6288" s="11"/>
      <c r="K6288" s="12">
        <v>0</v>
      </c>
      <c r="L6288" s="10" t="str">
        <f>HYPERLINK("https://otsuka-europe-crm.veevavault.com/ui/#object/approved_document__v/V5OZ025E82RR480", "RTE Proteinuria C1 - IT-LUP-2500006 - Nephro")</f>
        <v>RTE Proteinuria C1 - IT-LUP-2500006 - Nephro</v>
      </c>
      <c r="M6288" s="10" t="str">
        <f>HYPERLINK("mailto:matteo.digennaro@crm.otsuka-europe.com", "matteo.digennaro@crm.otsuka-europe.com")</f>
        <v>matteo.digennaro@crm.otsuka-europe.com</v>
      </c>
      <c r="N6288" s="13">
        <v>46226.299224537041</v>
      </c>
      <c r="O6288" s="14" t="str">
        <f>HYPERLINK("https://otsuka-europe-crm.veevavault.com/ui/#object/email_activity__v/V8C00000004C375", "EN-002107548")</f>
        <v>EN-002107548</v>
      </c>
    </row>
    <row r="6289" spans="1:15" ht="16" x14ac:dyDescent="0.2">
      <c r="A6289" s="18" t="str">
        <f>HYPERLINK("https://otsuka-europe-crm.veevavault.com/ui/#object/account__v/V4TZ06G6O71S9SY", "MATTEO RIGATO")</f>
        <v>MATTEO RIGATO</v>
      </c>
      <c r="B6289" s="18" t="str">
        <f>HYPERLINK("https://otsuka-europe-crm.veevavault.com/ui/#object/vcountry__v/VENZ000004SONFQ", "IT")</f>
        <v>IT</v>
      </c>
      <c r="C6289" s="20" t="s">
        <v>42</v>
      </c>
      <c r="D6289" s="21" t="str">
        <f>HYPERLINK("https://otsuka-europe-crm.veevavault.com/ui/#object/approved_document__v/V5OZ025E82RR47T", "AE Propensity Analysis- IT-LUP-2500004 Nefro")</f>
        <v>AE Propensity Analysis- IT-LUP-2500004 Nefro</v>
      </c>
      <c r="E6289" s="22" t="str">
        <f>HYPERLINK("https://otsuka-europe-crm.veevavault.com/ui/#object/sent_email__v/VBL00000003A244", "SE-001444620")</f>
        <v>SE-001444620</v>
      </c>
      <c r="F6289" s="25">
        <v>46226.489664351851</v>
      </c>
      <c r="G6289" s="24">
        <v>1</v>
      </c>
      <c r="H6289" s="24">
        <v>1</v>
      </c>
      <c r="I6289" s="24">
        <v>0</v>
      </c>
      <c r="J6289" s="23"/>
      <c r="K6289" s="24">
        <v>0</v>
      </c>
      <c r="L6289" s="22" t="str">
        <f>HYPERLINK("https://otsuka-europe-crm.veevavault.com/ui/#object/approved_document__v/V5OZ025E82RR47T", "AE Propensity Analysis- IT-LUP-2500004 Nefro")</f>
        <v>AE Propensity Analysis- IT-LUP-2500004 Nefro</v>
      </c>
      <c r="M6289" s="22" t="str">
        <f>HYPERLINK("mailto:matteo.digennaro@crm.otsuka-europe.com", "matteo.digennaro@crm.otsuka-europe.com")</f>
        <v>matteo.digennaro@crm.otsuka-europe.com</v>
      </c>
      <c r="N6289" s="25">
        <v>46226.299212962964</v>
      </c>
      <c r="O6289" s="14" t="str">
        <f>HYPERLINK("https://otsuka-europe-crm.veevavault.com/ui/#object/email_activity__v/V8C00000004C344", "EN-002107511")</f>
        <v>EN-002107511</v>
      </c>
    </row>
    <row r="6290" spans="1:15" ht="16" x14ac:dyDescent="0.2">
      <c r="A6290" s="19"/>
      <c r="B6290" s="19"/>
      <c r="C6290" s="19"/>
      <c r="D6290" s="19"/>
      <c r="E6290" s="19"/>
      <c r="F6290" s="19"/>
      <c r="G6290" s="19"/>
      <c r="H6290" s="19"/>
      <c r="I6290" s="19"/>
      <c r="J6290" s="19"/>
      <c r="K6290" s="19"/>
      <c r="L6290" s="19"/>
      <c r="M6290" s="19"/>
      <c r="N6290" s="19"/>
      <c r="O6290" s="14" t="str">
        <f>HYPERLINK("https://otsuka-europe-crm.veevavault.com/ui/#object/email_activity__v/V8C00000004C455", "EN-002107916")</f>
        <v>EN-002107916</v>
      </c>
    </row>
    <row r="6291" spans="1:15" ht="16" x14ac:dyDescent="0.2">
      <c r="A6291" s="18" t="str">
        <f>HYPERLINK("https://otsuka-europe-crm.veevavault.com/ui/#object/account__v/V4TZ06G6O71S9SY", "MATTEO RIGATO")</f>
        <v>MATTEO RIGATO</v>
      </c>
      <c r="B6291" s="18" t="str">
        <f>HYPERLINK("https://otsuka-europe-crm.veevavault.com/ui/#object/vcountry__v/VENZ000004SONFQ", "IT")</f>
        <v>IT</v>
      </c>
      <c r="C6291" s="20" t="s">
        <v>42</v>
      </c>
      <c r="D6291" s="21" t="str">
        <f>HYPERLINK("https://otsuka-europe-crm.veevavault.com/ui/#object/approved_document__v/V5OZ025E82RR47S", "AE Focus pz prevalenti- IT-LUP-2500005 Nefro")</f>
        <v>AE Focus pz prevalenti- IT-LUP-2500005 Nefro</v>
      </c>
      <c r="E6291" s="22" t="str">
        <f>HYPERLINK("https://otsuka-europe-crm.veevavault.com/ui/#object/sent_email__v/VBL00000003A245", "SE-001444621")</f>
        <v>SE-001444621</v>
      </c>
      <c r="F6291" s="23"/>
      <c r="G6291" s="24">
        <v>0</v>
      </c>
      <c r="H6291" s="24">
        <v>0</v>
      </c>
      <c r="I6291" s="24">
        <v>0</v>
      </c>
      <c r="J6291" s="23"/>
      <c r="K6291" s="24">
        <v>0</v>
      </c>
      <c r="L6291" s="22" t="str">
        <f>HYPERLINK("https://otsuka-europe-crm.veevavault.com/ui/#object/approved_document__v/V5OZ025E82RR47S", "AE Focus pz prevalenti- IT-LUP-2500005 Nefro")</f>
        <v>AE Focus pz prevalenti- IT-LUP-2500005 Nefro</v>
      </c>
      <c r="M6291" s="22" t="str">
        <f>HYPERLINK("mailto:matteo.digennaro@crm.otsuka-europe.com", "matteo.digennaro@crm.otsuka-europe.com")</f>
        <v>matteo.digennaro@crm.otsuka-europe.com</v>
      </c>
      <c r="N6291" s="25">
        <v>46226.299247685187</v>
      </c>
      <c r="O6291" s="14" t="str">
        <f>HYPERLINK("https://otsuka-europe-crm.veevavault.com/ui/#object/email_activity__v/V8C00000004B597", "EN-002107708")</f>
        <v>EN-002107708</v>
      </c>
    </row>
    <row r="6292" spans="1:15" ht="16" x14ac:dyDescent="0.2">
      <c r="A6292" s="19"/>
      <c r="B6292" s="19"/>
      <c r="C6292" s="19"/>
      <c r="D6292" s="19"/>
      <c r="E6292" s="19"/>
      <c r="F6292" s="19"/>
      <c r="G6292" s="19"/>
      <c r="H6292" s="19"/>
      <c r="I6292" s="19"/>
      <c r="J6292" s="19"/>
      <c r="K6292" s="19"/>
      <c r="L6292" s="19"/>
      <c r="M6292" s="19"/>
      <c r="N6292" s="19"/>
      <c r="O6292" s="14" t="str">
        <f>HYPERLINK("https://otsuka-europe-crm.veevavault.com/ui/#object/email_activity__v/V8C00000004B821", "EN-002108129")</f>
        <v>EN-002108129</v>
      </c>
    </row>
    <row r="6293" spans="1:15" ht="16" x14ac:dyDescent="0.2">
      <c r="A6293" s="18" t="str">
        <f>HYPERLINK("https://otsuka-europe-crm.veevavault.com/ui/#object/account__v/V4TZ06G6O71S9SY", "MATTEO RIGATO")</f>
        <v>MATTEO RIGATO</v>
      </c>
      <c r="B6293" s="18" t="str">
        <f>HYPERLINK("https://otsuka-europe-crm.veevavault.com/ui/#object/vcountry__v/VENZ000004SONFQ", "IT")</f>
        <v>IT</v>
      </c>
      <c r="C6293" s="20" t="s">
        <v>42</v>
      </c>
      <c r="D6293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293" s="22" t="str">
        <f>HYPERLINK("https://otsuka-europe-crm.veevavault.com/ui/#object/sent_email__v/VBL00000003A246", "SE-001444622")</f>
        <v>SE-001444622</v>
      </c>
      <c r="F6293" s="23"/>
      <c r="G6293" s="24">
        <v>0</v>
      </c>
      <c r="H6293" s="24">
        <v>0</v>
      </c>
      <c r="I6293" s="24">
        <v>0</v>
      </c>
      <c r="J6293" s="23"/>
      <c r="K6293" s="24">
        <v>0</v>
      </c>
      <c r="L6293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293" s="22" t="str">
        <f>HYPERLINK("mailto:matteo.digennaro@crm.otsuka-europe.com", "matteo.digennaro@crm.otsuka-europe.com")</f>
        <v>matteo.digennaro@crm.otsuka-europe.com</v>
      </c>
      <c r="N6293" s="25">
        <v>46226.29923611111</v>
      </c>
      <c r="O6293" s="14" t="str">
        <f>HYPERLINK("https://otsuka-europe-crm.veevavault.com/ui/#object/email_activity__v/V8C00000004B598", "EN-002107709")</f>
        <v>EN-002107709</v>
      </c>
    </row>
    <row r="6294" spans="1:15" ht="16" x14ac:dyDescent="0.2">
      <c r="A6294" s="19"/>
      <c r="B6294" s="19"/>
      <c r="C6294" s="19"/>
      <c r="D6294" s="19"/>
      <c r="E6294" s="19"/>
      <c r="F6294" s="19"/>
      <c r="G6294" s="19"/>
      <c r="H6294" s="19"/>
      <c r="I6294" s="19"/>
      <c r="J6294" s="19"/>
      <c r="K6294" s="19"/>
      <c r="L6294" s="19"/>
      <c r="M6294" s="19"/>
      <c r="N6294" s="19"/>
      <c r="O6294" s="14" t="str">
        <f>HYPERLINK("https://otsuka-europe-crm.veevavault.com/ui/#object/email_activity__v/V8C00000004B820", "EN-002108128")</f>
        <v>EN-002108128</v>
      </c>
    </row>
    <row r="6295" spans="1:15" ht="16" x14ac:dyDescent="0.2">
      <c r="A6295" s="18" t="str">
        <f>HYPERLINK("https://otsuka-europe-crm.veevavault.com/ui/#object/account__v/V4TZ025E83BJSRR", "FRANCESCO BENVENUTI")</f>
        <v>FRANCESCO BENVENUTI</v>
      </c>
      <c r="B6295" s="18" t="str">
        <f>HYPERLINK("https://otsuka-europe-crm.veevavault.com/ui/#object/vcountry__v/VENZ000004SONFQ", "IT")</f>
        <v>IT</v>
      </c>
      <c r="C6295" s="20" t="s">
        <v>42</v>
      </c>
      <c r="D6295" s="21" t="str">
        <f>HYPERLINK("https://otsuka-europe-crm.veevavault.com/ui/#object/approved_document__v/V5OZ025E82RRA5M", "AURORA 2 - AE RHEUMA")</f>
        <v>AURORA 2 - AE RHEUMA</v>
      </c>
      <c r="E6295" s="22" t="str">
        <f>HYPERLINK("https://otsuka-europe-crm.veevavault.com/ui/#object/sent_email__v/VBL000000039139", "SE-001444623")</f>
        <v>SE-001444623</v>
      </c>
      <c r="F6295" s="25">
        <v>46226.335590277777</v>
      </c>
      <c r="G6295" s="24">
        <v>1</v>
      </c>
      <c r="H6295" s="24">
        <v>1</v>
      </c>
      <c r="I6295" s="24">
        <v>0</v>
      </c>
      <c r="J6295" s="23"/>
      <c r="K6295" s="24">
        <v>0</v>
      </c>
      <c r="L6295" s="22" t="str">
        <f>HYPERLINK("https://otsuka-europe-crm.veevavault.com/ui/#object/approved_document__v/V5OZ025E82RRA5M", "AURORA 2 - AE RHEUMA")</f>
        <v>AURORA 2 - AE RHEUMA</v>
      </c>
      <c r="M6295" s="22" t="str">
        <f>HYPERLINK("mailto:matteo.digennaro@crm.otsuka-europe.com", "matteo.digennaro@crm.otsuka-europe.com")</f>
        <v>matteo.digennaro@crm.otsuka-europe.com</v>
      </c>
      <c r="N6295" s="25">
        <v>46226.299259259256</v>
      </c>
      <c r="O6295" s="14" t="str">
        <f>HYPERLINK("https://otsuka-europe-crm.veevavault.com/ui/#object/email_activity__v/V8C00000004B516", "EN-002107627")</f>
        <v>EN-002107627</v>
      </c>
    </row>
    <row r="6296" spans="1:15" ht="16" x14ac:dyDescent="0.2">
      <c r="A6296" s="26"/>
      <c r="B6296" s="26"/>
      <c r="C6296" s="26"/>
      <c r="D6296" s="26"/>
      <c r="E6296" s="26"/>
      <c r="F6296" s="26"/>
      <c r="G6296" s="26"/>
      <c r="H6296" s="26"/>
      <c r="I6296" s="26"/>
      <c r="J6296" s="26"/>
      <c r="K6296" s="26"/>
      <c r="L6296" s="26"/>
      <c r="M6296" s="26"/>
      <c r="N6296" s="26"/>
      <c r="O6296" s="14" t="str">
        <f>HYPERLINK("https://otsuka-europe-crm.veevavault.com/ui/#object/email_activity__v/V8C00000004B804", "EN-002108112")</f>
        <v>EN-002108112</v>
      </c>
    </row>
    <row r="6297" spans="1:15" ht="16" x14ac:dyDescent="0.2">
      <c r="A6297" s="19"/>
      <c r="B6297" s="19"/>
      <c r="C6297" s="19"/>
      <c r="D6297" s="19"/>
      <c r="E6297" s="19"/>
      <c r="F6297" s="19"/>
      <c r="G6297" s="19"/>
      <c r="H6297" s="19"/>
      <c r="I6297" s="19"/>
      <c r="J6297" s="19"/>
      <c r="K6297" s="19"/>
      <c r="L6297" s="19"/>
      <c r="M6297" s="19"/>
      <c r="N6297" s="19"/>
      <c r="O6297" s="14" t="str">
        <f>HYPERLINK("https://otsuka-europe-crm.veevavault.com/ui/#object/email_activity__v/V8C00000004C472", "EN-002107939")</f>
        <v>EN-002107939</v>
      </c>
    </row>
    <row r="6298" spans="1:15" ht="16" x14ac:dyDescent="0.2">
      <c r="A6298" s="18" t="str">
        <f>HYPERLINK("https://otsuka-europe-crm.veevavault.com/ui/#object/account__v/V4TZ025E83BJSRR", "FRANCESCO BENVENUTI")</f>
        <v>FRANCESCO BENVENUTI</v>
      </c>
      <c r="B6298" s="18" t="str">
        <f>HYPERLINK("https://otsuka-europe-crm.veevavault.com/ui/#object/vcountry__v/VENZ000004SONFQ", "IT")</f>
        <v>IT</v>
      </c>
      <c r="C6298" s="20" t="s">
        <v>42</v>
      </c>
      <c r="D6298" s="21" t="str">
        <f>HYPERLINK("https://otsuka-europe-crm.veevavault.com/ui/#object/approved_document__v/V5OZ025E82RR47W", "AE Propensity Analysis- IT-LUP-2500004 Reuma")</f>
        <v>AE Propensity Analysis- IT-LUP-2500004 Reuma</v>
      </c>
      <c r="E6298" s="22" t="str">
        <f>HYPERLINK("https://otsuka-europe-crm.veevavault.com/ui/#object/sent_email__v/VBL00000003A247", "SE-001444624")</f>
        <v>SE-001444624</v>
      </c>
      <c r="F6298" s="25">
        <v>46226.33556712963</v>
      </c>
      <c r="G6298" s="24">
        <v>1</v>
      </c>
      <c r="H6298" s="24">
        <v>1</v>
      </c>
      <c r="I6298" s="24">
        <v>0</v>
      </c>
      <c r="J6298" s="23"/>
      <c r="K6298" s="24">
        <v>0</v>
      </c>
      <c r="L6298" s="22" t="str">
        <f>HYPERLINK("https://otsuka-europe-crm.veevavault.com/ui/#object/approved_document__v/V5OZ025E82RR47W", "AE Propensity Analysis- IT-LUP-2500004 Reuma")</f>
        <v>AE Propensity Analysis- IT-LUP-2500004 Reuma</v>
      </c>
      <c r="M6298" s="22" t="str">
        <f>HYPERLINK("mailto:matteo.digennaro@crm.otsuka-europe.com", "matteo.digennaro@crm.otsuka-europe.com")</f>
        <v>matteo.digennaro@crm.otsuka-europe.com</v>
      </c>
      <c r="N6298" s="25">
        <v>46226.29923611111</v>
      </c>
      <c r="O6298" s="14" t="str">
        <f>HYPERLINK("https://otsuka-europe-crm.veevavault.com/ui/#object/email_activity__v/V8C00000004B472", "EN-002107583")</f>
        <v>EN-002107583</v>
      </c>
    </row>
    <row r="6299" spans="1:15" ht="16" x14ac:dyDescent="0.2">
      <c r="A6299" s="26"/>
      <c r="B6299" s="26"/>
      <c r="C6299" s="26"/>
      <c r="D6299" s="26"/>
      <c r="E6299" s="26"/>
      <c r="F6299" s="26"/>
      <c r="G6299" s="26"/>
      <c r="H6299" s="26"/>
      <c r="I6299" s="26"/>
      <c r="J6299" s="26"/>
      <c r="K6299" s="26"/>
      <c r="L6299" s="26"/>
      <c r="M6299" s="26"/>
      <c r="N6299" s="26"/>
      <c r="O6299" s="14" t="str">
        <f>HYPERLINK("https://otsuka-europe-crm.veevavault.com/ui/#object/email_activity__v/V8C00000004B599", "EN-002107710")</f>
        <v>EN-002107710</v>
      </c>
    </row>
    <row r="6300" spans="1:15" ht="16" x14ac:dyDescent="0.2">
      <c r="A6300" s="19"/>
      <c r="B6300" s="19"/>
      <c r="C6300" s="19"/>
      <c r="D6300" s="19"/>
      <c r="E6300" s="19"/>
      <c r="F6300" s="19"/>
      <c r="G6300" s="19"/>
      <c r="H6300" s="19"/>
      <c r="I6300" s="19"/>
      <c r="J6300" s="19"/>
      <c r="K6300" s="19"/>
      <c r="L6300" s="19"/>
      <c r="M6300" s="19"/>
      <c r="N6300" s="19"/>
      <c r="O6300" s="14" t="str">
        <f>HYPERLINK("https://otsuka-europe-crm.veevavault.com/ui/#object/email_activity__v/V8C00000004C511", "EN-002108009")</f>
        <v>EN-002108009</v>
      </c>
    </row>
    <row r="6301" spans="1:15" ht="16" x14ac:dyDescent="0.2">
      <c r="A6301" s="18" t="str">
        <f>HYPERLINK("https://otsuka-europe-crm.veevavault.com/ui/#object/account__v/V4TZ025E83BJSRR", "FRANCESCO BENVENUTI")</f>
        <v>FRANCESCO BENVENUTI</v>
      </c>
      <c r="B6301" s="18" t="str">
        <f>HYPERLINK("https://otsuka-europe-crm.veevavault.com/ui/#object/vcountry__v/VENZ000004SONFQ", "IT")</f>
        <v>IT</v>
      </c>
      <c r="C6301" s="20" t="s">
        <v>42</v>
      </c>
      <c r="D6301" s="21" t="str">
        <f>HYPERLINK("https://otsuka-europe-crm.veevavault.com/ui/#object/approved_document__v/V5OZ025E82RR47U", "AE Focus pz prevalenti- IT-LUP-2500005 Reuma")</f>
        <v>AE Focus pz prevalenti- IT-LUP-2500005 Reuma</v>
      </c>
      <c r="E6301" s="22" t="str">
        <f>HYPERLINK("https://otsuka-europe-crm.veevavault.com/ui/#object/sent_email__v/VBL000000039140", "SE-001444625")</f>
        <v>SE-001444625</v>
      </c>
      <c r="F6301" s="25">
        <v>46226.335543981484</v>
      </c>
      <c r="G6301" s="24">
        <v>1</v>
      </c>
      <c r="H6301" s="24">
        <v>1</v>
      </c>
      <c r="I6301" s="24">
        <v>0</v>
      </c>
      <c r="J6301" s="23"/>
      <c r="K6301" s="24">
        <v>0</v>
      </c>
      <c r="L6301" s="22" t="str">
        <f>HYPERLINK("https://otsuka-europe-crm.veevavault.com/ui/#object/approved_document__v/V5OZ025E82RR47U", "AE Focus pz prevalenti- IT-LUP-2500005 Reuma")</f>
        <v>AE Focus pz prevalenti- IT-LUP-2500005 Reuma</v>
      </c>
      <c r="M6301" s="22" t="str">
        <f>HYPERLINK("mailto:matteo.digennaro@crm.otsuka-europe.com", "matteo.digennaro@crm.otsuka-europe.com")</f>
        <v>matteo.digennaro@crm.otsuka-europe.com</v>
      </c>
      <c r="N6301" s="25">
        <v>46226.299224537041</v>
      </c>
      <c r="O6301" s="14" t="str">
        <f>HYPERLINK("https://otsuka-europe-crm.veevavault.com/ui/#object/email_activity__v/V8C00000004B471", "EN-002107582")</f>
        <v>EN-002107582</v>
      </c>
    </row>
    <row r="6302" spans="1:15" ht="16" x14ac:dyDescent="0.2">
      <c r="A6302" s="26"/>
      <c r="B6302" s="26"/>
      <c r="C6302" s="26"/>
      <c r="D6302" s="26"/>
      <c r="E6302" s="26"/>
      <c r="F6302" s="26"/>
      <c r="G6302" s="26"/>
      <c r="H6302" s="26"/>
      <c r="I6302" s="26"/>
      <c r="J6302" s="26"/>
      <c r="K6302" s="26"/>
      <c r="L6302" s="26"/>
      <c r="M6302" s="26"/>
      <c r="N6302" s="26"/>
      <c r="O6302" s="14" t="str">
        <f>HYPERLINK("https://otsuka-europe-crm.veevavault.com/ui/#object/email_activity__v/V8C00000004B517", "EN-002107628")</f>
        <v>EN-002107628</v>
      </c>
    </row>
    <row r="6303" spans="1:15" ht="16" x14ac:dyDescent="0.2">
      <c r="A6303" s="19"/>
      <c r="B6303" s="19"/>
      <c r="C6303" s="19"/>
      <c r="D6303" s="19"/>
      <c r="E6303" s="19"/>
      <c r="F6303" s="19"/>
      <c r="G6303" s="19"/>
      <c r="H6303" s="19"/>
      <c r="I6303" s="19"/>
      <c r="J6303" s="19"/>
      <c r="K6303" s="19"/>
      <c r="L6303" s="19"/>
      <c r="M6303" s="19"/>
      <c r="N6303" s="19"/>
      <c r="O6303" s="14" t="str">
        <f>HYPERLINK("https://otsuka-europe-crm.veevavault.com/ui/#object/email_activity__v/V8C00000004C501", "EN-002107999")</f>
        <v>EN-002107999</v>
      </c>
    </row>
    <row r="6304" spans="1:15" ht="16" x14ac:dyDescent="0.2">
      <c r="A6304" s="18" t="str">
        <f>HYPERLINK("https://otsuka-europe-crm.veevavault.com/ui/#object/account__v/V4TZ025E83BJSRR", "FRANCESCO BENVENUTI")</f>
        <v>FRANCESCO BENVENUTI</v>
      </c>
      <c r="B6304" s="18" t="str">
        <f>HYPERLINK("https://otsuka-europe-crm.veevavault.com/ui/#object/vcountry__v/VENZ000004SONFQ", "IT")</f>
        <v>IT</v>
      </c>
      <c r="C6304" s="20" t="s">
        <v>42</v>
      </c>
      <c r="D6304" s="21" t="str">
        <f>HYPERLINK("https://otsuka-europe-crm.veevavault.com/ui/#object/approved_document__v/V5OZ025E82RR47L", "RTE Proteinuria C1 - IT-LUP-2500006 - Reuma")</f>
        <v>RTE Proteinuria C1 - IT-LUP-2500006 - Reuma</v>
      </c>
      <c r="E6304" s="22" t="str">
        <f>HYPERLINK("https://otsuka-europe-crm.veevavault.com/ui/#object/sent_email__v/VBL00000003A248", "SE-001444626")</f>
        <v>SE-001444626</v>
      </c>
      <c r="F6304" s="25">
        <v>46226.335613425923</v>
      </c>
      <c r="G6304" s="24">
        <v>1</v>
      </c>
      <c r="H6304" s="24">
        <v>1</v>
      </c>
      <c r="I6304" s="24">
        <v>0</v>
      </c>
      <c r="J6304" s="23"/>
      <c r="K6304" s="24">
        <v>0</v>
      </c>
      <c r="L6304" s="22" t="str">
        <f>HYPERLINK("https://otsuka-europe-crm.veevavault.com/ui/#object/approved_document__v/V5OZ025E82RR47L", "RTE Proteinuria C1 - IT-LUP-2500006 - Reuma")</f>
        <v>RTE Proteinuria C1 - IT-LUP-2500006 - Reuma</v>
      </c>
      <c r="M6304" s="22" t="str">
        <f>HYPERLINK("mailto:matteo.digennaro@crm.otsuka-europe.com", "matteo.digennaro@crm.otsuka-europe.com")</f>
        <v>matteo.digennaro@crm.otsuka-europe.com</v>
      </c>
      <c r="N6304" s="25">
        <v>46226.29928240741</v>
      </c>
      <c r="O6304" s="14" t="str">
        <f>HYPERLINK("https://otsuka-europe-crm.veevavault.com/ui/#object/email_activity__v/V8C00000004B343", "EN-002107303")</f>
        <v>EN-002107303</v>
      </c>
    </row>
    <row r="6305" spans="1:15" ht="16" x14ac:dyDescent="0.2">
      <c r="A6305" s="19"/>
      <c r="B6305" s="19"/>
      <c r="C6305" s="19"/>
      <c r="D6305" s="19"/>
      <c r="E6305" s="19"/>
      <c r="F6305" s="19"/>
      <c r="G6305" s="19"/>
      <c r="H6305" s="19"/>
      <c r="I6305" s="19"/>
      <c r="J6305" s="19"/>
      <c r="K6305" s="19"/>
      <c r="L6305" s="19"/>
      <c r="M6305" s="19"/>
      <c r="N6305" s="19"/>
      <c r="O6305" s="14" t="str">
        <f>HYPERLINK("https://otsuka-europe-crm.veevavault.com/ui/#object/email_activity__v/V8C00000004C520", "EN-002108018")</f>
        <v>EN-002108018</v>
      </c>
    </row>
    <row r="6306" spans="1:15" ht="16" x14ac:dyDescent="0.2">
      <c r="A6306" s="18" t="str">
        <f>HYPERLINK("https://otsuka-europe-crm.veevavault.com/ui/#object/account__v/V4TZ025E83BJSRR", "FRANCESCO BENVENUTI")</f>
        <v>FRANCESCO BENVENUTI</v>
      </c>
      <c r="B6306" s="18" t="str">
        <f>HYPERLINK("https://otsuka-europe-crm.veevavault.com/ui/#object/vcountry__v/VENZ000004SONFQ", "IT")</f>
        <v>IT</v>
      </c>
      <c r="C6306" s="20" t="s">
        <v>42</v>
      </c>
      <c r="D6306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306" s="22" t="str">
        <f>HYPERLINK("https://otsuka-europe-crm.veevavault.com/ui/#object/sent_email__v/VBL00000003A249", "SE-001444627")</f>
        <v>SE-001444627</v>
      </c>
      <c r="F6306" s="25">
        <v>46226.335497685184</v>
      </c>
      <c r="G6306" s="24">
        <v>1</v>
      </c>
      <c r="H6306" s="24">
        <v>1</v>
      </c>
      <c r="I6306" s="24">
        <v>0</v>
      </c>
      <c r="J6306" s="23"/>
      <c r="K6306" s="24">
        <v>0</v>
      </c>
      <c r="L6306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306" s="22" t="str">
        <f>HYPERLINK("mailto:matteo.digennaro@crm.otsuka-europe.com", "matteo.digennaro@crm.otsuka-europe.com")</f>
        <v>matteo.digennaro@crm.otsuka-europe.com</v>
      </c>
      <c r="N6306" s="25">
        <v>46226.29923611111</v>
      </c>
      <c r="O6306" s="14" t="str">
        <f>HYPERLINK("https://otsuka-europe-crm.veevavault.com/ui/#object/email_activity__v/V8C00000004B600", "EN-002107711")</f>
        <v>EN-002107711</v>
      </c>
    </row>
    <row r="6307" spans="1:15" ht="16" x14ac:dyDescent="0.2">
      <c r="A6307" s="26"/>
      <c r="B6307" s="26"/>
      <c r="C6307" s="26"/>
      <c r="D6307" s="26"/>
      <c r="E6307" s="26"/>
      <c r="F6307" s="26"/>
      <c r="G6307" s="26"/>
      <c r="H6307" s="26"/>
      <c r="I6307" s="26"/>
      <c r="J6307" s="26"/>
      <c r="K6307" s="26"/>
      <c r="L6307" s="26"/>
      <c r="M6307" s="26"/>
      <c r="N6307" s="26"/>
      <c r="O6307" s="14" t="str">
        <f>HYPERLINK("https://otsuka-europe-crm.veevavault.com/ui/#object/email_activity__v/V8C00000004B833", "EN-002108141")</f>
        <v>EN-002108141</v>
      </c>
    </row>
    <row r="6308" spans="1:15" ht="16" x14ac:dyDescent="0.2">
      <c r="A6308" s="19"/>
      <c r="B6308" s="19"/>
      <c r="C6308" s="19"/>
      <c r="D6308" s="19"/>
      <c r="E6308" s="19"/>
      <c r="F6308" s="19"/>
      <c r="G6308" s="19"/>
      <c r="H6308" s="19"/>
      <c r="I6308" s="19"/>
      <c r="J6308" s="19"/>
      <c r="K6308" s="19"/>
      <c r="L6308" s="19"/>
      <c r="M6308" s="19"/>
      <c r="N6308" s="19"/>
      <c r="O6308" s="14" t="str">
        <f>HYPERLINK("https://otsuka-europe-crm.veevavault.com/ui/#object/email_activity__v/V8C00000004C413", "EN-002107854")</f>
        <v>EN-002107854</v>
      </c>
    </row>
    <row r="6309" spans="1:15" ht="32" x14ac:dyDescent="0.2">
      <c r="A6309" s="7" t="str">
        <f>HYPERLINK("https://otsuka-europe-crm.veevavault.com/ui/#object/account__v/V4TZ04ASGC2BX9Y", "ELISA TINAZZI")</f>
        <v>ELISA TINAZZI</v>
      </c>
      <c r="B6309" s="7" t="str">
        <f>HYPERLINK("https://otsuka-europe-crm.veevavault.com/ui/#object/vcountry__v/VENZ000004SONFQ", "IT")</f>
        <v>IT</v>
      </c>
      <c r="C6309" s="8" t="s">
        <v>42</v>
      </c>
      <c r="D6309" s="9" t="str">
        <f>HYPERLINK("https://otsuka-europe-crm.veevavault.com/ui/#object/approved_document__v/V5OZ025E82RRA5M", "AURORA 2 - AE RHEUMA")</f>
        <v>AURORA 2 - AE RHEUMA</v>
      </c>
      <c r="E6309" s="10" t="str">
        <f>HYPERLINK("https://otsuka-europe-crm.veevavault.com/ui/#object/sent_email__v/VBL00000003A250", "SE-001444628")</f>
        <v>SE-001444628</v>
      </c>
      <c r="F6309" s="11"/>
      <c r="G6309" s="12">
        <v>0</v>
      </c>
      <c r="H6309" s="12">
        <v>0</v>
      </c>
      <c r="I6309" s="12">
        <v>0</v>
      </c>
      <c r="J6309" s="11"/>
      <c r="K6309" s="12">
        <v>0</v>
      </c>
      <c r="L6309" s="10" t="str">
        <f>HYPERLINK("https://otsuka-europe-crm.veevavault.com/ui/#object/approved_document__v/V5OZ025E82RRA5M", "AURORA 2 - AE RHEUMA")</f>
        <v>AURORA 2 - AE RHEUMA</v>
      </c>
      <c r="M6309" s="10" t="str">
        <f>HYPERLINK("mailto:matteo.digennaro@crm.otsuka-europe.com", "matteo.digennaro@crm.otsuka-europe.com")</f>
        <v>matteo.digennaro@crm.otsuka-europe.com</v>
      </c>
      <c r="N6309" s="13">
        <v>46226.299259259256</v>
      </c>
      <c r="O6309" s="14" t="str">
        <f>HYPERLINK("https://otsuka-europe-crm.veevavault.com/ui/#object/email_activity__v/V8C00000004C279", "EN-002107351")</f>
        <v>EN-002107351</v>
      </c>
    </row>
    <row r="6310" spans="1:15" ht="16" x14ac:dyDescent="0.2">
      <c r="A6310" s="18" t="str">
        <f>HYPERLINK("https://otsuka-europe-crm.veevavault.com/ui/#object/account__v/V4TZ04ASGC2BX9Y", "ELISA TINAZZI")</f>
        <v>ELISA TINAZZI</v>
      </c>
      <c r="B6310" s="18" t="str">
        <f>HYPERLINK("https://otsuka-europe-crm.veevavault.com/ui/#object/vcountry__v/VENZ000004SONFQ", "IT")</f>
        <v>IT</v>
      </c>
      <c r="C6310" s="20" t="s">
        <v>42</v>
      </c>
      <c r="D6310" s="21" t="str">
        <f>HYPERLINK("https://otsuka-europe-crm.veevavault.com/ui/#object/approved_document__v/V5OZ025E82RR47W", "AE Propensity Analysis- IT-LUP-2500004 Reuma")</f>
        <v>AE Propensity Analysis- IT-LUP-2500004 Reuma</v>
      </c>
      <c r="E6310" s="22" t="str">
        <f>HYPERLINK("https://otsuka-europe-crm.veevavault.com/ui/#object/sent_email__v/VBL000000039141", "SE-001444629")</f>
        <v>SE-001444629</v>
      </c>
      <c r="F6310" s="25">
        <v>46226.342442129629</v>
      </c>
      <c r="G6310" s="24">
        <v>1</v>
      </c>
      <c r="H6310" s="24">
        <v>2</v>
      </c>
      <c r="I6310" s="24">
        <v>0</v>
      </c>
      <c r="J6310" s="23"/>
      <c r="K6310" s="24">
        <v>0</v>
      </c>
      <c r="L6310" s="22" t="str">
        <f>HYPERLINK("https://otsuka-europe-crm.veevavault.com/ui/#object/approved_document__v/V5OZ025E82RR47W", "AE Propensity Analysis- IT-LUP-2500004 Reuma")</f>
        <v>AE Propensity Analysis- IT-LUP-2500004 Reuma</v>
      </c>
      <c r="M6310" s="22" t="str">
        <f>HYPERLINK("mailto:matteo.digennaro@crm.otsuka-europe.com", "matteo.digennaro@crm.otsuka-europe.com")</f>
        <v>matteo.digennaro@crm.otsuka-europe.com</v>
      </c>
      <c r="N6310" s="25">
        <v>46226.29923611111</v>
      </c>
      <c r="O6310" s="14" t="str">
        <f>HYPERLINK("https://otsuka-europe-crm.veevavault.com/ui/#object/email_activity__v/V8C00000004B518", "EN-002107629")</f>
        <v>EN-002107629</v>
      </c>
    </row>
    <row r="6311" spans="1:15" ht="16" x14ac:dyDescent="0.2">
      <c r="A6311" s="26"/>
      <c r="B6311" s="26"/>
      <c r="C6311" s="26"/>
      <c r="D6311" s="26"/>
      <c r="E6311" s="26"/>
      <c r="F6311" s="26"/>
      <c r="G6311" s="26"/>
      <c r="H6311" s="26"/>
      <c r="I6311" s="26"/>
      <c r="J6311" s="26"/>
      <c r="K6311" s="26"/>
      <c r="L6311" s="26"/>
      <c r="M6311" s="26"/>
      <c r="N6311" s="26"/>
      <c r="O6311" s="14" t="str">
        <f>HYPERLINK("https://otsuka-europe-crm.veevavault.com/ui/#object/email_activity__v/V8C00000004B638", "EN-002107749")</f>
        <v>EN-002107749</v>
      </c>
    </row>
    <row r="6312" spans="1:15" ht="16" x14ac:dyDescent="0.2">
      <c r="A6312" s="26"/>
      <c r="B6312" s="26"/>
      <c r="C6312" s="26"/>
      <c r="D6312" s="26"/>
      <c r="E6312" s="26"/>
      <c r="F6312" s="26"/>
      <c r="G6312" s="26"/>
      <c r="H6312" s="26"/>
      <c r="I6312" s="26"/>
      <c r="J6312" s="26"/>
      <c r="K6312" s="26"/>
      <c r="L6312" s="26"/>
      <c r="M6312" s="26"/>
      <c r="N6312" s="26"/>
      <c r="O6312" s="14" t="str">
        <f>HYPERLINK("https://otsuka-europe-crm.veevavault.com/ui/#object/email_activity__v/V8C00000004B800", "EN-002108108")</f>
        <v>EN-002108108</v>
      </c>
    </row>
    <row r="6313" spans="1:15" ht="16" x14ac:dyDescent="0.2">
      <c r="A6313" s="19"/>
      <c r="B6313" s="19"/>
      <c r="C6313" s="19"/>
      <c r="D6313" s="19"/>
      <c r="E6313" s="19"/>
      <c r="F6313" s="19"/>
      <c r="G6313" s="19"/>
      <c r="H6313" s="19"/>
      <c r="I6313" s="19"/>
      <c r="J6313" s="19"/>
      <c r="K6313" s="19"/>
      <c r="L6313" s="19"/>
      <c r="M6313" s="19"/>
      <c r="N6313" s="19"/>
      <c r="O6313" s="14" t="str">
        <f>HYPERLINK("https://otsuka-europe-crm.veevavault.com/ui/#object/email_activity__v/V8C00000004B840", "EN-002108148")</f>
        <v>EN-002108148</v>
      </c>
    </row>
    <row r="6314" spans="1:15" ht="16" x14ac:dyDescent="0.2">
      <c r="A6314" s="18" t="str">
        <f>HYPERLINK("https://otsuka-europe-crm.veevavault.com/ui/#object/account__v/V4TZ04ASGC2BX9Y", "ELISA TINAZZI")</f>
        <v>ELISA TINAZZI</v>
      </c>
      <c r="B6314" s="18" t="str">
        <f>HYPERLINK("https://otsuka-europe-crm.veevavault.com/ui/#object/vcountry__v/VENZ000004SONFQ", "IT")</f>
        <v>IT</v>
      </c>
      <c r="C6314" s="20" t="s">
        <v>42</v>
      </c>
      <c r="D6314" s="21" t="str">
        <f>HYPERLINK("https://otsuka-europe-crm.veevavault.com/ui/#object/approved_document__v/V5OZ025E82RR47U", "AE Focus pz prevalenti- IT-LUP-2500005 Reuma")</f>
        <v>AE Focus pz prevalenti- IT-LUP-2500005 Reuma</v>
      </c>
      <c r="E6314" s="22" t="str">
        <f>HYPERLINK("https://otsuka-europe-crm.veevavault.com/ui/#object/sent_email__v/VBL00000003A251", "SE-001444630")</f>
        <v>SE-001444630</v>
      </c>
      <c r="F6314" s="25">
        <v>46226.34233796296</v>
      </c>
      <c r="G6314" s="24">
        <v>1</v>
      </c>
      <c r="H6314" s="24">
        <v>3</v>
      </c>
      <c r="I6314" s="24">
        <v>0</v>
      </c>
      <c r="J6314" s="23"/>
      <c r="K6314" s="24">
        <v>0</v>
      </c>
      <c r="L6314" s="22" t="str">
        <f>HYPERLINK("https://otsuka-europe-crm.veevavault.com/ui/#object/approved_document__v/V5OZ025E82RR47U", "AE Focus pz prevalenti- IT-LUP-2500005 Reuma")</f>
        <v>AE Focus pz prevalenti- IT-LUP-2500005 Reuma</v>
      </c>
      <c r="M6314" s="22" t="str">
        <f>HYPERLINK("mailto:matteo.digennaro@crm.otsuka-europe.com", "matteo.digennaro@crm.otsuka-europe.com")</f>
        <v>matteo.digennaro@crm.otsuka-europe.com</v>
      </c>
      <c r="N6314" s="25">
        <v>46226.299189814818</v>
      </c>
      <c r="O6314" s="14" t="str">
        <f>HYPERLINK("https://otsuka-europe-crm.veevavault.com/ui/#object/email_activity__v/V8C00000004B637", "EN-002107748")</f>
        <v>EN-002107748</v>
      </c>
    </row>
    <row r="6315" spans="1:15" ht="16" x14ac:dyDescent="0.2">
      <c r="A6315" s="26"/>
      <c r="B6315" s="26"/>
      <c r="C6315" s="26"/>
      <c r="D6315" s="26"/>
      <c r="E6315" s="26"/>
      <c r="F6315" s="26"/>
      <c r="G6315" s="26"/>
      <c r="H6315" s="26"/>
      <c r="I6315" s="26"/>
      <c r="J6315" s="26"/>
      <c r="K6315" s="26"/>
      <c r="L6315" s="26"/>
      <c r="M6315" s="26"/>
      <c r="N6315" s="26"/>
      <c r="O6315" s="14" t="str">
        <f>HYPERLINK("https://otsuka-europe-crm.veevavault.com/ui/#object/email_activity__v/V8C00000004B834", "EN-002108142")</f>
        <v>EN-002108142</v>
      </c>
    </row>
    <row r="6316" spans="1:15" ht="16" x14ac:dyDescent="0.2">
      <c r="A6316" s="26"/>
      <c r="B6316" s="26"/>
      <c r="C6316" s="26"/>
      <c r="D6316" s="26"/>
      <c r="E6316" s="26"/>
      <c r="F6316" s="26"/>
      <c r="G6316" s="26"/>
      <c r="H6316" s="26"/>
      <c r="I6316" s="26"/>
      <c r="J6316" s="26"/>
      <c r="K6316" s="26"/>
      <c r="L6316" s="26"/>
      <c r="M6316" s="26"/>
      <c r="N6316" s="26"/>
      <c r="O6316" s="14" t="str">
        <f>HYPERLINK("https://otsuka-europe-crm.veevavault.com/ui/#object/email_activity__v/V8C00000004C273", "EN-002107345")</f>
        <v>EN-002107345</v>
      </c>
    </row>
    <row r="6317" spans="1:15" ht="16" x14ac:dyDescent="0.2">
      <c r="A6317" s="19"/>
      <c r="B6317" s="19"/>
      <c r="C6317" s="19"/>
      <c r="D6317" s="19"/>
      <c r="E6317" s="19"/>
      <c r="F6317" s="19"/>
      <c r="G6317" s="19"/>
      <c r="H6317" s="19"/>
      <c r="I6317" s="19"/>
      <c r="J6317" s="19"/>
      <c r="K6317" s="19"/>
      <c r="L6317" s="19"/>
      <c r="M6317" s="19"/>
      <c r="N6317" s="19"/>
      <c r="O6317" s="14" t="str">
        <f>HYPERLINK("https://otsuka-europe-crm.veevavault.com/ui/#object/email_activity__v/V8C00000004C356", "EN-002107524")</f>
        <v>EN-002107524</v>
      </c>
    </row>
    <row r="6318" spans="1:15" ht="16" x14ac:dyDescent="0.2">
      <c r="A6318" s="18" t="str">
        <f>HYPERLINK("https://otsuka-europe-crm.veevavault.com/ui/#object/account__v/V4TZ04ASGC2BX9Y", "ELISA TINAZZI")</f>
        <v>ELISA TINAZZI</v>
      </c>
      <c r="B6318" s="18" t="str">
        <f>HYPERLINK("https://otsuka-europe-crm.veevavault.com/ui/#object/vcountry__v/VENZ000004SONFQ", "IT")</f>
        <v>IT</v>
      </c>
      <c r="C6318" s="20" t="s">
        <v>42</v>
      </c>
      <c r="D6318" s="21" t="str">
        <f>HYPERLINK("https://otsuka-europe-crm.veevavault.com/ui/#object/approved_document__v/V5OZ025E82RR47L", "RTE Proteinuria C1 - IT-LUP-2500006 - Reuma")</f>
        <v>RTE Proteinuria C1 - IT-LUP-2500006 - Reuma</v>
      </c>
      <c r="E6318" s="22" t="str">
        <f>HYPERLINK("https://otsuka-europe-crm.veevavault.com/ui/#object/sent_email__v/VBL000000039142", "SE-001444631")</f>
        <v>SE-001444631</v>
      </c>
      <c r="F6318" s="25">
        <v>46226.34238425926</v>
      </c>
      <c r="G6318" s="24">
        <v>1</v>
      </c>
      <c r="H6318" s="24">
        <v>2</v>
      </c>
      <c r="I6318" s="24">
        <v>0</v>
      </c>
      <c r="J6318" s="23"/>
      <c r="K6318" s="24">
        <v>0</v>
      </c>
      <c r="L6318" s="22" t="str">
        <f>HYPERLINK("https://otsuka-europe-crm.veevavault.com/ui/#object/approved_document__v/V5OZ025E82RR47L", "RTE Proteinuria C1 - IT-LUP-2500006 - Reuma")</f>
        <v>RTE Proteinuria C1 - IT-LUP-2500006 - Reuma</v>
      </c>
      <c r="M6318" s="22" t="str">
        <f>HYPERLINK("mailto:matteo.digennaro@crm.otsuka-europe.com", "matteo.digennaro@crm.otsuka-europe.com")</f>
        <v>matteo.digennaro@crm.otsuka-europe.com</v>
      </c>
      <c r="N6318" s="25">
        <v>46226.29928240741</v>
      </c>
      <c r="O6318" s="14" t="str">
        <f>HYPERLINK("https://otsuka-europe-crm.veevavault.com/ui/#object/email_activity__v/V8C00000004B451", "EN-002107559")</f>
        <v>EN-002107559</v>
      </c>
    </row>
    <row r="6319" spans="1:15" ht="16" x14ac:dyDescent="0.2">
      <c r="A6319" s="26"/>
      <c r="B6319" s="26"/>
      <c r="C6319" s="26"/>
      <c r="D6319" s="26"/>
      <c r="E6319" s="26"/>
      <c r="F6319" s="26"/>
      <c r="G6319" s="26"/>
      <c r="H6319" s="26"/>
      <c r="I6319" s="26"/>
      <c r="J6319" s="26"/>
      <c r="K6319" s="26"/>
      <c r="L6319" s="26"/>
      <c r="M6319" s="26"/>
      <c r="N6319" s="26"/>
      <c r="O6319" s="14" t="str">
        <f>HYPERLINK("https://otsuka-europe-crm.veevavault.com/ui/#object/email_activity__v/V8C00000004B635", "EN-002107746")</f>
        <v>EN-002107746</v>
      </c>
    </row>
    <row r="6320" spans="1:15" ht="16" x14ac:dyDescent="0.2">
      <c r="A6320" s="19"/>
      <c r="B6320" s="19"/>
      <c r="C6320" s="19"/>
      <c r="D6320" s="19"/>
      <c r="E6320" s="19"/>
      <c r="F6320" s="19"/>
      <c r="G6320" s="19"/>
      <c r="H6320" s="19"/>
      <c r="I6320" s="19"/>
      <c r="J6320" s="19"/>
      <c r="K6320" s="19"/>
      <c r="L6320" s="19"/>
      <c r="M6320" s="19"/>
      <c r="N6320" s="19"/>
      <c r="O6320" s="14" t="str">
        <f>HYPERLINK("https://otsuka-europe-crm.veevavault.com/ui/#object/email_activity__v/V8C00000004B636", "EN-002107747")</f>
        <v>EN-002107747</v>
      </c>
    </row>
    <row r="6321" spans="1:15" ht="48" x14ac:dyDescent="0.2">
      <c r="A6321" s="7" t="str">
        <f>HYPERLINK("https://otsuka-europe-crm.veevavault.com/ui/#object/account__v/V4TZ04ASGC2BX9Y", "ELISA TINAZZI")</f>
        <v>ELISA TINAZZI</v>
      </c>
      <c r="B6321" s="7" t="str">
        <f>HYPERLINK("https://otsuka-europe-crm.veevavault.com/ui/#object/vcountry__v/VENZ000004SONFQ", "IT")</f>
        <v>IT</v>
      </c>
      <c r="C6321" s="8" t="s">
        <v>42</v>
      </c>
      <c r="D6321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321" s="10" t="str">
        <f>HYPERLINK("https://otsuka-europe-crm.veevavault.com/ui/#object/sent_email__v/VBL00000003A252", "SE-001444632")</f>
        <v>SE-001444632</v>
      </c>
      <c r="F6321" s="11"/>
      <c r="G6321" s="12">
        <v>0</v>
      </c>
      <c r="H6321" s="12">
        <v>0</v>
      </c>
      <c r="I6321" s="12">
        <v>0</v>
      </c>
      <c r="J6321" s="11"/>
      <c r="K6321" s="12">
        <v>0</v>
      </c>
      <c r="L6321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321" s="10" t="str">
        <f>HYPERLINK("mailto:matteo.digennaro@crm.otsuka-europe.com", "matteo.digennaro@crm.otsuka-europe.com")</f>
        <v>matteo.digennaro@crm.otsuka-europe.com</v>
      </c>
      <c r="N6321" s="13">
        <v>46226.29923611111</v>
      </c>
      <c r="O6321" s="14" t="str">
        <f>HYPERLINK("https://otsuka-europe-crm.veevavault.com/ui/#object/email_activity__v/V8C00000004C325", "EN-002107491")</f>
        <v>EN-002107491</v>
      </c>
    </row>
    <row r="6322" spans="1:15" ht="16" x14ac:dyDescent="0.2">
      <c r="A6322" s="18" t="str">
        <f>HYPERLINK("https://otsuka-europe-crm.veevavault.com/ui/#object/account__v/V4TZ025E83WOA0B", "DENISE ROTTA")</f>
        <v>DENISE ROTTA</v>
      </c>
      <c r="B6322" s="18" t="str">
        <f>HYPERLINK("https://otsuka-europe-crm.veevavault.com/ui/#object/vcountry__v/VENZ000004SONFQ", "IT")</f>
        <v>IT</v>
      </c>
      <c r="C6322" s="20" t="s">
        <v>42</v>
      </c>
      <c r="D6322" s="21" t="str">
        <f>HYPERLINK("https://otsuka-europe-crm.veevavault.com/ui/#object/approved_document__v/V5OZ025E82RRA5M", "AURORA 2 - AE RHEUMA")</f>
        <v>AURORA 2 - AE RHEUMA</v>
      </c>
      <c r="E6322" s="22" t="str">
        <f>HYPERLINK("https://otsuka-europe-crm.veevavault.com/ui/#object/sent_email__v/VBL000000039143", "SE-001444633")</f>
        <v>SE-001444633</v>
      </c>
      <c r="F6322" s="23"/>
      <c r="G6322" s="24">
        <v>0</v>
      </c>
      <c r="H6322" s="24">
        <v>0</v>
      </c>
      <c r="I6322" s="24">
        <v>0</v>
      </c>
      <c r="J6322" s="23"/>
      <c r="K6322" s="24">
        <v>0</v>
      </c>
      <c r="L6322" s="22" t="str">
        <f>HYPERLINK("https://otsuka-europe-crm.veevavault.com/ui/#object/approved_document__v/V5OZ025E82RRA5M", "AURORA 2 - AE RHEUMA")</f>
        <v>AURORA 2 - AE RHEUMA</v>
      </c>
      <c r="M6322" s="22" t="str">
        <f>HYPERLINK("mailto:matteo.digennaro@crm.otsuka-europe.com", "matteo.digennaro@crm.otsuka-europe.com")</f>
        <v>matteo.digennaro@crm.otsuka-europe.com</v>
      </c>
      <c r="N6322" s="25">
        <v>46226.299259259256</v>
      </c>
      <c r="O6322" s="14" t="str">
        <f>HYPERLINK("https://otsuka-europe-crm.veevavault.com/ui/#object/email_activity__v/V8C00000004B519", "EN-002107630")</f>
        <v>EN-002107630</v>
      </c>
    </row>
    <row r="6323" spans="1:15" ht="16" x14ac:dyDescent="0.2">
      <c r="A6323" s="26"/>
      <c r="B6323" s="26"/>
      <c r="C6323" s="26"/>
      <c r="D6323" s="26"/>
      <c r="E6323" s="26"/>
      <c r="F6323" s="26"/>
      <c r="G6323" s="26"/>
      <c r="H6323" s="26"/>
      <c r="I6323" s="26"/>
      <c r="J6323" s="26"/>
      <c r="K6323" s="26"/>
      <c r="L6323" s="26"/>
      <c r="M6323" s="26"/>
      <c r="N6323" s="26"/>
      <c r="O6323" s="14" t="str">
        <f>HYPERLINK("https://otsuka-europe-crm.veevavault.com/ui/#object/email_activity__v/V8C00000004B872", "EN-002108183")</f>
        <v>EN-002108183</v>
      </c>
    </row>
    <row r="6324" spans="1:15" ht="16" x14ac:dyDescent="0.2">
      <c r="A6324" s="26"/>
      <c r="B6324" s="26"/>
      <c r="C6324" s="26"/>
      <c r="D6324" s="26"/>
      <c r="E6324" s="26"/>
      <c r="F6324" s="26"/>
      <c r="G6324" s="26"/>
      <c r="H6324" s="26"/>
      <c r="I6324" s="26"/>
      <c r="J6324" s="26"/>
      <c r="K6324" s="26"/>
      <c r="L6324" s="26"/>
      <c r="M6324" s="26"/>
      <c r="N6324" s="26"/>
      <c r="O6324" s="14" t="str">
        <f>HYPERLINK("https://otsuka-europe-crm.veevavault.com/ui/#object/email_activity__v/V8C00000004D042", "EN-002108265")</f>
        <v>EN-002108265</v>
      </c>
    </row>
    <row r="6325" spans="1:15" ht="16" x14ac:dyDescent="0.2">
      <c r="A6325" s="26"/>
      <c r="B6325" s="26"/>
      <c r="C6325" s="26"/>
      <c r="D6325" s="26"/>
      <c r="E6325" s="26"/>
      <c r="F6325" s="26"/>
      <c r="G6325" s="26"/>
      <c r="H6325" s="26"/>
      <c r="I6325" s="26"/>
      <c r="J6325" s="26"/>
      <c r="K6325" s="26"/>
      <c r="L6325" s="26"/>
      <c r="M6325" s="26"/>
      <c r="N6325" s="26"/>
      <c r="O6325" s="14" t="str">
        <f>HYPERLINK("https://otsuka-europe-crm.veevavault.com/ui/#object/email_activity__v/V8C00000004D520", "EN-002109131")</f>
        <v>EN-002109131</v>
      </c>
    </row>
    <row r="6326" spans="1:15" ht="16" x14ac:dyDescent="0.2">
      <c r="A6326" s="26"/>
      <c r="B6326" s="26"/>
      <c r="C6326" s="26"/>
      <c r="D6326" s="26"/>
      <c r="E6326" s="26"/>
      <c r="F6326" s="26"/>
      <c r="G6326" s="26"/>
      <c r="H6326" s="26"/>
      <c r="I6326" s="26"/>
      <c r="J6326" s="26"/>
      <c r="K6326" s="26"/>
      <c r="L6326" s="26"/>
      <c r="M6326" s="26"/>
      <c r="N6326" s="26"/>
      <c r="O6326" s="14" t="str">
        <f>HYPERLINK("https://otsuka-europe-crm.veevavault.com/ui/#object/email_activity__v/V8C00000004G036", "EN-002109830")</f>
        <v>EN-002109830</v>
      </c>
    </row>
    <row r="6327" spans="1:15" ht="16" x14ac:dyDescent="0.2">
      <c r="A6327" s="19"/>
      <c r="B6327" s="19"/>
      <c r="C6327" s="19"/>
      <c r="D6327" s="19"/>
      <c r="E6327" s="19"/>
      <c r="F6327" s="19"/>
      <c r="G6327" s="19"/>
      <c r="H6327" s="19"/>
      <c r="I6327" s="19"/>
      <c r="J6327" s="19"/>
      <c r="K6327" s="19"/>
      <c r="L6327" s="19"/>
      <c r="M6327" s="19"/>
      <c r="N6327" s="19"/>
      <c r="O6327" s="14" t="str">
        <f>HYPERLINK("https://otsuka-europe-crm.veevavault.com/ui/#object/email_activity__v/V8C00000004H031", "EN-002110981")</f>
        <v>EN-002110981</v>
      </c>
    </row>
    <row r="6328" spans="1:15" ht="16" x14ac:dyDescent="0.2">
      <c r="A6328" s="18" t="str">
        <f>HYPERLINK("https://otsuka-europe-crm.veevavault.com/ui/#object/account__v/V4TZ025E83WOA0B", "DENISE ROTTA")</f>
        <v>DENISE ROTTA</v>
      </c>
      <c r="B6328" s="18" t="str">
        <f>HYPERLINK("https://otsuka-europe-crm.veevavault.com/ui/#object/vcountry__v/VENZ000004SONFQ", "IT")</f>
        <v>IT</v>
      </c>
      <c r="C6328" s="20" t="s">
        <v>42</v>
      </c>
      <c r="D6328" s="21" t="str">
        <f>HYPERLINK("https://otsuka-europe-crm.veevavault.com/ui/#object/approved_document__v/V5OZ025E82RR47W", "AE Propensity Analysis- IT-LUP-2500004 Reuma")</f>
        <v>AE Propensity Analysis- IT-LUP-2500004 Reuma</v>
      </c>
      <c r="E6328" s="22" t="str">
        <f>HYPERLINK("https://otsuka-europe-crm.veevavault.com/ui/#object/sent_email__v/VBL000000039144", "SE-001444634")</f>
        <v>SE-001444634</v>
      </c>
      <c r="F6328" s="23"/>
      <c r="G6328" s="24">
        <v>0</v>
      </c>
      <c r="H6328" s="24">
        <v>0</v>
      </c>
      <c r="I6328" s="24">
        <v>0</v>
      </c>
      <c r="J6328" s="23"/>
      <c r="K6328" s="24">
        <v>0</v>
      </c>
      <c r="L6328" s="22" t="str">
        <f>HYPERLINK("https://otsuka-europe-crm.veevavault.com/ui/#object/approved_document__v/V5OZ025E82RR47W", "AE Propensity Analysis- IT-LUP-2500004 Reuma")</f>
        <v>AE Propensity Analysis- IT-LUP-2500004 Reuma</v>
      </c>
      <c r="M6328" s="22" t="str">
        <f>HYPERLINK("mailto:matteo.digennaro@crm.otsuka-europe.com", "matteo.digennaro@crm.otsuka-europe.com")</f>
        <v>matteo.digennaro@crm.otsuka-europe.com</v>
      </c>
      <c r="N6328" s="25">
        <v>46226.29923611111</v>
      </c>
      <c r="O6328" s="14" t="str">
        <f>HYPERLINK("https://otsuka-europe-crm.veevavault.com/ui/#object/email_activity__v/V8C00000004C324", "EN-002107490")</f>
        <v>EN-002107490</v>
      </c>
    </row>
    <row r="6329" spans="1:15" ht="16" x14ac:dyDescent="0.2">
      <c r="A6329" s="26"/>
      <c r="B6329" s="26"/>
      <c r="C6329" s="26"/>
      <c r="D6329" s="26"/>
      <c r="E6329" s="26"/>
      <c r="F6329" s="26"/>
      <c r="G6329" s="26"/>
      <c r="H6329" s="26"/>
      <c r="I6329" s="26"/>
      <c r="J6329" s="26"/>
      <c r="K6329" s="26"/>
      <c r="L6329" s="26"/>
      <c r="M6329" s="26"/>
      <c r="N6329" s="26"/>
      <c r="O6329" s="14" t="str">
        <f>HYPERLINK("https://otsuka-europe-crm.veevavault.com/ui/#object/email_activity__v/V8C00000004D046", "EN-002108269")</f>
        <v>EN-002108269</v>
      </c>
    </row>
    <row r="6330" spans="1:15" ht="16" x14ac:dyDescent="0.2">
      <c r="A6330" s="26"/>
      <c r="B6330" s="26"/>
      <c r="C6330" s="26"/>
      <c r="D6330" s="26"/>
      <c r="E6330" s="26"/>
      <c r="F6330" s="26"/>
      <c r="G6330" s="26"/>
      <c r="H6330" s="26"/>
      <c r="I6330" s="26"/>
      <c r="J6330" s="26"/>
      <c r="K6330" s="26"/>
      <c r="L6330" s="26"/>
      <c r="M6330" s="26"/>
      <c r="N6330" s="26"/>
      <c r="O6330" s="14" t="str">
        <f>HYPERLINK("https://otsuka-europe-crm.veevavault.com/ui/#object/email_activity__v/V8C00000004D519", "EN-002109130")</f>
        <v>EN-002109130</v>
      </c>
    </row>
    <row r="6331" spans="1:15" ht="16" x14ac:dyDescent="0.2">
      <c r="A6331" s="26"/>
      <c r="B6331" s="26"/>
      <c r="C6331" s="26"/>
      <c r="D6331" s="26"/>
      <c r="E6331" s="26"/>
      <c r="F6331" s="26"/>
      <c r="G6331" s="26"/>
      <c r="H6331" s="26"/>
      <c r="I6331" s="26"/>
      <c r="J6331" s="26"/>
      <c r="K6331" s="26"/>
      <c r="L6331" s="26"/>
      <c r="M6331" s="26"/>
      <c r="N6331" s="26"/>
      <c r="O6331" s="14" t="str">
        <f>HYPERLINK("https://otsuka-europe-crm.veevavault.com/ui/#object/email_activity__v/V8C00000004G040", "EN-002109834")</f>
        <v>EN-002109834</v>
      </c>
    </row>
    <row r="6332" spans="1:15" ht="16" x14ac:dyDescent="0.2">
      <c r="A6332" s="19"/>
      <c r="B6332" s="19"/>
      <c r="C6332" s="19"/>
      <c r="D6332" s="19"/>
      <c r="E6332" s="19"/>
      <c r="F6332" s="19"/>
      <c r="G6332" s="19"/>
      <c r="H6332" s="19"/>
      <c r="I6332" s="19"/>
      <c r="J6332" s="19"/>
      <c r="K6332" s="19"/>
      <c r="L6332" s="19"/>
      <c r="M6332" s="19"/>
      <c r="N6332" s="19"/>
      <c r="O6332" s="14" t="str">
        <f>HYPERLINK("https://otsuka-europe-crm.veevavault.com/ui/#object/email_activity__v/V8C00000004H035", "EN-002110985")</f>
        <v>EN-002110985</v>
      </c>
    </row>
    <row r="6333" spans="1:15" ht="16" x14ac:dyDescent="0.2">
      <c r="A6333" s="18" t="str">
        <f>HYPERLINK("https://otsuka-europe-crm.veevavault.com/ui/#object/account__v/V4TZ025E83WOA0B", "DENISE ROTTA")</f>
        <v>DENISE ROTTA</v>
      </c>
      <c r="B6333" s="18" t="str">
        <f>HYPERLINK("https://otsuka-europe-crm.veevavault.com/ui/#object/vcountry__v/VENZ000004SONFQ", "IT")</f>
        <v>IT</v>
      </c>
      <c r="C6333" s="20" t="s">
        <v>42</v>
      </c>
      <c r="D6333" s="21" t="str">
        <f>HYPERLINK("https://otsuka-europe-crm.veevavault.com/ui/#object/approved_document__v/V5OZ025E82RR47U", "AE Focus pz prevalenti- IT-LUP-2500005 Reuma")</f>
        <v>AE Focus pz prevalenti- IT-LUP-2500005 Reuma</v>
      </c>
      <c r="E6333" s="22" t="str">
        <f>HYPERLINK("https://otsuka-europe-crm.veevavault.com/ui/#object/sent_email__v/VBL00000003A253", "SE-001444635")</f>
        <v>SE-001444635</v>
      </c>
      <c r="F6333" s="23"/>
      <c r="G6333" s="24">
        <v>0</v>
      </c>
      <c r="H6333" s="24">
        <v>0</v>
      </c>
      <c r="I6333" s="24">
        <v>0</v>
      </c>
      <c r="J6333" s="23"/>
      <c r="K6333" s="24">
        <v>0</v>
      </c>
      <c r="L6333" s="22" t="str">
        <f>HYPERLINK("https://otsuka-europe-crm.veevavault.com/ui/#object/approved_document__v/V5OZ025E82RR47U", "AE Focus pz prevalenti- IT-LUP-2500005 Reuma")</f>
        <v>AE Focus pz prevalenti- IT-LUP-2500005 Reuma</v>
      </c>
      <c r="M6333" s="22" t="str">
        <f>HYPERLINK("mailto:matteo.digennaro@crm.otsuka-europe.com", "matteo.digennaro@crm.otsuka-europe.com")</f>
        <v>matteo.digennaro@crm.otsuka-europe.com</v>
      </c>
      <c r="N6333" s="25">
        <v>46226.299189814818</v>
      </c>
      <c r="O6333" s="14" t="str">
        <f>HYPERLINK("https://otsuka-europe-crm.veevavault.com/ui/#object/email_activity__v/V8C00000004B361", "EN-002107374")</f>
        <v>EN-002107374</v>
      </c>
    </row>
    <row r="6334" spans="1:15" ht="16" x14ac:dyDescent="0.2">
      <c r="A6334" s="26"/>
      <c r="B6334" s="26"/>
      <c r="C6334" s="26"/>
      <c r="D6334" s="26"/>
      <c r="E6334" s="26"/>
      <c r="F6334" s="26"/>
      <c r="G6334" s="26"/>
      <c r="H6334" s="26"/>
      <c r="I6334" s="26"/>
      <c r="J6334" s="26"/>
      <c r="K6334" s="26"/>
      <c r="L6334" s="26"/>
      <c r="M6334" s="26"/>
      <c r="N6334" s="26"/>
      <c r="O6334" s="14" t="str">
        <f>HYPERLINK("https://otsuka-europe-crm.veevavault.com/ui/#object/email_activity__v/V8C00000004D045", "EN-002108268")</f>
        <v>EN-002108268</v>
      </c>
    </row>
    <row r="6335" spans="1:15" ht="16" x14ac:dyDescent="0.2">
      <c r="A6335" s="26"/>
      <c r="B6335" s="26"/>
      <c r="C6335" s="26"/>
      <c r="D6335" s="26"/>
      <c r="E6335" s="26"/>
      <c r="F6335" s="26"/>
      <c r="G6335" s="26"/>
      <c r="H6335" s="26"/>
      <c r="I6335" s="26"/>
      <c r="J6335" s="26"/>
      <c r="K6335" s="26"/>
      <c r="L6335" s="26"/>
      <c r="M6335" s="26"/>
      <c r="N6335" s="26"/>
      <c r="O6335" s="14" t="str">
        <f>HYPERLINK("https://otsuka-europe-crm.veevavault.com/ui/#object/email_activity__v/V8C00000004D521", "EN-002109132")</f>
        <v>EN-002109132</v>
      </c>
    </row>
    <row r="6336" spans="1:15" ht="16" x14ac:dyDescent="0.2">
      <c r="A6336" s="26"/>
      <c r="B6336" s="26"/>
      <c r="C6336" s="26"/>
      <c r="D6336" s="26"/>
      <c r="E6336" s="26"/>
      <c r="F6336" s="26"/>
      <c r="G6336" s="26"/>
      <c r="H6336" s="26"/>
      <c r="I6336" s="26"/>
      <c r="J6336" s="26"/>
      <c r="K6336" s="26"/>
      <c r="L6336" s="26"/>
      <c r="M6336" s="26"/>
      <c r="N6336" s="26"/>
      <c r="O6336" s="14" t="str">
        <f>HYPERLINK("https://otsuka-europe-crm.veevavault.com/ui/#object/email_activity__v/V8C00000004G039", "EN-002109833")</f>
        <v>EN-002109833</v>
      </c>
    </row>
    <row r="6337" spans="1:15" ht="16" x14ac:dyDescent="0.2">
      <c r="A6337" s="19"/>
      <c r="B6337" s="19"/>
      <c r="C6337" s="19"/>
      <c r="D6337" s="19"/>
      <c r="E6337" s="19"/>
      <c r="F6337" s="19"/>
      <c r="G6337" s="19"/>
      <c r="H6337" s="19"/>
      <c r="I6337" s="19"/>
      <c r="J6337" s="19"/>
      <c r="K6337" s="19"/>
      <c r="L6337" s="19"/>
      <c r="M6337" s="19"/>
      <c r="N6337" s="19"/>
      <c r="O6337" s="14" t="str">
        <f>HYPERLINK("https://otsuka-europe-crm.veevavault.com/ui/#object/email_activity__v/V8C00000004H034", "EN-002110984")</f>
        <v>EN-002110984</v>
      </c>
    </row>
    <row r="6338" spans="1:15" ht="16" x14ac:dyDescent="0.2">
      <c r="A6338" s="18" t="str">
        <f>HYPERLINK("https://otsuka-europe-crm.veevavault.com/ui/#object/account__v/V4TZ025E83WOA0B", "DENISE ROTTA")</f>
        <v>DENISE ROTTA</v>
      </c>
      <c r="B6338" s="18" t="str">
        <f>HYPERLINK("https://otsuka-europe-crm.veevavault.com/ui/#object/vcountry__v/VENZ000004SONFQ", "IT")</f>
        <v>IT</v>
      </c>
      <c r="C6338" s="20" t="s">
        <v>42</v>
      </c>
      <c r="D6338" s="21" t="str">
        <f>HYPERLINK("https://otsuka-europe-crm.veevavault.com/ui/#object/approved_document__v/V5OZ025E82RR47L", "RTE Proteinuria C1 - IT-LUP-2500006 - Reuma")</f>
        <v>RTE Proteinuria C1 - IT-LUP-2500006 - Reuma</v>
      </c>
      <c r="E6338" s="22" t="str">
        <f>HYPERLINK("https://otsuka-europe-crm.veevavault.com/ui/#object/sent_email__v/VBL000000039145", "SE-001444636")</f>
        <v>SE-001444636</v>
      </c>
      <c r="F6338" s="23"/>
      <c r="G6338" s="24">
        <v>0</v>
      </c>
      <c r="H6338" s="24">
        <v>0</v>
      </c>
      <c r="I6338" s="24">
        <v>0</v>
      </c>
      <c r="J6338" s="23"/>
      <c r="K6338" s="24">
        <v>0</v>
      </c>
      <c r="L6338" s="22" t="str">
        <f>HYPERLINK("https://otsuka-europe-crm.veevavault.com/ui/#object/approved_document__v/V5OZ025E82RR47L", "RTE Proteinuria C1 - IT-LUP-2500006 - Reuma")</f>
        <v>RTE Proteinuria C1 - IT-LUP-2500006 - Reuma</v>
      </c>
      <c r="M6338" s="22" t="str">
        <f>HYPERLINK("mailto:matteo.digennaro@crm.otsuka-europe.com", "matteo.digennaro@crm.otsuka-europe.com")</f>
        <v>matteo.digennaro@crm.otsuka-europe.com</v>
      </c>
      <c r="N6338" s="25">
        <v>46226.29928240741</v>
      </c>
      <c r="O6338" s="14" t="str">
        <f>HYPERLINK("https://otsuka-europe-crm.veevavault.com/ui/#object/email_activity__v/V8C00000004B375", "EN-002107388")</f>
        <v>EN-002107388</v>
      </c>
    </row>
    <row r="6339" spans="1:15" ht="16" x14ac:dyDescent="0.2">
      <c r="A6339" s="26"/>
      <c r="B6339" s="26"/>
      <c r="C6339" s="26"/>
      <c r="D6339" s="26"/>
      <c r="E6339" s="26"/>
      <c r="F6339" s="26"/>
      <c r="G6339" s="26"/>
      <c r="H6339" s="26"/>
      <c r="I6339" s="26"/>
      <c r="J6339" s="26"/>
      <c r="K6339" s="26"/>
      <c r="L6339" s="26"/>
      <c r="M6339" s="26"/>
      <c r="N6339" s="26"/>
      <c r="O6339" s="14" t="str">
        <f>HYPERLINK("https://otsuka-europe-crm.veevavault.com/ui/#object/email_activity__v/V8C00000004D044", "EN-002108267")</f>
        <v>EN-002108267</v>
      </c>
    </row>
    <row r="6340" spans="1:15" ht="16" x14ac:dyDescent="0.2">
      <c r="A6340" s="26"/>
      <c r="B6340" s="26"/>
      <c r="C6340" s="26"/>
      <c r="D6340" s="26"/>
      <c r="E6340" s="26"/>
      <c r="F6340" s="26"/>
      <c r="G6340" s="26"/>
      <c r="H6340" s="26"/>
      <c r="I6340" s="26"/>
      <c r="J6340" s="26"/>
      <c r="K6340" s="26"/>
      <c r="L6340" s="26"/>
      <c r="M6340" s="26"/>
      <c r="N6340" s="26"/>
      <c r="O6340" s="14" t="str">
        <f>HYPERLINK("https://otsuka-europe-crm.veevavault.com/ui/#object/email_activity__v/V8C00000004D518", "EN-002109129")</f>
        <v>EN-002109129</v>
      </c>
    </row>
    <row r="6341" spans="1:15" ht="16" x14ac:dyDescent="0.2">
      <c r="A6341" s="26"/>
      <c r="B6341" s="26"/>
      <c r="C6341" s="26"/>
      <c r="D6341" s="26"/>
      <c r="E6341" s="26"/>
      <c r="F6341" s="26"/>
      <c r="G6341" s="26"/>
      <c r="H6341" s="26"/>
      <c r="I6341" s="26"/>
      <c r="J6341" s="26"/>
      <c r="K6341" s="26"/>
      <c r="L6341" s="26"/>
      <c r="M6341" s="26"/>
      <c r="N6341" s="26"/>
      <c r="O6341" s="14" t="str">
        <f>HYPERLINK("https://otsuka-europe-crm.veevavault.com/ui/#object/email_activity__v/V8C00000004G038", "EN-002109832")</f>
        <v>EN-002109832</v>
      </c>
    </row>
    <row r="6342" spans="1:15" ht="16" x14ac:dyDescent="0.2">
      <c r="A6342" s="19"/>
      <c r="B6342" s="19"/>
      <c r="C6342" s="19"/>
      <c r="D6342" s="19"/>
      <c r="E6342" s="19"/>
      <c r="F6342" s="19"/>
      <c r="G6342" s="19"/>
      <c r="H6342" s="19"/>
      <c r="I6342" s="19"/>
      <c r="J6342" s="19"/>
      <c r="K6342" s="19"/>
      <c r="L6342" s="19"/>
      <c r="M6342" s="19"/>
      <c r="N6342" s="19"/>
      <c r="O6342" s="14" t="str">
        <f>HYPERLINK("https://otsuka-europe-crm.veevavault.com/ui/#object/email_activity__v/V8C00000004H033", "EN-002110983")</f>
        <v>EN-002110983</v>
      </c>
    </row>
    <row r="6343" spans="1:15" ht="16" x14ac:dyDescent="0.2">
      <c r="A6343" s="18" t="str">
        <f>HYPERLINK("https://otsuka-europe-crm.veevavault.com/ui/#object/account__v/V4TZ025E83WOA0B", "DENISE ROTTA")</f>
        <v>DENISE ROTTA</v>
      </c>
      <c r="B6343" s="18" t="str">
        <f>HYPERLINK("https://otsuka-europe-crm.veevavault.com/ui/#object/vcountry__v/VENZ000004SONFQ", "IT")</f>
        <v>IT</v>
      </c>
      <c r="C6343" s="20" t="s">
        <v>42</v>
      </c>
      <c r="D6343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343" s="22" t="str">
        <f>HYPERLINK("https://otsuka-europe-crm.veevavault.com/ui/#object/sent_email__v/VBL00000003A254", "SE-001444637")</f>
        <v>SE-001444637</v>
      </c>
      <c r="F6343" s="23"/>
      <c r="G6343" s="24">
        <v>0</v>
      </c>
      <c r="H6343" s="24">
        <v>0</v>
      </c>
      <c r="I6343" s="24">
        <v>0</v>
      </c>
      <c r="J6343" s="23"/>
      <c r="K6343" s="24">
        <v>0</v>
      </c>
      <c r="L6343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343" s="22" t="str">
        <f>HYPERLINK("mailto:matteo.digennaro@crm.otsuka-europe.com", "matteo.digennaro@crm.otsuka-europe.com")</f>
        <v>matteo.digennaro@crm.otsuka-europe.com</v>
      </c>
      <c r="N6343" s="25">
        <v>46226.29923611111</v>
      </c>
      <c r="O6343" s="14" t="str">
        <f>HYPERLINK("https://otsuka-europe-crm.veevavault.com/ui/#object/email_activity__v/V8C00000004C321", "EN-002107487")</f>
        <v>EN-002107487</v>
      </c>
    </row>
    <row r="6344" spans="1:15" ht="16" x14ac:dyDescent="0.2">
      <c r="A6344" s="26"/>
      <c r="B6344" s="26"/>
      <c r="C6344" s="26"/>
      <c r="D6344" s="26"/>
      <c r="E6344" s="26"/>
      <c r="F6344" s="26"/>
      <c r="G6344" s="26"/>
      <c r="H6344" s="26"/>
      <c r="I6344" s="26"/>
      <c r="J6344" s="26"/>
      <c r="K6344" s="26"/>
      <c r="L6344" s="26"/>
      <c r="M6344" s="26"/>
      <c r="N6344" s="26"/>
      <c r="O6344" s="14" t="str">
        <f>HYPERLINK("https://otsuka-europe-crm.veevavault.com/ui/#object/email_activity__v/V8C00000004D043", "EN-002108266")</f>
        <v>EN-002108266</v>
      </c>
    </row>
    <row r="6345" spans="1:15" ht="16" x14ac:dyDescent="0.2">
      <c r="A6345" s="26"/>
      <c r="B6345" s="26"/>
      <c r="C6345" s="26"/>
      <c r="D6345" s="26"/>
      <c r="E6345" s="26"/>
      <c r="F6345" s="26"/>
      <c r="G6345" s="26"/>
      <c r="H6345" s="26"/>
      <c r="I6345" s="26"/>
      <c r="J6345" s="26"/>
      <c r="K6345" s="26"/>
      <c r="L6345" s="26"/>
      <c r="M6345" s="26"/>
      <c r="N6345" s="26"/>
      <c r="O6345" s="14" t="str">
        <f>HYPERLINK("https://otsuka-europe-crm.veevavault.com/ui/#object/email_activity__v/V8C00000004D517", "EN-002109128")</f>
        <v>EN-002109128</v>
      </c>
    </row>
    <row r="6346" spans="1:15" ht="16" x14ac:dyDescent="0.2">
      <c r="A6346" s="26"/>
      <c r="B6346" s="26"/>
      <c r="C6346" s="26"/>
      <c r="D6346" s="26"/>
      <c r="E6346" s="26"/>
      <c r="F6346" s="26"/>
      <c r="G6346" s="26"/>
      <c r="H6346" s="26"/>
      <c r="I6346" s="26"/>
      <c r="J6346" s="26"/>
      <c r="K6346" s="26"/>
      <c r="L6346" s="26"/>
      <c r="M6346" s="26"/>
      <c r="N6346" s="26"/>
      <c r="O6346" s="14" t="str">
        <f>HYPERLINK("https://otsuka-europe-crm.veevavault.com/ui/#object/email_activity__v/V8C00000004G037", "EN-002109831")</f>
        <v>EN-002109831</v>
      </c>
    </row>
    <row r="6347" spans="1:15" ht="16" x14ac:dyDescent="0.2">
      <c r="A6347" s="19"/>
      <c r="B6347" s="19"/>
      <c r="C6347" s="19"/>
      <c r="D6347" s="19"/>
      <c r="E6347" s="19"/>
      <c r="F6347" s="19"/>
      <c r="G6347" s="19"/>
      <c r="H6347" s="19"/>
      <c r="I6347" s="19"/>
      <c r="J6347" s="19"/>
      <c r="K6347" s="19"/>
      <c r="L6347" s="19"/>
      <c r="M6347" s="19"/>
      <c r="N6347" s="19"/>
      <c r="O6347" s="14" t="str">
        <f>HYPERLINK("https://otsuka-europe-crm.veevavault.com/ui/#object/email_activity__v/V8C00000004H032", "EN-002110982")</f>
        <v>EN-002110982</v>
      </c>
    </row>
    <row r="6348" spans="1:15" ht="16" x14ac:dyDescent="0.2">
      <c r="A6348" s="18" t="str">
        <f>HYPERLINK("https://otsuka-europe-crm.veevavault.com/ui/#object/account__v/V4TZ025E83WPJ2I", "GIUSEPPINA PESSOLANO")</f>
        <v>GIUSEPPINA PESSOLANO</v>
      </c>
      <c r="B6348" s="18" t="str">
        <f>HYPERLINK("https://otsuka-europe-crm.veevavault.com/ui/#object/vcountry__v/VENZ000004SONFQ", "IT")</f>
        <v>IT</v>
      </c>
      <c r="C6348" s="20" t="s">
        <v>42</v>
      </c>
      <c r="D6348" s="21" t="str">
        <f>HYPERLINK("https://otsuka-europe-crm.veevavault.com/ui/#object/approved_document__v/V5OZ025E82RRA5I", "AURORA 2 - AE NEPHRO")</f>
        <v>AURORA 2 - AE NEPHRO</v>
      </c>
      <c r="E6348" s="22" t="str">
        <f>HYPERLINK("https://otsuka-europe-crm.veevavault.com/ui/#object/sent_email__v/VBL000000039146", "SE-001444638")</f>
        <v>SE-001444638</v>
      </c>
      <c r="F6348" s="25">
        <v>46227.694456018522</v>
      </c>
      <c r="G6348" s="24">
        <v>1</v>
      </c>
      <c r="H6348" s="24">
        <v>1</v>
      </c>
      <c r="I6348" s="24">
        <v>0</v>
      </c>
      <c r="J6348" s="23"/>
      <c r="K6348" s="24">
        <v>0</v>
      </c>
      <c r="L6348" s="22" t="str">
        <f>HYPERLINK("https://otsuka-europe-crm.veevavault.com/ui/#object/approved_document__v/V5OZ025E82RRA5I", "AURORA 2 - AE NEPHRO")</f>
        <v>AURORA 2 - AE NEPHRO</v>
      </c>
      <c r="M6348" s="22" t="str">
        <f>HYPERLINK("mailto:matteo.digennaro@crm.otsuka-europe.com", "matteo.digennaro@crm.otsuka-europe.com")</f>
        <v>matteo.digennaro@crm.otsuka-europe.com</v>
      </c>
      <c r="N6348" s="25">
        <v>46226.299293981479</v>
      </c>
      <c r="O6348" s="14" t="str">
        <f>HYPERLINK("https://otsuka-europe-crm.veevavault.com/ui/#object/email_activity__v/V8C00000004C283", "EN-002107355")</f>
        <v>EN-002107355</v>
      </c>
    </row>
    <row r="6349" spans="1:15" ht="16" x14ac:dyDescent="0.2">
      <c r="A6349" s="19"/>
      <c r="B6349" s="19"/>
      <c r="C6349" s="19"/>
      <c r="D6349" s="19"/>
      <c r="E6349" s="19"/>
      <c r="F6349" s="19"/>
      <c r="G6349" s="19"/>
      <c r="H6349" s="19"/>
      <c r="I6349" s="19"/>
      <c r="J6349" s="19"/>
      <c r="K6349" s="19"/>
      <c r="L6349" s="19"/>
      <c r="M6349" s="19"/>
      <c r="N6349" s="19"/>
      <c r="O6349" s="14" t="str">
        <f>HYPERLINK("https://otsuka-europe-crm.veevavault.com/ui/#object/email_activity__v/V8C00000004D411", "EN-002108887")</f>
        <v>EN-002108887</v>
      </c>
    </row>
    <row r="6350" spans="1:15" ht="16" x14ac:dyDescent="0.2">
      <c r="A6350" s="18" t="str">
        <f>HYPERLINK("https://otsuka-europe-crm.veevavault.com/ui/#object/account__v/V4TZ025E83WPJ2I", "GIUSEPPINA PESSOLANO")</f>
        <v>GIUSEPPINA PESSOLANO</v>
      </c>
      <c r="B6350" s="18" t="str">
        <f>HYPERLINK("https://otsuka-europe-crm.veevavault.com/ui/#object/vcountry__v/VENZ000004SONFQ", "IT")</f>
        <v>IT</v>
      </c>
      <c r="C6350" s="20" t="s">
        <v>42</v>
      </c>
      <c r="D6350" s="21" t="str">
        <f>HYPERLINK("https://otsuka-europe-crm.veevavault.com/ui/#object/approved_document__v/V5OZ025E82RR480", "RTE Proteinuria C1 - IT-LUP-2500006 - Nephro")</f>
        <v>RTE Proteinuria C1 - IT-LUP-2500006 - Nephro</v>
      </c>
      <c r="E6350" s="22" t="str">
        <f>HYPERLINK("https://otsuka-europe-crm.veevavault.com/ui/#object/sent_email__v/VBL00000003A255", "SE-001444639")</f>
        <v>SE-001444639</v>
      </c>
      <c r="F6350" s="25">
        <v>46227.694618055553</v>
      </c>
      <c r="G6350" s="24">
        <v>1</v>
      </c>
      <c r="H6350" s="24">
        <v>3</v>
      </c>
      <c r="I6350" s="24">
        <v>0</v>
      </c>
      <c r="J6350" s="23"/>
      <c r="K6350" s="24">
        <v>0</v>
      </c>
      <c r="L6350" s="22" t="str">
        <f>HYPERLINK("https://otsuka-europe-crm.veevavault.com/ui/#object/approved_document__v/V5OZ025E82RR480", "RTE Proteinuria C1 - IT-LUP-2500006 - Nephro")</f>
        <v>RTE Proteinuria C1 - IT-LUP-2500006 - Nephro</v>
      </c>
      <c r="M6350" s="22" t="str">
        <f>HYPERLINK("mailto:matteo.digennaro@crm.otsuka-europe.com", "matteo.digennaro@crm.otsuka-europe.com")</f>
        <v>matteo.digennaro@crm.otsuka-europe.com</v>
      </c>
      <c r="N6350" s="25">
        <v>46226.299224537041</v>
      </c>
      <c r="O6350" s="14" t="str">
        <f>HYPERLINK("https://otsuka-europe-crm.veevavault.com/ui/#object/email_activity__v/V8C00000004B601", "EN-002107712")</f>
        <v>EN-002107712</v>
      </c>
    </row>
    <row r="6351" spans="1:15" ht="16" x14ac:dyDescent="0.2">
      <c r="A6351" s="26"/>
      <c r="B6351" s="26"/>
      <c r="C6351" s="26"/>
      <c r="D6351" s="26"/>
      <c r="E6351" s="26"/>
      <c r="F6351" s="26"/>
      <c r="G6351" s="26"/>
      <c r="H6351" s="26"/>
      <c r="I6351" s="26"/>
      <c r="J6351" s="26"/>
      <c r="K6351" s="26"/>
      <c r="L6351" s="26"/>
      <c r="M6351" s="26"/>
      <c r="N6351" s="26"/>
      <c r="O6351" s="14" t="str">
        <f>HYPERLINK("https://otsuka-europe-crm.veevavault.com/ui/#object/email_activity__v/V8C00000004C385", "EN-002107776")</f>
        <v>EN-002107776</v>
      </c>
    </row>
    <row r="6352" spans="1:15" ht="16" x14ac:dyDescent="0.2">
      <c r="A6352" s="26"/>
      <c r="B6352" s="26"/>
      <c r="C6352" s="26"/>
      <c r="D6352" s="26"/>
      <c r="E6352" s="26"/>
      <c r="F6352" s="26"/>
      <c r="G6352" s="26"/>
      <c r="H6352" s="26"/>
      <c r="I6352" s="26"/>
      <c r="J6352" s="26"/>
      <c r="K6352" s="26"/>
      <c r="L6352" s="26"/>
      <c r="M6352" s="26"/>
      <c r="N6352" s="26"/>
      <c r="O6352" s="14" t="str">
        <f>HYPERLINK("https://otsuka-europe-crm.veevavault.com/ui/#object/email_activity__v/V8C00000004C567", "EN-002108077")</f>
        <v>EN-002108077</v>
      </c>
    </row>
    <row r="6353" spans="1:15" ht="16" x14ac:dyDescent="0.2">
      <c r="A6353" s="26"/>
      <c r="B6353" s="26"/>
      <c r="C6353" s="26"/>
      <c r="D6353" s="26"/>
      <c r="E6353" s="26"/>
      <c r="F6353" s="26"/>
      <c r="G6353" s="26"/>
      <c r="H6353" s="26"/>
      <c r="I6353" s="26"/>
      <c r="J6353" s="26"/>
      <c r="K6353" s="26"/>
      <c r="L6353" s="26"/>
      <c r="M6353" s="26"/>
      <c r="N6353" s="26"/>
      <c r="O6353" s="14" t="str">
        <f>HYPERLINK("https://otsuka-europe-crm.veevavault.com/ui/#object/email_activity__v/V8C00000004D412", "EN-002108888")</f>
        <v>EN-002108888</v>
      </c>
    </row>
    <row r="6354" spans="1:15" ht="16" x14ac:dyDescent="0.2">
      <c r="A6354" s="19"/>
      <c r="B6354" s="19"/>
      <c r="C6354" s="19"/>
      <c r="D6354" s="19"/>
      <c r="E6354" s="19"/>
      <c r="F6354" s="19"/>
      <c r="G6354" s="19"/>
      <c r="H6354" s="19"/>
      <c r="I6354" s="19"/>
      <c r="J6354" s="19"/>
      <c r="K6354" s="19"/>
      <c r="L6354" s="19"/>
      <c r="M6354" s="19"/>
      <c r="N6354" s="19"/>
      <c r="O6354" s="14" t="str">
        <f>HYPERLINK("https://otsuka-europe-crm.veevavault.com/ui/#object/email_activity__v/V8C00000004E054", "EN-002108437")</f>
        <v>EN-002108437</v>
      </c>
    </row>
    <row r="6355" spans="1:15" ht="16" x14ac:dyDescent="0.2">
      <c r="A6355" s="18" t="str">
        <f>HYPERLINK("https://otsuka-europe-crm.veevavault.com/ui/#object/account__v/V4TZ025E83WPJ2I", "GIUSEPPINA PESSOLANO")</f>
        <v>GIUSEPPINA PESSOLANO</v>
      </c>
      <c r="B6355" s="18" t="str">
        <f>HYPERLINK("https://otsuka-europe-crm.veevavault.com/ui/#object/vcountry__v/VENZ000004SONFQ", "IT")</f>
        <v>IT</v>
      </c>
      <c r="C6355" s="20" t="s">
        <v>42</v>
      </c>
      <c r="D6355" s="21" t="str">
        <f>HYPERLINK("https://otsuka-europe-crm.veevavault.com/ui/#object/approved_document__v/V5OZ025E82RR47T", "AE Propensity Analysis- IT-LUP-2500004 Nefro")</f>
        <v>AE Propensity Analysis- IT-LUP-2500004 Nefro</v>
      </c>
      <c r="E6355" s="22" t="str">
        <f>HYPERLINK("https://otsuka-europe-crm.veevavault.com/ui/#object/sent_email__v/VBL000000039147", "SE-001444640")</f>
        <v>SE-001444640</v>
      </c>
      <c r="F6355" s="25">
        <v>46227.694594907407</v>
      </c>
      <c r="G6355" s="24">
        <v>1</v>
      </c>
      <c r="H6355" s="24">
        <v>1</v>
      </c>
      <c r="I6355" s="24">
        <v>0</v>
      </c>
      <c r="J6355" s="23"/>
      <c r="K6355" s="24">
        <v>0</v>
      </c>
      <c r="L6355" s="22" t="str">
        <f>HYPERLINK("https://otsuka-europe-crm.veevavault.com/ui/#object/approved_document__v/V5OZ025E82RR47T", "AE Propensity Analysis- IT-LUP-2500004 Nefro")</f>
        <v>AE Propensity Analysis- IT-LUP-2500004 Nefro</v>
      </c>
      <c r="M6355" s="22" t="str">
        <f>HYPERLINK("mailto:matteo.digennaro@crm.otsuka-europe.com", "matteo.digennaro@crm.otsuka-europe.com")</f>
        <v>matteo.digennaro@crm.otsuka-europe.com</v>
      </c>
      <c r="N6355" s="25">
        <v>46226.29923611111</v>
      </c>
      <c r="O6355" s="14" t="str">
        <f>HYPERLINK("https://otsuka-europe-crm.veevavault.com/ui/#object/email_activity__v/V8C00000004C271", "EN-002107343")</f>
        <v>EN-002107343</v>
      </c>
    </row>
    <row r="6356" spans="1:15" ht="16" x14ac:dyDescent="0.2">
      <c r="A6356" s="19"/>
      <c r="B6356" s="19"/>
      <c r="C6356" s="19"/>
      <c r="D6356" s="19"/>
      <c r="E6356" s="19"/>
      <c r="F6356" s="19"/>
      <c r="G6356" s="19"/>
      <c r="H6356" s="19"/>
      <c r="I6356" s="19"/>
      <c r="J6356" s="19"/>
      <c r="K6356" s="19"/>
      <c r="L6356" s="19"/>
      <c r="M6356" s="19"/>
      <c r="N6356" s="19"/>
      <c r="O6356" s="14" t="str">
        <f>HYPERLINK("https://otsuka-europe-crm.veevavault.com/ui/#object/email_activity__v/V8C00000004E259", "EN-002108889")</f>
        <v>EN-002108889</v>
      </c>
    </row>
    <row r="6357" spans="1:15" ht="16" x14ac:dyDescent="0.2">
      <c r="A6357" s="18" t="str">
        <f>HYPERLINK("https://otsuka-europe-crm.veevavault.com/ui/#object/account__v/V4TZ025E83WPJ2I", "GIUSEPPINA PESSOLANO")</f>
        <v>GIUSEPPINA PESSOLANO</v>
      </c>
      <c r="B6357" s="18" t="str">
        <f>HYPERLINK("https://otsuka-europe-crm.veevavault.com/ui/#object/vcountry__v/VENZ000004SONFQ", "IT")</f>
        <v>IT</v>
      </c>
      <c r="C6357" s="20" t="s">
        <v>42</v>
      </c>
      <c r="D6357" s="21" t="str">
        <f>HYPERLINK("https://otsuka-europe-crm.veevavault.com/ui/#object/approved_document__v/V5OZ025E82RR47S", "AE Focus pz prevalenti- IT-LUP-2500005 Nefro")</f>
        <v>AE Focus pz prevalenti- IT-LUP-2500005 Nefro</v>
      </c>
      <c r="E6357" s="22" t="str">
        <f>HYPERLINK("https://otsuka-europe-crm.veevavault.com/ui/#object/sent_email__v/VBL000000039148", "SE-001444641")</f>
        <v>SE-001444641</v>
      </c>
      <c r="F6357" s="25">
        <v>46227.694548611114</v>
      </c>
      <c r="G6357" s="24">
        <v>1</v>
      </c>
      <c r="H6357" s="24">
        <v>1</v>
      </c>
      <c r="I6357" s="24">
        <v>0</v>
      </c>
      <c r="J6357" s="23"/>
      <c r="K6357" s="24">
        <v>0</v>
      </c>
      <c r="L6357" s="22" t="str">
        <f>HYPERLINK("https://otsuka-europe-crm.veevavault.com/ui/#object/approved_document__v/V5OZ025E82RR47S", "AE Focus pz prevalenti- IT-LUP-2500005 Nefro")</f>
        <v>AE Focus pz prevalenti- IT-LUP-2500005 Nefro</v>
      </c>
      <c r="M6357" s="22" t="str">
        <f>HYPERLINK("mailto:matteo.digennaro@crm.otsuka-europe.com", "matteo.digennaro@crm.otsuka-europe.com")</f>
        <v>matteo.digennaro@crm.otsuka-europe.com</v>
      </c>
      <c r="N6357" s="25">
        <v>46226.299247685187</v>
      </c>
      <c r="O6357" s="14" t="str">
        <f>HYPERLINK("https://otsuka-europe-crm.veevavault.com/ui/#object/email_activity__v/V8C00000004B520", "EN-002107631")</f>
        <v>EN-002107631</v>
      </c>
    </row>
    <row r="6358" spans="1:15" ht="16" x14ac:dyDescent="0.2">
      <c r="A6358" s="26"/>
      <c r="B6358" s="26"/>
      <c r="C6358" s="26"/>
      <c r="D6358" s="26"/>
      <c r="E6358" s="26"/>
      <c r="F6358" s="26"/>
      <c r="G6358" s="26"/>
      <c r="H6358" s="26"/>
      <c r="I6358" s="26"/>
      <c r="J6358" s="26"/>
      <c r="K6358" s="26"/>
      <c r="L6358" s="26"/>
      <c r="M6358" s="26"/>
      <c r="N6358" s="26"/>
      <c r="O6358" s="14" t="str">
        <f>HYPERLINK("https://otsuka-europe-crm.veevavault.com/ui/#object/email_activity__v/V8C00000004B884", "EN-002108195")</f>
        <v>EN-002108195</v>
      </c>
    </row>
    <row r="6359" spans="1:15" ht="16" x14ac:dyDescent="0.2">
      <c r="A6359" s="19"/>
      <c r="B6359" s="19"/>
      <c r="C6359" s="19"/>
      <c r="D6359" s="19"/>
      <c r="E6359" s="19"/>
      <c r="F6359" s="19"/>
      <c r="G6359" s="19"/>
      <c r="H6359" s="19"/>
      <c r="I6359" s="19"/>
      <c r="J6359" s="19"/>
      <c r="K6359" s="19"/>
      <c r="L6359" s="19"/>
      <c r="M6359" s="19"/>
      <c r="N6359" s="19"/>
      <c r="O6359" s="14" t="str">
        <f>HYPERLINK("https://otsuka-europe-crm.veevavault.com/ui/#object/email_activity__v/V8C00000004D410", "EN-002108886")</f>
        <v>EN-002108886</v>
      </c>
    </row>
    <row r="6360" spans="1:15" ht="16" x14ac:dyDescent="0.2">
      <c r="A6360" s="18" t="str">
        <f>HYPERLINK("https://otsuka-europe-crm.veevavault.com/ui/#object/account__v/V4TZ025E83WPJ2I", "GIUSEPPINA PESSOLANO")</f>
        <v>GIUSEPPINA PESSOLANO</v>
      </c>
      <c r="B6360" s="18" t="str">
        <f>HYPERLINK("https://otsuka-europe-crm.veevavault.com/ui/#object/vcountry__v/VENZ000004SONFQ", "IT")</f>
        <v>IT</v>
      </c>
      <c r="C6360" s="20" t="s">
        <v>42</v>
      </c>
      <c r="D6360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360" s="22" t="str">
        <f>HYPERLINK("https://otsuka-europe-crm.veevavault.com/ui/#object/sent_email__v/VBL00000003A256", "SE-001444642")</f>
        <v>SE-001444642</v>
      </c>
      <c r="F6360" s="25">
        <v>46227.694525462961</v>
      </c>
      <c r="G6360" s="24">
        <v>1</v>
      </c>
      <c r="H6360" s="24">
        <v>1</v>
      </c>
      <c r="I6360" s="24">
        <v>0</v>
      </c>
      <c r="J6360" s="23"/>
      <c r="K6360" s="24">
        <v>0</v>
      </c>
      <c r="L6360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360" s="22" t="str">
        <f>HYPERLINK("mailto:matteo.digennaro@crm.otsuka-europe.com", "matteo.digennaro@crm.otsuka-europe.com")</f>
        <v>matteo.digennaro@crm.otsuka-europe.com</v>
      </c>
      <c r="N6360" s="25">
        <v>46226.29923611111</v>
      </c>
      <c r="O6360" s="14" t="str">
        <f>HYPERLINK("https://otsuka-europe-crm.veevavault.com/ui/#object/email_activity__v/V8C00000004B602", "EN-002107713")</f>
        <v>EN-002107713</v>
      </c>
    </row>
    <row r="6361" spans="1:15" ht="16" x14ac:dyDescent="0.2">
      <c r="A6361" s="26"/>
      <c r="B6361" s="26"/>
      <c r="C6361" s="26"/>
      <c r="D6361" s="26"/>
      <c r="E6361" s="26"/>
      <c r="F6361" s="26"/>
      <c r="G6361" s="26"/>
      <c r="H6361" s="26"/>
      <c r="I6361" s="26"/>
      <c r="J6361" s="26"/>
      <c r="K6361" s="26"/>
      <c r="L6361" s="26"/>
      <c r="M6361" s="26"/>
      <c r="N6361" s="26"/>
      <c r="O6361" s="14" t="str">
        <f>HYPERLINK("https://otsuka-europe-crm.veevavault.com/ui/#object/email_activity__v/V8C00000004B866", "EN-002108177")</f>
        <v>EN-002108177</v>
      </c>
    </row>
    <row r="6362" spans="1:15" ht="16" x14ac:dyDescent="0.2">
      <c r="A6362" s="19"/>
      <c r="B6362" s="19"/>
      <c r="C6362" s="19"/>
      <c r="D6362" s="19"/>
      <c r="E6362" s="19"/>
      <c r="F6362" s="19"/>
      <c r="G6362" s="19"/>
      <c r="H6362" s="19"/>
      <c r="I6362" s="19"/>
      <c r="J6362" s="19"/>
      <c r="K6362" s="19"/>
      <c r="L6362" s="19"/>
      <c r="M6362" s="19"/>
      <c r="N6362" s="19"/>
      <c r="O6362" s="14" t="str">
        <f>HYPERLINK("https://otsuka-europe-crm.veevavault.com/ui/#object/email_activity__v/V8C00000004D409", "EN-002108885")</f>
        <v>EN-002108885</v>
      </c>
    </row>
    <row r="6363" spans="1:15" ht="16" x14ac:dyDescent="0.2">
      <c r="A6363" s="18" t="str">
        <f>HYPERLINK("https://otsuka-europe-crm.veevavault.com/ui/#object/account__v/V4TZ04ASGBNWPRX", "CONCETTA GANGEMI")</f>
        <v>CONCETTA GANGEMI</v>
      </c>
      <c r="B6363" s="18" t="str">
        <f>HYPERLINK("https://otsuka-europe-crm.veevavault.com/ui/#object/vcountry__v/VENZ000004SONFQ", "IT")</f>
        <v>IT</v>
      </c>
      <c r="C6363" s="20" t="s">
        <v>42</v>
      </c>
      <c r="D6363" s="21" t="str">
        <f>HYPERLINK("https://otsuka-europe-crm.veevavault.com/ui/#object/approved_document__v/V5OZ025E82RRA5I", "AURORA 2 - AE NEPHRO")</f>
        <v>AURORA 2 - AE NEPHRO</v>
      </c>
      <c r="E6363" s="22" t="str">
        <f>HYPERLINK("https://otsuka-europe-crm.veevavault.com/ui/#object/sent_email__v/VBL00000003A257", "SE-001444643")</f>
        <v>SE-001444643</v>
      </c>
      <c r="F6363" s="25">
        <v>46231.256932870368</v>
      </c>
      <c r="G6363" s="24">
        <v>1</v>
      </c>
      <c r="H6363" s="24">
        <v>2</v>
      </c>
      <c r="I6363" s="24">
        <v>0</v>
      </c>
      <c r="J6363" s="23"/>
      <c r="K6363" s="24">
        <v>0</v>
      </c>
      <c r="L6363" s="22" t="str">
        <f>HYPERLINK("https://otsuka-europe-crm.veevavault.com/ui/#object/approved_document__v/V5OZ025E82RRA5I", "AURORA 2 - AE NEPHRO")</f>
        <v>AURORA 2 - AE NEPHRO</v>
      </c>
      <c r="M6363" s="22" t="str">
        <f>HYPERLINK("mailto:matteo.digennaro@crm.otsuka-europe.com", "matteo.digennaro@crm.otsuka-europe.com")</f>
        <v>matteo.digennaro@crm.otsuka-europe.com</v>
      </c>
      <c r="N6363" s="25">
        <v>46226.299293981479</v>
      </c>
      <c r="O6363" s="14" t="str">
        <f>HYPERLINK("https://otsuka-europe-crm.veevavault.com/ui/#object/email_activity__v/V8C00000004B603", "EN-002107714")</f>
        <v>EN-002107714</v>
      </c>
    </row>
    <row r="6364" spans="1:15" ht="16" x14ac:dyDescent="0.2">
      <c r="A6364" s="26"/>
      <c r="B6364" s="26"/>
      <c r="C6364" s="26"/>
      <c r="D6364" s="26"/>
      <c r="E6364" s="26"/>
      <c r="F6364" s="26"/>
      <c r="G6364" s="26"/>
      <c r="H6364" s="26"/>
      <c r="I6364" s="26"/>
      <c r="J6364" s="26"/>
      <c r="K6364" s="26"/>
      <c r="L6364" s="26"/>
      <c r="M6364" s="26"/>
      <c r="N6364" s="26"/>
      <c r="O6364" s="14" t="str">
        <f>HYPERLINK("https://otsuka-europe-crm.veevavault.com/ui/#object/email_activity__v/V8C00000004B876", "EN-002108187")</f>
        <v>EN-002108187</v>
      </c>
    </row>
    <row r="6365" spans="1:15" ht="16" x14ac:dyDescent="0.2">
      <c r="A6365" s="26"/>
      <c r="B6365" s="26"/>
      <c r="C6365" s="26"/>
      <c r="D6365" s="26"/>
      <c r="E6365" s="26"/>
      <c r="F6365" s="26"/>
      <c r="G6365" s="26"/>
      <c r="H6365" s="26"/>
      <c r="I6365" s="26"/>
      <c r="J6365" s="26"/>
      <c r="K6365" s="26"/>
      <c r="L6365" s="26"/>
      <c r="M6365" s="26"/>
      <c r="N6365" s="26"/>
      <c r="O6365" s="14" t="str">
        <f>HYPERLINK("https://otsuka-europe-crm.veevavault.com/ui/#object/email_activity__v/V8C00000004C573", "EN-002108083")</f>
        <v>EN-002108083</v>
      </c>
    </row>
    <row r="6366" spans="1:15" ht="16" x14ac:dyDescent="0.2">
      <c r="A6366" s="19"/>
      <c r="B6366" s="19"/>
      <c r="C6366" s="19"/>
      <c r="D6366" s="19"/>
      <c r="E6366" s="19"/>
      <c r="F6366" s="19"/>
      <c r="G6366" s="19"/>
      <c r="H6366" s="19"/>
      <c r="I6366" s="19"/>
      <c r="J6366" s="19"/>
      <c r="K6366" s="19"/>
      <c r="L6366" s="19"/>
      <c r="M6366" s="19"/>
      <c r="N6366" s="19"/>
      <c r="O6366" s="14" t="str">
        <f>HYPERLINK("https://otsuka-europe-crm.veevavault.com/ui/#object/email_activity__v/V8C00000004E401", "EN-002109149")</f>
        <v>EN-002109149</v>
      </c>
    </row>
    <row r="6367" spans="1:15" ht="16" x14ac:dyDescent="0.2">
      <c r="A6367" s="18" t="str">
        <f>HYPERLINK("https://otsuka-europe-crm.veevavault.com/ui/#object/account__v/V4TZ04ASGBNWPRX", "CONCETTA GANGEMI")</f>
        <v>CONCETTA GANGEMI</v>
      </c>
      <c r="B6367" s="18" t="str">
        <f>HYPERLINK("https://otsuka-europe-crm.veevavault.com/ui/#object/vcountry__v/VENZ000004SONFQ", "IT")</f>
        <v>IT</v>
      </c>
      <c r="C6367" s="20" t="s">
        <v>42</v>
      </c>
      <c r="D6367" s="21" t="str">
        <f>HYPERLINK("https://otsuka-europe-crm.veevavault.com/ui/#object/approved_document__v/V5OZ025E82RR480", "RTE Proteinuria C1 - IT-LUP-2500006 - Nephro")</f>
        <v>RTE Proteinuria C1 - IT-LUP-2500006 - Nephro</v>
      </c>
      <c r="E6367" s="22" t="str">
        <f>HYPERLINK("https://otsuka-europe-crm.veevavault.com/ui/#object/sent_email__v/VBL00000003A258", "SE-001444644")</f>
        <v>SE-001444644</v>
      </c>
      <c r="F6367" s="25">
        <v>46231.25953703704</v>
      </c>
      <c r="G6367" s="24">
        <v>1</v>
      </c>
      <c r="H6367" s="24">
        <v>1</v>
      </c>
      <c r="I6367" s="24">
        <v>0</v>
      </c>
      <c r="J6367" s="23"/>
      <c r="K6367" s="24">
        <v>0</v>
      </c>
      <c r="L6367" s="22" t="str">
        <f>HYPERLINK("https://otsuka-europe-crm.veevavault.com/ui/#object/approved_document__v/V5OZ025E82RR480", "RTE Proteinuria C1 - IT-LUP-2500006 - Nephro")</f>
        <v>RTE Proteinuria C1 - IT-LUP-2500006 - Nephro</v>
      </c>
      <c r="M6367" s="22" t="str">
        <f>HYPERLINK("mailto:matteo.digennaro@crm.otsuka-europe.com", "matteo.digennaro@crm.otsuka-europe.com")</f>
        <v>matteo.digennaro@crm.otsuka-europe.com</v>
      </c>
      <c r="N6367" s="25">
        <v>46226.299224537041</v>
      </c>
      <c r="O6367" s="14" t="str">
        <f>HYPERLINK("https://otsuka-europe-crm.veevavault.com/ui/#object/email_activity__v/V8C00000004B430", "EN-002107443")</f>
        <v>EN-002107443</v>
      </c>
    </row>
    <row r="6368" spans="1:15" ht="16" x14ac:dyDescent="0.2">
      <c r="A6368" s="19"/>
      <c r="B6368" s="19"/>
      <c r="C6368" s="19"/>
      <c r="D6368" s="19"/>
      <c r="E6368" s="19"/>
      <c r="F6368" s="19"/>
      <c r="G6368" s="19"/>
      <c r="H6368" s="19"/>
      <c r="I6368" s="19"/>
      <c r="J6368" s="19"/>
      <c r="K6368" s="19"/>
      <c r="L6368" s="19"/>
      <c r="M6368" s="19"/>
      <c r="N6368" s="19"/>
      <c r="O6368" s="14" t="str">
        <f>HYPERLINK("https://otsuka-europe-crm.veevavault.com/ui/#object/email_activity__v/V8C00000004E403", "EN-002109152")</f>
        <v>EN-002109152</v>
      </c>
    </row>
    <row r="6369" spans="1:15" ht="16" x14ac:dyDescent="0.2">
      <c r="A6369" s="18" t="str">
        <f>HYPERLINK("https://otsuka-europe-crm.veevavault.com/ui/#object/account__v/V4TZ04ASGBNWPRX", "CONCETTA GANGEMI")</f>
        <v>CONCETTA GANGEMI</v>
      </c>
      <c r="B6369" s="18" t="str">
        <f>HYPERLINK("https://otsuka-europe-crm.veevavault.com/ui/#object/vcountry__v/VENZ000004SONFQ", "IT")</f>
        <v>IT</v>
      </c>
      <c r="C6369" s="20" t="s">
        <v>42</v>
      </c>
      <c r="D6369" s="21" t="str">
        <f>HYPERLINK("https://otsuka-europe-crm.veevavault.com/ui/#object/approved_document__v/V5OZ025E82RR47T", "AE Propensity Analysis- IT-LUP-2500004 Nefro")</f>
        <v>AE Propensity Analysis- IT-LUP-2500004 Nefro</v>
      </c>
      <c r="E6369" s="22" t="str">
        <f>HYPERLINK("https://otsuka-europe-crm.veevavault.com/ui/#object/sent_email__v/VBL00000003A259", "SE-001444645")</f>
        <v>SE-001444645</v>
      </c>
      <c r="F6369" s="25">
        <v>46231.260231481479</v>
      </c>
      <c r="G6369" s="24">
        <v>1</v>
      </c>
      <c r="H6369" s="24">
        <v>1</v>
      </c>
      <c r="I6369" s="24">
        <v>0</v>
      </c>
      <c r="J6369" s="23"/>
      <c r="K6369" s="24">
        <v>0</v>
      </c>
      <c r="L6369" s="22" t="str">
        <f>HYPERLINK("https://otsuka-europe-crm.veevavault.com/ui/#object/approved_document__v/V5OZ025E82RR47T", "AE Propensity Analysis- IT-LUP-2500004 Nefro")</f>
        <v>AE Propensity Analysis- IT-LUP-2500004 Nefro</v>
      </c>
      <c r="M6369" s="22" t="str">
        <f>HYPERLINK("mailto:matteo.digennaro@crm.otsuka-europe.com", "matteo.digennaro@crm.otsuka-europe.com")</f>
        <v>matteo.digennaro@crm.otsuka-europe.com</v>
      </c>
      <c r="N6369" s="25">
        <v>46226.299189814818</v>
      </c>
      <c r="O6369" s="14" t="str">
        <f>HYPERLINK("https://otsuka-europe-crm.veevavault.com/ui/#object/email_activity__v/V8C00000004B604", "EN-002107715")</f>
        <v>EN-002107715</v>
      </c>
    </row>
    <row r="6370" spans="1:15" ht="16" x14ac:dyDescent="0.2">
      <c r="A6370" s="26"/>
      <c r="B6370" s="26"/>
      <c r="C6370" s="26"/>
      <c r="D6370" s="26"/>
      <c r="E6370" s="26"/>
      <c r="F6370" s="26"/>
      <c r="G6370" s="26"/>
      <c r="H6370" s="26"/>
      <c r="I6370" s="26"/>
      <c r="J6370" s="26"/>
      <c r="K6370" s="26"/>
      <c r="L6370" s="26"/>
      <c r="M6370" s="26"/>
      <c r="N6370" s="26"/>
      <c r="O6370" s="14" t="str">
        <f>HYPERLINK("https://otsuka-europe-crm.veevavault.com/ui/#object/email_activity__v/V8C00000004C464", "EN-002107931")</f>
        <v>EN-002107931</v>
      </c>
    </row>
    <row r="6371" spans="1:15" ht="16" x14ac:dyDescent="0.2">
      <c r="A6371" s="19"/>
      <c r="B6371" s="19"/>
      <c r="C6371" s="19"/>
      <c r="D6371" s="19"/>
      <c r="E6371" s="19"/>
      <c r="F6371" s="19"/>
      <c r="G6371" s="19"/>
      <c r="H6371" s="19"/>
      <c r="I6371" s="19"/>
      <c r="J6371" s="19"/>
      <c r="K6371" s="19"/>
      <c r="L6371" s="19"/>
      <c r="M6371" s="19"/>
      <c r="N6371" s="19"/>
      <c r="O6371" s="14" t="str">
        <f>HYPERLINK("https://otsuka-europe-crm.veevavault.com/ui/#object/email_activity__v/V8C00000004E404", "EN-002109153")</f>
        <v>EN-002109153</v>
      </c>
    </row>
    <row r="6372" spans="1:15" ht="16" x14ac:dyDescent="0.2">
      <c r="A6372" s="18" t="str">
        <f>HYPERLINK("https://otsuka-europe-crm.veevavault.com/ui/#object/account__v/V4TZ04ASGBNWPRX", "CONCETTA GANGEMI")</f>
        <v>CONCETTA GANGEMI</v>
      </c>
      <c r="B6372" s="18" t="str">
        <f>HYPERLINK("https://otsuka-europe-crm.veevavault.com/ui/#object/vcountry__v/VENZ000004SONFQ", "IT")</f>
        <v>IT</v>
      </c>
      <c r="C6372" s="20" t="s">
        <v>42</v>
      </c>
      <c r="D6372" s="21" t="str">
        <f>HYPERLINK("https://otsuka-europe-crm.veevavault.com/ui/#object/approved_document__v/V5OZ025E82RR47S", "AE Focus pz prevalenti- IT-LUP-2500005 Nefro")</f>
        <v>AE Focus pz prevalenti- IT-LUP-2500005 Nefro</v>
      </c>
      <c r="E6372" s="22" t="str">
        <f>HYPERLINK("https://otsuka-europe-crm.veevavault.com/ui/#object/sent_email__v/VBL000000039149", "SE-001444646")</f>
        <v>SE-001444646</v>
      </c>
      <c r="F6372" s="25">
        <v>46231.259004629632</v>
      </c>
      <c r="G6372" s="24">
        <v>1</v>
      </c>
      <c r="H6372" s="24">
        <v>1</v>
      </c>
      <c r="I6372" s="24">
        <v>0</v>
      </c>
      <c r="J6372" s="23"/>
      <c r="K6372" s="24">
        <v>0</v>
      </c>
      <c r="L6372" s="22" t="str">
        <f>HYPERLINK("https://otsuka-europe-crm.veevavault.com/ui/#object/approved_document__v/V5OZ025E82RR47S", "AE Focus pz prevalenti- IT-LUP-2500005 Nefro")</f>
        <v>AE Focus pz prevalenti- IT-LUP-2500005 Nefro</v>
      </c>
      <c r="M6372" s="22" t="str">
        <f>HYPERLINK("mailto:matteo.digennaro@crm.otsuka-europe.com", "matteo.digennaro@crm.otsuka-europe.com")</f>
        <v>matteo.digennaro@crm.otsuka-europe.com</v>
      </c>
      <c r="N6372" s="25">
        <v>46226.299247685187</v>
      </c>
      <c r="O6372" s="14" t="str">
        <f>HYPERLINK("https://otsuka-europe-crm.veevavault.com/ui/#object/email_activity__v/V8C00000004C326", "EN-002107492")</f>
        <v>EN-002107492</v>
      </c>
    </row>
    <row r="6373" spans="1:15" ht="16" x14ac:dyDescent="0.2">
      <c r="A6373" s="19"/>
      <c r="B6373" s="19"/>
      <c r="C6373" s="19"/>
      <c r="D6373" s="19"/>
      <c r="E6373" s="19"/>
      <c r="F6373" s="19"/>
      <c r="G6373" s="19"/>
      <c r="H6373" s="19"/>
      <c r="I6373" s="19"/>
      <c r="J6373" s="19"/>
      <c r="K6373" s="19"/>
      <c r="L6373" s="19"/>
      <c r="M6373" s="19"/>
      <c r="N6373" s="19"/>
      <c r="O6373" s="14" t="str">
        <f>HYPERLINK("https://otsuka-europe-crm.veevavault.com/ui/#object/email_activity__v/V8C00000004D531", "EN-002109151")</f>
        <v>EN-002109151</v>
      </c>
    </row>
    <row r="6374" spans="1:15" ht="16" x14ac:dyDescent="0.2">
      <c r="A6374" s="18" t="str">
        <f>HYPERLINK("https://otsuka-europe-crm.veevavault.com/ui/#object/account__v/V4TZ04ASGBNWPRX", "CONCETTA GANGEMI")</f>
        <v>CONCETTA GANGEMI</v>
      </c>
      <c r="B6374" s="18" t="str">
        <f>HYPERLINK("https://otsuka-europe-crm.veevavault.com/ui/#object/vcountry__v/VENZ000004SONFQ", "IT")</f>
        <v>IT</v>
      </c>
      <c r="C6374" s="20" t="s">
        <v>42</v>
      </c>
      <c r="D6374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374" s="22" t="str">
        <f>HYPERLINK("https://otsuka-europe-crm.veevavault.com/ui/#object/sent_email__v/VBL00000003A260", "SE-001444647")</f>
        <v>SE-001444647</v>
      </c>
      <c r="F6374" s="25">
        <v>46231.257465277777</v>
      </c>
      <c r="G6374" s="24">
        <v>1</v>
      </c>
      <c r="H6374" s="24">
        <v>1</v>
      </c>
      <c r="I6374" s="24">
        <v>0</v>
      </c>
      <c r="J6374" s="23"/>
      <c r="K6374" s="24">
        <v>0</v>
      </c>
      <c r="L6374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374" s="22" t="str">
        <f>HYPERLINK("mailto:matteo.digennaro@crm.otsuka-europe.com", "matteo.digennaro@crm.otsuka-europe.com")</f>
        <v>matteo.digennaro@crm.otsuka-europe.com</v>
      </c>
      <c r="N6374" s="25">
        <v>46226.29923611111</v>
      </c>
      <c r="O6374" s="14" t="str">
        <f>HYPERLINK("https://otsuka-europe-crm.veevavault.com/ui/#object/email_activity__v/V8C00000004B605", "EN-002107716")</f>
        <v>EN-002107716</v>
      </c>
    </row>
    <row r="6375" spans="1:15" ht="16" x14ac:dyDescent="0.2">
      <c r="A6375" s="26"/>
      <c r="B6375" s="26"/>
      <c r="C6375" s="26"/>
      <c r="D6375" s="26"/>
      <c r="E6375" s="26"/>
      <c r="F6375" s="26"/>
      <c r="G6375" s="26"/>
      <c r="H6375" s="26"/>
      <c r="I6375" s="26"/>
      <c r="J6375" s="26"/>
      <c r="K6375" s="26"/>
      <c r="L6375" s="26"/>
      <c r="M6375" s="26"/>
      <c r="N6375" s="26"/>
      <c r="O6375" s="14" t="str">
        <f>HYPERLINK("https://otsuka-europe-crm.veevavault.com/ui/#object/email_activity__v/V8C00000004C552", "EN-002108062")</f>
        <v>EN-002108062</v>
      </c>
    </row>
    <row r="6376" spans="1:15" ht="16" x14ac:dyDescent="0.2">
      <c r="A6376" s="19"/>
      <c r="B6376" s="19"/>
      <c r="C6376" s="19"/>
      <c r="D6376" s="19"/>
      <c r="E6376" s="19"/>
      <c r="F6376" s="19"/>
      <c r="G6376" s="19"/>
      <c r="H6376" s="19"/>
      <c r="I6376" s="19"/>
      <c r="J6376" s="19"/>
      <c r="K6376" s="19"/>
      <c r="L6376" s="19"/>
      <c r="M6376" s="19"/>
      <c r="N6376" s="19"/>
      <c r="O6376" s="14" t="str">
        <f>HYPERLINK("https://otsuka-europe-crm.veevavault.com/ui/#object/email_activity__v/V8C00000004E402", "EN-002109150")</f>
        <v>EN-002109150</v>
      </c>
    </row>
    <row r="6377" spans="1:15" ht="16" x14ac:dyDescent="0.2">
      <c r="A6377" s="18" t="str">
        <f>HYPERLINK("https://otsuka-europe-crm.veevavault.com/ui/#object/account__v/V4TZ06G6O71SC4N", "PAOLO ROMANO")</f>
        <v>PAOLO ROMANO</v>
      </c>
      <c r="B6377" s="18" t="str">
        <f>HYPERLINK("https://otsuka-europe-crm.veevavault.com/ui/#object/vcountry__v/VENZ000004SONFQ", "IT")</f>
        <v>IT</v>
      </c>
      <c r="C6377" s="20" t="s">
        <v>42</v>
      </c>
      <c r="D6377" s="21" t="str">
        <f>HYPERLINK("https://otsuka-europe-crm.veevavault.com/ui/#object/approved_document__v/V5OZ025E82RRA5I", "AURORA 2 - AE NEPHRO")</f>
        <v>AURORA 2 - AE NEPHRO</v>
      </c>
      <c r="E6377" s="22" t="str">
        <f>HYPERLINK("https://otsuka-europe-crm.veevavault.com/ui/#object/sent_email__v/VBL00000003A261", "SE-001444648")</f>
        <v>SE-001444648</v>
      </c>
      <c r="F6377" s="25">
        <v>46226.327719907407</v>
      </c>
      <c r="G6377" s="24">
        <v>1</v>
      </c>
      <c r="H6377" s="24">
        <v>1</v>
      </c>
      <c r="I6377" s="24">
        <v>0</v>
      </c>
      <c r="J6377" s="23"/>
      <c r="K6377" s="24">
        <v>0</v>
      </c>
      <c r="L6377" s="22" t="str">
        <f>HYPERLINK("https://otsuka-europe-crm.veevavault.com/ui/#object/approved_document__v/V5OZ025E82RRA5I", "AURORA 2 - AE NEPHRO")</f>
        <v>AURORA 2 - AE NEPHRO</v>
      </c>
      <c r="M6377" s="22" t="str">
        <f>HYPERLINK("mailto:matteo.digennaro@crm.otsuka-europe.com", "matteo.digennaro@crm.otsuka-europe.com")</f>
        <v>matteo.digennaro@crm.otsuka-europe.com</v>
      </c>
      <c r="N6377" s="25">
        <v>46226.299293981479</v>
      </c>
      <c r="O6377" s="14" t="str">
        <f>HYPERLINK("https://otsuka-europe-crm.veevavault.com/ui/#object/email_activity__v/V8C00000004B452", "EN-002107560")</f>
        <v>EN-002107560</v>
      </c>
    </row>
    <row r="6378" spans="1:15" ht="16" x14ac:dyDescent="0.2">
      <c r="A6378" s="19"/>
      <c r="B6378" s="19"/>
      <c r="C6378" s="19"/>
      <c r="D6378" s="19"/>
      <c r="E6378" s="19"/>
      <c r="F6378" s="19"/>
      <c r="G6378" s="19"/>
      <c r="H6378" s="19"/>
      <c r="I6378" s="19"/>
      <c r="J6378" s="19"/>
      <c r="K6378" s="19"/>
      <c r="L6378" s="19"/>
      <c r="M6378" s="19"/>
      <c r="N6378" s="19"/>
      <c r="O6378" s="14" t="str">
        <f>HYPERLINK("https://otsuka-europe-crm.veevavault.com/ui/#object/email_activity__v/V8C00000004C381", "EN-002107577")</f>
        <v>EN-002107577</v>
      </c>
    </row>
    <row r="6379" spans="1:15" ht="16" x14ac:dyDescent="0.2">
      <c r="A6379" s="18" t="str">
        <f>HYPERLINK("https://otsuka-europe-crm.veevavault.com/ui/#object/account__v/V4TZ06G6O71SC4N", "PAOLO ROMANO")</f>
        <v>PAOLO ROMANO</v>
      </c>
      <c r="B6379" s="18" t="str">
        <f>HYPERLINK("https://otsuka-europe-crm.veevavault.com/ui/#object/vcountry__v/VENZ000004SONFQ", "IT")</f>
        <v>IT</v>
      </c>
      <c r="C6379" s="20" t="s">
        <v>42</v>
      </c>
      <c r="D6379" s="21" t="str">
        <f>HYPERLINK("https://otsuka-europe-crm.veevavault.com/ui/#object/approved_document__v/V5OZ025E82RR480", "RTE Proteinuria C1 - IT-LUP-2500006 - Nephro")</f>
        <v>RTE Proteinuria C1 - IT-LUP-2500006 - Nephro</v>
      </c>
      <c r="E6379" s="22" t="str">
        <f>HYPERLINK("https://otsuka-europe-crm.veevavault.com/ui/#object/sent_email__v/VBL00000003A262", "SE-001444649")</f>
        <v>SE-001444649</v>
      </c>
      <c r="F6379" s="23"/>
      <c r="G6379" s="24">
        <v>0</v>
      </c>
      <c r="H6379" s="24">
        <v>0</v>
      </c>
      <c r="I6379" s="24">
        <v>0</v>
      </c>
      <c r="J6379" s="23"/>
      <c r="K6379" s="24">
        <v>0</v>
      </c>
      <c r="L6379" s="22" t="str">
        <f>HYPERLINK("https://otsuka-europe-crm.veevavault.com/ui/#object/approved_document__v/V5OZ025E82RR480", "RTE Proteinuria C1 - IT-LUP-2500006 - Nephro")</f>
        <v>RTE Proteinuria C1 - IT-LUP-2500006 - Nephro</v>
      </c>
      <c r="M6379" s="22" t="str">
        <f>HYPERLINK("mailto:matteo.digennaro@crm.otsuka-europe.com", "matteo.digennaro@crm.otsuka-europe.com")</f>
        <v>matteo.digennaro@crm.otsuka-europe.com</v>
      </c>
      <c r="N6379" s="25">
        <v>46226.299224537041</v>
      </c>
      <c r="O6379" s="14" t="str">
        <f>HYPERLINK("https://otsuka-europe-crm.veevavault.com/ui/#object/email_activity__v/V8C00000004B606", "EN-002107717")</f>
        <v>EN-002107717</v>
      </c>
    </row>
    <row r="6380" spans="1:15" ht="16" x14ac:dyDescent="0.2">
      <c r="A6380" s="19"/>
      <c r="B6380" s="19"/>
      <c r="C6380" s="19"/>
      <c r="D6380" s="19"/>
      <c r="E6380" s="19"/>
      <c r="F6380" s="19"/>
      <c r="G6380" s="19"/>
      <c r="H6380" s="19"/>
      <c r="I6380" s="19"/>
      <c r="J6380" s="19"/>
      <c r="K6380" s="19"/>
      <c r="L6380" s="19"/>
      <c r="M6380" s="19"/>
      <c r="N6380" s="19"/>
      <c r="O6380" s="14" t="str">
        <f>HYPERLINK("https://otsuka-europe-crm.veevavault.com/ui/#object/email_activity__v/V8C00000004C500", "EN-002107998")</f>
        <v>EN-002107998</v>
      </c>
    </row>
    <row r="6381" spans="1:15" ht="16" x14ac:dyDescent="0.2">
      <c r="A6381" s="18" t="str">
        <f>HYPERLINK("https://otsuka-europe-crm.veevavault.com/ui/#object/account__v/V4TZ06G6O71SC4N", "PAOLO ROMANO")</f>
        <v>PAOLO ROMANO</v>
      </c>
      <c r="B6381" s="18" t="str">
        <f>HYPERLINK("https://otsuka-europe-crm.veevavault.com/ui/#object/vcountry__v/VENZ000004SONFQ", "IT")</f>
        <v>IT</v>
      </c>
      <c r="C6381" s="20" t="s">
        <v>42</v>
      </c>
      <c r="D6381" s="21" t="str">
        <f>HYPERLINK("https://otsuka-europe-crm.veevavault.com/ui/#object/approved_document__v/V5OZ025E82RR47T", "AE Propensity Analysis- IT-LUP-2500004 Nefro")</f>
        <v>AE Propensity Analysis- IT-LUP-2500004 Nefro</v>
      </c>
      <c r="E6381" s="22" t="str">
        <f>HYPERLINK("https://otsuka-europe-crm.veevavault.com/ui/#object/sent_email__v/VBL000000039150", "SE-001444650")</f>
        <v>SE-001444650</v>
      </c>
      <c r="F6381" s="23"/>
      <c r="G6381" s="24">
        <v>0</v>
      </c>
      <c r="H6381" s="24">
        <v>0</v>
      </c>
      <c r="I6381" s="24">
        <v>0</v>
      </c>
      <c r="J6381" s="23"/>
      <c r="K6381" s="24">
        <v>0</v>
      </c>
      <c r="L6381" s="22" t="str">
        <f>HYPERLINK("https://otsuka-europe-crm.veevavault.com/ui/#object/approved_document__v/V5OZ025E82RR47T", "AE Propensity Analysis- IT-LUP-2500004 Nefro")</f>
        <v>AE Propensity Analysis- IT-LUP-2500004 Nefro</v>
      </c>
      <c r="M6381" s="22" t="str">
        <f>HYPERLINK("mailto:matteo.digennaro@crm.otsuka-europe.com", "matteo.digennaro@crm.otsuka-europe.com")</f>
        <v>matteo.digennaro@crm.otsuka-europe.com</v>
      </c>
      <c r="N6381" s="25">
        <v>46226.29923611111</v>
      </c>
      <c r="O6381" s="14" t="str">
        <f>HYPERLINK("https://otsuka-europe-crm.veevavault.com/ui/#object/email_activity__v/V8C00000004B521", "EN-002107632")</f>
        <v>EN-002107632</v>
      </c>
    </row>
    <row r="6382" spans="1:15" ht="16" x14ac:dyDescent="0.2">
      <c r="A6382" s="19"/>
      <c r="B6382" s="19"/>
      <c r="C6382" s="19"/>
      <c r="D6382" s="19"/>
      <c r="E6382" s="19"/>
      <c r="F6382" s="19"/>
      <c r="G6382" s="19"/>
      <c r="H6382" s="19"/>
      <c r="I6382" s="19"/>
      <c r="J6382" s="19"/>
      <c r="K6382" s="19"/>
      <c r="L6382" s="19"/>
      <c r="M6382" s="19"/>
      <c r="N6382" s="19"/>
      <c r="O6382" s="14" t="str">
        <f>HYPERLINK("https://otsuka-europe-crm.veevavault.com/ui/#object/email_activity__v/V8C00000004B862", "EN-002108173")</f>
        <v>EN-002108173</v>
      </c>
    </row>
    <row r="6383" spans="1:15" ht="16" x14ac:dyDescent="0.2">
      <c r="A6383" s="18" t="str">
        <f>HYPERLINK("https://otsuka-europe-crm.veevavault.com/ui/#object/account__v/V4TZ06G6O71SC4N", "PAOLO ROMANO")</f>
        <v>PAOLO ROMANO</v>
      </c>
      <c r="B6383" s="18" t="str">
        <f>HYPERLINK("https://otsuka-europe-crm.veevavault.com/ui/#object/vcountry__v/VENZ000004SONFQ", "IT")</f>
        <v>IT</v>
      </c>
      <c r="C6383" s="20" t="s">
        <v>42</v>
      </c>
      <c r="D6383" s="21" t="str">
        <f>HYPERLINK("https://otsuka-europe-crm.veevavault.com/ui/#object/approved_document__v/V5OZ025E82RR47S", "AE Focus pz prevalenti- IT-LUP-2500005 Nefro")</f>
        <v>AE Focus pz prevalenti- IT-LUP-2500005 Nefro</v>
      </c>
      <c r="E6383" s="22" t="str">
        <f>HYPERLINK("https://otsuka-europe-crm.veevavault.com/ui/#object/sent_email__v/VBL000000039151", "SE-001444651")</f>
        <v>SE-001444651</v>
      </c>
      <c r="F6383" s="25">
        <v>46226.327719907407</v>
      </c>
      <c r="G6383" s="24">
        <v>1</v>
      </c>
      <c r="H6383" s="24">
        <v>1</v>
      </c>
      <c r="I6383" s="24">
        <v>0</v>
      </c>
      <c r="J6383" s="23"/>
      <c r="K6383" s="24">
        <v>0</v>
      </c>
      <c r="L6383" s="22" t="str">
        <f>HYPERLINK("https://otsuka-europe-crm.veevavault.com/ui/#object/approved_document__v/V5OZ025E82RR47S", "AE Focus pz prevalenti- IT-LUP-2500005 Nefro")</f>
        <v>AE Focus pz prevalenti- IT-LUP-2500005 Nefro</v>
      </c>
      <c r="M6383" s="22" t="str">
        <f>HYPERLINK("mailto:matteo.digennaro@crm.otsuka-europe.com", "matteo.digennaro@crm.otsuka-europe.com")</f>
        <v>matteo.digennaro@crm.otsuka-europe.com</v>
      </c>
      <c r="N6383" s="25">
        <v>46226.299247685187</v>
      </c>
      <c r="O6383" s="14" t="str">
        <f>HYPERLINK("https://otsuka-europe-crm.veevavault.com/ui/#object/email_activity__v/V8C00000004C263", "EN-002107335")</f>
        <v>EN-002107335</v>
      </c>
    </row>
    <row r="6384" spans="1:15" ht="16" x14ac:dyDescent="0.2">
      <c r="A6384" s="19"/>
      <c r="B6384" s="19"/>
      <c r="C6384" s="19"/>
      <c r="D6384" s="19"/>
      <c r="E6384" s="19"/>
      <c r="F6384" s="19"/>
      <c r="G6384" s="19"/>
      <c r="H6384" s="19"/>
      <c r="I6384" s="19"/>
      <c r="J6384" s="19"/>
      <c r="K6384" s="19"/>
      <c r="L6384" s="19"/>
      <c r="M6384" s="19"/>
      <c r="N6384" s="19"/>
      <c r="O6384" s="14" t="str">
        <f>HYPERLINK("https://otsuka-europe-crm.veevavault.com/ui/#object/email_activity__v/V8C00000004C424", "EN-002107866")</f>
        <v>EN-002107866</v>
      </c>
    </row>
    <row r="6385" spans="1:15" ht="48" x14ac:dyDescent="0.2">
      <c r="A6385" s="7" t="str">
        <f>HYPERLINK("https://otsuka-europe-crm.veevavault.com/ui/#object/account__v/V4TZ06G6O71SC4N", "PAOLO ROMANO")</f>
        <v>PAOLO ROMANO</v>
      </c>
      <c r="B6385" s="7" t="str">
        <f>HYPERLINK("https://otsuka-europe-crm.veevavault.com/ui/#object/vcountry__v/VENZ000004SONFQ", "IT")</f>
        <v>IT</v>
      </c>
      <c r="C6385" s="8" t="s">
        <v>42</v>
      </c>
      <c r="D6385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385" s="10" t="str">
        <f>HYPERLINK("https://otsuka-europe-crm.veevavault.com/ui/#object/sent_email__v/VBL00000003A263", "SE-001444652")</f>
        <v>SE-001444652</v>
      </c>
      <c r="F6385" s="11"/>
      <c r="G6385" s="12">
        <v>0</v>
      </c>
      <c r="H6385" s="12">
        <v>0</v>
      </c>
      <c r="I6385" s="12">
        <v>0</v>
      </c>
      <c r="J6385" s="11"/>
      <c r="K6385" s="12">
        <v>0</v>
      </c>
      <c r="L6385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385" s="10" t="str">
        <f>HYPERLINK("mailto:matteo.digennaro@crm.otsuka-europe.com", "matteo.digennaro@crm.otsuka-europe.com")</f>
        <v>matteo.digennaro@crm.otsuka-europe.com</v>
      </c>
      <c r="N6385" s="13">
        <v>46226.29923611111</v>
      </c>
      <c r="O6385" s="14" t="str">
        <f>HYPERLINK("https://otsuka-europe-crm.veevavault.com/ui/#object/email_activity__v/V8C00000004C323", "EN-002107489")</f>
        <v>EN-002107489</v>
      </c>
    </row>
    <row r="6386" spans="1:15" ht="16" x14ac:dyDescent="0.2">
      <c r="A6386" s="18" t="str">
        <f>HYPERLINK("https://otsuka-europe-crm.veevavault.com/ui/#object/account__v/V4TZ06G6O71S9MA", "STEFANO PINI")</f>
        <v>STEFANO PINI</v>
      </c>
      <c r="B6386" s="18" t="str">
        <f>HYPERLINK("https://otsuka-europe-crm.veevavault.com/ui/#object/vcountry__v/VENZ000004SONFQ", "IT")</f>
        <v>IT</v>
      </c>
      <c r="C6386" s="20" t="s">
        <v>42</v>
      </c>
      <c r="D6386" s="21" t="str">
        <f>HYPERLINK("https://otsuka-europe-crm.veevavault.com/ui/#object/approved_document__v/V5OZ025E82RRA5I", "AURORA 2 - AE NEPHRO")</f>
        <v>AURORA 2 - AE NEPHRO</v>
      </c>
      <c r="E6386" s="22" t="str">
        <f>HYPERLINK("https://otsuka-europe-crm.veevavault.com/ui/#object/sent_email__v/VBL00000003A264", "SE-001444653")</f>
        <v>SE-001444653</v>
      </c>
      <c r="F6386" s="25">
        <v>46226.414004629631</v>
      </c>
      <c r="G6386" s="24">
        <v>1</v>
      </c>
      <c r="H6386" s="24">
        <v>1</v>
      </c>
      <c r="I6386" s="24">
        <v>0</v>
      </c>
      <c r="J6386" s="23"/>
      <c r="K6386" s="24">
        <v>0</v>
      </c>
      <c r="L6386" s="22" t="str">
        <f>HYPERLINK("https://otsuka-europe-crm.veevavault.com/ui/#object/approved_document__v/V5OZ025E82RRA5I", "AURORA 2 - AE NEPHRO")</f>
        <v>AURORA 2 - AE NEPHRO</v>
      </c>
      <c r="M6386" s="22" t="str">
        <f>HYPERLINK("mailto:matteo.digennaro@crm.otsuka-europe.com", "matteo.digennaro@crm.otsuka-europe.com")</f>
        <v>matteo.digennaro@crm.otsuka-europe.com</v>
      </c>
      <c r="N6386" s="25">
        <v>46226.299293981479</v>
      </c>
      <c r="O6386" s="14" t="str">
        <f>HYPERLINK("https://otsuka-europe-crm.veevavault.com/ui/#object/email_activity__v/V8C00000004B607", "EN-002107718")</f>
        <v>EN-002107718</v>
      </c>
    </row>
    <row r="6387" spans="1:15" ht="16" x14ac:dyDescent="0.2">
      <c r="A6387" s="26"/>
      <c r="B6387" s="26"/>
      <c r="C6387" s="26"/>
      <c r="D6387" s="26"/>
      <c r="E6387" s="26"/>
      <c r="F6387" s="26"/>
      <c r="G6387" s="26"/>
      <c r="H6387" s="26"/>
      <c r="I6387" s="26"/>
      <c r="J6387" s="26"/>
      <c r="K6387" s="26"/>
      <c r="L6387" s="26"/>
      <c r="M6387" s="26"/>
      <c r="N6387" s="26"/>
      <c r="O6387" s="14" t="str">
        <f>HYPERLINK("https://otsuka-europe-crm.veevavault.com/ui/#object/email_activity__v/V8C00000004B698", "EN-002107825")</f>
        <v>EN-002107825</v>
      </c>
    </row>
    <row r="6388" spans="1:15" ht="16" x14ac:dyDescent="0.2">
      <c r="A6388" s="19"/>
      <c r="B6388" s="19"/>
      <c r="C6388" s="19"/>
      <c r="D6388" s="19"/>
      <c r="E6388" s="19"/>
      <c r="F6388" s="19"/>
      <c r="G6388" s="19"/>
      <c r="H6388" s="19"/>
      <c r="I6388" s="19"/>
      <c r="J6388" s="19"/>
      <c r="K6388" s="19"/>
      <c r="L6388" s="19"/>
      <c r="M6388" s="19"/>
      <c r="N6388" s="19"/>
      <c r="O6388" s="14" t="str">
        <f>HYPERLINK("https://otsuka-europe-crm.veevavault.com/ui/#object/email_activity__v/V8C00000004C513", "EN-002108011")</f>
        <v>EN-002108011</v>
      </c>
    </row>
    <row r="6389" spans="1:15" ht="16" x14ac:dyDescent="0.2">
      <c r="A6389" s="18" t="str">
        <f>HYPERLINK("https://otsuka-europe-crm.veevavault.com/ui/#object/account__v/V4TZ06G6O71S9MA", "STEFANO PINI")</f>
        <v>STEFANO PINI</v>
      </c>
      <c r="B6389" s="18" t="str">
        <f>HYPERLINK("https://otsuka-europe-crm.veevavault.com/ui/#object/vcountry__v/VENZ000004SONFQ", "IT")</f>
        <v>IT</v>
      </c>
      <c r="C6389" s="20" t="s">
        <v>42</v>
      </c>
      <c r="D6389" s="21" t="str">
        <f>HYPERLINK("https://otsuka-europe-crm.veevavault.com/ui/#object/approved_document__v/V5OZ025E82RR480", "RTE Proteinuria C1 - IT-LUP-2500006 - Nephro")</f>
        <v>RTE Proteinuria C1 - IT-LUP-2500006 - Nephro</v>
      </c>
      <c r="E6389" s="22" t="str">
        <f>HYPERLINK("https://otsuka-europe-crm.veevavault.com/ui/#object/sent_email__v/VBL00000003A265", "SE-001444654")</f>
        <v>SE-001444654</v>
      </c>
      <c r="F6389" s="25">
        <v>46226.416342592594</v>
      </c>
      <c r="G6389" s="24">
        <v>1</v>
      </c>
      <c r="H6389" s="24">
        <v>2</v>
      </c>
      <c r="I6389" s="24">
        <v>0</v>
      </c>
      <c r="J6389" s="23"/>
      <c r="K6389" s="24">
        <v>0</v>
      </c>
      <c r="L6389" s="22" t="str">
        <f>HYPERLINK("https://otsuka-europe-crm.veevavault.com/ui/#object/approved_document__v/V5OZ025E82RR480", "RTE Proteinuria C1 - IT-LUP-2500006 - Nephro")</f>
        <v>RTE Proteinuria C1 - IT-LUP-2500006 - Nephro</v>
      </c>
      <c r="M6389" s="22" t="str">
        <f>HYPERLINK("mailto:matteo.digennaro@crm.otsuka-europe.com", "matteo.digennaro@crm.otsuka-europe.com")</f>
        <v>matteo.digennaro@crm.otsuka-europe.com</v>
      </c>
      <c r="N6389" s="25">
        <v>46226.299224537041</v>
      </c>
      <c r="O6389" s="14" t="str">
        <f>HYPERLINK("https://otsuka-europe-crm.veevavault.com/ui/#object/email_activity__v/V8C00000004C376", "EN-002107549")</f>
        <v>EN-002107549</v>
      </c>
    </row>
    <row r="6390" spans="1:15" ht="16" x14ac:dyDescent="0.2">
      <c r="A6390" s="26"/>
      <c r="B6390" s="26"/>
      <c r="C6390" s="26"/>
      <c r="D6390" s="26"/>
      <c r="E6390" s="26"/>
      <c r="F6390" s="26"/>
      <c r="G6390" s="26"/>
      <c r="H6390" s="26"/>
      <c r="I6390" s="26"/>
      <c r="J6390" s="26"/>
      <c r="K6390" s="26"/>
      <c r="L6390" s="26"/>
      <c r="M6390" s="26"/>
      <c r="N6390" s="26"/>
      <c r="O6390" s="14" t="str">
        <f>HYPERLINK("https://otsuka-europe-crm.veevavault.com/ui/#object/email_activity__v/V8C00000004C390", "EN-002107784")</f>
        <v>EN-002107784</v>
      </c>
    </row>
    <row r="6391" spans="1:15" ht="16" x14ac:dyDescent="0.2">
      <c r="A6391" s="19"/>
      <c r="B6391" s="19"/>
      <c r="C6391" s="19"/>
      <c r="D6391" s="19"/>
      <c r="E6391" s="19"/>
      <c r="F6391" s="19"/>
      <c r="G6391" s="19"/>
      <c r="H6391" s="19"/>
      <c r="I6391" s="19"/>
      <c r="J6391" s="19"/>
      <c r="K6391" s="19"/>
      <c r="L6391" s="19"/>
      <c r="M6391" s="19"/>
      <c r="N6391" s="19"/>
      <c r="O6391" s="14" t="str">
        <f>HYPERLINK("https://otsuka-europe-crm.veevavault.com/ui/#object/email_activity__v/V8C00000004C402", "EN-002107834")</f>
        <v>EN-002107834</v>
      </c>
    </row>
    <row r="6392" spans="1:15" ht="16" x14ac:dyDescent="0.2">
      <c r="A6392" s="18" t="str">
        <f>HYPERLINK("https://otsuka-europe-crm.veevavault.com/ui/#object/account__v/V4TZ06G6O71S9MA", "STEFANO PINI")</f>
        <v>STEFANO PINI</v>
      </c>
      <c r="B6392" s="18" t="str">
        <f>HYPERLINK("https://otsuka-europe-crm.veevavault.com/ui/#object/vcountry__v/VENZ000004SONFQ", "IT")</f>
        <v>IT</v>
      </c>
      <c r="C6392" s="20" t="s">
        <v>42</v>
      </c>
      <c r="D6392" s="21" t="str">
        <f>HYPERLINK("https://otsuka-europe-crm.veevavault.com/ui/#object/approved_document__v/V5OZ025E82RR47T", "AE Propensity Analysis- IT-LUP-2500004 Nefro")</f>
        <v>AE Propensity Analysis- IT-LUP-2500004 Nefro</v>
      </c>
      <c r="E6392" s="22" t="str">
        <f>HYPERLINK("https://otsuka-europe-crm.veevavault.com/ui/#object/sent_email__v/VBL00000003A266", "SE-001444655")</f>
        <v>SE-001444655</v>
      </c>
      <c r="F6392" s="25">
        <v>46226.420636574076</v>
      </c>
      <c r="G6392" s="24">
        <v>1</v>
      </c>
      <c r="H6392" s="24">
        <v>2</v>
      </c>
      <c r="I6392" s="24">
        <v>0</v>
      </c>
      <c r="J6392" s="23"/>
      <c r="K6392" s="24">
        <v>0</v>
      </c>
      <c r="L6392" s="22" t="str">
        <f>HYPERLINK("https://otsuka-europe-crm.veevavault.com/ui/#object/approved_document__v/V5OZ025E82RR47T", "AE Propensity Analysis- IT-LUP-2500004 Nefro")</f>
        <v>AE Propensity Analysis- IT-LUP-2500004 Nefro</v>
      </c>
      <c r="M6392" s="22" t="str">
        <f>HYPERLINK("mailto:matteo.digennaro@crm.otsuka-europe.com", "matteo.digennaro@crm.otsuka-europe.com")</f>
        <v>matteo.digennaro@crm.otsuka-europe.com</v>
      </c>
      <c r="N6392" s="25">
        <v>46226.299189814818</v>
      </c>
      <c r="O6392" s="14" t="str">
        <f>HYPERLINK("https://otsuka-europe-crm.veevavault.com/ui/#object/email_activity__v/V8C00000004B608", "EN-002107719")</f>
        <v>EN-002107719</v>
      </c>
    </row>
    <row r="6393" spans="1:15" ht="16" x14ac:dyDescent="0.2">
      <c r="A6393" s="26"/>
      <c r="B6393" s="26"/>
      <c r="C6393" s="26"/>
      <c r="D6393" s="26"/>
      <c r="E6393" s="26"/>
      <c r="F6393" s="26"/>
      <c r="G6393" s="26"/>
      <c r="H6393" s="26"/>
      <c r="I6393" s="26"/>
      <c r="J6393" s="26"/>
      <c r="K6393" s="26"/>
      <c r="L6393" s="26"/>
      <c r="M6393" s="26"/>
      <c r="N6393" s="26"/>
      <c r="O6393" s="14" t="str">
        <f>HYPERLINK("https://otsuka-europe-crm.veevavault.com/ui/#object/email_activity__v/V8C00000004B785", "EN-002108093")</f>
        <v>EN-002108093</v>
      </c>
    </row>
    <row r="6394" spans="1:15" ht="16" x14ac:dyDescent="0.2">
      <c r="A6394" s="26"/>
      <c r="B6394" s="26"/>
      <c r="C6394" s="26"/>
      <c r="D6394" s="26"/>
      <c r="E6394" s="26"/>
      <c r="F6394" s="26"/>
      <c r="G6394" s="26"/>
      <c r="H6394" s="26"/>
      <c r="I6394" s="26"/>
      <c r="J6394" s="26"/>
      <c r="K6394" s="26"/>
      <c r="L6394" s="26"/>
      <c r="M6394" s="26"/>
      <c r="N6394" s="26"/>
      <c r="O6394" s="14" t="str">
        <f>HYPERLINK("https://otsuka-europe-crm.veevavault.com/ui/#object/email_activity__v/V8C00000004C394", "EN-002107790")</f>
        <v>EN-002107790</v>
      </c>
    </row>
    <row r="6395" spans="1:15" ht="16" x14ac:dyDescent="0.2">
      <c r="A6395" s="19"/>
      <c r="B6395" s="19"/>
      <c r="C6395" s="19"/>
      <c r="D6395" s="19"/>
      <c r="E6395" s="19"/>
      <c r="F6395" s="19"/>
      <c r="G6395" s="19"/>
      <c r="H6395" s="19"/>
      <c r="I6395" s="19"/>
      <c r="J6395" s="19"/>
      <c r="K6395" s="19"/>
      <c r="L6395" s="19"/>
      <c r="M6395" s="19"/>
      <c r="N6395" s="19"/>
      <c r="O6395" s="14" t="str">
        <f>HYPERLINK("https://otsuka-europe-crm.veevavault.com/ui/#object/email_activity__v/V8C00000004C476", "EN-002107943")</f>
        <v>EN-002107943</v>
      </c>
    </row>
    <row r="6396" spans="1:15" ht="16" x14ac:dyDescent="0.2">
      <c r="A6396" s="18" t="str">
        <f>HYPERLINK("https://otsuka-europe-crm.veevavault.com/ui/#object/account__v/V4TZ06G6O71S9MA", "STEFANO PINI")</f>
        <v>STEFANO PINI</v>
      </c>
      <c r="B6396" s="18" t="str">
        <f>HYPERLINK("https://otsuka-europe-crm.veevavault.com/ui/#object/vcountry__v/VENZ000004SONFQ", "IT")</f>
        <v>IT</v>
      </c>
      <c r="C6396" s="20" t="s">
        <v>42</v>
      </c>
      <c r="D6396" s="21" t="str">
        <f>HYPERLINK("https://otsuka-europe-crm.veevavault.com/ui/#object/approved_document__v/V5OZ025E82RR47S", "AE Focus pz prevalenti- IT-LUP-2500005 Nefro")</f>
        <v>AE Focus pz prevalenti- IT-LUP-2500005 Nefro</v>
      </c>
      <c r="E6396" s="22" t="str">
        <f>HYPERLINK("https://otsuka-europe-crm.veevavault.com/ui/#object/sent_email__v/VBL00000003A267", "SE-001444656")</f>
        <v>SE-001444656</v>
      </c>
      <c r="F6396" s="25">
        <v>46226.415486111109</v>
      </c>
      <c r="G6396" s="24">
        <v>1</v>
      </c>
      <c r="H6396" s="24">
        <v>2</v>
      </c>
      <c r="I6396" s="24">
        <v>0</v>
      </c>
      <c r="J6396" s="23"/>
      <c r="K6396" s="24">
        <v>0</v>
      </c>
      <c r="L6396" s="22" t="str">
        <f>HYPERLINK("https://otsuka-europe-crm.veevavault.com/ui/#object/approved_document__v/V5OZ025E82RR47S", "AE Focus pz prevalenti- IT-LUP-2500005 Nefro")</f>
        <v>AE Focus pz prevalenti- IT-LUP-2500005 Nefro</v>
      </c>
      <c r="M6396" s="22" t="str">
        <f>HYPERLINK("mailto:matteo.digennaro@crm.otsuka-europe.com", "matteo.digennaro@crm.otsuka-europe.com")</f>
        <v>matteo.digennaro@crm.otsuka-europe.com</v>
      </c>
      <c r="N6396" s="25">
        <v>46226.299247685187</v>
      </c>
      <c r="O6396" s="14" t="str">
        <f>HYPERLINK("https://otsuka-europe-crm.veevavault.com/ui/#object/email_activity__v/V8C00000004B766", "EN-002107991")</f>
        <v>EN-002107991</v>
      </c>
    </row>
    <row r="6397" spans="1:15" ht="16" x14ac:dyDescent="0.2">
      <c r="A6397" s="26"/>
      <c r="B6397" s="26"/>
      <c r="C6397" s="26"/>
      <c r="D6397" s="26"/>
      <c r="E6397" s="26"/>
      <c r="F6397" s="26"/>
      <c r="G6397" s="26"/>
      <c r="H6397" s="26"/>
      <c r="I6397" s="26"/>
      <c r="J6397" s="26"/>
      <c r="K6397" s="26"/>
      <c r="L6397" s="26"/>
      <c r="M6397" s="26"/>
      <c r="N6397" s="26"/>
      <c r="O6397" s="14" t="str">
        <f>HYPERLINK("https://otsuka-europe-crm.veevavault.com/ui/#object/email_activity__v/V8C00000004C261", "EN-002107333")</f>
        <v>EN-002107333</v>
      </c>
    </row>
    <row r="6398" spans="1:15" ht="16" x14ac:dyDescent="0.2">
      <c r="A6398" s="19"/>
      <c r="B6398" s="19"/>
      <c r="C6398" s="19"/>
      <c r="D6398" s="19"/>
      <c r="E6398" s="19"/>
      <c r="F6398" s="19"/>
      <c r="G6398" s="19"/>
      <c r="H6398" s="19"/>
      <c r="I6398" s="19"/>
      <c r="J6398" s="19"/>
      <c r="K6398" s="19"/>
      <c r="L6398" s="19"/>
      <c r="M6398" s="19"/>
      <c r="N6398" s="19"/>
      <c r="O6398" s="14" t="str">
        <f>HYPERLINK("https://otsuka-europe-crm.veevavault.com/ui/#object/email_activity__v/V8C00000004C527", "EN-002108026")</f>
        <v>EN-002108026</v>
      </c>
    </row>
    <row r="6399" spans="1:15" ht="16" x14ac:dyDescent="0.2">
      <c r="A6399" s="18" t="str">
        <f>HYPERLINK("https://otsuka-europe-crm.veevavault.com/ui/#object/account__v/V4TZ06G6O71S9MA", "STEFANO PINI")</f>
        <v>STEFANO PINI</v>
      </c>
      <c r="B6399" s="18" t="str">
        <f>HYPERLINK("https://otsuka-europe-crm.veevavault.com/ui/#object/vcountry__v/VENZ000004SONFQ", "IT")</f>
        <v>IT</v>
      </c>
      <c r="C6399" s="20" t="s">
        <v>42</v>
      </c>
      <c r="D6399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399" s="22" t="str">
        <f>HYPERLINK("https://otsuka-europe-crm.veevavault.com/ui/#object/sent_email__v/VBL000000039152", "SE-001444657")</f>
        <v>SE-001444657</v>
      </c>
      <c r="F6399" s="25">
        <v>46226.417847222219</v>
      </c>
      <c r="G6399" s="24">
        <v>1</v>
      </c>
      <c r="H6399" s="24">
        <v>2</v>
      </c>
      <c r="I6399" s="24">
        <v>0</v>
      </c>
      <c r="J6399" s="23"/>
      <c r="K6399" s="24">
        <v>0</v>
      </c>
      <c r="L6399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399" s="22" t="str">
        <f>HYPERLINK("mailto:matteo.digennaro@crm.otsuka-europe.com", "matteo.digennaro@crm.otsuka-europe.com")</f>
        <v>matteo.digennaro@crm.otsuka-europe.com</v>
      </c>
      <c r="N6399" s="25">
        <v>46226.29923611111</v>
      </c>
      <c r="O6399" s="14" t="str">
        <f>HYPERLINK("https://otsuka-europe-crm.veevavault.com/ui/#object/email_activity__v/V8C00000004B522", "EN-002107633")</f>
        <v>EN-002107633</v>
      </c>
    </row>
    <row r="6400" spans="1:15" ht="16" x14ac:dyDescent="0.2">
      <c r="A6400" s="26"/>
      <c r="B6400" s="26"/>
      <c r="C6400" s="26"/>
      <c r="D6400" s="26"/>
      <c r="E6400" s="26"/>
      <c r="F6400" s="26"/>
      <c r="G6400" s="26"/>
      <c r="H6400" s="26"/>
      <c r="I6400" s="26"/>
      <c r="J6400" s="26"/>
      <c r="K6400" s="26"/>
      <c r="L6400" s="26"/>
      <c r="M6400" s="26"/>
      <c r="N6400" s="26"/>
      <c r="O6400" s="14" t="str">
        <f>HYPERLINK("https://otsuka-europe-crm.veevavault.com/ui/#object/email_activity__v/V8C00000004B868", "EN-002108179")</f>
        <v>EN-002108179</v>
      </c>
    </row>
    <row r="6401" spans="1:15" ht="16" x14ac:dyDescent="0.2">
      <c r="A6401" s="26"/>
      <c r="B6401" s="26"/>
      <c r="C6401" s="26"/>
      <c r="D6401" s="26"/>
      <c r="E6401" s="26"/>
      <c r="F6401" s="26"/>
      <c r="G6401" s="26"/>
      <c r="H6401" s="26"/>
      <c r="I6401" s="26"/>
      <c r="J6401" s="26"/>
      <c r="K6401" s="26"/>
      <c r="L6401" s="26"/>
      <c r="M6401" s="26"/>
      <c r="N6401" s="26"/>
      <c r="O6401" s="14" t="str">
        <f>HYPERLINK("https://otsuka-europe-crm.veevavault.com/ui/#object/email_activity__v/V8C00000004C396", "EN-002107794")</f>
        <v>EN-002107794</v>
      </c>
    </row>
    <row r="6402" spans="1:15" ht="16" x14ac:dyDescent="0.2">
      <c r="A6402" s="19"/>
      <c r="B6402" s="19"/>
      <c r="C6402" s="19"/>
      <c r="D6402" s="19"/>
      <c r="E6402" s="19"/>
      <c r="F6402" s="19"/>
      <c r="G6402" s="19"/>
      <c r="H6402" s="19"/>
      <c r="I6402" s="19"/>
      <c r="J6402" s="19"/>
      <c r="K6402" s="19"/>
      <c r="L6402" s="19"/>
      <c r="M6402" s="19"/>
      <c r="N6402" s="19"/>
      <c r="O6402" s="14" t="str">
        <f>HYPERLINK("https://otsuka-europe-crm.veevavault.com/ui/#object/email_activity__v/V8C00000004C403", "EN-002107835")</f>
        <v>EN-002107835</v>
      </c>
    </row>
    <row r="6403" spans="1:15" ht="16" x14ac:dyDescent="0.2">
      <c r="A6403" s="18" t="str">
        <f>HYPERLINK("https://otsuka-europe-crm.veevavault.com/ui/#object/account__v/V4TZ04ASGB4V0EK", "MARGHERITA ZEN")</f>
        <v>MARGHERITA ZEN</v>
      </c>
      <c r="B6403" s="18" t="str">
        <f>HYPERLINK("https://otsuka-europe-crm.veevavault.com/ui/#object/vcountry__v/VENZ000004SONFQ", "IT")</f>
        <v>IT</v>
      </c>
      <c r="C6403" s="20" t="s">
        <v>42</v>
      </c>
      <c r="D6403" s="21" t="str">
        <f>HYPERLINK("https://otsuka-europe-crm.veevavault.com/ui/#object/approved_document__v/V5OZ025E82RRA5M", "AURORA 2 - AE RHEUMA")</f>
        <v>AURORA 2 - AE RHEUMA</v>
      </c>
      <c r="E6403" s="22" t="str">
        <f>HYPERLINK("https://otsuka-europe-crm.veevavault.com/ui/#object/sent_email__v/VBL000000039153", "SE-001444658")</f>
        <v>SE-001444658</v>
      </c>
      <c r="F6403" s="25">
        <v>46226.974293981482</v>
      </c>
      <c r="G6403" s="24">
        <v>1</v>
      </c>
      <c r="H6403" s="24">
        <v>3</v>
      </c>
      <c r="I6403" s="24">
        <v>0</v>
      </c>
      <c r="J6403" s="23"/>
      <c r="K6403" s="24">
        <v>0</v>
      </c>
      <c r="L6403" s="22" t="str">
        <f>HYPERLINK("https://otsuka-europe-crm.veevavault.com/ui/#object/approved_document__v/V5OZ025E82RRA5M", "AURORA 2 - AE RHEUMA")</f>
        <v>AURORA 2 - AE RHEUMA</v>
      </c>
      <c r="M6403" s="22" t="str">
        <f>HYPERLINK("mailto:matteo.digennaro@crm.otsuka-europe.com", "matteo.digennaro@crm.otsuka-europe.com")</f>
        <v>matteo.digennaro@crm.otsuka-europe.com</v>
      </c>
      <c r="N6403" s="25">
        <v>46226.299259259256</v>
      </c>
      <c r="O6403" s="14" t="str">
        <f>HYPERLINK("https://otsuka-europe-crm.veevavault.com/ui/#object/email_activity__v/V8C00000004C276", "EN-002107348")</f>
        <v>EN-002107348</v>
      </c>
    </row>
    <row r="6404" spans="1:15" ht="16" x14ac:dyDescent="0.2">
      <c r="A6404" s="26"/>
      <c r="B6404" s="26"/>
      <c r="C6404" s="26"/>
      <c r="D6404" s="26"/>
      <c r="E6404" s="26"/>
      <c r="F6404" s="26"/>
      <c r="G6404" s="26"/>
      <c r="H6404" s="26"/>
      <c r="I6404" s="26"/>
      <c r="J6404" s="26"/>
      <c r="K6404" s="26"/>
      <c r="L6404" s="26"/>
      <c r="M6404" s="26"/>
      <c r="N6404" s="26"/>
      <c r="O6404" s="14" t="str">
        <f>HYPERLINK("https://otsuka-europe-crm.veevavault.com/ui/#object/email_activity__v/V8C00000004D048", "EN-002108271")</f>
        <v>EN-002108271</v>
      </c>
    </row>
    <row r="6405" spans="1:15" ht="16" x14ac:dyDescent="0.2">
      <c r="A6405" s="26"/>
      <c r="B6405" s="26"/>
      <c r="C6405" s="26"/>
      <c r="D6405" s="26"/>
      <c r="E6405" s="26"/>
      <c r="F6405" s="26"/>
      <c r="G6405" s="26"/>
      <c r="H6405" s="26"/>
      <c r="I6405" s="26"/>
      <c r="J6405" s="26"/>
      <c r="K6405" s="26"/>
      <c r="L6405" s="26"/>
      <c r="M6405" s="26"/>
      <c r="N6405" s="26"/>
      <c r="O6405" s="14" t="str">
        <f>HYPERLINK("https://otsuka-europe-crm.veevavault.com/ui/#object/email_activity__v/V8C00000004G042", "EN-002109836")</f>
        <v>EN-002109836</v>
      </c>
    </row>
    <row r="6406" spans="1:15" ht="16" x14ac:dyDescent="0.2">
      <c r="A6406" s="19"/>
      <c r="B6406" s="19"/>
      <c r="C6406" s="19"/>
      <c r="D6406" s="19"/>
      <c r="E6406" s="19"/>
      <c r="F6406" s="19"/>
      <c r="G6406" s="19"/>
      <c r="H6406" s="19"/>
      <c r="I6406" s="19"/>
      <c r="J6406" s="19"/>
      <c r="K6406" s="19"/>
      <c r="L6406" s="19"/>
      <c r="M6406" s="19"/>
      <c r="N6406" s="19"/>
      <c r="O6406" s="14" t="str">
        <f>HYPERLINK("https://otsuka-europe-crm.veevavault.com/ui/#object/email_activity__v/V8C00000004H037", "EN-002110987")</f>
        <v>EN-002110987</v>
      </c>
    </row>
    <row r="6407" spans="1:15" ht="16" x14ac:dyDescent="0.2">
      <c r="A6407" s="18" t="str">
        <f>HYPERLINK("https://otsuka-europe-crm.veevavault.com/ui/#object/account__v/V4TZ04ASGB4V0EK", "MARGHERITA ZEN")</f>
        <v>MARGHERITA ZEN</v>
      </c>
      <c r="B6407" s="18" t="str">
        <f>HYPERLINK("https://otsuka-europe-crm.veevavault.com/ui/#object/vcountry__v/VENZ000004SONFQ", "IT")</f>
        <v>IT</v>
      </c>
      <c r="C6407" s="20" t="s">
        <v>42</v>
      </c>
      <c r="D6407" s="21" t="str">
        <f>HYPERLINK("https://otsuka-europe-crm.veevavault.com/ui/#object/approved_document__v/V5OZ025E82RR47W", "AE Propensity Analysis- IT-LUP-2500004 Reuma")</f>
        <v>AE Propensity Analysis- IT-LUP-2500004 Reuma</v>
      </c>
      <c r="E6407" s="22" t="str">
        <f>HYPERLINK("https://otsuka-europe-crm.veevavault.com/ui/#object/sent_email__v/VBL00000003A268", "SE-001444659")</f>
        <v>SE-001444659</v>
      </c>
      <c r="F6407" s="25">
        <v>46226.974444444444</v>
      </c>
      <c r="G6407" s="24">
        <v>1</v>
      </c>
      <c r="H6407" s="24">
        <v>3</v>
      </c>
      <c r="I6407" s="24">
        <v>0</v>
      </c>
      <c r="J6407" s="23"/>
      <c r="K6407" s="24">
        <v>0</v>
      </c>
      <c r="L6407" s="22" t="str">
        <f>HYPERLINK("https://otsuka-europe-crm.veevavault.com/ui/#object/approved_document__v/V5OZ025E82RR47W", "AE Propensity Analysis- IT-LUP-2500004 Reuma")</f>
        <v>AE Propensity Analysis- IT-LUP-2500004 Reuma</v>
      </c>
      <c r="M6407" s="22" t="str">
        <f>HYPERLINK("mailto:matteo.digennaro@crm.otsuka-europe.com", "matteo.digennaro@crm.otsuka-europe.com")</f>
        <v>matteo.digennaro@crm.otsuka-europe.com</v>
      </c>
      <c r="N6407" s="25">
        <v>46226.29923611111</v>
      </c>
      <c r="O6407" s="14" t="str">
        <f>HYPERLINK("https://otsuka-europe-crm.veevavault.com/ui/#object/email_activity__v/V8C00000004B609", "EN-002107720")</f>
        <v>EN-002107720</v>
      </c>
    </row>
    <row r="6408" spans="1:15" ht="16" x14ac:dyDescent="0.2">
      <c r="A6408" s="26"/>
      <c r="B6408" s="26"/>
      <c r="C6408" s="26"/>
      <c r="D6408" s="26"/>
      <c r="E6408" s="26"/>
      <c r="F6408" s="26"/>
      <c r="G6408" s="26"/>
      <c r="H6408" s="26"/>
      <c r="I6408" s="26"/>
      <c r="J6408" s="26"/>
      <c r="K6408" s="26"/>
      <c r="L6408" s="26"/>
      <c r="M6408" s="26"/>
      <c r="N6408" s="26"/>
      <c r="O6408" s="14" t="str">
        <f>HYPERLINK("https://otsuka-europe-crm.veevavault.com/ui/#object/email_activity__v/V8C00000004C502", "EN-002108000")</f>
        <v>EN-002108000</v>
      </c>
    </row>
    <row r="6409" spans="1:15" ht="16" x14ac:dyDescent="0.2">
      <c r="A6409" s="26"/>
      <c r="B6409" s="26"/>
      <c r="C6409" s="26"/>
      <c r="D6409" s="26"/>
      <c r="E6409" s="26"/>
      <c r="F6409" s="26"/>
      <c r="G6409" s="26"/>
      <c r="H6409" s="26"/>
      <c r="I6409" s="26"/>
      <c r="J6409" s="26"/>
      <c r="K6409" s="26"/>
      <c r="L6409" s="26"/>
      <c r="M6409" s="26"/>
      <c r="N6409" s="26"/>
      <c r="O6409" s="14" t="str">
        <f>HYPERLINK("https://otsuka-europe-crm.veevavault.com/ui/#object/email_activity__v/V8C00000004D049", "EN-002108272")</f>
        <v>EN-002108272</v>
      </c>
    </row>
    <row r="6410" spans="1:15" ht="16" x14ac:dyDescent="0.2">
      <c r="A6410" s="26"/>
      <c r="B6410" s="26"/>
      <c r="C6410" s="26"/>
      <c r="D6410" s="26"/>
      <c r="E6410" s="26"/>
      <c r="F6410" s="26"/>
      <c r="G6410" s="26"/>
      <c r="H6410" s="26"/>
      <c r="I6410" s="26"/>
      <c r="J6410" s="26"/>
      <c r="K6410" s="26"/>
      <c r="L6410" s="26"/>
      <c r="M6410" s="26"/>
      <c r="N6410" s="26"/>
      <c r="O6410" s="14" t="str">
        <f>HYPERLINK("https://otsuka-europe-crm.veevavault.com/ui/#object/email_activity__v/V8C00000004G043", "EN-002109837")</f>
        <v>EN-002109837</v>
      </c>
    </row>
    <row r="6411" spans="1:15" ht="16" x14ac:dyDescent="0.2">
      <c r="A6411" s="19"/>
      <c r="B6411" s="19"/>
      <c r="C6411" s="19"/>
      <c r="D6411" s="19"/>
      <c r="E6411" s="19"/>
      <c r="F6411" s="19"/>
      <c r="G6411" s="19"/>
      <c r="H6411" s="19"/>
      <c r="I6411" s="19"/>
      <c r="J6411" s="19"/>
      <c r="K6411" s="19"/>
      <c r="L6411" s="19"/>
      <c r="M6411" s="19"/>
      <c r="N6411" s="19"/>
      <c r="O6411" s="14" t="str">
        <f>HYPERLINK("https://otsuka-europe-crm.veevavault.com/ui/#object/email_activity__v/V8C00000004H038", "EN-002110988")</f>
        <v>EN-002110988</v>
      </c>
    </row>
    <row r="6412" spans="1:15" ht="16" x14ac:dyDescent="0.2">
      <c r="A6412" s="18" t="str">
        <f>HYPERLINK("https://otsuka-europe-crm.veevavault.com/ui/#object/account__v/V4TZ04ASGB4V0EK", "MARGHERITA ZEN")</f>
        <v>MARGHERITA ZEN</v>
      </c>
      <c r="B6412" s="18" t="str">
        <f>HYPERLINK("https://otsuka-europe-crm.veevavault.com/ui/#object/vcountry__v/VENZ000004SONFQ", "IT")</f>
        <v>IT</v>
      </c>
      <c r="C6412" s="20" t="s">
        <v>42</v>
      </c>
      <c r="D6412" s="21" t="str">
        <f>HYPERLINK("https://otsuka-europe-crm.veevavault.com/ui/#object/approved_document__v/V5OZ025E82RR47L", "RTE Proteinuria C1 - IT-LUP-2500006 - Reuma")</f>
        <v>RTE Proteinuria C1 - IT-LUP-2500006 - Reuma</v>
      </c>
      <c r="E6412" s="22" t="str">
        <f>HYPERLINK("https://otsuka-europe-crm.veevavault.com/ui/#object/sent_email__v/VBL00000003A269", "SE-001444660")</f>
        <v>SE-001444660</v>
      </c>
      <c r="F6412" s="25">
        <v>46226.973645833335</v>
      </c>
      <c r="G6412" s="24">
        <v>1</v>
      </c>
      <c r="H6412" s="24">
        <v>3</v>
      </c>
      <c r="I6412" s="24">
        <v>0</v>
      </c>
      <c r="J6412" s="23"/>
      <c r="K6412" s="24">
        <v>0</v>
      </c>
      <c r="L6412" s="22" t="str">
        <f>HYPERLINK("https://otsuka-europe-crm.veevavault.com/ui/#object/approved_document__v/V5OZ025E82RR47L", "RTE Proteinuria C1 - IT-LUP-2500006 - Reuma")</f>
        <v>RTE Proteinuria C1 - IT-LUP-2500006 - Reuma</v>
      </c>
      <c r="M6412" s="22" t="str">
        <f>HYPERLINK("mailto:matteo.digennaro@crm.otsuka-europe.com", "matteo.digennaro@crm.otsuka-europe.com")</f>
        <v>matteo.digennaro@crm.otsuka-europe.com</v>
      </c>
      <c r="N6412" s="25">
        <v>46226.29928240741</v>
      </c>
      <c r="O6412" s="14" t="str">
        <f>HYPERLINK("https://otsuka-europe-crm.veevavault.com/ui/#object/email_activity__v/V8C00000004C300", "EN-002107465")</f>
        <v>EN-002107465</v>
      </c>
    </row>
    <row r="6413" spans="1:15" ht="16" x14ac:dyDescent="0.2">
      <c r="A6413" s="26"/>
      <c r="B6413" s="26"/>
      <c r="C6413" s="26"/>
      <c r="D6413" s="26"/>
      <c r="E6413" s="26"/>
      <c r="F6413" s="26"/>
      <c r="G6413" s="26"/>
      <c r="H6413" s="26"/>
      <c r="I6413" s="26"/>
      <c r="J6413" s="26"/>
      <c r="K6413" s="26"/>
      <c r="L6413" s="26"/>
      <c r="M6413" s="26"/>
      <c r="N6413" s="26"/>
      <c r="O6413" s="14" t="str">
        <f>HYPERLINK("https://otsuka-europe-crm.veevavault.com/ui/#object/email_activity__v/V8C00000004D047", "EN-002108270")</f>
        <v>EN-002108270</v>
      </c>
    </row>
    <row r="6414" spans="1:15" ht="16" x14ac:dyDescent="0.2">
      <c r="A6414" s="26"/>
      <c r="B6414" s="26"/>
      <c r="C6414" s="26"/>
      <c r="D6414" s="26"/>
      <c r="E6414" s="26"/>
      <c r="F6414" s="26"/>
      <c r="G6414" s="26"/>
      <c r="H6414" s="26"/>
      <c r="I6414" s="26"/>
      <c r="J6414" s="26"/>
      <c r="K6414" s="26"/>
      <c r="L6414" s="26"/>
      <c r="M6414" s="26"/>
      <c r="N6414" s="26"/>
      <c r="O6414" s="14" t="str">
        <f>HYPERLINK("https://otsuka-europe-crm.veevavault.com/ui/#object/email_activity__v/V8C00000004G041", "EN-002109835")</f>
        <v>EN-002109835</v>
      </c>
    </row>
    <row r="6415" spans="1:15" ht="16" x14ac:dyDescent="0.2">
      <c r="A6415" s="19"/>
      <c r="B6415" s="19"/>
      <c r="C6415" s="19"/>
      <c r="D6415" s="19"/>
      <c r="E6415" s="19"/>
      <c r="F6415" s="19"/>
      <c r="G6415" s="19"/>
      <c r="H6415" s="19"/>
      <c r="I6415" s="19"/>
      <c r="J6415" s="19"/>
      <c r="K6415" s="19"/>
      <c r="L6415" s="19"/>
      <c r="M6415" s="19"/>
      <c r="N6415" s="19"/>
      <c r="O6415" s="14" t="str">
        <f>HYPERLINK("https://otsuka-europe-crm.veevavault.com/ui/#object/email_activity__v/V8C00000004H036", "EN-002110986")</f>
        <v>EN-002110986</v>
      </c>
    </row>
    <row r="6416" spans="1:15" ht="16" x14ac:dyDescent="0.2">
      <c r="A6416" s="18" t="str">
        <f>HYPERLINK("https://otsuka-europe-crm.veevavault.com/ui/#object/account__v/V4TZ04ASGB4V0EK", "MARGHERITA ZEN")</f>
        <v>MARGHERITA ZEN</v>
      </c>
      <c r="B6416" s="18" t="str">
        <f>HYPERLINK("https://otsuka-europe-crm.veevavault.com/ui/#object/vcountry__v/VENZ000004SONFQ", "IT")</f>
        <v>IT</v>
      </c>
      <c r="C6416" s="20" t="s">
        <v>42</v>
      </c>
      <c r="D6416" s="21" t="str">
        <f>HYPERLINK("https://otsuka-europe-crm.veevavault.com/ui/#object/approved_document__v/V5OZ025E82RR47U", "AE Focus pz prevalenti- IT-LUP-2500005 Reuma")</f>
        <v>AE Focus pz prevalenti- IT-LUP-2500005 Reuma</v>
      </c>
      <c r="E6416" s="22" t="str">
        <f>HYPERLINK("https://otsuka-europe-crm.veevavault.com/ui/#object/sent_email__v/VBL00000003A270", "SE-001444661")</f>
        <v>SE-001444661</v>
      </c>
      <c r="F6416" s="25">
        <v>46226.974745370368</v>
      </c>
      <c r="G6416" s="24">
        <v>1</v>
      </c>
      <c r="H6416" s="24">
        <v>3</v>
      </c>
      <c r="I6416" s="24">
        <v>0</v>
      </c>
      <c r="J6416" s="23"/>
      <c r="K6416" s="24">
        <v>0</v>
      </c>
      <c r="L6416" s="22" t="str">
        <f>HYPERLINK("https://otsuka-europe-crm.veevavault.com/ui/#object/approved_document__v/V5OZ025E82RR47U", "AE Focus pz prevalenti- IT-LUP-2500005 Reuma")</f>
        <v>AE Focus pz prevalenti- IT-LUP-2500005 Reuma</v>
      </c>
      <c r="M6416" s="22" t="str">
        <f>HYPERLINK("mailto:matteo.digennaro@crm.otsuka-europe.com", "matteo.digennaro@crm.otsuka-europe.com")</f>
        <v>matteo.digennaro@crm.otsuka-europe.com</v>
      </c>
      <c r="N6416" s="25">
        <v>46226.299189814818</v>
      </c>
      <c r="O6416" s="14" t="str">
        <f>HYPERLINK("https://otsuka-europe-crm.veevavault.com/ui/#object/email_activity__v/V8C00000004B610", "EN-002107721")</f>
        <v>EN-002107721</v>
      </c>
    </row>
    <row r="6417" spans="1:15" ht="16" x14ac:dyDescent="0.2">
      <c r="A6417" s="26"/>
      <c r="B6417" s="26"/>
      <c r="C6417" s="26"/>
      <c r="D6417" s="26"/>
      <c r="E6417" s="26"/>
      <c r="F6417" s="26"/>
      <c r="G6417" s="26"/>
      <c r="H6417" s="26"/>
      <c r="I6417" s="26"/>
      <c r="J6417" s="26"/>
      <c r="K6417" s="26"/>
      <c r="L6417" s="26"/>
      <c r="M6417" s="26"/>
      <c r="N6417" s="26"/>
      <c r="O6417" s="14" t="str">
        <f>HYPERLINK("https://otsuka-europe-crm.veevavault.com/ui/#object/email_activity__v/V8C00000004B787", "EN-002108095")</f>
        <v>EN-002108095</v>
      </c>
    </row>
    <row r="6418" spans="1:15" ht="16" x14ac:dyDescent="0.2">
      <c r="A6418" s="26"/>
      <c r="B6418" s="26"/>
      <c r="C6418" s="26"/>
      <c r="D6418" s="26"/>
      <c r="E6418" s="26"/>
      <c r="F6418" s="26"/>
      <c r="G6418" s="26"/>
      <c r="H6418" s="26"/>
      <c r="I6418" s="26"/>
      <c r="J6418" s="26"/>
      <c r="K6418" s="26"/>
      <c r="L6418" s="26"/>
      <c r="M6418" s="26"/>
      <c r="N6418" s="26"/>
      <c r="O6418" s="14" t="str">
        <f>HYPERLINK("https://otsuka-europe-crm.veevavault.com/ui/#object/email_activity__v/V8C00000004D050", "EN-002108273")</f>
        <v>EN-002108273</v>
      </c>
    </row>
    <row r="6419" spans="1:15" ht="16" x14ac:dyDescent="0.2">
      <c r="A6419" s="26"/>
      <c r="B6419" s="26"/>
      <c r="C6419" s="26"/>
      <c r="D6419" s="26"/>
      <c r="E6419" s="26"/>
      <c r="F6419" s="26"/>
      <c r="G6419" s="26"/>
      <c r="H6419" s="26"/>
      <c r="I6419" s="26"/>
      <c r="J6419" s="26"/>
      <c r="K6419" s="26"/>
      <c r="L6419" s="26"/>
      <c r="M6419" s="26"/>
      <c r="N6419" s="26"/>
      <c r="O6419" s="14" t="str">
        <f>HYPERLINK("https://otsuka-europe-crm.veevavault.com/ui/#object/email_activity__v/V8C00000004G044", "EN-002109838")</f>
        <v>EN-002109838</v>
      </c>
    </row>
    <row r="6420" spans="1:15" ht="16" x14ac:dyDescent="0.2">
      <c r="A6420" s="19"/>
      <c r="B6420" s="19"/>
      <c r="C6420" s="19"/>
      <c r="D6420" s="19"/>
      <c r="E6420" s="19"/>
      <c r="F6420" s="19"/>
      <c r="G6420" s="19"/>
      <c r="H6420" s="19"/>
      <c r="I6420" s="19"/>
      <c r="J6420" s="19"/>
      <c r="K6420" s="19"/>
      <c r="L6420" s="19"/>
      <c r="M6420" s="19"/>
      <c r="N6420" s="19"/>
      <c r="O6420" s="14" t="str">
        <f>HYPERLINK("https://otsuka-europe-crm.veevavault.com/ui/#object/email_activity__v/V8C00000004H039", "EN-002110989")</f>
        <v>EN-002110989</v>
      </c>
    </row>
    <row r="6421" spans="1:15" ht="16" x14ac:dyDescent="0.2">
      <c r="A6421" s="18" t="str">
        <f>HYPERLINK("https://otsuka-europe-crm.veevavault.com/ui/#object/account__v/V4TZ04ASGB4V0EK", "MARGHERITA ZEN")</f>
        <v>MARGHERITA ZEN</v>
      </c>
      <c r="B6421" s="18" t="str">
        <f>HYPERLINK("https://otsuka-europe-crm.veevavault.com/ui/#object/vcountry__v/VENZ000004SONFQ", "IT")</f>
        <v>IT</v>
      </c>
      <c r="C6421" s="20" t="s">
        <v>42</v>
      </c>
      <c r="D6421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421" s="22" t="str">
        <f>HYPERLINK("https://otsuka-europe-crm.veevavault.com/ui/#object/sent_email__v/VBL00000003A271", "SE-001444662")</f>
        <v>SE-001444662</v>
      </c>
      <c r="F6421" s="25">
        <v>46226.97488425926</v>
      </c>
      <c r="G6421" s="24">
        <v>1</v>
      </c>
      <c r="H6421" s="24">
        <v>3</v>
      </c>
      <c r="I6421" s="24">
        <v>1</v>
      </c>
      <c r="J6421" s="25">
        <v>46226.975972222222</v>
      </c>
      <c r="K6421" s="24">
        <v>6</v>
      </c>
      <c r="L6421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421" s="22" t="str">
        <f>HYPERLINK("mailto:matteo.digennaro@crm.otsuka-europe.com", "matteo.digennaro@crm.otsuka-europe.com")</f>
        <v>matteo.digennaro@crm.otsuka-europe.com</v>
      </c>
      <c r="N6421" s="25">
        <v>46226.299178240741</v>
      </c>
      <c r="O6421" s="14" t="str">
        <f>HYPERLINK("https://otsuka-europe-crm.veevavault.com/ui/#object/email_activity__v/V8C00000004B459", "EN-002107567")</f>
        <v>EN-002107567</v>
      </c>
    </row>
    <row r="6422" spans="1:15" ht="16" x14ac:dyDescent="0.2">
      <c r="A6422" s="26"/>
      <c r="B6422" s="26"/>
      <c r="C6422" s="26"/>
      <c r="D6422" s="26"/>
      <c r="E6422" s="26"/>
      <c r="F6422" s="26"/>
      <c r="G6422" s="26"/>
      <c r="H6422" s="26"/>
      <c r="I6422" s="26"/>
      <c r="J6422" s="26"/>
      <c r="K6422" s="26"/>
      <c r="L6422" s="26"/>
      <c r="M6422" s="26"/>
      <c r="N6422" s="26"/>
      <c r="O6422" s="14" t="str">
        <f>HYPERLINK("https://otsuka-europe-crm.veevavault.com/ui/#object/email_activity__v/V8C00000004D051", "EN-002108274")</f>
        <v>EN-002108274</v>
      </c>
    </row>
    <row r="6423" spans="1:15" ht="16" x14ac:dyDescent="0.2">
      <c r="A6423" s="26"/>
      <c r="B6423" s="26"/>
      <c r="C6423" s="26"/>
      <c r="D6423" s="26"/>
      <c r="E6423" s="26"/>
      <c r="F6423" s="26"/>
      <c r="G6423" s="26"/>
      <c r="H6423" s="26"/>
      <c r="I6423" s="26"/>
      <c r="J6423" s="26"/>
      <c r="K6423" s="26"/>
      <c r="L6423" s="26"/>
      <c r="M6423" s="26"/>
      <c r="N6423" s="26"/>
      <c r="O6423" s="14" t="str">
        <f>HYPERLINK("https://otsuka-europe-crm.veevavault.com/ui/#object/email_activity__v/V8C00000004D052", "EN-002108275")</f>
        <v>EN-002108275</v>
      </c>
    </row>
    <row r="6424" spans="1:15" ht="16" x14ac:dyDescent="0.2">
      <c r="A6424" s="26"/>
      <c r="B6424" s="26"/>
      <c r="C6424" s="26"/>
      <c r="D6424" s="26"/>
      <c r="E6424" s="26"/>
      <c r="F6424" s="26"/>
      <c r="G6424" s="26"/>
      <c r="H6424" s="26"/>
      <c r="I6424" s="26"/>
      <c r="J6424" s="26"/>
      <c r="K6424" s="26"/>
      <c r="L6424" s="26"/>
      <c r="M6424" s="26"/>
      <c r="N6424" s="26"/>
      <c r="O6424" s="14" t="str">
        <f>HYPERLINK("https://otsuka-europe-crm.veevavault.com/ui/#object/email_activity__v/V8C00000004D053", "EN-002108276")</f>
        <v>EN-002108276</v>
      </c>
    </row>
    <row r="6425" spans="1:15" ht="16" x14ac:dyDescent="0.2">
      <c r="A6425" s="26"/>
      <c r="B6425" s="26"/>
      <c r="C6425" s="26"/>
      <c r="D6425" s="26"/>
      <c r="E6425" s="26"/>
      <c r="F6425" s="26"/>
      <c r="G6425" s="26"/>
      <c r="H6425" s="26"/>
      <c r="I6425" s="26"/>
      <c r="J6425" s="26"/>
      <c r="K6425" s="26"/>
      <c r="L6425" s="26"/>
      <c r="M6425" s="26"/>
      <c r="N6425" s="26"/>
      <c r="O6425" s="14" t="str">
        <f>HYPERLINK("https://otsuka-europe-crm.veevavault.com/ui/#object/email_activity__v/V8C00000004G045", "EN-002109839")</f>
        <v>EN-002109839</v>
      </c>
    </row>
    <row r="6426" spans="1:15" ht="16" x14ac:dyDescent="0.2">
      <c r="A6426" s="26"/>
      <c r="B6426" s="26"/>
      <c r="C6426" s="26"/>
      <c r="D6426" s="26"/>
      <c r="E6426" s="26"/>
      <c r="F6426" s="26"/>
      <c r="G6426" s="26"/>
      <c r="H6426" s="26"/>
      <c r="I6426" s="26"/>
      <c r="J6426" s="26"/>
      <c r="K6426" s="26"/>
      <c r="L6426" s="26"/>
      <c r="M6426" s="26"/>
      <c r="N6426" s="26"/>
      <c r="O6426" s="14" t="str">
        <f>HYPERLINK("https://otsuka-europe-crm.veevavault.com/ui/#object/email_activity__v/V8C00000004G046", "EN-002109840")</f>
        <v>EN-002109840</v>
      </c>
    </row>
    <row r="6427" spans="1:15" ht="16" x14ac:dyDescent="0.2">
      <c r="A6427" s="26"/>
      <c r="B6427" s="26"/>
      <c r="C6427" s="26"/>
      <c r="D6427" s="26"/>
      <c r="E6427" s="26"/>
      <c r="F6427" s="26"/>
      <c r="G6427" s="26"/>
      <c r="H6427" s="26"/>
      <c r="I6427" s="26"/>
      <c r="J6427" s="26"/>
      <c r="K6427" s="26"/>
      <c r="L6427" s="26"/>
      <c r="M6427" s="26"/>
      <c r="N6427" s="26"/>
      <c r="O6427" s="14" t="str">
        <f>HYPERLINK("https://otsuka-europe-crm.veevavault.com/ui/#object/email_activity__v/V8C00000004G047", "EN-002109841")</f>
        <v>EN-002109841</v>
      </c>
    </row>
    <row r="6428" spans="1:15" ht="16" x14ac:dyDescent="0.2">
      <c r="A6428" s="26"/>
      <c r="B6428" s="26"/>
      <c r="C6428" s="26"/>
      <c r="D6428" s="26"/>
      <c r="E6428" s="26"/>
      <c r="F6428" s="26"/>
      <c r="G6428" s="26"/>
      <c r="H6428" s="26"/>
      <c r="I6428" s="26"/>
      <c r="J6428" s="26"/>
      <c r="K6428" s="26"/>
      <c r="L6428" s="26"/>
      <c r="M6428" s="26"/>
      <c r="N6428" s="26"/>
      <c r="O6428" s="14" t="str">
        <f>HYPERLINK("https://otsuka-europe-crm.veevavault.com/ui/#object/email_activity__v/V8C00000004H040", "EN-002110990")</f>
        <v>EN-002110990</v>
      </c>
    </row>
    <row r="6429" spans="1:15" ht="16" x14ac:dyDescent="0.2">
      <c r="A6429" s="26"/>
      <c r="B6429" s="26"/>
      <c r="C6429" s="26"/>
      <c r="D6429" s="26"/>
      <c r="E6429" s="26"/>
      <c r="F6429" s="26"/>
      <c r="G6429" s="26"/>
      <c r="H6429" s="26"/>
      <c r="I6429" s="26"/>
      <c r="J6429" s="26"/>
      <c r="K6429" s="26"/>
      <c r="L6429" s="26"/>
      <c r="M6429" s="26"/>
      <c r="N6429" s="26"/>
      <c r="O6429" s="14" t="str">
        <f>HYPERLINK("https://otsuka-europe-crm.veevavault.com/ui/#object/email_activity__v/V8C00000004H041", "EN-002110991")</f>
        <v>EN-002110991</v>
      </c>
    </row>
    <row r="6430" spans="1:15" ht="16" x14ac:dyDescent="0.2">
      <c r="A6430" s="19"/>
      <c r="B6430" s="19"/>
      <c r="C6430" s="19"/>
      <c r="D6430" s="19"/>
      <c r="E6430" s="19"/>
      <c r="F6430" s="19"/>
      <c r="G6430" s="19"/>
      <c r="H6430" s="19"/>
      <c r="I6430" s="19"/>
      <c r="J6430" s="19"/>
      <c r="K6430" s="19"/>
      <c r="L6430" s="19"/>
      <c r="M6430" s="19"/>
      <c r="N6430" s="19"/>
      <c r="O6430" s="14" t="str">
        <f>HYPERLINK("https://otsuka-europe-crm.veevavault.com/ui/#object/email_activity__v/V8C00000004H042", "EN-002110992")</f>
        <v>EN-002110992</v>
      </c>
    </row>
    <row r="6431" spans="1:15" ht="16" x14ac:dyDescent="0.2">
      <c r="A6431" s="18" t="str">
        <f>HYPERLINK("https://otsuka-europe-crm.veevavault.com/ui/#object/account__v/V4TZ04ASG9MIJBC", "LUCA IACCARINO")</f>
        <v>LUCA IACCARINO</v>
      </c>
      <c r="B6431" s="18" t="str">
        <f>HYPERLINK("https://otsuka-europe-crm.veevavault.com/ui/#object/vcountry__v/VENZ000004SONFQ", "IT")</f>
        <v>IT</v>
      </c>
      <c r="C6431" s="20" t="s">
        <v>42</v>
      </c>
      <c r="D6431" s="21" t="str">
        <f>HYPERLINK("https://otsuka-europe-crm.veevavault.com/ui/#object/approved_document__v/V5OZ025E82RRA5M", "AURORA 2 - AE RHEUMA")</f>
        <v>AURORA 2 - AE RHEUMA</v>
      </c>
      <c r="E6431" s="22" t="str">
        <f>HYPERLINK("https://otsuka-europe-crm.veevavault.com/ui/#object/sent_email__v/VBL00000003A272", "SE-001444663")</f>
        <v>SE-001444663</v>
      </c>
      <c r="F6431" s="23"/>
      <c r="G6431" s="24">
        <v>0</v>
      </c>
      <c r="H6431" s="24">
        <v>0</v>
      </c>
      <c r="I6431" s="24">
        <v>0</v>
      </c>
      <c r="J6431" s="23"/>
      <c r="K6431" s="24">
        <v>0</v>
      </c>
      <c r="L6431" s="22" t="str">
        <f>HYPERLINK("https://otsuka-europe-crm.veevavault.com/ui/#object/approved_document__v/V5OZ025E82RRA5M", "AURORA 2 - AE RHEUMA")</f>
        <v>AURORA 2 - AE RHEUMA</v>
      </c>
      <c r="M6431" s="22" t="str">
        <f>HYPERLINK("mailto:matteo.digennaro@crm.otsuka-europe.com", "matteo.digennaro@crm.otsuka-europe.com")</f>
        <v>matteo.digennaro@crm.otsuka-europe.com</v>
      </c>
      <c r="N6431" s="25">
        <v>46226.299189814818</v>
      </c>
      <c r="O6431" s="14" t="str">
        <f>HYPERLINK("https://otsuka-europe-crm.veevavault.com/ui/#object/email_activity__v/V8C00000004B611", "EN-002107722")</f>
        <v>EN-002107722</v>
      </c>
    </row>
    <row r="6432" spans="1:15" ht="16" x14ac:dyDescent="0.2">
      <c r="A6432" s="26"/>
      <c r="B6432" s="26"/>
      <c r="C6432" s="26"/>
      <c r="D6432" s="26"/>
      <c r="E6432" s="26"/>
      <c r="F6432" s="26"/>
      <c r="G6432" s="26"/>
      <c r="H6432" s="26"/>
      <c r="I6432" s="26"/>
      <c r="J6432" s="26"/>
      <c r="K6432" s="26"/>
      <c r="L6432" s="26"/>
      <c r="M6432" s="26"/>
      <c r="N6432" s="26"/>
      <c r="O6432" s="14" t="str">
        <f>HYPERLINK("https://otsuka-europe-crm.veevavault.com/ui/#object/email_activity__v/V8C00000004B812", "EN-002108120")</f>
        <v>EN-002108120</v>
      </c>
    </row>
    <row r="6433" spans="1:15" ht="16" x14ac:dyDescent="0.2">
      <c r="A6433" s="19"/>
      <c r="B6433" s="19"/>
      <c r="C6433" s="19"/>
      <c r="D6433" s="19"/>
      <c r="E6433" s="19"/>
      <c r="F6433" s="19"/>
      <c r="G6433" s="19"/>
      <c r="H6433" s="19"/>
      <c r="I6433" s="19"/>
      <c r="J6433" s="19"/>
      <c r="K6433" s="19"/>
      <c r="L6433" s="19"/>
      <c r="M6433" s="19"/>
      <c r="N6433" s="19"/>
      <c r="O6433" s="14" t="str">
        <f>HYPERLINK("https://otsuka-europe-crm.veevavault.com/ui/#object/email_activity__v/V8C00000004D001", "EN-002108219")</f>
        <v>EN-002108219</v>
      </c>
    </row>
    <row r="6434" spans="1:15" ht="16" x14ac:dyDescent="0.2">
      <c r="A6434" s="18" t="str">
        <f>HYPERLINK("https://otsuka-europe-crm.veevavault.com/ui/#object/account__v/V4TZ04ASG9MIJBC", "LUCA IACCARINO")</f>
        <v>LUCA IACCARINO</v>
      </c>
      <c r="B6434" s="18" t="str">
        <f>HYPERLINK("https://otsuka-europe-crm.veevavault.com/ui/#object/vcountry__v/VENZ000004SONFQ", "IT")</f>
        <v>IT</v>
      </c>
      <c r="C6434" s="20" t="s">
        <v>42</v>
      </c>
      <c r="D6434" s="21" t="str">
        <f>HYPERLINK("https://otsuka-europe-crm.veevavault.com/ui/#object/approved_document__v/V5OZ025E82RR47W", "AE Propensity Analysis- IT-LUP-2500004 Reuma")</f>
        <v>AE Propensity Analysis- IT-LUP-2500004 Reuma</v>
      </c>
      <c r="E6434" s="22" t="str">
        <f>HYPERLINK("https://otsuka-europe-crm.veevavault.com/ui/#object/sent_email__v/VBL00000003A273", "SE-001444664")</f>
        <v>SE-001444664</v>
      </c>
      <c r="F6434" s="23"/>
      <c r="G6434" s="24">
        <v>0</v>
      </c>
      <c r="H6434" s="24">
        <v>0</v>
      </c>
      <c r="I6434" s="24">
        <v>0</v>
      </c>
      <c r="J6434" s="23"/>
      <c r="K6434" s="24">
        <v>0</v>
      </c>
      <c r="L6434" s="22" t="str">
        <f>HYPERLINK("https://otsuka-europe-crm.veevavault.com/ui/#object/approved_document__v/V5OZ025E82RR47W", "AE Propensity Analysis- IT-LUP-2500004 Reuma")</f>
        <v>AE Propensity Analysis- IT-LUP-2500004 Reuma</v>
      </c>
      <c r="M6434" s="22" t="str">
        <f>HYPERLINK("mailto:matteo.digennaro@crm.otsuka-europe.com", "matteo.digennaro@crm.otsuka-europe.com")</f>
        <v>matteo.digennaro@crm.otsuka-europe.com</v>
      </c>
      <c r="N6434" s="25">
        <v>46226.29923611111</v>
      </c>
      <c r="O6434" s="14" t="str">
        <f>HYPERLINK("https://otsuka-europe-crm.veevavault.com/ui/#object/email_activity__v/V8C00000004B612", "EN-002107723")</f>
        <v>EN-002107723</v>
      </c>
    </row>
    <row r="6435" spans="1:15" ht="16" x14ac:dyDescent="0.2">
      <c r="A6435" s="26"/>
      <c r="B6435" s="26"/>
      <c r="C6435" s="26"/>
      <c r="D6435" s="26"/>
      <c r="E6435" s="26"/>
      <c r="F6435" s="26"/>
      <c r="G6435" s="26"/>
      <c r="H6435" s="26"/>
      <c r="I6435" s="26"/>
      <c r="J6435" s="26"/>
      <c r="K6435" s="26"/>
      <c r="L6435" s="26"/>
      <c r="M6435" s="26"/>
      <c r="N6435" s="26"/>
      <c r="O6435" s="14" t="str">
        <f>HYPERLINK("https://otsuka-europe-crm.veevavault.com/ui/#object/email_activity__v/V8C00000004B883", "EN-002108194")</f>
        <v>EN-002108194</v>
      </c>
    </row>
    <row r="6436" spans="1:15" ht="16" x14ac:dyDescent="0.2">
      <c r="A6436" s="26"/>
      <c r="B6436" s="26"/>
      <c r="C6436" s="26"/>
      <c r="D6436" s="26"/>
      <c r="E6436" s="26"/>
      <c r="F6436" s="26"/>
      <c r="G6436" s="26"/>
      <c r="H6436" s="26"/>
      <c r="I6436" s="26"/>
      <c r="J6436" s="26"/>
      <c r="K6436" s="26"/>
      <c r="L6436" s="26"/>
      <c r="M6436" s="26"/>
      <c r="N6436" s="26"/>
      <c r="O6436" s="14" t="str">
        <f>HYPERLINK("https://otsuka-europe-crm.veevavault.com/ui/#object/email_activity__v/V8C00000004D040", "EN-002108263")</f>
        <v>EN-002108263</v>
      </c>
    </row>
    <row r="6437" spans="1:15" ht="16" x14ac:dyDescent="0.2">
      <c r="A6437" s="26"/>
      <c r="B6437" s="26"/>
      <c r="C6437" s="26"/>
      <c r="D6437" s="26"/>
      <c r="E6437" s="26"/>
      <c r="F6437" s="26"/>
      <c r="G6437" s="26"/>
      <c r="H6437" s="26"/>
      <c r="I6437" s="26"/>
      <c r="J6437" s="26"/>
      <c r="K6437" s="26"/>
      <c r="L6437" s="26"/>
      <c r="M6437" s="26"/>
      <c r="N6437" s="26"/>
      <c r="O6437" s="14" t="str">
        <f>HYPERLINK("https://otsuka-europe-crm.veevavault.com/ui/#object/email_activity__v/V8C00000004D443", "EN-002108966")</f>
        <v>EN-002108966</v>
      </c>
    </row>
    <row r="6438" spans="1:15" ht="16" x14ac:dyDescent="0.2">
      <c r="A6438" s="26"/>
      <c r="B6438" s="26"/>
      <c r="C6438" s="26"/>
      <c r="D6438" s="26"/>
      <c r="E6438" s="26"/>
      <c r="F6438" s="26"/>
      <c r="G6438" s="26"/>
      <c r="H6438" s="26"/>
      <c r="I6438" s="26"/>
      <c r="J6438" s="26"/>
      <c r="K6438" s="26"/>
      <c r="L6438" s="26"/>
      <c r="M6438" s="26"/>
      <c r="N6438" s="26"/>
      <c r="O6438" s="14" t="str">
        <f>HYPERLINK("https://otsuka-europe-crm.veevavault.com/ui/#object/email_activity__v/V8C00000004G034", "EN-002109828")</f>
        <v>EN-002109828</v>
      </c>
    </row>
    <row r="6439" spans="1:15" ht="16" x14ac:dyDescent="0.2">
      <c r="A6439" s="19"/>
      <c r="B6439" s="19"/>
      <c r="C6439" s="19"/>
      <c r="D6439" s="19"/>
      <c r="E6439" s="19"/>
      <c r="F6439" s="19"/>
      <c r="G6439" s="19"/>
      <c r="H6439" s="19"/>
      <c r="I6439" s="19"/>
      <c r="J6439" s="19"/>
      <c r="K6439" s="19"/>
      <c r="L6439" s="19"/>
      <c r="M6439" s="19"/>
      <c r="N6439" s="19"/>
      <c r="O6439" s="14" t="str">
        <f>HYPERLINK("https://otsuka-europe-crm.veevavault.com/ui/#object/email_activity__v/V8C00000004H029", "EN-002110979")</f>
        <v>EN-002110979</v>
      </c>
    </row>
    <row r="6440" spans="1:15" ht="16" x14ac:dyDescent="0.2">
      <c r="A6440" s="18" t="str">
        <f>HYPERLINK("https://otsuka-europe-crm.veevavault.com/ui/#object/account__v/V4TZ04ASG9MIJBC", "LUCA IACCARINO")</f>
        <v>LUCA IACCARINO</v>
      </c>
      <c r="B6440" s="18" t="str">
        <f>HYPERLINK("https://otsuka-europe-crm.veevavault.com/ui/#object/vcountry__v/VENZ000004SONFQ", "IT")</f>
        <v>IT</v>
      </c>
      <c r="C6440" s="20" t="s">
        <v>42</v>
      </c>
      <c r="D6440" s="21" t="str">
        <f>HYPERLINK("https://otsuka-europe-crm.veevavault.com/ui/#object/approved_document__v/V5OZ025E82RR47U", "AE Focus pz prevalenti- IT-LUP-2500005 Reuma")</f>
        <v>AE Focus pz prevalenti- IT-LUP-2500005 Reuma</v>
      </c>
      <c r="E6440" s="22" t="str">
        <f>HYPERLINK("https://otsuka-europe-crm.veevavault.com/ui/#object/sent_email__v/VBL000000039154", "SE-001444665")</f>
        <v>SE-001444665</v>
      </c>
      <c r="F6440" s="23"/>
      <c r="G6440" s="24">
        <v>0</v>
      </c>
      <c r="H6440" s="24">
        <v>0</v>
      </c>
      <c r="I6440" s="24">
        <v>0</v>
      </c>
      <c r="J6440" s="23"/>
      <c r="K6440" s="24">
        <v>0</v>
      </c>
      <c r="L6440" s="22" t="str">
        <f>HYPERLINK("https://otsuka-europe-crm.veevavault.com/ui/#object/approved_document__v/V5OZ025E82RR47U", "AE Focus pz prevalenti- IT-LUP-2500005 Reuma")</f>
        <v>AE Focus pz prevalenti- IT-LUP-2500005 Reuma</v>
      </c>
      <c r="M6440" s="22" t="str">
        <f>HYPERLINK("mailto:matteo.digennaro@crm.otsuka-europe.com", "matteo.digennaro@crm.otsuka-europe.com")</f>
        <v>matteo.digennaro@crm.otsuka-europe.com</v>
      </c>
      <c r="N6440" s="25">
        <v>46226.299224537041</v>
      </c>
      <c r="O6440" s="14" t="str">
        <f>HYPERLINK("https://otsuka-europe-crm.veevavault.com/ui/#object/email_activity__v/V8C00000004B356", "EN-002107369")</f>
        <v>EN-002107369</v>
      </c>
    </row>
    <row r="6441" spans="1:15" ht="16" x14ac:dyDescent="0.2">
      <c r="A6441" s="19"/>
      <c r="B6441" s="19"/>
      <c r="C6441" s="19"/>
      <c r="D6441" s="19"/>
      <c r="E6441" s="19"/>
      <c r="F6441" s="19"/>
      <c r="G6441" s="19"/>
      <c r="H6441" s="19"/>
      <c r="I6441" s="19"/>
      <c r="J6441" s="19"/>
      <c r="K6441" s="19"/>
      <c r="L6441" s="19"/>
      <c r="M6441" s="19"/>
      <c r="N6441" s="19"/>
      <c r="O6441" s="14" t="str">
        <f>HYPERLINK("https://otsuka-europe-crm.veevavault.com/ui/#object/email_activity__v/V8C00000004D002", "EN-002108220")</f>
        <v>EN-002108220</v>
      </c>
    </row>
    <row r="6442" spans="1:15" ht="16" x14ac:dyDescent="0.2">
      <c r="A6442" s="18" t="str">
        <f>HYPERLINK("https://otsuka-europe-crm.veevavault.com/ui/#object/account__v/V4TZ04ASG9MIJBC", "LUCA IACCARINO")</f>
        <v>LUCA IACCARINO</v>
      </c>
      <c r="B6442" s="18" t="str">
        <f>HYPERLINK("https://otsuka-europe-crm.veevavault.com/ui/#object/vcountry__v/VENZ000004SONFQ", "IT")</f>
        <v>IT</v>
      </c>
      <c r="C6442" s="20" t="s">
        <v>42</v>
      </c>
      <c r="D6442" s="21" t="str">
        <f>HYPERLINK("https://otsuka-europe-crm.veevavault.com/ui/#object/approved_document__v/V5OZ025E82RR47L", "RTE Proteinuria C1 - IT-LUP-2500006 - Reuma")</f>
        <v>RTE Proteinuria C1 - IT-LUP-2500006 - Reuma</v>
      </c>
      <c r="E6442" s="22" t="str">
        <f>HYPERLINK("https://otsuka-europe-crm.veevavault.com/ui/#object/sent_email__v/VBL00000003A274", "SE-001444666")</f>
        <v>SE-001444666</v>
      </c>
      <c r="F6442" s="23"/>
      <c r="G6442" s="24">
        <v>0</v>
      </c>
      <c r="H6442" s="24">
        <v>0</v>
      </c>
      <c r="I6442" s="24">
        <v>0</v>
      </c>
      <c r="J6442" s="23"/>
      <c r="K6442" s="24">
        <v>0</v>
      </c>
      <c r="L6442" s="22" t="str">
        <f>HYPERLINK("https://otsuka-europe-crm.veevavault.com/ui/#object/approved_document__v/V5OZ025E82RR47L", "RTE Proteinuria C1 - IT-LUP-2500006 - Reuma")</f>
        <v>RTE Proteinuria C1 - IT-LUP-2500006 - Reuma</v>
      </c>
      <c r="M6442" s="22" t="str">
        <f>HYPERLINK("mailto:matteo.digennaro@crm.otsuka-europe.com", "matteo.digennaro@crm.otsuka-europe.com")</f>
        <v>matteo.digennaro@crm.otsuka-europe.com</v>
      </c>
      <c r="N6442" s="25">
        <v>46226.29928240741</v>
      </c>
      <c r="O6442" s="14" t="str">
        <f>HYPERLINK("https://otsuka-europe-crm.veevavault.com/ui/#object/email_activity__v/V8C00000004B613", "EN-002107724")</f>
        <v>EN-002107724</v>
      </c>
    </row>
    <row r="6443" spans="1:15" ht="16" x14ac:dyDescent="0.2">
      <c r="A6443" s="26"/>
      <c r="B6443" s="26"/>
      <c r="C6443" s="26"/>
      <c r="D6443" s="26"/>
      <c r="E6443" s="26"/>
      <c r="F6443" s="26"/>
      <c r="G6443" s="26"/>
      <c r="H6443" s="26"/>
      <c r="I6443" s="26"/>
      <c r="J6443" s="26"/>
      <c r="K6443" s="26"/>
      <c r="L6443" s="26"/>
      <c r="M6443" s="26"/>
      <c r="N6443" s="26"/>
      <c r="O6443" s="14" t="str">
        <f>HYPERLINK("https://otsuka-europe-crm.veevavault.com/ui/#object/email_activity__v/V8C00000004B688", "EN-002107815")</f>
        <v>EN-002107815</v>
      </c>
    </row>
    <row r="6444" spans="1:15" ht="16" x14ac:dyDescent="0.2">
      <c r="A6444" s="26"/>
      <c r="B6444" s="26"/>
      <c r="C6444" s="26"/>
      <c r="D6444" s="26"/>
      <c r="E6444" s="26"/>
      <c r="F6444" s="26"/>
      <c r="G6444" s="26"/>
      <c r="H6444" s="26"/>
      <c r="I6444" s="26"/>
      <c r="J6444" s="26"/>
      <c r="K6444" s="26"/>
      <c r="L6444" s="26"/>
      <c r="M6444" s="26"/>
      <c r="N6444" s="26"/>
      <c r="O6444" s="14" t="str">
        <f>HYPERLINK("https://otsuka-europe-crm.veevavault.com/ui/#object/email_activity__v/V8C00000004D041", "EN-002108264")</f>
        <v>EN-002108264</v>
      </c>
    </row>
    <row r="6445" spans="1:15" ht="16" x14ac:dyDescent="0.2">
      <c r="A6445" s="26"/>
      <c r="B6445" s="26"/>
      <c r="C6445" s="26"/>
      <c r="D6445" s="26"/>
      <c r="E6445" s="26"/>
      <c r="F6445" s="26"/>
      <c r="G6445" s="26"/>
      <c r="H6445" s="26"/>
      <c r="I6445" s="26"/>
      <c r="J6445" s="26"/>
      <c r="K6445" s="26"/>
      <c r="L6445" s="26"/>
      <c r="M6445" s="26"/>
      <c r="N6445" s="26"/>
      <c r="O6445" s="14" t="str">
        <f>HYPERLINK("https://otsuka-europe-crm.veevavault.com/ui/#object/email_activity__v/V8C00000004D441", "EN-002108964")</f>
        <v>EN-002108964</v>
      </c>
    </row>
    <row r="6446" spans="1:15" ht="16" x14ac:dyDescent="0.2">
      <c r="A6446" s="26"/>
      <c r="B6446" s="26"/>
      <c r="C6446" s="26"/>
      <c r="D6446" s="26"/>
      <c r="E6446" s="26"/>
      <c r="F6446" s="26"/>
      <c r="G6446" s="26"/>
      <c r="H6446" s="26"/>
      <c r="I6446" s="26"/>
      <c r="J6446" s="26"/>
      <c r="K6446" s="26"/>
      <c r="L6446" s="26"/>
      <c r="M6446" s="26"/>
      <c r="N6446" s="26"/>
      <c r="O6446" s="14" t="str">
        <f>HYPERLINK("https://otsuka-europe-crm.veevavault.com/ui/#object/email_activity__v/V8C00000004G035", "EN-002109829")</f>
        <v>EN-002109829</v>
      </c>
    </row>
    <row r="6447" spans="1:15" ht="16" x14ac:dyDescent="0.2">
      <c r="A6447" s="19"/>
      <c r="B6447" s="19"/>
      <c r="C6447" s="19"/>
      <c r="D6447" s="19"/>
      <c r="E6447" s="19"/>
      <c r="F6447" s="19"/>
      <c r="G6447" s="19"/>
      <c r="H6447" s="19"/>
      <c r="I6447" s="19"/>
      <c r="J6447" s="19"/>
      <c r="K6447" s="19"/>
      <c r="L6447" s="19"/>
      <c r="M6447" s="19"/>
      <c r="N6447" s="19"/>
      <c r="O6447" s="14" t="str">
        <f>HYPERLINK("https://otsuka-europe-crm.veevavault.com/ui/#object/email_activity__v/V8C00000004H030", "EN-002110980")</f>
        <v>EN-002110980</v>
      </c>
    </row>
    <row r="6448" spans="1:15" ht="16" x14ac:dyDescent="0.2">
      <c r="A6448" s="18" t="str">
        <f>HYPERLINK("https://otsuka-europe-crm.veevavault.com/ui/#object/account__v/V4TZ04ASG9MIJBC", "LUCA IACCARINO")</f>
        <v>LUCA IACCARINO</v>
      </c>
      <c r="B6448" s="18" t="str">
        <f>HYPERLINK("https://otsuka-europe-crm.veevavault.com/ui/#object/vcountry__v/VENZ000004SONFQ", "IT")</f>
        <v>IT</v>
      </c>
      <c r="C6448" s="20" t="s">
        <v>42</v>
      </c>
      <c r="D6448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448" s="22" t="str">
        <f>HYPERLINK("https://otsuka-europe-crm.veevavault.com/ui/#object/sent_email__v/VBL00000003A275", "SE-001444667")</f>
        <v>SE-001444667</v>
      </c>
      <c r="F6448" s="23"/>
      <c r="G6448" s="24">
        <v>0</v>
      </c>
      <c r="H6448" s="24">
        <v>0</v>
      </c>
      <c r="I6448" s="24">
        <v>0</v>
      </c>
      <c r="J6448" s="23"/>
      <c r="K6448" s="24">
        <v>0</v>
      </c>
      <c r="L6448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448" s="22" t="str">
        <f>HYPERLINK("mailto:matteo.digennaro@crm.otsuka-europe.com", "matteo.digennaro@crm.otsuka-europe.com")</f>
        <v>matteo.digennaro@crm.otsuka-europe.com</v>
      </c>
      <c r="N6448" s="25">
        <v>46226.29923611111</v>
      </c>
      <c r="O6448" s="14" t="str">
        <f>HYPERLINK("https://otsuka-europe-crm.veevavault.com/ui/#object/email_activity__v/V8C00000004C247", "EN-002107319")</f>
        <v>EN-002107319</v>
      </c>
    </row>
    <row r="6449" spans="1:15" ht="16" x14ac:dyDescent="0.2">
      <c r="A6449" s="26"/>
      <c r="B6449" s="26"/>
      <c r="C6449" s="26"/>
      <c r="D6449" s="26"/>
      <c r="E6449" s="26"/>
      <c r="F6449" s="26"/>
      <c r="G6449" s="26"/>
      <c r="H6449" s="26"/>
      <c r="I6449" s="26"/>
      <c r="J6449" s="26"/>
      <c r="K6449" s="26"/>
      <c r="L6449" s="26"/>
      <c r="M6449" s="26"/>
      <c r="N6449" s="26"/>
      <c r="O6449" s="14" t="str">
        <f>HYPERLINK("https://otsuka-europe-crm.veevavault.com/ui/#object/email_activity__v/V8C00000004D033", "EN-002108256")</f>
        <v>EN-002108256</v>
      </c>
    </row>
    <row r="6450" spans="1:15" ht="16" x14ac:dyDescent="0.2">
      <c r="A6450" s="26"/>
      <c r="B6450" s="26"/>
      <c r="C6450" s="26"/>
      <c r="D6450" s="26"/>
      <c r="E6450" s="26"/>
      <c r="F6450" s="26"/>
      <c r="G6450" s="26"/>
      <c r="H6450" s="26"/>
      <c r="I6450" s="26"/>
      <c r="J6450" s="26"/>
      <c r="K6450" s="26"/>
      <c r="L6450" s="26"/>
      <c r="M6450" s="26"/>
      <c r="N6450" s="26"/>
      <c r="O6450" s="14" t="str">
        <f>HYPERLINK("https://otsuka-europe-crm.veevavault.com/ui/#object/email_activity__v/V8C00000004D442", "EN-002108965")</f>
        <v>EN-002108965</v>
      </c>
    </row>
    <row r="6451" spans="1:15" ht="16" x14ac:dyDescent="0.2">
      <c r="A6451" s="26"/>
      <c r="B6451" s="26"/>
      <c r="C6451" s="26"/>
      <c r="D6451" s="26"/>
      <c r="E6451" s="26"/>
      <c r="F6451" s="26"/>
      <c r="G6451" s="26"/>
      <c r="H6451" s="26"/>
      <c r="I6451" s="26"/>
      <c r="J6451" s="26"/>
      <c r="K6451" s="26"/>
      <c r="L6451" s="26"/>
      <c r="M6451" s="26"/>
      <c r="N6451" s="26"/>
      <c r="O6451" s="14" t="str">
        <f>HYPERLINK("https://otsuka-europe-crm.veevavault.com/ui/#object/email_activity__v/V8C00000004G027", "EN-002109821")</f>
        <v>EN-002109821</v>
      </c>
    </row>
    <row r="6452" spans="1:15" ht="16" x14ac:dyDescent="0.2">
      <c r="A6452" s="19"/>
      <c r="B6452" s="19"/>
      <c r="C6452" s="19"/>
      <c r="D6452" s="19"/>
      <c r="E6452" s="19"/>
      <c r="F6452" s="19"/>
      <c r="G6452" s="19"/>
      <c r="H6452" s="19"/>
      <c r="I6452" s="19"/>
      <c r="J6452" s="19"/>
      <c r="K6452" s="19"/>
      <c r="L6452" s="19"/>
      <c r="M6452" s="19"/>
      <c r="N6452" s="19"/>
      <c r="O6452" s="14" t="str">
        <f>HYPERLINK("https://otsuka-europe-crm.veevavault.com/ui/#object/email_activity__v/V8C00000004H021", "EN-002110971")</f>
        <v>EN-002110971</v>
      </c>
    </row>
    <row r="6453" spans="1:15" ht="16" x14ac:dyDescent="0.2">
      <c r="A6453" s="18" t="str">
        <f>HYPERLINK("https://otsuka-europe-crm.veevavault.com/ui/#object/account__v/V4TZ00000634X6B", "Karin Bendig")</f>
        <v>Karin Bendig</v>
      </c>
      <c r="B6453" s="18" t="str">
        <f>HYPERLINK("https://otsuka-europe-crm.veevavault.com/ui/#object/vcountry__v/VENZ000004SONFP", "DE")</f>
        <v>DE</v>
      </c>
      <c r="C6453" s="20" t="s">
        <v>43</v>
      </c>
      <c r="D6453" s="21" t="str">
        <f>HYPERLINK("https://otsuka-europe-crm.veevavault.com/ui/#object/approved_document__v/V5O00000001W001", "INA VAE DE – Zulassung INAQOVI Venetoclax")</f>
        <v>INA VAE DE – Zulassung INAQOVI Venetoclax</v>
      </c>
      <c r="E6453" s="22" t="str">
        <f>HYPERLINK("https://otsuka-europe-crm.veevavault.com/ui/#object/sent_email__v/VBL00000003A276", "SE-001444668")</f>
        <v>SE-001444668</v>
      </c>
      <c r="F6453" s="25">
        <v>46226.301006944443</v>
      </c>
      <c r="G6453" s="24">
        <v>1</v>
      </c>
      <c r="H6453" s="24">
        <v>2</v>
      </c>
      <c r="I6453" s="24">
        <v>0</v>
      </c>
      <c r="J6453" s="23"/>
      <c r="K6453" s="24">
        <v>0</v>
      </c>
      <c r="L6453" s="22" t="str">
        <f>HYPERLINK("https://otsuka-europe-crm.veevavault.com/ui/#object/approved_document__v/V5O00000001W001", "INA VAE DE – Zulassung INAQOVI Venetoclax")</f>
        <v>INA VAE DE – Zulassung INAQOVI Venetoclax</v>
      </c>
      <c r="M6453" s="22" t="str">
        <f>HYPERLINK("mailto:kwanczek@crm.otsuka-europe.com", "kwanczek@crm.otsuka-europe.com")</f>
        <v>kwanczek@crm.otsuka-europe.com</v>
      </c>
      <c r="N6453" s="25">
        <v>46226.299201388887</v>
      </c>
      <c r="O6453" s="14" t="str">
        <f>HYPERLINK("https://otsuka-europe-crm.veevavault.com/ui/#object/email_activity__v/V8C00000004B397", "EN-002107411")</f>
        <v>EN-002107411</v>
      </c>
    </row>
    <row r="6454" spans="1:15" ht="16" x14ac:dyDescent="0.2">
      <c r="A6454" s="26"/>
      <c r="B6454" s="26"/>
      <c r="C6454" s="26"/>
      <c r="D6454" s="26"/>
      <c r="E6454" s="26"/>
      <c r="F6454" s="26"/>
      <c r="G6454" s="26"/>
      <c r="H6454" s="26"/>
      <c r="I6454" s="26"/>
      <c r="J6454" s="26"/>
      <c r="K6454" s="26"/>
      <c r="L6454" s="26"/>
      <c r="M6454" s="26"/>
      <c r="N6454" s="26"/>
      <c r="O6454" s="14" t="str">
        <f>HYPERLINK("https://otsuka-europe-crm.veevavault.com/ui/#object/email_activity__v/V8C00000004B435", "EN-002107448")</f>
        <v>EN-002107448</v>
      </c>
    </row>
    <row r="6455" spans="1:15" ht="16" x14ac:dyDescent="0.2">
      <c r="A6455" s="19"/>
      <c r="B6455" s="19"/>
      <c r="C6455" s="19"/>
      <c r="D6455" s="19"/>
      <c r="E6455" s="19"/>
      <c r="F6455" s="19"/>
      <c r="G6455" s="19"/>
      <c r="H6455" s="19"/>
      <c r="I6455" s="19"/>
      <c r="J6455" s="19"/>
      <c r="K6455" s="19"/>
      <c r="L6455" s="19"/>
      <c r="M6455" s="19"/>
      <c r="N6455" s="19"/>
      <c r="O6455" s="14" t="str">
        <f>HYPERLINK("https://otsuka-europe-crm.veevavault.com/ui/#object/email_activity__v/V8C00000004B696", "EN-002107823")</f>
        <v>EN-002107823</v>
      </c>
    </row>
    <row r="6456" spans="1:15" ht="32" x14ac:dyDescent="0.2">
      <c r="A6456" s="7" t="str">
        <f>HYPERLINK("https://otsuka-europe-crm.veevavault.com/ui/#object/account__v/V4TZ00000634YXZ", "Almut Schneider")</f>
        <v>Almut Schneider</v>
      </c>
      <c r="B6456" s="7" t="str">
        <f>HYPERLINK("https://otsuka-europe-crm.veevavault.com/ui/#object/vcountry__v/VENZ000004SONFP", "DE")</f>
        <v>DE</v>
      </c>
      <c r="C6456" s="8" t="s">
        <v>43</v>
      </c>
      <c r="D6456" s="9" t="str">
        <f>HYPERLINK("https://otsuka-europe-crm.veevavault.com/ui/#object/approved_document__v/V5O00000001W001", "INA VAE DE – Zulassung INAQOVI Venetoclax")</f>
        <v>INA VAE DE – Zulassung INAQOVI Venetoclax</v>
      </c>
      <c r="E6456" s="10" t="str">
        <f>HYPERLINK("https://otsuka-europe-crm.veevavault.com/ui/#object/sent_email__v/VBL000000039155", "SE-001444669")</f>
        <v>SE-001444669</v>
      </c>
      <c r="F6456" s="11"/>
      <c r="G6456" s="12">
        <v>0</v>
      </c>
      <c r="H6456" s="12">
        <v>0</v>
      </c>
      <c r="I6456" s="12">
        <v>0</v>
      </c>
      <c r="J6456" s="11"/>
      <c r="K6456" s="12">
        <v>0</v>
      </c>
      <c r="L6456" s="10" t="str">
        <f>HYPERLINK("https://otsuka-europe-crm.veevavault.com/ui/#object/approved_document__v/V5O00000001W001", "INA VAE DE – Zulassung INAQOVI Venetoclax")</f>
        <v>INA VAE DE – Zulassung INAQOVI Venetoclax</v>
      </c>
      <c r="M6456" s="10" t="str">
        <f>HYPERLINK("mailto:kwanczek@crm.otsuka-europe.com", "kwanczek@crm.otsuka-europe.com")</f>
        <v>kwanczek@crm.otsuka-europe.com</v>
      </c>
      <c r="N6456" s="13">
        <v>46226.299201388887</v>
      </c>
      <c r="O6456" s="14" t="str">
        <f>HYPERLINK("https://otsuka-europe-crm.veevavault.com/ui/#object/email_activity__v/V8C00000004B425", "EN-002107438")</f>
        <v>EN-002107438</v>
      </c>
    </row>
    <row r="6457" spans="1:15" ht="16" x14ac:dyDescent="0.2">
      <c r="A6457" s="18" t="str">
        <f>HYPERLINK("https://otsuka-europe-crm.veevavault.com/ui/#object/account__v/V4TZ000006353LX", "Arne Trummer")</f>
        <v>Arne Trummer</v>
      </c>
      <c r="B6457" s="18" t="str">
        <f>HYPERLINK("https://otsuka-europe-crm.veevavault.com/ui/#object/vcountry__v/VENZ000004SONFP", "DE")</f>
        <v>DE</v>
      </c>
      <c r="C6457" s="20" t="s">
        <v>43</v>
      </c>
      <c r="D6457" s="21" t="str">
        <f>HYPERLINK("https://otsuka-europe-crm.veevavault.com/ui/#object/approved_document__v/V5O00000001W001", "INA VAE DE – Zulassung INAQOVI Venetoclax")</f>
        <v>INA VAE DE – Zulassung INAQOVI Venetoclax</v>
      </c>
      <c r="E6457" s="22" t="str">
        <f>HYPERLINK("https://otsuka-europe-crm.veevavault.com/ui/#object/sent_email__v/VBL000000039156", "SE-001444670")</f>
        <v>SE-001444670</v>
      </c>
      <c r="F6457" s="23"/>
      <c r="G6457" s="24">
        <v>0</v>
      </c>
      <c r="H6457" s="24">
        <v>0</v>
      </c>
      <c r="I6457" s="24">
        <v>0</v>
      </c>
      <c r="J6457" s="23"/>
      <c r="K6457" s="24">
        <v>0</v>
      </c>
      <c r="L6457" s="22" t="str">
        <f>HYPERLINK("https://otsuka-europe-crm.veevavault.com/ui/#object/approved_document__v/V5O00000001W001", "INA VAE DE – Zulassung INAQOVI Venetoclax")</f>
        <v>INA VAE DE – Zulassung INAQOVI Venetoclax</v>
      </c>
      <c r="M6457" s="22" t="str">
        <f>HYPERLINK("mailto:kwanczek@crm.otsuka-europe.com", "kwanczek@crm.otsuka-europe.com")</f>
        <v>kwanczek@crm.otsuka-europe.com</v>
      </c>
      <c r="N6457" s="25">
        <v>46226.299201388887</v>
      </c>
      <c r="O6457" s="14" t="str">
        <f>HYPERLINK("https://otsuka-europe-crm.veevavault.com/ui/#object/email_activity__v/V8C00000004B523", "EN-002107634")</f>
        <v>EN-002107634</v>
      </c>
    </row>
    <row r="6458" spans="1:15" ht="16" x14ac:dyDescent="0.2">
      <c r="A6458" s="19"/>
      <c r="B6458" s="19"/>
      <c r="C6458" s="19"/>
      <c r="D6458" s="19"/>
      <c r="E6458" s="19"/>
      <c r="F6458" s="19"/>
      <c r="G6458" s="19"/>
      <c r="H6458" s="19"/>
      <c r="I6458" s="19"/>
      <c r="J6458" s="19"/>
      <c r="K6458" s="19"/>
      <c r="L6458" s="19"/>
      <c r="M6458" s="19"/>
      <c r="N6458" s="19"/>
      <c r="O6458" s="14" t="str">
        <f>HYPERLINK("https://otsuka-europe-crm.veevavault.com/ui/#object/email_activity__v/V8C00000004C566", "EN-002108076")</f>
        <v>EN-002108076</v>
      </c>
    </row>
    <row r="6459" spans="1:15" ht="16" x14ac:dyDescent="0.2">
      <c r="A6459" s="18" t="str">
        <f>HYPERLINK("https://otsuka-europe-crm.veevavault.com/ui/#object/account__v/V4TZ000006350R6", "Oliver-Gerd Kron")</f>
        <v>Oliver-Gerd Kron</v>
      </c>
      <c r="B6459" s="18" t="str">
        <f>HYPERLINK("https://otsuka-europe-crm.veevavault.com/ui/#object/vcountry__v/VENZ000004SONFP", "DE")</f>
        <v>DE</v>
      </c>
      <c r="C6459" s="20" t="s">
        <v>43</v>
      </c>
      <c r="D6459" s="21" t="str">
        <f>HYPERLINK("https://otsuka-europe-crm.veevavault.com/ui/#object/approved_document__v/V5O00000001W001", "INA VAE DE – Zulassung INAQOVI Venetoclax")</f>
        <v>INA VAE DE – Zulassung INAQOVI Venetoclax</v>
      </c>
      <c r="E6459" s="22" t="str">
        <f>HYPERLINK("https://otsuka-europe-crm.veevavault.com/ui/#object/sent_email__v/VBL000000039157", "SE-001444671")</f>
        <v>SE-001444671</v>
      </c>
      <c r="F6459" s="23"/>
      <c r="G6459" s="24">
        <v>0</v>
      </c>
      <c r="H6459" s="24">
        <v>0</v>
      </c>
      <c r="I6459" s="24">
        <v>0</v>
      </c>
      <c r="J6459" s="23"/>
      <c r="K6459" s="24">
        <v>0</v>
      </c>
      <c r="L6459" s="22" t="str">
        <f>HYPERLINK("https://otsuka-europe-crm.veevavault.com/ui/#object/approved_document__v/V5O00000001W001", "INA VAE DE – Zulassung INAQOVI Venetoclax")</f>
        <v>INA VAE DE – Zulassung INAQOVI Venetoclax</v>
      </c>
      <c r="M6459" s="22" t="str">
        <f>HYPERLINK("mailto:kwanczek@crm.otsuka-europe.com", "kwanczek@crm.otsuka-europe.com")</f>
        <v>kwanczek@crm.otsuka-europe.com</v>
      </c>
      <c r="N6459" s="25">
        <v>46226.299201388887</v>
      </c>
      <c r="O6459" s="14" t="str">
        <f>HYPERLINK("https://otsuka-europe-crm.veevavault.com/ui/#object/email_activity__v/V8C00000004C289", "EN-002107454")</f>
        <v>EN-002107454</v>
      </c>
    </row>
    <row r="6460" spans="1:15" ht="16" x14ac:dyDescent="0.2">
      <c r="A6460" s="26"/>
      <c r="B6460" s="26"/>
      <c r="C6460" s="26"/>
      <c r="D6460" s="26"/>
      <c r="E6460" s="26"/>
      <c r="F6460" s="26"/>
      <c r="G6460" s="26"/>
      <c r="H6460" s="26"/>
      <c r="I6460" s="26"/>
      <c r="J6460" s="26"/>
      <c r="K6460" s="26"/>
      <c r="L6460" s="26"/>
      <c r="M6460" s="26"/>
      <c r="N6460" s="26"/>
      <c r="O6460" s="14" t="str">
        <f>HYPERLINK("https://otsuka-europe-crm.veevavault.com/ui/#object/email_activity__v/V8C00000004D029", "EN-002108252")</f>
        <v>EN-002108252</v>
      </c>
    </row>
    <row r="6461" spans="1:15" ht="16" x14ac:dyDescent="0.2">
      <c r="A6461" s="26"/>
      <c r="B6461" s="26"/>
      <c r="C6461" s="26"/>
      <c r="D6461" s="26"/>
      <c r="E6461" s="26"/>
      <c r="F6461" s="26"/>
      <c r="G6461" s="26"/>
      <c r="H6461" s="26"/>
      <c r="I6461" s="26"/>
      <c r="J6461" s="26"/>
      <c r="K6461" s="26"/>
      <c r="L6461" s="26"/>
      <c r="M6461" s="26"/>
      <c r="N6461" s="26"/>
      <c r="O6461" s="14" t="str">
        <f>HYPERLINK("https://otsuka-europe-crm.veevavault.com/ui/#object/email_activity__v/V8C00000004G023", "EN-002109817")</f>
        <v>EN-002109817</v>
      </c>
    </row>
    <row r="6462" spans="1:15" ht="16" x14ac:dyDescent="0.2">
      <c r="A6462" s="19"/>
      <c r="B6462" s="19"/>
      <c r="C6462" s="19"/>
      <c r="D6462" s="19"/>
      <c r="E6462" s="19"/>
      <c r="F6462" s="19"/>
      <c r="G6462" s="19"/>
      <c r="H6462" s="19"/>
      <c r="I6462" s="19"/>
      <c r="J6462" s="19"/>
      <c r="K6462" s="19"/>
      <c r="L6462" s="19"/>
      <c r="M6462" s="19"/>
      <c r="N6462" s="19"/>
      <c r="O6462" s="14" t="str">
        <f>HYPERLINK("https://otsuka-europe-crm.veevavault.com/ui/#object/email_activity__v/V8C00000004H017", "EN-002110967")</f>
        <v>EN-002110967</v>
      </c>
    </row>
    <row r="6463" spans="1:15" ht="16" x14ac:dyDescent="0.2">
      <c r="A6463" s="18" t="str">
        <f>HYPERLINK("https://otsuka-europe-crm.veevavault.com/ui/#object/account__v/V4TZ025E84EUL3N", "Jurek Hille")</f>
        <v>Jurek Hille</v>
      </c>
      <c r="B6463" s="18" t="str">
        <f>HYPERLINK("https://otsuka-europe-crm.veevavault.com/ui/#object/vcountry__v/VENZ000004SONFP", "DE")</f>
        <v>DE</v>
      </c>
      <c r="C6463" s="20" t="s">
        <v>43</v>
      </c>
      <c r="D6463" s="21" t="str">
        <f>HYPERLINK("https://otsuka-europe-crm.veevavault.com/ui/#object/approved_document__v/V5O00000001W001", "INA VAE DE – Zulassung INAQOVI Venetoclax")</f>
        <v>INA VAE DE – Zulassung INAQOVI Venetoclax</v>
      </c>
      <c r="E6463" s="22" t="str">
        <f>HYPERLINK("https://otsuka-europe-crm.veevavault.com/ui/#object/sent_email__v/VBL000000039158", "SE-001444672")</f>
        <v>SE-001444672</v>
      </c>
      <c r="F6463" s="23"/>
      <c r="G6463" s="24">
        <v>0</v>
      </c>
      <c r="H6463" s="24">
        <v>0</v>
      </c>
      <c r="I6463" s="24">
        <v>0</v>
      </c>
      <c r="J6463" s="23"/>
      <c r="K6463" s="24">
        <v>0</v>
      </c>
      <c r="L6463" s="22" t="str">
        <f>HYPERLINK("https://otsuka-europe-crm.veevavault.com/ui/#object/approved_document__v/V5O00000001W001", "INA VAE DE – Zulassung INAQOVI Venetoclax")</f>
        <v>INA VAE DE – Zulassung INAQOVI Venetoclax</v>
      </c>
      <c r="M6463" s="22" t="str">
        <f>HYPERLINK("mailto:kwanczek@crm.otsuka-europe.com", "kwanczek@crm.otsuka-europe.com")</f>
        <v>kwanczek@crm.otsuka-europe.com</v>
      </c>
      <c r="N6463" s="25">
        <v>46226.299201388887</v>
      </c>
      <c r="O6463" s="14" t="str">
        <f>HYPERLINK("https://otsuka-europe-crm.veevavault.com/ui/#object/email_activity__v/V8C00000004B353", "EN-002107366")</f>
        <v>EN-002107366</v>
      </c>
    </row>
    <row r="6464" spans="1:15" ht="16" x14ac:dyDescent="0.2">
      <c r="A6464" s="19"/>
      <c r="B6464" s="19"/>
      <c r="C6464" s="19"/>
      <c r="D6464" s="19"/>
      <c r="E6464" s="19"/>
      <c r="F6464" s="19"/>
      <c r="G6464" s="19"/>
      <c r="H6464" s="19"/>
      <c r="I6464" s="19"/>
      <c r="J6464" s="19"/>
      <c r="K6464" s="19"/>
      <c r="L6464" s="19"/>
      <c r="M6464" s="19"/>
      <c r="N6464" s="19"/>
      <c r="O6464" s="14" t="str">
        <f>HYPERLINK("https://otsuka-europe-crm.veevavault.com/ui/#object/email_activity__v/V8C00000004B831", "EN-002108139")</f>
        <v>EN-002108139</v>
      </c>
    </row>
    <row r="6465" spans="1:15" ht="32" x14ac:dyDescent="0.2">
      <c r="A6465" s="7" t="str">
        <f>HYPERLINK("https://otsuka-europe-crm.veevavault.com/ui/#object/account__v/V4TZ06G6OBI68TI", "Wiebke Timm")</f>
        <v>Wiebke Timm</v>
      </c>
      <c r="B6465" s="7" t="str">
        <f>HYPERLINK("https://otsuka-europe-crm.veevavault.com/ui/#object/vcountry__v/VENZ000004SONFP", "DE")</f>
        <v>DE</v>
      </c>
      <c r="C6465" s="8" t="s">
        <v>43</v>
      </c>
      <c r="D6465" s="9" t="str">
        <f>HYPERLINK("https://otsuka-europe-crm.veevavault.com/ui/#object/approved_document__v/V5O00000001W001", "INA VAE DE – Zulassung INAQOVI Venetoclax")</f>
        <v>INA VAE DE – Zulassung INAQOVI Venetoclax</v>
      </c>
      <c r="E6465" s="10" t="str">
        <f>HYPERLINK("https://otsuka-europe-crm.veevavault.com/ui/#object/sent_email__v/VBL00000003A277", "SE-001444673")</f>
        <v>SE-001444673</v>
      </c>
      <c r="F6465" s="11"/>
      <c r="G6465" s="12">
        <v>0</v>
      </c>
      <c r="H6465" s="12">
        <v>0</v>
      </c>
      <c r="I6465" s="12">
        <v>0</v>
      </c>
      <c r="J6465" s="11"/>
      <c r="K6465" s="12">
        <v>0</v>
      </c>
      <c r="L6465" s="10" t="str">
        <f>HYPERLINK("https://otsuka-europe-crm.veevavault.com/ui/#object/approved_document__v/V5O00000001W001", "INA VAE DE – Zulassung INAQOVI Venetoclax")</f>
        <v>INA VAE DE – Zulassung INAQOVI Venetoclax</v>
      </c>
      <c r="M6465" s="10" t="str">
        <f>HYPERLINK("mailto:kwanczek@crm.otsuka-europe.com", "kwanczek@crm.otsuka-europe.com")</f>
        <v>kwanczek@crm.otsuka-europe.com</v>
      </c>
      <c r="N6465" s="13">
        <v>46226.299178240741</v>
      </c>
      <c r="O6465" s="14" t="str">
        <f>HYPERLINK("https://otsuka-europe-crm.veevavault.com/ui/#object/email_activity__v/V8C00000004C352", "EN-002107519")</f>
        <v>EN-002107519</v>
      </c>
    </row>
    <row r="6466" spans="1:15" ht="16" x14ac:dyDescent="0.2">
      <c r="A6466" s="18" t="str">
        <f>HYPERLINK("https://otsuka-europe-crm.veevavault.com/ui/#object/account__v/V4TZ0000062TAYR", "Thomas Wolff")</f>
        <v>Thomas Wolff</v>
      </c>
      <c r="B6466" s="18" t="str">
        <f>HYPERLINK("https://otsuka-europe-crm.veevavault.com/ui/#object/vcountry__v/VENZ000004SONFP", "DE")</f>
        <v>DE</v>
      </c>
      <c r="C6466" s="20" t="s">
        <v>43</v>
      </c>
      <c r="D6466" s="21" t="str">
        <f>HYPERLINK("https://otsuka-europe-crm.veevavault.com/ui/#object/approved_document__v/V5O00000001W001", "INA VAE DE – Zulassung INAQOVI Venetoclax")</f>
        <v>INA VAE DE – Zulassung INAQOVI Venetoclax</v>
      </c>
      <c r="E6466" s="22" t="str">
        <f>HYPERLINK("https://otsuka-europe-crm.veevavault.com/ui/#object/sent_email__v/VBL000000039159", "SE-001444674")</f>
        <v>SE-001444674</v>
      </c>
      <c r="F6466" s="25">
        <v>46226.299467592595</v>
      </c>
      <c r="G6466" s="24">
        <v>1</v>
      </c>
      <c r="H6466" s="24">
        <v>1</v>
      </c>
      <c r="I6466" s="24">
        <v>0</v>
      </c>
      <c r="J6466" s="23"/>
      <c r="K6466" s="24">
        <v>0</v>
      </c>
      <c r="L6466" s="22" t="str">
        <f>HYPERLINK("https://otsuka-europe-crm.veevavault.com/ui/#object/approved_document__v/V5O00000001W001", "INA VAE DE – Zulassung INAQOVI Venetoclax")</f>
        <v>INA VAE DE – Zulassung INAQOVI Venetoclax</v>
      </c>
      <c r="M6466" s="22" t="str">
        <f>HYPERLINK("mailto:kwanczek@crm.otsuka-europe.com", "kwanczek@crm.otsuka-europe.com")</f>
        <v>kwanczek@crm.otsuka-europe.com</v>
      </c>
      <c r="N6466" s="25">
        <v>46226.299201388887</v>
      </c>
      <c r="O6466" s="14" t="str">
        <f>HYPERLINK("https://otsuka-europe-crm.veevavault.com/ui/#object/email_activity__v/V8C00000004B335", "EN-002107295")</f>
        <v>EN-002107295</v>
      </c>
    </row>
    <row r="6467" spans="1:15" ht="16" x14ac:dyDescent="0.2">
      <c r="A6467" s="19"/>
      <c r="B6467" s="19"/>
      <c r="C6467" s="19"/>
      <c r="D6467" s="19"/>
      <c r="E6467" s="19"/>
      <c r="F6467" s="19"/>
      <c r="G6467" s="19"/>
      <c r="H6467" s="19"/>
      <c r="I6467" s="19"/>
      <c r="J6467" s="19"/>
      <c r="K6467" s="19"/>
      <c r="L6467" s="19"/>
      <c r="M6467" s="19"/>
      <c r="N6467" s="19"/>
      <c r="O6467" s="14" t="str">
        <f>HYPERLINK("https://otsuka-europe-crm.veevavault.com/ui/#object/email_activity__v/V8C00000004C242", "EN-002107314")</f>
        <v>EN-002107314</v>
      </c>
    </row>
    <row r="6468" spans="1:15" ht="32" x14ac:dyDescent="0.2">
      <c r="A6468" s="7" t="str">
        <f>HYPERLINK("https://otsuka-europe-crm.veevavault.com/ui/#object/account__v/V4TZ00000634VTJ", "Clemens Engels")</f>
        <v>Clemens Engels</v>
      </c>
      <c r="B6468" s="7" t="str">
        <f>HYPERLINK("https://otsuka-europe-crm.veevavault.com/ui/#object/vcountry__v/VENZ000004SONFP", "DE")</f>
        <v>DE</v>
      </c>
      <c r="C6468" s="8" t="s">
        <v>43</v>
      </c>
      <c r="D6468" s="9" t="str">
        <f>HYPERLINK("https://otsuka-europe-crm.veevavault.com/ui/#object/approved_document__v/V5O00000001W001", "INA VAE DE – Zulassung INAQOVI Venetoclax")</f>
        <v>INA VAE DE – Zulassung INAQOVI Venetoclax</v>
      </c>
      <c r="E6468" s="10" t="str">
        <f>HYPERLINK("https://otsuka-europe-crm.veevavault.com/ui/#object/sent_email__v/VBL00000003A278", "SE-001444675")</f>
        <v>SE-001444675</v>
      </c>
      <c r="F6468" s="11"/>
      <c r="G6468" s="12">
        <v>0</v>
      </c>
      <c r="H6468" s="12">
        <v>0</v>
      </c>
      <c r="I6468" s="12">
        <v>0</v>
      </c>
      <c r="J6468" s="11"/>
      <c r="K6468" s="12">
        <v>0</v>
      </c>
      <c r="L6468" s="10" t="str">
        <f>HYPERLINK("https://otsuka-europe-crm.veevavault.com/ui/#object/approved_document__v/V5O00000001W001", "INA VAE DE – Zulassung INAQOVI Venetoclax")</f>
        <v>INA VAE DE – Zulassung INAQOVI Venetoclax</v>
      </c>
      <c r="M6468" s="10" t="str">
        <f>HYPERLINK("mailto:kwanczek@crm.otsuka-europe.com", "kwanczek@crm.otsuka-europe.com")</f>
        <v>kwanczek@crm.otsuka-europe.com</v>
      </c>
      <c r="N6468" s="13">
        <v>46226.299178240741</v>
      </c>
      <c r="O6468" s="14" t="str">
        <f>HYPERLINK("https://otsuka-europe-crm.veevavault.com/ui/#object/email_activity__v/V8C00000004B334", "EN-002107294")</f>
        <v>EN-002107294</v>
      </c>
    </row>
    <row r="6469" spans="1:15" ht="16" x14ac:dyDescent="0.2">
      <c r="A6469" s="18" t="str">
        <f>HYPERLINK("https://otsuka-europe-crm.veevavault.com/ui/#object/account__v/V4TZ000006350TS", "Jens Kisro")</f>
        <v>Jens Kisro</v>
      </c>
      <c r="B6469" s="18" t="str">
        <f>HYPERLINK("https://otsuka-europe-crm.veevavault.com/ui/#object/vcountry__v/VENZ000004SONFP", "DE")</f>
        <v>DE</v>
      </c>
      <c r="C6469" s="20" t="s">
        <v>43</v>
      </c>
      <c r="D6469" s="21" t="str">
        <f>HYPERLINK("https://otsuka-europe-crm.veevavault.com/ui/#object/approved_document__v/V5O00000001W001", "INA VAE DE – Zulassung INAQOVI Venetoclax")</f>
        <v>INA VAE DE – Zulassung INAQOVI Venetoclax</v>
      </c>
      <c r="E6469" s="22" t="str">
        <f>HYPERLINK("https://otsuka-europe-crm.veevavault.com/ui/#object/sent_email__v/VBL000000039160", "SE-001444676")</f>
        <v>SE-001444676</v>
      </c>
      <c r="F6469" s="23"/>
      <c r="G6469" s="24">
        <v>0</v>
      </c>
      <c r="H6469" s="24">
        <v>0</v>
      </c>
      <c r="I6469" s="24">
        <v>0</v>
      </c>
      <c r="J6469" s="23"/>
      <c r="K6469" s="24">
        <v>0</v>
      </c>
      <c r="L6469" s="22" t="str">
        <f>HYPERLINK("https://otsuka-europe-crm.veevavault.com/ui/#object/approved_document__v/V5O00000001W001", "INA VAE DE – Zulassung INAQOVI Venetoclax")</f>
        <v>INA VAE DE – Zulassung INAQOVI Venetoclax</v>
      </c>
      <c r="M6469" s="22" t="str">
        <f>HYPERLINK("mailto:kwanczek@crm.otsuka-europe.com", "kwanczek@crm.otsuka-europe.com")</f>
        <v>kwanczek@crm.otsuka-europe.com</v>
      </c>
      <c r="N6469" s="25">
        <v>46226.299201388887</v>
      </c>
      <c r="O6469" s="14" t="str">
        <f>HYPERLINK("https://otsuka-europe-crm.veevavault.com/ui/#object/email_activity__v/V8C00000004B524", "EN-002107635")</f>
        <v>EN-002107635</v>
      </c>
    </row>
    <row r="6470" spans="1:15" ht="16" x14ac:dyDescent="0.2">
      <c r="A6470" s="19"/>
      <c r="B6470" s="19"/>
      <c r="C6470" s="19"/>
      <c r="D6470" s="19"/>
      <c r="E6470" s="19"/>
      <c r="F6470" s="19"/>
      <c r="G6470" s="19"/>
      <c r="H6470" s="19"/>
      <c r="I6470" s="19"/>
      <c r="J6470" s="19"/>
      <c r="K6470" s="19"/>
      <c r="L6470" s="19"/>
      <c r="M6470" s="19"/>
      <c r="N6470" s="19"/>
      <c r="O6470" s="14" t="str">
        <f>HYPERLINK("https://otsuka-europe-crm.veevavault.com/ui/#object/email_activity__v/V8C00000004B817", "EN-002108125")</f>
        <v>EN-002108125</v>
      </c>
    </row>
    <row r="6471" spans="1:15" ht="32" x14ac:dyDescent="0.2">
      <c r="A6471" s="7" t="str">
        <f>HYPERLINK("https://otsuka-europe-crm.veevavault.com/ui/#object/account__v/V4TZ000006353OZ", "Dirk Uthgenannt")</f>
        <v>Dirk Uthgenannt</v>
      </c>
      <c r="B6471" s="7" t="str">
        <f>HYPERLINK("https://otsuka-europe-crm.veevavault.com/ui/#object/vcountry__v/VENZ000004SONFP", "DE")</f>
        <v>DE</v>
      </c>
      <c r="C6471" s="8" t="s">
        <v>43</v>
      </c>
      <c r="D6471" s="9" t="str">
        <f>HYPERLINK("https://otsuka-europe-crm.veevavault.com/ui/#object/approved_document__v/V5O00000001W001", "INA VAE DE – Zulassung INAQOVI Venetoclax")</f>
        <v>INA VAE DE – Zulassung INAQOVI Venetoclax</v>
      </c>
      <c r="E6471" s="10" t="str">
        <f>HYPERLINK("https://otsuka-europe-crm.veevavault.com/ui/#object/sent_email__v/VBL00000003A279", "SE-001444677")</f>
        <v>SE-001444677</v>
      </c>
      <c r="F6471" s="11"/>
      <c r="G6471" s="12">
        <v>0</v>
      </c>
      <c r="H6471" s="12">
        <v>0</v>
      </c>
      <c r="I6471" s="12">
        <v>0</v>
      </c>
      <c r="J6471" s="11"/>
      <c r="K6471" s="12">
        <v>0</v>
      </c>
      <c r="L6471" s="10" t="str">
        <f>HYPERLINK("https://otsuka-europe-crm.veevavault.com/ui/#object/approved_document__v/V5O00000001W001", "INA VAE DE – Zulassung INAQOVI Venetoclax")</f>
        <v>INA VAE DE – Zulassung INAQOVI Venetoclax</v>
      </c>
      <c r="M6471" s="10" t="str">
        <f>HYPERLINK("mailto:kwanczek@crm.otsuka-europe.com", "kwanczek@crm.otsuka-europe.com")</f>
        <v>kwanczek@crm.otsuka-europe.com</v>
      </c>
      <c r="N6471" s="13">
        <v>46226.299178240741</v>
      </c>
      <c r="O6471" s="14" t="str">
        <f>HYPERLINK("https://otsuka-europe-crm.veevavault.com/ui/#object/email_activity__v/V8C00000004B455", "EN-002107563")</f>
        <v>EN-002107563</v>
      </c>
    </row>
    <row r="6472" spans="1:15" ht="32" x14ac:dyDescent="0.2">
      <c r="A6472" s="7" t="str">
        <f>HYPERLINK("https://otsuka-europe-crm.veevavault.com/ui/#object/account__v/V4TZ0000062T9UD", "Hans Salwender")</f>
        <v>Hans Salwender</v>
      </c>
      <c r="B6472" s="7" t="str">
        <f>HYPERLINK("https://otsuka-europe-crm.veevavault.com/ui/#object/vcountry__v/VENZ000004SONFP", "DE")</f>
        <v>DE</v>
      </c>
      <c r="C6472" s="8" t="s">
        <v>43</v>
      </c>
      <c r="D6472" s="9" t="str">
        <f>HYPERLINK("https://otsuka-europe-crm.veevavault.com/ui/#object/approved_document__v/V5O00000001W001", "INA VAE DE – Zulassung INAQOVI Venetoclax")</f>
        <v>INA VAE DE – Zulassung INAQOVI Venetoclax</v>
      </c>
      <c r="E6472" s="10" t="str">
        <f>HYPERLINK("https://otsuka-europe-crm.veevavault.com/ui/#object/sent_email__v/VBL000000039161", "SE-001444678")</f>
        <v>SE-001444678</v>
      </c>
      <c r="F6472" s="11"/>
      <c r="G6472" s="12">
        <v>0</v>
      </c>
      <c r="H6472" s="12">
        <v>0</v>
      </c>
      <c r="I6472" s="12">
        <v>0</v>
      </c>
      <c r="J6472" s="11"/>
      <c r="K6472" s="12">
        <v>0</v>
      </c>
      <c r="L6472" s="10" t="str">
        <f>HYPERLINK("https://otsuka-europe-crm.veevavault.com/ui/#object/approved_document__v/V5O00000001W001", "INA VAE DE – Zulassung INAQOVI Venetoclax")</f>
        <v>INA VAE DE – Zulassung INAQOVI Venetoclax</v>
      </c>
      <c r="M6472" s="10" t="str">
        <f>HYPERLINK("mailto:kwanczek@crm.otsuka-europe.com", "kwanczek@crm.otsuka-europe.com")</f>
        <v>kwanczek@crm.otsuka-europe.com</v>
      </c>
      <c r="N6472" s="13">
        <v>46226.299201388887</v>
      </c>
      <c r="O6472" s="14" t="str">
        <f>HYPERLINK("https://otsuka-europe-crm.veevavault.com/ui/#object/email_activity__v/V8C00000004B404", "EN-002107418")</f>
        <v>EN-002107418</v>
      </c>
    </row>
    <row r="6473" spans="1:15" ht="48" x14ac:dyDescent="0.2">
      <c r="A6473" s="7" t="str">
        <f>HYPERLINK("https://otsuka-europe-crm.veevavault.com/ui/#object/account__v/V4TZ06G6O8S4SM4", "ANDREA DORIA")</f>
        <v>ANDREA DORIA</v>
      </c>
      <c r="B6473" s="7" t="str">
        <f>HYPERLINK("https://otsuka-europe-crm.veevavault.com/ui/#object/vcountry__v/VENZ000004SONFQ", "IT")</f>
        <v>IT</v>
      </c>
      <c r="C6473" s="8" t="s">
        <v>42</v>
      </c>
      <c r="D6473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473" s="10" t="str">
        <f>HYPERLINK("https://otsuka-europe-crm.veevavault.com/ui/#object/sent_email__v/VBL00000003A280", "SE-001444679")</f>
        <v>SE-001444679</v>
      </c>
      <c r="F6473" s="11"/>
      <c r="G6473" s="12">
        <v>0</v>
      </c>
      <c r="H6473" s="12">
        <v>0</v>
      </c>
      <c r="I6473" s="12">
        <v>0</v>
      </c>
      <c r="J6473" s="11"/>
      <c r="K6473" s="12">
        <v>0</v>
      </c>
      <c r="L6473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473" s="10" t="str">
        <f>HYPERLINK("mailto:matteo.digennaro@crm.otsuka-europe.com", "matteo.digennaro@crm.otsuka-europe.com")</f>
        <v>matteo.digennaro@crm.otsuka-europe.com</v>
      </c>
      <c r="N6473" s="13">
        <v>46226.29923611111</v>
      </c>
      <c r="O6473" s="14" t="str">
        <f>HYPERLINK("https://otsuka-europe-crm.veevavault.com/ui/#object/email_activity__v/V8C00000004B428", "EN-002107441")</f>
        <v>EN-002107441</v>
      </c>
    </row>
    <row r="6474" spans="1:15" ht="16" x14ac:dyDescent="0.2">
      <c r="A6474" s="18" t="str">
        <f>HYPERLINK("https://otsuka-europe-crm.veevavault.com/ui/#object/account__v/V4TZ06G6O8S4SM4", "ANDREA DORIA")</f>
        <v>ANDREA DORIA</v>
      </c>
      <c r="B6474" s="18" t="str">
        <f>HYPERLINK("https://otsuka-europe-crm.veevavault.com/ui/#object/vcountry__v/VENZ000004SONFQ", "IT")</f>
        <v>IT</v>
      </c>
      <c r="C6474" s="20" t="s">
        <v>42</v>
      </c>
      <c r="D6474" s="21" t="str">
        <f>HYPERLINK("https://otsuka-europe-crm.veevavault.com/ui/#object/approved_document__v/V5OZ025E82RR47U", "AE Focus pz prevalenti- IT-LUP-2500005 Reuma")</f>
        <v>AE Focus pz prevalenti- IT-LUP-2500005 Reuma</v>
      </c>
      <c r="E6474" s="22" t="str">
        <f>HYPERLINK("https://otsuka-europe-crm.veevavault.com/ui/#object/sent_email__v/VBL00000003A281", "SE-001444680")</f>
        <v>SE-001444680</v>
      </c>
      <c r="F6474" s="23"/>
      <c r="G6474" s="24">
        <v>0</v>
      </c>
      <c r="H6474" s="24">
        <v>0</v>
      </c>
      <c r="I6474" s="24">
        <v>0</v>
      </c>
      <c r="J6474" s="23"/>
      <c r="K6474" s="24">
        <v>0</v>
      </c>
      <c r="L6474" s="22" t="str">
        <f>HYPERLINK("https://otsuka-europe-crm.veevavault.com/ui/#object/approved_document__v/V5OZ025E82RR47U", "AE Focus pz prevalenti- IT-LUP-2500005 Reuma")</f>
        <v>AE Focus pz prevalenti- IT-LUP-2500005 Reuma</v>
      </c>
      <c r="M6474" s="22" t="str">
        <f>HYPERLINK("mailto:matteo.digennaro@crm.otsuka-europe.com", "matteo.digennaro@crm.otsuka-europe.com")</f>
        <v>matteo.digennaro@crm.otsuka-europe.com</v>
      </c>
      <c r="N6474" s="25">
        <v>46226.299189814818</v>
      </c>
      <c r="O6474" s="14" t="str">
        <f>HYPERLINK("https://otsuka-europe-crm.veevavault.com/ui/#object/email_activity__v/V8C00000004B614", "EN-002107725")</f>
        <v>EN-002107725</v>
      </c>
    </row>
    <row r="6475" spans="1:15" ht="16" x14ac:dyDescent="0.2">
      <c r="A6475" s="19"/>
      <c r="B6475" s="19"/>
      <c r="C6475" s="19"/>
      <c r="D6475" s="19"/>
      <c r="E6475" s="19"/>
      <c r="F6475" s="19"/>
      <c r="G6475" s="19"/>
      <c r="H6475" s="19"/>
      <c r="I6475" s="19"/>
      <c r="J6475" s="19"/>
      <c r="K6475" s="19"/>
      <c r="L6475" s="19"/>
      <c r="M6475" s="19"/>
      <c r="N6475" s="19"/>
      <c r="O6475" s="14" t="str">
        <f>HYPERLINK("https://otsuka-europe-crm.veevavault.com/ui/#object/email_activity__v/V8C00000004B673", "EN-002107800")</f>
        <v>EN-002107800</v>
      </c>
    </row>
    <row r="6476" spans="1:15" ht="32" x14ac:dyDescent="0.2">
      <c r="A6476" s="7" t="str">
        <f>HYPERLINK("https://otsuka-europe-crm.veevavault.com/ui/#object/account__v/V4TZ06G6O8S4SM4", "ANDREA DORIA")</f>
        <v>ANDREA DORIA</v>
      </c>
      <c r="B6476" s="7" t="str">
        <f>HYPERLINK("https://otsuka-europe-crm.veevavault.com/ui/#object/vcountry__v/VENZ000004SONFQ", "IT")</f>
        <v>IT</v>
      </c>
      <c r="C6476" s="8" t="s">
        <v>42</v>
      </c>
      <c r="D6476" s="9" t="str">
        <f>HYPERLINK("https://otsuka-europe-crm.veevavault.com/ui/#object/approved_document__v/V5OZ025E82RR47L", "RTE Proteinuria C1 - IT-LUP-2500006 - Reuma")</f>
        <v>RTE Proteinuria C1 - IT-LUP-2500006 - Reuma</v>
      </c>
      <c r="E6476" s="10" t="str">
        <f>HYPERLINK("https://otsuka-europe-crm.veevavault.com/ui/#object/sent_email__v/VBL00000003A282", "SE-001444681")</f>
        <v>SE-001444681</v>
      </c>
      <c r="F6476" s="11"/>
      <c r="G6476" s="12">
        <v>0</v>
      </c>
      <c r="H6476" s="12">
        <v>0</v>
      </c>
      <c r="I6476" s="12">
        <v>0</v>
      </c>
      <c r="J6476" s="11"/>
      <c r="K6476" s="12">
        <v>0</v>
      </c>
      <c r="L6476" s="10" t="str">
        <f>HYPERLINK("https://otsuka-europe-crm.veevavault.com/ui/#object/approved_document__v/V5OZ025E82RR47L", "RTE Proteinuria C1 - IT-LUP-2500006 - Reuma")</f>
        <v>RTE Proteinuria C1 - IT-LUP-2500006 - Reuma</v>
      </c>
      <c r="M6476" s="10" t="str">
        <f>HYPERLINK("mailto:matteo.digennaro@crm.otsuka-europe.com", "matteo.digennaro@crm.otsuka-europe.com")</f>
        <v>matteo.digennaro@crm.otsuka-europe.com</v>
      </c>
      <c r="N6476" s="13">
        <v>46226.29928240741</v>
      </c>
      <c r="O6476" s="14" t="str">
        <f>HYPERLINK("https://otsuka-europe-crm.veevavault.com/ui/#object/email_activity__v/V8C00000004C299", "EN-002107464")</f>
        <v>EN-002107464</v>
      </c>
    </row>
    <row r="6477" spans="1:15" ht="16" x14ac:dyDescent="0.2">
      <c r="A6477" s="18" t="str">
        <f>HYPERLINK("https://otsuka-europe-crm.veevavault.com/ui/#object/account__v/V4TZ06G6O8S4SM4", "ANDREA DORIA")</f>
        <v>ANDREA DORIA</v>
      </c>
      <c r="B6477" s="18" t="str">
        <f>HYPERLINK("https://otsuka-europe-crm.veevavault.com/ui/#object/vcountry__v/VENZ000004SONFQ", "IT")</f>
        <v>IT</v>
      </c>
      <c r="C6477" s="20" t="s">
        <v>42</v>
      </c>
      <c r="D6477" s="21" t="str">
        <f>HYPERLINK("https://otsuka-europe-crm.veevavault.com/ui/#object/approved_document__v/V5OZ025E82RR47W", "AE Propensity Analysis- IT-LUP-2500004 Reuma")</f>
        <v>AE Propensity Analysis- IT-LUP-2500004 Reuma</v>
      </c>
      <c r="E6477" s="22" t="str">
        <f>HYPERLINK("https://otsuka-europe-crm.veevavault.com/ui/#object/sent_email__v/VBL00000003A283", "SE-001444682")</f>
        <v>SE-001444682</v>
      </c>
      <c r="F6477" s="25">
        <v>46226.65351851852</v>
      </c>
      <c r="G6477" s="24">
        <v>1</v>
      </c>
      <c r="H6477" s="24">
        <v>1</v>
      </c>
      <c r="I6477" s="24">
        <v>0</v>
      </c>
      <c r="J6477" s="23"/>
      <c r="K6477" s="24">
        <v>0</v>
      </c>
      <c r="L6477" s="22" t="str">
        <f>HYPERLINK("https://otsuka-europe-crm.veevavault.com/ui/#object/approved_document__v/V5OZ025E82RR47W", "AE Propensity Analysis- IT-LUP-2500004 Reuma")</f>
        <v>AE Propensity Analysis- IT-LUP-2500004 Reuma</v>
      </c>
      <c r="M6477" s="22" t="str">
        <f>HYPERLINK("mailto:matteo.digennaro@crm.otsuka-europe.com", "matteo.digennaro@crm.otsuka-europe.com")</f>
        <v>matteo.digennaro@crm.otsuka-europe.com</v>
      </c>
      <c r="N6477" s="25">
        <v>46226.29923611111</v>
      </c>
      <c r="O6477" s="14" t="str">
        <f>HYPERLINK("https://otsuka-europe-crm.veevavault.com/ui/#object/email_activity__v/V8C00000004B615", "EN-002107726")</f>
        <v>EN-002107726</v>
      </c>
    </row>
    <row r="6478" spans="1:15" ht="16" x14ac:dyDescent="0.2">
      <c r="A6478" s="26"/>
      <c r="B6478" s="26"/>
      <c r="C6478" s="26"/>
      <c r="D6478" s="26"/>
      <c r="E6478" s="26"/>
      <c r="F6478" s="26"/>
      <c r="G6478" s="26"/>
      <c r="H6478" s="26"/>
      <c r="I6478" s="26"/>
      <c r="J6478" s="26"/>
      <c r="K6478" s="26"/>
      <c r="L6478" s="26"/>
      <c r="M6478" s="26"/>
      <c r="N6478" s="26"/>
      <c r="O6478" s="14" t="str">
        <f>HYPERLINK("https://otsuka-europe-crm.veevavault.com/ui/#object/email_activity__v/V8C00000004B796", "EN-002108104")</f>
        <v>EN-002108104</v>
      </c>
    </row>
    <row r="6479" spans="1:15" ht="16" x14ac:dyDescent="0.2">
      <c r="A6479" s="19"/>
      <c r="B6479" s="19"/>
      <c r="C6479" s="19"/>
      <c r="D6479" s="19"/>
      <c r="E6479" s="19"/>
      <c r="F6479" s="19"/>
      <c r="G6479" s="19"/>
      <c r="H6479" s="19"/>
      <c r="I6479" s="19"/>
      <c r="J6479" s="19"/>
      <c r="K6479" s="19"/>
      <c r="L6479" s="19"/>
      <c r="M6479" s="19"/>
      <c r="N6479" s="19"/>
      <c r="O6479" s="14" t="str">
        <f>HYPERLINK("https://otsuka-europe-crm.veevavault.com/ui/#object/email_activity__v/V8C00000004C495", "EN-002107975")</f>
        <v>EN-002107975</v>
      </c>
    </row>
    <row r="6480" spans="1:15" ht="32" x14ac:dyDescent="0.2">
      <c r="A6480" s="7" t="str">
        <f>HYPERLINK("https://otsuka-europe-crm.veevavault.com/ui/#object/account__v/V4TZ06G6O8S4SM4", "ANDREA DORIA")</f>
        <v>ANDREA DORIA</v>
      </c>
      <c r="B6480" s="7" t="str">
        <f>HYPERLINK("https://otsuka-europe-crm.veevavault.com/ui/#object/vcountry__v/VENZ000004SONFQ", "IT")</f>
        <v>IT</v>
      </c>
      <c r="C6480" s="8" t="s">
        <v>42</v>
      </c>
      <c r="D6480" s="9" t="str">
        <f>HYPERLINK("https://otsuka-europe-crm.veevavault.com/ui/#object/approved_document__v/V5OZ025E82RRA5M", "AURORA 2 - AE RHEUMA")</f>
        <v>AURORA 2 - AE RHEUMA</v>
      </c>
      <c r="E6480" s="10" t="str">
        <f>HYPERLINK("https://otsuka-europe-crm.veevavault.com/ui/#object/sent_email__v/VBL00000003A284", "SE-001444683")</f>
        <v>SE-001444683</v>
      </c>
      <c r="F6480" s="11"/>
      <c r="G6480" s="12">
        <v>0</v>
      </c>
      <c r="H6480" s="12">
        <v>0</v>
      </c>
      <c r="I6480" s="12">
        <v>0</v>
      </c>
      <c r="J6480" s="11"/>
      <c r="K6480" s="12">
        <v>0</v>
      </c>
      <c r="L6480" s="10" t="str">
        <f>HYPERLINK("https://otsuka-europe-crm.veevavault.com/ui/#object/approved_document__v/V5OZ025E82RRA5M", "AURORA 2 - AE RHEUMA")</f>
        <v>AURORA 2 - AE RHEUMA</v>
      </c>
      <c r="M6480" s="10" t="str">
        <f>HYPERLINK("mailto:matteo.digennaro@crm.otsuka-europe.com", "matteo.digennaro@crm.otsuka-europe.com")</f>
        <v>matteo.digennaro@crm.otsuka-europe.com</v>
      </c>
      <c r="N6480" s="13">
        <v>46226.299189814818</v>
      </c>
      <c r="O6480" s="14" t="str">
        <f>HYPERLINK("https://otsuka-europe-crm.veevavault.com/ui/#object/email_activity__v/V8C00000004C315", "EN-002107481")</f>
        <v>EN-002107481</v>
      </c>
    </row>
    <row r="6481" spans="1:15" ht="32" x14ac:dyDescent="0.2">
      <c r="A6481" s="7" t="str">
        <f>HYPERLINK("https://otsuka-europe-crm.veevavault.com/ui/#object/account__v/V4TZ06G6O71SAZN", "GIANNI CARRARO")</f>
        <v>GIANNI CARRARO</v>
      </c>
      <c r="B6481" s="7" t="str">
        <f>HYPERLINK("https://otsuka-europe-crm.veevavault.com/ui/#object/vcountry__v/VENZ000004SONFQ", "IT")</f>
        <v>IT</v>
      </c>
      <c r="C6481" s="8" t="s">
        <v>42</v>
      </c>
      <c r="D6481" s="9" t="str">
        <f>HYPERLINK("https://otsuka-europe-crm.veevavault.com/ui/#object/approved_document__v/V5OZ025E82RRA5I", "AURORA 2 - AE NEPHRO")</f>
        <v>AURORA 2 - AE NEPHRO</v>
      </c>
      <c r="E6481" s="10" t="str">
        <f>HYPERLINK("https://otsuka-europe-crm.veevavault.com/ui/#object/sent_email__v/VBL00000003A285", "SE-001444684")</f>
        <v>SE-001444684</v>
      </c>
      <c r="F6481" s="11"/>
      <c r="G6481" s="12">
        <v>0</v>
      </c>
      <c r="H6481" s="12">
        <v>0</v>
      </c>
      <c r="I6481" s="12">
        <v>0</v>
      </c>
      <c r="J6481" s="11"/>
      <c r="K6481" s="12">
        <v>0</v>
      </c>
      <c r="L6481" s="10" t="str">
        <f>HYPERLINK("https://otsuka-europe-crm.veevavault.com/ui/#object/approved_document__v/V5OZ025E82RRA5I", "AURORA 2 - AE NEPHRO")</f>
        <v>AURORA 2 - AE NEPHRO</v>
      </c>
      <c r="M6481" s="10" t="str">
        <f>HYPERLINK("mailto:matteo.digennaro@crm.otsuka-europe.com", "matteo.digennaro@crm.otsuka-europe.com")</f>
        <v>matteo.digennaro@crm.otsuka-europe.com</v>
      </c>
      <c r="N6481" s="13">
        <v>46226.299293981479</v>
      </c>
      <c r="O6481" s="14" t="str">
        <f>HYPERLINK("https://otsuka-europe-crm.veevavault.com/ui/#object/email_activity__v/V8C00000004B373", "EN-002107386")</f>
        <v>EN-002107386</v>
      </c>
    </row>
    <row r="6482" spans="1:15" ht="16" x14ac:dyDescent="0.2">
      <c r="A6482" s="18" t="str">
        <f>HYPERLINK("https://otsuka-europe-crm.veevavault.com/ui/#object/account__v/V4TZ06G6O71SAZN", "GIANNI CARRARO")</f>
        <v>GIANNI CARRARO</v>
      </c>
      <c r="B6482" s="18" t="str">
        <f>HYPERLINK("https://otsuka-europe-crm.veevavault.com/ui/#object/vcountry__v/VENZ000004SONFQ", "IT")</f>
        <v>IT</v>
      </c>
      <c r="C6482" s="20" t="s">
        <v>42</v>
      </c>
      <c r="D6482" s="21" t="str">
        <f>HYPERLINK("https://otsuka-europe-crm.veevavault.com/ui/#object/approved_document__v/V5OZ025E82RR47S", "AE Focus pz prevalenti- IT-LUP-2500005 Nefro")</f>
        <v>AE Focus pz prevalenti- IT-LUP-2500005 Nefro</v>
      </c>
      <c r="E6482" s="22" t="str">
        <f>HYPERLINK("https://otsuka-europe-crm.veevavault.com/ui/#object/sent_email__v/VBL000000039162", "SE-001444685")</f>
        <v>SE-001444685</v>
      </c>
      <c r="F6482" s="23"/>
      <c r="G6482" s="24">
        <v>0</v>
      </c>
      <c r="H6482" s="24">
        <v>0</v>
      </c>
      <c r="I6482" s="24">
        <v>0</v>
      </c>
      <c r="J6482" s="23"/>
      <c r="K6482" s="24">
        <v>0</v>
      </c>
      <c r="L6482" s="22" t="str">
        <f>HYPERLINK("https://otsuka-europe-crm.veevavault.com/ui/#object/approved_document__v/V5OZ025E82RR47S", "AE Focus pz prevalenti- IT-LUP-2500005 Nefro")</f>
        <v>AE Focus pz prevalenti- IT-LUP-2500005 Nefro</v>
      </c>
      <c r="M6482" s="22" t="str">
        <f>HYPERLINK("mailto:matteo.digennaro@crm.otsuka-europe.com", "matteo.digennaro@crm.otsuka-europe.com")</f>
        <v>matteo.digennaro@crm.otsuka-europe.com</v>
      </c>
      <c r="N6482" s="25">
        <v>46226.299247685187</v>
      </c>
      <c r="O6482" s="14" t="str">
        <f>HYPERLINK("https://otsuka-europe-crm.veevavault.com/ui/#object/email_activity__v/V8C00000004B525", "EN-002107636")</f>
        <v>EN-002107636</v>
      </c>
    </row>
    <row r="6483" spans="1:15" ht="16" x14ac:dyDescent="0.2">
      <c r="A6483" s="19"/>
      <c r="B6483" s="19"/>
      <c r="C6483" s="19"/>
      <c r="D6483" s="19"/>
      <c r="E6483" s="19"/>
      <c r="F6483" s="19"/>
      <c r="G6483" s="19"/>
      <c r="H6483" s="19"/>
      <c r="I6483" s="19"/>
      <c r="J6483" s="19"/>
      <c r="K6483" s="19"/>
      <c r="L6483" s="19"/>
      <c r="M6483" s="19"/>
      <c r="N6483" s="19"/>
      <c r="O6483" s="14" t="str">
        <f>HYPERLINK("https://otsuka-europe-crm.veevavault.com/ui/#object/email_activity__v/V8C00000004B885", "EN-002108196")</f>
        <v>EN-002108196</v>
      </c>
    </row>
    <row r="6484" spans="1:15" ht="16" x14ac:dyDescent="0.2">
      <c r="A6484" s="18" t="str">
        <f>HYPERLINK("https://otsuka-europe-crm.veevavault.com/ui/#object/account__v/V4TZ06G6O71SAZN", "GIANNI CARRARO")</f>
        <v>GIANNI CARRARO</v>
      </c>
      <c r="B6484" s="18" t="str">
        <f>HYPERLINK("https://otsuka-europe-crm.veevavault.com/ui/#object/vcountry__v/VENZ000004SONFQ", "IT")</f>
        <v>IT</v>
      </c>
      <c r="C6484" s="20" t="s">
        <v>42</v>
      </c>
      <c r="D6484" s="21" t="str">
        <f>HYPERLINK("https://otsuka-europe-crm.veevavault.com/ui/#object/approved_document__v/V5OZ025E82RR47T", "AE Propensity Analysis- IT-LUP-2500004 Nefro")</f>
        <v>AE Propensity Analysis- IT-LUP-2500004 Nefro</v>
      </c>
      <c r="E6484" s="22" t="str">
        <f>HYPERLINK("https://otsuka-europe-crm.veevavault.com/ui/#object/sent_email__v/VBL000000039163", "SE-001444686")</f>
        <v>SE-001444686</v>
      </c>
      <c r="F6484" s="23"/>
      <c r="G6484" s="24">
        <v>0</v>
      </c>
      <c r="H6484" s="24">
        <v>0</v>
      </c>
      <c r="I6484" s="24">
        <v>0</v>
      </c>
      <c r="J6484" s="23"/>
      <c r="K6484" s="24">
        <v>0</v>
      </c>
      <c r="L6484" s="22" t="str">
        <f>HYPERLINK("https://otsuka-europe-crm.veevavault.com/ui/#object/approved_document__v/V5OZ025E82RR47T", "AE Propensity Analysis- IT-LUP-2500004 Nefro")</f>
        <v>AE Propensity Analysis- IT-LUP-2500004 Nefro</v>
      </c>
      <c r="M6484" s="22" t="str">
        <f>HYPERLINK("mailto:matteo.digennaro@crm.otsuka-europe.com", "matteo.digennaro@crm.otsuka-europe.com")</f>
        <v>matteo.digennaro@crm.otsuka-europe.com</v>
      </c>
      <c r="N6484" s="25">
        <v>46226.29923611111</v>
      </c>
      <c r="O6484" s="14" t="str">
        <f>HYPERLINK("https://otsuka-europe-crm.veevavault.com/ui/#object/email_activity__v/V8C00000004B526", "EN-002107637")</f>
        <v>EN-002107637</v>
      </c>
    </row>
    <row r="6485" spans="1:15" ht="16" x14ac:dyDescent="0.2">
      <c r="A6485" s="19"/>
      <c r="B6485" s="19"/>
      <c r="C6485" s="19"/>
      <c r="D6485" s="19"/>
      <c r="E6485" s="19"/>
      <c r="F6485" s="19"/>
      <c r="G6485" s="19"/>
      <c r="H6485" s="19"/>
      <c r="I6485" s="19"/>
      <c r="J6485" s="19"/>
      <c r="K6485" s="19"/>
      <c r="L6485" s="19"/>
      <c r="M6485" s="19"/>
      <c r="N6485" s="19"/>
      <c r="O6485" s="14" t="str">
        <f>HYPERLINK("https://otsuka-europe-crm.veevavault.com/ui/#object/email_activity__v/V8C00000004C563", "EN-002108073")</f>
        <v>EN-002108073</v>
      </c>
    </row>
    <row r="6486" spans="1:15" ht="32" x14ac:dyDescent="0.2">
      <c r="A6486" s="7" t="str">
        <f>HYPERLINK("https://otsuka-europe-crm.veevavault.com/ui/#object/account__v/V4TZ06G6O71SAZN", "GIANNI CARRARO")</f>
        <v>GIANNI CARRARO</v>
      </c>
      <c r="B6486" s="7" t="str">
        <f>HYPERLINK("https://otsuka-europe-crm.veevavault.com/ui/#object/vcountry__v/VENZ000004SONFQ", "IT")</f>
        <v>IT</v>
      </c>
      <c r="C6486" s="8" t="s">
        <v>42</v>
      </c>
      <c r="D6486" s="9" t="str">
        <f>HYPERLINK("https://otsuka-europe-crm.veevavault.com/ui/#object/approved_document__v/V5OZ025E82RR480", "RTE Proteinuria C1 - IT-LUP-2500006 - Nephro")</f>
        <v>RTE Proteinuria C1 - IT-LUP-2500006 - Nephro</v>
      </c>
      <c r="E6486" s="10" t="str">
        <f>HYPERLINK("https://otsuka-europe-crm.veevavault.com/ui/#object/sent_email__v/VBL00000003A286", "SE-001444687")</f>
        <v>SE-001444687</v>
      </c>
      <c r="F6486" s="11"/>
      <c r="G6486" s="12">
        <v>0</v>
      </c>
      <c r="H6486" s="12">
        <v>0</v>
      </c>
      <c r="I6486" s="12">
        <v>0</v>
      </c>
      <c r="J6486" s="11"/>
      <c r="K6486" s="12">
        <v>0</v>
      </c>
      <c r="L6486" s="10" t="str">
        <f>HYPERLINK("https://otsuka-europe-crm.veevavault.com/ui/#object/approved_document__v/V5OZ025E82RR480", "RTE Proteinuria C1 - IT-LUP-2500006 - Nephro")</f>
        <v>RTE Proteinuria C1 - IT-LUP-2500006 - Nephro</v>
      </c>
      <c r="M6486" s="10" t="str">
        <f>HYPERLINK("mailto:matteo.digennaro@crm.otsuka-europe.com", "matteo.digennaro@crm.otsuka-europe.com")</f>
        <v>matteo.digennaro@crm.otsuka-europe.com</v>
      </c>
      <c r="N6486" s="13">
        <v>46226.299224537041</v>
      </c>
      <c r="O6486" s="14" t="str">
        <f>HYPERLINK("https://otsuka-europe-crm.veevavault.com/ui/#object/email_activity__v/V8C00000004B429", "EN-002107442")</f>
        <v>EN-002107442</v>
      </c>
    </row>
    <row r="6487" spans="1:15" ht="16" x14ac:dyDescent="0.2">
      <c r="A6487" s="18" t="str">
        <f>HYPERLINK("https://otsuka-europe-crm.veevavault.com/ui/#object/account__v/V4TZ06G6O71SAZN", "GIANNI CARRARO")</f>
        <v>GIANNI CARRARO</v>
      </c>
      <c r="B6487" s="18" t="str">
        <f>HYPERLINK("https://otsuka-europe-crm.veevavault.com/ui/#object/vcountry__v/VENZ000004SONFQ", "IT")</f>
        <v>IT</v>
      </c>
      <c r="C6487" s="20" t="s">
        <v>42</v>
      </c>
      <c r="D6487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487" s="22" t="str">
        <f>HYPERLINK("https://otsuka-europe-crm.veevavault.com/ui/#object/sent_email__v/VBL00000003A287", "SE-001444688")</f>
        <v>SE-001444688</v>
      </c>
      <c r="F6487" s="23"/>
      <c r="G6487" s="24">
        <v>0</v>
      </c>
      <c r="H6487" s="24">
        <v>0</v>
      </c>
      <c r="I6487" s="24">
        <v>0</v>
      </c>
      <c r="J6487" s="23"/>
      <c r="K6487" s="24">
        <v>0</v>
      </c>
      <c r="L6487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487" s="22" t="str">
        <f>HYPERLINK("mailto:matteo.digennaro@crm.otsuka-europe.com", "matteo.digennaro@crm.otsuka-europe.com")</f>
        <v>matteo.digennaro@crm.otsuka-europe.com</v>
      </c>
      <c r="N6487" s="25">
        <v>46226.29923611111</v>
      </c>
      <c r="O6487" s="14" t="str">
        <f>HYPERLINK("https://otsuka-europe-crm.veevavault.com/ui/#object/email_activity__v/V8C00000004B616", "EN-002107727")</f>
        <v>EN-002107727</v>
      </c>
    </row>
    <row r="6488" spans="1:15" ht="16" x14ac:dyDescent="0.2">
      <c r="A6488" s="19"/>
      <c r="B6488" s="19"/>
      <c r="C6488" s="19"/>
      <c r="D6488" s="19"/>
      <c r="E6488" s="19"/>
      <c r="F6488" s="19"/>
      <c r="G6488" s="19"/>
      <c r="H6488" s="19"/>
      <c r="I6488" s="19"/>
      <c r="J6488" s="19"/>
      <c r="K6488" s="19"/>
      <c r="L6488" s="19"/>
      <c r="M6488" s="19"/>
      <c r="N6488" s="19"/>
      <c r="O6488" s="14" t="str">
        <f>HYPERLINK("https://otsuka-europe-crm.veevavault.com/ui/#object/email_activity__v/V8C00000004C551", "EN-002108061")</f>
        <v>EN-002108061</v>
      </c>
    </row>
    <row r="6489" spans="1:15" ht="16" x14ac:dyDescent="0.2">
      <c r="A6489" s="18" t="str">
        <f>HYPERLINK("https://otsuka-europe-crm.veevavault.com/ui/#object/account__v/V4TZ06G6O71SA3Z", "ANNA BASSO")</f>
        <v>ANNA BASSO</v>
      </c>
      <c r="B6489" s="18" t="str">
        <f>HYPERLINK("https://otsuka-europe-crm.veevavault.com/ui/#object/vcountry__v/VENZ000004SONFQ", "IT")</f>
        <v>IT</v>
      </c>
      <c r="C6489" s="20" t="s">
        <v>42</v>
      </c>
      <c r="D6489" s="21" t="str">
        <f>HYPERLINK("https://otsuka-europe-crm.veevavault.com/ui/#object/approved_document__v/V5OZ025E82RRA5I", "AURORA 2 - AE NEPHRO")</f>
        <v>AURORA 2 - AE NEPHRO</v>
      </c>
      <c r="E6489" s="22" t="str">
        <f>HYPERLINK("https://otsuka-europe-crm.veevavault.com/ui/#object/sent_email__v/VBL00000003A288", "SE-001444689")</f>
        <v>SE-001444689</v>
      </c>
      <c r="F6489" s="23"/>
      <c r="G6489" s="24">
        <v>0</v>
      </c>
      <c r="H6489" s="24">
        <v>0</v>
      </c>
      <c r="I6489" s="24">
        <v>0</v>
      </c>
      <c r="J6489" s="23"/>
      <c r="K6489" s="24">
        <v>0</v>
      </c>
      <c r="L6489" s="22" t="str">
        <f>HYPERLINK("https://otsuka-europe-crm.veevavault.com/ui/#object/approved_document__v/V5OZ025E82RRA5I", "AURORA 2 - AE NEPHRO")</f>
        <v>AURORA 2 - AE NEPHRO</v>
      </c>
      <c r="M6489" s="22" t="str">
        <f>HYPERLINK("mailto:matteo.digennaro@crm.otsuka-europe.com", "matteo.digennaro@crm.otsuka-europe.com")</f>
        <v>matteo.digennaro@crm.otsuka-europe.com</v>
      </c>
      <c r="N6489" s="25">
        <v>46226.299189814818</v>
      </c>
      <c r="O6489" s="14" t="str">
        <f>HYPERLINK("https://otsuka-europe-crm.veevavault.com/ui/#object/email_activity__v/V8C00000004B617", "EN-002107728")</f>
        <v>EN-002107728</v>
      </c>
    </row>
    <row r="6490" spans="1:15" ht="16" x14ac:dyDescent="0.2">
      <c r="A6490" s="19"/>
      <c r="B6490" s="19"/>
      <c r="C6490" s="19"/>
      <c r="D6490" s="19"/>
      <c r="E6490" s="19"/>
      <c r="F6490" s="19"/>
      <c r="G6490" s="19"/>
      <c r="H6490" s="19"/>
      <c r="I6490" s="19"/>
      <c r="J6490" s="19"/>
      <c r="K6490" s="19"/>
      <c r="L6490" s="19"/>
      <c r="M6490" s="19"/>
      <c r="N6490" s="19"/>
      <c r="O6490" s="14" t="str">
        <f>HYPERLINK("https://otsuka-europe-crm.veevavault.com/ui/#object/email_activity__v/V8C00000004B810", "EN-002108118")</f>
        <v>EN-002108118</v>
      </c>
    </row>
    <row r="6491" spans="1:15" ht="32" x14ac:dyDescent="0.2">
      <c r="A6491" s="7" t="str">
        <f>HYPERLINK("https://otsuka-europe-crm.veevavault.com/ui/#object/account__v/V4TZ06G6O71SA3Z", "ANNA BASSO")</f>
        <v>ANNA BASSO</v>
      </c>
      <c r="B6491" s="7" t="str">
        <f>HYPERLINK("https://otsuka-europe-crm.veevavault.com/ui/#object/vcountry__v/VENZ000004SONFQ", "IT")</f>
        <v>IT</v>
      </c>
      <c r="C6491" s="8" t="s">
        <v>42</v>
      </c>
      <c r="D6491" s="9" t="str">
        <f>HYPERLINK("https://otsuka-europe-crm.veevavault.com/ui/#object/approved_document__v/V5OZ025E82RR47S", "AE Focus pz prevalenti- IT-LUP-2500005 Nefro")</f>
        <v>AE Focus pz prevalenti- IT-LUP-2500005 Nefro</v>
      </c>
      <c r="E6491" s="10" t="str">
        <f>HYPERLINK("https://otsuka-europe-crm.veevavault.com/ui/#object/sent_email__v/VBL000000039164", "SE-001444690")</f>
        <v>SE-001444690</v>
      </c>
      <c r="F6491" s="11"/>
      <c r="G6491" s="12">
        <v>0</v>
      </c>
      <c r="H6491" s="12">
        <v>0</v>
      </c>
      <c r="I6491" s="12">
        <v>0</v>
      </c>
      <c r="J6491" s="11"/>
      <c r="K6491" s="12">
        <v>0</v>
      </c>
      <c r="L6491" s="10" t="str">
        <f>HYPERLINK("https://otsuka-europe-crm.veevavault.com/ui/#object/approved_document__v/V5OZ025E82RR47S", "AE Focus pz prevalenti- IT-LUP-2500005 Nefro")</f>
        <v>AE Focus pz prevalenti- IT-LUP-2500005 Nefro</v>
      </c>
      <c r="M6491" s="10" t="str">
        <f>HYPERLINK("mailto:matteo.digennaro@crm.otsuka-europe.com", "matteo.digennaro@crm.otsuka-europe.com")</f>
        <v>matteo.digennaro@crm.otsuka-europe.com</v>
      </c>
      <c r="N6491" s="13">
        <v>46226.299247685187</v>
      </c>
      <c r="O6491" s="14" t="str">
        <f>HYPERLINK("https://otsuka-europe-crm.veevavault.com/ui/#object/email_activity__v/V8C00000004B389", "EN-002107402")</f>
        <v>EN-002107402</v>
      </c>
    </row>
    <row r="6492" spans="1:15" ht="32" x14ac:dyDescent="0.2">
      <c r="A6492" s="7" t="str">
        <f>HYPERLINK("https://otsuka-europe-crm.veevavault.com/ui/#object/account__v/V4TZ06G6O71SA3Z", "ANNA BASSO")</f>
        <v>ANNA BASSO</v>
      </c>
      <c r="B6492" s="7" t="str">
        <f>HYPERLINK("https://otsuka-europe-crm.veevavault.com/ui/#object/vcountry__v/VENZ000004SONFQ", "IT")</f>
        <v>IT</v>
      </c>
      <c r="C6492" s="8" t="s">
        <v>42</v>
      </c>
      <c r="D6492" s="9" t="str">
        <f>HYPERLINK("https://otsuka-europe-crm.veevavault.com/ui/#object/approved_document__v/V5OZ025E82RR47T", "AE Propensity Analysis- IT-LUP-2500004 Nefro")</f>
        <v>AE Propensity Analysis- IT-LUP-2500004 Nefro</v>
      </c>
      <c r="E6492" s="10" t="str">
        <f>HYPERLINK("https://otsuka-europe-crm.veevavault.com/ui/#object/sent_email__v/VBL00000003A289", "SE-001444691")</f>
        <v>SE-001444691</v>
      </c>
      <c r="F6492" s="11"/>
      <c r="G6492" s="12">
        <v>0</v>
      </c>
      <c r="H6492" s="12">
        <v>0</v>
      </c>
      <c r="I6492" s="12">
        <v>0</v>
      </c>
      <c r="J6492" s="11"/>
      <c r="K6492" s="12">
        <v>0</v>
      </c>
      <c r="L6492" s="10" t="str">
        <f>HYPERLINK("https://otsuka-europe-crm.veevavault.com/ui/#object/approved_document__v/V5OZ025E82RR47T", "AE Propensity Analysis- IT-LUP-2500004 Nefro")</f>
        <v>AE Propensity Analysis- IT-LUP-2500004 Nefro</v>
      </c>
      <c r="M6492" s="10" t="str">
        <f>HYPERLINK("mailto:matteo.digennaro@crm.otsuka-europe.com", "matteo.digennaro@crm.otsuka-europe.com")</f>
        <v>matteo.digennaro@crm.otsuka-europe.com</v>
      </c>
      <c r="N6492" s="13">
        <v>46226.299189814818</v>
      </c>
      <c r="O6492" s="14" t="str">
        <f>HYPERLINK("https://otsuka-europe-crm.veevavault.com/ui/#object/email_activity__v/V8C00000004B365", "EN-002107378")</f>
        <v>EN-002107378</v>
      </c>
    </row>
    <row r="6493" spans="1:15" ht="16" x14ac:dyDescent="0.2">
      <c r="A6493" s="18" t="str">
        <f>HYPERLINK("https://otsuka-europe-crm.veevavault.com/ui/#object/account__v/V4TZ06G6O71SA3Z", "ANNA BASSO")</f>
        <v>ANNA BASSO</v>
      </c>
      <c r="B6493" s="18" t="str">
        <f>HYPERLINK("https://otsuka-europe-crm.veevavault.com/ui/#object/vcountry__v/VENZ000004SONFQ", "IT")</f>
        <v>IT</v>
      </c>
      <c r="C6493" s="20" t="s">
        <v>42</v>
      </c>
      <c r="D6493" s="21" t="str">
        <f>HYPERLINK("https://otsuka-europe-crm.veevavault.com/ui/#object/approved_document__v/V5OZ025E82RR480", "RTE Proteinuria C1 - IT-LUP-2500006 - Nephro")</f>
        <v>RTE Proteinuria C1 - IT-LUP-2500006 - Nephro</v>
      </c>
      <c r="E6493" s="22" t="str">
        <f>HYPERLINK("https://otsuka-europe-crm.veevavault.com/ui/#object/sent_email__v/VBL00000003A290", "SE-001444692")</f>
        <v>SE-001444692</v>
      </c>
      <c r="F6493" s="23"/>
      <c r="G6493" s="24">
        <v>0</v>
      </c>
      <c r="H6493" s="24">
        <v>0</v>
      </c>
      <c r="I6493" s="24">
        <v>0</v>
      </c>
      <c r="J6493" s="23"/>
      <c r="K6493" s="24">
        <v>0</v>
      </c>
      <c r="L6493" s="22" t="str">
        <f>HYPERLINK("https://otsuka-europe-crm.veevavault.com/ui/#object/approved_document__v/V5OZ025E82RR480", "RTE Proteinuria C1 - IT-LUP-2500006 - Nephro")</f>
        <v>RTE Proteinuria C1 - IT-LUP-2500006 - Nephro</v>
      </c>
      <c r="M6493" s="22" t="str">
        <f>HYPERLINK("mailto:matteo.digennaro@crm.otsuka-europe.com", "matteo.digennaro@crm.otsuka-europe.com")</f>
        <v>matteo.digennaro@crm.otsuka-europe.com</v>
      </c>
      <c r="N6493" s="25">
        <v>46226.299224537041</v>
      </c>
      <c r="O6493" s="14" t="str">
        <f>HYPERLINK("https://otsuka-europe-crm.veevavault.com/ui/#object/email_activity__v/V8C00000004B618", "EN-002107729")</f>
        <v>EN-002107729</v>
      </c>
    </row>
    <row r="6494" spans="1:15" ht="16" x14ac:dyDescent="0.2">
      <c r="A6494" s="19"/>
      <c r="B6494" s="19"/>
      <c r="C6494" s="19"/>
      <c r="D6494" s="19"/>
      <c r="E6494" s="19"/>
      <c r="F6494" s="19"/>
      <c r="G6494" s="19"/>
      <c r="H6494" s="19"/>
      <c r="I6494" s="19"/>
      <c r="J6494" s="19"/>
      <c r="K6494" s="19"/>
      <c r="L6494" s="19"/>
      <c r="M6494" s="19"/>
      <c r="N6494" s="19"/>
      <c r="O6494" s="14" t="str">
        <f>HYPERLINK("https://otsuka-europe-crm.veevavault.com/ui/#object/email_activity__v/V8C00000004B860", "EN-002108171")</f>
        <v>EN-002108171</v>
      </c>
    </row>
    <row r="6495" spans="1:15" ht="16" x14ac:dyDescent="0.2">
      <c r="A6495" s="18" t="str">
        <f>HYPERLINK("https://otsuka-europe-crm.veevavault.com/ui/#object/account__v/V4TZ06G6O71SA3Z", "ANNA BASSO")</f>
        <v>ANNA BASSO</v>
      </c>
      <c r="B6495" s="18" t="str">
        <f>HYPERLINK("https://otsuka-europe-crm.veevavault.com/ui/#object/vcountry__v/VENZ000004SONFQ", "IT")</f>
        <v>IT</v>
      </c>
      <c r="C6495" s="20" t="s">
        <v>42</v>
      </c>
      <c r="D6495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495" s="22" t="str">
        <f>HYPERLINK("https://otsuka-europe-crm.veevavault.com/ui/#object/sent_email__v/VBL000000039165", "SE-001444693")</f>
        <v>SE-001444693</v>
      </c>
      <c r="F6495" s="23"/>
      <c r="G6495" s="24">
        <v>0</v>
      </c>
      <c r="H6495" s="24">
        <v>0</v>
      </c>
      <c r="I6495" s="24">
        <v>0</v>
      </c>
      <c r="J6495" s="23"/>
      <c r="K6495" s="24">
        <v>0</v>
      </c>
      <c r="L6495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495" s="22" t="str">
        <f>HYPERLINK("mailto:matteo.digennaro@crm.otsuka-europe.com", "matteo.digennaro@crm.otsuka-europe.com")</f>
        <v>matteo.digennaro@crm.otsuka-europe.com</v>
      </c>
      <c r="N6495" s="25">
        <v>46226.29923611111</v>
      </c>
      <c r="O6495" s="14" t="str">
        <f>HYPERLINK("https://otsuka-europe-crm.veevavault.com/ui/#object/email_activity__v/V8C00000004B527", "EN-002107638")</f>
        <v>EN-002107638</v>
      </c>
    </row>
    <row r="6496" spans="1:15" ht="16" x14ac:dyDescent="0.2">
      <c r="A6496" s="19"/>
      <c r="B6496" s="19"/>
      <c r="C6496" s="19"/>
      <c r="D6496" s="19"/>
      <c r="E6496" s="19"/>
      <c r="F6496" s="19"/>
      <c r="G6496" s="19"/>
      <c r="H6496" s="19"/>
      <c r="I6496" s="19"/>
      <c r="J6496" s="19"/>
      <c r="K6496" s="19"/>
      <c r="L6496" s="19"/>
      <c r="M6496" s="19"/>
      <c r="N6496" s="19"/>
      <c r="O6496" s="14" t="str">
        <f>HYPERLINK("https://otsuka-europe-crm.veevavault.com/ui/#object/email_activity__v/V8C00000004B801", "EN-002108109")</f>
        <v>EN-002108109</v>
      </c>
    </row>
    <row r="6497" spans="1:15" ht="32" x14ac:dyDescent="0.2">
      <c r="A6497" s="7" t="str">
        <f>HYPERLINK("https://otsuka-europe-crm.veevavault.com/ui/#object/account__v/V4TZ04ASGB00L00", "LUCA QUARTUCCIO")</f>
        <v>LUCA QUARTUCCIO</v>
      </c>
      <c r="B6497" s="7" t="str">
        <f t="shared" ref="B6497:B6502" si="267">HYPERLINK("https://otsuka-europe-crm.veevavault.com/ui/#object/vcountry__v/VENZ000004SONFQ", "IT")</f>
        <v>IT</v>
      </c>
      <c r="C6497" s="8" t="s">
        <v>42</v>
      </c>
      <c r="D6497" s="9" t="str">
        <f>HYPERLINK("https://otsuka-europe-crm.veevavault.com/ui/#object/approved_document__v/V5OZ025E82RRA5M", "AURORA 2 - AE RHEUMA")</f>
        <v>AURORA 2 - AE RHEUMA</v>
      </c>
      <c r="E6497" s="10" t="str">
        <f>HYPERLINK("https://otsuka-europe-crm.veevavault.com/ui/#object/sent_email__v/VBL00000003A291", "SE-001444694")</f>
        <v>SE-001444694</v>
      </c>
      <c r="F6497" s="11"/>
      <c r="G6497" s="12">
        <v>0</v>
      </c>
      <c r="H6497" s="12">
        <v>0</v>
      </c>
      <c r="I6497" s="12">
        <v>0</v>
      </c>
      <c r="J6497" s="11"/>
      <c r="K6497" s="12">
        <v>0</v>
      </c>
      <c r="L6497" s="10" t="str">
        <f>HYPERLINK("https://otsuka-europe-crm.veevavault.com/ui/#object/approved_document__v/V5OZ025E82RRA5M", "AURORA 2 - AE RHEUMA")</f>
        <v>AURORA 2 - AE RHEUMA</v>
      </c>
      <c r="M6497" s="10" t="str">
        <f t="shared" ref="M6497:M6502" si="268">HYPERLINK("mailto:matteo.digennaro@crm.otsuka-europe.com", "matteo.digennaro@crm.otsuka-europe.com")</f>
        <v>matteo.digennaro@crm.otsuka-europe.com</v>
      </c>
      <c r="N6497" s="13">
        <v>46226.299189814818</v>
      </c>
      <c r="O6497" s="14" t="str">
        <f>HYPERLINK("https://otsuka-europe-crm.veevavault.com/ui/#object/email_activity__v/V8C00000004B310", "EN-002107270")</f>
        <v>EN-002107270</v>
      </c>
    </row>
    <row r="6498" spans="1:15" ht="32" x14ac:dyDescent="0.2">
      <c r="A6498" s="7" t="str">
        <f>HYPERLINK("https://otsuka-europe-crm.veevavault.com/ui/#object/account__v/V4TZ04ASGB00L00", "LUCA QUARTUCCIO")</f>
        <v>LUCA QUARTUCCIO</v>
      </c>
      <c r="B6498" s="7" t="str">
        <f t="shared" si="267"/>
        <v>IT</v>
      </c>
      <c r="C6498" s="8" t="s">
        <v>42</v>
      </c>
      <c r="D6498" s="9" t="str">
        <f>HYPERLINK("https://otsuka-europe-crm.veevavault.com/ui/#object/approved_document__v/V5OZ025E82RR47U", "AE Focus pz prevalenti- IT-LUP-2500005 Reuma")</f>
        <v>AE Focus pz prevalenti- IT-LUP-2500005 Reuma</v>
      </c>
      <c r="E6498" s="10" t="str">
        <f>HYPERLINK("https://otsuka-europe-crm.veevavault.com/ui/#object/sent_email__v/VBL00000003A292", "SE-001444695")</f>
        <v>SE-001444695</v>
      </c>
      <c r="F6498" s="11"/>
      <c r="G6498" s="12">
        <v>0</v>
      </c>
      <c r="H6498" s="12">
        <v>0</v>
      </c>
      <c r="I6498" s="12">
        <v>0</v>
      </c>
      <c r="J6498" s="11"/>
      <c r="K6498" s="12">
        <v>0</v>
      </c>
      <c r="L6498" s="10" t="str">
        <f>HYPERLINK("https://otsuka-europe-crm.veevavault.com/ui/#object/approved_document__v/V5OZ025E82RR47U", "AE Focus pz prevalenti- IT-LUP-2500005 Reuma")</f>
        <v>AE Focus pz prevalenti- IT-LUP-2500005 Reuma</v>
      </c>
      <c r="M6498" s="10" t="str">
        <f t="shared" si="268"/>
        <v>matteo.digennaro@crm.otsuka-europe.com</v>
      </c>
      <c r="N6498" s="13">
        <v>46226.299189814818</v>
      </c>
      <c r="O6498" s="14" t="str">
        <f>HYPERLINK("https://otsuka-europe-crm.veevavault.com/ui/#object/email_activity__v/V8C00000004B311", "EN-002107271")</f>
        <v>EN-002107271</v>
      </c>
    </row>
    <row r="6499" spans="1:15" ht="32" x14ac:dyDescent="0.2">
      <c r="A6499" s="7" t="str">
        <f>HYPERLINK("https://otsuka-europe-crm.veevavault.com/ui/#object/account__v/V4TZ04ASGB00L00", "LUCA QUARTUCCIO")</f>
        <v>LUCA QUARTUCCIO</v>
      </c>
      <c r="B6499" s="7" t="str">
        <f t="shared" si="267"/>
        <v>IT</v>
      </c>
      <c r="C6499" s="8" t="s">
        <v>42</v>
      </c>
      <c r="D6499" s="9" t="str">
        <f>HYPERLINK("https://otsuka-europe-crm.veevavault.com/ui/#object/approved_document__v/V5OZ025E82RR47L", "RTE Proteinuria C1 - IT-LUP-2500006 - Reuma")</f>
        <v>RTE Proteinuria C1 - IT-LUP-2500006 - Reuma</v>
      </c>
      <c r="E6499" s="10" t="str">
        <f>HYPERLINK("https://otsuka-europe-crm.veevavault.com/ui/#object/sent_email__v/VBL000000039166", "SE-001444696")</f>
        <v>SE-001444696</v>
      </c>
      <c r="F6499" s="11"/>
      <c r="G6499" s="12">
        <v>0</v>
      </c>
      <c r="H6499" s="12">
        <v>0</v>
      </c>
      <c r="I6499" s="12">
        <v>0</v>
      </c>
      <c r="J6499" s="11"/>
      <c r="K6499" s="12">
        <v>0</v>
      </c>
      <c r="L6499" s="10" t="str">
        <f>HYPERLINK("https://otsuka-europe-crm.veevavault.com/ui/#object/approved_document__v/V5OZ025E82RR47L", "RTE Proteinuria C1 - IT-LUP-2500006 - Reuma")</f>
        <v>RTE Proteinuria C1 - IT-LUP-2500006 - Reuma</v>
      </c>
      <c r="M6499" s="10" t="str">
        <f t="shared" si="268"/>
        <v>matteo.digennaro@crm.otsuka-europe.com</v>
      </c>
      <c r="N6499" s="13">
        <v>46226.29928240741</v>
      </c>
      <c r="O6499" s="14" t="str">
        <f>HYPERLINK("https://otsuka-europe-crm.veevavault.com/ui/#object/email_activity__v/V8C00000004C348", "EN-002107515")</f>
        <v>EN-002107515</v>
      </c>
    </row>
    <row r="6500" spans="1:15" ht="32" x14ac:dyDescent="0.2">
      <c r="A6500" s="7" t="str">
        <f>HYPERLINK("https://otsuka-europe-crm.veevavault.com/ui/#object/account__v/V4TZ04ASGB00L00", "LUCA QUARTUCCIO")</f>
        <v>LUCA QUARTUCCIO</v>
      </c>
      <c r="B6500" s="7" t="str">
        <f t="shared" si="267"/>
        <v>IT</v>
      </c>
      <c r="C6500" s="8" t="s">
        <v>42</v>
      </c>
      <c r="D6500" s="9" t="str">
        <f>HYPERLINK("https://otsuka-europe-crm.veevavault.com/ui/#object/approved_document__v/V5OZ025E82RR47W", "AE Propensity Analysis- IT-LUP-2500004 Reuma")</f>
        <v>AE Propensity Analysis- IT-LUP-2500004 Reuma</v>
      </c>
      <c r="E6500" s="10" t="str">
        <f>HYPERLINK("https://otsuka-europe-crm.veevavault.com/ui/#object/sent_email__v/VBL00000003A293", "SE-001444697")</f>
        <v>SE-001444697</v>
      </c>
      <c r="F6500" s="11"/>
      <c r="G6500" s="12">
        <v>0</v>
      </c>
      <c r="H6500" s="12">
        <v>0</v>
      </c>
      <c r="I6500" s="12">
        <v>0</v>
      </c>
      <c r="J6500" s="11"/>
      <c r="K6500" s="12">
        <v>0</v>
      </c>
      <c r="L6500" s="10" t="str">
        <f>HYPERLINK("https://otsuka-europe-crm.veevavault.com/ui/#object/approved_document__v/V5OZ025E82RR47W", "AE Propensity Analysis- IT-LUP-2500004 Reuma")</f>
        <v>AE Propensity Analysis- IT-LUP-2500004 Reuma</v>
      </c>
      <c r="M6500" s="10" t="str">
        <f t="shared" si="268"/>
        <v>matteo.digennaro@crm.otsuka-europe.com</v>
      </c>
      <c r="N6500" s="13">
        <v>46226.29923611111</v>
      </c>
      <c r="O6500" s="14" t="str">
        <f>HYPERLINK("https://otsuka-europe-crm.veevavault.com/ui/#object/email_activity__v/V8C00000004B367", "EN-002107380")</f>
        <v>EN-002107380</v>
      </c>
    </row>
    <row r="6501" spans="1:15" ht="48" x14ac:dyDescent="0.2">
      <c r="A6501" s="7" t="str">
        <f>HYPERLINK("https://otsuka-europe-crm.veevavault.com/ui/#object/account__v/V4TZ04ASGB00L00", "LUCA QUARTUCCIO")</f>
        <v>LUCA QUARTUCCIO</v>
      </c>
      <c r="B6501" s="7" t="str">
        <f t="shared" si="267"/>
        <v>IT</v>
      </c>
      <c r="C6501" s="8" t="s">
        <v>42</v>
      </c>
      <c r="D6501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501" s="10" t="str">
        <f>HYPERLINK("https://otsuka-europe-crm.veevavault.com/ui/#object/sent_email__v/VBL00000003A294", "SE-001444698")</f>
        <v>SE-001444698</v>
      </c>
      <c r="F6501" s="11"/>
      <c r="G6501" s="12">
        <v>0</v>
      </c>
      <c r="H6501" s="12">
        <v>0</v>
      </c>
      <c r="I6501" s="12">
        <v>0</v>
      </c>
      <c r="J6501" s="11"/>
      <c r="K6501" s="12">
        <v>0</v>
      </c>
      <c r="L6501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501" s="10" t="str">
        <f t="shared" si="268"/>
        <v>matteo.digennaro@crm.otsuka-europe.com</v>
      </c>
      <c r="N6501" s="13">
        <v>46226.299178240741</v>
      </c>
      <c r="O6501" s="14" t="str">
        <f>HYPERLINK("https://otsuka-europe-crm.veevavault.com/ui/#object/email_activity__v/V8C00000004B456", "EN-002107564")</f>
        <v>EN-002107564</v>
      </c>
    </row>
    <row r="6502" spans="1:15" ht="16" x14ac:dyDescent="0.2">
      <c r="A6502" s="18" t="str">
        <f>HYPERLINK("https://otsuka-europe-crm.veevavault.com/ui/#object/account__v/V4TZ04ASGBCLLCH", "GINEVRA DE MARCHI")</f>
        <v>GINEVRA DE MARCHI</v>
      </c>
      <c r="B6502" s="18" t="str">
        <f t="shared" si="267"/>
        <v>IT</v>
      </c>
      <c r="C6502" s="20" t="s">
        <v>42</v>
      </c>
      <c r="D6502" s="21" t="str">
        <f>HYPERLINK("https://otsuka-europe-crm.veevavault.com/ui/#object/approved_document__v/V5OZ025E82RRA5M", "AURORA 2 - AE RHEUMA")</f>
        <v>AURORA 2 - AE RHEUMA</v>
      </c>
      <c r="E6502" s="22" t="str">
        <f>HYPERLINK("https://otsuka-europe-crm.veevavault.com/ui/#object/sent_email__v/VBL000000039167", "SE-001444699")</f>
        <v>SE-001444699</v>
      </c>
      <c r="F6502" s="23"/>
      <c r="G6502" s="24">
        <v>0</v>
      </c>
      <c r="H6502" s="24">
        <v>0</v>
      </c>
      <c r="I6502" s="24">
        <v>0</v>
      </c>
      <c r="J6502" s="23"/>
      <c r="K6502" s="24">
        <v>0</v>
      </c>
      <c r="L6502" s="22" t="str">
        <f>HYPERLINK("https://otsuka-europe-crm.veevavault.com/ui/#object/approved_document__v/V5OZ025E82RRA5M", "AURORA 2 - AE RHEUMA")</f>
        <v>AURORA 2 - AE RHEUMA</v>
      </c>
      <c r="M6502" s="22" t="str">
        <f t="shared" si="268"/>
        <v>matteo.digennaro@crm.otsuka-europe.com</v>
      </c>
      <c r="N6502" s="25">
        <v>46226.299259259256</v>
      </c>
      <c r="O6502" s="14" t="str">
        <f>HYPERLINK("https://otsuka-europe-crm.veevavault.com/ui/#object/email_activity__v/V8C00000004B528", "EN-002107639")</f>
        <v>EN-002107639</v>
      </c>
    </row>
    <row r="6503" spans="1:15" ht="16" x14ac:dyDescent="0.2">
      <c r="A6503" s="19"/>
      <c r="B6503" s="19"/>
      <c r="C6503" s="19"/>
      <c r="D6503" s="19"/>
      <c r="E6503" s="19"/>
      <c r="F6503" s="19"/>
      <c r="G6503" s="19"/>
      <c r="H6503" s="19"/>
      <c r="I6503" s="19"/>
      <c r="J6503" s="19"/>
      <c r="K6503" s="19"/>
      <c r="L6503" s="19"/>
      <c r="M6503" s="19"/>
      <c r="N6503" s="19"/>
      <c r="O6503" s="14" t="str">
        <f>HYPERLINK("https://otsuka-europe-crm.veevavault.com/ui/#object/email_activity__v/V8C00000004B871", "EN-002108182")</f>
        <v>EN-002108182</v>
      </c>
    </row>
    <row r="6504" spans="1:15" ht="32" x14ac:dyDescent="0.2">
      <c r="A6504" s="7" t="str">
        <f>HYPERLINK("https://otsuka-europe-crm.veevavault.com/ui/#object/account__v/V4TZ04ASGBCLLCH", "GINEVRA DE MARCHI")</f>
        <v>GINEVRA DE MARCHI</v>
      </c>
      <c r="B6504" s="7" t="str">
        <f>HYPERLINK("https://otsuka-europe-crm.veevavault.com/ui/#object/vcountry__v/VENZ000004SONFQ", "IT")</f>
        <v>IT</v>
      </c>
      <c r="C6504" s="8" t="s">
        <v>42</v>
      </c>
      <c r="D6504" s="9" t="str">
        <f>HYPERLINK("https://otsuka-europe-crm.veevavault.com/ui/#object/approved_document__v/V5OZ025E82RR47U", "AE Focus pz prevalenti- IT-LUP-2500005 Reuma")</f>
        <v>AE Focus pz prevalenti- IT-LUP-2500005 Reuma</v>
      </c>
      <c r="E6504" s="10" t="str">
        <f>HYPERLINK("https://otsuka-europe-crm.veevavault.com/ui/#object/sent_email__v/VBL000000039168", "SE-001444700")</f>
        <v>SE-001444700</v>
      </c>
      <c r="F6504" s="11"/>
      <c r="G6504" s="12">
        <v>0</v>
      </c>
      <c r="H6504" s="12">
        <v>0</v>
      </c>
      <c r="I6504" s="12">
        <v>0</v>
      </c>
      <c r="J6504" s="11"/>
      <c r="K6504" s="12">
        <v>0</v>
      </c>
      <c r="L6504" s="10" t="str">
        <f>HYPERLINK("https://otsuka-europe-crm.veevavault.com/ui/#object/approved_document__v/V5OZ025E82RR47U", "AE Focus pz prevalenti- IT-LUP-2500005 Reuma")</f>
        <v>AE Focus pz prevalenti- IT-LUP-2500005 Reuma</v>
      </c>
      <c r="M6504" s="10" t="str">
        <f>HYPERLINK("mailto:matteo.digennaro@crm.otsuka-europe.com", "matteo.digennaro@crm.otsuka-europe.com")</f>
        <v>matteo.digennaro@crm.otsuka-europe.com</v>
      </c>
      <c r="N6504" s="13">
        <v>46226.299224537041</v>
      </c>
      <c r="O6504" s="14" t="str">
        <f>HYPERLINK("https://otsuka-europe-crm.veevavault.com/ui/#object/email_activity__v/V8C00000004C248", "EN-002107320")</f>
        <v>EN-002107320</v>
      </c>
    </row>
    <row r="6505" spans="1:15" ht="32" x14ac:dyDescent="0.2">
      <c r="A6505" s="7" t="str">
        <f>HYPERLINK("https://otsuka-europe-crm.veevavault.com/ui/#object/account__v/V4TZ04ASGBCLLCH", "GINEVRA DE MARCHI")</f>
        <v>GINEVRA DE MARCHI</v>
      </c>
      <c r="B6505" s="7" t="str">
        <f>HYPERLINK("https://otsuka-europe-crm.veevavault.com/ui/#object/vcountry__v/VENZ000004SONFQ", "IT")</f>
        <v>IT</v>
      </c>
      <c r="C6505" s="8" t="s">
        <v>42</v>
      </c>
      <c r="D6505" s="9" t="str">
        <f>HYPERLINK("https://otsuka-europe-crm.veevavault.com/ui/#object/approved_document__v/V5OZ025E82RR47L", "RTE Proteinuria C1 - IT-LUP-2500006 - Reuma")</f>
        <v>RTE Proteinuria C1 - IT-LUP-2500006 - Reuma</v>
      </c>
      <c r="E6505" s="10" t="str">
        <f>HYPERLINK("https://otsuka-europe-crm.veevavault.com/ui/#object/sent_email__v/VBL00000003A295", "SE-001444701")</f>
        <v>SE-001444701</v>
      </c>
      <c r="F6505" s="11"/>
      <c r="G6505" s="12">
        <v>0</v>
      </c>
      <c r="H6505" s="12">
        <v>0</v>
      </c>
      <c r="I6505" s="12">
        <v>0</v>
      </c>
      <c r="J6505" s="11"/>
      <c r="K6505" s="12">
        <v>0</v>
      </c>
      <c r="L6505" s="10" t="str">
        <f>HYPERLINK("https://otsuka-europe-crm.veevavault.com/ui/#object/approved_document__v/V5OZ025E82RR47L", "RTE Proteinuria C1 - IT-LUP-2500006 - Reuma")</f>
        <v>RTE Proteinuria C1 - IT-LUP-2500006 - Reuma</v>
      </c>
      <c r="M6505" s="10" t="str">
        <f>HYPERLINK("mailto:matteo.digennaro@crm.otsuka-europe.com", "matteo.digennaro@crm.otsuka-europe.com")</f>
        <v>matteo.digennaro@crm.otsuka-europe.com</v>
      </c>
      <c r="N6505" s="13">
        <v>46226.29928240741</v>
      </c>
      <c r="O6505" s="14" t="str">
        <f>HYPERLINK("https://otsuka-europe-crm.veevavault.com/ui/#object/email_activity__v/V8C00000004B340", "EN-002107300")</f>
        <v>EN-002107300</v>
      </c>
    </row>
    <row r="6506" spans="1:15" ht="16" x14ac:dyDescent="0.2">
      <c r="A6506" s="18" t="str">
        <f>HYPERLINK("https://otsuka-europe-crm.veevavault.com/ui/#object/account__v/V4TZ04ASGBCLLCH", "GINEVRA DE MARCHI")</f>
        <v>GINEVRA DE MARCHI</v>
      </c>
      <c r="B6506" s="18" t="str">
        <f>HYPERLINK("https://otsuka-europe-crm.veevavault.com/ui/#object/vcountry__v/VENZ000004SONFQ", "IT")</f>
        <v>IT</v>
      </c>
      <c r="C6506" s="20" t="s">
        <v>42</v>
      </c>
      <c r="D6506" s="21" t="str">
        <f>HYPERLINK("https://otsuka-europe-crm.veevavault.com/ui/#object/approved_document__v/V5OZ025E82RR47W", "AE Propensity Analysis- IT-LUP-2500004 Reuma")</f>
        <v>AE Propensity Analysis- IT-LUP-2500004 Reuma</v>
      </c>
      <c r="E6506" s="22" t="str">
        <f>HYPERLINK("https://otsuka-europe-crm.veevavault.com/ui/#object/sent_email__v/VBL00000003A296", "SE-001444702")</f>
        <v>SE-001444702</v>
      </c>
      <c r="F6506" s="23"/>
      <c r="G6506" s="24">
        <v>0</v>
      </c>
      <c r="H6506" s="24">
        <v>0</v>
      </c>
      <c r="I6506" s="24">
        <v>0</v>
      </c>
      <c r="J6506" s="23"/>
      <c r="K6506" s="24">
        <v>0</v>
      </c>
      <c r="L6506" s="22" t="str">
        <f>HYPERLINK("https://otsuka-europe-crm.veevavault.com/ui/#object/approved_document__v/V5OZ025E82RR47W", "AE Propensity Analysis- IT-LUP-2500004 Reuma")</f>
        <v>AE Propensity Analysis- IT-LUP-2500004 Reuma</v>
      </c>
      <c r="M6506" s="22" t="str">
        <f>HYPERLINK("mailto:matteo.digennaro@crm.otsuka-europe.com", "matteo.digennaro@crm.otsuka-europe.com")</f>
        <v>matteo.digennaro@crm.otsuka-europe.com</v>
      </c>
      <c r="N6506" s="25">
        <v>46226.29923611111</v>
      </c>
      <c r="O6506" s="14" t="str">
        <f>HYPERLINK("https://otsuka-europe-crm.veevavault.com/ui/#object/email_activity__v/V8C00000004B619", "EN-002107730")</f>
        <v>EN-002107730</v>
      </c>
    </row>
    <row r="6507" spans="1:15" ht="16" x14ac:dyDescent="0.2">
      <c r="A6507" s="19"/>
      <c r="B6507" s="19"/>
      <c r="C6507" s="19"/>
      <c r="D6507" s="19"/>
      <c r="E6507" s="19"/>
      <c r="F6507" s="19"/>
      <c r="G6507" s="19"/>
      <c r="H6507" s="19"/>
      <c r="I6507" s="19"/>
      <c r="J6507" s="19"/>
      <c r="K6507" s="19"/>
      <c r="L6507" s="19"/>
      <c r="M6507" s="19"/>
      <c r="N6507" s="19"/>
      <c r="O6507" s="14" t="str">
        <f>HYPERLINK("https://otsuka-europe-crm.veevavault.com/ui/#object/email_activity__v/V8C00000004B803", "EN-002108111")</f>
        <v>EN-002108111</v>
      </c>
    </row>
    <row r="6508" spans="1:15" ht="16" x14ac:dyDescent="0.2">
      <c r="A6508" s="18" t="str">
        <f>HYPERLINK("https://otsuka-europe-crm.veevavault.com/ui/#object/account__v/V4TZ04ASGBCLLCH", "GINEVRA DE MARCHI")</f>
        <v>GINEVRA DE MARCHI</v>
      </c>
      <c r="B6508" s="18" t="str">
        <f>HYPERLINK("https://otsuka-europe-crm.veevavault.com/ui/#object/vcountry__v/VENZ000004SONFQ", "IT")</f>
        <v>IT</v>
      </c>
      <c r="C6508" s="20" t="s">
        <v>42</v>
      </c>
      <c r="D6508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508" s="22" t="str">
        <f>HYPERLINK("https://otsuka-europe-crm.veevavault.com/ui/#object/sent_email__v/VBL000000039169", "SE-001444703")</f>
        <v>SE-001444703</v>
      </c>
      <c r="F6508" s="23"/>
      <c r="G6508" s="24">
        <v>0</v>
      </c>
      <c r="H6508" s="24">
        <v>0</v>
      </c>
      <c r="I6508" s="24">
        <v>0</v>
      </c>
      <c r="J6508" s="23"/>
      <c r="K6508" s="24">
        <v>0</v>
      </c>
      <c r="L6508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508" s="22" t="str">
        <f>HYPERLINK("mailto:matteo.digennaro@crm.otsuka-europe.com", "matteo.digennaro@crm.otsuka-europe.com")</f>
        <v>matteo.digennaro@crm.otsuka-europe.com</v>
      </c>
      <c r="N6508" s="25">
        <v>46226.29923611111</v>
      </c>
      <c r="O6508" s="14" t="str">
        <f>HYPERLINK("https://otsuka-europe-crm.veevavault.com/ui/#object/email_activity__v/V8C00000004B529", "EN-002107640")</f>
        <v>EN-002107640</v>
      </c>
    </row>
    <row r="6509" spans="1:15" ht="16" x14ac:dyDescent="0.2">
      <c r="A6509" s="19"/>
      <c r="B6509" s="19"/>
      <c r="C6509" s="19"/>
      <c r="D6509" s="19"/>
      <c r="E6509" s="19"/>
      <c r="F6509" s="19"/>
      <c r="G6509" s="19"/>
      <c r="H6509" s="19"/>
      <c r="I6509" s="19"/>
      <c r="J6509" s="19"/>
      <c r="K6509" s="19"/>
      <c r="L6509" s="19"/>
      <c r="M6509" s="19"/>
      <c r="N6509" s="19"/>
      <c r="O6509" s="14" t="str">
        <f>HYPERLINK("https://otsuka-europe-crm.veevavault.com/ui/#object/email_activity__v/V8C00000004B869", "EN-002108180")</f>
        <v>EN-002108180</v>
      </c>
    </row>
    <row r="6510" spans="1:15" ht="16" x14ac:dyDescent="0.2">
      <c r="A6510" s="18" t="str">
        <f>HYPERLINK("https://otsuka-europe-crm.veevavault.com/ui/#object/account__v/V4TZ025E832AR9M", "VITTORIO DI MASO")</f>
        <v>VITTORIO DI MASO</v>
      </c>
      <c r="B6510" s="18" t="str">
        <f>HYPERLINK("https://otsuka-europe-crm.veevavault.com/ui/#object/vcountry__v/VENZ000004SONFQ", "IT")</f>
        <v>IT</v>
      </c>
      <c r="C6510" s="20" t="s">
        <v>42</v>
      </c>
      <c r="D6510" s="21" t="str">
        <f>HYPERLINK("https://otsuka-europe-crm.veevavault.com/ui/#object/approved_document__v/V5OZ025E82RRA5I", "AURORA 2 - AE NEPHRO")</f>
        <v>AURORA 2 - AE NEPHRO</v>
      </c>
      <c r="E6510" s="22" t="str">
        <f>HYPERLINK("https://otsuka-europe-crm.veevavault.com/ui/#object/sent_email__v/VBL00000003A297", "SE-001444704")</f>
        <v>SE-001444704</v>
      </c>
      <c r="F6510" s="23"/>
      <c r="G6510" s="24">
        <v>0</v>
      </c>
      <c r="H6510" s="24">
        <v>0</v>
      </c>
      <c r="I6510" s="24">
        <v>0</v>
      </c>
      <c r="J6510" s="23"/>
      <c r="K6510" s="24">
        <v>0</v>
      </c>
      <c r="L6510" s="22" t="str">
        <f>HYPERLINK("https://otsuka-europe-crm.veevavault.com/ui/#object/approved_document__v/V5OZ025E82RRA5I", "AURORA 2 - AE NEPHRO")</f>
        <v>AURORA 2 - AE NEPHRO</v>
      </c>
      <c r="M6510" s="22" t="str">
        <f>HYPERLINK("mailto:matteo.digennaro@crm.otsuka-europe.com", "matteo.digennaro@crm.otsuka-europe.com")</f>
        <v>matteo.digennaro@crm.otsuka-europe.com</v>
      </c>
      <c r="N6510" s="25">
        <v>46226.299189814818</v>
      </c>
      <c r="O6510" s="14" t="str">
        <f>HYPERLINK("https://otsuka-europe-crm.veevavault.com/ui/#object/email_activity__v/V8C00000004B401", "EN-002107415")</f>
        <v>EN-002107415</v>
      </c>
    </row>
    <row r="6511" spans="1:15" ht="16" x14ac:dyDescent="0.2">
      <c r="A6511" s="26"/>
      <c r="B6511" s="26"/>
      <c r="C6511" s="26"/>
      <c r="D6511" s="26"/>
      <c r="E6511" s="26"/>
      <c r="F6511" s="26"/>
      <c r="G6511" s="26"/>
      <c r="H6511" s="26"/>
      <c r="I6511" s="26"/>
      <c r="J6511" s="26"/>
      <c r="K6511" s="26"/>
      <c r="L6511" s="26"/>
      <c r="M6511" s="26"/>
      <c r="N6511" s="26"/>
      <c r="O6511" s="14" t="str">
        <f>HYPERLINK("https://otsuka-europe-crm.veevavault.com/ui/#object/email_activity__v/V8C00000004D036", "EN-002108259")</f>
        <v>EN-002108259</v>
      </c>
    </row>
    <row r="6512" spans="1:15" ht="16" x14ac:dyDescent="0.2">
      <c r="A6512" s="26"/>
      <c r="B6512" s="26"/>
      <c r="C6512" s="26"/>
      <c r="D6512" s="26"/>
      <c r="E6512" s="26"/>
      <c r="F6512" s="26"/>
      <c r="G6512" s="26"/>
      <c r="H6512" s="26"/>
      <c r="I6512" s="26"/>
      <c r="J6512" s="26"/>
      <c r="K6512" s="26"/>
      <c r="L6512" s="26"/>
      <c r="M6512" s="26"/>
      <c r="N6512" s="26"/>
      <c r="O6512" s="14" t="str">
        <f>HYPERLINK("https://otsuka-europe-crm.veevavault.com/ui/#object/email_activity__v/V8C00000004G030", "EN-002109824")</f>
        <v>EN-002109824</v>
      </c>
    </row>
    <row r="6513" spans="1:15" ht="16" x14ac:dyDescent="0.2">
      <c r="A6513" s="19"/>
      <c r="B6513" s="19"/>
      <c r="C6513" s="19"/>
      <c r="D6513" s="19"/>
      <c r="E6513" s="19"/>
      <c r="F6513" s="19"/>
      <c r="G6513" s="19"/>
      <c r="H6513" s="19"/>
      <c r="I6513" s="19"/>
      <c r="J6513" s="19"/>
      <c r="K6513" s="19"/>
      <c r="L6513" s="19"/>
      <c r="M6513" s="19"/>
      <c r="N6513" s="19"/>
      <c r="O6513" s="14" t="str">
        <f>HYPERLINK("https://otsuka-europe-crm.veevavault.com/ui/#object/email_activity__v/V8C00000004H024", "EN-002110974")</f>
        <v>EN-002110974</v>
      </c>
    </row>
    <row r="6514" spans="1:15" ht="16" x14ac:dyDescent="0.2">
      <c r="A6514" s="18" t="str">
        <f>HYPERLINK("https://otsuka-europe-crm.veevavault.com/ui/#object/account__v/V4TZ025E832AR9M", "VITTORIO DI MASO")</f>
        <v>VITTORIO DI MASO</v>
      </c>
      <c r="B6514" s="18" t="str">
        <f>HYPERLINK("https://otsuka-europe-crm.veevavault.com/ui/#object/vcountry__v/VENZ000004SONFQ", "IT")</f>
        <v>IT</v>
      </c>
      <c r="C6514" s="20" t="s">
        <v>42</v>
      </c>
      <c r="D6514" s="21" t="str">
        <f>HYPERLINK("https://otsuka-europe-crm.veevavault.com/ui/#object/approved_document__v/V5OZ025E82RR47S", "AE Focus pz prevalenti- IT-LUP-2500005 Nefro")</f>
        <v>AE Focus pz prevalenti- IT-LUP-2500005 Nefro</v>
      </c>
      <c r="E6514" s="22" t="str">
        <f>HYPERLINK("https://otsuka-europe-crm.veevavault.com/ui/#object/sent_email__v/VBL000000039170", "SE-001444705")</f>
        <v>SE-001444705</v>
      </c>
      <c r="F6514" s="23"/>
      <c r="G6514" s="24">
        <v>0</v>
      </c>
      <c r="H6514" s="24">
        <v>0</v>
      </c>
      <c r="I6514" s="24">
        <v>0</v>
      </c>
      <c r="J6514" s="23"/>
      <c r="K6514" s="24">
        <v>0</v>
      </c>
      <c r="L6514" s="22" t="str">
        <f>HYPERLINK("https://otsuka-europe-crm.veevavault.com/ui/#object/approved_document__v/V5OZ025E82RR47S", "AE Focus pz prevalenti- IT-LUP-2500005 Nefro")</f>
        <v>AE Focus pz prevalenti- IT-LUP-2500005 Nefro</v>
      </c>
      <c r="M6514" s="22" t="str">
        <f>HYPERLINK("mailto:matteo.digennaro@crm.otsuka-europe.com", "matteo.digennaro@crm.otsuka-europe.com")</f>
        <v>matteo.digennaro@crm.otsuka-europe.com</v>
      </c>
      <c r="N6514" s="25">
        <v>46226.299247685187</v>
      </c>
      <c r="O6514" s="14" t="str">
        <f>HYPERLINK("https://otsuka-europe-crm.veevavault.com/ui/#object/email_activity__v/V8C00000004B462", "EN-002107570")</f>
        <v>EN-002107570</v>
      </c>
    </row>
    <row r="6515" spans="1:15" ht="16" x14ac:dyDescent="0.2">
      <c r="A6515" s="26"/>
      <c r="B6515" s="26"/>
      <c r="C6515" s="26"/>
      <c r="D6515" s="26"/>
      <c r="E6515" s="26"/>
      <c r="F6515" s="26"/>
      <c r="G6515" s="26"/>
      <c r="H6515" s="26"/>
      <c r="I6515" s="26"/>
      <c r="J6515" s="26"/>
      <c r="K6515" s="26"/>
      <c r="L6515" s="26"/>
      <c r="M6515" s="26"/>
      <c r="N6515" s="26"/>
      <c r="O6515" s="14" t="str">
        <f>HYPERLINK("https://otsuka-europe-crm.veevavault.com/ui/#object/email_activity__v/V8C00000004D037", "EN-002108260")</f>
        <v>EN-002108260</v>
      </c>
    </row>
    <row r="6516" spans="1:15" ht="16" x14ac:dyDescent="0.2">
      <c r="A6516" s="26"/>
      <c r="B6516" s="26"/>
      <c r="C6516" s="26"/>
      <c r="D6516" s="26"/>
      <c r="E6516" s="26"/>
      <c r="F6516" s="26"/>
      <c r="G6516" s="26"/>
      <c r="H6516" s="26"/>
      <c r="I6516" s="26"/>
      <c r="J6516" s="26"/>
      <c r="K6516" s="26"/>
      <c r="L6516" s="26"/>
      <c r="M6516" s="26"/>
      <c r="N6516" s="26"/>
      <c r="O6516" s="14" t="str">
        <f>HYPERLINK("https://otsuka-europe-crm.veevavault.com/ui/#object/email_activity__v/V8C00000004G031", "EN-002109825")</f>
        <v>EN-002109825</v>
      </c>
    </row>
    <row r="6517" spans="1:15" ht="16" x14ac:dyDescent="0.2">
      <c r="A6517" s="19"/>
      <c r="B6517" s="19"/>
      <c r="C6517" s="19"/>
      <c r="D6517" s="19"/>
      <c r="E6517" s="19"/>
      <c r="F6517" s="19"/>
      <c r="G6517" s="19"/>
      <c r="H6517" s="19"/>
      <c r="I6517" s="19"/>
      <c r="J6517" s="19"/>
      <c r="K6517" s="19"/>
      <c r="L6517" s="19"/>
      <c r="M6517" s="19"/>
      <c r="N6517" s="19"/>
      <c r="O6517" s="14" t="str">
        <f>HYPERLINK("https://otsuka-europe-crm.veevavault.com/ui/#object/email_activity__v/V8C00000004H025", "EN-002110975")</f>
        <v>EN-002110975</v>
      </c>
    </row>
    <row r="6518" spans="1:15" ht="16" x14ac:dyDescent="0.2">
      <c r="A6518" s="18" t="str">
        <f>HYPERLINK("https://otsuka-europe-crm.veevavault.com/ui/#object/account__v/V4TZ025E832AR9M", "VITTORIO DI MASO")</f>
        <v>VITTORIO DI MASO</v>
      </c>
      <c r="B6518" s="18" t="str">
        <f>HYPERLINK("https://otsuka-europe-crm.veevavault.com/ui/#object/vcountry__v/VENZ000004SONFQ", "IT")</f>
        <v>IT</v>
      </c>
      <c r="C6518" s="20" t="s">
        <v>42</v>
      </c>
      <c r="D6518" s="21" t="str">
        <f>HYPERLINK("https://otsuka-europe-crm.veevavault.com/ui/#object/approved_document__v/V5OZ025E82RR47T", "AE Propensity Analysis- IT-LUP-2500004 Nefro")</f>
        <v>AE Propensity Analysis- IT-LUP-2500004 Nefro</v>
      </c>
      <c r="E6518" s="22" t="str">
        <f>HYPERLINK("https://otsuka-europe-crm.veevavault.com/ui/#object/sent_email__v/VBL000000039171", "SE-001444706")</f>
        <v>SE-001444706</v>
      </c>
      <c r="F6518" s="23"/>
      <c r="G6518" s="24">
        <v>0</v>
      </c>
      <c r="H6518" s="24">
        <v>0</v>
      </c>
      <c r="I6518" s="24">
        <v>0</v>
      </c>
      <c r="J6518" s="23"/>
      <c r="K6518" s="24">
        <v>0</v>
      </c>
      <c r="L6518" s="22" t="str">
        <f>HYPERLINK("https://otsuka-europe-crm.veevavault.com/ui/#object/approved_document__v/V5OZ025E82RR47T", "AE Propensity Analysis- IT-LUP-2500004 Nefro")</f>
        <v>AE Propensity Analysis- IT-LUP-2500004 Nefro</v>
      </c>
      <c r="M6518" s="22" t="str">
        <f>HYPERLINK("mailto:matteo.digennaro@crm.otsuka-europe.com", "matteo.digennaro@crm.otsuka-europe.com")</f>
        <v>matteo.digennaro@crm.otsuka-europe.com</v>
      </c>
      <c r="N6518" s="25">
        <v>46226.299212962964</v>
      </c>
      <c r="O6518" s="14" t="str">
        <f>HYPERLINK("https://otsuka-europe-crm.veevavault.com/ui/#object/email_activity__v/V8C00000004B530", "EN-002107641")</f>
        <v>EN-002107641</v>
      </c>
    </row>
    <row r="6519" spans="1:15" ht="16" x14ac:dyDescent="0.2">
      <c r="A6519" s="26"/>
      <c r="B6519" s="26"/>
      <c r="C6519" s="26"/>
      <c r="D6519" s="26"/>
      <c r="E6519" s="26"/>
      <c r="F6519" s="26"/>
      <c r="G6519" s="26"/>
      <c r="H6519" s="26"/>
      <c r="I6519" s="26"/>
      <c r="J6519" s="26"/>
      <c r="K6519" s="26"/>
      <c r="L6519" s="26"/>
      <c r="M6519" s="26"/>
      <c r="N6519" s="26"/>
      <c r="O6519" s="14" t="str">
        <f>HYPERLINK("https://otsuka-europe-crm.veevavault.com/ui/#object/email_activity__v/V8C00000004C565", "EN-002108075")</f>
        <v>EN-002108075</v>
      </c>
    </row>
    <row r="6520" spans="1:15" ht="16" x14ac:dyDescent="0.2">
      <c r="A6520" s="26"/>
      <c r="B6520" s="26"/>
      <c r="C6520" s="26"/>
      <c r="D6520" s="26"/>
      <c r="E6520" s="26"/>
      <c r="F6520" s="26"/>
      <c r="G6520" s="26"/>
      <c r="H6520" s="26"/>
      <c r="I6520" s="26"/>
      <c r="J6520" s="26"/>
      <c r="K6520" s="26"/>
      <c r="L6520" s="26"/>
      <c r="M6520" s="26"/>
      <c r="N6520" s="26"/>
      <c r="O6520" s="14" t="str">
        <f>HYPERLINK("https://otsuka-europe-crm.veevavault.com/ui/#object/email_activity__v/V8C00000004D035", "EN-002108258")</f>
        <v>EN-002108258</v>
      </c>
    </row>
    <row r="6521" spans="1:15" ht="16" x14ac:dyDescent="0.2">
      <c r="A6521" s="26"/>
      <c r="B6521" s="26"/>
      <c r="C6521" s="26"/>
      <c r="D6521" s="26"/>
      <c r="E6521" s="26"/>
      <c r="F6521" s="26"/>
      <c r="G6521" s="26"/>
      <c r="H6521" s="26"/>
      <c r="I6521" s="26"/>
      <c r="J6521" s="26"/>
      <c r="K6521" s="26"/>
      <c r="L6521" s="26"/>
      <c r="M6521" s="26"/>
      <c r="N6521" s="26"/>
      <c r="O6521" s="14" t="str">
        <f>HYPERLINK("https://otsuka-europe-crm.veevavault.com/ui/#object/email_activity__v/V8C00000004G029", "EN-002109823")</f>
        <v>EN-002109823</v>
      </c>
    </row>
    <row r="6522" spans="1:15" ht="16" x14ac:dyDescent="0.2">
      <c r="A6522" s="19"/>
      <c r="B6522" s="19"/>
      <c r="C6522" s="19"/>
      <c r="D6522" s="19"/>
      <c r="E6522" s="19"/>
      <c r="F6522" s="19"/>
      <c r="G6522" s="19"/>
      <c r="H6522" s="19"/>
      <c r="I6522" s="19"/>
      <c r="J6522" s="19"/>
      <c r="K6522" s="19"/>
      <c r="L6522" s="19"/>
      <c r="M6522" s="19"/>
      <c r="N6522" s="19"/>
      <c r="O6522" s="14" t="str">
        <f>HYPERLINK("https://otsuka-europe-crm.veevavault.com/ui/#object/email_activity__v/V8C00000004H023", "EN-002110973")</f>
        <v>EN-002110973</v>
      </c>
    </row>
    <row r="6523" spans="1:15" ht="16" x14ac:dyDescent="0.2">
      <c r="A6523" s="18" t="str">
        <f>HYPERLINK("https://otsuka-europe-crm.veevavault.com/ui/#object/account__v/V4TZ025E832AR9M", "VITTORIO DI MASO")</f>
        <v>VITTORIO DI MASO</v>
      </c>
      <c r="B6523" s="18" t="str">
        <f>HYPERLINK("https://otsuka-europe-crm.veevavault.com/ui/#object/vcountry__v/VENZ000004SONFQ", "IT")</f>
        <v>IT</v>
      </c>
      <c r="C6523" s="20" t="s">
        <v>42</v>
      </c>
      <c r="D6523" s="21" t="str">
        <f>HYPERLINK("https://otsuka-europe-crm.veevavault.com/ui/#object/approved_document__v/V5OZ025E82RR480", "RTE Proteinuria C1 - IT-LUP-2500006 - Nephro")</f>
        <v>RTE Proteinuria C1 - IT-LUP-2500006 - Nephro</v>
      </c>
      <c r="E6523" s="22" t="str">
        <f>HYPERLINK("https://otsuka-europe-crm.veevavault.com/ui/#object/sent_email__v/VBL00000003A298", "SE-001444707")</f>
        <v>SE-001444707</v>
      </c>
      <c r="F6523" s="23"/>
      <c r="G6523" s="24">
        <v>0</v>
      </c>
      <c r="H6523" s="24">
        <v>0</v>
      </c>
      <c r="I6523" s="24">
        <v>0</v>
      </c>
      <c r="J6523" s="23"/>
      <c r="K6523" s="24">
        <v>0</v>
      </c>
      <c r="L6523" s="22" t="str">
        <f>HYPERLINK("https://otsuka-europe-crm.veevavault.com/ui/#object/approved_document__v/V5OZ025E82RR480", "RTE Proteinuria C1 - IT-LUP-2500006 - Nephro")</f>
        <v>RTE Proteinuria C1 - IT-LUP-2500006 - Nephro</v>
      </c>
      <c r="M6523" s="22" t="str">
        <f>HYPERLINK("mailto:matteo.digennaro@crm.otsuka-europe.com", "matteo.digennaro@crm.otsuka-europe.com")</f>
        <v>matteo.digennaro@crm.otsuka-europe.com</v>
      </c>
      <c r="N6523" s="25">
        <v>46226.299224537041</v>
      </c>
      <c r="O6523" s="14" t="str">
        <f>HYPERLINK("https://otsuka-europe-crm.veevavault.com/ui/#object/email_activity__v/V8C00000004B384", "EN-002107397")</f>
        <v>EN-002107397</v>
      </c>
    </row>
    <row r="6524" spans="1:15" ht="16" x14ac:dyDescent="0.2">
      <c r="A6524" s="26"/>
      <c r="B6524" s="26"/>
      <c r="C6524" s="26"/>
      <c r="D6524" s="26"/>
      <c r="E6524" s="26"/>
      <c r="F6524" s="26"/>
      <c r="G6524" s="26"/>
      <c r="H6524" s="26"/>
      <c r="I6524" s="26"/>
      <c r="J6524" s="26"/>
      <c r="K6524" s="26"/>
      <c r="L6524" s="26"/>
      <c r="M6524" s="26"/>
      <c r="N6524" s="26"/>
      <c r="O6524" s="14" t="str">
        <f>HYPERLINK("https://otsuka-europe-crm.veevavault.com/ui/#object/email_activity__v/V8C00000004D038", "EN-002108261")</f>
        <v>EN-002108261</v>
      </c>
    </row>
    <row r="6525" spans="1:15" ht="16" x14ac:dyDescent="0.2">
      <c r="A6525" s="26"/>
      <c r="B6525" s="26"/>
      <c r="C6525" s="26"/>
      <c r="D6525" s="26"/>
      <c r="E6525" s="26"/>
      <c r="F6525" s="26"/>
      <c r="G6525" s="26"/>
      <c r="H6525" s="26"/>
      <c r="I6525" s="26"/>
      <c r="J6525" s="26"/>
      <c r="K6525" s="26"/>
      <c r="L6525" s="26"/>
      <c r="M6525" s="26"/>
      <c r="N6525" s="26"/>
      <c r="O6525" s="14" t="str">
        <f>HYPERLINK("https://otsuka-europe-crm.veevavault.com/ui/#object/email_activity__v/V8C00000004G032", "EN-002109826")</f>
        <v>EN-002109826</v>
      </c>
    </row>
    <row r="6526" spans="1:15" ht="16" x14ac:dyDescent="0.2">
      <c r="A6526" s="19"/>
      <c r="B6526" s="19"/>
      <c r="C6526" s="19"/>
      <c r="D6526" s="19"/>
      <c r="E6526" s="19"/>
      <c r="F6526" s="19"/>
      <c r="G6526" s="19"/>
      <c r="H6526" s="19"/>
      <c r="I6526" s="19"/>
      <c r="J6526" s="19"/>
      <c r="K6526" s="19"/>
      <c r="L6526" s="19"/>
      <c r="M6526" s="19"/>
      <c r="N6526" s="19"/>
      <c r="O6526" s="14" t="str">
        <f>HYPERLINK("https://otsuka-europe-crm.veevavault.com/ui/#object/email_activity__v/V8C00000004H026", "EN-002110976")</f>
        <v>EN-002110976</v>
      </c>
    </row>
    <row r="6527" spans="1:15" ht="16" x14ac:dyDescent="0.2">
      <c r="A6527" s="18" t="str">
        <f>HYPERLINK("https://otsuka-europe-crm.veevavault.com/ui/#object/account__v/V4TZ025E832AR9M", "VITTORIO DI MASO")</f>
        <v>VITTORIO DI MASO</v>
      </c>
      <c r="B6527" s="18" t="str">
        <f>HYPERLINK("https://otsuka-europe-crm.veevavault.com/ui/#object/vcountry__v/VENZ000004SONFQ", "IT")</f>
        <v>IT</v>
      </c>
      <c r="C6527" s="20" t="s">
        <v>42</v>
      </c>
      <c r="D6527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527" s="22" t="str">
        <f>HYPERLINK("https://otsuka-europe-crm.veevavault.com/ui/#object/sent_email__v/VBL00000003A299", "SE-001444708")</f>
        <v>SE-001444708</v>
      </c>
      <c r="F6527" s="23"/>
      <c r="G6527" s="24">
        <v>0</v>
      </c>
      <c r="H6527" s="24">
        <v>0</v>
      </c>
      <c r="I6527" s="24">
        <v>0</v>
      </c>
      <c r="J6527" s="23"/>
      <c r="K6527" s="24">
        <v>0</v>
      </c>
      <c r="L6527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527" s="22" t="str">
        <f>HYPERLINK("mailto:matteo.digennaro@crm.otsuka-europe.com", "matteo.digennaro@crm.otsuka-europe.com")</f>
        <v>matteo.digennaro@crm.otsuka-europe.com</v>
      </c>
      <c r="N6527" s="25">
        <v>46226.29923611111</v>
      </c>
      <c r="O6527" s="14" t="str">
        <f>HYPERLINK("https://otsuka-europe-crm.veevavault.com/ui/#object/email_activity__v/V8C00000004B408", "EN-002107422")</f>
        <v>EN-002107422</v>
      </c>
    </row>
    <row r="6528" spans="1:15" ht="16" x14ac:dyDescent="0.2">
      <c r="A6528" s="26"/>
      <c r="B6528" s="26"/>
      <c r="C6528" s="26"/>
      <c r="D6528" s="26"/>
      <c r="E6528" s="26"/>
      <c r="F6528" s="26"/>
      <c r="G6528" s="26"/>
      <c r="H6528" s="26"/>
      <c r="I6528" s="26"/>
      <c r="J6528" s="26"/>
      <c r="K6528" s="26"/>
      <c r="L6528" s="26"/>
      <c r="M6528" s="26"/>
      <c r="N6528" s="26"/>
      <c r="O6528" s="14" t="str">
        <f>HYPERLINK("https://otsuka-europe-crm.veevavault.com/ui/#object/email_activity__v/V8C00000004D034", "EN-002108257")</f>
        <v>EN-002108257</v>
      </c>
    </row>
    <row r="6529" spans="1:15" ht="16" x14ac:dyDescent="0.2">
      <c r="A6529" s="26"/>
      <c r="B6529" s="26"/>
      <c r="C6529" s="26"/>
      <c r="D6529" s="26"/>
      <c r="E6529" s="26"/>
      <c r="F6529" s="26"/>
      <c r="G6529" s="26"/>
      <c r="H6529" s="26"/>
      <c r="I6529" s="26"/>
      <c r="J6529" s="26"/>
      <c r="K6529" s="26"/>
      <c r="L6529" s="26"/>
      <c r="M6529" s="26"/>
      <c r="N6529" s="26"/>
      <c r="O6529" s="14" t="str">
        <f>HYPERLINK("https://otsuka-europe-crm.veevavault.com/ui/#object/email_activity__v/V8C00000004G028", "EN-002109822")</f>
        <v>EN-002109822</v>
      </c>
    </row>
    <row r="6530" spans="1:15" ht="16" x14ac:dyDescent="0.2">
      <c r="A6530" s="19"/>
      <c r="B6530" s="19"/>
      <c r="C6530" s="19"/>
      <c r="D6530" s="19"/>
      <c r="E6530" s="19"/>
      <c r="F6530" s="19"/>
      <c r="G6530" s="19"/>
      <c r="H6530" s="19"/>
      <c r="I6530" s="19"/>
      <c r="J6530" s="19"/>
      <c r="K6530" s="19"/>
      <c r="L6530" s="19"/>
      <c r="M6530" s="19"/>
      <c r="N6530" s="19"/>
      <c r="O6530" s="14" t="str">
        <f>HYPERLINK("https://otsuka-europe-crm.veevavault.com/ui/#object/email_activity__v/V8C00000004H022", "EN-002110972")</f>
        <v>EN-002110972</v>
      </c>
    </row>
    <row r="6531" spans="1:15" ht="32" x14ac:dyDescent="0.2">
      <c r="A6531" s="7" t="str">
        <f>HYPERLINK("https://otsuka-europe-crm.veevavault.com/ui/#object/account__v/V4TZ025E8430YQ4", "LUCA PICCO")</f>
        <v>LUCA PICCO</v>
      </c>
      <c r="B6531" s="7" t="str">
        <f>HYPERLINK("https://otsuka-europe-crm.veevavault.com/ui/#object/vcountry__v/VENZ000004SONFQ", "IT")</f>
        <v>IT</v>
      </c>
      <c r="C6531" s="8" t="s">
        <v>42</v>
      </c>
      <c r="D6531" s="9" t="str">
        <f>HYPERLINK("https://otsuka-europe-crm.veevavault.com/ui/#object/approved_document__v/V5OZ025E82RRA5M", "AURORA 2 - AE RHEUMA")</f>
        <v>AURORA 2 - AE RHEUMA</v>
      </c>
      <c r="E6531" s="10" t="str">
        <f>HYPERLINK("https://otsuka-europe-crm.veevavault.com/ui/#object/sent_email__v/VBL00000003A300", "SE-001444709")</f>
        <v>SE-001444709</v>
      </c>
      <c r="F6531" s="11"/>
      <c r="G6531" s="12">
        <v>0</v>
      </c>
      <c r="H6531" s="12">
        <v>0</v>
      </c>
      <c r="I6531" s="12">
        <v>0</v>
      </c>
      <c r="J6531" s="11"/>
      <c r="K6531" s="12">
        <v>0</v>
      </c>
      <c r="L6531" s="10" t="str">
        <f>HYPERLINK("https://otsuka-europe-crm.veevavault.com/ui/#object/approved_document__v/V5OZ025E82RRA5M", "AURORA 2 - AE RHEUMA")</f>
        <v>AURORA 2 - AE RHEUMA</v>
      </c>
      <c r="M6531" s="10" t="str">
        <f>HYPERLINK("mailto:matteo.digennaro@crm.otsuka-europe.com", "matteo.digennaro@crm.otsuka-europe.com")</f>
        <v>matteo.digennaro@crm.otsuka-europe.com</v>
      </c>
      <c r="N6531" s="13">
        <v>46226.299259259256</v>
      </c>
      <c r="O6531" s="14" t="str">
        <f>HYPERLINK("https://otsuka-europe-crm.veevavault.com/ui/#object/email_activity__v/V8C00000004B392", "EN-002107406")</f>
        <v>EN-002107406</v>
      </c>
    </row>
    <row r="6532" spans="1:15" ht="16" x14ac:dyDescent="0.2">
      <c r="A6532" s="18" t="str">
        <f>HYPERLINK("https://otsuka-europe-crm.veevavault.com/ui/#object/account__v/V4TZ025E8430YQ4", "LUCA PICCO")</f>
        <v>LUCA PICCO</v>
      </c>
      <c r="B6532" s="18" t="str">
        <f>HYPERLINK("https://otsuka-europe-crm.veevavault.com/ui/#object/vcountry__v/VENZ000004SONFQ", "IT")</f>
        <v>IT</v>
      </c>
      <c r="C6532" s="20" t="s">
        <v>42</v>
      </c>
      <c r="D6532" s="21" t="str">
        <f>HYPERLINK("https://otsuka-europe-crm.veevavault.com/ui/#object/approved_document__v/V5OZ025E82RR47U", "AE Focus pz prevalenti- IT-LUP-2500005 Reuma")</f>
        <v>AE Focus pz prevalenti- IT-LUP-2500005 Reuma</v>
      </c>
      <c r="E6532" s="22" t="str">
        <f>HYPERLINK("https://otsuka-europe-crm.veevavault.com/ui/#object/sent_email__v/VBL00000003A301", "SE-001444710")</f>
        <v>SE-001444710</v>
      </c>
      <c r="F6532" s="23"/>
      <c r="G6532" s="24">
        <v>0</v>
      </c>
      <c r="H6532" s="24">
        <v>0</v>
      </c>
      <c r="I6532" s="24">
        <v>0</v>
      </c>
      <c r="J6532" s="23"/>
      <c r="K6532" s="24">
        <v>0</v>
      </c>
      <c r="L6532" s="22" t="str">
        <f>HYPERLINK("https://otsuka-europe-crm.veevavault.com/ui/#object/approved_document__v/V5OZ025E82RR47U", "AE Focus pz prevalenti- IT-LUP-2500005 Reuma")</f>
        <v>AE Focus pz prevalenti- IT-LUP-2500005 Reuma</v>
      </c>
      <c r="M6532" s="22" t="str">
        <f>HYPERLINK("mailto:matteo.digennaro@crm.otsuka-europe.com", "matteo.digennaro@crm.otsuka-europe.com")</f>
        <v>matteo.digennaro@crm.otsuka-europe.com</v>
      </c>
      <c r="N6532" s="25">
        <v>46226.299224537041</v>
      </c>
      <c r="O6532" s="14" t="str">
        <f>HYPERLINK("https://otsuka-europe-crm.veevavault.com/ui/#object/email_activity__v/V8C00000004B620", "EN-002107731")</f>
        <v>EN-002107731</v>
      </c>
    </row>
    <row r="6533" spans="1:15" ht="16" x14ac:dyDescent="0.2">
      <c r="A6533" s="19"/>
      <c r="B6533" s="19"/>
      <c r="C6533" s="19"/>
      <c r="D6533" s="19"/>
      <c r="E6533" s="19"/>
      <c r="F6533" s="19"/>
      <c r="G6533" s="19"/>
      <c r="H6533" s="19"/>
      <c r="I6533" s="19"/>
      <c r="J6533" s="19"/>
      <c r="K6533" s="19"/>
      <c r="L6533" s="19"/>
      <c r="M6533" s="19"/>
      <c r="N6533" s="19"/>
      <c r="O6533" s="14" t="str">
        <f>HYPERLINK("https://otsuka-europe-crm.veevavault.com/ui/#object/email_activity__v/V8C00000004C504", "EN-002108002")</f>
        <v>EN-002108002</v>
      </c>
    </row>
    <row r="6534" spans="1:15" ht="32" x14ac:dyDescent="0.2">
      <c r="A6534" s="7" t="str">
        <f>HYPERLINK("https://otsuka-europe-crm.veevavault.com/ui/#object/account__v/V4TZ025E8430YQ4", "LUCA PICCO")</f>
        <v>LUCA PICCO</v>
      </c>
      <c r="B6534" s="7" t="str">
        <f>HYPERLINK("https://otsuka-europe-crm.veevavault.com/ui/#object/vcountry__v/VENZ000004SONFQ", "IT")</f>
        <v>IT</v>
      </c>
      <c r="C6534" s="8" t="s">
        <v>42</v>
      </c>
      <c r="D6534" s="9" t="str">
        <f>HYPERLINK("https://otsuka-europe-crm.veevavault.com/ui/#object/approved_document__v/V5OZ025E82RR47L", "RTE Proteinuria C1 - IT-LUP-2500006 - Reuma")</f>
        <v>RTE Proteinuria C1 - IT-LUP-2500006 - Reuma</v>
      </c>
      <c r="E6534" s="10" t="str">
        <f>HYPERLINK("https://otsuka-europe-crm.veevavault.com/ui/#object/sent_email__v/VBL00000003A302", "SE-001444711")</f>
        <v>SE-001444711</v>
      </c>
      <c r="F6534" s="11"/>
      <c r="G6534" s="12">
        <v>0</v>
      </c>
      <c r="H6534" s="12">
        <v>0</v>
      </c>
      <c r="I6534" s="12">
        <v>0</v>
      </c>
      <c r="J6534" s="11"/>
      <c r="K6534" s="12">
        <v>0</v>
      </c>
      <c r="L6534" s="10" t="str">
        <f>HYPERLINK("https://otsuka-europe-crm.veevavault.com/ui/#object/approved_document__v/V5OZ025E82RR47L", "RTE Proteinuria C1 - IT-LUP-2500006 - Reuma")</f>
        <v>RTE Proteinuria C1 - IT-LUP-2500006 - Reuma</v>
      </c>
      <c r="M6534" s="10" t="str">
        <f>HYPERLINK("mailto:matteo.digennaro@crm.otsuka-europe.com", "matteo.digennaro@crm.otsuka-europe.com")</f>
        <v>matteo.digennaro@crm.otsuka-europe.com</v>
      </c>
      <c r="N6534" s="13">
        <v>46226.29928240741</v>
      </c>
      <c r="O6534" s="14" t="str">
        <f>HYPERLINK("https://otsuka-europe-crm.veevavault.com/ui/#object/email_activity__v/V8C00000004C301", "EN-002107466")</f>
        <v>EN-002107466</v>
      </c>
    </row>
    <row r="6535" spans="1:15" ht="16" x14ac:dyDescent="0.2">
      <c r="A6535" s="18" t="str">
        <f>HYPERLINK("https://otsuka-europe-crm.veevavault.com/ui/#object/account__v/V4TZ025E8430YQ4", "LUCA PICCO")</f>
        <v>LUCA PICCO</v>
      </c>
      <c r="B6535" s="18" t="str">
        <f>HYPERLINK("https://otsuka-europe-crm.veevavault.com/ui/#object/vcountry__v/VENZ000004SONFQ", "IT")</f>
        <v>IT</v>
      </c>
      <c r="C6535" s="20" t="s">
        <v>42</v>
      </c>
      <c r="D6535" s="21" t="str">
        <f>HYPERLINK("https://otsuka-europe-crm.veevavault.com/ui/#object/approved_document__v/V5OZ025E82RR47W", "AE Propensity Analysis- IT-LUP-2500004 Reuma")</f>
        <v>AE Propensity Analysis- IT-LUP-2500004 Reuma</v>
      </c>
      <c r="E6535" s="22" t="str">
        <f>HYPERLINK("https://otsuka-europe-crm.veevavault.com/ui/#object/sent_email__v/VBL00000003A303", "SE-001444712")</f>
        <v>SE-001444712</v>
      </c>
      <c r="F6535" s="23"/>
      <c r="G6535" s="24">
        <v>0</v>
      </c>
      <c r="H6535" s="24">
        <v>0</v>
      </c>
      <c r="I6535" s="24">
        <v>0</v>
      </c>
      <c r="J6535" s="23"/>
      <c r="K6535" s="24">
        <v>0</v>
      </c>
      <c r="L6535" s="22" t="str">
        <f>HYPERLINK("https://otsuka-europe-crm.veevavault.com/ui/#object/approved_document__v/V5OZ025E82RR47W", "AE Propensity Analysis- IT-LUP-2500004 Reuma")</f>
        <v>AE Propensity Analysis- IT-LUP-2500004 Reuma</v>
      </c>
      <c r="M6535" s="22" t="str">
        <f>HYPERLINK("mailto:matteo.digennaro@crm.otsuka-europe.com", "matteo.digennaro@crm.otsuka-europe.com")</f>
        <v>matteo.digennaro@crm.otsuka-europe.com</v>
      </c>
      <c r="N6535" s="25">
        <v>46226.29923611111</v>
      </c>
      <c r="O6535" s="14" t="str">
        <f>HYPERLINK("https://otsuka-europe-crm.veevavault.com/ui/#object/email_activity__v/V8C00000004B621", "EN-002107732")</f>
        <v>EN-002107732</v>
      </c>
    </row>
    <row r="6536" spans="1:15" ht="16" x14ac:dyDescent="0.2">
      <c r="A6536" s="19"/>
      <c r="B6536" s="19"/>
      <c r="C6536" s="19"/>
      <c r="D6536" s="19"/>
      <c r="E6536" s="19"/>
      <c r="F6536" s="19"/>
      <c r="G6536" s="19"/>
      <c r="H6536" s="19"/>
      <c r="I6536" s="19"/>
      <c r="J6536" s="19"/>
      <c r="K6536" s="19"/>
      <c r="L6536" s="19"/>
      <c r="M6536" s="19"/>
      <c r="N6536" s="19"/>
      <c r="O6536" s="14" t="str">
        <f>HYPERLINK("https://otsuka-europe-crm.veevavault.com/ui/#object/email_activity__v/V8C00000004C555", "EN-002108065")</f>
        <v>EN-002108065</v>
      </c>
    </row>
    <row r="6537" spans="1:15" ht="16" x14ac:dyDescent="0.2">
      <c r="A6537" s="18" t="str">
        <f>HYPERLINK("https://otsuka-europe-crm.veevavault.com/ui/#object/account__v/V4TZ025E8430YQ4", "LUCA PICCO")</f>
        <v>LUCA PICCO</v>
      </c>
      <c r="B6537" s="18" t="str">
        <f>HYPERLINK("https://otsuka-europe-crm.veevavault.com/ui/#object/vcountry__v/VENZ000004SONFQ", "IT")</f>
        <v>IT</v>
      </c>
      <c r="C6537" s="20" t="s">
        <v>42</v>
      </c>
      <c r="D6537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537" s="22" t="str">
        <f>HYPERLINK("https://otsuka-europe-crm.veevavault.com/ui/#object/sent_email__v/VBL00000003A304", "SE-001444713")</f>
        <v>SE-001444713</v>
      </c>
      <c r="F6537" s="23"/>
      <c r="G6537" s="24">
        <v>0</v>
      </c>
      <c r="H6537" s="24">
        <v>0</v>
      </c>
      <c r="I6537" s="24">
        <v>0</v>
      </c>
      <c r="J6537" s="23"/>
      <c r="K6537" s="24">
        <v>0</v>
      </c>
      <c r="L6537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537" s="22" t="str">
        <f>HYPERLINK("mailto:matteo.digennaro@crm.otsuka-europe.com", "matteo.digennaro@crm.otsuka-europe.com")</f>
        <v>matteo.digennaro@crm.otsuka-europe.com</v>
      </c>
      <c r="N6537" s="25">
        <v>46226.29923611111</v>
      </c>
      <c r="O6537" s="14" t="str">
        <f>HYPERLINK("https://otsuka-europe-crm.veevavault.com/ui/#object/email_activity__v/V8C00000004B622", "EN-002107733")</f>
        <v>EN-002107733</v>
      </c>
    </row>
    <row r="6538" spans="1:15" ht="16" x14ac:dyDescent="0.2">
      <c r="A6538" s="19"/>
      <c r="B6538" s="19"/>
      <c r="C6538" s="19"/>
      <c r="D6538" s="19"/>
      <c r="E6538" s="19"/>
      <c r="F6538" s="19"/>
      <c r="G6538" s="19"/>
      <c r="H6538" s="19"/>
      <c r="I6538" s="19"/>
      <c r="J6538" s="19"/>
      <c r="K6538" s="19"/>
      <c r="L6538" s="19"/>
      <c r="M6538" s="19"/>
      <c r="N6538" s="19"/>
      <c r="O6538" s="14" t="str">
        <f>HYPERLINK("https://otsuka-europe-crm.veevavault.com/ui/#object/email_activity__v/V8C00000004B867", "EN-002108178")</f>
        <v>EN-002108178</v>
      </c>
    </row>
    <row r="6539" spans="1:15" ht="16" x14ac:dyDescent="0.2">
      <c r="A6539" s="18" t="str">
        <f>HYPERLINK("https://otsuka-europe-crm.veevavault.com/ui/#object/account__v/V4TZ06G6O71SBC9", "WALTER MANCINI")</f>
        <v>WALTER MANCINI</v>
      </c>
      <c r="B6539" s="18" t="str">
        <f>HYPERLINK("https://otsuka-europe-crm.veevavault.com/ui/#object/vcountry__v/VENZ000004SONFQ", "IT")</f>
        <v>IT</v>
      </c>
      <c r="C6539" s="20" t="s">
        <v>42</v>
      </c>
      <c r="D6539" s="21" t="str">
        <f>HYPERLINK("https://otsuka-europe-crm.veevavault.com/ui/#object/approved_document__v/V5OZ025E82RRA5I", "AURORA 2 - AE NEPHRO")</f>
        <v>AURORA 2 - AE NEPHRO</v>
      </c>
      <c r="E6539" s="22" t="str">
        <f>HYPERLINK("https://otsuka-europe-crm.veevavault.com/ui/#object/sent_email__v/VBL00000003A305", "SE-001444714")</f>
        <v>SE-001444714</v>
      </c>
      <c r="F6539" s="23"/>
      <c r="G6539" s="24">
        <v>0</v>
      </c>
      <c r="H6539" s="24">
        <v>0</v>
      </c>
      <c r="I6539" s="24">
        <v>0</v>
      </c>
      <c r="J6539" s="23"/>
      <c r="K6539" s="24">
        <v>0</v>
      </c>
      <c r="L6539" s="22" t="str">
        <f>HYPERLINK("https://otsuka-europe-crm.veevavault.com/ui/#object/approved_document__v/V5OZ025E82RRA5I", "AURORA 2 - AE NEPHRO")</f>
        <v>AURORA 2 - AE NEPHRO</v>
      </c>
      <c r="M6539" s="22" t="str">
        <f>HYPERLINK("mailto:matteo.digennaro@crm.otsuka-europe.com", "matteo.digennaro@crm.otsuka-europe.com")</f>
        <v>matteo.digennaro@crm.otsuka-europe.com</v>
      </c>
      <c r="N6539" s="25">
        <v>46226.299293981479</v>
      </c>
      <c r="O6539" s="14" t="str">
        <f>HYPERLINK("https://otsuka-europe-crm.veevavault.com/ui/#object/email_activity__v/V8C00000004B623", "EN-002107734")</f>
        <v>EN-002107734</v>
      </c>
    </row>
    <row r="6540" spans="1:15" ht="16" x14ac:dyDescent="0.2">
      <c r="A6540" s="19"/>
      <c r="B6540" s="19"/>
      <c r="C6540" s="19"/>
      <c r="D6540" s="19"/>
      <c r="E6540" s="19"/>
      <c r="F6540" s="19"/>
      <c r="G6540" s="19"/>
      <c r="H6540" s="19"/>
      <c r="I6540" s="19"/>
      <c r="J6540" s="19"/>
      <c r="K6540" s="19"/>
      <c r="L6540" s="19"/>
      <c r="M6540" s="19"/>
      <c r="N6540" s="19"/>
      <c r="O6540" s="14" t="str">
        <f>HYPERLINK("https://otsuka-europe-crm.veevavault.com/ui/#object/email_activity__v/V8C00000004B692", "EN-002107819")</f>
        <v>EN-002107819</v>
      </c>
    </row>
    <row r="6541" spans="1:15" ht="32" x14ac:dyDescent="0.2">
      <c r="A6541" s="7" t="str">
        <f>HYPERLINK("https://otsuka-europe-crm.veevavault.com/ui/#object/account__v/V4TZ06G6O71SBC9", "WALTER MANCINI")</f>
        <v>WALTER MANCINI</v>
      </c>
      <c r="B6541" s="7" t="str">
        <f>HYPERLINK("https://otsuka-europe-crm.veevavault.com/ui/#object/vcountry__v/VENZ000004SONFQ", "IT")</f>
        <v>IT</v>
      </c>
      <c r="C6541" s="8" t="s">
        <v>42</v>
      </c>
      <c r="D6541" s="9" t="str">
        <f>HYPERLINK("https://otsuka-europe-crm.veevavault.com/ui/#object/approved_document__v/V5OZ025E82RR47S", "AE Focus pz prevalenti- IT-LUP-2500005 Nefro")</f>
        <v>AE Focus pz prevalenti- IT-LUP-2500005 Nefro</v>
      </c>
      <c r="E6541" s="10" t="str">
        <f>HYPERLINK("https://otsuka-europe-crm.veevavault.com/ui/#object/sent_email__v/VBL00000003A306", "SE-001444715")</f>
        <v>SE-001444715</v>
      </c>
      <c r="F6541" s="11"/>
      <c r="G6541" s="12">
        <v>0</v>
      </c>
      <c r="H6541" s="12">
        <v>0</v>
      </c>
      <c r="I6541" s="12">
        <v>0</v>
      </c>
      <c r="J6541" s="11"/>
      <c r="K6541" s="12">
        <v>0</v>
      </c>
      <c r="L6541" s="10" t="str">
        <f>HYPERLINK("https://otsuka-europe-crm.veevavault.com/ui/#object/approved_document__v/V5OZ025E82RR47S", "AE Focus pz prevalenti- IT-LUP-2500005 Nefro")</f>
        <v>AE Focus pz prevalenti- IT-LUP-2500005 Nefro</v>
      </c>
      <c r="M6541" s="10" t="str">
        <f>HYPERLINK("mailto:matteo.digennaro@crm.otsuka-europe.com", "matteo.digennaro@crm.otsuka-europe.com")</f>
        <v>matteo.digennaro@crm.otsuka-europe.com</v>
      </c>
      <c r="N6541" s="13">
        <v>46226.299247685187</v>
      </c>
      <c r="O6541" s="14" t="str">
        <f>HYPERLINK("https://otsuka-europe-crm.veevavault.com/ui/#object/email_activity__v/V8C00000004C292", "EN-002107457")</f>
        <v>EN-002107457</v>
      </c>
    </row>
    <row r="6542" spans="1:15" ht="32" x14ac:dyDescent="0.2">
      <c r="A6542" s="7" t="str">
        <f>HYPERLINK("https://otsuka-europe-crm.veevavault.com/ui/#object/account__v/V4TZ06G6O71SBC9", "WALTER MANCINI")</f>
        <v>WALTER MANCINI</v>
      </c>
      <c r="B6542" s="7" t="str">
        <f>HYPERLINK("https://otsuka-europe-crm.veevavault.com/ui/#object/vcountry__v/VENZ000004SONFQ", "IT")</f>
        <v>IT</v>
      </c>
      <c r="C6542" s="8" t="s">
        <v>42</v>
      </c>
      <c r="D6542" s="9" t="str">
        <f>HYPERLINK("https://otsuka-europe-crm.veevavault.com/ui/#object/approved_document__v/V5OZ025E82RR47T", "AE Propensity Analysis- IT-LUP-2500004 Nefro")</f>
        <v>AE Propensity Analysis- IT-LUP-2500004 Nefro</v>
      </c>
      <c r="E6542" s="10" t="str">
        <f>HYPERLINK("https://otsuka-europe-crm.veevavault.com/ui/#object/sent_email__v/VBL00000003A307", "SE-001444716")</f>
        <v>SE-001444716</v>
      </c>
      <c r="F6542" s="11"/>
      <c r="G6542" s="12">
        <v>0</v>
      </c>
      <c r="H6542" s="12">
        <v>0</v>
      </c>
      <c r="I6542" s="12">
        <v>0</v>
      </c>
      <c r="J6542" s="11"/>
      <c r="K6542" s="12">
        <v>0</v>
      </c>
      <c r="L6542" s="10" t="str">
        <f>HYPERLINK("https://otsuka-europe-crm.veevavault.com/ui/#object/approved_document__v/V5OZ025E82RR47T", "AE Propensity Analysis- IT-LUP-2500004 Nefro")</f>
        <v>AE Propensity Analysis- IT-LUP-2500004 Nefro</v>
      </c>
      <c r="M6542" s="10" t="str">
        <f>HYPERLINK("mailto:matteo.digennaro@crm.otsuka-europe.com", "matteo.digennaro@crm.otsuka-europe.com")</f>
        <v>matteo.digennaro@crm.otsuka-europe.com</v>
      </c>
      <c r="N6542" s="13">
        <v>46226.29923611111</v>
      </c>
      <c r="O6542" s="14" t="str">
        <f>HYPERLINK("https://otsuka-europe-crm.veevavault.com/ui/#object/email_activity__v/V8C00000004C237", "EN-002107309")</f>
        <v>EN-002107309</v>
      </c>
    </row>
    <row r="6543" spans="1:15" ht="32" x14ac:dyDescent="0.2">
      <c r="A6543" s="7" t="str">
        <f>HYPERLINK("https://otsuka-europe-crm.veevavault.com/ui/#object/account__v/V4TZ06G6O71SBC9", "WALTER MANCINI")</f>
        <v>WALTER MANCINI</v>
      </c>
      <c r="B6543" s="7" t="str">
        <f>HYPERLINK("https://otsuka-europe-crm.veevavault.com/ui/#object/vcountry__v/VENZ000004SONFQ", "IT")</f>
        <v>IT</v>
      </c>
      <c r="C6543" s="8" t="s">
        <v>42</v>
      </c>
      <c r="D6543" s="9" t="str">
        <f>HYPERLINK("https://otsuka-europe-crm.veevavault.com/ui/#object/approved_document__v/V5OZ025E82RR480", "RTE Proteinuria C1 - IT-LUP-2500006 - Nephro")</f>
        <v>RTE Proteinuria C1 - IT-LUP-2500006 - Nephro</v>
      </c>
      <c r="E6543" s="10" t="str">
        <f>HYPERLINK("https://otsuka-europe-crm.veevavault.com/ui/#object/sent_email__v/VBL000000039172", "SE-001444717")</f>
        <v>SE-001444717</v>
      </c>
      <c r="F6543" s="11"/>
      <c r="G6543" s="12">
        <v>0</v>
      </c>
      <c r="H6543" s="12">
        <v>0</v>
      </c>
      <c r="I6543" s="12">
        <v>0</v>
      </c>
      <c r="J6543" s="11"/>
      <c r="K6543" s="12">
        <v>0</v>
      </c>
      <c r="L6543" s="10" t="str">
        <f>HYPERLINK("https://otsuka-europe-crm.veevavault.com/ui/#object/approved_document__v/V5OZ025E82RR480", "RTE Proteinuria C1 - IT-LUP-2500006 - Nephro")</f>
        <v>RTE Proteinuria C1 - IT-LUP-2500006 - Nephro</v>
      </c>
      <c r="M6543" s="10" t="str">
        <f>HYPERLINK("mailto:matteo.digennaro@crm.otsuka-europe.com", "matteo.digennaro@crm.otsuka-europe.com")</f>
        <v>matteo.digennaro@crm.otsuka-europe.com</v>
      </c>
      <c r="N6543" s="13">
        <v>46226.299224537041</v>
      </c>
      <c r="O6543" s="14" t="str">
        <f>HYPERLINK("https://otsuka-europe-crm.veevavault.com/ui/#object/email_activity__v/V8C00000004C291", "EN-002107456")</f>
        <v>EN-002107456</v>
      </c>
    </row>
    <row r="6544" spans="1:15" ht="16" x14ac:dyDescent="0.2">
      <c r="A6544" s="18" t="str">
        <f>HYPERLINK("https://otsuka-europe-crm.veevavault.com/ui/#object/account__v/V4TZ06G6O71SBC9", "WALTER MANCINI")</f>
        <v>WALTER MANCINI</v>
      </c>
      <c r="B6544" s="18" t="str">
        <f>HYPERLINK("https://otsuka-europe-crm.veevavault.com/ui/#object/vcountry__v/VENZ000004SONFQ", "IT")</f>
        <v>IT</v>
      </c>
      <c r="C6544" s="20" t="s">
        <v>42</v>
      </c>
      <c r="D6544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544" s="22" t="str">
        <f>HYPERLINK("https://otsuka-europe-crm.veevavault.com/ui/#object/sent_email__v/VBL000000039173", "SE-001444718")</f>
        <v>SE-001444718</v>
      </c>
      <c r="F6544" s="23"/>
      <c r="G6544" s="24">
        <v>0</v>
      </c>
      <c r="H6544" s="24">
        <v>0</v>
      </c>
      <c r="I6544" s="24">
        <v>0</v>
      </c>
      <c r="J6544" s="23"/>
      <c r="K6544" s="24">
        <v>0</v>
      </c>
      <c r="L6544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544" s="22" t="str">
        <f>HYPERLINK("mailto:matteo.digennaro@crm.otsuka-europe.com", "matteo.digennaro@crm.otsuka-europe.com")</f>
        <v>matteo.digennaro@crm.otsuka-europe.com</v>
      </c>
      <c r="N6544" s="25">
        <v>46226.29923611111</v>
      </c>
      <c r="O6544" s="14" t="str">
        <f>HYPERLINK("https://otsuka-europe-crm.veevavault.com/ui/#object/email_activity__v/V8C00000004B531", "EN-002107642")</f>
        <v>EN-002107642</v>
      </c>
    </row>
    <row r="6545" spans="1:15" ht="16" x14ac:dyDescent="0.2">
      <c r="A6545" s="19"/>
      <c r="B6545" s="19"/>
      <c r="C6545" s="19"/>
      <c r="D6545" s="19"/>
      <c r="E6545" s="19"/>
      <c r="F6545" s="19"/>
      <c r="G6545" s="19"/>
      <c r="H6545" s="19"/>
      <c r="I6545" s="19"/>
      <c r="J6545" s="19"/>
      <c r="K6545" s="19"/>
      <c r="L6545" s="19"/>
      <c r="M6545" s="19"/>
      <c r="N6545" s="19"/>
      <c r="O6545" s="14" t="str">
        <f>HYPERLINK("https://otsuka-europe-crm.veevavault.com/ui/#object/email_activity__v/V8C00000004C415", "EN-002107856")</f>
        <v>EN-002107856</v>
      </c>
    </row>
    <row r="6546" spans="1:15" ht="16" x14ac:dyDescent="0.2">
      <c r="A6546" s="18" t="str">
        <f>HYPERLINK("https://otsuka-europe-crm.veevavault.com/ui/#object/account__v/V4TZ025E845VHRX", "VALENTINA BLANCO")</f>
        <v>VALENTINA BLANCO</v>
      </c>
      <c r="B6546" s="18" t="str">
        <f>HYPERLINK("https://otsuka-europe-crm.veevavault.com/ui/#object/vcountry__v/VENZ000004SONFQ", "IT")</f>
        <v>IT</v>
      </c>
      <c r="C6546" s="20" t="s">
        <v>42</v>
      </c>
      <c r="D6546" s="21" t="str">
        <f>HYPERLINK("https://otsuka-europe-crm.veevavault.com/ui/#object/approved_document__v/V5OZ025E82RRA5I", "AURORA 2 - AE NEPHRO")</f>
        <v>AURORA 2 - AE NEPHRO</v>
      </c>
      <c r="E6546" s="22" t="str">
        <f>HYPERLINK("https://otsuka-europe-crm.veevavault.com/ui/#object/sent_email__v/VBL000000039174", "SE-001444719")</f>
        <v>SE-001444719</v>
      </c>
      <c r="F6546" s="23"/>
      <c r="G6546" s="24">
        <v>0</v>
      </c>
      <c r="H6546" s="24">
        <v>0</v>
      </c>
      <c r="I6546" s="24">
        <v>0</v>
      </c>
      <c r="J6546" s="23"/>
      <c r="K6546" s="24">
        <v>0</v>
      </c>
      <c r="L6546" s="22" t="str">
        <f>HYPERLINK("https://otsuka-europe-crm.veevavault.com/ui/#object/approved_document__v/V5OZ025E82RRA5I", "AURORA 2 - AE NEPHRO")</f>
        <v>AURORA 2 - AE NEPHRO</v>
      </c>
      <c r="M6546" s="22" t="str">
        <f>HYPERLINK("mailto:matteo.digennaro@crm.otsuka-europe.com", "matteo.digennaro@crm.otsuka-europe.com")</f>
        <v>matteo.digennaro@crm.otsuka-europe.com</v>
      </c>
      <c r="N6546" s="25">
        <v>46226.299293981479</v>
      </c>
      <c r="O6546" s="14" t="str">
        <f>HYPERLINK("https://otsuka-europe-crm.veevavault.com/ui/#object/email_activity__v/V8C00000004B532", "EN-002107643")</f>
        <v>EN-002107643</v>
      </c>
    </row>
    <row r="6547" spans="1:15" ht="16" x14ac:dyDescent="0.2">
      <c r="A6547" s="19"/>
      <c r="B6547" s="19"/>
      <c r="C6547" s="19"/>
      <c r="D6547" s="19"/>
      <c r="E6547" s="19"/>
      <c r="F6547" s="19"/>
      <c r="G6547" s="19"/>
      <c r="H6547" s="19"/>
      <c r="I6547" s="19"/>
      <c r="J6547" s="19"/>
      <c r="K6547" s="19"/>
      <c r="L6547" s="19"/>
      <c r="M6547" s="19"/>
      <c r="N6547" s="19"/>
      <c r="O6547" s="14" t="str">
        <f>HYPERLINK("https://otsuka-europe-crm.veevavault.com/ui/#object/email_activity__v/V8C00000004C571", "EN-002108081")</f>
        <v>EN-002108081</v>
      </c>
    </row>
    <row r="6548" spans="1:15" ht="16" x14ac:dyDescent="0.2">
      <c r="A6548" s="18" t="str">
        <f>HYPERLINK("https://otsuka-europe-crm.veevavault.com/ui/#object/account__v/V4TZ025E845VHRX", "VALENTINA BLANCO")</f>
        <v>VALENTINA BLANCO</v>
      </c>
      <c r="B6548" s="18" t="str">
        <f>HYPERLINK("https://otsuka-europe-crm.veevavault.com/ui/#object/vcountry__v/VENZ000004SONFQ", "IT")</f>
        <v>IT</v>
      </c>
      <c r="C6548" s="20" t="s">
        <v>42</v>
      </c>
      <c r="D6548" s="21" t="str">
        <f>HYPERLINK("https://otsuka-europe-crm.veevavault.com/ui/#object/approved_document__v/V5OZ025E82RR47S", "AE Focus pz prevalenti- IT-LUP-2500005 Nefro")</f>
        <v>AE Focus pz prevalenti- IT-LUP-2500005 Nefro</v>
      </c>
      <c r="E6548" s="22" t="str">
        <f>HYPERLINK("https://otsuka-europe-crm.veevavault.com/ui/#object/sent_email__v/VBL00000003A308", "SE-001444720")</f>
        <v>SE-001444720</v>
      </c>
      <c r="F6548" s="23"/>
      <c r="G6548" s="24">
        <v>0</v>
      </c>
      <c r="H6548" s="24">
        <v>0</v>
      </c>
      <c r="I6548" s="24">
        <v>0</v>
      </c>
      <c r="J6548" s="23"/>
      <c r="K6548" s="24">
        <v>0</v>
      </c>
      <c r="L6548" s="22" t="str">
        <f>HYPERLINK("https://otsuka-europe-crm.veevavault.com/ui/#object/approved_document__v/V5OZ025E82RR47S", "AE Focus pz prevalenti- IT-LUP-2500005 Nefro")</f>
        <v>AE Focus pz prevalenti- IT-LUP-2500005 Nefro</v>
      </c>
      <c r="M6548" s="22" t="str">
        <f>HYPERLINK("mailto:matteo.digennaro@crm.otsuka-europe.com", "matteo.digennaro@crm.otsuka-europe.com")</f>
        <v>matteo.digennaro@crm.otsuka-europe.com</v>
      </c>
      <c r="N6548" s="25">
        <v>46226.299247685187</v>
      </c>
      <c r="O6548" s="14" t="str">
        <f>HYPERLINK("https://otsuka-europe-crm.veevavault.com/ui/#object/email_activity__v/V8C00000004B624", "EN-002107735")</f>
        <v>EN-002107735</v>
      </c>
    </row>
    <row r="6549" spans="1:15" ht="16" x14ac:dyDescent="0.2">
      <c r="A6549" s="19"/>
      <c r="B6549" s="19"/>
      <c r="C6549" s="19"/>
      <c r="D6549" s="19"/>
      <c r="E6549" s="19"/>
      <c r="F6549" s="19"/>
      <c r="G6549" s="19"/>
      <c r="H6549" s="19"/>
      <c r="I6549" s="19"/>
      <c r="J6549" s="19"/>
      <c r="K6549" s="19"/>
      <c r="L6549" s="19"/>
      <c r="M6549" s="19"/>
      <c r="N6549" s="19"/>
      <c r="O6549" s="14" t="str">
        <f>HYPERLINK("https://otsuka-europe-crm.veevavault.com/ui/#object/email_activity__v/V8C00000004C568", "EN-002108078")</f>
        <v>EN-002108078</v>
      </c>
    </row>
    <row r="6550" spans="1:15" ht="16" x14ac:dyDescent="0.2">
      <c r="A6550" s="18" t="str">
        <f>HYPERLINK("https://otsuka-europe-crm.veevavault.com/ui/#object/account__v/V4TZ025E845VHRX", "VALENTINA BLANCO")</f>
        <v>VALENTINA BLANCO</v>
      </c>
      <c r="B6550" s="18" t="str">
        <f>HYPERLINK("https://otsuka-europe-crm.veevavault.com/ui/#object/vcountry__v/VENZ000004SONFQ", "IT")</f>
        <v>IT</v>
      </c>
      <c r="C6550" s="20" t="s">
        <v>42</v>
      </c>
      <c r="D6550" s="21" t="str">
        <f>HYPERLINK("https://otsuka-europe-crm.veevavault.com/ui/#object/approved_document__v/V5OZ025E82RR47T", "AE Propensity Analysis- IT-LUP-2500004 Nefro")</f>
        <v>AE Propensity Analysis- IT-LUP-2500004 Nefro</v>
      </c>
      <c r="E6550" s="22" t="str">
        <f>HYPERLINK("https://otsuka-europe-crm.veevavault.com/ui/#object/sent_email__v/VBL000000039175", "SE-001444721")</f>
        <v>SE-001444721</v>
      </c>
      <c r="F6550" s="23"/>
      <c r="G6550" s="24">
        <v>0</v>
      </c>
      <c r="H6550" s="24">
        <v>0</v>
      </c>
      <c r="I6550" s="24">
        <v>0</v>
      </c>
      <c r="J6550" s="23"/>
      <c r="K6550" s="24">
        <v>0</v>
      </c>
      <c r="L6550" s="22" t="str">
        <f>HYPERLINK("https://otsuka-europe-crm.veevavault.com/ui/#object/approved_document__v/V5OZ025E82RR47T", "AE Propensity Analysis- IT-LUP-2500004 Nefro")</f>
        <v>AE Propensity Analysis- IT-LUP-2500004 Nefro</v>
      </c>
      <c r="M6550" s="22" t="str">
        <f>HYPERLINK("mailto:matteo.digennaro@crm.otsuka-europe.com", "matteo.digennaro@crm.otsuka-europe.com")</f>
        <v>matteo.digennaro@crm.otsuka-europe.com</v>
      </c>
      <c r="N6550" s="25">
        <v>46226.299212962964</v>
      </c>
      <c r="O6550" s="14" t="str">
        <f>HYPERLINK("https://otsuka-europe-crm.veevavault.com/ui/#object/email_activity__v/V8C00000004B533", "EN-002107644")</f>
        <v>EN-002107644</v>
      </c>
    </row>
    <row r="6551" spans="1:15" ht="16" x14ac:dyDescent="0.2">
      <c r="A6551" s="19"/>
      <c r="B6551" s="19"/>
      <c r="C6551" s="19"/>
      <c r="D6551" s="19"/>
      <c r="E6551" s="19"/>
      <c r="F6551" s="19"/>
      <c r="G6551" s="19"/>
      <c r="H6551" s="19"/>
      <c r="I6551" s="19"/>
      <c r="J6551" s="19"/>
      <c r="K6551" s="19"/>
      <c r="L6551" s="19"/>
      <c r="M6551" s="19"/>
      <c r="N6551" s="19"/>
      <c r="O6551" s="14" t="str">
        <f>HYPERLINK("https://otsuka-europe-crm.veevavault.com/ui/#object/email_activity__v/V8C00000004C507", "EN-002108005")</f>
        <v>EN-002108005</v>
      </c>
    </row>
    <row r="6552" spans="1:15" ht="32" x14ac:dyDescent="0.2">
      <c r="A6552" s="7" t="str">
        <f>HYPERLINK("https://otsuka-europe-crm.veevavault.com/ui/#object/account__v/V4TZ025E845VHRX", "VALENTINA BLANCO")</f>
        <v>VALENTINA BLANCO</v>
      </c>
      <c r="B6552" s="7" t="str">
        <f>HYPERLINK("https://otsuka-europe-crm.veevavault.com/ui/#object/vcountry__v/VENZ000004SONFQ", "IT")</f>
        <v>IT</v>
      </c>
      <c r="C6552" s="8" t="s">
        <v>42</v>
      </c>
      <c r="D6552" s="9" t="str">
        <f>HYPERLINK("https://otsuka-europe-crm.veevavault.com/ui/#object/approved_document__v/V5OZ025E82RR480", "RTE Proteinuria C1 - IT-LUP-2500006 - Nephro")</f>
        <v>RTE Proteinuria C1 - IT-LUP-2500006 - Nephro</v>
      </c>
      <c r="E6552" s="10" t="str">
        <f>HYPERLINK("https://otsuka-europe-crm.veevavault.com/ui/#object/sent_email__v/VBL00000003A309", "SE-001444722")</f>
        <v>SE-001444722</v>
      </c>
      <c r="F6552" s="11"/>
      <c r="G6552" s="12">
        <v>0</v>
      </c>
      <c r="H6552" s="12">
        <v>0</v>
      </c>
      <c r="I6552" s="12">
        <v>0</v>
      </c>
      <c r="J6552" s="11"/>
      <c r="K6552" s="12">
        <v>0</v>
      </c>
      <c r="L6552" s="10" t="str">
        <f>HYPERLINK("https://otsuka-europe-crm.veevavault.com/ui/#object/approved_document__v/V5OZ025E82RR480", "RTE Proteinuria C1 - IT-LUP-2500006 - Nephro")</f>
        <v>RTE Proteinuria C1 - IT-LUP-2500006 - Nephro</v>
      </c>
      <c r="M6552" s="10" t="str">
        <f>HYPERLINK("mailto:matteo.digennaro@crm.otsuka-europe.com", "matteo.digennaro@crm.otsuka-europe.com")</f>
        <v>matteo.digennaro@crm.otsuka-europe.com</v>
      </c>
      <c r="N6552" s="13">
        <v>46226.299224537041</v>
      </c>
      <c r="O6552" s="14" t="str">
        <f>HYPERLINK("https://otsuka-europe-crm.veevavault.com/ui/#object/email_activity__v/V8C00000004B315", "EN-002107275")</f>
        <v>EN-002107275</v>
      </c>
    </row>
    <row r="6553" spans="1:15" ht="48" x14ac:dyDescent="0.2">
      <c r="A6553" s="7" t="str">
        <f>HYPERLINK("https://otsuka-europe-crm.veevavault.com/ui/#object/account__v/V4TZ025E845VHRX", "VALENTINA BLANCO")</f>
        <v>VALENTINA BLANCO</v>
      </c>
      <c r="B6553" s="7" t="str">
        <f>HYPERLINK("https://otsuka-europe-crm.veevavault.com/ui/#object/vcountry__v/VENZ000004SONFQ", "IT")</f>
        <v>IT</v>
      </c>
      <c r="C6553" s="8" t="s">
        <v>42</v>
      </c>
      <c r="D6553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553" s="10" t="str">
        <f>HYPERLINK("https://otsuka-europe-crm.veevavault.com/ui/#object/sent_email__v/VBL000000039176", "SE-001444723")</f>
        <v>SE-001444723</v>
      </c>
      <c r="F6553" s="11"/>
      <c r="G6553" s="12">
        <v>0</v>
      </c>
      <c r="H6553" s="12">
        <v>0</v>
      </c>
      <c r="I6553" s="12">
        <v>0</v>
      </c>
      <c r="J6553" s="11"/>
      <c r="K6553" s="12">
        <v>0</v>
      </c>
      <c r="L6553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553" s="10" t="str">
        <f>HYPERLINK("mailto:matteo.digennaro@crm.otsuka-europe.com", "matteo.digennaro@crm.otsuka-europe.com")</f>
        <v>matteo.digennaro@crm.otsuka-europe.com</v>
      </c>
      <c r="N6553" s="13">
        <v>46226.29923611111</v>
      </c>
      <c r="O6553" s="14" t="str">
        <f>HYPERLINK("https://otsuka-europe-crm.veevavault.com/ui/#object/email_activity__v/V8C00000004C251", "EN-002107323")</f>
        <v>EN-002107323</v>
      </c>
    </row>
    <row r="6554" spans="1:15" ht="16" x14ac:dyDescent="0.2">
      <c r="A6554" s="18" t="str">
        <f>HYPERLINK("https://otsuka-europe-crm.veevavault.com/ui/#object/account__v/V4TZ04ASGBJM56S", "ETTORE SILVAGNI")</f>
        <v>ETTORE SILVAGNI</v>
      </c>
      <c r="B6554" s="18" t="str">
        <f>HYPERLINK("https://otsuka-europe-crm.veevavault.com/ui/#object/vcountry__v/VENZ000004SONFQ", "IT")</f>
        <v>IT</v>
      </c>
      <c r="C6554" s="20" t="s">
        <v>42</v>
      </c>
      <c r="D6554" s="21" t="str">
        <f>HYPERLINK("https://otsuka-europe-crm.veevavault.com/ui/#object/approved_document__v/V5OZ025E82RRA5M", "AURORA 2 - AE RHEUMA")</f>
        <v>AURORA 2 - AE RHEUMA</v>
      </c>
      <c r="E6554" s="22" t="str">
        <f>HYPERLINK("https://otsuka-europe-crm.veevavault.com/ui/#object/sent_email__v/VBL000000039177", "SE-001444724")</f>
        <v>SE-001444724</v>
      </c>
      <c r="F6554" s="23"/>
      <c r="G6554" s="24">
        <v>0</v>
      </c>
      <c r="H6554" s="24">
        <v>0</v>
      </c>
      <c r="I6554" s="24">
        <v>0</v>
      </c>
      <c r="J6554" s="23"/>
      <c r="K6554" s="24">
        <v>0</v>
      </c>
      <c r="L6554" s="22" t="str">
        <f>HYPERLINK("https://otsuka-europe-crm.veevavault.com/ui/#object/approved_document__v/V5OZ025E82RRA5M", "AURORA 2 - AE RHEUMA")</f>
        <v>AURORA 2 - AE RHEUMA</v>
      </c>
      <c r="M6554" s="22" t="str">
        <f>HYPERLINK("mailto:matteo.digennaro@crm.otsuka-europe.com", "matteo.digennaro@crm.otsuka-europe.com")</f>
        <v>matteo.digennaro@crm.otsuka-europe.com</v>
      </c>
      <c r="N6554" s="25">
        <v>46226.299259259256</v>
      </c>
      <c r="O6554" s="14" t="str">
        <f>HYPERLINK("https://otsuka-europe-crm.veevavault.com/ui/#object/email_activity__v/V8C00000004B534", "EN-002107645")</f>
        <v>EN-002107645</v>
      </c>
    </row>
    <row r="6555" spans="1:15" ht="16" x14ac:dyDescent="0.2">
      <c r="A6555" s="19"/>
      <c r="B6555" s="19"/>
      <c r="C6555" s="19"/>
      <c r="D6555" s="19"/>
      <c r="E6555" s="19"/>
      <c r="F6555" s="19"/>
      <c r="G6555" s="19"/>
      <c r="H6555" s="19"/>
      <c r="I6555" s="19"/>
      <c r="J6555" s="19"/>
      <c r="K6555" s="19"/>
      <c r="L6555" s="19"/>
      <c r="M6555" s="19"/>
      <c r="N6555" s="19"/>
      <c r="O6555" s="14" t="str">
        <f>HYPERLINK("https://otsuka-europe-crm.veevavault.com/ui/#object/email_activity__v/V8C00000004B798", "EN-002108106")</f>
        <v>EN-002108106</v>
      </c>
    </row>
    <row r="6556" spans="1:15" ht="16" x14ac:dyDescent="0.2">
      <c r="A6556" s="18" t="str">
        <f>HYPERLINK("https://otsuka-europe-crm.veevavault.com/ui/#object/account__v/V4TZ04ASGBJM56S", "ETTORE SILVAGNI")</f>
        <v>ETTORE SILVAGNI</v>
      </c>
      <c r="B6556" s="18" t="str">
        <f>HYPERLINK("https://otsuka-europe-crm.veevavault.com/ui/#object/vcountry__v/VENZ000004SONFQ", "IT")</f>
        <v>IT</v>
      </c>
      <c r="C6556" s="20" t="s">
        <v>42</v>
      </c>
      <c r="D6556" s="21" t="str">
        <f>HYPERLINK("https://otsuka-europe-crm.veevavault.com/ui/#object/approved_document__v/V5OZ025E82RR47U", "AE Focus pz prevalenti- IT-LUP-2500005 Reuma")</f>
        <v>AE Focus pz prevalenti- IT-LUP-2500005 Reuma</v>
      </c>
      <c r="E6556" s="22" t="str">
        <f>HYPERLINK("https://otsuka-europe-crm.veevavault.com/ui/#object/sent_email__v/VBL00000003A310", "SE-001444725")</f>
        <v>SE-001444725</v>
      </c>
      <c r="F6556" s="25">
        <v>46226.301689814813</v>
      </c>
      <c r="G6556" s="24">
        <v>1</v>
      </c>
      <c r="H6556" s="24">
        <v>1</v>
      </c>
      <c r="I6556" s="24">
        <v>0</v>
      </c>
      <c r="J6556" s="23"/>
      <c r="K6556" s="24">
        <v>0</v>
      </c>
      <c r="L6556" s="22" t="str">
        <f>HYPERLINK("https://otsuka-europe-crm.veevavault.com/ui/#object/approved_document__v/V5OZ025E82RR47U", "AE Focus pz prevalenti- IT-LUP-2500005 Reuma")</f>
        <v>AE Focus pz prevalenti- IT-LUP-2500005 Reuma</v>
      </c>
      <c r="M6556" s="22" t="str">
        <f>HYPERLINK("mailto:matteo.digennaro@crm.otsuka-europe.com", "matteo.digennaro@crm.otsuka-europe.com")</f>
        <v>matteo.digennaro@crm.otsuka-europe.com</v>
      </c>
      <c r="N6556" s="25">
        <v>46226.299224537041</v>
      </c>
      <c r="O6556" s="14" t="str">
        <f>HYPERLINK("https://otsuka-europe-crm.veevavault.com/ui/#object/email_activity__v/V8C00000004C343", "EN-002107510")</f>
        <v>EN-002107510</v>
      </c>
    </row>
    <row r="6557" spans="1:15" ht="16" x14ac:dyDescent="0.2">
      <c r="A6557" s="19"/>
      <c r="B6557" s="19"/>
      <c r="C6557" s="19"/>
      <c r="D6557" s="19"/>
      <c r="E6557" s="19"/>
      <c r="F6557" s="19"/>
      <c r="G6557" s="19"/>
      <c r="H6557" s="19"/>
      <c r="I6557" s="19"/>
      <c r="J6557" s="19"/>
      <c r="K6557" s="19"/>
      <c r="L6557" s="19"/>
      <c r="M6557" s="19"/>
      <c r="N6557" s="19"/>
      <c r="O6557" s="14" t="str">
        <f>HYPERLINK("https://otsuka-europe-crm.veevavault.com/ui/#object/email_activity__v/V8C00000004C363", "EN-002107532")</f>
        <v>EN-002107532</v>
      </c>
    </row>
    <row r="6558" spans="1:15" ht="16" x14ac:dyDescent="0.2">
      <c r="A6558" s="18" t="str">
        <f>HYPERLINK("https://otsuka-europe-crm.veevavault.com/ui/#object/account__v/V4TZ04ASGBJM56S", "ETTORE SILVAGNI")</f>
        <v>ETTORE SILVAGNI</v>
      </c>
      <c r="B6558" s="18" t="str">
        <f>HYPERLINK("https://otsuka-europe-crm.veevavault.com/ui/#object/vcountry__v/VENZ000004SONFQ", "IT")</f>
        <v>IT</v>
      </c>
      <c r="C6558" s="20" t="s">
        <v>42</v>
      </c>
      <c r="D6558" s="21" t="str">
        <f>HYPERLINK("https://otsuka-europe-crm.veevavault.com/ui/#object/approved_document__v/V5OZ025E82RR47L", "RTE Proteinuria C1 - IT-LUP-2500006 - Reuma")</f>
        <v>RTE Proteinuria C1 - IT-LUP-2500006 - Reuma</v>
      </c>
      <c r="E6558" s="22" t="str">
        <f>HYPERLINK("https://otsuka-europe-crm.veevavault.com/ui/#object/sent_email__v/VBL00000003A311", "SE-001444726")</f>
        <v>SE-001444726</v>
      </c>
      <c r="F6558" s="25">
        <v>46226.301828703705</v>
      </c>
      <c r="G6558" s="24">
        <v>1</v>
      </c>
      <c r="H6558" s="24">
        <v>1</v>
      </c>
      <c r="I6558" s="24">
        <v>0</v>
      </c>
      <c r="J6558" s="23"/>
      <c r="K6558" s="24">
        <v>0</v>
      </c>
      <c r="L6558" s="22" t="str">
        <f>HYPERLINK("https://otsuka-europe-crm.veevavault.com/ui/#object/approved_document__v/V5OZ025E82RR47L", "RTE Proteinuria C1 - IT-LUP-2500006 - Reuma")</f>
        <v>RTE Proteinuria C1 - IT-LUP-2500006 - Reuma</v>
      </c>
      <c r="M6558" s="22" t="str">
        <f>HYPERLINK("mailto:matteo.digennaro@crm.otsuka-europe.com", "matteo.digennaro@crm.otsuka-europe.com")</f>
        <v>matteo.digennaro@crm.otsuka-europe.com</v>
      </c>
      <c r="N6558" s="25">
        <v>46226.29928240741</v>
      </c>
      <c r="O6558" s="14" t="str">
        <f>HYPERLINK("https://otsuka-europe-crm.veevavault.com/ui/#object/email_activity__v/V8C00000004B341", "EN-002107301")</f>
        <v>EN-002107301</v>
      </c>
    </row>
    <row r="6559" spans="1:15" ht="16" x14ac:dyDescent="0.2">
      <c r="A6559" s="19"/>
      <c r="B6559" s="19"/>
      <c r="C6559" s="19"/>
      <c r="D6559" s="19"/>
      <c r="E6559" s="19"/>
      <c r="F6559" s="19"/>
      <c r="G6559" s="19"/>
      <c r="H6559" s="19"/>
      <c r="I6559" s="19"/>
      <c r="J6559" s="19"/>
      <c r="K6559" s="19"/>
      <c r="L6559" s="19"/>
      <c r="M6559" s="19"/>
      <c r="N6559" s="19"/>
      <c r="O6559" s="14" t="str">
        <f>HYPERLINK("https://otsuka-europe-crm.veevavault.com/ui/#object/email_activity__v/V8C00000004B701", "EN-002107829")</f>
        <v>EN-002107829</v>
      </c>
    </row>
    <row r="6560" spans="1:15" ht="16" x14ac:dyDescent="0.2">
      <c r="A6560" s="18" t="str">
        <f>HYPERLINK("https://otsuka-europe-crm.veevavault.com/ui/#object/account__v/V4TZ04ASGBJM56S", "ETTORE SILVAGNI")</f>
        <v>ETTORE SILVAGNI</v>
      </c>
      <c r="B6560" s="18" t="str">
        <f>HYPERLINK("https://otsuka-europe-crm.veevavault.com/ui/#object/vcountry__v/VENZ000004SONFQ", "IT")</f>
        <v>IT</v>
      </c>
      <c r="C6560" s="20" t="s">
        <v>42</v>
      </c>
      <c r="D6560" s="21" t="str">
        <f>HYPERLINK("https://otsuka-europe-crm.veevavault.com/ui/#object/approved_document__v/V5OZ025E82RR47W", "AE Propensity Analysis- IT-LUP-2500004 Reuma")</f>
        <v>AE Propensity Analysis- IT-LUP-2500004 Reuma</v>
      </c>
      <c r="E6560" s="22" t="str">
        <f>HYPERLINK("https://otsuka-europe-crm.veevavault.com/ui/#object/sent_email__v/VBL000000039178", "SE-001444727")</f>
        <v>SE-001444727</v>
      </c>
      <c r="F6560" s="23"/>
      <c r="G6560" s="24">
        <v>0</v>
      </c>
      <c r="H6560" s="24">
        <v>0</v>
      </c>
      <c r="I6560" s="24">
        <v>0</v>
      </c>
      <c r="J6560" s="23"/>
      <c r="K6560" s="24">
        <v>0</v>
      </c>
      <c r="L6560" s="22" t="str">
        <f>HYPERLINK("https://otsuka-europe-crm.veevavault.com/ui/#object/approved_document__v/V5OZ025E82RR47W", "AE Propensity Analysis- IT-LUP-2500004 Reuma")</f>
        <v>AE Propensity Analysis- IT-LUP-2500004 Reuma</v>
      </c>
      <c r="M6560" s="22" t="str">
        <f>HYPERLINK("mailto:matteo.digennaro@crm.otsuka-europe.com", "matteo.digennaro@crm.otsuka-europe.com")</f>
        <v>matteo.digennaro@crm.otsuka-europe.com</v>
      </c>
      <c r="N6560" s="25">
        <v>46226.29923611111</v>
      </c>
      <c r="O6560" s="14" t="str">
        <f>HYPERLINK("https://otsuka-europe-crm.veevavault.com/ui/#object/email_activity__v/V8C00000004B535", "EN-002107646")</f>
        <v>EN-002107646</v>
      </c>
    </row>
    <row r="6561" spans="1:15" ht="16" x14ac:dyDescent="0.2">
      <c r="A6561" s="19"/>
      <c r="B6561" s="19"/>
      <c r="C6561" s="19"/>
      <c r="D6561" s="19"/>
      <c r="E6561" s="19"/>
      <c r="F6561" s="19"/>
      <c r="G6561" s="19"/>
      <c r="H6561" s="19"/>
      <c r="I6561" s="19"/>
      <c r="J6561" s="19"/>
      <c r="K6561" s="19"/>
      <c r="L6561" s="19"/>
      <c r="M6561" s="19"/>
      <c r="N6561" s="19"/>
      <c r="O6561" s="14" t="str">
        <f>HYPERLINK("https://otsuka-europe-crm.veevavault.com/ui/#object/email_activity__v/V8C00000004B881", "EN-002108192")</f>
        <v>EN-002108192</v>
      </c>
    </row>
    <row r="6562" spans="1:15" ht="48" x14ac:dyDescent="0.2">
      <c r="A6562" s="7" t="str">
        <f>HYPERLINK("https://otsuka-europe-crm.veevavault.com/ui/#object/account__v/V4TZ04ASGBJM56S", "ETTORE SILVAGNI")</f>
        <v>ETTORE SILVAGNI</v>
      </c>
      <c r="B6562" s="7" t="str">
        <f>HYPERLINK("https://otsuka-europe-crm.veevavault.com/ui/#object/vcountry__v/VENZ000004SONFQ", "IT")</f>
        <v>IT</v>
      </c>
      <c r="C6562" s="8" t="s">
        <v>42</v>
      </c>
      <c r="D6562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562" s="10" t="str">
        <f>HYPERLINK("https://otsuka-europe-crm.veevavault.com/ui/#object/sent_email__v/VBL000000039179", "SE-001444728")</f>
        <v>SE-001444728</v>
      </c>
      <c r="F6562" s="11"/>
      <c r="G6562" s="12">
        <v>0</v>
      </c>
      <c r="H6562" s="12">
        <v>0</v>
      </c>
      <c r="I6562" s="12">
        <v>0</v>
      </c>
      <c r="J6562" s="11"/>
      <c r="K6562" s="12">
        <v>0</v>
      </c>
      <c r="L6562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562" s="10" t="str">
        <f>HYPERLINK("mailto:matteo.digennaro@crm.otsuka-europe.com", "matteo.digennaro@crm.otsuka-europe.com")</f>
        <v>matteo.digennaro@crm.otsuka-europe.com</v>
      </c>
      <c r="N6562" s="13">
        <v>46226.29923611111</v>
      </c>
      <c r="O6562" s="14" t="str">
        <f>HYPERLINK("https://otsuka-europe-crm.veevavault.com/ui/#object/email_activity__v/V8C00000004C320", "EN-002107486")</f>
        <v>EN-002107486</v>
      </c>
    </row>
    <row r="6563" spans="1:15" ht="16" x14ac:dyDescent="0.2">
      <c r="A6563" s="18" t="str">
        <f>HYPERLINK("https://otsuka-europe-crm.veevavault.com/ui/#object/account__v/V4TZ04ASG8MWDZD", "MARCELLO GOVONI")</f>
        <v>MARCELLO GOVONI</v>
      </c>
      <c r="B6563" s="18" t="str">
        <f>HYPERLINK("https://otsuka-europe-crm.veevavault.com/ui/#object/vcountry__v/VENZ000004SONFQ", "IT")</f>
        <v>IT</v>
      </c>
      <c r="C6563" s="20" t="s">
        <v>42</v>
      </c>
      <c r="D6563" s="21" t="str">
        <f>HYPERLINK("https://otsuka-europe-crm.veevavault.com/ui/#object/approved_document__v/V5OZ025E82RRA5M", "AURORA 2 - AE RHEUMA")</f>
        <v>AURORA 2 - AE RHEUMA</v>
      </c>
      <c r="E6563" s="22" t="str">
        <f>HYPERLINK("https://otsuka-europe-crm.veevavault.com/ui/#object/sent_email__v/VBL000000039180", "SE-001444729")</f>
        <v>SE-001444729</v>
      </c>
      <c r="F6563" s="25">
        <v>46226.376307870371</v>
      </c>
      <c r="G6563" s="24">
        <v>1</v>
      </c>
      <c r="H6563" s="24">
        <v>1</v>
      </c>
      <c r="I6563" s="24">
        <v>1</v>
      </c>
      <c r="J6563" s="25">
        <v>46226.376307870371</v>
      </c>
      <c r="K6563" s="24">
        <v>1</v>
      </c>
      <c r="L6563" s="22" t="str">
        <f>HYPERLINK("https://otsuka-europe-crm.veevavault.com/ui/#object/approved_document__v/V5OZ025E82RRA5M", "AURORA 2 - AE RHEUMA")</f>
        <v>AURORA 2 - AE RHEUMA</v>
      </c>
      <c r="M6563" s="22" t="str">
        <f>HYPERLINK("mailto:matteo.digennaro@crm.otsuka-europe.com", "matteo.digennaro@crm.otsuka-europe.com")</f>
        <v>matteo.digennaro@crm.otsuka-europe.com</v>
      </c>
      <c r="N6563" s="25">
        <v>46226.299259259256</v>
      </c>
      <c r="O6563" s="14" t="str">
        <f>HYPERLINK("https://otsuka-europe-crm.veevavault.com/ui/#object/email_activity__v/V8C00000004B536", "EN-002107647")</f>
        <v>EN-002107647</v>
      </c>
    </row>
    <row r="6564" spans="1:15" ht="16" x14ac:dyDescent="0.2">
      <c r="A6564" s="26"/>
      <c r="B6564" s="26"/>
      <c r="C6564" s="26"/>
      <c r="D6564" s="26"/>
      <c r="E6564" s="26"/>
      <c r="F6564" s="26"/>
      <c r="G6564" s="26"/>
      <c r="H6564" s="26"/>
      <c r="I6564" s="26"/>
      <c r="J6564" s="26"/>
      <c r="K6564" s="26"/>
      <c r="L6564" s="26"/>
      <c r="M6564" s="26"/>
      <c r="N6564" s="26"/>
      <c r="O6564" s="14" t="str">
        <f>HYPERLINK("https://otsuka-europe-crm.veevavault.com/ui/#object/email_activity__v/V8C00000004B664", "EN-002107778")</f>
        <v>EN-002107778</v>
      </c>
    </row>
    <row r="6565" spans="1:15" ht="16" x14ac:dyDescent="0.2">
      <c r="A6565" s="26"/>
      <c r="B6565" s="26"/>
      <c r="C6565" s="26"/>
      <c r="D6565" s="26"/>
      <c r="E6565" s="26"/>
      <c r="F6565" s="26"/>
      <c r="G6565" s="26"/>
      <c r="H6565" s="26"/>
      <c r="I6565" s="26"/>
      <c r="J6565" s="26"/>
      <c r="K6565" s="26"/>
      <c r="L6565" s="26"/>
      <c r="M6565" s="26"/>
      <c r="N6565" s="26"/>
      <c r="O6565" s="14" t="str">
        <f>HYPERLINK("https://otsuka-europe-crm.veevavault.com/ui/#object/email_activity__v/V8C00000004B665", "EN-002107777")</f>
        <v>EN-002107777</v>
      </c>
    </row>
    <row r="6566" spans="1:15" ht="16" x14ac:dyDescent="0.2">
      <c r="A6566" s="19"/>
      <c r="B6566" s="19"/>
      <c r="C6566" s="19"/>
      <c r="D6566" s="19"/>
      <c r="E6566" s="19"/>
      <c r="F6566" s="19"/>
      <c r="G6566" s="19"/>
      <c r="H6566" s="19"/>
      <c r="I6566" s="19"/>
      <c r="J6566" s="19"/>
      <c r="K6566" s="19"/>
      <c r="L6566" s="19"/>
      <c r="M6566" s="19"/>
      <c r="N6566" s="19"/>
      <c r="O6566" s="14" t="str">
        <f>HYPERLINK("https://otsuka-europe-crm.veevavault.com/ui/#object/email_activity__v/V8C00000004C550", "EN-002108060")</f>
        <v>EN-002108060</v>
      </c>
    </row>
    <row r="6567" spans="1:15" ht="16" x14ac:dyDescent="0.2">
      <c r="A6567" s="18" t="str">
        <f>HYPERLINK("https://otsuka-europe-crm.veevavault.com/ui/#object/account__v/V4TZ04ASG8MWDZD", "MARCELLO GOVONI")</f>
        <v>MARCELLO GOVONI</v>
      </c>
      <c r="B6567" s="18" t="str">
        <f>HYPERLINK("https://otsuka-europe-crm.veevavault.com/ui/#object/vcountry__v/VENZ000004SONFQ", "IT")</f>
        <v>IT</v>
      </c>
      <c r="C6567" s="20" t="s">
        <v>42</v>
      </c>
      <c r="D6567" s="21" t="str">
        <f>HYPERLINK("https://otsuka-europe-crm.veevavault.com/ui/#object/approved_document__v/V5OZ025E82RR47U", "AE Focus pz prevalenti- IT-LUP-2500005 Reuma")</f>
        <v>AE Focus pz prevalenti- IT-LUP-2500005 Reuma</v>
      </c>
      <c r="E6567" s="22" t="str">
        <f>HYPERLINK("https://otsuka-europe-crm.veevavault.com/ui/#object/sent_email__v/VBL000000039181", "SE-001444730")</f>
        <v>SE-001444730</v>
      </c>
      <c r="F6567" s="23"/>
      <c r="G6567" s="24">
        <v>0</v>
      </c>
      <c r="H6567" s="24">
        <v>0</v>
      </c>
      <c r="I6567" s="24">
        <v>0</v>
      </c>
      <c r="J6567" s="23"/>
      <c r="K6567" s="24">
        <v>0</v>
      </c>
      <c r="L6567" s="22" t="str">
        <f>HYPERLINK("https://otsuka-europe-crm.veevavault.com/ui/#object/approved_document__v/V5OZ025E82RR47U", "AE Focus pz prevalenti- IT-LUP-2500005 Reuma")</f>
        <v>AE Focus pz prevalenti- IT-LUP-2500005 Reuma</v>
      </c>
      <c r="M6567" s="22" t="str">
        <f>HYPERLINK("mailto:matteo.digennaro@crm.otsuka-europe.com", "matteo.digennaro@crm.otsuka-europe.com")</f>
        <v>matteo.digennaro@crm.otsuka-europe.com</v>
      </c>
      <c r="N6567" s="25">
        <v>46226.299224537041</v>
      </c>
      <c r="O6567" s="14" t="str">
        <f>HYPERLINK("https://otsuka-europe-crm.veevavault.com/ui/#object/email_activity__v/V8C00000004B537", "EN-002107648")</f>
        <v>EN-002107648</v>
      </c>
    </row>
    <row r="6568" spans="1:15" ht="16" x14ac:dyDescent="0.2">
      <c r="A6568" s="19"/>
      <c r="B6568" s="19"/>
      <c r="C6568" s="19"/>
      <c r="D6568" s="19"/>
      <c r="E6568" s="19"/>
      <c r="F6568" s="19"/>
      <c r="G6568" s="19"/>
      <c r="H6568" s="19"/>
      <c r="I6568" s="19"/>
      <c r="J6568" s="19"/>
      <c r="K6568" s="19"/>
      <c r="L6568" s="19"/>
      <c r="M6568" s="19"/>
      <c r="N6568" s="19"/>
      <c r="O6568" s="14" t="str">
        <f>HYPERLINK("https://otsuka-europe-crm.veevavault.com/ui/#object/email_activity__v/V8C00000004B680", "EN-002107807")</f>
        <v>EN-002107807</v>
      </c>
    </row>
    <row r="6569" spans="1:15" ht="32" x14ac:dyDescent="0.2">
      <c r="A6569" s="7" t="str">
        <f>HYPERLINK("https://otsuka-europe-crm.veevavault.com/ui/#object/account__v/V4TZ04ASG8MWDZD", "MARCELLO GOVONI")</f>
        <v>MARCELLO GOVONI</v>
      </c>
      <c r="B6569" s="7" t="str">
        <f>HYPERLINK("https://otsuka-europe-crm.veevavault.com/ui/#object/vcountry__v/VENZ000004SONFQ", "IT")</f>
        <v>IT</v>
      </c>
      <c r="C6569" s="8" t="s">
        <v>42</v>
      </c>
      <c r="D6569" s="9" t="str">
        <f>HYPERLINK("https://otsuka-europe-crm.veevavault.com/ui/#object/approved_document__v/V5OZ025E82RR47L", "RTE Proteinuria C1 - IT-LUP-2500006 - Reuma")</f>
        <v>RTE Proteinuria C1 - IT-LUP-2500006 - Reuma</v>
      </c>
      <c r="E6569" s="10" t="str">
        <f>HYPERLINK("https://otsuka-europe-crm.veevavault.com/ui/#object/sent_email__v/VBL000000039182", "SE-001444731")</f>
        <v>SE-001444731</v>
      </c>
      <c r="F6569" s="11"/>
      <c r="G6569" s="12">
        <v>0</v>
      </c>
      <c r="H6569" s="12">
        <v>0</v>
      </c>
      <c r="I6569" s="12">
        <v>0</v>
      </c>
      <c r="J6569" s="11"/>
      <c r="K6569" s="12">
        <v>0</v>
      </c>
      <c r="L6569" s="10" t="str">
        <f>HYPERLINK("https://otsuka-europe-crm.veevavault.com/ui/#object/approved_document__v/V5OZ025E82RR47L", "RTE Proteinuria C1 - IT-LUP-2500006 - Reuma")</f>
        <v>RTE Proteinuria C1 - IT-LUP-2500006 - Reuma</v>
      </c>
      <c r="M6569" s="10" t="str">
        <f>HYPERLINK("mailto:matteo.digennaro@crm.otsuka-europe.com", "matteo.digennaro@crm.otsuka-europe.com")</f>
        <v>matteo.digennaro@crm.otsuka-europe.com</v>
      </c>
      <c r="N6569" s="13">
        <v>46226.29928240741</v>
      </c>
      <c r="O6569" s="14" t="str">
        <f>HYPERLINK("https://otsuka-europe-crm.veevavault.com/ui/#object/email_activity__v/V8C00000004B372", "EN-002107385")</f>
        <v>EN-002107385</v>
      </c>
    </row>
    <row r="6570" spans="1:15" ht="32" x14ac:dyDescent="0.2">
      <c r="A6570" s="7" t="str">
        <f>HYPERLINK("https://otsuka-europe-crm.veevavault.com/ui/#object/account__v/V4TZ04ASG8MWDZD", "MARCELLO GOVONI")</f>
        <v>MARCELLO GOVONI</v>
      </c>
      <c r="B6570" s="7" t="str">
        <f>HYPERLINK("https://otsuka-europe-crm.veevavault.com/ui/#object/vcountry__v/VENZ000004SONFQ", "IT")</f>
        <v>IT</v>
      </c>
      <c r="C6570" s="8" t="s">
        <v>42</v>
      </c>
      <c r="D6570" s="9" t="str">
        <f>HYPERLINK("https://otsuka-europe-crm.veevavault.com/ui/#object/approved_document__v/V5OZ025E82RR47W", "AE Propensity Analysis- IT-LUP-2500004 Reuma")</f>
        <v>AE Propensity Analysis- IT-LUP-2500004 Reuma</v>
      </c>
      <c r="E6570" s="10" t="str">
        <f>HYPERLINK("https://otsuka-europe-crm.veevavault.com/ui/#object/sent_email__v/VBL000000039183", "SE-001444732")</f>
        <v>SE-001444732</v>
      </c>
      <c r="F6570" s="11"/>
      <c r="G6570" s="12">
        <v>0</v>
      </c>
      <c r="H6570" s="12">
        <v>0</v>
      </c>
      <c r="I6570" s="12">
        <v>0</v>
      </c>
      <c r="J6570" s="11"/>
      <c r="K6570" s="12">
        <v>0</v>
      </c>
      <c r="L6570" s="10" t="str">
        <f>HYPERLINK("https://otsuka-europe-crm.veevavault.com/ui/#object/approved_document__v/V5OZ025E82RR47W", "AE Propensity Analysis- IT-LUP-2500004 Reuma")</f>
        <v>AE Propensity Analysis- IT-LUP-2500004 Reuma</v>
      </c>
      <c r="M6570" s="10" t="str">
        <f>HYPERLINK("mailto:matteo.digennaro@crm.otsuka-europe.com", "matteo.digennaro@crm.otsuka-europe.com")</f>
        <v>matteo.digennaro@crm.otsuka-europe.com</v>
      </c>
      <c r="N6570" s="13">
        <v>46226.29923611111</v>
      </c>
      <c r="O6570" s="14" t="str">
        <f>HYPERLINK("https://otsuka-europe-crm.veevavault.com/ui/#object/email_activity__v/V8C00000004B433", "EN-002107446")</f>
        <v>EN-002107446</v>
      </c>
    </row>
    <row r="6571" spans="1:15" ht="48" x14ac:dyDescent="0.2">
      <c r="A6571" s="7" t="str">
        <f>HYPERLINK("https://otsuka-europe-crm.veevavault.com/ui/#object/account__v/V4TZ04ASG8MWDZD", "MARCELLO GOVONI")</f>
        <v>MARCELLO GOVONI</v>
      </c>
      <c r="B6571" s="7" t="str">
        <f>HYPERLINK("https://otsuka-europe-crm.veevavault.com/ui/#object/vcountry__v/VENZ000004SONFQ", "IT")</f>
        <v>IT</v>
      </c>
      <c r="C6571" s="8" t="s">
        <v>42</v>
      </c>
      <c r="D6571" s="9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571" s="10" t="str">
        <f>HYPERLINK("https://otsuka-europe-crm.veevavault.com/ui/#object/sent_email__v/VBL000000039184", "SE-001444733")</f>
        <v>SE-001444733</v>
      </c>
      <c r="F6571" s="11"/>
      <c r="G6571" s="12">
        <v>0</v>
      </c>
      <c r="H6571" s="12">
        <v>0</v>
      </c>
      <c r="I6571" s="12">
        <v>0</v>
      </c>
      <c r="J6571" s="11"/>
      <c r="K6571" s="12">
        <v>0</v>
      </c>
      <c r="L6571" s="10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571" s="10" t="str">
        <f>HYPERLINK("mailto:matteo.digennaro@crm.otsuka-europe.com", "matteo.digennaro@crm.otsuka-europe.com")</f>
        <v>matteo.digennaro@crm.otsuka-europe.com</v>
      </c>
      <c r="N6571" s="13">
        <v>46226.29923611111</v>
      </c>
      <c r="O6571" s="14" t="str">
        <f>HYPERLINK("https://otsuka-europe-crm.veevavault.com/ui/#object/email_activity__v/V8C00000004C317", "EN-002107483")</f>
        <v>EN-002107483</v>
      </c>
    </row>
    <row r="6572" spans="1:15" ht="16" x14ac:dyDescent="0.2">
      <c r="A6572" s="18" t="str">
        <f>HYPERLINK("https://otsuka-europe-crm.veevavault.com/ui/#object/account__v/V4TZ04ASGBJLNZZ", "ALESSANDRA BORTOLUZZI")</f>
        <v>ALESSANDRA BORTOLUZZI</v>
      </c>
      <c r="B6572" s="18" t="str">
        <f>HYPERLINK("https://otsuka-europe-crm.veevavault.com/ui/#object/vcountry__v/VENZ000004SONFQ", "IT")</f>
        <v>IT</v>
      </c>
      <c r="C6572" s="20" t="s">
        <v>42</v>
      </c>
      <c r="D6572" s="21" t="str">
        <f>HYPERLINK("https://otsuka-europe-crm.veevavault.com/ui/#object/approved_document__v/V5OZ025E82RRA5M", "AURORA 2 - AE RHEUMA")</f>
        <v>AURORA 2 - AE RHEUMA</v>
      </c>
      <c r="E6572" s="22" t="str">
        <f>HYPERLINK("https://otsuka-europe-crm.veevavault.com/ui/#object/sent_email__v/VBL00000003A312", "SE-001444734")</f>
        <v>SE-001444734</v>
      </c>
      <c r="F6572" s="23"/>
      <c r="G6572" s="24">
        <v>0</v>
      </c>
      <c r="H6572" s="24">
        <v>0</v>
      </c>
      <c r="I6572" s="24">
        <v>0</v>
      </c>
      <c r="J6572" s="23"/>
      <c r="K6572" s="24">
        <v>0</v>
      </c>
      <c r="L6572" s="22" t="str">
        <f>HYPERLINK("https://otsuka-europe-crm.veevavault.com/ui/#object/approved_document__v/V5OZ025E82RRA5M", "AURORA 2 - AE RHEUMA")</f>
        <v>AURORA 2 - AE RHEUMA</v>
      </c>
      <c r="M6572" s="22" t="str">
        <f>HYPERLINK("mailto:matteo.digennaro@crm.otsuka-europe.com", "matteo.digennaro@crm.otsuka-europe.com")</f>
        <v>matteo.digennaro@crm.otsuka-europe.com</v>
      </c>
      <c r="N6572" s="25">
        <v>46226.299259259256</v>
      </c>
      <c r="O6572" s="14" t="str">
        <f>HYPERLINK("https://otsuka-europe-crm.veevavault.com/ui/#object/email_activity__v/V8C00000004C239", "EN-002107311")</f>
        <v>EN-002107311</v>
      </c>
    </row>
    <row r="6573" spans="1:15" ht="16" x14ac:dyDescent="0.2">
      <c r="A6573" s="19"/>
      <c r="B6573" s="19"/>
      <c r="C6573" s="19"/>
      <c r="D6573" s="19"/>
      <c r="E6573" s="19"/>
      <c r="F6573" s="19"/>
      <c r="G6573" s="19"/>
      <c r="H6573" s="19"/>
      <c r="I6573" s="19"/>
      <c r="J6573" s="19"/>
      <c r="K6573" s="19"/>
      <c r="L6573" s="19"/>
      <c r="M6573" s="19"/>
      <c r="N6573" s="19"/>
      <c r="O6573" s="14" t="str">
        <f>HYPERLINK("https://otsuka-europe-crm.veevavault.com/ui/#object/email_activity__v/V8C00000004D009", "EN-002108230")</f>
        <v>EN-002108230</v>
      </c>
    </row>
    <row r="6574" spans="1:15" ht="16" x14ac:dyDescent="0.2">
      <c r="A6574" s="18" t="str">
        <f>HYPERLINK("https://otsuka-europe-crm.veevavault.com/ui/#object/account__v/V4TZ04ASGBJLNZZ", "ALESSANDRA BORTOLUZZI")</f>
        <v>ALESSANDRA BORTOLUZZI</v>
      </c>
      <c r="B6574" s="18" t="str">
        <f>HYPERLINK("https://otsuka-europe-crm.veevavault.com/ui/#object/vcountry__v/VENZ000004SONFQ", "IT")</f>
        <v>IT</v>
      </c>
      <c r="C6574" s="20" t="s">
        <v>42</v>
      </c>
      <c r="D6574" s="21" t="str">
        <f>HYPERLINK("https://otsuka-europe-crm.veevavault.com/ui/#object/approved_document__v/V5OZ025E82RR47U", "AE Focus pz prevalenti- IT-LUP-2500005 Reuma")</f>
        <v>AE Focus pz prevalenti- IT-LUP-2500005 Reuma</v>
      </c>
      <c r="E6574" s="22" t="str">
        <f>HYPERLINK("https://otsuka-europe-crm.veevavault.com/ui/#object/sent_email__v/VBL000000039185", "SE-001444735")</f>
        <v>SE-001444735</v>
      </c>
      <c r="F6574" s="23"/>
      <c r="G6574" s="24">
        <v>0</v>
      </c>
      <c r="H6574" s="24">
        <v>0</v>
      </c>
      <c r="I6574" s="24">
        <v>0</v>
      </c>
      <c r="J6574" s="23"/>
      <c r="K6574" s="24">
        <v>0</v>
      </c>
      <c r="L6574" s="22" t="str">
        <f>HYPERLINK("https://otsuka-europe-crm.veevavault.com/ui/#object/approved_document__v/V5OZ025E82RR47U", "AE Focus pz prevalenti- IT-LUP-2500005 Reuma")</f>
        <v>AE Focus pz prevalenti- IT-LUP-2500005 Reuma</v>
      </c>
      <c r="M6574" s="22" t="str">
        <f>HYPERLINK("mailto:matteo.digennaro@crm.otsuka-europe.com", "matteo.digennaro@crm.otsuka-europe.com")</f>
        <v>matteo.digennaro@crm.otsuka-europe.com</v>
      </c>
      <c r="N6574" s="25">
        <v>46226.299201388887</v>
      </c>
      <c r="O6574" s="14" t="str">
        <f>HYPERLINK("https://otsuka-europe-crm.veevavault.com/ui/#object/email_activity__v/V8C00000004C340", "EN-002107507")</f>
        <v>EN-002107507</v>
      </c>
    </row>
    <row r="6575" spans="1:15" ht="16" x14ac:dyDescent="0.2">
      <c r="A6575" s="19"/>
      <c r="B6575" s="19"/>
      <c r="C6575" s="19"/>
      <c r="D6575" s="19"/>
      <c r="E6575" s="19"/>
      <c r="F6575" s="19"/>
      <c r="G6575" s="19"/>
      <c r="H6575" s="19"/>
      <c r="I6575" s="19"/>
      <c r="J6575" s="19"/>
      <c r="K6575" s="19"/>
      <c r="L6575" s="19"/>
      <c r="M6575" s="19"/>
      <c r="N6575" s="19"/>
      <c r="O6575" s="14" t="str">
        <f>HYPERLINK("https://otsuka-europe-crm.veevavault.com/ui/#object/email_activity__v/V8C00000004D005", "EN-002108226")</f>
        <v>EN-002108226</v>
      </c>
    </row>
    <row r="6576" spans="1:15" ht="16" x14ac:dyDescent="0.2">
      <c r="A6576" s="18" t="str">
        <f>HYPERLINK("https://otsuka-europe-crm.veevavault.com/ui/#object/account__v/V4TZ04ASGBJLNZZ", "ALESSANDRA BORTOLUZZI")</f>
        <v>ALESSANDRA BORTOLUZZI</v>
      </c>
      <c r="B6576" s="18" t="str">
        <f>HYPERLINK("https://otsuka-europe-crm.veevavault.com/ui/#object/vcountry__v/VENZ000004SONFQ", "IT")</f>
        <v>IT</v>
      </c>
      <c r="C6576" s="20" t="s">
        <v>42</v>
      </c>
      <c r="D6576" s="21" t="str">
        <f>HYPERLINK("https://otsuka-europe-crm.veevavault.com/ui/#object/approved_document__v/V5OZ025E82RR47L", "RTE Proteinuria C1 - IT-LUP-2500006 - Reuma")</f>
        <v>RTE Proteinuria C1 - IT-LUP-2500006 - Reuma</v>
      </c>
      <c r="E6576" s="22" t="str">
        <f>HYPERLINK("https://otsuka-europe-crm.veevavault.com/ui/#object/sent_email__v/VBL000000039186", "SE-001444736")</f>
        <v>SE-001444736</v>
      </c>
      <c r="F6576" s="23"/>
      <c r="G6576" s="24">
        <v>0</v>
      </c>
      <c r="H6576" s="24">
        <v>0</v>
      </c>
      <c r="I6576" s="24">
        <v>0</v>
      </c>
      <c r="J6576" s="23"/>
      <c r="K6576" s="24">
        <v>0</v>
      </c>
      <c r="L6576" s="22" t="str">
        <f>HYPERLINK("https://otsuka-europe-crm.veevavault.com/ui/#object/approved_document__v/V5OZ025E82RR47L", "RTE Proteinuria C1 - IT-LUP-2500006 - Reuma")</f>
        <v>RTE Proteinuria C1 - IT-LUP-2500006 - Reuma</v>
      </c>
      <c r="M6576" s="22" t="str">
        <f>HYPERLINK("mailto:matteo.digennaro@crm.otsuka-europe.com", "matteo.digennaro@crm.otsuka-europe.com")</f>
        <v>matteo.digennaro@crm.otsuka-europe.com</v>
      </c>
      <c r="N6576" s="25">
        <v>46226.29928240741</v>
      </c>
      <c r="O6576" s="14" t="str">
        <f>HYPERLINK("https://otsuka-europe-crm.veevavault.com/ui/#object/email_activity__v/V8C00000004C302", "EN-002107467")</f>
        <v>EN-002107467</v>
      </c>
    </row>
    <row r="6577" spans="1:15" ht="16" x14ac:dyDescent="0.2">
      <c r="A6577" s="19"/>
      <c r="B6577" s="19"/>
      <c r="C6577" s="19"/>
      <c r="D6577" s="19"/>
      <c r="E6577" s="19"/>
      <c r="F6577" s="19"/>
      <c r="G6577" s="19"/>
      <c r="H6577" s="19"/>
      <c r="I6577" s="19"/>
      <c r="J6577" s="19"/>
      <c r="K6577" s="19"/>
      <c r="L6577" s="19"/>
      <c r="M6577" s="19"/>
      <c r="N6577" s="19"/>
      <c r="O6577" s="14" t="str">
        <f>HYPERLINK("https://otsuka-europe-crm.veevavault.com/ui/#object/email_activity__v/V8C00000004D006", "EN-002108227")</f>
        <v>EN-002108227</v>
      </c>
    </row>
    <row r="6578" spans="1:15" ht="16" x14ac:dyDescent="0.2">
      <c r="A6578" s="18" t="str">
        <f>HYPERLINK("https://otsuka-europe-crm.veevavault.com/ui/#object/account__v/V4TZ04ASGBJLNZZ", "ALESSANDRA BORTOLUZZI")</f>
        <v>ALESSANDRA BORTOLUZZI</v>
      </c>
      <c r="B6578" s="18" t="str">
        <f>HYPERLINK("https://otsuka-europe-crm.veevavault.com/ui/#object/vcountry__v/VENZ000004SONFQ", "IT")</f>
        <v>IT</v>
      </c>
      <c r="C6578" s="20" t="s">
        <v>42</v>
      </c>
      <c r="D6578" s="21" t="str">
        <f>HYPERLINK("https://otsuka-europe-crm.veevavault.com/ui/#object/approved_document__v/V5OZ025E82RR47W", "AE Propensity Analysis- IT-LUP-2500004 Reuma")</f>
        <v>AE Propensity Analysis- IT-LUP-2500004 Reuma</v>
      </c>
      <c r="E6578" s="22" t="str">
        <f>HYPERLINK("https://otsuka-europe-crm.veevavault.com/ui/#object/sent_email__v/VBL00000003A313", "SE-001444737")</f>
        <v>SE-001444737</v>
      </c>
      <c r="F6578" s="23"/>
      <c r="G6578" s="24">
        <v>0</v>
      </c>
      <c r="H6578" s="24">
        <v>0</v>
      </c>
      <c r="I6578" s="24">
        <v>0</v>
      </c>
      <c r="J6578" s="23"/>
      <c r="K6578" s="24">
        <v>0</v>
      </c>
      <c r="L6578" s="22" t="str">
        <f>HYPERLINK("https://otsuka-europe-crm.veevavault.com/ui/#object/approved_document__v/V5OZ025E82RR47W", "AE Propensity Analysis- IT-LUP-2500004 Reuma")</f>
        <v>AE Propensity Analysis- IT-LUP-2500004 Reuma</v>
      </c>
      <c r="M6578" s="22" t="str">
        <f>HYPERLINK("mailto:matteo.digennaro@crm.otsuka-europe.com", "matteo.digennaro@crm.otsuka-europe.com")</f>
        <v>matteo.digennaro@crm.otsuka-europe.com</v>
      </c>
      <c r="N6578" s="25">
        <v>46226.29923611111</v>
      </c>
      <c r="O6578" s="14" t="str">
        <f>HYPERLINK("https://otsuka-europe-crm.veevavault.com/ui/#object/email_activity__v/V8C00000004B386", "EN-002107399")</f>
        <v>EN-002107399</v>
      </c>
    </row>
    <row r="6579" spans="1:15" ht="16" x14ac:dyDescent="0.2">
      <c r="A6579" s="19"/>
      <c r="B6579" s="19"/>
      <c r="C6579" s="19"/>
      <c r="D6579" s="19"/>
      <c r="E6579" s="19"/>
      <c r="F6579" s="19"/>
      <c r="G6579" s="19"/>
      <c r="H6579" s="19"/>
      <c r="I6579" s="19"/>
      <c r="J6579" s="19"/>
      <c r="K6579" s="19"/>
      <c r="L6579" s="19"/>
      <c r="M6579" s="19"/>
      <c r="N6579" s="19"/>
      <c r="O6579" s="14" t="str">
        <f>HYPERLINK("https://otsuka-europe-crm.veevavault.com/ui/#object/email_activity__v/V8C00000004D007", "EN-002108228")</f>
        <v>EN-002108228</v>
      </c>
    </row>
    <row r="6580" spans="1:15" ht="16" x14ac:dyDescent="0.2">
      <c r="A6580" s="18" t="str">
        <f>HYPERLINK("https://otsuka-europe-crm.veevavault.com/ui/#object/account__v/V4TZ04ASGBJLNZZ", "ALESSANDRA BORTOLUZZI")</f>
        <v>ALESSANDRA BORTOLUZZI</v>
      </c>
      <c r="B6580" s="18" t="str">
        <f>HYPERLINK("https://otsuka-europe-crm.veevavault.com/ui/#object/vcountry__v/VENZ000004SONFQ", "IT")</f>
        <v>IT</v>
      </c>
      <c r="C6580" s="20" t="s">
        <v>42</v>
      </c>
      <c r="D6580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580" s="22" t="str">
        <f>HYPERLINK("https://otsuka-europe-crm.veevavault.com/ui/#object/sent_email__v/VBL000000039187", "SE-001444738")</f>
        <v>SE-001444738</v>
      </c>
      <c r="F6580" s="23"/>
      <c r="G6580" s="24">
        <v>0</v>
      </c>
      <c r="H6580" s="24">
        <v>0</v>
      </c>
      <c r="I6580" s="24">
        <v>0</v>
      </c>
      <c r="J6580" s="23"/>
      <c r="K6580" s="24">
        <v>0</v>
      </c>
      <c r="L6580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580" s="22" t="str">
        <f>HYPERLINK("mailto:matteo.digennaro@crm.otsuka-europe.com", "matteo.digennaro@crm.otsuka-europe.com")</f>
        <v>matteo.digennaro@crm.otsuka-europe.com</v>
      </c>
      <c r="N6580" s="25">
        <v>46226.29923611111</v>
      </c>
      <c r="O6580" s="14" t="str">
        <f>HYPERLINK("https://otsuka-europe-crm.veevavault.com/ui/#object/email_activity__v/V8C00000004C374", "EN-002107547")</f>
        <v>EN-002107547</v>
      </c>
    </row>
    <row r="6581" spans="1:15" ht="16" x14ac:dyDescent="0.2">
      <c r="A6581" s="19"/>
      <c r="B6581" s="19"/>
      <c r="C6581" s="19"/>
      <c r="D6581" s="19"/>
      <c r="E6581" s="19"/>
      <c r="F6581" s="19"/>
      <c r="G6581" s="19"/>
      <c r="H6581" s="19"/>
      <c r="I6581" s="19"/>
      <c r="J6581" s="19"/>
      <c r="K6581" s="19"/>
      <c r="L6581" s="19"/>
      <c r="M6581" s="19"/>
      <c r="N6581" s="19"/>
      <c r="O6581" s="14" t="str">
        <f>HYPERLINK("https://otsuka-europe-crm.veevavault.com/ui/#object/email_activity__v/V8C00000004D008", "EN-002108229")</f>
        <v>EN-002108229</v>
      </c>
    </row>
    <row r="6582" spans="1:15" ht="32" x14ac:dyDescent="0.2">
      <c r="A6582" s="7" t="str">
        <f>HYPERLINK("https://otsuka-europe-crm.veevavault.com/ui/#object/account__v/V4TZ025E82APERU", "FRANCESCO TONDOLO")</f>
        <v>FRANCESCO TONDOLO</v>
      </c>
      <c r="B6582" s="7" t="str">
        <f>HYPERLINK("https://otsuka-europe-crm.veevavault.com/ui/#object/vcountry__v/VENZ000004SONFQ", "IT")</f>
        <v>IT</v>
      </c>
      <c r="C6582" s="8" t="s">
        <v>42</v>
      </c>
      <c r="D6582" s="9" t="str">
        <f>HYPERLINK("https://otsuka-europe-crm.veevavault.com/ui/#object/approved_document__v/V5OZ025E82RRA5I", "AURORA 2 - AE NEPHRO")</f>
        <v>AURORA 2 - AE NEPHRO</v>
      </c>
      <c r="E6582" s="10" t="str">
        <f>HYPERLINK("https://otsuka-europe-crm.veevavault.com/ui/#object/sent_email__v/VBL00000003A314", "SE-001444739")</f>
        <v>SE-001444739</v>
      </c>
      <c r="F6582" s="11"/>
      <c r="G6582" s="12">
        <v>0</v>
      </c>
      <c r="H6582" s="12">
        <v>0</v>
      </c>
      <c r="I6582" s="12">
        <v>0</v>
      </c>
      <c r="J6582" s="11"/>
      <c r="K6582" s="12">
        <v>0</v>
      </c>
      <c r="L6582" s="10" t="str">
        <f>HYPERLINK("https://otsuka-europe-crm.veevavault.com/ui/#object/approved_document__v/V5OZ025E82RRA5I", "AURORA 2 - AE NEPHRO")</f>
        <v>AURORA 2 - AE NEPHRO</v>
      </c>
      <c r="M6582" s="10" t="str">
        <f>HYPERLINK("mailto:matteo.digennaro@crm.otsuka-europe.com", "matteo.digennaro@crm.otsuka-europe.com")</f>
        <v>matteo.digennaro@crm.otsuka-europe.com</v>
      </c>
      <c r="N6582" s="13">
        <v>46226.299293981479</v>
      </c>
      <c r="O6582" s="14" t="str">
        <f>HYPERLINK("https://otsuka-europe-crm.veevavault.com/ui/#object/email_activity__v/V8C00000004C353", "EN-002107520")</f>
        <v>EN-002107520</v>
      </c>
    </row>
    <row r="6583" spans="1:15" ht="16" x14ac:dyDescent="0.2">
      <c r="A6583" s="18" t="str">
        <f>HYPERLINK("https://otsuka-europe-crm.veevavault.com/ui/#object/account__v/V4TZ025E82APERU", "FRANCESCO TONDOLO")</f>
        <v>FRANCESCO TONDOLO</v>
      </c>
      <c r="B6583" s="18" t="str">
        <f>HYPERLINK("https://otsuka-europe-crm.veevavault.com/ui/#object/vcountry__v/VENZ000004SONFQ", "IT")</f>
        <v>IT</v>
      </c>
      <c r="C6583" s="20" t="s">
        <v>42</v>
      </c>
      <c r="D6583" s="21" t="str">
        <f>HYPERLINK("https://otsuka-europe-crm.veevavault.com/ui/#object/approved_document__v/V5OZ025E82RR47S", "AE Focus pz prevalenti- IT-LUP-2500005 Nefro")</f>
        <v>AE Focus pz prevalenti- IT-LUP-2500005 Nefro</v>
      </c>
      <c r="E6583" s="22" t="str">
        <f>HYPERLINK("https://otsuka-europe-crm.veevavault.com/ui/#object/sent_email__v/VBL000000039188", "SE-001444740")</f>
        <v>SE-001444740</v>
      </c>
      <c r="F6583" s="25">
        <v>46226.300381944442</v>
      </c>
      <c r="G6583" s="24">
        <v>1</v>
      </c>
      <c r="H6583" s="24">
        <v>1</v>
      </c>
      <c r="I6583" s="24">
        <v>0</v>
      </c>
      <c r="J6583" s="23"/>
      <c r="K6583" s="24">
        <v>0</v>
      </c>
      <c r="L6583" s="22" t="str">
        <f>HYPERLINK("https://otsuka-europe-crm.veevavault.com/ui/#object/approved_document__v/V5OZ025E82RR47S", "AE Focus pz prevalenti- IT-LUP-2500005 Nefro")</f>
        <v>AE Focus pz prevalenti- IT-LUP-2500005 Nefro</v>
      </c>
      <c r="M6583" s="22" t="str">
        <f>HYPERLINK("mailto:matteo.digennaro@crm.otsuka-europe.com", "matteo.digennaro@crm.otsuka-europe.com")</f>
        <v>matteo.digennaro@crm.otsuka-europe.com</v>
      </c>
      <c r="N6583" s="25">
        <v>46226.299247685187</v>
      </c>
      <c r="O6583" s="14" t="str">
        <f>HYPERLINK("https://otsuka-europe-crm.veevavault.com/ui/#object/email_activity__v/V8C00000004B406", "EN-002107420")</f>
        <v>EN-002107420</v>
      </c>
    </row>
    <row r="6584" spans="1:15" ht="16" x14ac:dyDescent="0.2">
      <c r="A6584" s="19"/>
      <c r="B6584" s="19"/>
      <c r="C6584" s="19"/>
      <c r="D6584" s="19"/>
      <c r="E6584" s="19"/>
      <c r="F6584" s="19"/>
      <c r="G6584" s="19"/>
      <c r="H6584" s="19"/>
      <c r="I6584" s="19"/>
      <c r="J6584" s="19"/>
      <c r="K6584" s="19"/>
      <c r="L6584" s="19"/>
      <c r="M6584" s="19"/>
      <c r="N6584" s="19"/>
      <c r="O6584" s="14" t="str">
        <f>HYPERLINK("https://otsuka-europe-crm.veevavault.com/ui/#object/email_activity__v/V8C00000004C285", "EN-002107357")</f>
        <v>EN-002107357</v>
      </c>
    </row>
    <row r="6585" spans="1:15" ht="16" x14ac:dyDescent="0.2">
      <c r="A6585" s="18" t="str">
        <f>HYPERLINK("https://otsuka-europe-crm.veevavault.com/ui/#object/account__v/V4TZ025E82APERU", "FRANCESCO TONDOLO")</f>
        <v>FRANCESCO TONDOLO</v>
      </c>
      <c r="B6585" s="18" t="str">
        <f>HYPERLINK("https://otsuka-europe-crm.veevavault.com/ui/#object/vcountry__v/VENZ000004SONFQ", "IT")</f>
        <v>IT</v>
      </c>
      <c r="C6585" s="20" t="s">
        <v>42</v>
      </c>
      <c r="D6585" s="21" t="str">
        <f>HYPERLINK("https://otsuka-europe-crm.veevavault.com/ui/#object/approved_document__v/V5OZ025E82RR47T", "AE Propensity Analysis- IT-LUP-2500004 Nefro")</f>
        <v>AE Propensity Analysis- IT-LUP-2500004 Nefro</v>
      </c>
      <c r="E6585" s="22" t="str">
        <f>HYPERLINK("https://otsuka-europe-crm.veevavault.com/ui/#object/sent_email__v/VBL00000003A315", "SE-001444741")</f>
        <v>SE-001444741</v>
      </c>
      <c r="F6585" s="25">
        <v>46226.310069444444</v>
      </c>
      <c r="G6585" s="24">
        <v>1</v>
      </c>
      <c r="H6585" s="24">
        <v>5</v>
      </c>
      <c r="I6585" s="24">
        <v>0</v>
      </c>
      <c r="J6585" s="23"/>
      <c r="K6585" s="24">
        <v>0</v>
      </c>
      <c r="L6585" s="22" t="str">
        <f>HYPERLINK("https://otsuka-europe-crm.veevavault.com/ui/#object/approved_document__v/V5OZ025E82RR47T", "AE Propensity Analysis- IT-LUP-2500004 Nefro")</f>
        <v>AE Propensity Analysis- IT-LUP-2500004 Nefro</v>
      </c>
      <c r="M6585" s="22" t="str">
        <f>HYPERLINK("mailto:matteo.digennaro@crm.otsuka-europe.com", "matteo.digennaro@crm.otsuka-europe.com")</f>
        <v>matteo.digennaro@crm.otsuka-europe.com</v>
      </c>
      <c r="N6585" s="25">
        <v>46226.29923611111</v>
      </c>
      <c r="O6585" s="14" t="str">
        <f>HYPERLINK("https://otsuka-europe-crm.veevavault.com/ui/#object/email_activity__v/V8C00000004B421", "EN-002107435")</f>
        <v>EN-002107435</v>
      </c>
    </row>
    <row r="6586" spans="1:15" ht="16" x14ac:dyDescent="0.2">
      <c r="A6586" s="26"/>
      <c r="B6586" s="26"/>
      <c r="C6586" s="26"/>
      <c r="D6586" s="26"/>
      <c r="E6586" s="26"/>
      <c r="F6586" s="26"/>
      <c r="G6586" s="26"/>
      <c r="H6586" s="26"/>
      <c r="I6586" s="26"/>
      <c r="J6586" s="26"/>
      <c r="K6586" s="26"/>
      <c r="L6586" s="26"/>
      <c r="M6586" s="26"/>
      <c r="N6586" s="26"/>
      <c r="O6586" s="14" t="str">
        <f>HYPERLINK("https://otsuka-europe-crm.veevavault.com/ui/#object/email_activity__v/V8C00000004B432", "EN-002107445")</f>
        <v>EN-002107445</v>
      </c>
    </row>
    <row r="6587" spans="1:15" ht="16" x14ac:dyDescent="0.2">
      <c r="A6587" s="26"/>
      <c r="B6587" s="26"/>
      <c r="C6587" s="26"/>
      <c r="D6587" s="26"/>
      <c r="E6587" s="26"/>
      <c r="F6587" s="26"/>
      <c r="G6587" s="26"/>
      <c r="H6587" s="26"/>
      <c r="I6587" s="26"/>
      <c r="J6587" s="26"/>
      <c r="K6587" s="26"/>
      <c r="L6587" s="26"/>
      <c r="M6587" s="26"/>
      <c r="N6587" s="26"/>
      <c r="O6587" s="14" t="str">
        <f>HYPERLINK("https://otsuka-europe-crm.veevavault.com/ui/#object/email_activity__v/V8C00000004B440", "EN-002107530")</f>
        <v>EN-002107530</v>
      </c>
    </row>
    <row r="6588" spans="1:15" ht="16" x14ac:dyDescent="0.2">
      <c r="A6588" s="26"/>
      <c r="B6588" s="26"/>
      <c r="C6588" s="26"/>
      <c r="D6588" s="26"/>
      <c r="E6588" s="26"/>
      <c r="F6588" s="26"/>
      <c r="G6588" s="26"/>
      <c r="H6588" s="26"/>
      <c r="I6588" s="26"/>
      <c r="J6588" s="26"/>
      <c r="K6588" s="26"/>
      <c r="L6588" s="26"/>
      <c r="M6588" s="26"/>
      <c r="N6588" s="26"/>
      <c r="O6588" s="14" t="str">
        <f>HYPERLINK("https://otsuka-europe-crm.veevavault.com/ui/#object/email_activity__v/V8C00000004B441", "EN-002107531")</f>
        <v>EN-002107531</v>
      </c>
    </row>
    <row r="6589" spans="1:15" ht="16" x14ac:dyDescent="0.2">
      <c r="A6589" s="26"/>
      <c r="B6589" s="26"/>
      <c r="C6589" s="26"/>
      <c r="D6589" s="26"/>
      <c r="E6589" s="26"/>
      <c r="F6589" s="26"/>
      <c r="G6589" s="26"/>
      <c r="H6589" s="26"/>
      <c r="I6589" s="26"/>
      <c r="J6589" s="26"/>
      <c r="K6589" s="26"/>
      <c r="L6589" s="26"/>
      <c r="M6589" s="26"/>
      <c r="N6589" s="26"/>
      <c r="O6589" s="14" t="str">
        <f>HYPERLINK("https://otsuka-europe-crm.veevavault.com/ui/#object/email_activity__v/V8C00000004B442", "EN-002107537")</f>
        <v>EN-002107537</v>
      </c>
    </row>
    <row r="6590" spans="1:15" ht="16" x14ac:dyDescent="0.2">
      <c r="A6590" s="19"/>
      <c r="B6590" s="19"/>
      <c r="C6590" s="19"/>
      <c r="D6590" s="19"/>
      <c r="E6590" s="19"/>
      <c r="F6590" s="19"/>
      <c r="G6590" s="19"/>
      <c r="H6590" s="19"/>
      <c r="I6590" s="19"/>
      <c r="J6590" s="19"/>
      <c r="K6590" s="19"/>
      <c r="L6590" s="19"/>
      <c r="M6590" s="19"/>
      <c r="N6590" s="19"/>
      <c r="O6590" s="14" t="str">
        <f>HYPERLINK("https://otsuka-europe-crm.veevavault.com/ui/#object/email_activity__v/V8C00000004C518", "EN-002108016")</f>
        <v>EN-002108016</v>
      </c>
    </row>
    <row r="6591" spans="1:15" ht="16" x14ac:dyDescent="0.2">
      <c r="A6591" s="18" t="str">
        <f>HYPERLINK("https://otsuka-europe-crm.veevavault.com/ui/#object/account__v/V4TZ025E82APERU", "FRANCESCO TONDOLO")</f>
        <v>FRANCESCO TONDOLO</v>
      </c>
      <c r="B6591" s="18" t="str">
        <f>HYPERLINK("https://otsuka-europe-crm.veevavault.com/ui/#object/vcountry__v/VENZ000004SONFQ", "IT")</f>
        <v>IT</v>
      </c>
      <c r="C6591" s="20" t="s">
        <v>42</v>
      </c>
      <c r="D6591" s="21" t="str">
        <f>HYPERLINK("https://otsuka-europe-crm.veevavault.com/ui/#object/approved_document__v/V5OZ025E82RR480", "RTE Proteinuria C1 - IT-LUP-2500006 - Nephro")</f>
        <v>RTE Proteinuria C1 - IT-LUP-2500006 - Nephro</v>
      </c>
      <c r="E6591" s="22" t="str">
        <f>HYPERLINK("https://otsuka-europe-crm.veevavault.com/ui/#object/sent_email__v/VBL000000039189", "SE-001444742")</f>
        <v>SE-001444742</v>
      </c>
      <c r="F6591" s="25">
        <v>46226.300405092596</v>
      </c>
      <c r="G6591" s="24">
        <v>1</v>
      </c>
      <c r="H6591" s="24">
        <v>2</v>
      </c>
      <c r="I6591" s="24">
        <v>0</v>
      </c>
      <c r="J6591" s="23"/>
      <c r="K6591" s="24">
        <v>0</v>
      </c>
      <c r="L6591" s="22" t="str">
        <f>HYPERLINK("https://otsuka-europe-crm.veevavault.com/ui/#object/approved_document__v/V5OZ025E82RR480", "RTE Proteinuria C1 - IT-LUP-2500006 - Nephro")</f>
        <v>RTE Proteinuria C1 - IT-LUP-2500006 - Nephro</v>
      </c>
      <c r="M6591" s="22" t="str">
        <f>HYPERLINK("mailto:matteo.digennaro@crm.otsuka-europe.com", "matteo.digennaro@crm.otsuka-europe.com")</f>
        <v>matteo.digennaro@crm.otsuka-europe.com</v>
      </c>
      <c r="N6591" s="25">
        <v>46226.299224537041</v>
      </c>
      <c r="O6591" s="14" t="str">
        <f>HYPERLINK("https://otsuka-europe-crm.veevavault.com/ui/#object/email_activity__v/V8C00000004B319", "EN-002107279")</f>
        <v>EN-002107279</v>
      </c>
    </row>
    <row r="6592" spans="1:15" ht="16" x14ac:dyDescent="0.2">
      <c r="A6592" s="26"/>
      <c r="B6592" s="26"/>
      <c r="C6592" s="26"/>
      <c r="D6592" s="26"/>
      <c r="E6592" s="26"/>
      <c r="F6592" s="26"/>
      <c r="G6592" s="26"/>
      <c r="H6592" s="26"/>
      <c r="I6592" s="26"/>
      <c r="J6592" s="26"/>
      <c r="K6592" s="26"/>
      <c r="L6592" s="26"/>
      <c r="M6592" s="26"/>
      <c r="N6592" s="26"/>
      <c r="O6592" s="14" t="str">
        <f>HYPERLINK("https://otsuka-europe-crm.veevavault.com/ui/#object/email_activity__v/V8C00000004C304", "EN-002107469")</f>
        <v>EN-002107469</v>
      </c>
    </row>
    <row r="6593" spans="1:15" ht="16" x14ac:dyDescent="0.2">
      <c r="A6593" s="19"/>
      <c r="B6593" s="19"/>
      <c r="C6593" s="19"/>
      <c r="D6593" s="19"/>
      <c r="E6593" s="19"/>
      <c r="F6593" s="19"/>
      <c r="G6593" s="19"/>
      <c r="H6593" s="19"/>
      <c r="I6593" s="19"/>
      <c r="J6593" s="19"/>
      <c r="K6593" s="19"/>
      <c r="L6593" s="19"/>
      <c r="M6593" s="19"/>
      <c r="N6593" s="19"/>
      <c r="O6593" s="14" t="str">
        <f>HYPERLINK("https://otsuka-europe-crm.veevavault.com/ui/#object/email_activity__v/V8C00000004C467", "EN-002107934")</f>
        <v>EN-002107934</v>
      </c>
    </row>
    <row r="6594" spans="1:15" ht="16" x14ac:dyDescent="0.2">
      <c r="A6594" s="18" t="str">
        <f>HYPERLINK("https://otsuka-europe-crm.veevavault.com/ui/#object/account__v/V4TZ025E82APERU", "FRANCESCO TONDOLO")</f>
        <v>FRANCESCO TONDOLO</v>
      </c>
      <c r="B6594" s="18" t="str">
        <f>HYPERLINK("https://otsuka-europe-crm.veevavault.com/ui/#object/vcountry__v/VENZ000004SONFQ", "IT")</f>
        <v>IT</v>
      </c>
      <c r="C6594" s="20" t="s">
        <v>42</v>
      </c>
      <c r="D6594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594" s="22" t="str">
        <f>HYPERLINK("https://otsuka-europe-crm.veevavault.com/ui/#object/sent_email__v/VBL000000039190", "SE-001444743")</f>
        <v>SE-001444743</v>
      </c>
      <c r="F6594" s="25">
        <v>46226.300416666665</v>
      </c>
      <c r="G6594" s="24">
        <v>1</v>
      </c>
      <c r="H6594" s="24">
        <v>2</v>
      </c>
      <c r="I6594" s="24">
        <v>0</v>
      </c>
      <c r="J6594" s="23"/>
      <c r="K6594" s="24">
        <v>0</v>
      </c>
      <c r="L6594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594" s="22" t="str">
        <f>HYPERLINK("mailto:matteo.digennaro@crm.otsuka-europe.com", "matteo.digennaro@crm.otsuka-europe.com")</f>
        <v>matteo.digennaro@crm.otsuka-europe.com</v>
      </c>
      <c r="N6594" s="25">
        <v>46226.29923611111</v>
      </c>
      <c r="O6594" s="14" t="str">
        <f>HYPERLINK("https://otsuka-europe-crm.veevavault.com/ui/#object/email_activity__v/V8C00000004B385", "EN-002107398")</f>
        <v>EN-002107398</v>
      </c>
    </row>
    <row r="6595" spans="1:15" ht="16" x14ac:dyDescent="0.2">
      <c r="A6595" s="26"/>
      <c r="B6595" s="26"/>
      <c r="C6595" s="26"/>
      <c r="D6595" s="26"/>
      <c r="E6595" s="26"/>
      <c r="F6595" s="26"/>
      <c r="G6595" s="26"/>
      <c r="H6595" s="26"/>
      <c r="I6595" s="26"/>
      <c r="J6595" s="26"/>
      <c r="K6595" s="26"/>
      <c r="L6595" s="26"/>
      <c r="M6595" s="26"/>
      <c r="N6595" s="26"/>
      <c r="O6595" s="14" t="str">
        <f>HYPERLINK("https://otsuka-europe-crm.veevavault.com/ui/#object/email_activity__v/V8C00000004B807", "EN-002108115")</f>
        <v>EN-002108115</v>
      </c>
    </row>
    <row r="6596" spans="1:15" ht="16" x14ac:dyDescent="0.2">
      <c r="A6596" s="19"/>
      <c r="B6596" s="19"/>
      <c r="C6596" s="19"/>
      <c r="D6596" s="19"/>
      <c r="E6596" s="19"/>
      <c r="F6596" s="19"/>
      <c r="G6596" s="19"/>
      <c r="H6596" s="19"/>
      <c r="I6596" s="19"/>
      <c r="J6596" s="19"/>
      <c r="K6596" s="19"/>
      <c r="L6596" s="19"/>
      <c r="M6596" s="19"/>
      <c r="N6596" s="19"/>
      <c r="O6596" s="14" t="str">
        <f>HYPERLINK("https://otsuka-europe-crm.veevavault.com/ui/#object/email_activity__v/V8C00000004C243", "EN-002107315")</f>
        <v>EN-002107315</v>
      </c>
    </row>
    <row r="6597" spans="1:15" ht="16" x14ac:dyDescent="0.2">
      <c r="A6597" s="18" t="str">
        <f>HYPERLINK("https://otsuka-europe-crm.veevavault.com/ui/#object/account__v/V4TZ06G6O71SB6W", "GAETANO LA MANNA")</f>
        <v>GAETANO LA MANNA</v>
      </c>
      <c r="B6597" s="18" t="str">
        <f>HYPERLINK("https://otsuka-europe-crm.veevavault.com/ui/#object/vcountry__v/VENZ000004SONFQ", "IT")</f>
        <v>IT</v>
      </c>
      <c r="C6597" s="20" t="s">
        <v>42</v>
      </c>
      <c r="D6597" s="21" t="str">
        <f>HYPERLINK("https://otsuka-europe-crm.veevavault.com/ui/#object/approved_document__v/V5OZ025E82RRA5I", "AURORA 2 - AE NEPHRO")</f>
        <v>AURORA 2 - AE NEPHRO</v>
      </c>
      <c r="E6597" s="22" t="str">
        <f>HYPERLINK("https://otsuka-europe-crm.veevavault.com/ui/#object/sent_email__v/VBL000000039191", "SE-001444744")</f>
        <v>SE-001444744</v>
      </c>
      <c r="F6597" s="23"/>
      <c r="G6597" s="24">
        <v>0</v>
      </c>
      <c r="H6597" s="24">
        <v>0</v>
      </c>
      <c r="I6597" s="24">
        <v>0</v>
      </c>
      <c r="J6597" s="23"/>
      <c r="K6597" s="24">
        <v>0</v>
      </c>
      <c r="L6597" s="22" t="str">
        <f>HYPERLINK("https://otsuka-europe-crm.veevavault.com/ui/#object/approved_document__v/V5OZ025E82RRA5I", "AURORA 2 - AE NEPHRO")</f>
        <v>AURORA 2 - AE NEPHRO</v>
      </c>
      <c r="M6597" s="22" t="str">
        <f>HYPERLINK("mailto:matteo.digennaro@crm.otsuka-europe.com", "matteo.digennaro@crm.otsuka-europe.com")</f>
        <v>matteo.digennaro@crm.otsuka-europe.com</v>
      </c>
      <c r="N6597" s="25">
        <v>46226.299293981479</v>
      </c>
      <c r="O6597" s="14" t="str">
        <f>HYPERLINK("https://otsuka-europe-crm.veevavault.com/ui/#object/email_activity__v/V8C00000004B538", "EN-002107649")</f>
        <v>EN-002107649</v>
      </c>
    </row>
    <row r="6598" spans="1:15" ht="16" x14ac:dyDescent="0.2">
      <c r="A6598" s="19"/>
      <c r="B6598" s="19"/>
      <c r="C6598" s="19"/>
      <c r="D6598" s="19"/>
      <c r="E6598" s="19"/>
      <c r="F6598" s="19"/>
      <c r="G6598" s="19"/>
      <c r="H6598" s="19"/>
      <c r="I6598" s="19"/>
      <c r="J6598" s="19"/>
      <c r="K6598" s="19"/>
      <c r="L6598" s="19"/>
      <c r="M6598" s="19"/>
      <c r="N6598" s="19"/>
      <c r="O6598" s="14" t="str">
        <f>HYPERLINK("https://otsuka-europe-crm.veevavault.com/ui/#object/email_activity__v/V8C00000004C572", "EN-002108082")</f>
        <v>EN-002108082</v>
      </c>
    </row>
    <row r="6599" spans="1:15" ht="16" x14ac:dyDescent="0.2">
      <c r="A6599" s="18" t="str">
        <f>HYPERLINK("https://otsuka-europe-crm.veevavault.com/ui/#object/account__v/V4TZ06G6O71SB6W", "GAETANO LA MANNA")</f>
        <v>GAETANO LA MANNA</v>
      </c>
      <c r="B6599" s="18" t="str">
        <f>HYPERLINK("https://otsuka-europe-crm.veevavault.com/ui/#object/vcountry__v/VENZ000004SONFQ", "IT")</f>
        <v>IT</v>
      </c>
      <c r="C6599" s="20" t="s">
        <v>42</v>
      </c>
      <c r="D6599" s="21" t="str">
        <f>HYPERLINK("https://otsuka-europe-crm.veevavault.com/ui/#object/approved_document__v/V5OZ025E82RR47S", "AE Focus pz prevalenti- IT-LUP-2500005 Nefro")</f>
        <v>AE Focus pz prevalenti- IT-LUP-2500005 Nefro</v>
      </c>
      <c r="E6599" s="22" t="str">
        <f>HYPERLINK("https://otsuka-europe-crm.veevavault.com/ui/#object/sent_email__v/VBL000000039192", "SE-001444745")</f>
        <v>SE-001444745</v>
      </c>
      <c r="F6599" s="23"/>
      <c r="G6599" s="24">
        <v>0</v>
      </c>
      <c r="H6599" s="24">
        <v>0</v>
      </c>
      <c r="I6599" s="24">
        <v>0</v>
      </c>
      <c r="J6599" s="23"/>
      <c r="K6599" s="24">
        <v>0</v>
      </c>
      <c r="L6599" s="22" t="str">
        <f>HYPERLINK("https://otsuka-europe-crm.veevavault.com/ui/#object/approved_document__v/V5OZ025E82RR47S", "AE Focus pz prevalenti- IT-LUP-2500005 Nefro")</f>
        <v>AE Focus pz prevalenti- IT-LUP-2500005 Nefro</v>
      </c>
      <c r="M6599" s="22" t="str">
        <f>HYPERLINK("mailto:matteo.digennaro@crm.otsuka-europe.com", "matteo.digennaro@crm.otsuka-europe.com")</f>
        <v>matteo.digennaro@crm.otsuka-europe.com</v>
      </c>
      <c r="N6599" s="25">
        <v>46226.299247685187</v>
      </c>
      <c r="O6599" s="14" t="str">
        <f>HYPERLINK("https://otsuka-europe-crm.veevavault.com/ui/#object/email_activity__v/V8C00000004B539", "EN-002107650")</f>
        <v>EN-002107650</v>
      </c>
    </row>
    <row r="6600" spans="1:15" ht="16" x14ac:dyDescent="0.2">
      <c r="A6600" s="19"/>
      <c r="B6600" s="19"/>
      <c r="C6600" s="19"/>
      <c r="D6600" s="19"/>
      <c r="E6600" s="19"/>
      <c r="F6600" s="19"/>
      <c r="G6600" s="19"/>
      <c r="H6600" s="19"/>
      <c r="I6600" s="19"/>
      <c r="J6600" s="19"/>
      <c r="K6600" s="19"/>
      <c r="L6600" s="19"/>
      <c r="M6600" s="19"/>
      <c r="N6600" s="19"/>
      <c r="O6600" s="14" t="str">
        <f>HYPERLINK("https://otsuka-europe-crm.veevavault.com/ui/#object/email_activity__v/V8C00000004B865", "EN-002108176")</f>
        <v>EN-002108176</v>
      </c>
    </row>
    <row r="6601" spans="1:15" ht="32" x14ac:dyDescent="0.2">
      <c r="A6601" s="7" t="str">
        <f>HYPERLINK("https://otsuka-europe-crm.veevavault.com/ui/#object/account__v/V4TZ06G6O71SB6W", "GAETANO LA MANNA")</f>
        <v>GAETANO LA MANNA</v>
      </c>
      <c r="B6601" s="7" t="str">
        <f>HYPERLINK("https://otsuka-europe-crm.veevavault.com/ui/#object/vcountry__v/VENZ000004SONFQ", "IT")</f>
        <v>IT</v>
      </c>
      <c r="C6601" s="8" t="s">
        <v>42</v>
      </c>
      <c r="D6601" s="9" t="str">
        <f>HYPERLINK("https://otsuka-europe-crm.veevavault.com/ui/#object/approved_document__v/V5OZ025E82RR47T", "AE Propensity Analysis- IT-LUP-2500004 Nefro")</f>
        <v>AE Propensity Analysis- IT-LUP-2500004 Nefro</v>
      </c>
      <c r="E6601" s="10" t="str">
        <f>HYPERLINK("https://otsuka-europe-crm.veevavault.com/ui/#object/sent_email__v/VBL000000039193", "SE-001444746")</f>
        <v>SE-001444746</v>
      </c>
      <c r="F6601" s="11"/>
      <c r="G6601" s="12">
        <v>0</v>
      </c>
      <c r="H6601" s="12">
        <v>0</v>
      </c>
      <c r="I6601" s="12">
        <v>0</v>
      </c>
      <c r="J6601" s="11"/>
      <c r="K6601" s="12">
        <v>0</v>
      </c>
      <c r="L6601" s="10" t="str">
        <f>HYPERLINK("https://otsuka-europe-crm.veevavault.com/ui/#object/approved_document__v/V5OZ025E82RR47T", "AE Propensity Analysis- IT-LUP-2500004 Nefro")</f>
        <v>AE Propensity Analysis- IT-LUP-2500004 Nefro</v>
      </c>
      <c r="M6601" s="10" t="str">
        <f>HYPERLINK("mailto:matteo.digennaro@crm.otsuka-europe.com", "matteo.digennaro@crm.otsuka-europe.com")</f>
        <v>matteo.digennaro@crm.otsuka-europe.com</v>
      </c>
      <c r="N6601" s="13">
        <v>46226.299212962964</v>
      </c>
      <c r="O6601" s="14" t="str">
        <f>HYPERLINK("https://otsuka-europe-crm.veevavault.com/ui/#object/email_activity__v/V8C00000004B423", "EN-002107436")</f>
        <v>EN-002107436</v>
      </c>
    </row>
    <row r="6602" spans="1:15" ht="16" x14ac:dyDescent="0.2">
      <c r="A6602" s="18" t="str">
        <f>HYPERLINK("https://otsuka-europe-crm.veevavault.com/ui/#object/account__v/V4TZ06G6O71SB6W", "GAETANO LA MANNA")</f>
        <v>GAETANO LA MANNA</v>
      </c>
      <c r="B6602" s="18" t="str">
        <f>HYPERLINK("https://otsuka-europe-crm.veevavault.com/ui/#object/vcountry__v/VENZ000004SONFQ", "IT")</f>
        <v>IT</v>
      </c>
      <c r="C6602" s="20" t="s">
        <v>42</v>
      </c>
      <c r="D6602" s="21" t="str">
        <f>HYPERLINK("https://otsuka-europe-crm.veevavault.com/ui/#object/approved_document__v/V5OZ025E82RR480", "RTE Proteinuria C1 - IT-LUP-2500006 - Nephro")</f>
        <v>RTE Proteinuria C1 - IT-LUP-2500006 - Nephro</v>
      </c>
      <c r="E6602" s="22" t="str">
        <f>HYPERLINK("https://otsuka-europe-crm.veevavault.com/ui/#object/sent_email__v/VBL000000039194", "SE-001444747")</f>
        <v>SE-001444747</v>
      </c>
      <c r="F6602" s="23"/>
      <c r="G6602" s="24">
        <v>0</v>
      </c>
      <c r="H6602" s="24">
        <v>0</v>
      </c>
      <c r="I6602" s="24">
        <v>0</v>
      </c>
      <c r="J6602" s="23"/>
      <c r="K6602" s="24">
        <v>0</v>
      </c>
      <c r="L6602" s="22" t="str">
        <f>HYPERLINK("https://otsuka-europe-crm.veevavault.com/ui/#object/approved_document__v/V5OZ025E82RR480", "RTE Proteinuria C1 - IT-LUP-2500006 - Nephro")</f>
        <v>RTE Proteinuria C1 - IT-LUP-2500006 - Nephro</v>
      </c>
      <c r="M6602" s="22" t="str">
        <f>HYPERLINK("mailto:matteo.digennaro@crm.otsuka-europe.com", "matteo.digennaro@crm.otsuka-europe.com")</f>
        <v>matteo.digennaro@crm.otsuka-europe.com</v>
      </c>
      <c r="N6602" s="25">
        <v>46226.299224537041</v>
      </c>
      <c r="O6602" s="14" t="str">
        <f>HYPERLINK("https://otsuka-europe-crm.veevavault.com/ui/#object/email_activity__v/V8C00000004B540", "EN-002107651")</f>
        <v>EN-002107651</v>
      </c>
    </row>
    <row r="6603" spans="1:15" ht="16" x14ac:dyDescent="0.2">
      <c r="A6603" s="19"/>
      <c r="B6603" s="19"/>
      <c r="C6603" s="19"/>
      <c r="D6603" s="19"/>
      <c r="E6603" s="19"/>
      <c r="F6603" s="19"/>
      <c r="G6603" s="19"/>
      <c r="H6603" s="19"/>
      <c r="I6603" s="19"/>
      <c r="J6603" s="19"/>
      <c r="K6603" s="19"/>
      <c r="L6603" s="19"/>
      <c r="M6603" s="19"/>
      <c r="N6603" s="19"/>
      <c r="O6603" s="14" t="str">
        <f>HYPERLINK("https://otsuka-europe-crm.veevavault.com/ui/#object/email_activity__v/V8C00000004B879", "EN-002108190")</f>
        <v>EN-002108190</v>
      </c>
    </row>
    <row r="6604" spans="1:15" ht="16" x14ac:dyDescent="0.2">
      <c r="A6604" s="18" t="str">
        <f>HYPERLINK("https://otsuka-europe-crm.veevavault.com/ui/#object/account__v/V4TZ06G6O71SB6W", "GAETANO LA MANNA")</f>
        <v>GAETANO LA MANNA</v>
      </c>
      <c r="B6604" s="18" t="str">
        <f>HYPERLINK("https://otsuka-europe-crm.veevavault.com/ui/#object/vcountry__v/VENZ000004SONFQ", "IT")</f>
        <v>IT</v>
      </c>
      <c r="C6604" s="20" t="s">
        <v>42</v>
      </c>
      <c r="D6604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604" s="22" t="str">
        <f>HYPERLINK("https://otsuka-europe-crm.veevavault.com/ui/#object/sent_email__v/VBL000000039195", "SE-001444748")</f>
        <v>SE-001444748</v>
      </c>
      <c r="F6604" s="23"/>
      <c r="G6604" s="24">
        <v>0</v>
      </c>
      <c r="H6604" s="24">
        <v>0</v>
      </c>
      <c r="I6604" s="24">
        <v>0</v>
      </c>
      <c r="J6604" s="23"/>
      <c r="K6604" s="24">
        <v>0</v>
      </c>
      <c r="L6604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604" s="22" t="str">
        <f>HYPERLINK("mailto:matteo.digennaro@crm.otsuka-europe.com", "matteo.digennaro@crm.otsuka-europe.com")</f>
        <v>matteo.digennaro@crm.otsuka-europe.com</v>
      </c>
      <c r="N6604" s="25">
        <v>46226.29923611111</v>
      </c>
      <c r="O6604" s="14" t="str">
        <f>HYPERLINK("https://otsuka-europe-crm.veevavault.com/ui/#object/email_activity__v/V8C00000004B541", "EN-002107652")</f>
        <v>EN-002107652</v>
      </c>
    </row>
    <row r="6605" spans="1:15" ht="16" x14ac:dyDescent="0.2">
      <c r="A6605" s="19"/>
      <c r="B6605" s="19"/>
      <c r="C6605" s="19"/>
      <c r="D6605" s="19"/>
      <c r="E6605" s="19"/>
      <c r="F6605" s="19"/>
      <c r="G6605" s="19"/>
      <c r="H6605" s="19"/>
      <c r="I6605" s="19"/>
      <c r="J6605" s="19"/>
      <c r="K6605" s="19"/>
      <c r="L6605" s="19"/>
      <c r="M6605" s="19"/>
      <c r="N6605" s="19"/>
      <c r="O6605" s="14" t="str">
        <f>HYPERLINK("https://otsuka-europe-crm.veevavault.com/ui/#object/email_activity__v/V8C00000004B824", "EN-002108132")</f>
        <v>EN-002108132</v>
      </c>
    </row>
    <row r="6606" spans="1:15" ht="16" x14ac:dyDescent="0.2">
      <c r="A6606" s="18" t="str">
        <f>HYPERLINK("https://otsuka-europe-crm.veevavault.com/ui/#object/account__v/V4TZ025E8483FEB", "FAUSTA CATAPANO")</f>
        <v>FAUSTA CATAPANO</v>
      </c>
      <c r="B6606" s="18" t="str">
        <f>HYPERLINK("https://otsuka-europe-crm.veevavault.com/ui/#object/vcountry__v/VENZ000004SONFQ", "IT")</f>
        <v>IT</v>
      </c>
      <c r="C6606" s="20" t="s">
        <v>42</v>
      </c>
      <c r="D6606" s="21" t="str">
        <f>HYPERLINK("https://otsuka-europe-crm.veevavault.com/ui/#object/approved_document__v/V5OZ025E82RRA5I", "AURORA 2 - AE NEPHRO")</f>
        <v>AURORA 2 - AE NEPHRO</v>
      </c>
      <c r="E6606" s="22" t="str">
        <f>HYPERLINK("https://otsuka-europe-crm.veevavault.com/ui/#object/sent_email__v/VBL000000039196", "SE-001444749")</f>
        <v>SE-001444749</v>
      </c>
      <c r="F6606" s="23"/>
      <c r="G6606" s="24">
        <v>0</v>
      </c>
      <c r="H6606" s="24">
        <v>0</v>
      </c>
      <c r="I6606" s="24">
        <v>0</v>
      </c>
      <c r="J6606" s="23"/>
      <c r="K6606" s="24">
        <v>0</v>
      </c>
      <c r="L6606" s="22" t="str">
        <f>HYPERLINK("https://otsuka-europe-crm.veevavault.com/ui/#object/approved_document__v/V5OZ025E82RRA5I", "AURORA 2 - AE NEPHRO")</f>
        <v>AURORA 2 - AE NEPHRO</v>
      </c>
      <c r="M6606" s="22" t="str">
        <f>HYPERLINK("mailto:matteo.digennaro@crm.otsuka-europe.com", "matteo.digennaro@crm.otsuka-europe.com")</f>
        <v>matteo.digennaro@crm.otsuka-europe.com</v>
      </c>
      <c r="N6606" s="25">
        <v>46226.299293981479</v>
      </c>
      <c r="O6606" s="14" t="str">
        <f>HYPERLINK("https://otsuka-europe-crm.veevavault.com/ui/#object/email_activity__v/V8C00000004B542", "EN-002107653")</f>
        <v>EN-002107653</v>
      </c>
    </row>
    <row r="6607" spans="1:15" ht="16" x14ac:dyDescent="0.2">
      <c r="A6607" s="19"/>
      <c r="B6607" s="19"/>
      <c r="C6607" s="19"/>
      <c r="D6607" s="19"/>
      <c r="E6607" s="19"/>
      <c r="F6607" s="19"/>
      <c r="G6607" s="19"/>
      <c r="H6607" s="19"/>
      <c r="I6607" s="19"/>
      <c r="J6607" s="19"/>
      <c r="K6607" s="19"/>
      <c r="L6607" s="19"/>
      <c r="M6607" s="19"/>
      <c r="N6607" s="19"/>
      <c r="O6607" s="14" t="str">
        <f>HYPERLINK("https://otsuka-europe-crm.veevavault.com/ui/#object/email_activity__v/V8C00000004B691", "EN-002107818")</f>
        <v>EN-002107818</v>
      </c>
    </row>
    <row r="6608" spans="1:15" ht="32" x14ac:dyDescent="0.2">
      <c r="A6608" s="7" t="str">
        <f>HYPERLINK("https://otsuka-europe-crm.veevavault.com/ui/#object/account__v/V4TZ025E8483FEB", "FAUSTA CATAPANO")</f>
        <v>FAUSTA CATAPANO</v>
      </c>
      <c r="B6608" s="7" t="str">
        <f>HYPERLINK("https://otsuka-europe-crm.veevavault.com/ui/#object/vcountry__v/VENZ000004SONFQ", "IT")</f>
        <v>IT</v>
      </c>
      <c r="C6608" s="8" t="s">
        <v>42</v>
      </c>
      <c r="D6608" s="9" t="str">
        <f>HYPERLINK("https://otsuka-europe-crm.veevavault.com/ui/#object/approved_document__v/V5OZ025E82RR47S", "AE Focus pz prevalenti- IT-LUP-2500005 Nefro")</f>
        <v>AE Focus pz prevalenti- IT-LUP-2500005 Nefro</v>
      </c>
      <c r="E6608" s="10" t="str">
        <f>HYPERLINK("https://otsuka-europe-crm.veevavault.com/ui/#object/sent_email__v/VBL000000039197", "SE-001444750")</f>
        <v>SE-001444750</v>
      </c>
      <c r="F6608" s="11"/>
      <c r="G6608" s="12">
        <v>0</v>
      </c>
      <c r="H6608" s="12">
        <v>0</v>
      </c>
      <c r="I6608" s="12">
        <v>0</v>
      </c>
      <c r="J6608" s="11"/>
      <c r="K6608" s="12">
        <v>0</v>
      </c>
      <c r="L6608" s="10" t="str">
        <f>HYPERLINK("https://otsuka-europe-crm.veevavault.com/ui/#object/approved_document__v/V5OZ025E82RR47S", "AE Focus pz prevalenti- IT-LUP-2500005 Nefro")</f>
        <v>AE Focus pz prevalenti- IT-LUP-2500005 Nefro</v>
      </c>
      <c r="M6608" s="10" t="str">
        <f>HYPERLINK("mailto:matteo.digennaro@crm.otsuka-europe.com", "matteo.digennaro@crm.otsuka-europe.com")</f>
        <v>matteo.digennaro@crm.otsuka-europe.com</v>
      </c>
      <c r="N6608" s="13">
        <v>46226.299247685187</v>
      </c>
      <c r="O6608" s="14" t="str">
        <f>HYPERLINK("https://otsuka-europe-crm.veevavault.com/ui/#object/email_activity__v/V8C00000004B317", "EN-002107277")</f>
        <v>EN-002107277</v>
      </c>
    </row>
    <row r="6609" spans="1:15" ht="16" x14ac:dyDescent="0.2">
      <c r="A6609" s="18" t="str">
        <f>HYPERLINK("https://otsuka-europe-crm.veevavault.com/ui/#object/account__v/V4TZ025E8483FEB", "FAUSTA CATAPANO")</f>
        <v>FAUSTA CATAPANO</v>
      </c>
      <c r="B6609" s="18" t="str">
        <f>HYPERLINK("https://otsuka-europe-crm.veevavault.com/ui/#object/vcountry__v/VENZ000004SONFQ", "IT")</f>
        <v>IT</v>
      </c>
      <c r="C6609" s="20" t="s">
        <v>42</v>
      </c>
      <c r="D6609" s="21" t="str">
        <f>HYPERLINK("https://otsuka-europe-crm.veevavault.com/ui/#object/approved_document__v/V5OZ025E82RR480", "RTE Proteinuria C1 - IT-LUP-2500006 - Nephro")</f>
        <v>RTE Proteinuria C1 - IT-LUP-2500006 - Nephro</v>
      </c>
      <c r="E6609" s="22" t="str">
        <f>HYPERLINK("https://otsuka-europe-crm.veevavault.com/ui/#object/sent_email__v/VBL000000039198", "SE-001444751")</f>
        <v>SE-001444751</v>
      </c>
      <c r="F6609" s="23"/>
      <c r="G6609" s="24">
        <v>0</v>
      </c>
      <c r="H6609" s="24">
        <v>0</v>
      </c>
      <c r="I6609" s="24">
        <v>0</v>
      </c>
      <c r="J6609" s="23"/>
      <c r="K6609" s="24">
        <v>0</v>
      </c>
      <c r="L6609" s="22" t="str">
        <f>HYPERLINK("https://otsuka-europe-crm.veevavault.com/ui/#object/approved_document__v/V5OZ025E82RR480", "RTE Proteinuria C1 - IT-LUP-2500006 - Nephro")</f>
        <v>RTE Proteinuria C1 - IT-LUP-2500006 - Nephro</v>
      </c>
      <c r="M6609" s="22" t="str">
        <f>HYPERLINK("mailto:matteo.digennaro@crm.otsuka-europe.com", "matteo.digennaro@crm.otsuka-europe.com")</f>
        <v>matteo.digennaro@crm.otsuka-europe.com</v>
      </c>
      <c r="N6609" s="25">
        <v>46226.299224537041</v>
      </c>
      <c r="O6609" s="14" t="str">
        <f>HYPERLINK("https://otsuka-europe-crm.veevavault.com/ui/#object/email_activity__v/V8C00000004B543", "EN-002107654")</f>
        <v>EN-002107654</v>
      </c>
    </row>
    <row r="6610" spans="1:15" ht="16" x14ac:dyDescent="0.2">
      <c r="A6610" s="19"/>
      <c r="B6610" s="19"/>
      <c r="C6610" s="19"/>
      <c r="D6610" s="19"/>
      <c r="E6610" s="19"/>
      <c r="F6610" s="19"/>
      <c r="G6610" s="19"/>
      <c r="H6610" s="19"/>
      <c r="I6610" s="19"/>
      <c r="J6610" s="19"/>
      <c r="K6610" s="19"/>
      <c r="L6610" s="19"/>
      <c r="M6610" s="19"/>
      <c r="N6610" s="19"/>
      <c r="O6610" s="14" t="str">
        <f>HYPERLINK("https://otsuka-europe-crm.veevavault.com/ui/#object/email_activity__v/V8C00000004B799", "EN-002108107")</f>
        <v>EN-002108107</v>
      </c>
    </row>
    <row r="6611" spans="1:15" ht="32" x14ac:dyDescent="0.2">
      <c r="A6611" s="7" t="str">
        <f>HYPERLINK("https://otsuka-europe-crm.veevavault.com/ui/#object/account__v/V4TZ025E8483FEB", "FAUSTA CATAPANO")</f>
        <v>FAUSTA CATAPANO</v>
      </c>
      <c r="B6611" s="7" t="str">
        <f>HYPERLINK("https://otsuka-europe-crm.veevavault.com/ui/#object/vcountry__v/VENZ000004SONFQ", "IT")</f>
        <v>IT</v>
      </c>
      <c r="C6611" s="8" t="s">
        <v>42</v>
      </c>
      <c r="D6611" s="9" t="str">
        <f>HYPERLINK("https://otsuka-europe-crm.veevavault.com/ui/#object/approved_document__v/V5OZ025E82RR47T", "AE Propensity Analysis- IT-LUP-2500004 Nefro")</f>
        <v>AE Propensity Analysis- IT-LUP-2500004 Nefro</v>
      </c>
      <c r="E6611" s="10" t="str">
        <f>HYPERLINK("https://otsuka-europe-crm.veevavault.com/ui/#object/sent_email__v/VBL000000039199", "SE-001444752")</f>
        <v>SE-001444752</v>
      </c>
      <c r="F6611" s="11"/>
      <c r="G6611" s="12">
        <v>0</v>
      </c>
      <c r="H6611" s="12">
        <v>0</v>
      </c>
      <c r="I6611" s="12">
        <v>0</v>
      </c>
      <c r="J6611" s="11"/>
      <c r="K6611" s="12">
        <v>0</v>
      </c>
      <c r="L6611" s="10" t="str">
        <f>HYPERLINK("https://otsuka-europe-crm.veevavault.com/ui/#object/approved_document__v/V5OZ025E82RR47T", "AE Propensity Analysis- IT-LUP-2500004 Nefro")</f>
        <v>AE Propensity Analysis- IT-LUP-2500004 Nefro</v>
      </c>
      <c r="M6611" s="10" t="str">
        <f>HYPERLINK("mailto:matteo.digennaro@crm.otsuka-europe.com", "matteo.digennaro@crm.otsuka-europe.com")</f>
        <v>matteo.digennaro@crm.otsuka-europe.com</v>
      </c>
      <c r="N6611" s="13">
        <v>46226.299212962964</v>
      </c>
      <c r="O6611" s="14" t="str">
        <f>HYPERLINK("https://otsuka-europe-crm.veevavault.com/ui/#object/email_activity__v/V8C00000004C347", "EN-002107514")</f>
        <v>EN-002107514</v>
      </c>
    </row>
    <row r="6612" spans="1:15" ht="48" x14ac:dyDescent="0.2">
      <c r="A6612" s="7" t="str">
        <f>HYPERLINK("https://otsuka-europe-crm.veevavault.com/ui/#object/account__v/V4TZ025E8483FEB", "FAUSTA CATAPANO")</f>
        <v>FAUSTA CATAPANO</v>
      </c>
      <c r="B6612" s="7" t="str">
        <f>HYPERLINK("https://otsuka-europe-crm.veevavault.com/ui/#object/vcountry__v/VENZ000004SONFQ", "IT")</f>
        <v>IT</v>
      </c>
      <c r="C6612" s="8" t="s">
        <v>42</v>
      </c>
      <c r="D6612" s="9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612" s="10" t="str">
        <f>HYPERLINK("https://otsuka-europe-crm.veevavault.com/ui/#object/sent_email__v/VBL000000039200", "SE-001444753")</f>
        <v>SE-001444753</v>
      </c>
      <c r="F6612" s="11"/>
      <c r="G6612" s="12">
        <v>0</v>
      </c>
      <c r="H6612" s="12">
        <v>0</v>
      </c>
      <c r="I6612" s="12">
        <v>0</v>
      </c>
      <c r="J6612" s="11"/>
      <c r="K6612" s="12">
        <v>0</v>
      </c>
      <c r="L6612" s="10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612" s="10" t="str">
        <f>HYPERLINK("mailto:matteo.digennaro@crm.otsuka-europe.com", "matteo.digennaro@crm.otsuka-europe.com")</f>
        <v>matteo.digennaro@crm.otsuka-europe.com</v>
      </c>
      <c r="N6612" s="13">
        <v>46226.29923611111</v>
      </c>
      <c r="O6612" s="14" t="str">
        <f>HYPERLINK("https://otsuka-europe-crm.veevavault.com/ui/#object/email_activity__v/V8C00000004C259", "EN-002107331")</f>
        <v>EN-002107331</v>
      </c>
    </row>
    <row r="6613" spans="1:15" ht="16" x14ac:dyDescent="0.2">
      <c r="A6613" s="18" t="str">
        <f>HYPERLINK("https://otsuka-europe-crm.veevavault.com/ui/#object/account__v/V4TZ06G6O71SAKF", "CESARINA FACCHINI")</f>
        <v>CESARINA FACCHINI</v>
      </c>
      <c r="B6613" s="18" t="str">
        <f>HYPERLINK("https://otsuka-europe-crm.veevavault.com/ui/#object/vcountry__v/VENZ000004SONFQ", "IT")</f>
        <v>IT</v>
      </c>
      <c r="C6613" s="20" t="s">
        <v>42</v>
      </c>
      <c r="D6613" s="21" t="str">
        <f>HYPERLINK("https://otsuka-europe-crm.veevavault.com/ui/#object/approved_document__v/V5OZ025E82RRA5M", "AURORA 2 - AE RHEUMA")</f>
        <v>AURORA 2 - AE RHEUMA</v>
      </c>
      <c r="E6613" s="22" t="str">
        <f>HYPERLINK("https://otsuka-europe-crm.veevavault.com/ui/#object/sent_email__v/VBL00000003A316", "SE-001444754")</f>
        <v>SE-001444754</v>
      </c>
      <c r="F6613" s="25">
        <v>46226.299340277779</v>
      </c>
      <c r="G6613" s="24">
        <v>1</v>
      </c>
      <c r="H6613" s="24">
        <v>1</v>
      </c>
      <c r="I6613" s="24">
        <v>0</v>
      </c>
      <c r="J6613" s="23"/>
      <c r="K6613" s="24">
        <v>0</v>
      </c>
      <c r="L6613" s="22" t="str">
        <f>HYPERLINK("https://otsuka-europe-crm.veevavault.com/ui/#object/approved_document__v/V5OZ025E82RRA5M", "AURORA 2 - AE RHEUMA")</f>
        <v>AURORA 2 - AE RHEUMA</v>
      </c>
      <c r="M6613" s="22" t="str">
        <f>HYPERLINK("mailto:matteo.digennaro@crm.otsuka-europe.com", "matteo.digennaro@crm.otsuka-europe.com")</f>
        <v>matteo.digennaro@crm.otsuka-europe.com</v>
      </c>
      <c r="N6613" s="25">
        <v>46226.299259259256</v>
      </c>
      <c r="O6613" s="14" t="str">
        <f>HYPERLINK("https://otsuka-europe-crm.veevavault.com/ui/#object/email_activity__v/V8C00000004B464", "EN-002107572")</f>
        <v>EN-002107572</v>
      </c>
    </row>
    <row r="6614" spans="1:15" ht="16" x14ac:dyDescent="0.2">
      <c r="A6614" s="19"/>
      <c r="B6614" s="19"/>
      <c r="C6614" s="19"/>
      <c r="D6614" s="19"/>
      <c r="E6614" s="19"/>
      <c r="F6614" s="19"/>
      <c r="G6614" s="19"/>
      <c r="H6614" s="19"/>
      <c r="I6614" s="19"/>
      <c r="J6614" s="19"/>
      <c r="K6614" s="19"/>
      <c r="L6614" s="19"/>
      <c r="M6614" s="19"/>
      <c r="N6614" s="19"/>
      <c r="O6614" s="14" t="str">
        <f>HYPERLINK("https://otsuka-europe-crm.veevavault.com/ui/#object/email_activity__v/V8C00000004B711", "EN-002107843")</f>
        <v>EN-002107843</v>
      </c>
    </row>
    <row r="6615" spans="1:15" ht="16" x14ac:dyDescent="0.2">
      <c r="A6615" s="18" t="str">
        <f>HYPERLINK("https://otsuka-europe-crm.veevavault.com/ui/#object/account__v/V4TZ06G6O71SAKF", "CESARINA FACCHINI")</f>
        <v>CESARINA FACCHINI</v>
      </c>
      <c r="B6615" s="18" t="str">
        <f>HYPERLINK("https://otsuka-europe-crm.veevavault.com/ui/#object/vcountry__v/VENZ000004SONFQ", "IT")</f>
        <v>IT</v>
      </c>
      <c r="C6615" s="20" t="s">
        <v>42</v>
      </c>
      <c r="D6615" s="21" t="str">
        <f>HYPERLINK("https://otsuka-europe-crm.veevavault.com/ui/#object/approved_document__v/V5OZ025E82RR47U", "AE Focus pz prevalenti- IT-LUP-2500005 Reuma")</f>
        <v>AE Focus pz prevalenti- IT-LUP-2500005 Reuma</v>
      </c>
      <c r="E6615" s="22" t="str">
        <f>HYPERLINK("https://otsuka-europe-crm.veevavault.com/ui/#object/sent_email__v/VBL000000039201", "SE-001444755")</f>
        <v>SE-001444755</v>
      </c>
      <c r="F6615" s="25">
        <v>46226.299328703702</v>
      </c>
      <c r="G6615" s="24">
        <v>1</v>
      </c>
      <c r="H6615" s="24">
        <v>1</v>
      </c>
      <c r="I6615" s="24">
        <v>0</v>
      </c>
      <c r="J6615" s="23"/>
      <c r="K6615" s="24">
        <v>0</v>
      </c>
      <c r="L6615" s="22" t="str">
        <f>HYPERLINK("https://otsuka-europe-crm.veevavault.com/ui/#object/approved_document__v/V5OZ025E82RR47U", "AE Focus pz prevalenti- IT-LUP-2500005 Reuma")</f>
        <v>AE Focus pz prevalenti- IT-LUP-2500005 Reuma</v>
      </c>
      <c r="M6615" s="22" t="str">
        <f>HYPERLINK("mailto:matteo.digennaro@crm.otsuka-europe.com", "matteo.digennaro@crm.otsuka-europe.com")</f>
        <v>matteo.digennaro@crm.otsuka-europe.com</v>
      </c>
      <c r="N6615" s="25">
        <v>46226.299189814818</v>
      </c>
      <c r="O6615" s="14" t="str">
        <f>HYPERLINK("https://otsuka-europe-crm.veevavault.com/ui/#object/email_activity__v/V8C00000004C266", "EN-002107338")</f>
        <v>EN-002107338</v>
      </c>
    </row>
    <row r="6616" spans="1:15" ht="16" x14ac:dyDescent="0.2">
      <c r="A6616" s="19"/>
      <c r="B6616" s="19"/>
      <c r="C6616" s="19"/>
      <c r="D6616" s="19"/>
      <c r="E6616" s="19"/>
      <c r="F6616" s="19"/>
      <c r="G6616" s="19"/>
      <c r="H6616" s="19"/>
      <c r="I6616" s="19"/>
      <c r="J6616" s="19"/>
      <c r="K6616" s="19"/>
      <c r="L6616" s="19"/>
      <c r="M6616" s="19"/>
      <c r="N6616" s="19"/>
      <c r="O6616" s="14" t="str">
        <f>HYPERLINK("https://otsuka-europe-crm.veevavault.com/ui/#object/email_activity__v/V8C00000004C314", "EN-002107480")</f>
        <v>EN-002107480</v>
      </c>
    </row>
    <row r="6617" spans="1:15" ht="16" x14ac:dyDescent="0.2">
      <c r="A6617" s="18" t="str">
        <f>HYPERLINK("https://otsuka-europe-crm.veevavault.com/ui/#object/account__v/V4TZ06G6O71SAKF", "CESARINA FACCHINI")</f>
        <v>CESARINA FACCHINI</v>
      </c>
      <c r="B6617" s="18" t="str">
        <f>HYPERLINK("https://otsuka-europe-crm.veevavault.com/ui/#object/vcountry__v/VENZ000004SONFQ", "IT")</f>
        <v>IT</v>
      </c>
      <c r="C6617" s="20" t="s">
        <v>42</v>
      </c>
      <c r="D6617" s="21" t="str">
        <f>HYPERLINK("https://otsuka-europe-crm.veevavault.com/ui/#object/approved_document__v/V5OZ025E82RR47W", "AE Propensity Analysis- IT-LUP-2500004 Reuma")</f>
        <v>AE Propensity Analysis- IT-LUP-2500004 Reuma</v>
      </c>
      <c r="E6617" s="22" t="str">
        <f>HYPERLINK("https://otsuka-europe-crm.veevavault.com/ui/#object/sent_email__v/VBL000000039202", "SE-001444756")</f>
        <v>SE-001444756</v>
      </c>
      <c r="F6617" s="25">
        <v>46226.299398148149</v>
      </c>
      <c r="G6617" s="24">
        <v>1</v>
      </c>
      <c r="H6617" s="24">
        <v>1</v>
      </c>
      <c r="I6617" s="24">
        <v>0</v>
      </c>
      <c r="J6617" s="23"/>
      <c r="K6617" s="24">
        <v>0</v>
      </c>
      <c r="L6617" s="22" t="str">
        <f>HYPERLINK("https://otsuka-europe-crm.veevavault.com/ui/#object/approved_document__v/V5OZ025E82RR47W", "AE Propensity Analysis- IT-LUP-2500004 Reuma")</f>
        <v>AE Propensity Analysis- IT-LUP-2500004 Reuma</v>
      </c>
      <c r="M6617" s="22" t="str">
        <f>HYPERLINK("mailto:matteo.digennaro@crm.otsuka-europe.com", "matteo.digennaro@crm.otsuka-europe.com")</f>
        <v>matteo.digennaro@crm.otsuka-europe.com</v>
      </c>
      <c r="N6617" s="25">
        <v>46226.29923611111</v>
      </c>
      <c r="O6617" s="14" t="str">
        <f>HYPERLINK("https://otsuka-europe-crm.veevavault.com/ui/#object/email_activity__v/V8C00000004B544", "EN-002107655")</f>
        <v>EN-002107655</v>
      </c>
    </row>
    <row r="6618" spans="1:15" ht="16" x14ac:dyDescent="0.2">
      <c r="A6618" s="26"/>
      <c r="B6618" s="26"/>
      <c r="C6618" s="26"/>
      <c r="D6618" s="26"/>
      <c r="E6618" s="26"/>
      <c r="F6618" s="26"/>
      <c r="G6618" s="26"/>
      <c r="H6618" s="26"/>
      <c r="I6618" s="26"/>
      <c r="J6618" s="26"/>
      <c r="K6618" s="26"/>
      <c r="L6618" s="26"/>
      <c r="M6618" s="26"/>
      <c r="N6618" s="26"/>
      <c r="O6618" s="14" t="str">
        <f>HYPERLINK("https://otsuka-europe-crm.veevavault.com/ui/#object/email_activity__v/V8C00000004C284", "EN-002107356")</f>
        <v>EN-002107356</v>
      </c>
    </row>
    <row r="6619" spans="1:15" ht="16" x14ac:dyDescent="0.2">
      <c r="A6619" s="19"/>
      <c r="B6619" s="19"/>
      <c r="C6619" s="19"/>
      <c r="D6619" s="19"/>
      <c r="E6619" s="19"/>
      <c r="F6619" s="19"/>
      <c r="G6619" s="19"/>
      <c r="H6619" s="19"/>
      <c r="I6619" s="19"/>
      <c r="J6619" s="19"/>
      <c r="K6619" s="19"/>
      <c r="L6619" s="19"/>
      <c r="M6619" s="19"/>
      <c r="N6619" s="19"/>
      <c r="O6619" s="14" t="str">
        <f>HYPERLINK("https://otsuka-europe-crm.veevavault.com/ui/#object/email_activity__v/V8C00000004C414", "EN-002107855")</f>
        <v>EN-002107855</v>
      </c>
    </row>
    <row r="6620" spans="1:15" ht="16" x14ac:dyDescent="0.2">
      <c r="A6620" s="18" t="str">
        <f>HYPERLINK("https://otsuka-europe-crm.veevavault.com/ui/#object/account__v/V4TZ06G6O71SAKF", "CESARINA FACCHINI")</f>
        <v>CESARINA FACCHINI</v>
      </c>
      <c r="B6620" s="18" t="str">
        <f>HYPERLINK("https://otsuka-europe-crm.veevavault.com/ui/#object/vcountry__v/VENZ000004SONFQ", "IT")</f>
        <v>IT</v>
      </c>
      <c r="C6620" s="20" t="s">
        <v>42</v>
      </c>
      <c r="D6620" s="21" t="str">
        <f>HYPERLINK("https://otsuka-europe-crm.veevavault.com/ui/#object/approved_document__v/V5OZ025E82RR47L", "RTE Proteinuria C1 - IT-LUP-2500006 - Reuma")</f>
        <v>RTE Proteinuria C1 - IT-LUP-2500006 - Reuma</v>
      </c>
      <c r="E6620" s="22" t="str">
        <f>HYPERLINK("https://otsuka-europe-crm.veevavault.com/ui/#object/sent_email__v/VBL000000039203", "SE-001444757")</f>
        <v>SE-001444757</v>
      </c>
      <c r="F6620" s="25">
        <v>46226.318611111114</v>
      </c>
      <c r="G6620" s="24">
        <v>1</v>
      </c>
      <c r="H6620" s="24">
        <v>2</v>
      </c>
      <c r="I6620" s="24">
        <v>0</v>
      </c>
      <c r="J6620" s="23"/>
      <c r="K6620" s="24">
        <v>0</v>
      </c>
      <c r="L6620" s="22" t="str">
        <f>HYPERLINK("https://otsuka-europe-crm.veevavault.com/ui/#object/approved_document__v/V5OZ025E82RR47L", "RTE Proteinuria C1 - IT-LUP-2500006 - Reuma")</f>
        <v>RTE Proteinuria C1 - IT-LUP-2500006 - Reuma</v>
      </c>
      <c r="M6620" s="22" t="str">
        <f>HYPERLINK("mailto:matteo.digennaro@crm.otsuka-europe.com", "matteo.digennaro@crm.otsuka-europe.com")</f>
        <v>matteo.digennaro@crm.otsuka-europe.com</v>
      </c>
      <c r="N6620" s="25">
        <v>46226.29928240741</v>
      </c>
      <c r="O6620" s="14" t="str">
        <f>HYPERLINK("https://otsuka-europe-crm.veevavault.com/ui/#object/email_activity__v/V8C00000004C354", "EN-002107521")</f>
        <v>EN-002107521</v>
      </c>
    </row>
    <row r="6621" spans="1:15" ht="16" x14ac:dyDescent="0.2">
      <c r="A6621" s="26"/>
      <c r="B6621" s="26"/>
      <c r="C6621" s="26"/>
      <c r="D6621" s="26"/>
      <c r="E6621" s="26"/>
      <c r="F6621" s="26"/>
      <c r="G6621" s="26"/>
      <c r="H6621" s="26"/>
      <c r="I6621" s="26"/>
      <c r="J6621" s="26"/>
      <c r="K6621" s="26"/>
      <c r="L6621" s="26"/>
      <c r="M6621" s="26"/>
      <c r="N6621" s="26"/>
      <c r="O6621" s="14" t="str">
        <f>HYPERLINK("https://otsuka-europe-crm.veevavault.com/ui/#object/email_activity__v/V8C00000004C365", "EN-002107534")</f>
        <v>EN-002107534</v>
      </c>
    </row>
    <row r="6622" spans="1:15" ht="16" x14ac:dyDescent="0.2">
      <c r="A6622" s="19"/>
      <c r="B6622" s="19"/>
      <c r="C6622" s="19"/>
      <c r="D6622" s="19"/>
      <c r="E6622" s="19"/>
      <c r="F6622" s="19"/>
      <c r="G6622" s="19"/>
      <c r="H6622" s="19"/>
      <c r="I6622" s="19"/>
      <c r="J6622" s="19"/>
      <c r="K6622" s="19"/>
      <c r="L6622" s="19"/>
      <c r="M6622" s="19"/>
      <c r="N6622" s="19"/>
      <c r="O6622" s="14" t="str">
        <f>HYPERLINK("https://otsuka-europe-crm.veevavault.com/ui/#object/email_activity__v/V8C00000004C579", "EN-002108089")</f>
        <v>EN-002108089</v>
      </c>
    </row>
    <row r="6623" spans="1:15" ht="16" x14ac:dyDescent="0.2">
      <c r="A6623" s="18" t="str">
        <f>HYPERLINK("https://otsuka-europe-crm.veevavault.com/ui/#object/account__v/V4TZ06G6O71SAKF", "CESARINA FACCHINI")</f>
        <v>CESARINA FACCHINI</v>
      </c>
      <c r="B6623" s="18" t="str">
        <f>HYPERLINK("https://otsuka-europe-crm.veevavault.com/ui/#object/vcountry__v/VENZ000004SONFQ", "IT")</f>
        <v>IT</v>
      </c>
      <c r="C6623" s="20" t="s">
        <v>42</v>
      </c>
      <c r="D6623" s="21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E6623" s="22" t="str">
        <f>HYPERLINK("https://otsuka-europe-crm.veevavault.com/ui/#object/sent_email__v/VBL00000003A317", "SE-001444758")</f>
        <v>SE-001444758</v>
      </c>
      <c r="F6623" s="25">
        <v>46226.299398148149</v>
      </c>
      <c r="G6623" s="24">
        <v>1</v>
      </c>
      <c r="H6623" s="24">
        <v>1</v>
      </c>
      <c r="I6623" s="24">
        <v>0</v>
      </c>
      <c r="J6623" s="23"/>
      <c r="K6623" s="24">
        <v>0</v>
      </c>
      <c r="L6623" s="22" t="str">
        <f>HYPERLINK("https://otsuka-europe-crm.veevavault.com/ui/#object/approved_document__v/V5OZ025E82S0X57", "LUPKYNIS_Branded_ studio Palmer - IT-LUP-2500010-Rheumatology")</f>
        <v>LUPKYNIS_Branded_ studio Palmer - IT-LUP-2500010-Rheumatology</v>
      </c>
      <c r="M6623" s="22" t="str">
        <f>HYPERLINK("mailto:matteo.digennaro@crm.otsuka-europe.com", "matteo.digennaro@crm.otsuka-europe.com")</f>
        <v>matteo.digennaro@crm.otsuka-europe.com</v>
      </c>
      <c r="N6623" s="25">
        <v>46226.29923611111</v>
      </c>
      <c r="O6623" s="14" t="str">
        <f>HYPERLINK("https://otsuka-europe-crm.veevavault.com/ui/#object/email_activity__v/V8C00000004B625", "EN-002107736")</f>
        <v>EN-002107736</v>
      </c>
    </row>
    <row r="6624" spans="1:15" ht="16" x14ac:dyDescent="0.2">
      <c r="A6624" s="26"/>
      <c r="B6624" s="26"/>
      <c r="C6624" s="26"/>
      <c r="D6624" s="26"/>
      <c r="E6624" s="26"/>
      <c r="F6624" s="26"/>
      <c r="G6624" s="26"/>
      <c r="H6624" s="26"/>
      <c r="I6624" s="26"/>
      <c r="J6624" s="26"/>
      <c r="K6624" s="26"/>
      <c r="L6624" s="26"/>
      <c r="M6624" s="26"/>
      <c r="N6624" s="26"/>
      <c r="O6624" s="14" t="str">
        <f>HYPERLINK("https://otsuka-europe-crm.veevavault.com/ui/#object/email_activity__v/V8C00000004B695", "EN-002107822")</f>
        <v>EN-002107822</v>
      </c>
    </row>
    <row r="6625" spans="1:15" ht="16" x14ac:dyDescent="0.2">
      <c r="A6625" s="19"/>
      <c r="B6625" s="19"/>
      <c r="C6625" s="19"/>
      <c r="D6625" s="19"/>
      <c r="E6625" s="19"/>
      <c r="F6625" s="19"/>
      <c r="G6625" s="19"/>
      <c r="H6625" s="19"/>
      <c r="I6625" s="19"/>
      <c r="J6625" s="19"/>
      <c r="K6625" s="19"/>
      <c r="L6625" s="19"/>
      <c r="M6625" s="19"/>
      <c r="N6625" s="19"/>
      <c r="O6625" s="14" t="str">
        <f>HYPERLINK("https://otsuka-europe-crm.veevavault.com/ui/#object/email_activity__v/V8C00000004C503", "EN-002108001")</f>
        <v>EN-002108001</v>
      </c>
    </row>
    <row r="6626" spans="1:15" ht="16" x14ac:dyDescent="0.2">
      <c r="A6626" s="18" t="str">
        <f>HYPERLINK("https://otsuka-europe-crm.veevavault.com/ui/#object/account__v/V4TZ06G6O71SAJP", "STEFANO FERRACUTI")</f>
        <v>STEFANO FERRACUTI</v>
      </c>
      <c r="B6626" s="18" t="str">
        <f>HYPERLINK("https://otsuka-europe-crm.veevavault.com/ui/#object/vcountry__v/VENZ000004SONFQ", "IT")</f>
        <v>IT</v>
      </c>
      <c r="C6626" s="20" t="s">
        <v>42</v>
      </c>
      <c r="D6626" s="21" t="str">
        <f>HYPERLINK("https://otsuka-europe-crm.veevavault.com/ui/#object/approved_document__v/V5OZ06G6O6RG2EV", "IT Veeva Privacy Notice Email")</f>
        <v>IT Veeva Privacy Notice Email</v>
      </c>
      <c r="E6626" s="22" t="str">
        <f>HYPERLINK("https://otsuka-europe-crm.veevavault.com/ui/#object/sent_email__v/VBL000000039204", "SE-001444759")</f>
        <v>SE-001444759</v>
      </c>
      <c r="F6626" s="25">
        <v>46226.372453703705</v>
      </c>
      <c r="G6626" s="24">
        <v>1</v>
      </c>
      <c r="H6626" s="24">
        <v>3</v>
      </c>
      <c r="I6626" s="24">
        <v>0</v>
      </c>
      <c r="J6626" s="23"/>
      <c r="K6626" s="24">
        <v>0</v>
      </c>
      <c r="L6626" s="22" t="str">
        <f>HYPERLINK("https://otsuka-europe-crm.veevavault.com/ui/#object/approved_document__v/V5OZ06G6O6RG2EV", "IT Veeva Privacy Notice Email")</f>
        <v>IT Veeva Privacy Notice Email</v>
      </c>
      <c r="M6626" s="22" t="str">
        <f>HYPERLINK("mailto:antonio.diletto@crm.otsuka-europe.com", "antonio.diletto@crm.otsuka-europe.com")</f>
        <v>antonio.diletto@crm.otsuka-europe.com</v>
      </c>
      <c r="N6626" s="25">
        <v>46226.299166666664</v>
      </c>
      <c r="O6626" s="14" t="str">
        <f>HYPERLINK("https://otsuka-europe-crm.veevavault.com/ui/#object/email_activity__v/V8C00000004B328", "EN-002107288")</f>
        <v>EN-002107288</v>
      </c>
    </row>
    <row r="6627" spans="1:15" ht="16" x14ac:dyDescent="0.2">
      <c r="A6627" s="26"/>
      <c r="B6627" s="26"/>
      <c r="C6627" s="26"/>
      <c r="D6627" s="26"/>
      <c r="E6627" s="26"/>
      <c r="F6627" s="26"/>
      <c r="G6627" s="26"/>
      <c r="H6627" s="26"/>
      <c r="I6627" s="26"/>
      <c r="J6627" s="26"/>
      <c r="K6627" s="26"/>
      <c r="L6627" s="26"/>
      <c r="M6627" s="26"/>
      <c r="N6627" s="26"/>
      <c r="O6627" s="14" t="str">
        <f>HYPERLINK("https://otsuka-europe-crm.veevavault.com/ui/#object/email_activity__v/V8C00000004B656", "EN-002107767")</f>
        <v>EN-002107767</v>
      </c>
    </row>
    <row r="6628" spans="1:15" ht="16" x14ac:dyDescent="0.2">
      <c r="A6628" s="26"/>
      <c r="B6628" s="26"/>
      <c r="C6628" s="26"/>
      <c r="D6628" s="26"/>
      <c r="E6628" s="26"/>
      <c r="F6628" s="26"/>
      <c r="G6628" s="26"/>
      <c r="H6628" s="26"/>
      <c r="I6628" s="26"/>
      <c r="J6628" s="26"/>
      <c r="K6628" s="26"/>
      <c r="L6628" s="26"/>
      <c r="M6628" s="26"/>
      <c r="N6628" s="26"/>
      <c r="O6628" s="14" t="str">
        <f>HYPERLINK("https://otsuka-europe-crm.veevavault.com/ui/#object/email_activity__v/V8C00000004B657", "EN-002107768")</f>
        <v>EN-002107768</v>
      </c>
    </row>
    <row r="6629" spans="1:15" ht="16" x14ac:dyDescent="0.2">
      <c r="A6629" s="19"/>
      <c r="B6629" s="19"/>
      <c r="C6629" s="19"/>
      <c r="D6629" s="19"/>
      <c r="E6629" s="19"/>
      <c r="F6629" s="19"/>
      <c r="G6629" s="19"/>
      <c r="H6629" s="19"/>
      <c r="I6629" s="19"/>
      <c r="J6629" s="19"/>
      <c r="K6629" s="19"/>
      <c r="L6629" s="19"/>
      <c r="M6629" s="19"/>
      <c r="N6629" s="19"/>
      <c r="O6629" s="14" t="str">
        <f>HYPERLINK("https://otsuka-europe-crm.veevavault.com/ui/#object/email_activity__v/V8C00000004C423", "EN-002107864")</f>
        <v>EN-002107864</v>
      </c>
    </row>
    <row r="6630" spans="1:15" ht="16" x14ac:dyDescent="0.2">
      <c r="A6630" s="18" t="str">
        <f>HYPERLINK("https://otsuka-europe-crm.veevavault.com/ui/#object/account__v/V4TZ06G6O71SAJP", "STEFANO FERRACUTI")</f>
        <v>STEFANO FERRACUTI</v>
      </c>
      <c r="B6630" s="18" t="str">
        <f>HYPERLINK("https://otsuka-europe-crm.veevavault.com/ui/#object/vcountry__v/VENZ000004SONFQ", "IT")</f>
        <v>IT</v>
      </c>
      <c r="C6630" s="20" t="s">
        <v>42</v>
      </c>
      <c r="D6630" s="21" t="str">
        <f>HYPERLINK("https://otsuka-europe-crm.veevavault.com/ui/#object/approved_document__v/V5O00000000K007", "Italy - Consent Email Aug 25 v2")</f>
        <v>Italy - Consent Email Aug 25 v2</v>
      </c>
      <c r="E6630" s="22" t="str">
        <f>HYPERLINK("https://otsuka-europe-crm.veevavault.com/ui/#object/sent_email__v/VBL00000003A318", "SE-001444760")</f>
        <v>SE-001444760</v>
      </c>
      <c r="F6630" s="25">
        <v>46227.625752314816</v>
      </c>
      <c r="G6630" s="24">
        <v>1</v>
      </c>
      <c r="H6630" s="24">
        <v>4</v>
      </c>
      <c r="I6630" s="24">
        <v>0</v>
      </c>
      <c r="J6630" s="23"/>
      <c r="K6630" s="24">
        <v>0</v>
      </c>
      <c r="L6630" s="22" t="str">
        <f>HYPERLINK("https://otsuka-europe-crm.veevavault.com/ui/#object/approved_document__v/V5O00000000K007", "Italy - Consent Email Aug 25 v2")</f>
        <v>Italy - Consent Email Aug 25 v2</v>
      </c>
      <c r="M6630" s="22" t="str">
        <f>HYPERLINK("mailto:antonio.diletto@crm.otsuka-europe.com", "antonio.diletto@crm.otsuka-europe.com")</f>
        <v>antonio.diletto@crm.otsuka-europe.com</v>
      </c>
      <c r="N6630" s="25">
        <v>46226.299120370371</v>
      </c>
      <c r="O6630" s="14" t="str">
        <f>HYPERLINK("https://otsuka-europe-crm.veevavault.com/ui/#object/email_activity__v/V8C00000004B381", "EN-002107394")</f>
        <v>EN-002107394</v>
      </c>
    </row>
    <row r="6631" spans="1:15" ht="16" x14ac:dyDescent="0.2">
      <c r="A6631" s="26"/>
      <c r="B6631" s="26"/>
      <c r="C6631" s="26"/>
      <c r="D6631" s="26"/>
      <c r="E6631" s="26"/>
      <c r="F6631" s="26"/>
      <c r="G6631" s="26"/>
      <c r="H6631" s="26"/>
      <c r="I6631" s="26"/>
      <c r="J6631" s="26"/>
      <c r="K6631" s="26"/>
      <c r="L6631" s="26"/>
      <c r="M6631" s="26"/>
      <c r="N6631" s="26"/>
      <c r="O6631" s="14" t="str">
        <f>HYPERLINK("https://otsuka-europe-crm.veevavault.com/ui/#object/email_activity__v/V8C00000004B890", "EN-002108201")</f>
        <v>EN-002108201</v>
      </c>
    </row>
    <row r="6632" spans="1:15" ht="16" x14ac:dyDescent="0.2">
      <c r="A6632" s="26"/>
      <c r="B6632" s="26"/>
      <c r="C6632" s="26"/>
      <c r="D6632" s="26"/>
      <c r="E6632" s="26"/>
      <c r="F6632" s="26"/>
      <c r="G6632" s="26"/>
      <c r="H6632" s="26"/>
      <c r="I6632" s="26"/>
      <c r="J6632" s="26"/>
      <c r="K6632" s="26"/>
      <c r="L6632" s="26"/>
      <c r="M6632" s="26"/>
      <c r="N6632" s="26"/>
      <c r="O6632" s="14" t="str">
        <f>HYPERLINK("https://otsuka-europe-crm.veevavault.com/ui/#object/email_activity__v/V8C00000004C431", "EN-002107878")</f>
        <v>EN-002107878</v>
      </c>
    </row>
    <row r="6633" spans="1:15" ht="16" x14ac:dyDescent="0.2">
      <c r="A6633" s="26"/>
      <c r="B6633" s="26"/>
      <c r="C6633" s="26"/>
      <c r="D6633" s="26"/>
      <c r="E6633" s="26"/>
      <c r="F6633" s="26"/>
      <c r="G6633" s="26"/>
      <c r="H6633" s="26"/>
      <c r="I6633" s="26"/>
      <c r="J6633" s="26"/>
      <c r="K6633" s="26"/>
      <c r="L6633" s="26"/>
      <c r="M6633" s="26"/>
      <c r="N6633" s="26"/>
      <c r="O6633" s="14" t="str">
        <f>HYPERLINK("https://otsuka-europe-crm.veevavault.com/ui/#object/email_activity__v/V8C00000004C523", "EN-002108022")</f>
        <v>EN-002108022</v>
      </c>
    </row>
    <row r="6634" spans="1:15" ht="16" x14ac:dyDescent="0.2">
      <c r="A6634" s="19"/>
      <c r="B6634" s="19"/>
      <c r="C6634" s="19"/>
      <c r="D6634" s="19"/>
      <c r="E6634" s="19"/>
      <c r="F6634" s="19"/>
      <c r="G6634" s="19"/>
      <c r="H6634" s="19"/>
      <c r="I6634" s="19"/>
      <c r="J6634" s="19"/>
      <c r="K6634" s="19"/>
      <c r="L6634" s="19"/>
      <c r="M6634" s="19"/>
      <c r="N6634" s="19"/>
      <c r="O6634" s="14" t="str">
        <f>HYPERLINK("https://otsuka-europe-crm.veevavault.com/ui/#object/email_activity__v/V8C00000004E228", "EN-002108831")</f>
        <v>EN-002108831</v>
      </c>
    </row>
    <row r="6635" spans="1:15" ht="16" x14ac:dyDescent="0.2">
      <c r="A6635" s="18" t="str">
        <f>HYPERLINK("https://otsuka-europe-crm.veevavault.com/ui/#object/account__v/V4T00000001E005", "Shaileen Shah")</f>
        <v>Shaileen Shah</v>
      </c>
      <c r="B6635" s="18" t="str">
        <f>HYPERLINK("https://otsuka-europe-crm.veevavault.com/ui/#object/vcountry__v/VENZ000004SONFK", "GB")</f>
        <v>GB</v>
      </c>
      <c r="C6635" s="20" t="s">
        <v>41</v>
      </c>
      <c r="D6635" s="21" t="str">
        <f>HYPERLINK("https://otsuka-europe-crm.veevavault.com/ui/#object/approved_document__v/V5O00000001V001", "LDM DR P2P Invite 12-Nov-26 v2 [digital]")</f>
        <v>LDM DR P2P Invite 12-Nov-26 v2 [digital]</v>
      </c>
      <c r="E6635" s="22" t="str">
        <f>HYPERLINK("https://otsuka-europe-crm.veevavault.com/ui/#object/sent_email__v/VBL000000039205", "SE-001444761")</f>
        <v>SE-001444761</v>
      </c>
      <c r="F6635" s="23"/>
      <c r="G6635" s="24">
        <v>0</v>
      </c>
      <c r="H6635" s="24">
        <v>0</v>
      </c>
      <c r="I6635" s="24">
        <v>0</v>
      </c>
      <c r="J6635" s="23"/>
      <c r="K6635" s="24">
        <v>0</v>
      </c>
      <c r="L6635" s="22" t="str">
        <f>HYPERLINK("https://otsuka-europe-crm.veevavault.com/ui/#object/approved_document__v/V5O00000001V001", "LDM DR P2P Invite 12-Nov-26 v2 [digital]")</f>
        <v>LDM DR P2P Invite 12-Nov-26 v2 [digital]</v>
      </c>
      <c r="M6635" s="22" t="str">
        <f>HYPERLINK("mailto:draval@crm.otsuka-europe.com", "draval@crm.otsuka-europe.com")</f>
        <v>draval@crm.otsuka-europe.com</v>
      </c>
      <c r="N6635" s="25">
        <v>46226.299189814818</v>
      </c>
      <c r="O6635" s="14" t="str">
        <f>HYPERLINK("https://otsuka-europe-crm.veevavault.com/ui/#object/email_activity__v/V8C00000004B545", "EN-002107656")</f>
        <v>EN-002107656</v>
      </c>
    </row>
    <row r="6636" spans="1:15" ht="16" x14ac:dyDescent="0.2">
      <c r="A6636" s="19"/>
      <c r="B6636" s="19"/>
      <c r="C6636" s="19"/>
      <c r="D6636" s="19"/>
      <c r="E6636" s="19"/>
      <c r="F6636" s="19"/>
      <c r="G6636" s="19"/>
      <c r="H6636" s="19"/>
      <c r="I6636" s="19"/>
      <c r="J6636" s="19"/>
      <c r="K6636" s="19"/>
      <c r="L6636" s="19"/>
      <c r="M6636" s="19"/>
      <c r="N6636" s="19"/>
      <c r="O6636" s="14" t="str">
        <f>HYPERLINK("https://otsuka-europe-crm.veevavault.com/ui/#object/email_activity__v/V8C00000004B795", "EN-002108103")</f>
        <v>EN-002108103</v>
      </c>
    </row>
    <row r="6637" spans="1:15" ht="16" x14ac:dyDescent="0.2">
      <c r="A6637" s="18" t="str">
        <f>HYPERLINK("https://otsuka-europe-crm.veevavault.com/ui/#object/account__v/V4T00000002G063", "Aoife Tynan")</f>
        <v>Aoife Tynan</v>
      </c>
      <c r="B6637" s="18" t="str">
        <f>HYPERLINK("https://otsuka-europe-crm.veevavault.com/ui/#object/vcountry__v/VENZ000004SONFK", "GB")</f>
        <v>GB</v>
      </c>
      <c r="C6637" s="20" t="s">
        <v>41</v>
      </c>
      <c r="D6637" s="21" t="str">
        <f>HYPERLINK("https://otsuka-europe-crm.veevavault.com/ui/#object/approved_document__v/V5OZ025E82PXJSL", "Otsuka Privacy Notice - UK (v2)")</f>
        <v>Otsuka Privacy Notice - UK (v2)</v>
      </c>
      <c r="E6637" s="22" t="str">
        <f>HYPERLINK("https://otsuka-europe-crm.veevavault.com/ui/#object/sent_email__v/VBL00000003A319", "SE-001444762")</f>
        <v>SE-001444762</v>
      </c>
      <c r="F6637" s="23"/>
      <c r="G6637" s="24">
        <v>0</v>
      </c>
      <c r="H6637" s="24">
        <v>0</v>
      </c>
      <c r="I6637" s="24">
        <v>0</v>
      </c>
      <c r="J6637" s="23"/>
      <c r="K6637" s="24">
        <v>0</v>
      </c>
      <c r="L6637" s="22" t="str">
        <f>HYPERLINK("https://otsuka-europe-crm.veevavault.com/ui/#object/approved_document__v/V5OZ025E82PXJSL", "Otsuka Privacy Notice - UK (v2)")</f>
        <v>Otsuka Privacy Notice - UK (v2)</v>
      </c>
      <c r="M6637" s="22" t="str">
        <f>HYPERLINK("mailto:PStyler@crm.otsuka-europe.com", "PStyler@crm.otsuka-europe.com")</f>
        <v>PStyler@crm.otsuka-europe.com</v>
      </c>
      <c r="N6637" s="25">
        <v>46226.299189814818</v>
      </c>
      <c r="O6637" s="14" t="str">
        <f>HYPERLINK("https://otsuka-europe-crm.veevavault.com/ui/#object/email_activity__v/V8C00000004B626", "EN-002107737")</f>
        <v>EN-002107737</v>
      </c>
    </row>
    <row r="6638" spans="1:15" ht="16" x14ac:dyDescent="0.2">
      <c r="A6638" s="26"/>
      <c r="B6638" s="26"/>
      <c r="C6638" s="26"/>
      <c r="D6638" s="26"/>
      <c r="E6638" s="26"/>
      <c r="F6638" s="26"/>
      <c r="G6638" s="26"/>
      <c r="H6638" s="26"/>
      <c r="I6638" s="26"/>
      <c r="J6638" s="26"/>
      <c r="K6638" s="26"/>
      <c r="L6638" s="26"/>
      <c r="M6638" s="26"/>
      <c r="N6638" s="26"/>
      <c r="O6638" s="14" t="str">
        <f>HYPERLINK("https://otsuka-europe-crm.veevavault.com/ui/#object/email_activity__v/V8C00000004B786", "EN-002108094")</f>
        <v>EN-002108094</v>
      </c>
    </row>
    <row r="6639" spans="1:15" ht="16" x14ac:dyDescent="0.2">
      <c r="A6639" s="19"/>
      <c r="B6639" s="19"/>
      <c r="C6639" s="19"/>
      <c r="D6639" s="19"/>
      <c r="E6639" s="19"/>
      <c r="F6639" s="19"/>
      <c r="G6639" s="19"/>
      <c r="H6639" s="19"/>
      <c r="I6639" s="19"/>
      <c r="J6639" s="19"/>
      <c r="K6639" s="19"/>
      <c r="L6639" s="19"/>
      <c r="M6639" s="19"/>
      <c r="N6639" s="19"/>
      <c r="O6639" s="14" t="str">
        <f>HYPERLINK("https://otsuka-europe-crm.veevavault.com/ui/#object/email_activity__v/V8C00000004E397", "EN-002109145")</f>
        <v>EN-002109145</v>
      </c>
    </row>
    <row r="6640" spans="1:15" ht="32" x14ac:dyDescent="0.2">
      <c r="A6640" s="7" t="str">
        <f>HYPERLINK("https://otsuka-europe-crm.veevavault.com/ui/#object/account__v/V4T00000002G031", "Esther Ventress")</f>
        <v>Esther Ventress</v>
      </c>
      <c r="B6640" s="7" t="str">
        <f>HYPERLINK("https://otsuka-europe-crm.veevavault.com/ui/#object/vcountry__v/VENZ000004SONFK", "GB")</f>
        <v>GB</v>
      </c>
      <c r="C6640" s="8" t="s">
        <v>41</v>
      </c>
      <c r="D6640" s="9" t="str">
        <f>HYPERLINK("https://otsuka-europe-crm.veevavault.com/ui/#object/approved_document__v/V5OZ025E82PXJSL", "Otsuka Privacy Notice - UK (v2)")</f>
        <v>Otsuka Privacy Notice - UK (v2)</v>
      </c>
      <c r="E6640" s="10" t="str">
        <f>HYPERLINK("https://otsuka-europe-crm.veevavault.com/ui/#object/sent_email__v/VBL000000039206", "SE-001444763")</f>
        <v>SE-001444763</v>
      </c>
      <c r="F6640" s="11"/>
      <c r="G6640" s="12">
        <v>0</v>
      </c>
      <c r="H6640" s="12">
        <v>0</v>
      </c>
      <c r="I6640" s="12">
        <v>0</v>
      </c>
      <c r="J6640" s="11"/>
      <c r="K6640" s="12">
        <v>0</v>
      </c>
      <c r="L6640" s="10" t="str">
        <f>HYPERLINK("https://otsuka-europe-crm.veevavault.com/ui/#object/approved_document__v/V5OZ025E82PXJSL", "Otsuka Privacy Notice - UK (v2)")</f>
        <v>Otsuka Privacy Notice - UK (v2)</v>
      </c>
      <c r="M6640" s="10" t="str">
        <f>HYPERLINK("mailto:PStyler@crm.otsuka-europe.com", "PStyler@crm.otsuka-europe.com")</f>
        <v>PStyler@crm.otsuka-europe.com</v>
      </c>
      <c r="N6640" s="13">
        <v>46226.299178240741</v>
      </c>
      <c r="O6640" s="14" t="str">
        <f>HYPERLINK("https://otsuka-europe-crm.veevavault.com/ui/#object/email_activity__v/V8C00000004C288", "EN-002107453")</f>
        <v>EN-002107453</v>
      </c>
    </row>
    <row r="6641" spans="1:15" ht="16" x14ac:dyDescent="0.2">
      <c r="A6641" s="18" t="str">
        <f>HYPERLINK("https://otsuka-europe-crm.veevavault.com/ui/#object/account__v/V4TZ025E85FVTS5", "ORIANA FRANCESCA BIANCO")</f>
        <v>ORIANA FRANCESCA BIANCO</v>
      </c>
      <c r="B6641" s="18" t="str">
        <f>HYPERLINK("https://otsuka-europe-crm.veevavault.com/ui/#object/vcountry__v/VENZ000004SONFQ", "IT")</f>
        <v>IT</v>
      </c>
      <c r="C6641" s="20" t="s">
        <v>42</v>
      </c>
      <c r="D6641" s="21" t="str">
        <f>HYPERLINK("https://otsuka-europe-crm.veevavault.com/ui/#object/approved_document__v/V5OZ025E82TI1KD", "DEM MUTAZIONE tp53")</f>
        <v>DEM MUTAZIONE tp53</v>
      </c>
      <c r="E6641" s="22" t="str">
        <f>HYPERLINK("https://otsuka-europe-crm.veevavault.com/ui/#object/sent_email__v/VBL000000039207", "SE-001444764")</f>
        <v>SE-001444764</v>
      </c>
      <c r="F6641" s="25">
        <v>46226.300439814811</v>
      </c>
      <c r="G6641" s="24">
        <v>1</v>
      </c>
      <c r="H6641" s="24">
        <v>1</v>
      </c>
      <c r="I6641" s="24">
        <v>0</v>
      </c>
      <c r="J6641" s="23"/>
      <c r="K6641" s="24">
        <v>0</v>
      </c>
      <c r="L6641" s="22" t="str">
        <f>HYPERLINK("https://otsuka-europe-crm.veevavault.com/ui/#object/approved_document__v/V5OZ025E82TI1KD", "DEM MUTAZIONE tp53")</f>
        <v>DEM MUTAZIONE tp53</v>
      </c>
      <c r="M6641" s="22" t="str">
        <f>HYPERLINK("mailto:vincenzo.marchese@crm.otsuka-europe.com", "vincenzo.marchese@crm.otsuka-europe.com")</f>
        <v>vincenzo.marchese@crm.otsuka-europe.com</v>
      </c>
      <c r="N6641" s="25">
        <v>46226.299178240741</v>
      </c>
      <c r="O6641" s="14" t="str">
        <f>HYPERLINK("https://otsuka-europe-crm.veevavault.com/ui/#object/email_activity__v/V8C00000004B420", "EN-002107434")</f>
        <v>EN-002107434</v>
      </c>
    </row>
    <row r="6642" spans="1:15" ht="16" x14ac:dyDescent="0.2">
      <c r="A6642" s="26"/>
      <c r="B6642" s="26"/>
      <c r="C6642" s="26"/>
      <c r="D6642" s="26"/>
      <c r="E6642" s="26"/>
      <c r="F6642" s="26"/>
      <c r="G6642" s="26"/>
      <c r="H6642" s="26"/>
      <c r="I6642" s="26"/>
      <c r="J6642" s="26"/>
      <c r="K6642" s="26"/>
      <c r="L6642" s="26"/>
      <c r="M6642" s="26"/>
      <c r="N6642" s="26"/>
      <c r="O6642" s="14" t="str">
        <f>HYPERLINK("https://otsuka-europe-crm.veevavault.com/ui/#object/email_activity__v/V8C00000004B546", "EN-002107657")</f>
        <v>EN-002107657</v>
      </c>
    </row>
    <row r="6643" spans="1:15" ht="16" x14ac:dyDescent="0.2">
      <c r="A6643" s="19"/>
      <c r="B6643" s="19"/>
      <c r="C6643" s="19"/>
      <c r="D6643" s="19"/>
      <c r="E6643" s="19"/>
      <c r="F6643" s="19"/>
      <c r="G6643" s="19"/>
      <c r="H6643" s="19"/>
      <c r="I6643" s="19"/>
      <c r="J6643" s="19"/>
      <c r="K6643" s="19"/>
      <c r="L6643" s="19"/>
      <c r="M6643" s="19"/>
      <c r="N6643" s="19"/>
      <c r="O6643" s="14" t="str">
        <f>HYPERLINK("https://otsuka-europe-crm.veevavault.com/ui/#object/email_activity__v/V8C00000004C405", "EN-002107846")</f>
        <v>EN-002107846</v>
      </c>
    </row>
    <row r="6644" spans="1:15" ht="16" x14ac:dyDescent="0.2">
      <c r="A6644" s="18" t="str">
        <f>HYPERLINK("https://otsuka-europe-crm.veevavault.com/ui/#object/account__v/V4TZ025E84OB275", "MARILENA SALERNO")</f>
        <v>MARILENA SALERNO</v>
      </c>
      <c r="B6644" s="18" t="str">
        <f>HYPERLINK("https://otsuka-europe-crm.veevavault.com/ui/#object/vcountry__v/VENZ000004SONFQ", "IT")</f>
        <v>IT</v>
      </c>
      <c r="C6644" s="20" t="s">
        <v>42</v>
      </c>
      <c r="D6644" s="21" t="str">
        <f>HYPERLINK("https://otsuka-europe-crm.veevavault.com/ui/#object/approved_document__v/V5OZ025E82TDS3E", "AE Indipendenza dal supporto Trasfusionale")</f>
        <v>AE Indipendenza dal supporto Trasfusionale</v>
      </c>
      <c r="E6644" s="22" t="str">
        <f>HYPERLINK("https://otsuka-europe-crm.veevavault.com/ui/#object/sent_email__v/VBL00000003A320", "SE-001444765")</f>
        <v>SE-001444765</v>
      </c>
      <c r="F6644" s="25">
        <v>46226.299305555556</v>
      </c>
      <c r="G6644" s="24">
        <v>1</v>
      </c>
      <c r="H6644" s="24">
        <v>1</v>
      </c>
      <c r="I6644" s="24">
        <v>0</v>
      </c>
      <c r="J6644" s="23"/>
      <c r="K6644" s="24">
        <v>0</v>
      </c>
      <c r="L6644" s="22" t="str">
        <f>HYPERLINK("https://otsuka-europe-crm.veevavault.com/ui/#object/approved_document__v/V5OZ025E82TDS3E", "AE Indipendenza dal supporto Trasfusionale")</f>
        <v>AE Indipendenza dal supporto Trasfusionale</v>
      </c>
      <c r="M6644" s="22" t="str">
        <f>HYPERLINK("mailto:vincenzo.marchese@crm.otsuka-europe.com", "vincenzo.marchese@crm.otsuka-europe.com")</f>
        <v>vincenzo.marchese@crm.otsuka-europe.com</v>
      </c>
      <c r="N6644" s="25">
        <v>46226.299212962964</v>
      </c>
      <c r="O6644" s="14" t="str">
        <f>HYPERLINK("https://otsuka-europe-crm.veevavault.com/ui/#object/email_activity__v/V8C00000004B312", "EN-002107272")</f>
        <v>EN-002107272</v>
      </c>
    </row>
    <row r="6645" spans="1:15" ht="16" x14ac:dyDescent="0.2">
      <c r="A6645" s="19"/>
      <c r="B6645" s="19"/>
      <c r="C6645" s="19"/>
      <c r="D6645" s="19"/>
      <c r="E6645" s="19"/>
      <c r="F6645" s="19"/>
      <c r="G6645" s="19"/>
      <c r="H6645" s="19"/>
      <c r="I6645" s="19"/>
      <c r="J6645" s="19"/>
      <c r="K6645" s="19"/>
      <c r="L6645" s="19"/>
      <c r="M6645" s="19"/>
      <c r="N6645" s="19"/>
      <c r="O6645" s="14" t="str">
        <f>HYPERLINK("https://otsuka-europe-crm.veevavault.com/ui/#object/email_activity__v/V8C00000004C350", "EN-002107517")</f>
        <v>EN-002107517</v>
      </c>
    </row>
    <row r="6646" spans="1:15" ht="16" x14ac:dyDescent="0.2">
      <c r="A6646" s="18" t="str">
        <f>HYPERLINK("https://otsuka-europe-crm.veevavault.com/ui/#object/account__v/V4T00000002H065", "Salam Abdelsalam")</f>
        <v>Salam Abdelsalam</v>
      </c>
      <c r="B6646" s="18" t="str">
        <f>HYPERLINK("https://otsuka-europe-crm.veevavault.com/ui/#object/vcountry__v/VENZ000004SONFK", "GB")</f>
        <v>GB</v>
      </c>
      <c r="C6646" s="20" t="s">
        <v>41</v>
      </c>
      <c r="D6646" s="21" t="str">
        <f>HYPERLINK("https://otsuka-europe-crm.veevavault.com/ui/#object/approved_document__v/V5OZ025E82PXJSL", "Otsuka Privacy Notice - UK (v2)")</f>
        <v>Otsuka Privacy Notice - UK (v2)</v>
      </c>
      <c r="E6646" s="22" t="str">
        <f>HYPERLINK("https://otsuka-europe-crm.veevavault.com/ui/#object/sent_email__v/VBL00000003A321", "SE-001444766")</f>
        <v>SE-001444766</v>
      </c>
      <c r="F6646" s="25">
        <v>46226.299467592595</v>
      </c>
      <c r="G6646" s="24">
        <v>1</v>
      </c>
      <c r="H6646" s="24">
        <v>1</v>
      </c>
      <c r="I6646" s="24">
        <v>0</v>
      </c>
      <c r="J6646" s="23"/>
      <c r="K6646" s="24">
        <v>0</v>
      </c>
      <c r="L6646" s="22" t="str">
        <f>HYPERLINK("https://otsuka-europe-crm.veevavault.com/ui/#object/approved_document__v/V5OZ025E82PXJSL", "Otsuka Privacy Notice - UK (v2)")</f>
        <v>Otsuka Privacy Notice - UK (v2)</v>
      </c>
      <c r="M6646" s="22" t="str">
        <f>HYPERLINK("mailto:KWood@crm.otsuka-europe.com", "KWood@crm.otsuka-europe.com")</f>
        <v>KWood@crm.otsuka-europe.com</v>
      </c>
      <c r="N6646" s="25">
        <v>46226.299201388887</v>
      </c>
      <c r="O6646" s="14" t="str">
        <f>HYPERLINK("https://otsuka-europe-crm.veevavault.com/ui/#object/email_activity__v/V8C00000004B627", "EN-002107738")</f>
        <v>EN-002107738</v>
      </c>
    </row>
    <row r="6647" spans="1:15" ht="16" x14ac:dyDescent="0.2">
      <c r="A6647" s="26"/>
      <c r="B6647" s="26"/>
      <c r="C6647" s="26"/>
      <c r="D6647" s="26"/>
      <c r="E6647" s="26"/>
      <c r="F6647" s="26"/>
      <c r="G6647" s="26"/>
      <c r="H6647" s="26"/>
      <c r="I6647" s="26"/>
      <c r="J6647" s="26"/>
      <c r="K6647" s="26"/>
      <c r="L6647" s="26"/>
      <c r="M6647" s="26"/>
      <c r="N6647" s="26"/>
      <c r="O6647" s="14" t="str">
        <f>HYPERLINK("https://otsuka-europe-crm.veevavault.com/ui/#object/email_activity__v/V8C00000004B683", "EN-002107810")</f>
        <v>EN-002107810</v>
      </c>
    </row>
    <row r="6648" spans="1:15" ht="16" x14ac:dyDescent="0.2">
      <c r="A6648" s="19"/>
      <c r="B6648" s="19"/>
      <c r="C6648" s="19"/>
      <c r="D6648" s="19"/>
      <c r="E6648" s="19"/>
      <c r="F6648" s="19"/>
      <c r="G6648" s="19"/>
      <c r="H6648" s="19"/>
      <c r="I6648" s="19"/>
      <c r="J6648" s="19"/>
      <c r="K6648" s="19"/>
      <c r="L6648" s="19"/>
      <c r="M6648" s="19"/>
      <c r="N6648" s="19"/>
      <c r="O6648" s="14" t="str">
        <f>HYPERLINK("https://otsuka-europe-crm.veevavault.com/ui/#object/email_activity__v/V8C00000004C355", "EN-002107522")</f>
        <v>EN-002107522</v>
      </c>
    </row>
    <row r="6649" spans="1:15" ht="16" x14ac:dyDescent="0.2">
      <c r="A6649" s="18" t="str">
        <f>HYPERLINK("https://otsuka-europe-crm.veevavault.com/ui/#object/account__v/V4T00000002H065", "Salam Abdelsalam")</f>
        <v>Salam Abdelsalam</v>
      </c>
      <c r="B6649" s="18" t="str">
        <f>HYPERLINK("https://otsuka-europe-crm.veevavault.com/ui/#object/vcountry__v/VENZ000004SONFK", "GB")</f>
        <v>GB</v>
      </c>
      <c r="C6649" s="20" t="s">
        <v>41</v>
      </c>
      <c r="D6649" s="21" t="str">
        <f>HYPERLINK("https://otsuka-europe-crm.veevavault.com/ui/#object/approved_document__v/V5O00000000D081", "UK - Consent Email 1 Aug 25")</f>
        <v>UK - Consent Email 1 Aug 25</v>
      </c>
      <c r="E6649" s="22" t="str">
        <f>HYPERLINK("https://otsuka-europe-crm.veevavault.com/ui/#object/sent_email__v/VBL00000003A322", "SE-001444767")</f>
        <v>SE-001444767</v>
      </c>
      <c r="F6649" s="25">
        <v>46226.299259259256</v>
      </c>
      <c r="G6649" s="24">
        <v>1</v>
      </c>
      <c r="H6649" s="24">
        <v>1</v>
      </c>
      <c r="I6649" s="24">
        <v>0</v>
      </c>
      <c r="J6649" s="23"/>
      <c r="K6649" s="24">
        <v>0</v>
      </c>
      <c r="L6649" s="22" t="str">
        <f>HYPERLINK("https://otsuka-europe-crm.veevavault.com/ui/#object/approved_document__v/V5O00000000D081", "UK - Consent Email 1 Aug 25")</f>
        <v>UK - Consent Email 1 Aug 25</v>
      </c>
      <c r="M6649" s="22" t="str">
        <f>HYPERLINK("mailto:KWood@crm.otsuka-europe.com", "KWood@crm.otsuka-europe.com")</f>
        <v>KWood@crm.otsuka-europe.com</v>
      </c>
      <c r="N6649" s="25">
        <v>46226.299131944441</v>
      </c>
      <c r="O6649" s="14" t="str">
        <f>HYPERLINK("https://otsuka-europe-crm.veevavault.com/ui/#object/email_activity__v/V8C00000004B390", "EN-002107403")</f>
        <v>EN-002107403</v>
      </c>
    </row>
    <row r="6650" spans="1:15" ht="16" x14ac:dyDescent="0.2">
      <c r="A6650" s="26"/>
      <c r="B6650" s="26"/>
      <c r="C6650" s="26"/>
      <c r="D6650" s="26"/>
      <c r="E6650" s="26"/>
      <c r="F6650" s="26"/>
      <c r="G6650" s="26"/>
      <c r="H6650" s="26"/>
      <c r="I6650" s="26"/>
      <c r="J6650" s="26"/>
      <c r="K6650" s="26"/>
      <c r="L6650" s="26"/>
      <c r="M6650" s="26"/>
      <c r="N6650" s="26"/>
      <c r="O6650" s="14" t="str">
        <f>HYPERLINK("https://otsuka-europe-crm.veevavault.com/ui/#object/email_activity__v/V8C00000004B628", "EN-002107739")</f>
        <v>EN-002107739</v>
      </c>
    </row>
    <row r="6651" spans="1:15" ht="16" x14ac:dyDescent="0.2">
      <c r="A6651" s="19"/>
      <c r="B6651" s="19"/>
      <c r="C6651" s="19"/>
      <c r="D6651" s="19"/>
      <c r="E6651" s="19"/>
      <c r="F6651" s="19"/>
      <c r="G6651" s="19"/>
      <c r="H6651" s="19"/>
      <c r="I6651" s="19"/>
      <c r="J6651" s="19"/>
      <c r="K6651" s="19"/>
      <c r="L6651" s="19"/>
      <c r="M6651" s="19"/>
      <c r="N6651" s="19"/>
      <c r="O6651" s="14" t="str">
        <f>HYPERLINK("https://otsuka-europe-crm.veevavault.com/ui/#object/email_activity__v/V8C00000004B759", "EN-002107984")</f>
        <v>EN-002107984</v>
      </c>
    </row>
    <row r="6652" spans="1:15" ht="16" x14ac:dyDescent="0.2">
      <c r="A6652" s="18" t="str">
        <f>HYPERLINK("https://otsuka-europe-crm.veevavault.com/ui/#object/account__v/V4T00000002H066", "Jessica Cannon")</f>
        <v>Jessica Cannon</v>
      </c>
      <c r="B6652" s="18" t="str">
        <f>HYPERLINK("https://otsuka-europe-crm.veevavault.com/ui/#object/vcountry__v/VENZ000004SONFK", "GB")</f>
        <v>GB</v>
      </c>
      <c r="C6652" s="20" t="s">
        <v>41</v>
      </c>
      <c r="D6652" s="21" t="str">
        <f>HYPERLINK("https://otsuka-europe-crm.veevavault.com/ui/#object/approved_document__v/V5OZ025E82PXJSL", "Otsuka Privacy Notice - UK (v2)")</f>
        <v>Otsuka Privacy Notice - UK (v2)</v>
      </c>
      <c r="E6652" s="22" t="str">
        <f>HYPERLINK("https://otsuka-europe-crm.veevavault.com/ui/#object/sent_email__v/VBL000000039208", "SE-001444768")</f>
        <v>SE-001444768</v>
      </c>
      <c r="F6652" s="25">
        <v>46226.299456018518</v>
      </c>
      <c r="G6652" s="24">
        <v>1</v>
      </c>
      <c r="H6652" s="24">
        <v>1</v>
      </c>
      <c r="I6652" s="24">
        <v>0</v>
      </c>
      <c r="J6652" s="23"/>
      <c r="K6652" s="24">
        <v>0</v>
      </c>
      <c r="L6652" s="22" t="str">
        <f>HYPERLINK("https://otsuka-europe-crm.veevavault.com/ui/#object/approved_document__v/V5OZ025E82PXJSL", "Otsuka Privacy Notice - UK (v2)")</f>
        <v>Otsuka Privacy Notice - UK (v2)</v>
      </c>
      <c r="M6652" s="22" t="str">
        <f>HYPERLINK("mailto:KWood@crm.otsuka-europe.com", "KWood@crm.otsuka-europe.com")</f>
        <v>KWood@crm.otsuka-europe.com</v>
      </c>
      <c r="N6652" s="25">
        <v>46226.299201388887</v>
      </c>
      <c r="O6652" s="14" t="str">
        <f>HYPERLINK("https://otsuka-europe-crm.veevavault.com/ui/#object/email_activity__v/V8C00000004B376", "EN-002107389")</f>
        <v>EN-002107389</v>
      </c>
    </row>
    <row r="6653" spans="1:15" ht="16" x14ac:dyDescent="0.2">
      <c r="A6653" s="26"/>
      <c r="B6653" s="26"/>
      <c r="C6653" s="26"/>
      <c r="D6653" s="26"/>
      <c r="E6653" s="26"/>
      <c r="F6653" s="26"/>
      <c r="G6653" s="26"/>
      <c r="H6653" s="26"/>
      <c r="I6653" s="26"/>
      <c r="J6653" s="26"/>
      <c r="K6653" s="26"/>
      <c r="L6653" s="26"/>
      <c r="M6653" s="26"/>
      <c r="N6653" s="26"/>
      <c r="O6653" s="14" t="str">
        <f>HYPERLINK("https://otsuka-europe-crm.veevavault.com/ui/#object/email_activity__v/V8C00000004B547", "EN-002107658")</f>
        <v>EN-002107658</v>
      </c>
    </row>
    <row r="6654" spans="1:15" ht="16" x14ac:dyDescent="0.2">
      <c r="A6654" s="19"/>
      <c r="B6654" s="19"/>
      <c r="C6654" s="19"/>
      <c r="D6654" s="19"/>
      <c r="E6654" s="19"/>
      <c r="F6654" s="19"/>
      <c r="G6654" s="19"/>
      <c r="H6654" s="19"/>
      <c r="I6654" s="19"/>
      <c r="J6654" s="19"/>
      <c r="K6654" s="19"/>
      <c r="L6654" s="19"/>
      <c r="M6654" s="19"/>
      <c r="N6654" s="19"/>
      <c r="O6654" s="14" t="str">
        <f>HYPERLINK("https://otsuka-europe-crm.veevavault.com/ui/#object/email_activity__v/V8C00000004B816", "EN-002108124")</f>
        <v>EN-002108124</v>
      </c>
    </row>
    <row r="6655" spans="1:15" ht="16" x14ac:dyDescent="0.2">
      <c r="A6655" s="18" t="str">
        <f>HYPERLINK("https://otsuka-europe-crm.veevavault.com/ui/#object/account__v/V4T00000002H066", "Jessica Cannon")</f>
        <v>Jessica Cannon</v>
      </c>
      <c r="B6655" s="18" t="str">
        <f>HYPERLINK("https://otsuka-europe-crm.veevavault.com/ui/#object/vcountry__v/VENZ000004SONFK", "GB")</f>
        <v>GB</v>
      </c>
      <c r="C6655" s="20" t="s">
        <v>41</v>
      </c>
      <c r="D6655" s="21" t="str">
        <f>HYPERLINK("https://otsuka-europe-crm.veevavault.com/ui/#object/approved_document__v/V5OZ025E82PXJSL", "Otsuka Privacy Notice - UK (v2)")</f>
        <v>Otsuka Privacy Notice - UK (v2)</v>
      </c>
      <c r="E6655" s="22" t="str">
        <f>HYPERLINK("https://otsuka-europe-crm.veevavault.com/ui/#object/sent_email__v/VBL000000039209", "SE-001444769")</f>
        <v>SE-001444769</v>
      </c>
      <c r="F6655" s="25">
        <v>46226.299305555556</v>
      </c>
      <c r="G6655" s="24">
        <v>1</v>
      </c>
      <c r="H6655" s="24">
        <v>1</v>
      </c>
      <c r="I6655" s="24">
        <v>0</v>
      </c>
      <c r="J6655" s="23"/>
      <c r="K6655" s="24">
        <v>0</v>
      </c>
      <c r="L6655" s="22" t="str">
        <f>HYPERLINK("https://otsuka-europe-crm.veevavault.com/ui/#object/approved_document__v/V5OZ025E82PXJSL", "Otsuka Privacy Notice - UK (v2)")</f>
        <v>Otsuka Privacy Notice - UK (v2)</v>
      </c>
      <c r="M6655" s="22" t="str">
        <f>HYPERLINK("mailto:KWood@crm.otsuka-europe.com", "KWood@crm.otsuka-europe.com")</f>
        <v>KWood@crm.otsuka-europe.com</v>
      </c>
      <c r="N6655" s="25">
        <v>46226.299178240741</v>
      </c>
      <c r="O6655" s="14" t="str">
        <f>HYPERLINK("https://otsuka-europe-crm.veevavault.com/ui/#object/email_activity__v/V8C00000004B548", "EN-002107659")</f>
        <v>EN-002107659</v>
      </c>
    </row>
    <row r="6656" spans="1:15" ht="16" x14ac:dyDescent="0.2">
      <c r="A6656" s="26"/>
      <c r="B6656" s="26"/>
      <c r="C6656" s="26"/>
      <c r="D6656" s="26"/>
      <c r="E6656" s="26"/>
      <c r="F6656" s="26"/>
      <c r="G6656" s="26"/>
      <c r="H6656" s="26"/>
      <c r="I6656" s="26"/>
      <c r="J6656" s="26"/>
      <c r="K6656" s="26"/>
      <c r="L6656" s="26"/>
      <c r="M6656" s="26"/>
      <c r="N6656" s="26"/>
      <c r="O6656" s="14" t="str">
        <f>HYPERLINK("https://otsuka-europe-crm.veevavault.com/ui/#object/email_activity__v/V8C00000004C298", "EN-002107463")</f>
        <v>EN-002107463</v>
      </c>
    </row>
    <row r="6657" spans="1:15" ht="16" x14ac:dyDescent="0.2">
      <c r="A6657" s="19"/>
      <c r="B6657" s="19"/>
      <c r="C6657" s="19"/>
      <c r="D6657" s="19"/>
      <c r="E6657" s="19"/>
      <c r="F6657" s="19"/>
      <c r="G6657" s="19"/>
      <c r="H6657" s="19"/>
      <c r="I6657" s="19"/>
      <c r="J6657" s="19"/>
      <c r="K6657" s="19"/>
      <c r="L6657" s="19"/>
      <c r="M6657" s="19"/>
      <c r="N6657" s="19"/>
      <c r="O6657" s="14" t="str">
        <f>HYPERLINK("https://otsuka-europe-crm.veevavault.com/ui/#object/email_activity__v/V8C00000004C406", "EN-002107847")</f>
        <v>EN-002107847</v>
      </c>
    </row>
    <row r="6658" spans="1:15" ht="16" x14ac:dyDescent="0.2">
      <c r="A6658" s="18" t="str">
        <f>HYPERLINK("https://otsuka-europe-crm.veevavault.com/ui/#object/account__v/V4T00000002H066", "Jessica Cannon")</f>
        <v>Jessica Cannon</v>
      </c>
      <c r="B6658" s="18" t="str">
        <f>HYPERLINK("https://otsuka-europe-crm.veevavault.com/ui/#object/vcountry__v/VENZ000004SONFK", "GB")</f>
        <v>GB</v>
      </c>
      <c r="C6658" s="20" t="s">
        <v>41</v>
      </c>
      <c r="D6658" s="21" t="str">
        <f>HYPERLINK("https://otsuka-europe-crm.veevavault.com/ui/#object/approved_document__v/V5O00000000D081", "UK - Consent Email 1 Aug 25")</f>
        <v>UK - Consent Email 1 Aug 25</v>
      </c>
      <c r="E6658" s="22" t="str">
        <f>HYPERLINK("https://otsuka-europe-crm.veevavault.com/ui/#object/sent_email__v/VBL000000039210", "SE-001444770")</f>
        <v>SE-001444770</v>
      </c>
      <c r="F6658" s="25">
        <v>46226.299571759257</v>
      </c>
      <c r="G6658" s="24">
        <v>1</v>
      </c>
      <c r="H6658" s="24">
        <v>1</v>
      </c>
      <c r="I6658" s="24">
        <v>0</v>
      </c>
      <c r="J6658" s="23"/>
      <c r="K6658" s="24">
        <v>0</v>
      </c>
      <c r="L6658" s="22" t="str">
        <f>HYPERLINK("https://otsuka-europe-crm.veevavault.com/ui/#object/approved_document__v/V5O00000000D081", "UK - Consent Email 1 Aug 25")</f>
        <v>UK - Consent Email 1 Aug 25</v>
      </c>
      <c r="M6658" s="22" t="str">
        <f>HYPERLINK("mailto:KWood@crm.otsuka-europe.com", "KWood@crm.otsuka-europe.com")</f>
        <v>KWood@crm.otsuka-europe.com</v>
      </c>
      <c r="N6658" s="25">
        <v>46226.299143518518</v>
      </c>
      <c r="O6658" s="14" t="str">
        <f>HYPERLINK("https://otsuka-europe-crm.veevavault.com/ui/#object/email_activity__v/V8C00000004B437", "EN-002107450")</f>
        <v>EN-002107450</v>
      </c>
    </row>
    <row r="6659" spans="1:15" ht="16" x14ac:dyDescent="0.2">
      <c r="A6659" s="26"/>
      <c r="B6659" s="26"/>
      <c r="C6659" s="26"/>
      <c r="D6659" s="26"/>
      <c r="E6659" s="26"/>
      <c r="F6659" s="26"/>
      <c r="G6659" s="26"/>
      <c r="H6659" s="26"/>
      <c r="I6659" s="26"/>
      <c r="J6659" s="26"/>
      <c r="K6659" s="26"/>
      <c r="L6659" s="26"/>
      <c r="M6659" s="26"/>
      <c r="N6659" s="26"/>
      <c r="O6659" s="14" t="str">
        <f>HYPERLINK("https://otsuka-europe-crm.veevavault.com/ui/#object/email_activity__v/V8C00000004B549", "EN-002107660")</f>
        <v>EN-002107660</v>
      </c>
    </row>
    <row r="6660" spans="1:15" ht="16" x14ac:dyDescent="0.2">
      <c r="A6660" s="19"/>
      <c r="B6660" s="19"/>
      <c r="C6660" s="19"/>
      <c r="D6660" s="19"/>
      <c r="E6660" s="19"/>
      <c r="F6660" s="19"/>
      <c r="G6660" s="19"/>
      <c r="H6660" s="19"/>
      <c r="I6660" s="19"/>
      <c r="J6660" s="19"/>
      <c r="K6660" s="19"/>
      <c r="L6660" s="19"/>
      <c r="M6660" s="19"/>
      <c r="N6660" s="19"/>
      <c r="O6660" s="14" t="str">
        <f>HYPERLINK("https://otsuka-europe-crm.veevavault.com/ui/#object/email_activity__v/V8C00000004B757", "EN-002107982")</f>
        <v>EN-002107982</v>
      </c>
    </row>
    <row r="6661" spans="1:15" ht="16" x14ac:dyDescent="0.2">
      <c r="A6661" s="18" t="str">
        <f>HYPERLINK("https://otsuka-europe-crm.veevavault.com/ui/#object/account__v/V4T00000002H067", "Clare Bower")</f>
        <v>Clare Bower</v>
      </c>
      <c r="B6661" s="18" t="str">
        <f>HYPERLINK("https://otsuka-europe-crm.veevavault.com/ui/#object/vcountry__v/VENZ000004SONFK", "GB")</f>
        <v>GB</v>
      </c>
      <c r="C6661" s="20" t="s">
        <v>41</v>
      </c>
      <c r="D6661" s="21" t="str">
        <f>HYPERLINK("https://otsuka-europe-crm.veevavault.com/ui/#object/approved_document__v/V5OZ025E82PXJSL", "Otsuka Privacy Notice - UK (v2)")</f>
        <v>Otsuka Privacy Notice - UK (v2)</v>
      </c>
      <c r="E6661" s="22" t="str">
        <f>HYPERLINK("https://otsuka-europe-crm.veevavault.com/ui/#object/sent_email__v/VBL00000003A323", "SE-001444771")</f>
        <v>SE-001444771</v>
      </c>
      <c r="F6661" s="25">
        <v>46226.299467592595</v>
      </c>
      <c r="G6661" s="24">
        <v>1</v>
      </c>
      <c r="H6661" s="24">
        <v>1</v>
      </c>
      <c r="I6661" s="24">
        <v>0</v>
      </c>
      <c r="J6661" s="23"/>
      <c r="K6661" s="24">
        <v>0</v>
      </c>
      <c r="L6661" s="22" t="str">
        <f>HYPERLINK("https://otsuka-europe-crm.veevavault.com/ui/#object/approved_document__v/V5OZ025E82PXJSL", "Otsuka Privacy Notice - UK (v2)")</f>
        <v>Otsuka Privacy Notice - UK (v2)</v>
      </c>
      <c r="M6661" s="22" t="str">
        <f>HYPERLINK("mailto:KWood@crm.otsuka-europe.com", "KWood@crm.otsuka-europe.com")</f>
        <v>KWood@crm.otsuka-europe.com</v>
      </c>
      <c r="N6661" s="25">
        <v>46226.299201388887</v>
      </c>
      <c r="O6661" s="14" t="str">
        <f>HYPERLINK("https://otsuka-europe-crm.veevavault.com/ui/#object/email_activity__v/V8C00000004B377", "EN-002107390")</f>
        <v>EN-002107390</v>
      </c>
    </row>
    <row r="6662" spans="1:15" ht="16" x14ac:dyDescent="0.2">
      <c r="A6662" s="26"/>
      <c r="B6662" s="26"/>
      <c r="C6662" s="26"/>
      <c r="D6662" s="26"/>
      <c r="E6662" s="26"/>
      <c r="F6662" s="26"/>
      <c r="G6662" s="26"/>
      <c r="H6662" s="26"/>
      <c r="I6662" s="26"/>
      <c r="J6662" s="26"/>
      <c r="K6662" s="26"/>
      <c r="L6662" s="26"/>
      <c r="M6662" s="26"/>
      <c r="N6662" s="26"/>
      <c r="O6662" s="14" t="str">
        <f>HYPERLINK("https://otsuka-europe-crm.veevavault.com/ui/#object/email_activity__v/V8C00000004B629", "EN-002107740")</f>
        <v>EN-002107740</v>
      </c>
    </row>
    <row r="6663" spans="1:15" ht="16" x14ac:dyDescent="0.2">
      <c r="A6663" s="19"/>
      <c r="B6663" s="19"/>
      <c r="C6663" s="19"/>
      <c r="D6663" s="19"/>
      <c r="E6663" s="19"/>
      <c r="F6663" s="19"/>
      <c r="G6663" s="19"/>
      <c r="H6663" s="19"/>
      <c r="I6663" s="19"/>
      <c r="J6663" s="19"/>
      <c r="K6663" s="19"/>
      <c r="L6663" s="19"/>
      <c r="M6663" s="19"/>
      <c r="N6663" s="19"/>
      <c r="O6663" s="14" t="str">
        <f>HYPERLINK("https://otsuka-europe-crm.veevavault.com/ui/#object/email_activity__v/V8C00000004C546", "EN-002108056")</f>
        <v>EN-002108056</v>
      </c>
    </row>
    <row r="6664" spans="1:15" ht="16" x14ac:dyDescent="0.2">
      <c r="A6664" s="18" t="str">
        <f>HYPERLINK("https://otsuka-europe-crm.veevavault.com/ui/#object/account__v/V4T00000002H067", "Clare Bower")</f>
        <v>Clare Bower</v>
      </c>
      <c r="B6664" s="18" t="str">
        <f>HYPERLINK("https://otsuka-europe-crm.veevavault.com/ui/#object/vcountry__v/VENZ000004SONFK", "GB")</f>
        <v>GB</v>
      </c>
      <c r="C6664" s="20" t="s">
        <v>41</v>
      </c>
      <c r="D6664" s="21" t="str">
        <f>HYPERLINK("https://otsuka-europe-crm.veevavault.com/ui/#object/approved_document__v/V5O00000000D081", "UK - Consent Email 1 Aug 25")</f>
        <v>UK - Consent Email 1 Aug 25</v>
      </c>
      <c r="E6664" s="22" t="str">
        <f>HYPERLINK("https://otsuka-europe-crm.veevavault.com/ui/#object/sent_email__v/VBL00000003A324", "SE-001444772")</f>
        <v>SE-001444772</v>
      </c>
      <c r="F6664" s="25">
        <v>46226.299270833333</v>
      </c>
      <c r="G6664" s="24">
        <v>1</v>
      </c>
      <c r="H6664" s="24">
        <v>1</v>
      </c>
      <c r="I6664" s="24">
        <v>0</v>
      </c>
      <c r="J6664" s="23"/>
      <c r="K6664" s="24">
        <v>0</v>
      </c>
      <c r="L6664" s="22" t="str">
        <f>HYPERLINK("https://otsuka-europe-crm.veevavault.com/ui/#object/approved_document__v/V5O00000000D081", "UK - Consent Email 1 Aug 25")</f>
        <v>UK - Consent Email 1 Aug 25</v>
      </c>
      <c r="M6664" s="22" t="str">
        <f>HYPERLINK("mailto:KWood@crm.otsuka-europe.com", "KWood@crm.otsuka-europe.com")</f>
        <v>KWood@crm.otsuka-europe.com</v>
      </c>
      <c r="N6664" s="25">
        <v>46226.299131944441</v>
      </c>
      <c r="O6664" s="14" t="str">
        <f>HYPERLINK("https://otsuka-europe-crm.veevavault.com/ui/#object/email_activity__v/V8C00000004C233", "EN-002107305")</f>
        <v>EN-002107305</v>
      </c>
    </row>
    <row r="6665" spans="1:15" ht="16" x14ac:dyDescent="0.2">
      <c r="A6665" s="19"/>
      <c r="B6665" s="19"/>
      <c r="C6665" s="19"/>
      <c r="D6665" s="19"/>
      <c r="E6665" s="19"/>
      <c r="F6665" s="19"/>
      <c r="G6665" s="19"/>
      <c r="H6665" s="19"/>
      <c r="I6665" s="19"/>
      <c r="J6665" s="19"/>
      <c r="K6665" s="19"/>
      <c r="L6665" s="19"/>
      <c r="M6665" s="19"/>
      <c r="N6665" s="19"/>
      <c r="O6665" s="14" t="str">
        <f>HYPERLINK("https://otsuka-europe-crm.veevavault.com/ui/#object/email_activity__v/V8C00000004C508", "EN-002108006")</f>
        <v>EN-002108006</v>
      </c>
    </row>
    <row r="6666" spans="1:15" ht="16" x14ac:dyDescent="0.2">
      <c r="A6666" s="18" t="str">
        <f>HYPERLINK("https://otsuka-europe-crm.veevavault.com/ui/#object/account__v/V4T00000001F034", "Hana Alachkar")</f>
        <v>Hana Alachkar</v>
      </c>
      <c r="B6666" s="18" t="str">
        <f>HYPERLINK("https://otsuka-europe-crm.veevavault.com/ui/#object/vcountry__v/VENZ000004SONFK", "GB")</f>
        <v>GB</v>
      </c>
      <c r="C6666" s="20" t="s">
        <v>41</v>
      </c>
      <c r="D6666" s="21" t="str">
        <f>HYPERLINK("https://otsuka-europe-crm.veevavault.com/ui/#object/approved_document__v/V5O00000000D081", "UK - Consent Email 1 Aug 25")</f>
        <v>UK - Consent Email 1 Aug 25</v>
      </c>
      <c r="E6666" s="22" t="str">
        <f>HYPERLINK("https://otsuka-europe-crm.veevavault.com/ui/#object/sent_email__v/VBL00000003A325", "SE-001444773")</f>
        <v>SE-001444773</v>
      </c>
      <c r="F6666" s="25">
        <v>46226.299444444441</v>
      </c>
      <c r="G6666" s="24">
        <v>1</v>
      </c>
      <c r="H6666" s="24">
        <v>1</v>
      </c>
      <c r="I6666" s="24">
        <v>0</v>
      </c>
      <c r="J6666" s="23"/>
      <c r="K6666" s="24">
        <v>0</v>
      </c>
      <c r="L6666" s="22" t="str">
        <f>HYPERLINK("https://otsuka-europe-crm.veevavault.com/ui/#object/approved_document__v/V5O00000000D081", "UK - Consent Email 1 Aug 25")</f>
        <v>UK - Consent Email 1 Aug 25</v>
      </c>
      <c r="M6666" s="22" t="str">
        <f>HYPERLINK("mailto:KWood@crm.otsuka-europe.com", "KWood@crm.otsuka-europe.com")</f>
        <v>KWood@crm.otsuka-europe.com</v>
      </c>
      <c r="N6666" s="25">
        <v>46226.299131944441</v>
      </c>
      <c r="O6666" s="14" t="str">
        <f>HYPERLINK("https://otsuka-europe-crm.veevavault.com/ui/#object/email_activity__v/V8C00000004B327", "EN-002107287")</f>
        <v>EN-002107287</v>
      </c>
    </row>
    <row r="6667" spans="1:15" ht="16" x14ac:dyDescent="0.2">
      <c r="A6667" s="19"/>
      <c r="B6667" s="19"/>
      <c r="C6667" s="19"/>
      <c r="D6667" s="19"/>
      <c r="E6667" s="19"/>
      <c r="F6667" s="19"/>
      <c r="G6667" s="19"/>
      <c r="H6667" s="19"/>
      <c r="I6667" s="19"/>
      <c r="J6667" s="19"/>
      <c r="K6667" s="19"/>
      <c r="L6667" s="19"/>
      <c r="M6667" s="19"/>
      <c r="N6667" s="19"/>
      <c r="O6667" s="14" t="str">
        <f>HYPERLINK("https://otsuka-europe-crm.veevavault.com/ui/#object/email_activity__v/V8C00000004C303", "EN-002107468")</f>
        <v>EN-002107468</v>
      </c>
    </row>
    <row r="6668" spans="1:15" ht="16" x14ac:dyDescent="0.2">
      <c r="A6668" s="18" t="str">
        <f>HYPERLINK("https://otsuka-europe-crm.veevavault.com/ui/#object/account__v/V4TZ025E881122A", "Jillian Edmonds")</f>
        <v>Jillian Edmonds</v>
      </c>
      <c r="B6668" s="18" t="str">
        <f>HYPERLINK("https://otsuka-europe-crm.veevavault.com/ui/#object/vcountry__v/VENZ000004SONFK", "GB")</f>
        <v>GB</v>
      </c>
      <c r="C6668" s="20" t="s">
        <v>41</v>
      </c>
      <c r="D6668" s="21" t="str">
        <f>HYPERLINK("https://otsuka-europe-crm.veevavault.com/ui/#object/approved_document__v/V5O00000000D081", "UK - Consent Email 1 Aug 25")</f>
        <v>UK - Consent Email 1 Aug 25</v>
      </c>
      <c r="E6668" s="22" t="str">
        <f>HYPERLINK("https://otsuka-europe-crm.veevavault.com/ui/#object/sent_email__v/VBL000000039211", "SE-001444774")</f>
        <v>SE-001444774</v>
      </c>
      <c r="F6668" s="25">
        <v>46226.299432870372</v>
      </c>
      <c r="G6668" s="24">
        <v>1</v>
      </c>
      <c r="H6668" s="24">
        <v>1</v>
      </c>
      <c r="I6668" s="24">
        <v>1</v>
      </c>
      <c r="J6668" s="25">
        <v>46226.351979166669</v>
      </c>
      <c r="K6668" s="24">
        <v>1</v>
      </c>
      <c r="L6668" s="22" t="str">
        <f>HYPERLINK("https://otsuka-europe-crm.veevavault.com/ui/#object/approved_document__v/V5O00000000D081", "UK - Consent Email 1 Aug 25")</f>
        <v>UK - Consent Email 1 Aug 25</v>
      </c>
      <c r="M6668" s="22" t="str">
        <f>HYPERLINK("mailto:KWood@crm.otsuka-europe.com", "KWood@crm.otsuka-europe.com")</f>
        <v>KWood@crm.otsuka-europe.com</v>
      </c>
      <c r="N6668" s="25">
        <v>46226.299143518518</v>
      </c>
      <c r="O6668" s="14" t="str">
        <f>HYPERLINK("https://otsuka-europe-crm.veevavault.com/ui/#object/email_activity__v/V8C00000004B308", "EN-002107268")</f>
        <v>EN-002107268</v>
      </c>
    </row>
    <row r="6669" spans="1:15" ht="16" x14ac:dyDescent="0.2">
      <c r="A6669" s="26"/>
      <c r="B6669" s="26"/>
      <c r="C6669" s="26"/>
      <c r="D6669" s="26"/>
      <c r="E6669" s="26"/>
      <c r="F6669" s="26"/>
      <c r="G6669" s="26"/>
      <c r="H6669" s="26"/>
      <c r="I6669" s="26"/>
      <c r="J6669" s="26"/>
      <c r="K6669" s="26"/>
      <c r="L6669" s="26"/>
      <c r="M6669" s="26"/>
      <c r="N6669" s="26"/>
      <c r="O6669" s="14" t="str">
        <f>HYPERLINK("https://otsuka-europe-crm.veevavault.com/ui/#object/email_activity__v/V8C00000004B652", "EN-002107763")</f>
        <v>EN-002107763</v>
      </c>
    </row>
    <row r="6670" spans="1:15" ht="16" x14ac:dyDescent="0.2">
      <c r="A6670" s="19"/>
      <c r="B6670" s="19"/>
      <c r="C6670" s="19"/>
      <c r="D6670" s="19"/>
      <c r="E6670" s="19"/>
      <c r="F6670" s="19"/>
      <c r="G6670" s="19"/>
      <c r="H6670" s="19"/>
      <c r="I6670" s="19"/>
      <c r="J6670" s="19"/>
      <c r="K6670" s="19"/>
      <c r="L6670" s="19"/>
      <c r="M6670" s="19"/>
      <c r="N6670" s="19"/>
      <c r="O6670" s="14" t="str">
        <f>HYPERLINK("https://otsuka-europe-crm.veevavault.com/ui/#object/email_activity__v/V8C00000004C241", "EN-002107313")</f>
        <v>EN-002107313</v>
      </c>
    </row>
    <row r="6671" spans="1:15" ht="16" x14ac:dyDescent="0.2">
      <c r="A6671" s="18" t="str">
        <f>HYPERLINK("https://otsuka-europe-crm.veevavault.com/ui/#object/account__v/V4TZ025E82XQJOY", "ELISA GIGLIO")</f>
        <v>ELISA GIGLIO</v>
      </c>
      <c r="B6671" s="18" t="str">
        <f>HYPERLINK("https://otsuka-europe-crm.veevavault.com/ui/#object/vcountry__v/VENZ000004SONFQ", "IT")</f>
        <v>IT</v>
      </c>
      <c r="C6671" s="20" t="s">
        <v>42</v>
      </c>
      <c r="D6671" s="21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E6671" s="22" t="str">
        <f>HYPERLINK("https://otsuka-europe-crm.veevavault.com/ui/#object/sent_email__v/VBL00000003A326", "SE-001444775")</f>
        <v>SE-001444775</v>
      </c>
      <c r="F6671" s="25">
        <v>46226.299293981479</v>
      </c>
      <c r="G6671" s="24">
        <v>1</v>
      </c>
      <c r="H6671" s="24">
        <v>1</v>
      </c>
      <c r="I6671" s="24">
        <v>0</v>
      </c>
      <c r="J6671" s="23"/>
      <c r="K6671" s="24">
        <v>0</v>
      </c>
      <c r="L6671" s="22" t="str">
        <f>HYPERLINK("https://otsuka-europe-crm.veevavault.com/ui/#object/approved_document__v/V5OZ025E82S0X55", "LUPKYNIS_Branded_ studio Palmer - IT-LUP-2500010-Nephrology")</f>
        <v>LUPKYNIS_Branded_ studio Palmer - IT-LUP-2500010-Nephrology</v>
      </c>
      <c r="M6671" s="22" t="str">
        <f>HYPERLINK("mailto:alfredo.pisapia@crm.otsuka-europe.com", "alfredo.pisapia@crm.otsuka-europe.com")</f>
        <v>alfredo.pisapia@crm.otsuka-europe.com</v>
      </c>
      <c r="N6671" s="25">
        <v>46226.299201388887</v>
      </c>
      <c r="O6671" s="14" t="str">
        <f>HYPERLINK("https://otsuka-europe-crm.veevavault.com/ui/#object/email_activity__v/V8C00000004B630", "EN-002107741")</f>
        <v>EN-002107741</v>
      </c>
    </row>
    <row r="6672" spans="1:15" ht="16" x14ac:dyDescent="0.2">
      <c r="A6672" s="26"/>
      <c r="B6672" s="26"/>
      <c r="C6672" s="26"/>
      <c r="D6672" s="26"/>
      <c r="E6672" s="26"/>
      <c r="F6672" s="26"/>
      <c r="G6672" s="26"/>
      <c r="H6672" s="26"/>
      <c r="I6672" s="26"/>
      <c r="J6672" s="26"/>
      <c r="K6672" s="26"/>
      <c r="L6672" s="26"/>
      <c r="M6672" s="26"/>
      <c r="N6672" s="26"/>
      <c r="O6672" s="14" t="str">
        <f>HYPERLINK("https://otsuka-europe-crm.veevavault.com/ui/#object/email_activity__v/V8C00000004C252", "EN-002107324")</f>
        <v>EN-002107324</v>
      </c>
    </row>
    <row r="6673" spans="1:15" ht="16" x14ac:dyDescent="0.2">
      <c r="A6673" s="19"/>
      <c r="B6673" s="19"/>
      <c r="C6673" s="19"/>
      <c r="D6673" s="19"/>
      <c r="E6673" s="19"/>
      <c r="F6673" s="19"/>
      <c r="G6673" s="19"/>
      <c r="H6673" s="19"/>
      <c r="I6673" s="19"/>
      <c r="J6673" s="19"/>
      <c r="K6673" s="19"/>
      <c r="L6673" s="19"/>
      <c r="M6673" s="19"/>
      <c r="N6673" s="19"/>
      <c r="O6673" s="14" t="str">
        <f>HYPERLINK("https://otsuka-europe-crm.veevavault.com/ui/#object/email_activity__v/V8C00000004C548", "EN-002108058")</f>
        <v>EN-002108058</v>
      </c>
    </row>
    <row r="6674" spans="1:15" ht="16" x14ac:dyDescent="0.2">
      <c r="A6674" s="18" t="str">
        <f>HYPERLINK("https://otsuka-europe-crm.veevavault.com/ui/#object/account__v/V4TZ0000062PEYT", "Mahzuz Karim")</f>
        <v>Mahzuz Karim</v>
      </c>
      <c r="B6674" s="18" t="str">
        <f>HYPERLINK("https://otsuka-europe-crm.veevavault.com/ui/#object/vcountry__v/VENZ000004SONFK", "GB")</f>
        <v>GB</v>
      </c>
      <c r="C6674" s="20" t="s">
        <v>41</v>
      </c>
      <c r="D6674" s="21" t="str">
        <f>HYPERLINK("https://otsuka-europe-crm.veevavault.com/ui/#object/approved_document__v/V5O00000000D081", "UK - Consent Email 1 Aug 25")</f>
        <v>UK - Consent Email 1 Aug 25</v>
      </c>
      <c r="E6674" s="22" t="str">
        <f>HYPERLINK("https://otsuka-europe-crm.veevavault.com/ui/#object/sent_email__v/VBL00000003A327", "SE-001444776")</f>
        <v>SE-001444776</v>
      </c>
      <c r="F6674" s="25">
        <v>46227.452094907407</v>
      </c>
      <c r="G6674" s="24">
        <v>1</v>
      </c>
      <c r="H6674" s="24">
        <v>2</v>
      </c>
      <c r="I6674" s="24">
        <v>1</v>
      </c>
      <c r="J6674" s="25">
        <v>46226.299618055556</v>
      </c>
      <c r="K6674" s="24">
        <v>1</v>
      </c>
      <c r="L6674" s="22" t="str">
        <f>HYPERLINK("https://otsuka-europe-crm.veevavault.com/ui/#object/approved_document__v/V5O00000000D081", "UK - Consent Email 1 Aug 25")</f>
        <v>UK - Consent Email 1 Aug 25</v>
      </c>
      <c r="M6674" s="22" t="str">
        <f>HYPERLINK("mailto:rgill@crm.otsuka-europe.com", "rgill@crm.otsuka-europe.com")</f>
        <v>rgill@crm.otsuka-europe.com</v>
      </c>
      <c r="N6674" s="25">
        <v>46226.299131944441</v>
      </c>
      <c r="O6674" s="14" t="str">
        <f>HYPERLINK("https://otsuka-europe-crm.veevavault.com/ui/#object/email_activity__v/V8C00000004C309", "EN-002107475")</f>
        <v>EN-002107475</v>
      </c>
    </row>
    <row r="6675" spans="1:15" ht="16" x14ac:dyDescent="0.2">
      <c r="A6675" s="26"/>
      <c r="B6675" s="26"/>
      <c r="C6675" s="26"/>
      <c r="D6675" s="26"/>
      <c r="E6675" s="26"/>
      <c r="F6675" s="26"/>
      <c r="G6675" s="26"/>
      <c r="H6675" s="26"/>
      <c r="I6675" s="26"/>
      <c r="J6675" s="26"/>
      <c r="K6675" s="26"/>
      <c r="L6675" s="26"/>
      <c r="M6675" s="26"/>
      <c r="N6675" s="26"/>
      <c r="O6675" s="14" t="str">
        <f>HYPERLINK("https://otsuka-europe-crm.veevavault.com/ui/#object/email_activity__v/V8C00000004C359", "EN-002107527")</f>
        <v>EN-002107527</v>
      </c>
    </row>
    <row r="6676" spans="1:15" ht="16" x14ac:dyDescent="0.2">
      <c r="A6676" s="26"/>
      <c r="B6676" s="26"/>
      <c r="C6676" s="26"/>
      <c r="D6676" s="26"/>
      <c r="E6676" s="26"/>
      <c r="F6676" s="26"/>
      <c r="G6676" s="26"/>
      <c r="H6676" s="26"/>
      <c r="I6676" s="26"/>
      <c r="J6676" s="26"/>
      <c r="K6676" s="26"/>
      <c r="L6676" s="26"/>
      <c r="M6676" s="26"/>
      <c r="N6676" s="26"/>
      <c r="O6676" s="14" t="str">
        <f>HYPERLINK("https://otsuka-europe-crm.veevavault.com/ui/#object/email_activity__v/V8C00000004C361", "EN-002107523")</f>
        <v>EN-002107523</v>
      </c>
    </row>
    <row r="6677" spans="1:15" ht="16" x14ac:dyDescent="0.2">
      <c r="A6677" s="19"/>
      <c r="B6677" s="19"/>
      <c r="C6677" s="19"/>
      <c r="D6677" s="19"/>
      <c r="E6677" s="19"/>
      <c r="F6677" s="19"/>
      <c r="G6677" s="19"/>
      <c r="H6677" s="19"/>
      <c r="I6677" s="19"/>
      <c r="J6677" s="19"/>
      <c r="K6677" s="19"/>
      <c r="L6677" s="19"/>
      <c r="M6677" s="19"/>
      <c r="N6677" s="19"/>
      <c r="O6677" s="14" t="str">
        <f>HYPERLINK("https://otsuka-europe-crm.veevavault.com/ui/#object/email_activity__v/V8C00000004E017", "EN-002108299")</f>
        <v>EN-002108299</v>
      </c>
    </row>
    <row r="6678" spans="1:15" ht="16" x14ac:dyDescent="0.2">
      <c r="A6678" s="18" t="str">
        <f>HYPERLINK("https://otsuka-europe-crm.veevavault.com/ui/#object/account__v/V4TZ0000062PEYT", "Mahzuz Karim")</f>
        <v>Mahzuz Karim</v>
      </c>
      <c r="B6678" s="18" t="str">
        <f>HYPERLINK("https://otsuka-europe-crm.veevavault.com/ui/#object/vcountry__v/VENZ000004SONFK", "GB")</f>
        <v>GB</v>
      </c>
      <c r="C6678" s="20" t="s">
        <v>41</v>
      </c>
      <c r="D6678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6678" s="22" t="str">
        <f>HYPERLINK("https://otsuka-europe-crm.veevavault.com/ui/#object/sent_email__v/VBL00000003A328", "SE-001444777")</f>
        <v>SE-001444777</v>
      </c>
      <c r="F6678" s="25">
        <v>46227.45207175926</v>
      </c>
      <c r="G6678" s="24">
        <v>1</v>
      </c>
      <c r="H6678" s="24">
        <v>3</v>
      </c>
      <c r="I6678" s="24">
        <v>1</v>
      </c>
      <c r="J6678" s="25">
        <v>46226.299907407411</v>
      </c>
      <c r="K6678" s="24">
        <v>1</v>
      </c>
      <c r="L6678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6678" s="22" t="str">
        <f>HYPERLINK("mailto:rgill@crm.otsuka-europe.com", "rgill@crm.otsuka-europe.com")</f>
        <v>rgill@crm.otsuka-europe.com</v>
      </c>
      <c r="N6678" s="25">
        <v>46226.299131944441</v>
      </c>
      <c r="O6678" s="14" t="str">
        <f>HYPERLINK("https://otsuka-europe-crm.veevavault.com/ui/#object/email_activity__v/V8C00000004B348", "EN-002107361")</f>
        <v>EN-002107361</v>
      </c>
    </row>
    <row r="6679" spans="1:15" ht="16" x14ac:dyDescent="0.2">
      <c r="A6679" s="26"/>
      <c r="B6679" s="26"/>
      <c r="C6679" s="26"/>
      <c r="D6679" s="26"/>
      <c r="E6679" s="26"/>
      <c r="F6679" s="26"/>
      <c r="G6679" s="26"/>
      <c r="H6679" s="26"/>
      <c r="I6679" s="26"/>
      <c r="J6679" s="26"/>
      <c r="K6679" s="26"/>
      <c r="L6679" s="26"/>
      <c r="M6679" s="26"/>
      <c r="N6679" s="26"/>
      <c r="O6679" s="14" t="str">
        <f>HYPERLINK("https://otsuka-europe-crm.veevavault.com/ui/#object/email_activity__v/V8C00000004B396", "EN-002107410")</f>
        <v>EN-002107410</v>
      </c>
    </row>
    <row r="6680" spans="1:15" ht="16" x14ac:dyDescent="0.2">
      <c r="A6680" s="26"/>
      <c r="B6680" s="26"/>
      <c r="C6680" s="26"/>
      <c r="D6680" s="26"/>
      <c r="E6680" s="26"/>
      <c r="F6680" s="26"/>
      <c r="G6680" s="26"/>
      <c r="H6680" s="26"/>
      <c r="I6680" s="26"/>
      <c r="J6680" s="26"/>
      <c r="K6680" s="26"/>
      <c r="L6680" s="26"/>
      <c r="M6680" s="26"/>
      <c r="N6680" s="26"/>
      <c r="O6680" s="14" t="str">
        <f>HYPERLINK("https://otsuka-europe-crm.veevavault.com/ui/#object/email_activity__v/V8C00000004B422", "EN-002107405")</f>
        <v>EN-002107405</v>
      </c>
    </row>
    <row r="6681" spans="1:15" ht="16" x14ac:dyDescent="0.2">
      <c r="A6681" s="26"/>
      <c r="B6681" s="26"/>
      <c r="C6681" s="26"/>
      <c r="D6681" s="26"/>
      <c r="E6681" s="26"/>
      <c r="F6681" s="26"/>
      <c r="G6681" s="26"/>
      <c r="H6681" s="26"/>
      <c r="I6681" s="26"/>
      <c r="J6681" s="26"/>
      <c r="K6681" s="26"/>
      <c r="L6681" s="26"/>
      <c r="M6681" s="26"/>
      <c r="N6681" s="26"/>
      <c r="O6681" s="14" t="str">
        <f>HYPERLINK("https://otsuka-europe-crm.veevavault.com/ui/#object/email_activity__v/V8C00000004E015", "EN-002108297")</f>
        <v>EN-002108297</v>
      </c>
    </row>
    <row r="6682" spans="1:15" ht="16" x14ac:dyDescent="0.2">
      <c r="A6682" s="19"/>
      <c r="B6682" s="19"/>
      <c r="C6682" s="19"/>
      <c r="D6682" s="19"/>
      <c r="E6682" s="19"/>
      <c r="F6682" s="19"/>
      <c r="G6682" s="19"/>
      <c r="H6682" s="19"/>
      <c r="I6682" s="19"/>
      <c r="J6682" s="19"/>
      <c r="K6682" s="19"/>
      <c r="L6682" s="19"/>
      <c r="M6682" s="19"/>
      <c r="N6682" s="19"/>
      <c r="O6682" s="14" t="str">
        <f>HYPERLINK("https://otsuka-europe-crm.veevavault.com/ui/#object/email_activity__v/V8C00000004E016", "EN-002108298")</f>
        <v>EN-002108298</v>
      </c>
    </row>
    <row r="6683" spans="1:15" ht="16" x14ac:dyDescent="0.2">
      <c r="A6683" s="18" t="str">
        <f>HYPERLINK("https://otsuka-europe-crm.veevavault.com/ui/#object/account__v/V4T00000000Y174", "BERNARDO D'ONOFRIO")</f>
        <v>BERNARDO D'ONOFRIO</v>
      </c>
      <c r="B6683" s="18" t="str">
        <f>HYPERLINK("https://otsuka-europe-crm.veevavault.com/ui/#object/vcountry__v/VENZ000004SONFQ", "IT")</f>
        <v>IT</v>
      </c>
      <c r="C6683" s="20" t="s">
        <v>42</v>
      </c>
      <c r="D6683" s="21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6683" s="22" t="str">
        <f>HYPERLINK("https://otsuka-europe-crm.veevavault.com/ui/#object/sent_email__v/VBL00000003A329", "SE-001444778")</f>
        <v>SE-001444778</v>
      </c>
      <c r="F6683" s="23"/>
      <c r="G6683" s="24">
        <v>0</v>
      </c>
      <c r="H6683" s="24">
        <v>0</v>
      </c>
      <c r="I6683" s="24">
        <v>0</v>
      </c>
      <c r="J6683" s="23"/>
      <c r="K6683" s="24">
        <v>0</v>
      </c>
      <c r="L6683" s="22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6683" s="22" t="str">
        <f>HYPERLINK("mailto:marco.aldrigo@crm.otsuka-europe.com", "marco.aldrigo@crm.otsuka-europe.com")</f>
        <v>marco.aldrigo@crm.otsuka-europe.com</v>
      </c>
      <c r="N6683" s="25">
        <v>46226.299212962964</v>
      </c>
      <c r="O6683" s="14" t="str">
        <f>HYPERLINK("https://otsuka-europe-crm.veevavault.com/ui/#object/email_activity__v/V8C00000004B631", "EN-002107742")</f>
        <v>EN-002107742</v>
      </c>
    </row>
    <row r="6684" spans="1:15" ht="16" x14ac:dyDescent="0.2">
      <c r="A6684" s="19"/>
      <c r="B6684" s="19"/>
      <c r="C6684" s="19"/>
      <c r="D6684" s="19"/>
      <c r="E6684" s="19"/>
      <c r="F6684" s="19"/>
      <c r="G6684" s="19"/>
      <c r="H6684" s="19"/>
      <c r="I6684" s="19"/>
      <c r="J6684" s="19"/>
      <c r="K6684" s="19"/>
      <c r="L6684" s="19"/>
      <c r="M6684" s="19"/>
      <c r="N6684" s="19"/>
      <c r="O6684" s="14" t="str">
        <f>HYPERLINK("https://otsuka-europe-crm.veevavault.com/ui/#object/email_activity__v/V8C00000004C465", "EN-002107932")</f>
        <v>EN-002107932</v>
      </c>
    </row>
    <row r="6685" spans="1:15" ht="80" x14ac:dyDescent="0.2">
      <c r="A6685" s="7" t="str">
        <f>HYPERLINK("https://otsuka-europe-crm.veevavault.com/ui/#object/account__v/V4TZ025E87IXLIN", "MATTEO MAGAGNOLI")</f>
        <v>MATTEO MAGAGNOLI</v>
      </c>
      <c r="B6685" s="7" t="str">
        <f>HYPERLINK("https://otsuka-europe-crm.veevavault.com/ui/#object/vcountry__v/VENZ000004SONFQ", "IT")</f>
        <v>IT</v>
      </c>
      <c r="C6685" s="8" t="s">
        <v>42</v>
      </c>
      <c r="D6685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6685" s="10" t="str">
        <f>HYPERLINK("https://otsuka-europe-crm.veevavault.com/ui/#object/sent_email__v/VBL00000003A332", "SE-001444781")</f>
        <v>SE-001444781</v>
      </c>
      <c r="F6685" s="11"/>
      <c r="G6685" s="12">
        <v>0</v>
      </c>
      <c r="H6685" s="12">
        <v>0</v>
      </c>
      <c r="I6685" s="12">
        <v>0</v>
      </c>
      <c r="J6685" s="11"/>
      <c r="K6685" s="12">
        <v>0</v>
      </c>
      <c r="L6685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6685" s="10" t="str">
        <f>HYPERLINK("mailto:chiara.lugano@crm.otsuka-europe.com", "chiara.lugano@crm.otsuka-europe.com")</f>
        <v>chiara.lugano@crm.otsuka-europe.com</v>
      </c>
      <c r="N6685" s="13">
        <v>46226.299178240741</v>
      </c>
      <c r="O6685" s="14" t="str">
        <f>HYPERLINK("https://otsuka-europe-crm.veevavault.com/ui/#object/email_activity__v/V8C00000004C312", "EN-002107478")</f>
        <v>EN-002107478</v>
      </c>
    </row>
    <row r="6686" spans="1:15" ht="16" x14ac:dyDescent="0.2">
      <c r="A6686" s="18" t="str">
        <f>HYPERLINK("https://otsuka-europe-crm.veevavault.com/ui/#object/account__v/V4TZ06G6O71SBK2", "GABRIELLA MOLINO")</f>
        <v>GABRIELLA MOLINO</v>
      </c>
      <c r="B6686" s="18" t="str">
        <f>HYPERLINK("https://otsuka-europe-crm.veevavault.com/ui/#object/vcountry__v/VENZ000004SONFQ", "IT")</f>
        <v>IT</v>
      </c>
      <c r="C6686" s="20" t="s">
        <v>42</v>
      </c>
      <c r="D6686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6686" s="22" t="str">
        <f>HYPERLINK("https://otsuka-europe-crm.veevavault.com/ui/#object/sent_email__v/VBL00000003A334", "SE-001444783")</f>
        <v>SE-001444783</v>
      </c>
      <c r="F6686" s="23"/>
      <c r="G6686" s="24">
        <v>0</v>
      </c>
      <c r="H6686" s="24">
        <v>0</v>
      </c>
      <c r="I6686" s="24">
        <v>0</v>
      </c>
      <c r="J6686" s="23"/>
      <c r="K6686" s="24">
        <v>0</v>
      </c>
      <c r="L6686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6686" s="22" t="str">
        <f>HYPERLINK("mailto:chiara.lugano@crm.otsuka-europe.com", "chiara.lugano@crm.otsuka-europe.com")</f>
        <v>chiara.lugano@crm.otsuka-europe.com</v>
      </c>
      <c r="N6686" s="25">
        <v>46226.299189814818</v>
      </c>
      <c r="O6686" s="14" t="str">
        <f>HYPERLINK("https://otsuka-europe-crm.veevavault.com/ui/#object/email_activity__v/V8C00000004B632", "EN-002107743")</f>
        <v>EN-002107743</v>
      </c>
    </row>
    <row r="6687" spans="1:15" ht="16" x14ac:dyDescent="0.2">
      <c r="A6687" s="19"/>
      <c r="B6687" s="19"/>
      <c r="C6687" s="19"/>
      <c r="D6687" s="19"/>
      <c r="E6687" s="19"/>
      <c r="F6687" s="19"/>
      <c r="G6687" s="19"/>
      <c r="H6687" s="19"/>
      <c r="I6687" s="19"/>
      <c r="J6687" s="19"/>
      <c r="K6687" s="19"/>
      <c r="L6687" s="19"/>
      <c r="M6687" s="19"/>
      <c r="N6687" s="19"/>
      <c r="O6687" s="14" t="str">
        <f>HYPERLINK("https://otsuka-europe-crm.veevavault.com/ui/#object/email_activity__v/V8C00000004B788", "EN-002108096")</f>
        <v>EN-002108096</v>
      </c>
    </row>
    <row r="6688" spans="1:15" ht="16" x14ac:dyDescent="0.2">
      <c r="A6688" s="18" t="str">
        <f>HYPERLINK("https://otsuka-europe-crm.veevavault.com/ui/#object/account__v/V4TZ06G6O71SCDA", "ALINA CIRILLO")</f>
        <v>ALINA CIRILLO</v>
      </c>
      <c r="B6688" s="18" t="str">
        <f>HYPERLINK("https://otsuka-europe-crm.veevavault.com/ui/#object/vcountry__v/VENZ000004SONFQ", "IT")</f>
        <v>IT</v>
      </c>
      <c r="C6688" s="20" t="s">
        <v>42</v>
      </c>
      <c r="D6688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6688" s="22" t="str">
        <f>HYPERLINK("https://otsuka-europe-crm.veevavault.com/ui/#object/sent_email__v/VBL00000003A335", "SE-001444784")</f>
        <v>SE-001444784</v>
      </c>
      <c r="F6688" s="23"/>
      <c r="G6688" s="24">
        <v>0</v>
      </c>
      <c r="H6688" s="24">
        <v>0</v>
      </c>
      <c r="I6688" s="24">
        <v>0</v>
      </c>
      <c r="J6688" s="23"/>
      <c r="K6688" s="24">
        <v>0</v>
      </c>
      <c r="L6688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6688" s="22" t="str">
        <f>HYPERLINK("mailto:chiara.lugano@crm.otsuka-europe.com", "chiara.lugano@crm.otsuka-europe.com")</f>
        <v>chiara.lugano@crm.otsuka-europe.com</v>
      </c>
      <c r="N6688" s="25">
        <v>46226.299178240741</v>
      </c>
      <c r="O6688" s="14" t="str">
        <f>HYPERLINK("https://otsuka-europe-crm.veevavault.com/ui/#object/email_activity__v/V8C00000004B633", "EN-002107744")</f>
        <v>EN-002107744</v>
      </c>
    </row>
    <row r="6689" spans="1:15" ht="16" x14ac:dyDescent="0.2">
      <c r="A6689" s="19"/>
      <c r="B6689" s="19"/>
      <c r="C6689" s="19"/>
      <c r="D6689" s="19"/>
      <c r="E6689" s="19"/>
      <c r="F6689" s="19"/>
      <c r="G6689" s="19"/>
      <c r="H6689" s="19"/>
      <c r="I6689" s="19"/>
      <c r="J6689" s="19"/>
      <c r="K6689" s="19"/>
      <c r="L6689" s="19"/>
      <c r="M6689" s="19"/>
      <c r="N6689" s="19"/>
      <c r="O6689" s="14" t="str">
        <f>HYPERLINK("https://otsuka-europe-crm.veevavault.com/ui/#object/email_activity__v/V8C00000004C412", "EN-002107853")</f>
        <v>EN-002107853</v>
      </c>
    </row>
    <row r="6690" spans="1:15" ht="32" x14ac:dyDescent="0.2">
      <c r="A6690" s="7" t="str">
        <f>HYPERLINK("https://otsuka-europe-crm.veevavault.com/ui/#object/account__v/V4TZ06G6O71SACB", "ELENA LAURA FISCELLA")</f>
        <v>ELENA LAURA FISCELLA</v>
      </c>
      <c r="B6690" s="7" t="str">
        <f>HYPERLINK("https://otsuka-europe-crm.veevavault.com/ui/#object/vcountry__v/VENZ000004SONFQ", "IT")</f>
        <v>IT</v>
      </c>
      <c r="C6690" s="8" t="s">
        <v>42</v>
      </c>
      <c r="D6690" s="9" t="str">
        <f>HYPERLINK("https://otsuka-europe-crm.veevavault.com/ui/#object/approved_document__v/V5O00000001Y003", "RXULTI_AE Consensus Fagiolini_IT-RXU-2500037")</f>
        <v>RXULTI_AE Consensus Fagiolini_IT-RXU-2500037</v>
      </c>
      <c r="E6690" s="10" t="str">
        <f>HYPERLINK("https://otsuka-europe-crm.veevavault.com/ui/#object/sent_email__v/VBL00000003A336", "SE-001444785")</f>
        <v>SE-001444785</v>
      </c>
      <c r="F6690" s="11"/>
      <c r="G6690" s="12">
        <v>0</v>
      </c>
      <c r="H6690" s="12">
        <v>0</v>
      </c>
      <c r="I6690" s="12">
        <v>0</v>
      </c>
      <c r="J6690" s="11"/>
      <c r="K6690" s="12">
        <v>0</v>
      </c>
      <c r="L6690" s="10" t="str">
        <f>HYPERLINK("https://otsuka-europe-crm.veevavault.com/ui/#object/approved_document__v/V5O00000001Y003", "RXULTI_AE Consensus Fagiolini_IT-RXU-2500037")</f>
        <v>RXULTI_AE Consensus Fagiolini_IT-RXU-2500037</v>
      </c>
      <c r="M6690" s="10" t="str">
        <f>HYPERLINK("mailto:chiara.lugano@crm.otsuka-europe.com", "chiara.lugano@crm.otsuka-europe.com")</f>
        <v>chiara.lugano@crm.otsuka-europe.com</v>
      </c>
      <c r="N6690" s="13">
        <v>46226.299178240741</v>
      </c>
      <c r="O6690" s="14" t="str">
        <f>HYPERLINK("https://otsuka-europe-crm.veevavault.com/ui/#object/email_activity__v/V8C00000004B366", "EN-002107379")</f>
        <v>EN-002107379</v>
      </c>
    </row>
    <row r="6691" spans="1:15" ht="16" x14ac:dyDescent="0.2">
      <c r="A6691" s="18" t="str">
        <f>HYPERLINK("https://otsuka-europe-crm.veevavault.com/ui/#object/account__v/V4TZ0000062PEGV", "Thomas Chiu")</f>
        <v>Thomas Chiu</v>
      </c>
      <c r="B6691" s="18" t="str">
        <f>HYPERLINK("https://otsuka-europe-crm.veevavault.com/ui/#object/vcountry__v/VENZ000004SONFK", "GB")</f>
        <v>GB</v>
      </c>
      <c r="C6691" s="20" t="s">
        <v>41</v>
      </c>
      <c r="D6691" s="21" t="str">
        <f>HYPERLINK("https://otsuka-europe-crm.veevavault.com/ui/#object/approved_document__v/V5O00000001V001", "LDM DR P2P Invite 12-Nov-26 v2 [digital]")</f>
        <v>LDM DR P2P Invite 12-Nov-26 v2 [digital]</v>
      </c>
      <c r="E6691" s="22" t="str">
        <f>HYPERLINK("https://otsuka-europe-crm.veevavault.com/ui/#object/sent_email__v/VBL00000003A339", "SE-001444788")</f>
        <v>SE-001444788</v>
      </c>
      <c r="F6691" s="25">
        <v>46226.37290509259</v>
      </c>
      <c r="G6691" s="24">
        <v>1</v>
      </c>
      <c r="H6691" s="24">
        <v>1</v>
      </c>
      <c r="I6691" s="24">
        <v>0</v>
      </c>
      <c r="J6691" s="23"/>
      <c r="K6691" s="24">
        <v>0</v>
      </c>
      <c r="L6691" s="22" t="str">
        <f>HYPERLINK("https://otsuka-europe-crm.veevavault.com/ui/#object/approved_document__v/V5O00000001V001", "LDM DR P2P Invite 12-Nov-26 v2 [digital]")</f>
        <v>LDM DR P2P Invite 12-Nov-26 v2 [digital]</v>
      </c>
      <c r="M6691" s="22" t="str">
        <f>HYPERLINK("mailto:draval@crm.otsuka-europe.com", "draval@crm.otsuka-europe.com")</f>
        <v>draval@crm.otsuka-europe.com</v>
      </c>
      <c r="N6691" s="25">
        <v>46226.299224537041</v>
      </c>
      <c r="O6691" s="14" t="str">
        <f>HYPERLINK("https://otsuka-europe-crm.veevavault.com/ui/#object/email_activity__v/V8C00000004B323", "EN-002107283")</f>
        <v>EN-002107283</v>
      </c>
    </row>
    <row r="6692" spans="1:15" ht="16" x14ac:dyDescent="0.2">
      <c r="A6692" s="19"/>
      <c r="B6692" s="19"/>
      <c r="C6692" s="19"/>
      <c r="D6692" s="19"/>
      <c r="E6692" s="19"/>
      <c r="F6692" s="19"/>
      <c r="G6692" s="19"/>
      <c r="H6692" s="19"/>
      <c r="I6692" s="19"/>
      <c r="J6692" s="19"/>
      <c r="K6692" s="19"/>
      <c r="L6692" s="19"/>
      <c r="M6692" s="19"/>
      <c r="N6692" s="19"/>
      <c r="O6692" s="14" t="str">
        <f>HYPERLINK("https://otsuka-europe-crm.veevavault.com/ui/#object/email_activity__v/V8C00000004C474", "EN-002107941")</f>
        <v>EN-002107941</v>
      </c>
    </row>
    <row r="6693" spans="1:15" ht="16" x14ac:dyDescent="0.2">
      <c r="A6693" s="18" t="str">
        <f>HYPERLINK("https://otsuka-europe-crm.veevavault.com/ui/#object/account__v/V4TZ04ASGETGE26", "Sadik Orhan")</f>
        <v>Sadik Orhan</v>
      </c>
      <c r="B6693" s="18" t="str">
        <f>HYPERLINK("https://otsuka-europe-crm.veevavault.com/ui/#object/vcountry__v/VENZ000004SONFK", "GB")</f>
        <v>GB</v>
      </c>
      <c r="C6693" s="20" t="s">
        <v>41</v>
      </c>
      <c r="D6693" s="21" t="str">
        <f>HYPERLINK("https://otsuka-europe-crm.veevavault.com/ui/#object/approved_document__v/V5O00000001V001", "LDM DR P2P Invite 12-Nov-26 v2 [digital]")</f>
        <v>LDM DR P2P Invite 12-Nov-26 v2 [digital]</v>
      </c>
      <c r="E6693" s="22" t="str">
        <f>HYPERLINK("https://otsuka-europe-crm.veevavault.com/ui/#object/sent_email__v/VBL000000039212", "SE-001444789")</f>
        <v>SE-001444789</v>
      </c>
      <c r="F6693" s="25">
        <v>46226.461377314816</v>
      </c>
      <c r="G6693" s="24">
        <v>1</v>
      </c>
      <c r="H6693" s="24">
        <v>2</v>
      </c>
      <c r="I6693" s="24">
        <v>0</v>
      </c>
      <c r="J6693" s="23"/>
      <c r="K6693" s="24">
        <v>0</v>
      </c>
      <c r="L6693" s="22" t="str">
        <f>HYPERLINK("https://otsuka-europe-crm.veevavault.com/ui/#object/approved_document__v/V5O00000001V001", "LDM DR P2P Invite 12-Nov-26 v2 [digital]")</f>
        <v>LDM DR P2P Invite 12-Nov-26 v2 [digital]</v>
      </c>
      <c r="M6693" s="22" t="str">
        <f>HYPERLINK("mailto:draval@crm.otsuka-europe.com", "draval@crm.otsuka-europe.com")</f>
        <v>draval@crm.otsuka-europe.com</v>
      </c>
      <c r="N6693" s="25">
        <v>46226.299189814818</v>
      </c>
      <c r="O6693" s="14" t="str">
        <f>HYPERLINK("https://otsuka-europe-crm.veevavault.com/ui/#object/email_activity__v/V8C00000004B363", "EN-002107376")</f>
        <v>EN-002107376</v>
      </c>
    </row>
    <row r="6694" spans="1:15" ht="16" x14ac:dyDescent="0.2">
      <c r="A6694" s="26"/>
      <c r="B6694" s="26"/>
      <c r="C6694" s="26"/>
      <c r="D6694" s="26"/>
      <c r="E6694" s="26"/>
      <c r="F6694" s="26"/>
      <c r="G6694" s="26"/>
      <c r="H6694" s="26"/>
      <c r="I6694" s="26"/>
      <c r="J6694" s="26"/>
      <c r="K6694" s="26"/>
      <c r="L6694" s="26"/>
      <c r="M6694" s="26"/>
      <c r="N6694" s="26"/>
      <c r="O6694" s="14" t="str">
        <f>HYPERLINK("https://otsuka-europe-crm.veevavault.com/ui/#object/email_activity__v/V8C00000004B844", "EN-002108152")</f>
        <v>EN-002108152</v>
      </c>
    </row>
    <row r="6695" spans="1:15" ht="16" x14ac:dyDescent="0.2">
      <c r="A6695" s="19"/>
      <c r="B6695" s="19"/>
      <c r="C6695" s="19"/>
      <c r="D6695" s="19"/>
      <c r="E6695" s="19"/>
      <c r="F6695" s="19"/>
      <c r="G6695" s="19"/>
      <c r="H6695" s="19"/>
      <c r="I6695" s="19"/>
      <c r="J6695" s="19"/>
      <c r="K6695" s="19"/>
      <c r="L6695" s="19"/>
      <c r="M6695" s="19"/>
      <c r="N6695" s="19"/>
      <c r="O6695" s="14" t="str">
        <f>HYPERLINK("https://otsuka-europe-crm.veevavault.com/ui/#object/email_activity__v/V8C00000004C586", "EN-002108209")</f>
        <v>EN-002108209</v>
      </c>
    </row>
    <row r="6696" spans="1:15" ht="32" x14ac:dyDescent="0.2">
      <c r="A6696" s="7" t="str">
        <f>HYPERLINK("https://otsuka-europe-crm.veevavault.com/ui/#object/account__v/V4TZ04ASGETC09K", "Andrew Sedra")</f>
        <v>Andrew Sedra</v>
      </c>
      <c r="B6696" s="7" t="str">
        <f>HYPERLINK("https://otsuka-europe-crm.veevavault.com/ui/#object/vcountry__v/VENZ000004SONFK", "GB")</f>
        <v>GB</v>
      </c>
      <c r="C6696" s="8" t="s">
        <v>41</v>
      </c>
      <c r="D6696" s="9" t="str">
        <f>HYPERLINK("https://otsuka-europe-crm.veevavault.com/ui/#object/approved_document__v/V5O00000001V001", "LDM DR P2P Invite 12-Nov-26 v2 [digital]")</f>
        <v>LDM DR P2P Invite 12-Nov-26 v2 [digital]</v>
      </c>
      <c r="E6696" s="10" t="str">
        <f>HYPERLINK("https://otsuka-europe-crm.veevavault.com/ui/#object/sent_email__v/VBL00000003A340", "SE-001444790")</f>
        <v>SE-001444790</v>
      </c>
      <c r="F6696" s="11"/>
      <c r="G6696" s="12">
        <v>0</v>
      </c>
      <c r="H6696" s="12">
        <v>0</v>
      </c>
      <c r="I6696" s="12">
        <v>0</v>
      </c>
      <c r="J6696" s="11"/>
      <c r="K6696" s="12">
        <v>0</v>
      </c>
      <c r="L6696" s="10" t="str">
        <f>HYPERLINK("https://otsuka-europe-crm.veevavault.com/ui/#object/approved_document__v/V5O00000001V001", "LDM DR P2P Invite 12-Nov-26 v2 [digital]")</f>
        <v>LDM DR P2P Invite 12-Nov-26 v2 [digital]</v>
      </c>
      <c r="M6696" s="10" t="str">
        <f>HYPERLINK("mailto:draval@crm.otsuka-europe.com", "draval@crm.otsuka-europe.com")</f>
        <v>draval@crm.otsuka-europe.com</v>
      </c>
      <c r="N6696" s="13">
        <v>46226.299224537041</v>
      </c>
      <c r="O6696" s="14" t="str">
        <f>HYPERLINK("https://otsuka-europe-crm.veevavault.com/ui/#object/email_activity__v/V8C00000004B405", "EN-002107419")</f>
        <v>EN-002107419</v>
      </c>
    </row>
    <row r="6697" spans="1:15" ht="16" x14ac:dyDescent="0.2">
      <c r="A6697" s="18" t="str">
        <f>HYPERLINK("https://otsuka-europe-crm.veevavault.com/ui/#object/account__v/V4T000000025019", "Jana Noor")</f>
        <v>Jana Noor</v>
      </c>
      <c r="B6697" s="18" t="str">
        <f>HYPERLINK("https://otsuka-europe-crm.veevavault.com/ui/#object/vcountry__v/VENZ000004SONFK", "GB")</f>
        <v>GB</v>
      </c>
      <c r="C6697" s="20" t="s">
        <v>41</v>
      </c>
      <c r="D6697" s="21" t="str">
        <f>HYPERLINK("https://otsuka-europe-crm.veevavault.com/ui/#object/approved_document__v/V5O00000000D081", "UK - Consent Email 1 Aug 25")</f>
        <v>UK - Consent Email 1 Aug 25</v>
      </c>
      <c r="E6697" s="22" t="str">
        <f>HYPERLINK("https://otsuka-europe-crm.veevavault.com/ui/#object/sent_email__v/VBL00000003A341", "SE-001444791")</f>
        <v>SE-001444791</v>
      </c>
      <c r="F6697" s="25">
        <v>46226.319722222222</v>
      </c>
      <c r="G6697" s="24">
        <v>1</v>
      </c>
      <c r="H6697" s="24">
        <v>1</v>
      </c>
      <c r="I6697" s="24">
        <v>1</v>
      </c>
      <c r="J6697" s="25">
        <v>46226.319722222222</v>
      </c>
      <c r="K6697" s="24">
        <v>1</v>
      </c>
      <c r="L6697" s="22" t="str">
        <f>HYPERLINK("https://otsuka-europe-crm.veevavault.com/ui/#object/approved_document__v/V5O00000000D081", "UK - Consent Email 1 Aug 25")</f>
        <v>UK - Consent Email 1 Aug 25</v>
      </c>
      <c r="M6697" s="22" t="str">
        <f>HYPERLINK("mailto:draval@crm.otsuka-europe.com", "draval@crm.otsuka-europe.com")</f>
        <v>draval@crm.otsuka-europe.com</v>
      </c>
      <c r="N6697" s="25">
        <v>46226.299143518518</v>
      </c>
      <c r="O6697" s="14" t="str">
        <f>HYPERLINK("https://otsuka-europe-crm.veevavault.com/ui/#object/email_activity__v/V8C00000004C235", "EN-002107307")</f>
        <v>EN-002107307</v>
      </c>
    </row>
    <row r="6698" spans="1:15" ht="16" x14ac:dyDescent="0.2">
      <c r="A6698" s="26"/>
      <c r="B6698" s="26"/>
      <c r="C6698" s="26"/>
      <c r="D6698" s="26"/>
      <c r="E6698" s="26"/>
      <c r="F6698" s="26"/>
      <c r="G6698" s="26"/>
      <c r="H6698" s="26"/>
      <c r="I6698" s="26"/>
      <c r="J6698" s="26"/>
      <c r="K6698" s="26"/>
      <c r="L6698" s="26"/>
      <c r="M6698" s="26"/>
      <c r="N6698" s="26"/>
      <c r="O6698" s="14" t="str">
        <f>HYPERLINK("https://otsuka-europe-crm.veevavault.com/ui/#object/email_activity__v/V8C00000004C369", "EN-002107541")</f>
        <v>EN-002107541</v>
      </c>
    </row>
    <row r="6699" spans="1:15" ht="16" x14ac:dyDescent="0.2">
      <c r="A6699" s="19"/>
      <c r="B6699" s="19"/>
      <c r="C6699" s="19"/>
      <c r="D6699" s="19"/>
      <c r="E6699" s="19"/>
      <c r="F6699" s="19"/>
      <c r="G6699" s="19"/>
      <c r="H6699" s="19"/>
      <c r="I6699" s="19"/>
      <c r="J6699" s="19"/>
      <c r="K6699" s="19"/>
      <c r="L6699" s="19"/>
      <c r="M6699" s="19"/>
      <c r="N6699" s="19"/>
      <c r="O6699" s="14" t="str">
        <f>HYPERLINK("https://otsuka-europe-crm.veevavault.com/ui/#object/email_activity__v/V8C00000004C370", "EN-002107540")</f>
        <v>EN-002107540</v>
      </c>
    </row>
    <row r="6700" spans="1:15" ht="16" x14ac:dyDescent="0.2">
      <c r="A6700" s="18" t="str">
        <f>HYPERLINK("https://otsuka-europe-crm.veevavault.com/ui/#object/account__v/V4TZ04ASGGI5AOV", "SOFIA MANCHADO PERERO")</f>
        <v>SOFIA MANCHADO PERERO</v>
      </c>
      <c r="B6700" s="18" t="str">
        <f>HYPERLINK("https://otsuka-europe-crm.veevavault.com/ui/#object/vcountry__v/VENZ000004SONF5", "ES")</f>
        <v>ES</v>
      </c>
      <c r="C6700" s="20" t="s">
        <v>39</v>
      </c>
      <c r="D6700" s="21" t="str">
        <f>HYPERLINK("https://otsuka-europe-crm.veevavault.com/ui/#object/approved_document__v/V5OZ04ASG4FWKA9", "Documento Autorizaciขn Centro Empleador")</f>
        <v>Documento Autorizaciขn Centro Empleador</v>
      </c>
      <c r="E6700" s="22" t="str">
        <f>HYPERLINK("https://otsuka-europe-crm.veevavault.com/ui/#object/sent_email__v/VBL000000039213", "SE-001444792")</f>
        <v>SE-001444792</v>
      </c>
      <c r="F6700" s="25">
        <v>46226.356493055559</v>
      </c>
      <c r="G6700" s="24">
        <v>1</v>
      </c>
      <c r="H6700" s="24">
        <v>2</v>
      </c>
      <c r="I6700" s="24">
        <v>1</v>
      </c>
      <c r="J6700" s="25">
        <v>46226.356805555559</v>
      </c>
      <c r="K6700" s="24">
        <v>2</v>
      </c>
      <c r="L6700" s="22" t="str">
        <f>HYPERLINK("https://otsuka-europe-crm.veevavault.com/ui/#object/approved_document__v/V5OZ04ASG4FWKA9", "Documento Autorizaciขn Centro Empleador")</f>
        <v>Documento Autorizaciขn Centro Empleador</v>
      </c>
      <c r="M6700" s="22" t="str">
        <f>HYPERLINK("mailto:oestevez@crm.otsuka-europe.com", "oestevez@crm.otsuka-europe.com")</f>
        <v>oestevez@crm.otsuka-europe.com</v>
      </c>
      <c r="N6700" s="25">
        <v>46226.343645833331</v>
      </c>
      <c r="O6700" s="14" t="str">
        <f>HYPERLINK("https://otsuka-europe-crm.veevavault.com/ui/#object/email_activity__v/V8C00000004B639", "EN-002107750")</f>
        <v>EN-002107750</v>
      </c>
    </row>
    <row r="6701" spans="1:15" ht="16" x14ac:dyDescent="0.2">
      <c r="A6701" s="26"/>
      <c r="B6701" s="26"/>
      <c r="C6701" s="26"/>
      <c r="D6701" s="26"/>
      <c r="E6701" s="26"/>
      <c r="F6701" s="26"/>
      <c r="G6701" s="26"/>
      <c r="H6701" s="26"/>
      <c r="I6701" s="26"/>
      <c r="J6701" s="26"/>
      <c r="K6701" s="26"/>
      <c r="L6701" s="26"/>
      <c r="M6701" s="26"/>
      <c r="N6701" s="26"/>
      <c r="O6701" s="14" t="str">
        <f>HYPERLINK("https://otsuka-europe-crm.veevavault.com/ui/#object/email_activity__v/V8C00000004B640", "EN-002107751")</f>
        <v>EN-002107751</v>
      </c>
    </row>
    <row r="6702" spans="1:15" ht="16" x14ac:dyDescent="0.2">
      <c r="A6702" s="26"/>
      <c r="B6702" s="26"/>
      <c r="C6702" s="26"/>
      <c r="D6702" s="26"/>
      <c r="E6702" s="26"/>
      <c r="F6702" s="26"/>
      <c r="G6702" s="26"/>
      <c r="H6702" s="26"/>
      <c r="I6702" s="26"/>
      <c r="J6702" s="26"/>
      <c r="K6702" s="26"/>
      <c r="L6702" s="26"/>
      <c r="M6702" s="26"/>
      <c r="N6702" s="26"/>
      <c r="O6702" s="14" t="str">
        <f>HYPERLINK("https://otsuka-europe-crm.veevavault.com/ui/#object/email_activity__v/V8C00000004B838", "EN-002108147")</f>
        <v>EN-002108147</v>
      </c>
    </row>
    <row r="6703" spans="1:15" ht="16" x14ac:dyDescent="0.2">
      <c r="A6703" s="26"/>
      <c r="B6703" s="26"/>
      <c r="C6703" s="26"/>
      <c r="D6703" s="26"/>
      <c r="E6703" s="26"/>
      <c r="F6703" s="26"/>
      <c r="G6703" s="26"/>
      <c r="H6703" s="26"/>
      <c r="I6703" s="26"/>
      <c r="J6703" s="26"/>
      <c r="K6703" s="26"/>
      <c r="L6703" s="26"/>
      <c r="M6703" s="26"/>
      <c r="N6703" s="26"/>
      <c r="O6703" s="14" t="str">
        <f>HYPERLINK("https://otsuka-europe-crm.veevavault.com/ui/#object/email_activity__v/V8C00000004B841", "EN-002108149")</f>
        <v>EN-002108149</v>
      </c>
    </row>
    <row r="6704" spans="1:15" ht="16" x14ac:dyDescent="0.2">
      <c r="A6704" s="19"/>
      <c r="B6704" s="19"/>
      <c r="C6704" s="19"/>
      <c r="D6704" s="19"/>
      <c r="E6704" s="19"/>
      <c r="F6704" s="19"/>
      <c r="G6704" s="19"/>
      <c r="H6704" s="19"/>
      <c r="I6704" s="19"/>
      <c r="J6704" s="19"/>
      <c r="K6704" s="19"/>
      <c r="L6704" s="19"/>
      <c r="M6704" s="19"/>
      <c r="N6704" s="19"/>
      <c r="O6704" s="14" t="str">
        <f>HYPERLINK("https://otsuka-europe-crm.veevavault.com/ui/#object/email_activity__v/V8C00000004B888", "EN-002108199")</f>
        <v>EN-002108199</v>
      </c>
    </row>
    <row r="6705" spans="1:15" ht="16" x14ac:dyDescent="0.2">
      <c r="A6705" s="18" t="str">
        <f>HYPERLINK("https://otsuka-europe-crm.veevavault.com/ui/#object/account__v/V4T00000002G074", "ELENA RUIZ CANCA")</f>
        <v>ELENA RUIZ CANCA</v>
      </c>
      <c r="B6705" s="18" t="str">
        <f>HYPERLINK("https://otsuka-europe-crm.veevavault.com/ui/#object/vcountry__v/VENZ000004SONF5", "ES")</f>
        <v>ES</v>
      </c>
      <c r="C6705" s="20" t="s">
        <v>39</v>
      </c>
      <c r="D6705" s="21" t="str">
        <f>HYPERLINK("https://otsuka-europe-crm.veevavault.com/ui/#object/approved_document__v/V5OZ06G6O6RFL1P", "ES Veeva Privacy Notice Email")</f>
        <v>ES Veeva Privacy Notice Email</v>
      </c>
      <c r="E6705" s="22" t="str">
        <f>HYPERLINK("https://otsuka-europe-crm.veevavault.com/ui/#object/sent_email__v/VBL00000003A342", "SE-001444793")</f>
        <v>SE-001444793</v>
      </c>
      <c r="F6705" s="23"/>
      <c r="G6705" s="24">
        <v>0</v>
      </c>
      <c r="H6705" s="24">
        <v>0</v>
      </c>
      <c r="I6705" s="24">
        <v>0</v>
      </c>
      <c r="J6705" s="23"/>
      <c r="K6705" s="24">
        <v>0</v>
      </c>
      <c r="L6705" s="22" t="str">
        <f>HYPERLINK("https://otsuka-europe-crm.veevavault.com/ui/#object/approved_document__v/V5OZ06G6O6RFL1P", "ES Veeva Privacy Notice Email")</f>
        <v>ES Veeva Privacy Notice Email</v>
      </c>
      <c r="M6705" s="22" t="str">
        <f>HYPERLINK("mailto:oriballo@crm.otsuka-europe.com", "oriballo@crm.otsuka-europe.com")</f>
        <v>oriballo@crm.otsuka-europe.com</v>
      </c>
      <c r="N6705" s="25">
        <v>46226.390787037039</v>
      </c>
      <c r="O6705" s="14" t="str">
        <f>HYPERLINK("https://otsuka-europe-crm.veevavault.com/ui/#object/email_activity__v/V8C00000004B715", "EN-002107872")</f>
        <v>EN-002107872</v>
      </c>
    </row>
    <row r="6706" spans="1:15" ht="16" x14ac:dyDescent="0.2">
      <c r="A6706" s="26"/>
      <c r="B6706" s="26"/>
      <c r="C6706" s="26"/>
      <c r="D6706" s="26"/>
      <c r="E6706" s="26"/>
      <c r="F6706" s="26"/>
      <c r="G6706" s="26"/>
      <c r="H6706" s="26"/>
      <c r="I6706" s="26"/>
      <c r="J6706" s="26"/>
      <c r="K6706" s="26"/>
      <c r="L6706" s="26"/>
      <c r="M6706" s="26"/>
      <c r="N6706" s="26"/>
      <c r="O6706" s="14" t="str">
        <f>HYPERLINK("https://otsuka-europe-crm.veevavault.com/ui/#object/email_activity__v/V8C00000004B776", "EN-002108029")</f>
        <v>EN-002108029</v>
      </c>
    </row>
    <row r="6707" spans="1:15" ht="16" x14ac:dyDescent="0.2">
      <c r="A6707" s="19"/>
      <c r="B6707" s="19"/>
      <c r="C6707" s="19"/>
      <c r="D6707" s="19"/>
      <c r="E6707" s="19"/>
      <c r="F6707" s="19"/>
      <c r="G6707" s="19"/>
      <c r="H6707" s="19"/>
      <c r="I6707" s="19"/>
      <c r="J6707" s="19"/>
      <c r="K6707" s="19"/>
      <c r="L6707" s="19"/>
      <c r="M6707" s="19"/>
      <c r="N6707" s="19"/>
      <c r="O6707" s="14" t="str">
        <f>HYPERLINK("https://otsuka-europe-crm.veevavault.com/ui/#object/email_activity__v/V8C00000004B845", "EN-002108153")</f>
        <v>EN-002108153</v>
      </c>
    </row>
    <row r="6708" spans="1:15" ht="16" x14ac:dyDescent="0.2">
      <c r="A6708" s="18" t="str">
        <f>HYPERLINK("https://otsuka-europe-crm.veevavault.com/ui/#object/account__v/V4T00000002G074", "ELENA RUIZ CANCA")</f>
        <v>ELENA RUIZ CANCA</v>
      </c>
      <c r="B6708" s="18" t="str">
        <f>HYPERLINK("https://otsuka-europe-crm.veevavault.com/ui/#object/vcountry__v/VENZ000004SONF5", "ES")</f>
        <v>ES</v>
      </c>
      <c r="C6708" s="20" t="s">
        <v>39</v>
      </c>
      <c r="D6708" s="21" t="str">
        <f>HYPERLINK("https://otsuka-europe-crm.veevavault.com/ui/#object/approved_document__v/V5O00000000D100", "Spain - Consent Email 1 Aug 25")</f>
        <v>Spain - Consent Email 1 Aug 25</v>
      </c>
      <c r="E6708" s="22" t="str">
        <f>HYPERLINK("https://otsuka-europe-crm.veevavault.com/ui/#object/sent_email__v/VBL00000003A343", "SE-001444794")</f>
        <v>SE-001444794</v>
      </c>
      <c r="F6708" s="25">
        <v>46226.467824074076</v>
      </c>
      <c r="G6708" s="24">
        <v>1</v>
      </c>
      <c r="H6708" s="24">
        <v>1</v>
      </c>
      <c r="I6708" s="24">
        <v>1</v>
      </c>
      <c r="J6708" s="25">
        <v>46226.467824074076</v>
      </c>
      <c r="K6708" s="24">
        <v>1</v>
      </c>
      <c r="L6708" s="22" t="str">
        <f>HYPERLINK("https://otsuka-europe-crm.veevavault.com/ui/#object/approved_document__v/V5O00000000D100", "Spain - Consent Email 1 Aug 25")</f>
        <v>Spain - Consent Email 1 Aug 25</v>
      </c>
      <c r="M6708" s="22" t="str">
        <f>HYPERLINK("mailto:oriballo@crm.otsuka-europe.com", "oriballo@crm.otsuka-europe.com")</f>
        <v>oriballo@crm.otsuka-europe.com</v>
      </c>
      <c r="N6708" s="25">
        <v>46226.391643518517</v>
      </c>
      <c r="O6708" s="14" t="str">
        <f>HYPERLINK("https://otsuka-europe-crm.veevavault.com/ui/#object/email_activity__v/V8C00000004B724", "EN-002107901")</f>
        <v>EN-002107901</v>
      </c>
    </row>
    <row r="6709" spans="1:15" ht="16" x14ac:dyDescent="0.2">
      <c r="A6709" s="26"/>
      <c r="B6709" s="26"/>
      <c r="C6709" s="26"/>
      <c r="D6709" s="26"/>
      <c r="E6709" s="26"/>
      <c r="F6709" s="26"/>
      <c r="G6709" s="26"/>
      <c r="H6709" s="26"/>
      <c r="I6709" s="26"/>
      <c r="J6709" s="26"/>
      <c r="K6709" s="26"/>
      <c r="L6709" s="26"/>
      <c r="M6709" s="26"/>
      <c r="N6709" s="26"/>
      <c r="O6709" s="14" t="str">
        <f>HYPERLINK("https://otsuka-europe-crm.veevavault.com/ui/#object/email_activity__v/V8C00000004C391", "EN-002107785")</f>
        <v>EN-002107785</v>
      </c>
    </row>
    <row r="6710" spans="1:15" ht="16" x14ac:dyDescent="0.2">
      <c r="A6710" s="26"/>
      <c r="B6710" s="26"/>
      <c r="C6710" s="26"/>
      <c r="D6710" s="26"/>
      <c r="E6710" s="26"/>
      <c r="F6710" s="26"/>
      <c r="G6710" s="26"/>
      <c r="H6710" s="26"/>
      <c r="I6710" s="26"/>
      <c r="J6710" s="26"/>
      <c r="K6710" s="26"/>
      <c r="L6710" s="26"/>
      <c r="M6710" s="26"/>
      <c r="N6710" s="26"/>
      <c r="O6710" s="14" t="str">
        <f>HYPERLINK("https://otsuka-europe-crm.veevavault.com/ui/#object/email_activity__v/V8C00000004C447", "EN-002107899")</f>
        <v>EN-002107899</v>
      </c>
    </row>
    <row r="6711" spans="1:15" ht="16" x14ac:dyDescent="0.2">
      <c r="A6711" s="19"/>
      <c r="B6711" s="19"/>
      <c r="C6711" s="19"/>
      <c r="D6711" s="19"/>
      <c r="E6711" s="19"/>
      <c r="F6711" s="19"/>
      <c r="G6711" s="19"/>
      <c r="H6711" s="19"/>
      <c r="I6711" s="19"/>
      <c r="J6711" s="19"/>
      <c r="K6711" s="19"/>
      <c r="L6711" s="19"/>
      <c r="M6711" s="19"/>
      <c r="N6711" s="19"/>
      <c r="O6711" s="14" t="str">
        <f>HYPERLINK("https://otsuka-europe-crm.veevavault.com/ui/#object/email_activity__v/V8C00000004C448", "EN-002107898")</f>
        <v>EN-002107898</v>
      </c>
    </row>
    <row r="6712" spans="1:15" ht="16" x14ac:dyDescent="0.2">
      <c r="A6712" s="18" t="str">
        <f>HYPERLINK("https://otsuka-europe-crm.veevavault.com/ui/#object/account__v/V4T00000002G074", "ELENA RUIZ CANCA")</f>
        <v>ELENA RUIZ CANCA</v>
      </c>
      <c r="B6712" s="18" t="str">
        <f>HYPERLINK("https://otsuka-europe-crm.veevavault.com/ui/#object/vcountry__v/VENZ000004SONF5", "ES")</f>
        <v>ES</v>
      </c>
      <c r="C6712" s="20" t="s">
        <v>39</v>
      </c>
      <c r="D6712" s="21" t="str">
        <f>HYPERLINK("https://otsuka-europe-crm.veevavault.com/ui/#object/approved_document__v/V5OZ04ASG4FWKA7", "Reuniones Online Consent - 2")</f>
        <v>Reuniones Online Consent - 2</v>
      </c>
      <c r="E6712" s="22" t="str">
        <f>HYPERLINK("https://otsuka-europe-crm.veevavault.com/ui/#object/sent_email__v/VBL00000003A344", "SE-001444795")</f>
        <v>SE-001444795</v>
      </c>
      <c r="F6712" s="25">
        <v>46226.468159722222</v>
      </c>
      <c r="G6712" s="24">
        <v>1</v>
      </c>
      <c r="H6712" s="24">
        <v>1</v>
      </c>
      <c r="I6712" s="24">
        <v>1</v>
      </c>
      <c r="J6712" s="25">
        <v>46226.468159722222</v>
      </c>
      <c r="K6712" s="24">
        <v>1</v>
      </c>
      <c r="L6712" s="22" t="str">
        <f>HYPERLINK("https://otsuka-europe-crm.veevavault.com/ui/#object/approved_document__v/V5OZ04ASG4FWKA7", "Reuniones Online Consent - 2")</f>
        <v>Reuniones Online Consent - 2</v>
      </c>
      <c r="M6712" s="22" t="str">
        <f>HYPERLINK("mailto:oriballo@crm.otsuka-europe.com", "oriballo@crm.otsuka-europe.com")</f>
        <v>oriballo@crm.otsuka-europe.com</v>
      </c>
      <c r="N6712" s="25">
        <v>46226.39167824074</v>
      </c>
      <c r="O6712" s="14" t="str">
        <f>HYPERLINK("https://otsuka-europe-crm.veevavault.com/ui/#object/email_activity__v/V8C00000004B716", "EN-002107873")</f>
        <v>EN-002107873</v>
      </c>
    </row>
    <row r="6713" spans="1:15" ht="16" x14ac:dyDescent="0.2">
      <c r="A6713" s="26"/>
      <c r="B6713" s="26"/>
      <c r="C6713" s="26"/>
      <c r="D6713" s="26"/>
      <c r="E6713" s="26"/>
      <c r="F6713" s="26"/>
      <c r="G6713" s="26"/>
      <c r="H6713" s="26"/>
      <c r="I6713" s="26"/>
      <c r="J6713" s="26"/>
      <c r="K6713" s="26"/>
      <c r="L6713" s="26"/>
      <c r="M6713" s="26"/>
      <c r="N6713" s="26"/>
      <c r="O6713" s="14" t="str">
        <f>HYPERLINK("https://otsuka-europe-crm.veevavault.com/ui/#object/email_activity__v/V8C00000004B769", "EN-002107995")</f>
        <v>EN-002107995</v>
      </c>
    </row>
    <row r="6714" spans="1:15" ht="16" x14ac:dyDescent="0.2">
      <c r="A6714" s="26"/>
      <c r="B6714" s="26"/>
      <c r="C6714" s="26"/>
      <c r="D6714" s="26"/>
      <c r="E6714" s="26"/>
      <c r="F6714" s="26"/>
      <c r="G6714" s="26"/>
      <c r="H6714" s="26"/>
      <c r="I6714" s="26"/>
      <c r="J6714" s="26"/>
      <c r="K6714" s="26"/>
      <c r="L6714" s="26"/>
      <c r="M6714" s="26"/>
      <c r="N6714" s="26"/>
      <c r="O6714" s="14" t="str">
        <f>HYPERLINK("https://otsuka-europe-crm.veevavault.com/ui/#object/email_activity__v/V8C00000004B770", "EN-002107994")</f>
        <v>EN-002107994</v>
      </c>
    </row>
    <row r="6715" spans="1:15" ht="16" x14ac:dyDescent="0.2">
      <c r="A6715" s="26"/>
      <c r="B6715" s="26"/>
      <c r="C6715" s="26"/>
      <c r="D6715" s="26"/>
      <c r="E6715" s="26"/>
      <c r="F6715" s="26"/>
      <c r="G6715" s="26"/>
      <c r="H6715" s="26"/>
      <c r="I6715" s="26"/>
      <c r="J6715" s="26"/>
      <c r="K6715" s="26"/>
      <c r="L6715" s="26"/>
      <c r="M6715" s="26"/>
      <c r="N6715" s="26"/>
      <c r="O6715" s="14" t="str">
        <f>HYPERLINK("https://otsuka-europe-crm.veevavault.com/ui/#object/email_activity__v/V8C00000004B846", "EN-002108154")</f>
        <v>EN-002108154</v>
      </c>
    </row>
    <row r="6716" spans="1:15" ht="16" x14ac:dyDescent="0.2">
      <c r="A6716" s="19"/>
      <c r="B6716" s="19"/>
      <c r="C6716" s="19"/>
      <c r="D6716" s="19"/>
      <c r="E6716" s="19"/>
      <c r="F6716" s="19"/>
      <c r="G6716" s="19"/>
      <c r="H6716" s="19"/>
      <c r="I6716" s="19"/>
      <c r="J6716" s="19"/>
      <c r="K6716" s="19"/>
      <c r="L6716" s="19"/>
      <c r="M6716" s="19"/>
      <c r="N6716" s="19"/>
      <c r="O6716" s="14" t="str">
        <f>HYPERLINK("https://otsuka-europe-crm.veevavault.com/ui/#object/email_activity__v/V8C00000004C580", "EN-002108090")</f>
        <v>EN-002108090</v>
      </c>
    </row>
    <row r="6717" spans="1:15" ht="16" x14ac:dyDescent="0.2">
      <c r="A6717" s="18" t="str">
        <f>HYPERLINK("https://otsuka-europe-crm.veevavault.com/ui/#object/account__v/V4T00000002G074", "ELENA RUIZ CANCA")</f>
        <v>ELENA RUIZ CANCA</v>
      </c>
      <c r="B6717" s="18" t="str">
        <f>HYPERLINK("https://otsuka-europe-crm.veevavault.com/ui/#object/vcountry__v/VENZ000004SONF5", "ES")</f>
        <v>ES</v>
      </c>
      <c r="C6717" s="20" t="s">
        <v>39</v>
      </c>
      <c r="D6717" s="21" t="str">
        <f>HYPERLINK("https://otsuka-europe-crm.veevavault.com/ui/#object/approved_document__v/V5OZ04ASG4FWKA9", "Documento Autorizaciขn Centro Empleador")</f>
        <v>Documento Autorizaciขn Centro Empleador</v>
      </c>
      <c r="E6717" s="22" t="str">
        <f>HYPERLINK("https://otsuka-europe-crm.veevavault.com/ui/#object/sent_email__v/VBL00000003A345", "SE-001444796")</f>
        <v>SE-001444796</v>
      </c>
      <c r="F6717" s="23"/>
      <c r="G6717" s="24">
        <v>0</v>
      </c>
      <c r="H6717" s="24">
        <v>0</v>
      </c>
      <c r="I6717" s="24">
        <v>1</v>
      </c>
      <c r="J6717" s="25">
        <v>46226.467986111114</v>
      </c>
      <c r="K6717" s="24">
        <v>1</v>
      </c>
      <c r="L6717" s="22" t="str">
        <f>HYPERLINK("https://otsuka-europe-crm.veevavault.com/ui/#object/approved_document__v/V5OZ04ASG4FWKA9", "Documento Autorizaciขn Centro Empleador")</f>
        <v>Documento Autorizaciขn Centro Empleador</v>
      </c>
      <c r="M6717" s="22" t="str">
        <f>HYPERLINK("mailto:oriballo@crm.otsuka-europe.com", "oriballo@crm.otsuka-europe.com")</f>
        <v>oriballo@crm.otsuka-europe.com</v>
      </c>
      <c r="N6717" s="25">
        <v>46226.391655092593</v>
      </c>
      <c r="O6717" s="14" t="str">
        <f>HYPERLINK("https://otsuka-europe-crm.veevavault.com/ui/#object/email_activity__v/V8C00000004B717", "EN-002107874")</f>
        <v>EN-002107874</v>
      </c>
    </row>
    <row r="6718" spans="1:15" ht="16" x14ac:dyDescent="0.2">
      <c r="A6718" s="26"/>
      <c r="B6718" s="26"/>
      <c r="C6718" s="26"/>
      <c r="D6718" s="26"/>
      <c r="E6718" s="26"/>
      <c r="F6718" s="26"/>
      <c r="G6718" s="26"/>
      <c r="H6718" s="26"/>
      <c r="I6718" s="26"/>
      <c r="J6718" s="26"/>
      <c r="K6718" s="26"/>
      <c r="L6718" s="26"/>
      <c r="M6718" s="26"/>
      <c r="N6718" s="26"/>
      <c r="O6718" s="14" t="str">
        <f>HYPERLINK("https://otsuka-europe-crm.veevavault.com/ui/#object/email_activity__v/V8C00000004B725", "EN-002107903")</f>
        <v>EN-002107903</v>
      </c>
    </row>
    <row r="6719" spans="1:15" ht="16" x14ac:dyDescent="0.2">
      <c r="A6719" s="26"/>
      <c r="B6719" s="26"/>
      <c r="C6719" s="26"/>
      <c r="D6719" s="26"/>
      <c r="E6719" s="26"/>
      <c r="F6719" s="26"/>
      <c r="G6719" s="26"/>
      <c r="H6719" s="26"/>
      <c r="I6719" s="26"/>
      <c r="J6719" s="26"/>
      <c r="K6719" s="26"/>
      <c r="L6719" s="26"/>
      <c r="M6719" s="26"/>
      <c r="N6719" s="26"/>
      <c r="O6719" s="14" t="str">
        <f>HYPERLINK("https://otsuka-europe-crm.veevavault.com/ui/#object/email_activity__v/V8C00000004C449", "EN-002107900")</f>
        <v>EN-002107900</v>
      </c>
    </row>
    <row r="6720" spans="1:15" ht="16" x14ac:dyDescent="0.2">
      <c r="A6720" s="19"/>
      <c r="B6720" s="19"/>
      <c r="C6720" s="19"/>
      <c r="D6720" s="19"/>
      <c r="E6720" s="19"/>
      <c r="F6720" s="19"/>
      <c r="G6720" s="19"/>
      <c r="H6720" s="19"/>
      <c r="I6720" s="19"/>
      <c r="J6720" s="19"/>
      <c r="K6720" s="19"/>
      <c r="L6720" s="19"/>
      <c r="M6720" s="19"/>
      <c r="N6720" s="19"/>
      <c r="O6720" s="14" t="str">
        <f>HYPERLINK("https://otsuka-europe-crm.veevavault.com/ui/#object/email_activity__v/V8C00000004C581", "EN-002108091")</f>
        <v>EN-002108091</v>
      </c>
    </row>
    <row r="6721" spans="1:15" ht="16" x14ac:dyDescent="0.2">
      <c r="A6721" s="18" t="str">
        <f>HYPERLINK("https://otsuka-europe-crm.veevavault.com/ui/#object/account__v/V4TZ06G6O71T8U5", "LUIS ALBERTO VIGARA SANCHEZ")</f>
        <v>LUIS ALBERTO VIGARA SANCHEZ</v>
      </c>
      <c r="B6721" s="18" t="str">
        <f>HYPERLINK("https://otsuka-europe-crm.veevavault.com/ui/#object/vcountry__v/VENZ000004SONF5", "ES")</f>
        <v>ES</v>
      </c>
      <c r="C6721" s="20" t="s">
        <v>39</v>
      </c>
      <c r="D6721" s="21" t="str">
        <f>HYPERLINK("https://otsuka-europe-crm.veevavault.com/ui/#object/approved_document__v/V5OZ04ASG4FWKA9", "Documento Autorizaciขn Centro Empleador")</f>
        <v>Documento Autorizaciขn Centro Empleador</v>
      </c>
      <c r="E6721" s="22" t="str">
        <f>HYPERLINK("https://otsuka-europe-crm.veevavault.com/ui/#object/sent_email__v/VBL00000003A346", "SE-001444797")</f>
        <v>SE-001444797</v>
      </c>
      <c r="F6721" s="25">
        <v>46226.494722222225</v>
      </c>
      <c r="G6721" s="24">
        <v>1</v>
      </c>
      <c r="H6721" s="24">
        <v>1</v>
      </c>
      <c r="I6721" s="24">
        <v>1</v>
      </c>
      <c r="J6721" s="25">
        <v>46226.494722222225</v>
      </c>
      <c r="K6721" s="24">
        <v>1</v>
      </c>
      <c r="L6721" s="22" t="str">
        <f>HYPERLINK("https://otsuka-europe-crm.veevavault.com/ui/#object/approved_document__v/V5OZ04ASG4FWKA9", "Documento Autorizaciขn Centro Empleador")</f>
        <v>Documento Autorizaciขn Centro Empleador</v>
      </c>
      <c r="M6721" s="22" t="str">
        <f>HYPERLINK("mailto:oriballo@crm.otsuka-europe.com", "oriballo@crm.otsuka-europe.com")</f>
        <v>oriballo@crm.otsuka-europe.com</v>
      </c>
      <c r="N6721" s="25">
        <v>46226.392511574071</v>
      </c>
      <c r="O6721" s="14" t="str">
        <f>HYPERLINK("https://otsuka-europe-crm.veevavault.com/ui/#object/email_activity__v/V8C00000004B718", "EN-002107875")</f>
        <v>EN-002107875</v>
      </c>
    </row>
    <row r="6722" spans="1:15" ht="16" x14ac:dyDescent="0.2">
      <c r="A6722" s="26"/>
      <c r="B6722" s="26"/>
      <c r="C6722" s="26"/>
      <c r="D6722" s="26"/>
      <c r="E6722" s="26"/>
      <c r="F6722" s="26"/>
      <c r="G6722" s="26"/>
      <c r="H6722" s="26"/>
      <c r="I6722" s="26"/>
      <c r="J6722" s="26"/>
      <c r="K6722" s="26"/>
      <c r="L6722" s="26"/>
      <c r="M6722" s="26"/>
      <c r="N6722" s="26"/>
      <c r="O6722" s="14" t="str">
        <f>HYPERLINK("https://otsuka-europe-crm.veevavault.com/ui/#object/email_activity__v/V8C00000004B735", "EN-002107919")</f>
        <v>EN-002107919</v>
      </c>
    </row>
    <row r="6723" spans="1:15" ht="16" x14ac:dyDescent="0.2">
      <c r="A6723" s="26"/>
      <c r="B6723" s="26"/>
      <c r="C6723" s="26"/>
      <c r="D6723" s="26"/>
      <c r="E6723" s="26"/>
      <c r="F6723" s="26"/>
      <c r="G6723" s="26"/>
      <c r="H6723" s="26"/>
      <c r="I6723" s="26"/>
      <c r="J6723" s="26"/>
      <c r="K6723" s="26"/>
      <c r="L6723" s="26"/>
      <c r="M6723" s="26"/>
      <c r="N6723" s="26"/>
      <c r="O6723" s="14" t="str">
        <f>HYPERLINK("https://otsuka-europe-crm.veevavault.com/ui/#object/email_activity__v/V8C00000004B736", "EN-002107918")</f>
        <v>EN-002107918</v>
      </c>
    </row>
    <row r="6724" spans="1:15" ht="16" x14ac:dyDescent="0.2">
      <c r="A6724" s="26"/>
      <c r="B6724" s="26"/>
      <c r="C6724" s="26"/>
      <c r="D6724" s="26"/>
      <c r="E6724" s="26"/>
      <c r="F6724" s="26"/>
      <c r="G6724" s="26"/>
      <c r="H6724" s="26"/>
      <c r="I6724" s="26"/>
      <c r="J6724" s="26"/>
      <c r="K6724" s="26"/>
      <c r="L6724" s="26"/>
      <c r="M6724" s="26"/>
      <c r="N6724" s="26"/>
      <c r="O6724" s="14" t="str">
        <f>HYPERLINK("https://otsuka-europe-crm.veevavault.com/ui/#object/email_activity__v/V8C00000004B849", "EN-002108157")</f>
        <v>EN-002108157</v>
      </c>
    </row>
    <row r="6725" spans="1:15" ht="16" x14ac:dyDescent="0.2">
      <c r="A6725" s="19"/>
      <c r="B6725" s="19"/>
      <c r="C6725" s="19"/>
      <c r="D6725" s="19"/>
      <c r="E6725" s="19"/>
      <c r="F6725" s="19"/>
      <c r="G6725" s="19"/>
      <c r="H6725" s="19"/>
      <c r="I6725" s="19"/>
      <c r="J6725" s="19"/>
      <c r="K6725" s="19"/>
      <c r="L6725" s="19"/>
      <c r="M6725" s="19"/>
      <c r="N6725" s="19"/>
      <c r="O6725" s="14" t="str">
        <f>HYPERLINK("https://otsuka-europe-crm.veevavault.com/ui/#object/email_activity__v/V8C00000004C582", "EN-002108092")</f>
        <v>EN-002108092</v>
      </c>
    </row>
    <row r="6726" spans="1:15" ht="16" x14ac:dyDescent="0.2">
      <c r="A6726" s="18" t="str">
        <f>HYPERLINK("https://otsuka-europe-crm.veevavault.com/ui/#object/account__v/V4TZ06G6O71T77Z", "VICTORIA EUGENIA GARCIA MONTEMAYOR")</f>
        <v>VICTORIA EUGENIA GARCIA MONTEMAYOR</v>
      </c>
      <c r="B6726" s="18" t="str">
        <f>HYPERLINK("https://otsuka-europe-crm.veevavault.com/ui/#object/vcountry__v/VENZ000004SONF5", "ES")</f>
        <v>ES</v>
      </c>
      <c r="C6726" s="20" t="s">
        <v>39</v>
      </c>
      <c r="D6726" s="21" t="str">
        <f>HYPERLINK("https://otsuka-europe-crm.veevavault.com/ui/#object/approved_document__v/V5OZ04ASG4FWKA9", "Documento Autorizaciขn Centro Empleador")</f>
        <v>Documento Autorizaciขn Centro Empleador</v>
      </c>
      <c r="E6726" s="22" t="str">
        <f>HYPERLINK("https://otsuka-europe-crm.veevavault.com/ui/#object/sent_email__v/VBL000000039214", "SE-001444798")</f>
        <v>SE-001444798</v>
      </c>
      <c r="F6726" s="25">
        <v>46226.534826388888</v>
      </c>
      <c r="G6726" s="24">
        <v>1</v>
      </c>
      <c r="H6726" s="24">
        <v>3</v>
      </c>
      <c r="I6726" s="24">
        <v>1</v>
      </c>
      <c r="J6726" s="25">
        <v>46226.534722222219</v>
      </c>
      <c r="K6726" s="24">
        <v>2</v>
      </c>
      <c r="L6726" s="22" t="str">
        <f>HYPERLINK("https://otsuka-europe-crm.veevavault.com/ui/#object/approved_document__v/V5OZ04ASG4FWKA9", "Documento Autorizaciขn Centro Empleador")</f>
        <v>Documento Autorizaciขn Centro Empleador</v>
      </c>
      <c r="M6726" s="22" t="str">
        <f>HYPERLINK("mailto:oriballo@crm.otsuka-europe.com", "oriballo@crm.otsuka-europe.com")</f>
        <v>oriballo@crm.otsuka-europe.com</v>
      </c>
      <c r="N6726" s="25">
        <v>46226.394085648149</v>
      </c>
      <c r="O6726" s="14" t="str">
        <f>HYPERLINK("https://otsuka-europe-crm.veevavault.com/ui/#object/email_activity__v/V8C00000004C389", "EN-002107783")</f>
        <v>EN-002107783</v>
      </c>
    </row>
    <row r="6727" spans="1:15" ht="16" x14ac:dyDescent="0.2">
      <c r="A6727" s="26"/>
      <c r="B6727" s="26"/>
      <c r="C6727" s="26"/>
      <c r="D6727" s="26"/>
      <c r="E6727" s="26"/>
      <c r="F6727" s="26"/>
      <c r="G6727" s="26"/>
      <c r="H6727" s="26"/>
      <c r="I6727" s="26"/>
      <c r="J6727" s="26"/>
      <c r="K6727" s="26"/>
      <c r="L6727" s="26"/>
      <c r="M6727" s="26"/>
      <c r="N6727" s="26"/>
      <c r="O6727" s="14" t="str">
        <f>HYPERLINK("https://otsuka-europe-crm.veevavault.com/ui/#object/email_activity__v/V8C00000004C463", "EN-002107937")</f>
        <v>EN-002107937</v>
      </c>
    </row>
    <row r="6728" spans="1:15" ht="16" x14ac:dyDescent="0.2">
      <c r="A6728" s="26"/>
      <c r="B6728" s="26"/>
      <c r="C6728" s="26"/>
      <c r="D6728" s="26"/>
      <c r="E6728" s="26"/>
      <c r="F6728" s="26"/>
      <c r="G6728" s="26"/>
      <c r="H6728" s="26"/>
      <c r="I6728" s="26"/>
      <c r="J6728" s="26"/>
      <c r="K6728" s="26"/>
      <c r="L6728" s="26"/>
      <c r="M6728" s="26"/>
      <c r="N6728" s="26"/>
      <c r="O6728" s="14" t="str">
        <f>HYPERLINK("https://otsuka-europe-crm.veevavault.com/ui/#object/email_activity__v/V8C00000004C470", "EN-002107930")</f>
        <v>EN-002107930</v>
      </c>
    </row>
    <row r="6729" spans="1:15" ht="16" x14ac:dyDescent="0.2">
      <c r="A6729" s="26"/>
      <c r="B6729" s="26"/>
      <c r="C6729" s="26"/>
      <c r="D6729" s="26"/>
      <c r="E6729" s="26"/>
      <c r="F6729" s="26"/>
      <c r="G6729" s="26"/>
      <c r="H6729" s="26"/>
      <c r="I6729" s="26"/>
      <c r="J6729" s="26"/>
      <c r="K6729" s="26"/>
      <c r="L6729" s="26"/>
      <c r="M6729" s="26"/>
      <c r="N6729" s="26"/>
      <c r="O6729" s="14" t="str">
        <f>HYPERLINK("https://otsuka-europe-crm.veevavault.com/ui/#object/email_activity__v/V8C00000004C471", "EN-002107938")</f>
        <v>EN-002107938</v>
      </c>
    </row>
    <row r="6730" spans="1:15" ht="16" x14ac:dyDescent="0.2">
      <c r="A6730" s="26"/>
      <c r="B6730" s="26"/>
      <c r="C6730" s="26"/>
      <c r="D6730" s="26"/>
      <c r="E6730" s="26"/>
      <c r="F6730" s="26"/>
      <c r="G6730" s="26"/>
      <c r="H6730" s="26"/>
      <c r="I6730" s="26"/>
      <c r="J6730" s="26"/>
      <c r="K6730" s="26"/>
      <c r="L6730" s="26"/>
      <c r="M6730" s="26"/>
      <c r="N6730" s="26"/>
      <c r="O6730" s="14" t="str">
        <f>HYPERLINK("https://otsuka-europe-crm.veevavault.com/ui/#object/email_activity__v/V8C00000004C473", "EN-002107940")</f>
        <v>EN-002107940</v>
      </c>
    </row>
    <row r="6731" spans="1:15" ht="16" x14ac:dyDescent="0.2">
      <c r="A6731" s="19"/>
      <c r="B6731" s="19"/>
      <c r="C6731" s="19"/>
      <c r="D6731" s="19"/>
      <c r="E6731" s="19"/>
      <c r="F6731" s="19"/>
      <c r="G6731" s="19"/>
      <c r="H6731" s="19"/>
      <c r="I6731" s="19"/>
      <c r="J6731" s="19"/>
      <c r="K6731" s="19"/>
      <c r="L6731" s="19"/>
      <c r="M6731" s="19"/>
      <c r="N6731" s="19"/>
      <c r="O6731" s="14" t="str">
        <f>HYPERLINK("https://otsuka-europe-crm.veevavault.com/ui/#object/email_activity__v/V8C00000004C589", "EN-002108212")</f>
        <v>EN-002108212</v>
      </c>
    </row>
    <row r="6732" spans="1:15" ht="16" x14ac:dyDescent="0.2">
      <c r="A6732" s="18" t="str">
        <f>HYPERLINK("https://otsuka-europe-crm.veevavault.com/ui/#object/account__v/V4TZ025E83YJPPJ", "MARIA AMPARO PIMENTEL VILLAR")</f>
        <v>MARIA AMPARO PIMENTEL VILLAR</v>
      </c>
      <c r="B6732" s="18" t="str">
        <f>HYPERLINK("https://otsuka-europe-crm.veevavault.com/ui/#object/vcountry__v/VENZ000004SONF5", "ES")</f>
        <v>ES</v>
      </c>
      <c r="C6732" s="20" t="s">
        <v>39</v>
      </c>
      <c r="D6732" s="21" t="str">
        <f>HYPERLINK("https://otsuka-europe-crm.veevavault.com/ui/#object/approved_document__v/V5OZ06G6O6RFL1P", "ES Veeva Privacy Notice Email")</f>
        <v>ES Veeva Privacy Notice Email</v>
      </c>
      <c r="E6732" s="22" t="str">
        <f>HYPERLINK("https://otsuka-europe-crm.veevavault.com/ui/#object/sent_email__v/VBL000000039215", "SE-001444799")</f>
        <v>SE-001444799</v>
      </c>
      <c r="F6732" s="23"/>
      <c r="G6732" s="24">
        <v>0</v>
      </c>
      <c r="H6732" s="24">
        <v>0</v>
      </c>
      <c r="I6732" s="24">
        <v>0</v>
      </c>
      <c r="J6732" s="23"/>
      <c r="K6732" s="24">
        <v>0</v>
      </c>
      <c r="L6732" s="22" t="str">
        <f>HYPERLINK("https://otsuka-europe-crm.veevavault.com/ui/#object/approved_document__v/V5OZ06G6O6RFL1P", "ES Veeva Privacy Notice Email")</f>
        <v>ES Veeva Privacy Notice Email</v>
      </c>
      <c r="M6732" s="22" t="str">
        <f>HYPERLINK("mailto:oriballo@crm.otsuka-europe.com", "oriballo@crm.otsuka-europe.com")</f>
        <v>oriballo@crm.otsuka-europe.com</v>
      </c>
      <c r="N6732" s="25">
        <v>46226.419328703705</v>
      </c>
      <c r="O6732" s="14" t="str">
        <f>HYPERLINK("https://otsuka-europe-crm.veevavault.com/ui/#object/email_activity__v/V8C00000004C404", "EN-002107836")</f>
        <v>EN-002107836</v>
      </c>
    </row>
    <row r="6733" spans="1:15" ht="16" x14ac:dyDescent="0.2">
      <c r="A6733" s="26"/>
      <c r="B6733" s="26"/>
      <c r="C6733" s="26"/>
      <c r="D6733" s="26"/>
      <c r="E6733" s="26"/>
      <c r="F6733" s="26"/>
      <c r="G6733" s="26"/>
      <c r="H6733" s="26"/>
      <c r="I6733" s="26"/>
      <c r="J6733" s="26"/>
      <c r="K6733" s="26"/>
      <c r="L6733" s="26"/>
      <c r="M6733" s="26"/>
      <c r="N6733" s="26"/>
      <c r="O6733" s="14" t="str">
        <f>HYPERLINK("https://otsuka-europe-crm.veevavault.com/ui/#object/email_activity__v/V8C00000004C446", "EN-002107896")</f>
        <v>EN-002107896</v>
      </c>
    </row>
    <row r="6734" spans="1:15" ht="16" x14ac:dyDescent="0.2">
      <c r="A6734" s="19"/>
      <c r="B6734" s="19"/>
      <c r="C6734" s="19"/>
      <c r="D6734" s="19"/>
      <c r="E6734" s="19"/>
      <c r="F6734" s="19"/>
      <c r="G6734" s="19"/>
      <c r="H6734" s="19"/>
      <c r="I6734" s="19"/>
      <c r="J6734" s="19"/>
      <c r="K6734" s="19"/>
      <c r="L6734" s="19"/>
      <c r="M6734" s="19"/>
      <c r="N6734" s="19"/>
      <c r="O6734" s="14" t="str">
        <f>HYPERLINK("https://otsuka-europe-crm.veevavault.com/ui/#object/email_activity__v/V8C00000004F112", "EN-002110041")</f>
        <v>EN-002110041</v>
      </c>
    </row>
    <row r="6735" spans="1:15" ht="16" x14ac:dyDescent="0.2">
      <c r="A6735" s="18" t="str">
        <f>HYPERLINK("https://otsuka-europe-crm.veevavault.com/ui/#object/account__v/V4TZ025E83YJPPJ", "MARIA AMPARO PIMENTEL VILLAR")</f>
        <v>MARIA AMPARO PIMENTEL VILLAR</v>
      </c>
      <c r="B6735" s="18" t="str">
        <f>HYPERLINK("https://otsuka-europe-crm.veevavault.com/ui/#object/vcountry__v/VENZ000004SONF5", "ES")</f>
        <v>ES</v>
      </c>
      <c r="C6735" s="20" t="s">
        <v>39</v>
      </c>
      <c r="D6735" s="21" t="str">
        <f>HYPERLINK("https://otsuka-europe-crm.veevavault.com/ui/#object/approved_document__v/V5OZ04ASG4FWKA9", "Documento Autorizaciขn Centro Empleador")</f>
        <v>Documento Autorizaciขn Centro Empleador</v>
      </c>
      <c r="E6735" s="22" t="str">
        <f>HYPERLINK("https://otsuka-europe-crm.veevavault.com/ui/#object/sent_email__v/VBL000000039216", "SE-001444800")</f>
        <v>SE-001444800</v>
      </c>
      <c r="F6735" s="25">
        <v>46226.46434027778</v>
      </c>
      <c r="G6735" s="24">
        <v>1</v>
      </c>
      <c r="H6735" s="24">
        <v>1</v>
      </c>
      <c r="I6735" s="24">
        <v>1</v>
      </c>
      <c r="J6735" s="25">
        <v>46226.46465277778</v>
      </c>
      <c r="K6735" s="24">
        <v>2</v>
      </c>
      <c r="L6735" s="22" t="str">
        <f>HYPERLINK("https://otsuka-europe-crm.veevavault.com/ui/#object/approved_document__v/V5OZ04ASG4FWKA9", "Documento Autorizaciขn Centro Empleador")</f>
        <v>Documento Autorizaciขn Centro Empleador</v>
      </c>
      <c r="M6735" s="22" t="str">
        <f>HYPERLINK("mailto:oriballo@crm.otsuka-europe.com", "oriballo@crm.otsuka-europe.com")</f>
        <v>oriballo@crm.otsuka-europe.com</v>
      </c>
      <c r="N6735" s="25">
        <v>46226.41983796296</v>
      </c>
      <c r="O6735" s="14" t="str">
        <f>HYPERLINK("https://otsuka-europe-crm.veevavault.com/ui/#object/email_activity__v/V8C00000004B723", "EN-002107897")</f>
        <v>EN-002107897</v>
      </c>
    </row>
    <row r="6736" spans="1:15" ht="16" x14ac:dyDescent="0.2">
      <c r="A6736" s="26"/>
      <c r="B6736" s="26"/>
      <c r="C6736" s="26"/>
      <c r="D6736" s="26"/>
      <c r="E6736" s="26"/>
      <c r="F6736" s="26"/>
      <c r="G6736" s="26"/>
      <c r="H6736" s="26"/>
      <c r="I6736" s="26"/>
      <c r="J6736" s="26"/>
      <c r="K6736" s="26"/>
      <c r="L6736" s="26"/>
      <c r="M6736" s="26"/>
      <c r="N6736" s="26"/>
      <c r="O6736" s="14" t="str">
        <f>HYPERLINK("https://otsuka-europe-crm.veevavault.com/ui/#object/email_activity__v/V8C00000004C420", "EN-002107861")</f>
        <v>EN-002107861</v>
      </c>
    </row>
    <row r="6737" spans="1:15" ht="16" x14ac:dyDescent="0.2">
      <c r="A6737" s="26"/>
      <c r="B6737" s="26"/>
      <c r="C6737" s="26"/>
      <c r="D6737" s="26"/>
      <c r="E6737" s="26"/>
      <c r="F6737" s="26"/>
      <c r="G6737" s="26"/>
      <c r="H6737" s="26"/>
      <c r="I6737" s="26"/>
      <c r="J6737" s="26"/>
      <c r="K6737" s="26"/>
      <c r="L6737" s="26"/>
      <c r="M6737" s="26"/>
      <c r="N6737" s="26"/>
      <c r="O6737" s="14" t="str">
        <f>HYPERLINK("https://otsuka-europe-crm.veevavault.com/ui/#object/email_activity__v/V8C00000004C443", "EN-002107894")</f>
        <v>EN-002107894</v>
      </c>
    </row>
    <row r="6738" spans="1:15" ht="16" x14ac:dyDescent="0.2">
      <c r="A6738" s="26"/>
      <c r="B6738" s="26"/>
      <c r="C6738" s="26"/>
      <c r="D6738" s="26"/>
      <c r="E6738" s="26"/>
      <c r="F6738" s="26"/>
      <c r="G6738" s="26"/>
      <c r="H6738" s="26"/>
      <c r="I6738" s="26"/>
      <c r="J6738" s="26"/>
      <c r="K6738" s="26"/>
      <c r="L6738" s="26"/>
      <c r="M6738" s="26"/>
      <c r="N6738" s="26"/>
      <c r="O6738" s="14" t="str">
        <f>HYPERLINK("https://otsuka-europe-crm.veevavault.com/ui/#object/email_activity__v/V8C00000004C444", "EN-002107893")</f>
        <v>EN-002107893</v>
      </c>
    </row>
    <row r="6739" spans="1:15" ht="16" x14ac:dyDescent="0.2">
      <c r="A6739" s="26"/>
      <c r="B6739" s="26"/>
      <c r="C6739" s="26"/>
      <c r="D6739" s="26"/>
      <c r="E6739" s="26"/>
      <c r="F6739" s="26"/>
      <c r="G6739" s="26"/>
      <c r="H6739" s="26"/>
      <c r="I6739" s="26"/>
      <c r="J6739" s="26"/>
      <c r="K6739" s="26"/>
      <c r="L6739" s="26"/>
      <c r="M6739" s="26"/>
      <c r="N6739" s="26"/>
      <c r="O6739" s="14" t="str">
        <f>HYPERLINK("https://otsuka-europe-crm.veevavault.com/ui/#object/email_activity__v/V8C00000004C445", "EN-002107895")</f>
        <v>EN-002107895</v>
      </c>
    </row>
    <row r="6740" spans="1:15" ht="16" x14ac:dyDescent="0.2">
      <c r="A6740" s="19"/>
      <c r="B6740" s="19"/>
      <c r="C6740" s="19"/>
      <c r="D6740" s="19"/>
      <c r="E6740" s="19"/>
      <c r="F6740" s="19"/>
      <c r="G6740" s="19"/>
      <c r="H6740" s="19"/>
      <c r="I6740" s="19"/>
      <c r="J6740" s="19"/>
      <c r="K6740" s="19"/>
      <c r="L6740" s="19"/>
      <c r="M6740" s="19"/>
      <c r="N6740" s="19"/>
      <c r="O6740" s="14" t="str">
        <f>HYPERLINK("https://otsuka-europe-crm.veevavault.com/ui/#object/email_activity__v/V8C00000004F111", "EN-002110040")</f>
        <v>EN-002110040</v>
      </c>
    </row>
    <row r="6741" spans="1:15" ht="32" x14ac:dyDescent="0.2">
      <c r="A6741" s="7" t="str">
        <f>HYPERLINK("https://otsuka-europe-crm.veevavault.com/ui/#object/account__v/V4T000000025019", "Jana Noor")</f>
        <v>Jana Noor</v>
      </c>
      <c r="B6741" s="7" t="str">
        <f>HYPERLINK("https://otsuka-europe-crm.veevavault.com/ui/#object/vcountry__v/VENZ000004SONFK", "GB")</f>
        <v>GB</v>
      </c>
      <c r="C6741" s="8" t="s">
        <v>41</v>
      </c>
      <c r="D6741" s="9" t="str">
        <f>HYPERLINK("https://otsuka-europe-crm.veevavault.com/ui/#object/approved_document__v/V5O00000000D081", "UK - Consent Email 1 Aug 25")</f>
        <v>UK - Consent Email 1 Aug 25</v>
      </c>
      <c r="E6741" s="10" t="str">
        <f>HYPERLINK("https://otsuka-europe-crm.veevavault.com/ui/#object/sent_email__v/VBL00000003A347", "SE-001444801")</f>
        <v>SE-001444801</v>
      </c>
      <c r="F6741" s="11"/>
      <c r="G6741" s="12">
        <v>0</v>
      </c>
      <c r="H6741" s="12">
        <v>0</v>
      </c>
      <c r="I6741" s="12">
        <v>0</v>
      </c>
      <c r="J6741" s="11"/>
      <c r="K6741" s="12">
        <v>0</v>
      </c>
      <c r="L6741" s="10" t="str">
        <f>HYPERLINK("https://otsuka-europe-crm.veevavault.com/ui/#object/approved_document__v/V5O00000000D081", "UK - Consent Email 1 Aug 25")</f>
        <v>UK - Consent Email 1 Aug 25</v>
      </c>
      <c r="M6741" s="10" t="str">
        <f>HYPERLINK("mailto:draval@crm.otsuka-europe.com", "draval@crm.otsuka-europe.com")</f>
        <v>draval@crm.otsuka-europe.com</v>
      </c>
      <c r="N6741" s="13">
        <v>46226.424016203702</v>
      </c>
      <c r="O6741" s="14" t="str">
        <f>HYPERLINK("https://otsuka-europe-crm.veevavault.com/ui/#object/email_activity__v/V8C00000004C430", "EN-002107876")</f>
        <v>EN-002107876</v>
      </c>
    </row>
    <row r="6742" spans="1:15" ht="16" x14ac:dyDescent="0.2">
      <c r="A6742" s="18" t="str">
        <f>HYPERLINK("https://otsuka-europe-crm.veevavault.com/ui/#object/account__v/V4T000000027018", "Anca Aiacoboaiei")</f>
        <v>Anca Aiacoboaiei</v>
      </c>
      <c r="B6742" s="18" t="str">
        <f>HYPERLINK("https://otsuka-europe-crm.veevavault.com/ui/#object/vcountry__v/VENZ000004SONFK", "GB")</f>
        <v>GB</v>
      </c>
      <c r="C6742" s="20" t="s">
        <v>41</v>
      </c>
      <c r="D6742" s="21" t="str">
        <f>HYPERLINK("https://otsuka-europe-crm.veevavault.com/ui/#object/approved_document__v/V5O00000000D081", "UK - Consent Email 1 Aug 25")</f>
        <v>UK - Consent Email 1 Aug 25</v>
      </c>
      <c r="E6742" s="22" t="str">
        <f>HYPERLINK("https://otsuka-europe-crm.veevavault.com/ui/#object/sent_email__v/VBL00000003A348", "SE-001444802")</f>
        <v>SE-001444802</v>
      </c>
      <c r="F6742" s="25">
        <v>46226.55228009259</v>
      </c>
      <c r="G6742" s="24">
        <v>1</v>
      </c>
      <c r="H6742" s="24">
        <v>3</v>
      </c>
      <c r="I6742" s="24">
        <v>0</v>
      </c>
      <c r="J6742" s="23"/>
      <c r="K6742" s="24">
        <v>0</v>
      </c>
      <c r="L6742" s="22" t="str">
        <f>HYPERLINK("https://otsuka-europe-crm.veevavault.com/ui/#object/approved_document__v/V5O00000000D081", "UK - Consent Email 1 Aug 25")</f>
        <v>UK - Consent Email 1 Aug 25</v>
      </c>
      <c r="M6742" s="22" t="str">
        <f>HYPERLINK("mailto:draval@crm.otsuka-europe.com", "draval@crm.otsuka-europe.com")</f>
        <v>draval@crm.otsuka-europe.com</v>
      </c>
      <c r="N6742" s="25">
        <v>46226.424537037034</v>
      </c>
      <c r="O6742" s="14" t="str">
        <f>HYPERLINK("https://otsuka-europe-crm.veevavault.com/ui/#object/email_activity__v/V8C00000004B719", "EN-002107877")</f>
        <v>EN-002107877</v>
      </c>
    </row>
    <row r="6743" spans="1:15" ht="16" x14ac:dyDescent="0.2">
      <c r="A6743" s="26"/>
      <c r="B6743" s="26"/>
      <c r="C6743" s="26"/>
      <c r="D6743" s="26"/>
      <c r="E6743" s="26"/>
      <c r="F6743" s="26"/>
      <c r="G6743" s="26"/>
      <c r="H6743" s="26"/>
      <c r="I6743" s="26"/>
      <c r="J6743" s="26"/>
      <c r="K6743" s="26"/>
      <c r="L6743" s="26"/>
      <c r="M6743" s="26"/>
      <c r="N6743" s="26"/>
      <c r="O6743" s="14" t="str">
        <f>HYPERLINK("https://otsuka-europe-crm.veevavault.com/ui/#object/email_activity__v/V8C00000004B721", "EN-002107882")</f>
        <v>EN-002107882</v>
      </c>
    </row>
    <row r="6744" spans="1:15" ht="16" x14ac:dyDescent="0.2">
      <c r="A6744" s="26"/>
      <c r="B6744" s="26"/>
      <c r="C6744" s="26"/>
      <c r="D6744" s="26"/>
      <c r="E6744" s="26"/>
      <c r="F6744" s="26"/>
      <c r="G6744" s="26"/>
      <c r="H6744" s="26"/>
      <c r="I6744" s="26"/>
      <c r="J6744" s="26"/>
      <c r="K6744" s="26"/>
      <c r="L6744" s="26"/>
      <c r="M6744" s="26"/>
      <c r="N6744" s="26"/>
      <c r="O6744" s="14" t="str">
        <f>HYPERLINK("https://otsuka-europe-crm.veevavault.com/ui/#object/email_activity__v/V8C00000004C479", "EN-002107948")</f>
        <v>EN-002107948</v>
      </c>
    </row>
    <row r="6745" spans="1:15" ht="16" x14ac:dyDescent="0.2">
      <c r="A6745" s="19"/>
      <c r="B6745" s="19"/>
      <c r="C6745" s="19"/>
      <c r="D6745" s="19"/>
      <c r="E6745" s="19"/>
      <c r="F6745" s="19"/>
      <c r="G6745" s="19"/>
      <c r="H6745" s="19"/>
      <c r="I6745" s="19"/>
      <c r="J6745" s="19"/>
      <c r="K6745" s="19"/>
      <c r="L6745" s="19"/>
      <c r="M6745" s="19"/>
      <c r="N6745" s="19"/>
      <c r="O6745" s="14" t="str">
        <f>HYPERLINK("https://otsuka-europe-crm.veevavault.com/ui/#object/email_activity__v/V8C00000004C480", "EN-002107949")</f>
        <v>EN-002107949</v>
      </c>
    </row>
    <row r="6746" spans="1:15" ht="32" x14ac:dyDescent="0.2">
      <c r="A6746" s="7" t="str">
        <f>HYPERLINK("https://otsuka-europe-crm.veevavault.com/ui/#object/account__v/V4T000000025019", "Jana Noor")</f>
        <v>Jana Noor</v>
      </c>
      <c r="B6746" s="7" t="str">
        <f>HYPERLINK("https://otsuka-europe-crm.veevavault.com/ui/#object/vcountry__v/VENZ000004SONFK", "GB")</f>
        <v>GB</v>
      </c>
      <c r="C6746" s="8" t="s">
        <v>41</v>
      </c>
      <c r="D6746" s="9" t="str">
        <f>HYPERLINK("https://otsuka-europe-crm.veevavault.com/ui/#object/approved_document__v/V5O00000001V001", "LDM DR P2P Invite 12-Nov-26 v2 [digital]")</f>
        <v>LDM DR P2P Invite 12-Nov-26 v2 [digital]</v>
      </c>
      <c r="E6746" s="10" t="str">
        <f>HYPERLINK("https://otsuka-europe-crm.veevavault.com/ui/#object/sent_email__v/VBL000000039217", "SE-001444803")</f>
        <v>SE-001444803</v>
      </c>
      <c r="F6746" s="11"/>
      <c r="G6746" s="12">
        <v>0</v>
      </c>
      <c r="H6746" s="12">
        <v>0</v>
      </c>
      <c r="I6746" s="12">
        <v>0</v>
      </c>
      <c r="J6746" s="11"/>
      <c r="K6746" s="12">
        <v>0</v>
      </c>
      <c r="L6746" s="10" t="str">
        <f>HYPERLINK("https://otsuka-europe-crm.veevavault.com/ui/#object/approved_document__v/V5O00000001V001", "LDM DR P2P Invite 12-Nov-26 v2 [digital]")</f>
        <v>LDM DR P2P Invite 12-Nov-26 v2 [digital]</v>
      </c>
      <c r="M6746" s="10" t="str">
        <f>HYPERLINK("mailto:draval@crm.otsuka-europe.com", "draval@crm.otsuka-europe.com")</f>
        <v>draval@crm.otsuka-europe.com</v>
      </c>
      <c r="N6746" s="13">
        <v>46226.425405092596</v>
      </c>
      <c r="O6746" s="14" t="str">
        <f>HYPERLINK("https://otsuka-europe-crm.veevavault.com/ui/#object/email_activity__v/V8C00000004C432", "EN-002107879")</f>
        <v>EN-002107879</v>
      </c>
    </row>
    <row r="6747" spans="1:15" ht="16" x14ac:dyDescent="0.2">
      <c r="A6747" s="18" t="str">
        <f>HYPERLINK("https://otsuka-europe-crm.veevavault.com/ui/#object/account__v/V4T00000002G049", "FRANCESCO RESTUCCIA")</f>
        <v>FRANCESCO RESTUCCIA</v>
      </c>
      <c r="B6747" s="18" t="str">
        <f>HYPERLINK("https://otsuka-europe-crm.veevavault.com/ui/#object/vcountry__v/VENZ000004SONFQ", "IT")</f>
        <v>IT</v>
      </c>
      <c r="C6747" s="20" t="s">
        <v>42</v>
      </c>
      <c r="D6747" s="21" t="str">
        <f>HYPERLINK("https://otsuka-europe-crm.veevavault.com/ui/#object/approved_document__v/V5OZ06G6O6RG2EW", "IT Veeva Double Opt-In Market Research")</f>
        <v>IT Veeva Double Opt-In Market Research</v>
      </c>
      <c r="E6747" s="22" t="str">
        <f>HYPERLINK("https://otsuka-europe-crm.veevavault.com/ui/#object/sent_email__v/VBL000000039219", "SE-001444805")</f>
        <v>SE-001444805</v>
      </c>
      <c r="F6747" s="25">
        <v>46226.479143518518</v>
      </c>
      <c r="G6747" s="24">
        <v>1</v>
      </c>
      <c r="H6747" s="24">
        <v>2</v>
      </c>
      <c r="I6747" s="24">
        <v>1</v>
      </c>
      <c r="J6747" s="25">
        <v>46226.479143518518</v>
      </c>
      <c r="K6747" s="24">
        <v>1</v>
      </c>
      <c r="L6747" s="22" t="str">
        <f>HYPERLINK("https://otsuka-europe-crm.veevavault.com/ui/#object/approved_document__v/V5OZ06G6O6RG2EW", "IT Veeva Double Opt-In Market Research")</f>
        <v>IT Veeva Double Opt-In Market Research</v>
      </c>
      <c r="M6747" s="22" t="str">
        <f>HYPERLINK("mailto:valerio.iannarilli@crm.otsuka-europe.com", "valerio.iannarilli@crm.otsuka-europe.com")</f>
        <v>valerio.iannarilli@crm.otsuka-europe.com</v>
      </c>
      <c r="N6747" s="25">
        <v>46226.472256944442</v>
      </c>
      <c r="O6747" s="14" t="str">
        <f>HYPERLINK("https://otsuka-europe-crm.veevavault.com/ui/#object/email_activity__v/V8C00000004B732", "EN-002107914")</f>
        <v>EN-002107914</v>
      </c>
    </row>
    <row r="6748" spans="1:15" ht="16" x14ac:dyDescent="0.2">
      <c r="A6748" s="26"/>
      <c r="B6748" s="26"/>
      <c r="C6748" s="26"/>
      <c r="D6748" s="26"/>
      <c r="E6748" s="26"/>
      <c r="F6748" s="26"/>
      <c r="G6748" s="26"/>
      <c r="H6748" s="26"/>
      <c r="I6748" s="26"/>
      <c r="J6748" s="26"/>
      <c r="K6748" s="26"/>
      <c r="L6748" s="26"/>
      <c r="M6748" s="26"/>
      <c r="N6748" s="26"/>
      <c r="O6748" s="14" t="str">
        <f>HYPERLINK("https://otsuka-europe-crm.veevavault.com/ui/#object/email_activity__v/V8C00000004B733", "EN-002107913")</f>
        <v>EN-002107913</v>
      </c>
    </row>
    <row r="6749" spans="1:15" ht="16" x14ac:dyDescent="0.2">
      <c r="A6749" s="26"/>
      <c r="B6749" s="26"/>
      <c r="C6749" s="26"/>
      <c r="D6749" s="26"/>
      <c r="E6749" s="26"/>
      <c r="F6749" s="26"/>
      <c r="G6749" s="26"/>
      <c r="H6749" s="26"/>
      <c r="I6749" s="26"/>
      <c r="J6749" s="26"/>
      <c r="K6749" s="26"/>
      <c r="L6749" s="26"/>
      <c r="M6749" s="26"/>
      <c r="N6749" s="26"/>
      <c r="O6749" s="14" t="str">
        <f>HYPERLINK("https://otsuka-europe-crm.veevavault.com/ui/#object/email_activity__v/V8C00000004B835", "EN-002108143")</f>
        <v>EN-002108143</v>
      </c>
    </row>
    <row r="6750" spans="1:15" ht="16" x14ac:dyDescent="0.2">
      <c r="A6750" s="26"/>
      <c r="B6750" s="26"/>
      <c r="C6750" s="26"/>
      <c r="D6750" s="26"/>
      <c r="E6750" s="26"/>
      <c r="F6750" s="26"/>
      <c r="G6750" s="26"/>
      <c r="H6750" s="26"/>
      <c r="I6750" s="26"/>
      <c r="J6750" s="26"/>
      <c r="K6750" s="26"/>
      <c r="L6750" s="26"/>
      <c r="M6750" s="26"/>
      <c r="N6750" s="26"/>
      <c r="O6750" s="14" t="str">
        <f>HYPERLINK("https://otsuka-europe-crm.veevavault.com/ui/#object/email_activity__v/V8C00000004C459", "EN-002107926")</f>
        <v>EN-002107926</v>
      </c>
    </row>
    <row r="6751" spans="1:15" ht="16" x14ac:dyDescent="0.2">
      <c r="A6751" s="19"/>
      <c r="B6751" s="19"/>
      <c r="C6751" s="19"/>
      <c r="D6751" s="19"/>
      <c r="E6751" s="19"/>
      <c r="F6751" s="19"/>
      <c r="G6751" s="19"/>
      <c r="H6751" s="19"/>
      <c r="I6751" s="19"/>
      <c r="J6751" s="19"/>
      <c r="K6751" s="19"/>
      <c r="L6751" s="19"/>
      <c r="M6751" s="19"/>
      <c r="N6751" s="19"/>
      <c r="O6751" s="14" t="str">
        <f>HYPERLINK("https://otsuka-europe-crm.veevavault.com/ui/#object/email_activity__v/V8C00000004C587", "EN-002108210")</f>
        <v>EN-002108210</v>
      </c>
    </row>
    <row r="6752" spans="1:15" ht="16" x14ac:dyDescent="0.2">
      <c r="A6752" s="18" t="str">
        <f>HYPERLINK("https://otsuka-europe-crm.veevavault.com/ui/#object/account__v/V4T00000002G049", "FRANCESCO RESTUCCIA")</f>
        <v>FRANCESCO RESTUCCIA</v>
      </c>
      <c r="B6752" s="18" t="str">
        <f>HYPERLINK("https://otsuka-europe-crm.veevavault.com/ui/#object/vcountry__v/VENZ000004SONFQ", "IT")</f>
        <v>IT</v>
      </c>
      <c r="C6752" s="20" t="s">
        <v>42</v>
      </c>
      <c r="D6752" s="21" t="str">
        <f>HYPERLINK("https://otsuka-europe-crm.veevavault.com/ui/#object/approved_document__v/V5OZ06G6O6RG2EY", "IT Veeva Double Opt-In Professional Profiling")</f>
        <v>IT Veeva Double Opt-In Professional Profiling</v>
      </c>
      <c r="E6752" s="22" t="str">
        <f>HYPERLINK("https://otsuka-europe-crm.veevavault.com/ui/#object/sent_email__v/VBL000000039220", "SE-001444806")</f>
        <v>SE-001444806</v>
      </c>
      <c r="F6752" s="25">
        <v>46226.476689814815</v>
      </c>
      <c r="G6752" s="24">
        <v>1</v>
      </c>
      <c r="H6752" s="24">
        <v>1</v>
      </c>
      <c r="I6752" s="24">
        <v>0</v>
      </c>
      <c r="J6752" s="23"/>
      <c r="K6752" s="24">
        <v>0</v>
      </c>
      <c r="L6752" s="22" t="str">
        <f>HYPERLINK("https://otsuka-europe-crm.veevavault.com/ui/#object/approved_document__v/V5OZ06G6O6RG2EY", "IT Veeva Double Opt-In Professional Profiling")</f>
        <v>IT Veeva Double Opt-In Professional Profiling</v>
      </c>
      <c r="M6752" s="22" t="str">
        <f>HYPERLINK("mailto:valerio.iannarilli@crm.otsuka-europe.com", "valerio.iannarilli@crm.otsuka-europe.com")</f>
        <v>valerio.iannarilli@crm.otsuka-europe.com</v>
      </c>
      <c r="N6752" s="25">
        <v>46226.472268518519</v>
      </c>
      <c r="O6752" s="14" t="str">
        <f>HYPERLINK("https://otsuka-europe-crm.veevavault.com/ui/#object/email_activity__v/V8C00000004B729", "EN-002107908")</f>
        <v>EN-002107908</v>
      </c>
    </row>
    <row r="6753" spans="1:15" ht="16" x14ac:dyDescent="0.2">
      <c r="A6753" s="19"/>
      <c r="B6753" s="19"/>
      <c r="C6753" s="19"/>
      <c r="D6753" s="19"/>
      <c r="E6753" s="19"/>
      <c r="F6753" s="19"/>
      <c r="G6753" s="19"/>
      <c r="H6753" s="19"/>
      <c r="I6753" s="19"/>
      <c r="J6753" s="19"/>
      <c r="K6753" s="19"/>
      <c r="L6753" s="19"/>
      <c r="M6753" s="19"/>
      <c r="N6753" s="19"/>
      <c r="O6753" s="14" t="str">
        <f>HYPERLINK("https://otsuka-europe-crm.veevavault.com/ui/#object/email_activity__v/V8C00000004C453", "EN-002107912")</f>
        <v>EN-002107912</v>
      </c>
    </row>
    <row r="6754" spans="1:15" ht="16" x14ac:dyDescent="0.2">
      <c r="A6754" s="18" t="str">
        <f>HYPERLINK("https://otsuka-europe-crm.veevavault.com/ui/#object/account__v/V4T00000002G049", "FRANCESCO RESTUCCIA")</f>
        <v>FRANCESCO RESTUCCIA</v>
      </c>
      <c r="B6754" s="18" t="str">
        <f>HYPERLINK("https://otsuka-europe-crm.veevavault.com/ui/#object/vcountry__v/VENZ000004SONFQ", "IT")</f>
        <v>IT</v>
      </c>
      <c r="C6754" s="20" t="s">
        <v>42</v>
      </c>
      <c r="D6754" s="21" t="str">
        <f>HYPERLINK("https://otsuka-europe-crm.veevavault.com/ui/#object/approved_document__v/V5OZ06G6O6RG2ES", "IT Veeva Double Opt-In Remote Meetings")</f>
        <v>IT Veeva Double Opt-In Remote Meetings</v>
      </c>
      <c r="E6754" s="22" t="str">
        <f>HYPERLINK("https://otsuka-europe-crm.veevavault.com/ui/#object/sent_email__v/VBL000000039221", "SE-001444807")</f>
        <v>SE-001444807</v>
      </c>
      <c r="F6754" s="25">
        <v>46226.477060185185</v>
      </c>
      <c r="G6754" s="24">
        <v>1</v>
      </c>
      <c r="H6754" s="24">
        <v>1</v>
      </c>
      <c r="I6754" s="24">
        <v>0</v>
      </c>
      <c r="J6754" s="23"/>
      <c r="K6754" s="24">
        <v>0</v>
      </c>
      <c r="L6754" s="22" t="str">
        <f>HYPERLINK("https://otsuka-europe-crm.veevavault.com/ui/#object/approved_document__v/V5OZ06G6O6RG2ES", "IT Veeva Double Opt-In Remote Meetings")</f>
        <v>IT Veeva Double Opt-In Remote Meetings</v>
      </c>
      <c r="M6754" s="22" t="str">
        <f>HYPERLINK("mailto:valerio.iannarilli@crm.otsuka-europe.com", "valerio.iannarilli@crm.otsuka-europe.com")</f>
        <v>valerio.iannarilli@crm.otsuka-europe.com</v>
      </c>
      <c r="N6754" s="25">
        <v>46226.472256944442</v>
      </c>
      <c r="O6754" s="14" t="str">
        <f>HYPERLINK("https://otsuka-europe-crm.veevavault.com/ui/#object/email_activity__v/V8C00000004B740", "EN-002107944")</f>
        <v>EN-002107944</v>
      </c>
    </row>
    <row r="6755" spans="1:15" ht="16" x14ac:dyDescent="0.2">
      <c r="A6755" s="26"/>
      <c r="B6755" s="26"/>
      <c r="C6755" s="26"/>
      <c r="D6755" s="26"/>
      <c r="E6755" s="26"/>
      <c r="F6755" s="26"/>
      <c r="G6755" s="26"/>
      <c r="H6755" s="26"/>
      <c r="I6755" s="26"/>
      <c r="J6755" s="26"/>
      <c r="K6755" s="26"/>
      <c r="L6755" s="26"/>
      <c r="M6755" s="26"/>
      <c r="N6755" s="26"/>
      <c r="O6755" s="14" t="str">
        <f>HYPERLINK("https://otsuka-europe-crm.veevavault.com/ui/#object/email_activity__v/V8C00000004C460", "EN-002107927")</f>
        <v>EN-002107927</v>
      </c>
    </row>
    <row r="6756" spans="1:15" ht="16" x14ac:dyDescent="0.2">
      <c r="A6756" s="19"/>
      <c r="B6756" s="19"/>
      <c r="C6756" s="19"/>
      <c r="D6756" s="19"/>
      <c r="E6756" s="19"/>
      <c r="F6756" s="19"/>
      <c r="G6756" s="19"/>
      <c r="H6756" s="19"/>
      <c r="I6756" s="19"/>
      <c r="J6756" s="19"/>
      <c r="K6756" s="19"/>
      <c r="L6756" s="19"/>
      <c r="M6756" s="19"/>
      <c r="N6756" s="19"/>
      <c r="O6756" s="14" t="str">
        <f>HYPERLINK("https://otsuka-europe-crm.veevavault.com/ui/#object/email_activity__v/V8C00000004C588", "EN-002108211")</f>
        <v>EN-002108211</v>
      </c>
    </row>
    <row r="6757" spans="1:15" ht="16" x14ac:dyDescent="0.2">
      <c r="A6757" s="18" t="str">
        <f>HYPERLINK("https://otsuka-europe-crm.veevavault.com/ui/#object/account__v/V4T00000002G049", "FRANCESCO RESTUCCIA")</f>
        <v>FRANCESCO RESTUCCIA</v>
      </c>
      <c r="B6757" s="18" t="str">
        <f>HYPERLINK("https://otsuka-europe-crm.veevavault.com/ui/#object/vcountry__v/VENZ000004SONFQ", "IT")</f>
        <v>IT</v>
      </c>
      <c r="C6757" s="20" t="s">
        <v>42</v>
      </c>
      <c r="D6757" s="21" t="str">
        <f>HYPERLINK("https://otsuka-europe-crm.veevavault.com/ui/#object/approved_document__v/V5OZ06G6O6RG2EU", "IT Veeva Double Opt-In Market Med+Sci")</f>
        <v>IT Veeva Double Opt-In Market Med+Sci</v>
      </c>
      <c r="E6757" s="22" t="str">
        <f>HYPERLINK("https://otsuka-europe-crm.veevavault.com/ui/#object/sent_email__v/VBL000000039222", "SE-001444808")</f>
        <v>SE-001444808</v>
      </c>
      <c r="F6757" s="25">
        <v>46226.476979166669</v>
      </c>
      <c r="G6757" s="24">
        <v>1</v>
      </c>
      <c r="H6757" s="24">
        <v>1</v>
      </c>
      <c r="I6757" s="24">
        <v>0</v>
      </c>
      <c r="J6757" s="23"/>
      <c r="K6757" s="24">
        <v>0</v>
      </c>
      <c r="L6757" s="22" t="str">
        <f>HYPERLINK("https://otsuka-europe-crm.veevavault.com/ui/#object/approved_document__v/V5OZ06G6O6RG2EU", "IT Veeva Double Opt-In Market Med+Sci")</f>
        <v>IT Veeva Double Opt-In Market Med+Sci</v>
      </c>
      <c r="M6757" s="22" t="str">
        <f>HYPERLINK("mailto:valerio.iannarilli@crm.otsuka-europe.com", "valerio.iannarilli@crm.otsuka-europe.com")</f>
        <v>valerio.iannarilli@crm.otsuka-europe.com</v>
      </c>
      <c r="N6757" s="25">
        <v>46226.472256944442</v>
      </c>
      <c r="O6757" s="14" t="str">
        <f>HYPERLINK("https://otsuka-europe-crm.veevavault.com/ui/#object/email_activity__v/V8C00000004B730", "EN-002107909")</f>
        <v>EN-002107909</v>
      </c>
    </row>
    <row r="6758" spans="1:15" ht="16" x14ac:dyDescent="0.2">
      <c r="A6758" s="19"/>
      <c r="B6758" s="19"/>
      <c r="C6758" s="19"/>
      <c r="D6758" s="19"/>
      <c r="E6758" s="19"/>
      <c r="F6758" s="19"/>
      <c r="G6758" s="19"/>
      <c r="H6758" s="19"/>
      <c r="I6758" s="19"/>
      <c r="J6758" s="19"/>
      <c r="K6758" s="19"/>
      <c r="L6758" s="19"/>
      <c r="M6758" s="19"/>
      <c r="N6758" s="19"/>
      <c r="O6758" s="14" t="str">
        <f>HYPERLINK("https://otsuka-europe-crm.veevavault.com/ui/#object/email_activity__v/V8C00000004B741", "EN-002107945")</f>
        <v>EN-002107945</v>
      </c>
    </row>
    <row r="6759" spans="1:15" ht="16" x14ac:dyDescent="0.2">
      <c r="A6759" s="18" t="str">
        <f>HYPERLINK("https://otsuka-europe-crm.veevavault.com/ui/#object/account__v/V4TZ025E85L261E", "OTTAVIA MAGNANI")</f>
        <v>OTTAVIA MAGNANI</v>
      </c>
      <c r="B6759" s="18" t="str">
        <f>HYPERLINK("https://otsuka-europe-crm.veevavault.com/ui/#object/vcountry__v/VENZ000004SONFQ", "IT")</f>
        <v>IT</v>
      </c>
      <c r="C6759" s="20" t="s">
        <v>42</v>
      </c>
      <c r="D6759" s="21" t="str">
        <f>HYPERLINK("https://otsuka-europe-crm.veevavault.com/ui/#object/approved_document__v/V5O00000001A011", "Lupkynis_classi bioptiche_IT-LUP-2600008 v1.0 - IMMUNO")</f>
        <v>Lupkynis_classi bioptiche_IT-LUP-2600008 v1.0 - IMMUNO</v>
      </c>
      <c r="E6759" s="22" t="str">
        <f>HYPERLINK("https://otsuka-europe-crm.veevavault.com/ui/#object/sent_email__v/VBL000000039223", "SE-001444809")</f>
        <v>SE-001444809</v>
      </c>
      <c r="F6759" s="25">
        <v>46230.750844907408</v>
      </c>
      <c r="G6759" s="24">
        <v>1</v>
      </c>
      <c r="H6759" s="24">
        <v>1</v>
      </c>
      <c r="I6759" s="24">
        <v>0</v>
      </c>
      <c r="J6759" s="23"/>
      <c r="K6759" s="24">
        <v>0</v>
      </c>
      <c r="L6759" s="22" t="str">
        <f>HYPERLINK("https://otsuka-europe-crm.veevavault.com/ui/#object/approved_document__v/V5O00000001A011", "Lupkynis_classi bioptiche_IT-LUP-2600008 v1.0 - IMMUNO")</f>
        <v>Lupkynis_classi bioptiche_IT-LUP-2600008 v1.0 - IMMUNO</v>
      </c>
      <c r="M6759" s="22" t="str">
        <f>HYPERLINK("mailto:marco.aldrigo@crm.otsuka-europe.com", "marco.aldrigo@crm.otsuka-europe.com")</f>
        <v>marco.aldrigo@crm.otsuka-europe.com</v>
      </c>
      <c r="N6759" s="25">
        <v>46226.472557870373</v>
      </c>
      <c r="O6759" s="14" t="str">
        <f>HYPERLINK("https://otsuka-europe-crm.veevavault.com/ui/#object/email_activity__v/V8C00000004B728", "EN-002107907")</f>
        <v>EN-002107907</v>
      </c>
    </row>
    <row r="6760" spans="1:15" ht="16" x14ac:dyDescent="0.2">
      <c r="A6760" s="19"/>
      <c r="B6760" s="19"/>
      <c r="C6760" s="19"/>
      <c r="D6760" s="19"/>
      <c r="E6760" s="19"/>
      <c r="F6760" s="19"/>
      <c r="G6760" s="19"/>
      <c r="H6760" s="19"/>
      <c r="I6760" s="19"/>
      <c r="J6760" s="19"/>
      <c r="K6760" s="19"/>
      <c r="L6760" s="19"/>
      <c r="M6760" s="19"/>
      <c r="N6760" s="19"/>
      <c r="O6760" s="14" t="str">
        <f>HYPERLINK("https://otsuka-europe-crm.veevavault.com/ui/#object/email_activity__v/V8C00000004E393", "EN-002109127")</f>
        <v>EN-002109127</v>
      </c>
    </row>
    <row r="6761" spans="1:15" ht="32" x14ac:dyDescent="0.2">
      <c r="A6761" s="7" t="str">
        <f>HYPERLINK("https://otsuka-europe-crm.veevavault.com/ui/#object/account__v/V4TZ0000063539R", "Jan-Hinnerk Stange")</f>
        <v>Jan-Hinnerk Stange</v>
      </c>
      <c r="B6761" s="7" t="str">
        <f>HYPERLINK("https://otsuka-europe-crm.veevavault.com/ui/#object/vcountry__v/VENZ000004SONFP", "DE")</f>
        <v>DE</v>
      </c>
      <c r="C6761" s="8" t="s">
        <v>43</v>
      </c>
      <c r="D6761" s="9" t="str">
        <f>HYPERLINK("https://otsuka-europe-crm.veevavault.com/ui/#object/approved_document__v/V5O00000001W001", "INA VAE DE – Zulassung INAQOVI Venetoclax")</f>
        <v>INA VAE DE – Zulassung INAQOVI Venetoclax</v>
      </c>
      <c r="E6761" s="10" t="str">
        <f>HYPERLINK("https://otsuka-europe-crm.veevavault.com/ui/#object/sent_email__v/VBL000000039224", "SE-001444810")</f>
        <v>SE-001444810</v>
      </c>
      <c r="F6761" s="11"/>
      <c r="G6761" s="12">
        <v>0</v>
      </c>
      <c r="H6761" s="12">
        <v>0</v>
      </c>
      <c r="I6761" s="12">
        <v>0</v>
      </c>
      <c r="J6761" s="11"/>
      <c r="K6761" s="12">
        <v>0</v>
      </c>
      <c r="L6761" s="10" t="str">
        <f>HYPERLINK("https://otsuka-europe-crm.veevavault.com/ui/#object/approved_document__v/V5O00000001W001", "INA VAE DE – Zulassung INAQOVI Venetoclax")</f>
        <v>INA VAE DE – Zulassung INAQOVI Venetoclax</v>
      </c>
      <c r="M6761" s="10" t="str">
        <f>HYPERLINK("mailto:LHoltermann@crm.otsuka-europe.com", "LHoltermann@crm.otsuka-europe.com")</f>
        <v>LHoltermann@crm.otsuka-europe.com</v>
      </c>
      <c r="N6761" s="13">
        <v>46226.563784722224</v>
      </c>
      <c r="O6761" s="14" t="str">
        <f>HYPERLINK("https://otsuka-europe-crm.veevavault.com/ui/#object/email_activity__v/V8C00000004C481", "EN-002107950")</f>
        <v>EN-002107950</v>
      </c>
    </row>
    <row r="6762" spans="1:15" ht="32" x14ac:dyDescent="0.2">
      <c r="A6762" s="7" t="str">
        <f>HYPERLINK("https://otsuka-europe-crm.veevavault.com/ui/#object/account__v/V4TZ06G6OBI63IH", "Wibke Oswald")</f>
        <v>Wibke Oswald</v>
      </c>
      <c r="B6762" s="7" t="str">
        <f>HYPERLINK("https://otsuka-europe-crm.veevavault.com/ui/#object/vcountry__v/VENZ000004SONFP", "DE")</f>
        <v>DE</v>
      </c>
      <c r="C6762" s="8" t="s">
        <v>43</v>
      </c>
      <c r="D6762" s="9" t="str">
        <f>HYPERLINK("https://otsuka-europe-crm.veevavault.com/ui/#object/approved_document__v/V5O00000001W001", "INA VAE DE – Zulassung INAQOVI Venetoclax")</f>
        <v>INA VAE DE – Zulassung INAQOVI Venetoclax</v>
      </c>
      <c r="E6762" s="10" t="str">
        <f>HYPERLINK("https://otsuka-europe-crm.veevavault.com/ui/#object/sent_email__v/VBL000000039225", "SE-001444811")</f>
        <v>SE-001444811</v>
      </c>
      <c r="F6762" s="11"/>
      <c r="G6762" s="12">
        <v>0</v>
      </c>
      <c r="H6762" s="12">
        <v>0</v>
      </c>
      <c r="I6762" s="12">
        <v>0</v>
      </c>
      <c r="J6762" s="11"/>
      <c r="K6762" s="12">
        <v>0</v>
      </c>
      <c r="L6762" s="10" t="str">
        <f>HYPERLINK("https://otsuka-europe-crm.veevavault.com/ui/#object/approved_document__v/V5O00000001W001", "INA VAE DE – Zulassung INAQOVI Venetoclax")</f>
        <v>INA VAE DE – Zulassung INAQOVI Venetoclax</v>
      </c>
      <c r="M6762" s="10" t="str">
        <f>HYPERLINK("mailto:LHoltermann@crm.otsuka-europe.com", "LHoltermann@crm.otsuka-europe.com")</f>
        <v>LHoltermann@crm.otsuka-europe.com</v>
      </c>
      <c r="N6762" s="13">
        <v>46226.574166666665</v>
      </c>
      <c r="O6762" s="14" t="str">
        <f>HYPERLINK("https://otsuka-europe-crm.veevavault.com/ui/#object/email_activity__v/V8C00000004C482", "EN-002107952")</f>
        <v>EN-002107952</v>
      </c>
    </row>
    <row r="6763" spans="1:15" ht="16" x14ac:dyDescent="0.2">
      <c r="A6763" s="18" t="str">
        <f>HYPERLINK("https://otsuka-europe-crm.veevavault.com/ui/#object/account__v/V4TZ00000634YW0", "Almut Berkemeier")</f>
        <v>Almut Berkemeier</v>
      </c>
      <c r="B6763" s="18" t="str">
        <f>HYPERLINK("https://otsuka-europe-crm.veevavault.com/ui/#object/vcountry__v/VENZ000004SONFP", "DE")</f>
        <v>DE</v>
      </c>
      <c r="C6763" s="20" t="s">
        <v>43</v>
      </c>
      <c r="D6763" s="21" t="str">
        <f>HYPERLINK("https://otsuka-europe-crm.veevavault.com/ui/#object/approved_document__v/V5O00000001W001", "INA VAE DE – Zulassung INAQOVI Venetoclax")</f>
        <v>INA VAE DE – Zulassung INAQOVI Venetoclax</v>
      </c>
      <c r="E6763" s="22" t="str">
        <f>HYPERLINK("https://otsuka-europe-crm.veevavault.com/ui/#object/sent_email__v/VBL000000039226", "SE-001444812")</f>
        <v>SE-001444812</v>
      </c>
      <c r="F6763" s="23"/>
      <c r="G6763" s="24">
        <v>0</v>
      </c>
      <c r="H6763" s="24">
        <v>0</v>
      </c>
      <c r="I6763" s="24">
        <v>0</v>
      </c>
      <c r="J6763" s="23"/>
      <c r="K6763" s="24">
        <v>0</v>
      </c>
      <c r="L6763" s="22" t="str">
        <f>HYPERLINK("https://otsuka-europe-crm.veevavault.com/ui/#object/approved_document__v/V5O00000001W001", "INA VAE DE – Zulassung INAQOVI Venetoclax")</f>
        <v>INA VAE DE – Zulassung INAQOVI Venetoclax</v>
      </c>
      <c r="M6763" s="22" t="str">
        <f>HYPERLINK("mailto:LHoltermann@crm.otsuka-europe.com", "LHoltermann@crm.otsuka-europe.com")</f>
        <v>LHoltermann@crm.otsuka-europe.com</v>
      </c>
      <c r="N6763" s="25">
        <v>46226.594166666669</v>
      </c>
      <c r="O6763" s="14" t="str">
        <f>HYPERLINK("https://otsuka-europe-crm.veevavault.com/ui/#object/email_activity__v/V8C00000004B850", "EN-002108158")</f>
        <v>EN-002108158</v>
      </c>
    </row>
    <row r="6764" spans="1:15" ht="16" x14ac:dyDescent="0.2">
      <c r="A6764" s="19"/>
      <c r="B6764" s="19"/>
      <c r="C6764" s="19"/>
      <c r="D6764" s="19"/>
      <c r="E6764" s="19"/>
      <c r="F6764" s="19"/>
      <c r="G6764" s="19"/>
      <c r="H6764" s="19"/>
      <c r="I6764" s="19"/>
      <c r="J6764" s="19"/>
      <c r="K6764" s="19"/>
      <c r="L6764" s="19"/>
      <c r="M6764" s="19"/>
      <c r="N6764" s="19"/>
      <c r="O6764" s="14" t="str">
        <f>HYPERLINK("https://otsuka-europe-crm.veevavault.com/ui/#object/email_activity__v/V8C00000004C491", "EN-002107967")</f>
        <v>EN-002107967</v>
      </c>
    </row>
    <row r="6765" spans="1:15" ht="32" x14ac:dyDescent="0.2">
      <c r="A6765" s="7" t="str">
        <f>HYPERLINK("https://otsuka-europe-crm.veevavault.com/ui/#object/account__v/V4TZ0000062PAPE", "Matthew Sawa")</f>
        <v>Matthew Sawa</v>
      </c>
      <c r="B6765" s="7" t="str">
        <f>HYPERLINK("https://otsuka-europe-crm.veevavault.com/ui/#object/vcountry__v/VENZ000004SONFK", "GB")</f>
        <v>GB</v>
      </c>
      <c r="C6765" s="8" t="s">
        <v>41</v>
      </c>
      <c r="D6765" s="9" t="str">
        <f>HYPERLINK("https://otsuka-europe-crm.veevavault.com/ui/#object/approved_document__v/V5O00000001V001", "LDM DR P2P Invite 12-Nov-26 v2 [digital]")</f>
        <v>LDM DR P2P Invite 12-Nov-26 v2 [digital]</v>
      </c>
      <c r="E6765" s="10" t="str">
        <f>HYPERLINK("https://otsuka-europe-crm.veevavault.com/ui/#object/sent_email__v/VBL000000039227", "SE-001444813")</f>
        <v>SE-001444813</v>
      </c>
      <c r="F6765" s="11"/>
      <c r="G6765" s="12">
        <v>0</v>
      </c>
      <c r="H6765" s="12">
        <v>0</v>
      </c>
      <c r="I6765" s="12">
        <v>0</v>
      </c>
      <c r="J6765" s="11"/>
      <c r="K6765" s="12">
        <v>0</v>
      </c>
      <c r="L6765" s="10" t="str">
        <f>HYPERLINK("https://otsuka-europe-crm.veevavault.com/ui/#object/approved_document__v/V5O00000001V001", "LDM DR P2P Invite 12-Nov-26 v2 [digital]")</f>
        <v>LDM DR P2P Invite 12-Nov-26 v2 [digital]</v>
      </c>
      <c r="M6765" s="10" t="str">
        <f>HYPERLINK("mailto:draval@crm.otsuka-europe.com", "draval@crm.otsuka-europe.com")</f>
        <v>draval@crm.otsuka-europe.com</v>
      </c>
      <c r="N6765" s="13">
        <v>46226.69494212963</v>
      </c>
      <c r="O6765" s="14" t="str">
        <f>HYPERLINK("https://otsuka-europe-crm.veevavault.com/ui/#object/email_activity__v/V8C00000004C537", "EN-002108040")</f>
        <v>EN-002108040</v>
      </c>
    </row>
    <row r="6766" spans="1:15" ht="32" x14ac:dyDescent="0.2">
      <c r="A6766" s="7" t="str">
        <f>HYPERLINK("https://otsuka-europe-crm.veevavault.com/ui/#object/account__v/V4TZ06G6OBI9YDE", "Preeti Gour")</f>
        <v>Preeti Gour</v>
      </c>
      <c r="B6766" s="7" t="str">
        <f>HYPERLINK("https://otsuka-europe-crm.veevavault.com/ui/#object/vcountry__v/VENZ000004SONFK", "GB")</f>
        <v>GB</v>
      </c>
      <c r="C6766" s="8" t="s">
        <v>41</v>
      </c>
      <c r="D6766" s="9" t="str">
        <f>HYPERLINK("https://otsuka-europe-crm.veevavault.com/ui/#object/approved_document__v/V5O00000001V001", "LDM DR P2P Invite 12-Nov-26 v2 [digital]")</f>
        <v>LDM DR P2P Invite 12-Nov-26 v2 [digital]</v>
      </c>
      <c r="E6766" s="10" t="str">
        <f>HYPERLINK("https://otsuka-europe-crm.veevavault.com/ui/#object/sent_email__v/VBL00000003A349", "SE-001444814")</f>
        <v>SE-001444814</v>
      </c>
      <c r="F6766" s="11"/>
      <c r="G6766" s="12">
        <v>0</v>
      </c>
      <c r="H6766" s="12">
        <v>0</v>
      </c>
      <c r="I6766" s="12">
        <v>0</v>
      </c>
      <c r="J6766" s="11"/>
      <c r="K6766" s="12">
        <v>0</v>
      </c>
      <c r="L6766" s="10" t="str">
        <f>HYPERLINK("https://otsuka-europe-crm.veevavault.com/ui/#object/approved_document__v/V5O00000001V001", "LDM DR P2P Invite 12-Nov-26 v2 [digital]")</f>
        <v>LDM DR P2P Invite 12-Nov-26 v2 [digital]</v>
      </c>
      <c r="M6766" s="10" t="str">
        <f>HYPERLINK("mailto:draval@crm.otsuka-europe.com", "draval@crm.otsuka-europe.com")</f>
        <v>draval@crm.otsuka-europe.com</v>
      </c>
      <c r="N6766" s="13">
        <v>46226.698206018518</v>
      </c>
      <c r="O6766" s="14" t="str">
        <f>HYPERLINK("https://otsuka-europe-crm.veevavault.com/ui/#object/email_activity__v/V8C00000004B778", "EN-002108041")</f>
        <v>EN-002108041</v>
      </c>
    </row>
    <row r="6767" spans="1:15" ht="32" x14ac:dyDescent="0.2">
      <c r="A6767" s="7" t="str">
        <f>HYPERLINK("https://otsuka-europe-crm.veevavault.com/ui/#object/account__v/V4TZ025E85KJ5JQ", "Titilola Haruna")</f>
        <v>Titilola Haruna</v>
      </c>
      <c r="B6767" s="7" t="str">
        <f>HYPERLINK("https://otsuka-europe-crm.veevavault.com/ui/#object/vcountry__v/VENZ000004SONFK", "GB")</f>
        <v>GB</v>
      </c>
      <c r="C6767" s="8" t="s">
        <v>41</v>
      </c>
      <c r="D6767" s="9" t="str">
        <f>HYPERLINK("https://otsuka-europe-crm.veevavault.com/ui/#object/approved_document__v/V5O00000001V001", "LDM DR P2P Invite 12-Nov-26 v2 [digital]")</f>
        <v>LDM DR P2P Invite 12-Nov-26 v2 [digital]</v>
      </c>
      <c r="E6767" s="10" t="str">
        <f>HYPERLINK("https://otsuka-europe-crm.veevavault.com/ui/#object/sent_email__v/VBL000000039228", "SE-001444815")</f>
        <v>SE-001444815</v>
      </c>
      <c r="F6767" s="11"/>
      <c r="G6767" s="12">
        <v>0</v>
      </c>
      <c r="H6767" s="12">
        <v>0</v>
      </c>
      <c r="I6767" s="12">
        <v>0</v>
      </c>
      <c r="J6767" s="11"/>
      <c r="K6767" s="12">
        <v>0</v>
      </c>
      <c r="L6767" s="10" t="str">
        <f>HYPERLINK("https://otsuka-europe-crm.veevavault.com/ui/#object/approved_document__v/V5O00000001V001", "LDM DR P2P Invite 12-Nov-26 v2 [digital]")</f>
        <v>LDM DR P2P Invite 12-Nov-26 v2 [digital]</v>
      </c>
      <c r="M6767" s="10" t="str">
        <f>HYPERLINK("mailto:draval@crm.otsuka-europe.com", "draval@crm.otsuka-europe.com")</f>
        <v>draval@crm.otsuka-europe.com</v>
      </c>
      <c r="N6767" s="13">
        <v>46226.698553240742</v>
      </c>
      <c r="O6767" s="14" t="str">
        <f>HYPERLINK("https://otsuka-europe-crm.veevavault.com/ui/#object/email_activity__v/V8C00000004B779", "EN-002108042")</f>
        <v>EN-002108042</v>
      </c>
    </row>
    <row r="6768" spans="1:15" ht="32" x14ac:dyDescent="0.2">
      <c r="A6768" s="7" t="str">
        <f>HYPERLINK("https://otsuka-europe-crm.veevavault.com/ui/#object/account__v/V4TZ0000062PL47", "Donna Perryman")</f>
        <v>Donna Perryman</v>
      </c>
      <c r="B6768" s="7" t="str">
        <f>HYPERLINK("https://otsuka-europe-crm.veevavault.com/ui/#object/vcountry__v/VENZ000004SONFK", "GB")</f>
        <v>GB</v>
      </c>
      <c r="C6768" s="8" t="s">
        <v>41</v>
      </c>
      <c r="D6768" s="9" t="str">
        <f>HYPERLINK("https://otsuka-europe-crm.veevavault.com/ui/#object/approved_document__v/V5O00000001V001", "LDM DR P2P Invite 12-Nov-26 v2 [digital]")</f>
        <v>LDM DR P2P Invite 12-Nov-26 v2 [digital]</v>
      </c>
      <c r="E6768" s="10" t="str">
        <f>HYPERLINK("https://otsuka-europe-crm.veevavault.com/ui/#object/sent_email__v/VBL00000003A350", "SE-001444816")</f>
        <v>SE-001444816</v>
      </c>
      <c r="F6768" s="11"/>
      <c r="G6768" s="12">
        <v>0</v>
      </c>
      <c r="H6768" s="12">
        <v>0</v>
      </c>
      <c r="I6768" s="12">
        <v>0</v>
      </c>
      <c r="J6768" s="11"/>
      <c r="K6768" s="12">
        <v>0</v>
      </c>
      <c r="L6768" s="10" t="str">
        <f>HYPERLINK("https://otsuka-europe-crm.veevavault.com/ui/#object/approved_document__v/V5O00000001V001", "LDM DR P2P Invite 12-Nov-26 v2 [digital]")</f>
        <v>LDM DR P2P Invite 12-Nov-26 v2 [digital]</v>
      </c>
      <c r="M6768" s="10" t="str">
        <f>HYPERLINK("mailto:draval@crm.otsuka-europe.com", "draval@crm.otsuka-europe.com")</f>
        <v>draval@crm.otsuka-europe.com</v>
      </c>
      <c r="N6768" s="13">
        <v>46226.69908564815</v>
      </c>
      <c r="O6768" s="14" t="str">
        <f>HYPERLINK("https://otsuka-europe-crm.veevavault.com/ui/#object/email_activity__v/V8C00000004B780", "EN-002108043")</f>
        <v>EN-002108043</v>
      </c>
    </row>
    <row r="6769" spans="1:15" ht="16" x14ac:dyDescent="0.2">
      <c r="A6769" s="18" t="str">
        <f>HYPERLINK("https://otsuka-europe-crm.veevavault.com/ui/#object/account__v/V4TZ0000062PB6W", "Anju Sahay")</f>
        <v>Anju Sahay</v>
      </c>
      <c r="B6769" s="18" t="str">
        <f>HYPERLINK("https://otsuka-europe-crm.veevavault.com/ui/#object/vcountry__v/VENZ000004SONFK", "GB")</f>
        <v>GB</v>
      </c>
      <c r="C6769" s="20" t="s">
        <v>41</v>
      </c>
      <c r="D6769" s="21" t="str">
        <f>HYPERLINK("https://otsuka-europe-crm.veevavault.com/ui/#object/approved_document__v/V5O00000001V001", "LDM DR P2P Invite 12-Nov-26 v2 [digital]")</f>
        <v>LDM DR P2P Invite 12-Nov-26 v2 [digital]</v>
      </c>
      <c r="E6769" s="22" t="str">
        <f>HYPERLINK("https://otsuka-europe-crm.veevavault.com/ui/#object/sent_email__v/VBL00000003A351", "SE-001444817")</f>
        <v>SE-001444817</v>
      </c>
      <c r="F6769" s="25">
        <v>46227.627280092594</v>
      </c>
      <c r="G6769" s="24">
        <v>1</v>
      </c>
      <c r="H6769" s="24">
        <v>1</v>
      </c>
      <c r="I6769" s="24">
        <v>0</v>
      </c>
      <c r="J6769" s="23"/>
      <c r="K6769" s="24">
        <v>0</v>
      </c>
      <c r="L6769" s="22" t="str">
        <f>HYPERLINK("https://otsuka-europe-crm.veevavault.com/ui/#object/approved_document__v/V5O00000001V001", "LDM DR P2P Invite 12-Nov-26 v2 [digital]")</f>
        <v>LDM DR P2P Invite 12-Nov-26 v2 [digital]</v>
      </c>
      <c r="M6769" s="22" t="str">
        <f>HYPERLINK("mailto:draval@crm.otsuka-europe.com", "draval@crm.otsuka-europe.com")</f>
        <v>draval@crm.otsuka-europe.com</v>
      </c>
      <c r="N6769" s="25">
        <v>46226.69935185185</v>
      </c>
      <c r="O6769" s="14" t="str">
        <f>HYPERLINK("https://otsuka-europe-crm.veevavault.com/ui/#object/email_activity__v/V8C00000004B781", "EN-002108044")</f>
        <v>EN-002108044</v>
      </c>
    </row>
    <row r="6770" spans="1:15" ht="16" x14ac:dyDescent="0.2">
      <c r="A6770" s="19"/>
      <c r="B6770" s="19"/>
      <c r="C6770" s="19"/>
      <c r="D6770" s="19"/>
      <c r="E6770" s="19"/>
      <c r="F6770" s="19"/>
      <c r="G6770" s="19"/>
      <c r="H6770" s="19"/>
      <c r="I6770" s="19"/>
      <c r="J6770" s="19"/>
      <c r="K6770" s="19"/>
      <c r="L6770" s="19"/>
      <c r="M6770" s="19"/>
      <c r="N6770" s="19"/>
      <c r="O6770" s="14" t="str">
        <f>HYPERLINK("https://otsuka-europe-crm.veevavault.com/ui/#object/email_activity__v/V8C00000004E232", "EN-002108836")</f>
        <v>EN-002108836</v>
      </c>
    </row>
    <row r="6771" spans="1:15" ht="16" x14ac:dyDescent="0.2">
      <c r="A6771" s="18" t="str">
        <f>HYPERLINK("https://otsuka-europe-crm.veevavault.com/ui/#object/account__v/V4TZ025E88KM1UJ", "Yasrat Bakare")</f>
        <v>Yasrat Bakare</v>
      </c>
      <c r="B6771" s="18" t="str">
        <f>HYPERLINK("https://otsuka-europe-crm.veevavault.com/ui/#object/vcountry__v/VENZ000004SONFK", "GB")</f>
        <v>GB</v>
      </c>
      <c r="C6771" s="20" t="s">
        <v>41</v>
      </c>
      <c r="D6771" s="21" t="str">
        <f>HYPERLINK("https://otsuka-europe-crm.veevavault.com/ui/#object/approved_document__v/V5O00000000D081", "UK - Consent Email 1 Aug 25")</f>
        <v>UK - Consent Email 1 Aug 25</v>
      </c>
      <c r="E6771" s="22" t="str">
        <f>HYPERLINK("https://otsuka-europe-crm.veevavault.com/ui/#object/sent_email__v/VBL000000039229", "SE-001444818")</f>
        <v>SE-001444818</v>
      </c>
      <c r="F6771" s="25">
        <v>46233.40552083333</v>
      </c>
      <c r="G6771" s="24">
        <v>1</v>
      </c>
      <c r="H6771" s="24">
        <v>19</v>
      </c>
      <c r="I6771" s="24">
        <v>1</v>
      </c>
      <c r="J6771" s="25">
        <v>46226.838391203702</v>
      </c>
      <c r="K6771" s="24">
        <v>12</v>
      </c>
      <c r="L6771" s="22" t="str">
        <f>HYPERLINK("https://otsuka-europe-crm.veevavault.com/ui/#object/approved_document__v/V5O00000000D081", "UK - Consent Email 1 Aug 25")</f>
        <v>UK - Consent Email 1 Aug 25</v>
      </c>
      <c r="M6771" s="22" t="str">
        <f>HYPERLINK("mailto:draval@crm.otsuka-europe.com", "draval@crm.otsuka-europe.com")</f>
        <v>draval@crm.otsuka-europe.com</v>
      </c>
      <c r="N6771" s="25">
        <v>46226.707048611112</v>
      </c>
      <c r="O6771" s="14" t="str">
        <f>HYPERLINK("https://otsuka-europe-crm.veevavault.com/ui/#object/email_activity__v/V8C00000004B783", "EN-002108050")</f>
        <v>EN-002108050</v>
      </c>
    </row>
    <row r="6772" spans="1:15" ht="16" x14ac:dyDescent="0.2">
      <c r="A6772" s="26"/>
      <c r="B6772" s="26"/>
      <c r="C6772" s="26"/>
      <c r="D6772" s="26"/>
      <c r="E6772" s="26"/>
      <c r="F6772" s="26"/>
      <c r="G6772" s="26"/>
      <c r="H6772" s="26"/>
      <c r="I6772" s="26"/>
      <c r="J6772" s="26"/>
      <c r="K6772" s="26"/>
      <c r="L6772" s="26"/>
      <c r="M6772" s="26"/>
      <c r="N6772" s="26"/>
      <c r="O6772" s="14" t="str">
        <f>HYPERLINK("https://otsuka-europe-crm.veevavault.com/ui/#object/email_activity__v/V8C00000004D016", "EN-002108239")</f>
        <v>EN-002108239</v>
      </c>
    </row>
    <row r="6773" spans="1:15" ht="16" x14ac:dyDescent="0.2">
      <c r="A6773" s="26"/>
      <c r="B6773" s="26"/>
      <c r="C6773" s="26"/>
      <c r="D6773" s="26"/>
      <c r="E6773" s="26"/>
      <c r="F6773" s="26"/>
      <c r="G6773" s="26"/>
      <c r="H6773" s="26"/>
      <c r="I6773" s="26"/>
      <c r="J6773" s="26"/>
      <c r="K6773" s="26"/>
      <c r="L6773" s="26"/>
      <c r="M6773" s="26"/>
      <c r="N6773" s="26"/>
      <c r="O6773" s="14" t="str">
        <f>HYPERLINK("https://otsuka-europe-crm.veevavault.com/ui/#object/email_activity__v/V8C00000004D017", "EN-002108240")</f>
        <v>EN-002108240</v>
      </c>
    </row>
    <row r="6774" spans="1:15" ht="16" x14ac:dyDescent="0.2">
      <c r="A6774" s="26"/>
      <c r="B6774" s="26"/>
      <c r="C6774" s="26"/>
      <c r="D6774" s="26"/>
      <c r="E6774" s="26"/>
      <c r="F6774" s="26"/>
      <c r="G6774" s="26"/>
      <c r="H6774" s="26"/>
      <c r="I6774" s="26"/>
      <c r="J6774" s="26"/>
      <c r="K6774" s="26"/>
      <c r="L6774" s="26"/>
      <c r="M6774" s="26"/>
      <c r="N6774" s="26"/>
      <c r="O6774" s="14" t="str">
        <f>HYPERLINK("https://otsuka-europe-crm.veevavault.com/ui/#object/email_activity__v/V8C00000004D018", "EN-002108241")</f>
        <v>EN-002108241</v>
      </c>
    </row>
    <row r="6775" spans="1:15" ht="16" x14ac:dyDescent="0.2">
      <c r="A6775" s="26"/>
      <c r="B6775" s="26"/>
      <c r="C6775" s="26"/>
      <c r="D6775" s="26"/>
      <c r="E6775" s="26"/>
      <c r="F6775" s="26"/>
      <c r="G6775" s="26"/>
      <c r="H6775" s="26"/>
      <c r="I6775" s="26"/>
      <c r="J6775" s="26"/>
      <c r="K6775" s="26"/>
      <c r="L6775" s="26"/>
      <c r="M6775" s="26"/>
      <c r="N6775" s="26"/>
      <c r="O6775" s="14" t="str">
        <f>HYPERLINK("https://otsuka-europe-crm.veevavault.com/ui/#object/email_activity__v/V8C00000004D019", "EN-002108242")</f>
        <v>EN-002108242</v>
      </c>
    </row>
    <row r="6776" spans="1:15" ht="16" x14ac:dyDescent="0.2">
      <c r="A6776" s="26"/>
      <c r="B6776" s="26"/>
      <c r="C6776" s="26"/>
      <c r="D6776" s="26"/>
      <c r="E6776" s="26"/>
      <c r="F6776" s="26"/>
      <c r="G6776" s="26"/>
      <c r="H6776" s="26"/>
      <c r="I6776" s="26"/>
      <c r="J6776" s="26"/>
      <c r="K6776" s="26"/>
      <c r="L6776" s="26"/>
      <c r="M6776" s="26"/>
      <c r="N6776" s="26"/>
      <c r="O6776" s="14" t="str">
        <f>HYPERLINK("https://otsuka-europe-crm.veevavault.com/ui/#object/email_activity__v/V8C00000004D022", "EN-002108245")</f>
        <v>EN-002108245</v>
      </c>
    </row>
    <row r="6777" spans="1:15" ht="16" x14ac:dyDescent="0.2">
      <c r="A6777" s="26"/>
      <c r="B6777" s="26"/>
      <c r="C6777" s="26"/>
      <c r="D6777" s="26"/>
      <c r="E6777" s="26"/>
      <c r="F6777" s="26"/>
      <c r="G6777" s="26"/>
      <c r="H6777" s="26"/>
      <c r="I6777" s="26"/>
      <c r="J6777" s="26"/>
      <c r="K6777" s="26"/>
      <c r="L6777" s="26"/>
      <c r="M6777" s="26"/>
      <c r="N6777" s="26"/>
      <c r="O6777" s="14" t="str">
        <f>HYPERLINK("https://otsuka-europe-crm.veevavault.com/ui/#object/email_activity__v/V8C00000004D023", "EN-002108246")</f>
        <v>EN-002108246</v>
      </c>
    </row>
    <row r="6778" spans="1:15" ht="16" x14ac:dyDescent="0.2">
      <c r="A6778" s="26"/>
      <c r="B6778" s="26"/>
      <c r="C6778" s="26"/>
      <c r="D6778" s="26"/>
      <c r="E6778" s="26"/>
      <c r="F6778" s="26"/>
      <c r="G6778" s="26"/>
      <c r="H6778" s="26"/>
      <c r="I6778" s="26"/>
      <c r="J6778" s="26"/>
      <c r="K6778" s="26"/>
      <c r="L6778" s="26"/>
      <c r="M6778" s="26"/>
      <c r="N6778" s="26"/>
      <c r="O6778" s="14" t="str">
        <f>HYPERLINK("https://otsuka-europe-crm.veevavault.com/ui/#object/email_activity__v/V8C00000004D024", "EN-002108247")</f>
        <v>EN-002108247</v>
      </c>
    </row>
    <row r="6779" spans="1:15" ht="16" x14ac:dyDescent="0.2">
      <c r="A6779" s="26"/>
      <c r="B6779" s="26"/>
      <c r="C6779" s="26"/>
      <c r="D6779" s="26"/>
      <c r="E6779" s="26"/>
      <c r="F6779" s="26"/>
      <c r="G6779" s="26"/>
      <c r="H6779" s="26"/>
      <c r="I6779" s="26"/>
      <c r="J6779" s="26"/>
      <c r="K6779" s="26"/>
      <c r="L6779" s="26"/>
      <c r="M6779" s="26"/>
      <c r="N6779" s="26"/>
      <c r="O6779" s="14" t="str">
        <f>HYPERLINK("https://otsuka-europe-crm.veevavault.com/ui/#object/email_activity__v/V8C00000004D025", "EN-002108248")</f>
        <v>EN-002108248</v>
      </c>
    </row>
    <row r="6780" spans="1:15" ht="16" x14ac:dyDescent="0.2">
      <c r="A6780" s="26"/>
      <c r="B6780" s="26"/>
      <c r="C6780" s="26"/>
      <c r="D6780" s="26"/>
      <c r="E6780" s="26"/>
      <c r="F6780" s="26"/>
      <c r="G6780" s="26"/>
      <c r="H6780" s="26"/>
      <c r="I6780" s="26"/>
      <c r="J6780" s="26"/>
      <c r="K6780" s="26"/>
      <c r="L6780" s="26"/>
      <c r="M6780" s="26"/>
      <c r="N6780" s="26"/>
      <c r="O6780" s="14" t="str">
        <f>HYPERLINK("https://otsuka-europe-crm.veevavault.com/ui/#object/email_activity__v/V8C00000004D026", "EN-002108249")</f>
        <v>EN-002108249</v>
      </c>
    </row>
    <row r="6781" spans="1:15" ht="16" x14ac:dyDescent="0.2">
      <c r="A6781" s="26"/>
      <c r="B6781" s="26"/>
      <c r="C6781" s="26"/>
      <c r="D6781" s="26"/>
      <c r="E6781" s="26"/>
      <c r="F6781" s="26"/>
      <c r="G6781" s="26"/>
      <c r="H6781" s="26"/>
      <c r="I6781" s="26"/>
      <c r="J6781" s="26"/>
      <c r="K6781" s="26"/>
      <c r="L6781" s="26"/>
      <c r="M6781" s="26"/>
      <c r="N6781" s="26"/>
      <c r="O6781" s="14" t="str">
        <f>HYPERLINK("https://otsuka-europe-crm.veevavault.com/ui/#object/email_activity__v/V8C00000004D027", "EN-002108250")</f>
        <v>EN-002108250</v>
      </c>
    </row>
    <row r="6782" spans="1:15" ht="16" x14ac:dyDescent="0.2">
      <c r="A6782" s="26"/>
      <c r="B6782" s="26"/>
      <c r="C6782" s="26"/>
      <c r="D6782" s="26"/>
      <c r="E6782" s="26"/>
      <c r="F6782" s="26"/>
      <c r="G6782" s="26"/>
      <c r="H6782" s="26"/>
      <c r="I6782" s="26"/>
      <c r="J6782" s="26"/>
      <c r="K6782" s="26"/>
      <c r="L6782" s="26"/>
      <c r="M6782" s="26"/>
      <c r="N6782" s="26"/>
      <c r="O6782" s="14" t="str">
        <f>HYPERLINK("https://otsuka-europe-crm.veevavault.com/ui/#object/email_activity__v/V8C00000004D768", "EN-002109644")</f>
        <v>EN-002109644</v>
      </c>
    </row>
    <row r="6783" spans="1:15" ht="16" x14ac:dyDescent="0.2">
      <c r="A6783" s="26"/>
      <c r="B6783" s="26"/>
      <c r="C6783" s="26"/>
      <c r="D6783" s="26"/>
      <c r="E6783" s="26"/>
      <c r="F6783" s="26"/>
      <c r="G6783" s="26"/>
      <c r="H6783" s="26"/>
      <c r="I6783" s="26"/>
      <c r="J6783" s="26"/>
      <c r="K6783" s="26"/>
      <c r="L6783" s="26"/>
      <c r="M6783" s="26"/>
      <c r="N6783" s="26"/>
      <c r="O6783" s="14" t="str">
        <f>HYPERLINK("https://otsuka-europe-crm.veevavault.com/ui/#object/email_activity__v/V8C00000004G010", "EN-002109804")</f>
        <v>EN-002109804</v>
      </c>
    </row>
    <row r="6784" spans="1:15" ht="16" x14ac:dyDescent="0.2">
      <c r="A6784" s="26"/>
      <c r="B6784" s="26"/>
      <c r="C6784" s="26"/>
      <c r="D6784" s="26"/>
      <c r="E6784" s="26"/>
      <c r="F6784" s="26"/>
      <c r="G6784" s="26"/>
      <c r="H6784" s="26"/>
      <c r="I6784" s="26"/>
      <c r="J6784" s="26"/>
      <c r="K6784" s="26"/>
      <c r="L6784" s="26"/>
      <c r="M6784" s="26"/>
      <c r="N6784" s="26"/>
      <c r="O6784" s="14" t="str">
        <f>HYPERLINK("https://otsuka-europe-crm.veevavault.com/ui/#object/email_activity__v/V8C00000004G011", "EN-002109805")</f>
        <v>EN-002109805</v>
      </c>
    </row>
    <row r="6785" spans="1:15" ht="16" x14ac:dyDescent="0.2">
      <c r="A6785" s="26"/>
      <c r="B6785" s="26"/>
      <c r="C6785" s="26"/>
      <c r="D6785" s="26"/>
      <c r="E6785" s="26"/>
      <c r="F6785" s="26"/>
      <c r="G6785" s="26"/>
      <c r="H6785" s="26"/>
      <c r="I6785" s="26"/>
      <c r="J6785" s="26"/>
      <c r="K6785" s="26"/>
      <c r="L6785" s="26"/>
      <c r="M6785" s="26"/>
      <c r="N6785" s="26"/>
      <c r="O6785" s="14" t="str">
        <f>HYPERLINK("https://otsuka-europe-crm.veevavault.com/ui/#object/email_activity__v/V8C00000004G012", "EN-002109806")</f>
        <v>EN-002109806</v>
      </c>
    </row>
    <row r="6786" spans="1:15" ht="16" x14ac:dyDescent="0.2">
      <c r="A6786" s="26"/>
      <c r="B6786" s="26"/>
      <c r="C6786" s="26"/>
      <c r="D6786" s="26"/>
      <c r="E6786" s="26"/>
      <c r="F6786" s="26"/>
      <c r="G6786" s="26"/>
      <c r="H6786" s="26"/>
      <c r="I6786" s="26"/>
      <c r="J6786" s="26"/>
      <c r="K6786" s="26"/>
      <c r="L6786" s="26"/>
      <c r="M6786" s="26"/>
      <c r="N6786" s="26"/>
      <c r="O6786" s="14" t="str">
        <f>HYPERLINK("https://otsuka-europe-crm.veevavault.com/ui/#object/email_activity__v/V8C00000004G013", "EN-002109807")</f>
        <v>EN-002109807</v>
      </c>
    </row>
    <row r="6787" spans="1:15" ht="16" x14ac:dyDescent="0.2">
      <c r="A6787" s="26"/>
      <c r="B6787" s="26"/>
      <c r="C6787" s="26"/>
      <c r="D6787" s="26"/>
      <c r="E6787" s="26"/>
      <c r="F6787" s="26"/>
      <c r="G6787" s="26"/>
      <c r="H6787" s="26"/>
      <c r="I6787" s="26"/>
      <c r="J6787" s="26"/>
      <c r="K6787" s="26"/>
      <c r="L6787" s="26"/>
      <c r="M6787" s="26"/>
      <c r="N6787" s="26"/>
      <c r="O6787" s="14" t="str">
        <f>HYPERLINK("https://otsuka-europe-crm.veevavault.com/ui/#object/email_activity__v/V8C00000004G016", "EN-002109810")</f>
        <v>EN-002109810</v>
      </c>
    </row>
    <row r="6788" spans="1:15" ht="16" x14ac:dyDescent="0.2">
      <c r="A6788" s="26"/>
      <c r="B6788" s="26"/>
      <c r="C6788" s="26"/>
      <c r="D6788" s="26"/>
      <c r="E6788" s="26"/>
      <c r="F6788" s="26"/>
      <c r="G6788" s="26"/>
      <c r="H6788" s="26"/>
      <c r="I6788" s="26"/>
      <c r="J6788" s="26"/>
      <c r="K6788" s="26"/>
      <c r="L6788" s="26"/>
      <c r="M6788" s="26"/>
      <c r="N6788" s="26"/>
      <c r="O6788" s="14" t="str">
        <f>HYPERLINK("https://otsuka-europe-crm.veevavault.com/ui/#object/email_activity__v/V8C00000004G017", "EN-002109811")</f>
        <v>EN-002109811</v>
      </c>
    </row>
    <row r="6789" spans="1:15" ht="16" x14ac:dyDescent="0.2">
      <c r="A6789" s="26"/>
      <c r="B6789" s="26"/>
      <c r="C6789" s="26"/>
      <c r="D6789" s="26"/>
      <c r="E6789" s="26"/>
      <c r="F6789" s="26"/>
      <c r="G6789" s="26"/>
      <c r="H6789" s="26"/>
      <c r="I6789" s="26"/>
      <c r="J6789" s="26"/>
      <c r="K6789" s="26"/>
      <c r="L6789" s="26"/>
      <c r="M6789" s="26"/>
      <c r="N6789" s="26"/>
      <c r="O6789" s="14" t="str">
        <f>HYPERLINK("https://otsuka-europe-crm.veevavault.com/ui/#object/email_activity__v/V8C00000004G018", "EN-002109812")</f>
        <v>EN-002109812</v>
      </c>
    </row>
    <row r="6790" spans="1:15" ht="16" x14ac:dyDescent="0.2">
      <c r="A6790" s="26"/>
      <c r="B6790" s="26"/>
      <c r="C6790" s="26"/>
      <c r="D6790" s="26"/>
      <c r="E6790" s="26"/>
      <c r="F6790" s="26"/>
      <c r="G6790" s="26"/>
      <c r="H6790" s="26"/>
      <c r="I6790" s="26"/>
      <c r="J6790" s="26"/>
      <c r="K6790" s="26"/>
      <c r="L6790" s="26"/>
      <c r="M6790" s="26"/>
      <c r="N6790" s="26"/>
      <c r="O6790" s="14" t="str">
        <f>HYPERLINK("https://otsuka-europe-crm.veevavault.com/ui/#object/email_activity__v/V8C00000004G019", "EN-002109813")</f>
        <v>EN-002109813</v>
      </c>
    </row>
    <row r="6791" spans="1:15" ht="16" x14ac:dyDescent="0.2">
      <c r="A6791" s="26"/>
      <c r="B6791" s="26"/>
      <c r="C6791" s="26"/>
      <c r="D6791" s="26"/>
      <c r="E6791" s="26"/>
      <c r="F6791" s="26"/>
      <c r="G6791" s="26"/>
      <c r="H6791" s="26"/>
      <c r="I6791" s="26"/>
      <c r="J6791" s="26"/>
      <c r="K6791" s="26"/>
      <c r="L6791" s="26"/>
      <c r="M6791" s="26"/>
      <c r="N6791" s="26"/>
      <c r="O6791" s="14" t="str">
        <f>HYPERLINK("https://otsuka-europe-crm.veevavault.com/ui/#object/email_activity__v/V8C00000004G020", "EN-002109814")</f>
        <v>EN-002109814</v>
      </c>
    </row>
    <row r="6792" spans="1:15" ht="16" x14ac:dyDescent="0.2">
      <c r="A6792" s="26"/>
      <c r="B6792" s="26"/>
      <c r="C6792" s="26"/>
      <c r="D6792" s="26"/>
      <c r="E6792" s="26"/>
      <c r="F6792" s="26"/>
      <c r="G6792" s="26"/>
      <c r="H6792" s="26"/>
      <c r="I6792" s="26"/>
      <c r="J6792" s="26"/>
      <c r="K6792" s="26"/>
      <c r="L6792" s="26"/>
      <c r="M6792" s="26"/>
      <c r="N6792" s="26"/>
      <c r="O6792" s="14" t="str">
        <f>HYPERLINK("https://otsuka-europe-crm.veevavault.com/ui/#object/email_activity__v/V8C00000004G021", "EN-002109815")</f>
        <v>EN-002109815</v>
      </c>
    </row>
    <row r="6793" spans="1:15" ht="16" x14ac:dyDescent="0.2">
      <c r="A6793" s="26"/>
      <c r="B6793" s="26"/>
      <c r="C6793" s="26"/>
      <c r="D6793" s="26"/>
      <c r="E6793" s="26"/>
      <c r="F6793" s="26"/>
      <c r="G6793" s="26"/>
      <c r="H6793" s="26"/>
      <c r="I6793" s="26"/>
      <c r="J6793" s="26"/>
      <c r="K6793" s="26"/>
      <c r="L6793" s="26"/>
      <c r="M6793" s="26"/>
      <c r="N6793" s="26"/>
      <c r="O6793" s="14" t="str">
        <f>HYPERLINK("https://otsuka-europe-crm.veevavault.com/ui/#object/email_activity__v/V8C00000004H004", "EN-002110954")</f>
        <v>EN-002110954</v>
      </c>
    </row>
    <row r="6794" spans="1:15" ht="16" x14ac:dyDescent="0.2">
      <c r="A6794" s="26"/>
      <c r="B6794" s="26"/>
      <c r="C6794" s="26"/>
      <c r="D6794" s="26"/>
      <c r="E6794" s="26"/>
      <c r="F6794" s="26"/>
      <c r="G6794" s="26"/>
      <c r="H6794" s="26"/>
      <c r="I6794" s="26"/>
      <c r="J6794" s="26"/>
      <c r="K6794" s="26"/>
      <c r="L6794" s="26"/>
      <c r="M6794" s="26"/>
      <c r="N6794" s="26"/>
      <c r="O6794" s="14" t="str">
        <f>HYPERLINK("https://otsuka-europe-crm.veevavault.com/ui/#object/email_activity__v/V8C00000004H005", "EN-002110955")</f>
        <v>EN-002110955</v>
      </c>
    </row>
    <row r="6795" spans="1:15" ht="16" x14ac:dyDescent="0.2">
      <c r="A6795" s="26"/>
      <c r="B6795" s="26"/>
      <c r="C6795" s="26"/>
      <c r="D6795" s="26"/>
      <c r="E6795" s="26"/>
      <c r="F6795" s="26"/>
      <c r="G6795" s="26"/>
      <c r="H6795" s="26"/>
      <c r="I6795" s="26"/>
      <c r="J6795" s="26"/>
      <c r="K6795" s="26"/>
      <c r="L6795" s="26"/>
      <c r="M6795" s="26"/>
      <c r="N6795" s="26"/>
      <c r="O6795" s="14" t="str">
        <f>HYPERLINK("https://otsuka-europe-crm.veevavault.com/ui/#object/email_activity__v/V8C00000004H006", "EN-002110956")</f>
        <v>EN-002110956</v>
      </c>
    </row>
    <row r="6796" spans="1:15" ht="16" x14ac:dyDescent="0.2">
      <c r="A6796" s="26"/>
      <c r="B6796" s="26"/>
      <c r="C6796" s="26"/>
      <c r="D6796" s="26"/>
      <c r="E6796" s="26"/>
      <c r="F6796" s="26"/>
      <c r="G6796" s="26"/>
      <c r="H6796" s="26"/>
      <c r="I6796" s="26"/>
      <c r="J6796" s="26"/>
      <c r="K6796" s="26"/>
      <c r="L6796" s="26"/>
      <c r="M6796" s="26"/>
      <c r="N6796" s="26"/>
      <c r="O6796" s="14" t="str">
        <f>HYPERLINK("https://otsuka-europe-crm.veevavault.com/ui/#object/email_activity__v/V8C00000004H007", "EN-002110957")</f>
        <v>EN-002110957</v>
      </c>
    </row>
    <row r="6797" spans="1:15" ht="16" x14ac:dyDescent="0.2">
      <c r="A6797" s="26"/>
      <c r="B6797" s="26"/>
      <c r="C6797" s="26"/>
      <c r="D6797" s="26"/>
      <c r="E6797" s="26"/>
      <c r="F6797" s="26"/>
      <c r="G6797" s="26"/>
      <c r="H6797" s="26"/>
      <c r="I6797" s="26"/>
      <c r="J6797" s="26"/>
      <c r="K6797" s="26"/>
      <c r="L6797" s="26"/>
      <c r="M6797" s="26"/>
      <c r="N6797" s="26"/>
      <c r="O6797" s="14" t="str">
        <f>HYPERLINK("https://otsuka-europe-crm.veevavault.com/ui/#object/email_activity__v/V8C00000004H010", "EN-002110960")</f>
        <v>EN-002110960</v>
      </c>
    </row>
    <row r="6798" spans="1:15" ht="16" x14ac:dyDescent="0.2">
      <c r="A6798" s="26"/>
      <c r="B6798" s="26"/>
      <c r="C6798" s="26"/>
      <c r="D6798" s="26"/>
      <c r="E6798" s="26"/>
      <c r="F6798" s="26"/>
      <c r="G6798" s="26"/>
      <c r="H6798" s="26"/>
      <c r="I6798" s="26"/>
      <c r="J6798" s="26"/>
      <c r="K6798" s="26"/>
      <c r="L6798" s="26"/>
      <c r="M6798" s="26"/>
      <c r="N6798" s="26"/>
      <c r="O6798" s="14" t="str">
        <f>HYPERLINK("https://otsuka-europe-crm.veevavault.com/ui/#object/email_activity__v/V8C00000004H011", "EN-002110961")</f>
        <v>EN-002110961</v>
      </c>
    </row>
    <row r="6799" spans="1:15" ht="16" x14ac:dyDescent="0.2">
      <c r="A6799" s="26"/>
      <c r="B6799" s="26"/>
      <c r="C6799" s="26"/>
      <c r="D6799" s="26"/>
      <c r="E6799" s="26"/>
      <c r="F6799" s="26"/>
      <c r="G6799" s="26"/>
      <c r="H6799" s="26"/>
      <c r="I6799" s="26"/>
      <c r="J6799" s="26"/>
      <c r="K6799" s="26"/>
      <c r="L6799" s="26"/>
      <c r="M6799" s="26"/>
      <c r="N6799" s="26"/>
      <c r="O6799" s="14" t="str">
        <f>HYPERLINK("https://otsuka-europe-crm.veevavault.com/ui/#object/email_activity__v/V8C00000004H012", "EN-002110962")</f>
        <v>EN-002110962</v>
      </c>
    </row>
    <row r="6800" spans="1:15" ht="16" x14ac:dyDescent="0.2">
      <c r="A6800" s="26"/>
      <c r="B6800" s="26"/>
      <c r="C6800" s="26"/>
      <c r="D6800" s="26"/>
      <c r="E6800" s="26"/>
      <c r="F6800" s="26"/>
      <c r="G6800" s="26"/>
      <c r="H6800" s="26"/>
      <c r="I6800" s="26"/>
      <c r="J6800" s="26"/>
      <c r="K6800" s="26"/>
      <c r="L6800" s="26"/>
      <c r="M6800" s="26"/>
      <c r="N6800" s="26"/>
      <c r="O6800" s="14" t="str">
        <f>HYPERLINK("https://otsuka-europe-crm.veevavault.com/ui/#object/email_activity__v/V8C00000004H013", "EN-002110963")</f>
        <v>EN-002110963</v>
      </c>
    </row>
    <row r="6801" spans="1:15" ht="16" x14ac:dyDescent="0.2">
      <c r="A6801" s="26"/>
      <c r="B6801" s="26"/>
      <c r="C6801" s="26"/>
      <c r="D6801" s="26"/>
      <c r="E6801" s="26"/>
      <c r="F6801" s="26"/>
      <c r="G6801" s="26"/>
      <c r="H6801" s="26"/>
      <c r="I6801" s="26"/>
      <c r="J6801" s="26"/>
      <c r="K6801" s="26"/>
      <c r="L6801" s="26"/>
      <c r="M6801" s="26"/>
      <c r="N6801" s="26"/>
      <c r="O6801" s="14" t="str">
        <f>HYPERLINK("https://otsuka-europe-crm.veevavault.com/ui/#object/email_activity__v/V8C00000004H014", "EN-002110964")</f>
        <v>EN-002110964</v>
      </c>
    </row>
    <row r="6802" spans="1:15" ht="16" x14ac:dyDescent="0.2">
      <c r="A6802" s="19"/>
      <c r="B6802" s="19"/>
      <c r="C6802" s="19"/>
      <c r="D6802" s="19"/>
      <c r="E6802" s="19"/>
      <c r="F6802" s="19"/>
      <c r="G6802" s="19"/>
      <c r="H6802" s="19"/>
      <c r="I6802" s="19"/>
      <c r="J6802" s="19"/>
      <c r="K6802" s="19"/>
      <c r="L6802" s="19"/>
      <c r="M6802" s="19"/>
      <c r="N6802" s="19"/>
      <c r="O6802" s="14" t="str">
        <f>HYPERLINK("https://otsuka-europe-crm.veevavault.com/ui/#object/email_activity__v/V8C00000004H015", "EN-002110965")</f>
        <v>EN-002110965</v>
      </c>
    </row>
    <row r="6803" spans="1:15" ht="16" x14ac:dyDescent="0.2">
      <c r="A6803" s="18" t="str">
        <f>HYPERLINK("https://otsuka-europe-crm.veevavault.com/ui/#object/account__v/V4T000000027018", "Anca Aiacoboaiei")</f>
        <v>Anca Aiacoboaiei</v>
      </c>
      <c r="B6803" s="18" t="str">
        <f>HYPERLINK("https://otsuka-europe-crm.veevavault.com/ui/#object/vcountry__v/VENZ000004SONFK", "GB")</f>
        <v>GB</v>
      </c>
      <c r="C6803" s="20" t="s">
        <v>41</v>
      </c>
      <c r="D6803" s="21" t="str">
        <f>HYPERLINK("https://otsuka-europe-crm.veevavault.com/ui/#object/approved_document__v/V5O00000000D081", "UK - Consent Email 1 Aug 25")</f>
        <v>UK - Consent Email 1 Aug 25</v>
      </c>
      <c r="E6803" s="22" t="str">
        <f>HYPERLINK("https://otsuka-europe-crm.veevavault.com/ui/#object/sent_email__v/VBL00000003A352", "SE-001444819")</f>
        <v>SE-001444819</v>
      </c>
      <c r="F6803" s="25">
        <v>46226.712384259263</v>
      </c>
      <c r="G6803" s="24">
        <v>1</v>
      </c>
      <c r="H6803" s="24">
        <v>5</v>
      </c>
      <c r="I6803" s="24">
        <v>1</v>
      </c>
      <c r="J6803" s="25">
        <v>46226.712384259263</v>
      </c>
      <c r="K6803" s="24">
        <v>1</v>
      </c>
      <c r="L6803" s="22" t="str">
        <f>HYPERLINK("https://otsuka-europe-crm.veevavault.com/ui/#object/approved_document__v/V5O00000000D081", "UK - Consent Email 1 Aug 25")</f>
        <v>UK - Consent Email 1 Aug 25</v>
      </c>
      <c r="M6803" s="22" t="str">
        <f>HYPERLINK("mailto:draval@crm.otsuka-europe.com", "draval@crm.otsuka-europe.com")</f>
        <v>draval@crm.otsuka-europe.com</v>
      </c>
      <c r="N6803" s="25">
        <v>46226.710405092592</v>
      </c>
      <c r="O6803" s="14" t="str">
        <f>HYPERLINK("https://otsuka-europe-crm.veevavault.com/ui/#object/email_activity__v/V8C00000004B852", "EN-002108162")</f>
        <v>EN-002108162</v>
      </c>
    </row>
    <row r="6804" spans="1:15" ht="16" x14ac:dyDescent="0.2">
      <c r="A6804" s="26"/>
      <c r="B6804" s="26"/>
      <c r="C6804" s="26"/>
      <c r="D6804" s="26"/>
      <c r="E6804" s="26"/>
      <c r="F6804" s="26"/>
      <c r="G6804" s="26"/>
      <c r="H6804" s="26"/>
      <c r="I6804" s="26"/>
      <c r="J6804" s="26"/>
      <c r="K6804" s="26"/>
      <c r="L6804" s="26"/>
      <c r="M6804" s="26"/>
      <c r="N6804" s="26"/>
      <c r="O6804" s="14" t="str">
        <f>HYPERLINK("https://otsuka-europe-crm.veevavault.com/ui/#object/email_activity__v/V8C00000004B853", "EN-002108163")</f>
        <v>EN-002108163</v>
      </c>
    </row>
    <row r="6805" spans="1:15" ht="16" x14ac:dyDescent="0.2">
      <c r="A6805" s="26"/>
      <c r="B6805" s="26"/>
      <c r="C6805" s="26"/>
      <c r="D6805" s="26"/>
      <c r="E6805" s="26"/>
      <c r="F6805" s="26"/>
      <c r="G6805" s="26"/>
      <c r="H6805" s="26"/>
      <c r="I6805" s="26"/>
      <c r="J6805" s="26"/>
      <c r="K6805" s="26"/>
      <c r="L6805" s="26"/>
      <c r="M6805" s="26"/>
      <c r="N6805" s="26"/>
      <c r="O6805" s="14" t="str">
        <f>HYPERLINK("https://otsuka-europe-crm.veevavault.com/ui/#object/email_activity__v/V8C00000004B854", "EN-002108164")</f>
        <v>EN-002108164</v>
      </c>
    </row>
    <row r="6806" spans="1:15" ht="16" x14ac:dyDescent="0.2">
      <c r="A6806" s="26"/>
      <c r="B6806" s="26"/>
      <c r="C6806" s="26"/>
      <c r="D6806" s="26"/>
      <c r="E6806" s="26"/>
      <c r="F6806" s="26"/>
      <c r="G6806" s="26"/>
      <c r="H6806" s="26"/>
      <c r="I6806" s="26"/>
      <c r="J6806" s="26"/>
      <c r="K6806" s="26"/>
      <c r="L6806" s="26"/>
      <c r="M6806" s="26"/>
      <c r="N6806" s="26"/>
      <c r="O6806" s="14" t="str">
        <f>HYPERLINK("https://otsuka-europe-crm.veevavault.com/ui/#object/email_activity__v/V8C00000004B855", "EN-002108165")</f>
        <v>EN-002108165</v>
      </c>
    </row>
    <row r="6807" spans="1:15" ht="16" x14ac:dyDescent="0.2">
      <c r="A6807" s="26"/>
      <c r="B6807" s="26"/>
      <c r="C6807" s="26"/>
      <c r="D6807" s="26"/>
      <c r="E6807" s="26"/>
      <c r="F6807" s="26"/>
      <c r="G6807" s="26"/>
      <c r="H6807" s="26"/>
      <c r="I6807" s="26"/>
      <c r="J6807" s="26"/>
      <c r="K6807" s="26"/>
      <c r="L6807" s="26"/>
      <c r="M6807" s="26"/>
      <c r="N6807" s="26"/>
      <c r="O6807" s="14" t="str">
        <f>HYPERLINK("https://otsuka-europe-crm.veevavault.com/ui/#object/email_activity__v/V8C00000004C542", "EN-002108052")</f>
        <v>EN-002108052</v>
      </c>
    </row>
    <row r="6808" spans="1:15" ht="16" x14ac:dyDescent="0.2">
      <c r="A6808" s="26"/>
      <c r="B6808" s="26"/>
      <c r="C6808" s="26"/>
      <c r="D6808" s="26"/>
      <c r="E6808" s="26"/>
      <c r="F6808" s="26"/>
      <c r="G6808" s="26"/>
      <c r="H6808" s="26"/>
      <c r="I6808" s="26"/>
      <c r="J6808" s="26"/>
      <c r="K6808" s="26"/>
      <c r="L6808" s="26"/>
      <c r="M6808" s="26"/>
      <c r="N6808" s="26"/>
      <c r="O6808" s="14" t="str">
        <f>HYPERLINK("https://otsuka-europe-crm.veevavault.com/ui/#object/email_activity__v/V8C00000004C559", "EN-002108070")</f>
        <v>EN-002108070</v>
      </c>
    </row>
    <row r="6809" spans="1:15" ht="16" x14ac:dyDescent="0.2">
      <c r="A6809" s="19"/>
      <c r="B6809" s="19"/>
      <c r="C6809" s="19"/>
      <c r="D6809" s="19"/>
      <c r="E6809" s="19"/>
      <c r="F6809" s="19"/>
      <c r="G6809" s="19"/>
      <c r="H6809" s="19"/>
      <c r="I6809" s="19"/>
      <c r="J6809" s="19"/>
      <c r="K6809" s="19"/>
      <c r="L6809" s="19"/>
      <c r="M6809" s="19"/>
      <c r="N6809" s="19"/>
      <c r="O6809" s="14" t="str">
        <f>HYPERLINK("https://otsuka-europe-crm.veevavault.com/ui/#object/email_activity__v/V8C00000004C560", "EN-002108069")</f>
        <v>EN-002108069</v>
      </c>
    </row>
    <row r="6810" spans="1:15" ht="16" x14ac:dyDescent="0.2">
      <c r="A6810" s="18" t="str">
        <f>HYPERLINK("https://otsuka-europe-crm.veevavault.com/ui/#object/account__v/V4T000000027018", "Anca Aiacoboaiei")</f>
        <v>Anca Aiacoboaiei</v>
      </c>
      <c r="B6810" s="18" t="str">
        <f>HYPERLINK("https://otsuka-europe-crm.veevavault.com/ui/#object/vcountry__v/VENZ000004SONFK", "GB")</f>
        <v>GB</v>
      </c>
      <c r="C6810" s="20" t="s">
        <v>41</v>
      </c>
      <c r="D6810" s="21" t="str">
        <f>HYPERLINK("https://otsuka-europe-crm.veevavault.com/ui/#object/approved_document__v/V5O00000001V001", "LDM DR P2P Invite 12-Nov-26 v2 [digital]")</f>
        <v>LDM DR P2P Invite 12-Nov-26 v2 [digital]</v>
      </c>
      <c r="E6810" s="22" t="str">
        <f>HYPERLINK("https://otsuka-europe-crm.veevavault.com/ui/#object/sent_email__v/VBL00000003B001", "SE-001444820")</f>
        <v>SE-001444820</v>
      </c>
      <c r="F6810" s="25">
        <v>46227.415439814817</v>
      </c>
      <c r="G6810" s="24">
        <v>1</v>
      </c>
      <c r="H6810" s="24">
        <v>1</v>
      </c>
      <c r="I6810" s="24">
        <v>0</v>
      </c>
      <c r="J6810" s="23"/>
      <c r="K6810" s="24">
        <v>0</v>
      </c>
      <c r="L6810" s="22" t="str">
        <f>HYPERLINK("https://otsuka-europe-crm.veevavault.com/ui/#object/approved_document__v/V5O00000001V001", "LDM DR P2P Invite 12-Nov-26 v2 [digital]")</f>
        <v>LDM DR P2P Invite 12-Nov-26 v2 [digital]</v>
      </c>
      <c r="M6810" s="22" t="str">
        <f>HYPERLINK("mailto:draval@crm.otsuka-europe.com", "draval@crm.otsuka-europe.com")</f>
        <v>draval@crm.otsuka-europe.com</v>
      </c>
      <c r="N6810" s="25">
        <v>46227.415000000001</v>
      </c>
      <c r="O6810" s="14" t="str">
        <f>HYPERLINK("https://otsuka-europe-crm.veevavault.com/ui/#object/email_activity__v/V8C00000004D059", "EN-002108288")</f>
        <v>EN-002108288</v>
      </c>
    </row>
    <row r="6811" spans="1:15" ht="16" x14ac:dyDescent="0.2">
      <c r="A6811" s="19"/>
      <c r="B6811" s="19"/>
      <c r="C6811" s="19"/>
      <c r="D6811" s="19"/>
      <c r="E6811" s="19"/>
      <c r="F6811" s="19"/>
      <c r="G6811" s="19"/>
      <c r="H6811" s="19"/>
      <c r="I6811" s="19"/>
      <c r="J6811" s="19"/>
      <c r="K6811" s="19"/>
      <c r="L6811" s="19"/>
      <c r="M6811" s="19"/>
      <c r="N6811" s="19"/>
      <c r="O6811" s="14" t="str">
        <f>HYPERLINK("https://otsuka-europe-crm.veevavault.com/ui/#object/email_activity__v/V8C00000004D060", "EN-002108289")</f>
        <v>EN-002108289</v>
      </c>
    </row>
    <row r="6812" spans="1:15" ht="16" x14ac:dyDescent="0.2">
      <c r="A6812" s="18" t="str">
        <f>HYPERLINK("https://otsuka-europe-crm.veevavault.com/ui/#object/account__v/V4TZ025E88KM1UJ", "Yasrat Bakare")</f>
        <v>Yasrat Bakare</v>
      </c>
      <c r="B6812" s="18" t="str">
        <f>HYPERLINK("https://otsuka-europe-crm.veevavault.com/ui/#object/vcountry__v/VENZ000004SONFK", "GB")</f>
        <v>GB</v>
      </c>
      <c r="C6812" s="20" t="s">
        <v>41</v>
      </c>
      <c r="D6812" s="21" t="str">
        <f>HYPERLINK("https://otsuka-europe-crm.veevavault.com/ui/#object/approved_document__v/V5O00000001V001", "LDM DR P2P Invite 12-Nov-26 v2 [digital]")</f>
        <v>LDM DR P2P Invite 12-Nov-26 v2 [digital]</v>
      </c>
      <c r="E6812" s="22" t="str">
        <f>HYPERLINK("https://otsuka-europe-crm.veevavault.com/ui/#object/sent_email__v/VBL00000003C001", "SE-001444821")</f>
        <v>SE-001444821</v>
      </c>
      <c r="F6812" s="25">
        <v>46233.405474537038</v>
      </c>
      <c r="G6812" s="24">
        <v>1</v>
      </c>
      <c r="H6812" s="24">
        <v>6</v>
      </c>
      <c r="I6812" s="24">
        <v>0</v>
      </c>
      <c r="J6812" s="23"/>
      <c r="K6812" s="24">
        <v>0</v>
      </c>
      <c r="L6812" s="22" t="str">
        <f>HYPERLINK("https://otsuka-europe-crm.veevavault.com/ui/#object/approved_document__v/V5O00000001V001", "LDM DR P2P Invite 12-Nov-26 v2 [digital]")</f>
        <v>LDM DR P2P Invite 12-Nov-26 v2 [digital]</v>
      </c>
      <c r="M6812" s="22" t="str">
        <f>HYPERLINK("mailto:draval@crm.otsuka-europe.com", "draval@crm.otsuka-europe.com")</f>
        <v>draval@crm.otsuka-europe.com</v>
      </c>
      <c r="N6812" s="25">
        <v>46227.416203703702</v>
      </c>
      <c r="O6812" s="14" t="str">
        <f>HYPERLINK("https://otsuka-europe-crm.veevavault.com/ui/#object/email_activity__v/V8C00000004D061", "EN-002108290")</f>
        <v>EN-002108290</v>
      </c>
    </row>
    <row r="6813" spans="1:15" ht="16" x14ac:dyDescent="0.2">
      <c r="A6813" s="26"/>
      <c r="B6813" s="26"/>
      <c r="C6813" s="26"/>
      <c r="D6813" s="26"/>
      <c r="E6813" s="26"/>
      <c r="F6813" s="26"/>
      <c r="G6813" s="26"/>
      <c r="H6813" s="26"/>
      <c r="I6813" s="26"/>
      <c r="J6813" s="26"/>
      <c r="K6813" s="26"/>
      <c r="L6813" s="26"/>
      <c r="M6813" s="26"/>
      <c r="N6813" s="26"/>
      <c r="O6813" s="14" t="str">
        <f>HYPERLINK("https://otsuka-europe-crm.veevavault.com/ui/#object/email_activity__v/V8C00000004D538", "EN-002109169")</f>
        <v>EN-002109169</v>
      </c>
    </row>
    <row r="6814" spans="1:15" ht="16" x14ac:dyDescent="0.2">
      <c r="A6814" s="26"/>
      <c r="B6814" s="26"/>
      <c r="C6814" s="26"/>
      <c r="D6814" s="26"/>
      <c r="E6814" s="26"/>
      <c r="F6814" s="26"/>
      <c r="G6814" s="26"/>
      <c r="H6814" s="26"/>
      <c r="I6814" s="26"/>
      <c r="J6814" s="26"/>
      <c r="K6814" s="26"/>
      <c r="L6814" s="26"/>
      <c r="M6814" s="26"/>
      <c r="N6814" s="26"/>
      <c r="O6814" s="14" t="str">
        <f>HYPERLINK("https://otsuka-europe-crm.veevavault.com/ui/#object/email_activity__v/V8C00000004D539", "EN-002109170")</f>
        <v>EN-002109170</v>
      </c>
    </row>
    <row r="6815" spans="1:15" ht="16" x14ac:dyDescent="0.2">
      <c r="A6815" s="26"/>
      <c r="B6815" s="26"/>
      <c r="C6815" s="26"/>
      <c r="D6815" s="26"/>
      <c r="E6815" s="26"/>
      <c r="F6815" s="26"/>
      <c r="G6815" s="26"/>
      <c r="H6815" s="26"/>
      <c r="I6815" s="26"/>
      <c r="J6815" s="26"/>
      <c r="K6815" s="26"/>
      <c r="L6815" s="26"/>
      <c r="M6815" s="26"/>
      <c r="N6815" s="26"/>
      <c r="O6815" s="14" t="str">
        <f>HYPERLINK("https://otsuka-europe-crm.veevavault.com/ui/#object/email_activity__v/V8C00000004D767", "EN-002109643")</f>
        <v>EN-002109643</v>
      </c>
    </row>
    <row r="6816" spans="1:15" ht="16" x14ac:dyDescent="0.2">
      <c r="A6816" s="26"/>
      <c r="B6816" s="26"/>
      <c r="C6816" s="26"/>
      <c r="D6816" s="26"/>
      <c r="E6816" s="26"/>
      <c r="F6816" s="26"/>
      <c r="G6816" s="26"/>
      <c r="H6816" s="26"/>
      <c r="I6816" s="26"/>
      <c r="J6816" s="26"/>
      <c r="K6816" s="26"/>
      <c r="L6816" s="26"/>
      <c r="M6816" s="26"/>
      <c r="N6816" s="26"/>
      <c r="O6816" s="14" t="str">
        <f>HYPERLINK("https://otsuka-europe-crm.veevavault.com/ui/#object/email_activity__v/V8C00000004E411", "EN-002109166")</f>
        <v>EN-002109166</v>
      </c>
    </row>
    <row r="6817" spans="1:15" ht="16" x14ac:dyDescent="0.2">
      <c r="A6817" s="26"/>
      <c r="B6817" s="26"/>
      <c r="C6817" s="26"/>
      <c r="D6817" s="26"/>
      <c r="E6817" s="26"/>
      <c r="F6817" s="26"/>
      <c r="G6817" s="26"/>
      <c r="H6817" s="26"/>
      <c r="I6817" s="26"/>
      <c r="J6817" s="26"/>
      <c r="K6817" s="26"/>
      <c r="L6817" s="26"/>
      <c r="M6817" s="26"/>
      <c r="N6817" s="26"/>
      <c r="O6817" s="14" t="str">
        <f>HYPERLINK("https://otsuka-europe-crm.veevavault.com/ui/#object/email_activity__v/V8C00000004E412", "EN-002109167")</f>
        <v>EN-002109167</v>
      </c>
    </row>
    <row r="6818" spans="1:15" ht="16" x14ac:dyDescent="0.2">
      <c r="A6818" s="19"/>
      <c r="B6818" s="19"/>
      <c r="C6818" s="19"/>
      <c r="D6818" s="19"/>
      <c r="E6818" s="19"/>
      <c r="F6818" s="19"/>
      <c r="G6818" s="19"/>
      <c r="H6818" s="19"/>
      <c r="I6818" s="19"/>
      <c r="J6818" s="19"/>
      <c r="K6818" s="19"/>
      <c r="L6818" s="19"/>
      <c r="M6818" s="19"/>
      <c r="N6818" s="19"/>
      <c r="O6818" s="14" t="str">
        <f>HYPERLINK("https://otsuka-europe-crm.veevavault.com/ui/#object/email_activity__v/V8C00000004E662", "EN-002109642")</f>
        <v>EN-002109642</v>
      </c>
    </row>
    <row r="6819" spans="1:15" ht="16" x14ac:dyDescent="0.2">
      <c r="A6819" s="18" t="str">
        <f>HYPERLINK("https://otsuka-europe-crm.veevavault.com/ui/#object/account__v/V4T000000023065", "Jill Mukisa")</f>
        <v>Jill Mukisa</v>
      </c>
      <c r="B6819" s="18" t="str">
        <f>HYPERLINK("https://otsuka-europe-crm.veevavault.com/ui/#object/vcountry__v/VENZ000004SONFK", "GB")</f>
        <v>GB</v>
      </c>
      <c r="C6819" s="20" t="s">
        <v>41</v>
      </c>
      <c r="D6819" s="21" t="str">
        <f>HYPERLINK("https://otsuka-europe-crm.veevavault.com/ui/#object/approved_document__v/V5O00000000D081", "UK - Consent Email 1 Aug 25")</f>
        <v>UK - Consent Email 1 Aug 25</v>
      </c>
      <c r="E6819" s="22" t="str">
        <f>HYPERLINK("https://otsuka-europe-crm.veevavault.com/ui/#object/sent_email__v/VBL00000003C002", "SE-001444822")</f>
        <v>SE-001444822</v>
      </c>
      <c r="F6819" s="25">
        <v>46227.472210648149</v>
      </c>
      <c r="G6819" s="24">
        <v>1</v>
      </c>
      <c r="H6819" s="24">
        <v>1</v>
      </c>
      <c r="I6819" s="24">
        <v>0</v>
      </c>
      <c r="J6819" s="23"/>
      <c r="K6819" s="24">
        <v>0</v>
      </c>
      <c r="L6819" s="22" t="str">
        <f>HYPERLINK("https://otsuka-europe-crm.veevavault.com/ui/#object/approved_document__v/V5O00000000D081", "UK - Consent Email 1 Aug 25")</f>
        <v>UK - Consent Email 1 Aug 25</v>
      </c>
      <c r="M6819" s="22" t="str">
        <f>HYPERLINK("mailto:draval@crm.otsuka-europe.com", "draval@crm.otsuka-europe.com")</f>
        <v>draval@crm.otsuka-europe.com</v>
      </c>
      <c r="N6819" s="25">
        <v>46227.471377314818</v>
      </c>
      <c r="O6819" s="14" t="str">
        <f>HYPERLINK("https://otsuka-europe-crm.veevavault.com/ui/#object/email_activity__v/V8C00000004D065", "EN-002108300")</f>
        <v>EN-002108300</v>
      </c>
    </row>
    <row r="6820" spans="1:15" ht="16" x14ac:dyDescent="0.2">
      <c r="A6820" s="19"/>
      <c r="B6820" s="19"/>
      <c r="C6820" s="19"/>
      <c r="D6820" s="19"/>
      <c r="E6820" s="19"/>
      <c r="F6820" s="19"/>
      <c r="G6820" s="19"/>
      <c r="H6820" s="19"/>
      <c r="I6820" s="19"/>
      <c r="J6820" s="19"/>
      <c r="K6820" s="19"/>
      <c r="L6820" s="19"/>
      <c r="M6820" s="19"/>
      <c r="N6820" s="19"/>
      <c r="O6820" s="14" t="str">
        <f>HYPERLINK("https://otsuka-europe-crm.veevavault.com/ui/#object/email_activity__v/V8C00000004D067", "EN-002108302")</f>
        <v>EN-002108302</v>
      </c>
    </row>
    <row r="6821" spans="1:15" ht="16" x14ac:dyDescent="0.2">
      <c r="A6821" s="18" t="str">
        <f>HYPERLINK("https://otsuka-europe-crm.veevavault.com/ui/#object/account__v/V4T000000022048", "Mustafa Abbas")</f>
        <v>Mustafa Abbas</v>
      </c>
      <c r="B6821" s="18" t="str">
        <f>HYPERLINK("https://otsuka-europe-crm.veevavault.com/ui/#object/vcountry__v/VENZ000004SONFK", "GB")</f>
        <v>GB</v>
      </c>
      <c r="C6821" s="20" t="s">
        <v>41</v>
      </c>
      <c r="D6821" s="21" t="str">
        <f>HYPERLINK("https://otsuka-europe-crm.veevavault.com/ui/#object/approved_document__v/V5O00000000D081", "UK - Consent Email 1 Aug 25")</f>
        <v>UK - Consent Email 1 Aug 25</v>
      </c>
      <c r="E6821" s="22" t="str">
        <f>HYPERLINK("https://otsuka-europe-crm.veevavault.com/ui/#object/sent_email__v/VBL00000003B002", "SE-001444823")</f>
        <v>SE-001444823</v>
      </c>
      <c r="F6821" s="25">
        <v>46227.503530092596</v>
      </c>
      <c r="G6821" s="24">
        <v>1</v>
      </c>
      <c r="H6821" s="24">
        <v>1</v>
      </c>
      <c r="I6821" s="24">
        <v>1</v>
      </c>
      <c r="J6821" s="25">
        <v>46227.507372685184</v>
      </c>
      <c r="K6821" s="24">
        <v>1</v>
      </c>
      <c r="L6821" s="22" t="str">
        <f>HYPERLINK("https://otsuka-europe-crm.veevavault.com/ui/#object/approved_document__v/V5O00000000D081", "UK - Consent Email 1 Aug 25")</f>
        <v>UK - Consent Email 1 Aug 25</v>
      </c>
      <c r="M6821" s="22" t="str">
        <f>HYPERLINK("mailto:draval@crm.otsuka-europe.com", "draval@crm.otsuka-europe.com")</f>
        <v>draval@crm.otsuka-europe.com</v>
      </c>
      <c r="N6821" s="25">
        <v>46227.497662037036</v>
      </c>
      <c r="O6821" s="14" t="str">
        <f>HYPERLINK("https://otsuka-europe-crm.veevavault.com/ui/#object/email_activity__v/V8C00000004D069", "EN-002108305")</f>
        <v>EN-002108305</v>
      </c>
    </row>
    <row r="6822" spans="1:15" ht="16" x14ac:dyDescent="0.2">
      <c r="A6822" s="26"/>
      <c r="B6822" s="26"/>
      <c r="C6822" s="26"/>
      <c r="D6822" s="26"/>
      <c r="E6822" s="26"/>
      <c r="F6822" s="26"/>
      <c r="G6822" s="26"/>
      <c r="H6822" s="26"/>
      <c r="I6822" s="26"/>
      <c r="J6822" s="26"/>
      <c r="K6822" s="26"/>
      <c r="L6822" s="26"/>
      <c r="M6822" s="26"/>
      <c r="N6822" s="26"/>
      <c r="O6822" s="14" t="str">
        <f>HYPERLINK("https://otsuka-europe-crm.veevavault.com/ui/#object/email_activity__v/V8C00000004E019", "EN-002108306")</f>
        <v>EN-002108306</v>
      </c>
    </row>
    <row r="6823" spans="1:15" ht="16" x14ac:dyDescent="0.2">
      <c r="A6823" s="19"/>
      <c r="B6823" s="19"/>
      <c r="C6823" s="19"/>
      <c r="D6823" s="19"/>
      <c r="E6823" s="19"/>
      <c r="F6823" s="19"/>
      <c r="G6823" s="19"/>
      <c r="H6823" s="19"/>
      <c r="I6823" s="19"/>
      <c r="J6823" s="19"/>
      <c r="K6823" s="19"/>
      <c r="L6823" s="19"/>
      <c r="M6823" s="19"/>
      <c r="N6823" s="19"/>
      <c r="O6823" s="14" t="str">
        <f>HYPERLINK("https://otsuka-europe-crm.veevavault.com/ui/#object/email_activity__v/V8C00000004E020", "EN-002108307")</f>
        <v>EN-002108307</v>
      </c>
    </row>
    <row r="6824" spans="1:15" ht="16" x14ac:dyDescent="0.2">
      <c r="A6824" s="18" t="str">
        <f>HYPERLINK("https://otsuka-europe-crm.veevavault.com/ui/#object/account__v/V4T000000022048", "Mustafa Abbas")</f>
        <v>Mustafa Abbas</v>
      </c>
      <c r="B6824" s="18" t="str">
        <f>HYPERLINK("https://otsuka-europe-crm.veevavault.com/ui/#object/vcountry__v/VENZ000004SONFK", "GB")</f>
        <v>GB</v>
      </c>
      <c r="C6824" s="20" t="s">
        <v>41</v>
      </c>
      <c r="D6824" s="21" t="str">
        <f>HYPERLINK("https://otsuka-europe-crm.veevavault.com/ui/#object/approved_document__v/V5O00000001V001", "LDM DR P2P Invite 12-Nov-26 v2 [digital]")</f>
        <v>LDM DR P2P Invite 12-Nov-26 v2 [digital]</v>
      </c>
      <c r="E6824" s="22" t="str">
        <f>HYPERLINK("https://otsuka-europe-crm.veevavault.com/ui/#object/sent_email__v/VBL00000003C003", "SE-001444824")</f>
        <v>SE-001444824</v>
      </c>
      <c r="F6824" s="25">
        <v>46227.806550925925</v>
      </c>
      <c r="G6824" s="24">
        <v>1</v>
      </c>
      <c r="H6824" s="24">
        <v>1</v>
      </c>
      <c r="I6824" s="24">
        <v>0</v>
      </c>
      <c r="J6824" s="23"/>
      <c r="K6824" s="24">
        <v>0</v>
      </c>
      <c r="L6824" s="22" t="str">
        <f>HYPERLINK("https://otsuka-europe-crm.veevavault.com/ui/#object/approved_document__v/V5O00000001V001", "LDM DR P2P Invite 12-Nov-26 v2 [digital]")</f>
        <v>LDM DR P2P Invite 12-Nov-26 v2 [digital]</v>
      </c>
      <c r="M6824" s="22" t="str">
        <f>HYPERLINK("mailto:draval@crm.otsuka-europe.com", "draval@crm.otsuka-europe.com")</f>
        <v>draval@crm.otsuka-europe.com</v>
      </c>
      <c r="N6824" s="25">
        <v>46227.509629629632</v>
      </c>
      <c r="O6824" s="14" t="str">
        <f>HYPERLINK("https://otsuka-europe-crm.veevavault.com/ui/#object/email_activity__v/V8C00000004D070", "EN-002108308")</f>
        <v>EN-002108308</v>
      </c>
    </row>
    <row r="6825" spans="1:15" ht="16" x14ac:dyDescent="0.2">
      <c r="A6825" s="19"/>
      <c r="B6825" s="19"/>
      <c r="C6825" s="19"/>
      <c r="D6825" s="19"/>
      <c r="E6825" s="19"/>
      <c r="F6825" s="19"/>
      <c r="G6825" s="19"/>
      <c r="H6825" s="19"/>
      <c r="I6825" s="19"/>
      <c r="J6825" s="19"/>
      <c r="K6825" s="19"/>
      <c r="L6825" s="19"/>
      <c r="M6825" s="19"/>
      <c r="N6825" s="19"/>
      <c r="O6825" s="14" t="str">
        <f>HYPERLINK("https://otsuka-europe-crm.veevavault.com/ui/#object/email_activity__v/V8C00000004D421", "EN-002108919")</f>
        <v>EN-002108919</v>
      </c>
    </row>
    <row r="6826" spans="1:15" ht="48" x14ac:dyDescent="0.2">
      <c r="A6826" s="7" t="str">
        <f>HYPERLINK("https://otsuka-europe-crm.veevavault.com/ui/#object/account__v/V4TZ025E85NAADJ", "JUAN SEBASTIAN GONZALEZ")</f>
        <v>JUAN SEBASTIAN GONZALEZ</v>
      </c>
      <c r="B6826" s="7" t="str">
        <f>HYPERLINK("https://otsuka-europe-crm.veevavault.com/ui/#object/vcountry__v/VENZ000004SONF5", "ES")</f>
        <v>ES</v>
      </c>
      <c r="C6826" s="8" t="s">
        <v>39</v>
      </c>
      <c r="D6826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26" s="10" t="str">
        <f>HYPERLINK("https://otsuka-europe-crm.veevavault.com/ui/#object/sent_email__v/VBL00000003B003", "SE-001444825")</f>
        <v>SE-001444825</v>
      </c>
      <c r="F6826" s="11"/>
      <c r="G6826" s="12">
        <v>0</v>
      </c>
      <c r="H6826" s="12">
        <v>0</v>
      </c>
      <c r="I6826" s="12">
        <v>0</v>
      </c>
      <c r="J6826" s="11"/>
      <c r="K6826" s="12">
        <v>0</v>
      </c>
      <c r="L6826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26" s="10" t="str">
        <f>HYPERLINK("mailto:oriballo@crm.otsuka-europe.com", "oriballo@crm.otsuka-europe.com")</f>
        <v>oriballo@crm.otsuka-europe.com</v>
      </c>
      <c r="N6826" s="13">
        <v>46227.517407407409</v>
      </c>
      <c r="O6826" s="14" t="str">
        <f>HYPERLINK("https://otsuka-europe-crm.veevavault.com/ui/#object/email_activity__v/V8C00000004D080", "EN-002108320")</f>
        <v>EN-002108320</v>
      </c>
    </row>
    <row r="6827" spans="1:15" ht="48" x14ac:dyDescent="0.2">
      <c r="A6827" s="7" t="str">
        <f>HYPERLINK("https://otsuka-europe-crm.veevavault.com/ui/#object/account__v/V4TZ025E83DSAZV", "EDUARDO NAVAS ARAUZ")</f>
        <v>EDUARDO NAVAS ARAUZ</v>
      </c>
      <c r="B6827" s="7" t="str">
        <f>HYPERLINK("https://otsuka-europe-crm.veevavault.com/ui/#object/vcountry__v/VENZ000004SONF5", "ES")</f>
        <v>ES</v>
      </c>
      <c r="C6827" s="8" t="s">
        <v>39</v>
      </c>
      <c r="D6827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27" s="10" t="str">
        <f>HYPERLINK("https://otsuka-europe-crm.veevavault.com/ui/#object/sent_email__v/VBL00000003B004", "SE-001444826")</f>
        <v>SE-001444826</v>
      </c>
      <c r="F6827" s="11"/>
      <c r="G6827" s="12">
        <v>0</v>
      </c>
      <c r="H6827" s="12">
        <v>0</v>
      </c>
      <c r="I6827" s="12">
        <v>0</v>
      </c>
      <c r="J6827" s="11"/>
      <c r="K6827" s="12">
        <v>0</v>
      </c>
      <c r="L6827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27" s="10" t="str">
        <f>HYPERLINK("mailto:oriballo@crm.otsuka-europe.com", "oriballo@crm.otsuka-europe.com")</f>
        <v>oriballo@crm.otsuka-europe.com</v>
      </c>
      <c r="N6827" s="13">
        <v>46227.517407407409</v>
      </c>
      <c r="O6827" s="14" t="str">
        <f>HYPERLINK("https://otsuka-europe-crm.veevavault.com/ui/#object/email_activity__v/V8C00000004D114", "EN-002108371")</f>
        <v>EN-002108371</v>
      </c>
    </row>
    <row r="6828" spans="1:15" ht="48" x14ac:dyDescent="0.2">
      <c r="A6828" s="7" t="str">
        <f>HYPERLINK("https://otsuka-europe-crm.veevavault.com/ui/#object/account__v/V4TZ06G6O71T8EL", "FERNANDO MANUEL HENAO CARRASCO")</f>
        <v>FERNANDO MANUEL HENAO CARRASCO</v>
      </c>
      <c r="B6828" s="7" t="str">
        <f>HYPERLINK("https://otsuka-europe-crm.veevavault.com/ui/#object/vcountry__v/VENZ000004SONF5", "ES")</f>
        <v>ES</v>
      </c>
      <c r="C6828" s="8" t="s">
        <v>39</v>
      </c>
      <c r="D6828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28" s="10" t="str">
        <f>HYPERLINK("https://otsuka-europe-crm.veevavault.com/ui/#object/sent_email__v/VBL00000003B005", "SE-001444827")</f>
        <v>SE-001444827</v>
      </c>
      <c r="F6828" s="11"/>
      <c r="G6828" s="12">
        <v>0</v>
      </c>
      <c r="H6828" s="12">
        <v>0</v>
      </c>
      <c r="I6828" s="12">
        <v>0</v>
      </c>
      <c r="J6828" s="11"/>
      <c r="K6828" s="12">
        <v>0</v>
      </c>
      <c r="L6828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28" s="10" t="str">
        <f>HYPERLINK("mailto:oriballo@crm.otsuka-europe.com", "oriballo@crm.otsuka-europe.com")</f>
        <v>oriballo@crm.otsuka-europe.com</v>
      </c>
      <c r="N6828" s="13">
        <v>46227.517430555556</v>
      </c>
      <c r="O6828" s="14" t="str">
        <f>HYPERLINK("https://otsuka-europe-crm.veevavault.com/ui/#object/email_activity__v/V8C00000004D100", "EN-002108342")</f>
        <v>EN-002108342</v>
      </c>
    </row>
    <row r="6829" spans="1:15" ht="48" x14ac:dyDescent="0.2">
      <c r="A6829" s="7" t="str">
        <f>HYPERLINK("https://otsuka-europe-crm.veevavault.com/ui/#object/account__v/V4TZ025E82X55BL", "MARIA VICTORIA MORENO ROMERO")</f>
        <v>MARIA VICTORIA MORENO ROMERO</v>
      </c>
      <c r="B6829" s="7" t="str">
        <f>HYPERLINK("https://otsuka-europe-crm.veevavault.com/ui/#object/vcountry__v/VENZ000004SONF5", "ES")</f>
        <v>ES</v>
      </c>
      <c r="C6829" s="8" t="s">
        <v>39</v>
      </c>
      <c r="D6829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29" s="10" t="str">
        <f>HYPERLINK("https://otsuka-europe-crm.veevavault.com/ui/#object/sent_email__v/VBL00000003B006", "SE-001444828")</f>
        <v>SE-001444828</v>
      </c>
      <c r="F6829" s="11"/>
      <c r="G6829" s="12">
        <v>0</v>
      </c>
      <c r="H6829" s="12">
        <v>0</v>
      </c>
      <c r="I6829" s="12">
        <v>0</v>
      </c>
      <c r="J6829" s="11"/>
      <c r="K6829" s="12">
        <v>0</v>
      </c>
      <c r="L6829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29" s="10" t="str">
        <f>HYPERLINK("mailto:oriballo@crm.otsuka-europe.com", "oriballo@crm.otsuka-europe.com")</f>
        <v>oriballo@crm.otsuka-europe.com</v>
      </c>
      <c r="N6829" s="13">
        <v>46227.517407407409</v>
      </c>
      <c r="O6829" s="14" t="str">
        <f>HYPERLINK("https://otsuka-europe-crm.veevavault.com/ui/#object/email_activity__v/V8C00000004E043", "EN-002108377")</f>
        <v>EN-002108377</v>
      </c>
    </row>
    <row r="6830" spans="1:15" ht="16" x14ac:dyDescent="0.2">
      <c r="A6830" s="18" t="str">
        <f>HYPERLINK("https://otsuka-europe-crm.veevavault.com/ui/#object/account__v/V4TZ025E831CTCP", "MARIA DOLORES MADRIGAL TOSCANO")</f>
        <v>MARIA DOLORES MADRIGAL TOSCANO</v>
      </c>
      <c r="B6830" s="18" t="str">
        <f>HYPERLINK("https://otsuka-europe-crm.veevavault.com/ui/#object/vcountry__v/VENZ000004SONF5", "ES")</f>
        <v>ES</v>
      </c>
      <c r="C6830" s="20" t="s">
        <v>39</v>
      </c>
      <c r="D6830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30" s="22" t="str">
        <f>HYPERLINK("https://otsuka-europe-crm.veevavault.com/ui/#object/sent_email__v/VBL00000003B007", "SE-001444829")</f>
        <v>SE-001444829</v>
      </c>
      <c r="F6830" s="23"/>
      <c r="G6830" s="24">
        <v>0</v>
      </c>
      <c r="H6830" s="24">
        <v>0</v>
      </c>
      <c r="I6830" s="24">
        <v>1</v>
      </c>
      <c r="J6830" s="25">
        <v>46231.37060185185</v>
      </c>
      <c r="K6830" s="24">
        <v>1</v>
      </c>
      <c r="L6830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30" s="22" t="str">
        <f>HYPERLINK("mailto:oriballo@crm.otsuka-europe.com", "oriballo@crm.otsuka-europe.com")</f>
        <v>oriballo@crm.otsuka-europe.com</v>
      </c>
      <c r="N6830" s="25">
        <v>46227.517361111109</v>
      </c>
      <c r="O6830" s="14" t="str">
        <f>HYPERLINK("https://otsuka-europe-crm.veevavault.com/ui/#object/email_activity__v/V8C00000004D095", "EN-002108337")</f>
        <v>EN-002108337</v>
      </c>
    </row>
    <row r="6831" spans="1:15" ht="16" x14ac:dyDescent="0.2">
      <c r="A6831" s="26"/>
      <c r="B6831" s="26"/>
      <c r="C6831" s="26"/>
      <c r="D6831" s="26"/>
      <c r="E6831" s="26"/>
      <c r="F6831" s="26"/>
      <c r="G6831" s="26"/>
      <c r="H6831" s="26"/>
      <c r="I6831" s="26"/>
      <c r="J6831" s="26"/>
      <c r="K6831" s="26"/>
      <c r="L6831" s="26"/>
      <c r="M6831" s="26"/>
      <c r="N6831" s="26"/>
      <c r="O6831" s="14" t="str">
        <f>HYPERLINK("https://otsuka-europe-crm.veevavault.com/ui/#object/email_activity__v/V8C00000004D536", "EN-002109163")</f>
        <v>EN-002109163</v>
      </c>
    </row>
    <row r="6832" spans="1:15" ht="16" x14ac:dyDescent="0.2">
      <c r="A6832" s="19"/>
      <c r="B6832" s="19"/>
      <c r="C6832" s="19"/>
      <c r="D6832" s="19"/>
      <c r="E6832" s="19"/>
      <c r="F6832" s="19"/>
      <c r="G6832" s="19"/>
      <c r="H6832" s="19"/>
      <c r="I6832" s="19"/>
      <c r="J6832" s="19"/>
      <c r="K6832" s="19"/>
      <c r="L6832" s="19"/>
      <c r="M6832" s="19"/>
      <c r="N6832" s="19"/>
      <c r="O6832" s="14" t="str">
        <f>HYPERLINK("https://otsuka-europe-crm.veevavault.com/ui/#object/email_activity__v/V8C00000004E408", "EN-002109161")</f>
        <v>EN-002109161</v>
      </c>
    </row>
    <row r="6833" spans="1:15" ht="48" x14ac:dyDescent="0.2">
      <c r="A6833" s="7" t="str">
        <f>HYPERLINK("https://otsuka-europe-crm.veevavault.com/ui/#object/account__v/V4TZ025E85B2TBA", "ALICIA RODRIGUEZ FERNANDEZ")</f>
        <v>ALICIA RODRIGUEZ FERNANDEZ</v>
      </c>
      <c r="B6833" s="7" t="str">
        <f>HYPERLINK("https://otsuka-europe-crm.veevavault.com/ui/#object/vcountry__v/VENZ000004SONF5", "ES")</f>
        <v>ES</v>
      </c>
      <c r="C6833" s="8" t="s">
        <v>39</v>
      </c>
      <c r="D6833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33" s="10" t="str">
        <f>HYPERLINK("https://otsuka-europe-crm.veevavault.com/ui/#object/sent_email__v/VBL00000003B008", "SE-001444830")</f>
        <v>SE-001444830</v>
      </c>
      <c r="F6833" s="11"/>
      <c r="G6833" s="12">
        <v>0</v>
      </c>
      <c r="H6833" s="12">
        <v>0</v>
      </c>
      <c r="I6833" s="12">
        <v>0</v>
      </c>
      <c r="J6833" s="11"/>
      <c r="K6833" s="12">
        <v>0</v>
      </c>
      <c r="L6833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33" s="10" t="str">
        <f>HYPERLINK("mailto:oriballo@crm.otsuka-europe.com", "oriballo@crm.otsuka-europe.com")</f>
        <v>oriballo@crm.otsuka-europe.com</v>
      </c>
      <c r="N6833" s="13">
        <v>46227.517337962963</v>
      </c>
      <c r="O6833" s="14" t="str">
        <f>HYPERLINK("https://otsuka-europe-crm.veevavault.com/ui/#object/email_activity__v/V8C00000004D073", "EN-002108313")</f>
        <v>EN-002108313</v>
      </c>
    </row>
    <row r="6834" spans="1:15" ht="16" x14ac:dyDescent="0.2">
      <c r="A6834" s="18" t="str">
        <f>HYPERLINK("https://otsuka-europe-crm.veevavault.com/ui/#object/account__v/V4TZ06G6O71T980", "FUENSANTA ARANDA BELLIDO")</f>
        <v>FUENSANTA ARANDA BELLIDO</v>
      </c>
      <c r="B6834" s="18" t="str">
        <f>HYPERLINK("https://otsuka-europe-crm.veevavault.com/ui/#object/vcountry__v/VENZ000004SONF5", "ES")</f>
        <v>ES</v>
      </c>
      <c r="C6834" s="20" t="s">
        <v>39</v>
      </c>
      <c r="D6834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34" s="22" t="str">
        <f>HYPERLINK("https://otsuka-europe-crm.veevavault.com/ui/#object/sent_email__v/VBL00000003B009", "SE-001444831")</f>
        <v>SE-001444831</v>
      </c>
      <c r="F6834" s="23"/>
      <c r="G6834" s="24">
        <v>0</v>
      </c>
      <c r="H6834" s="24">
        <v>0</v>
      </c>
      <c r="I6834" s="24">
        <v>0</v>
      </c>
      <c r="J6834" s="23"/>
      <c r="K6834" s="24">
        <v>0</v>
      </c>
      <c r="L6834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34" s="22" t="str">
        <f>HYPERLINK("mailto:oriballo@crm.otsuka-europe.com", "oriballo@crm.otsuka-europe.com")</f>
        <v>oriballo@crm.otsuka-europe.com</v>
      </c>
      <c r="N6834" s="25">
        <v>46227.517407407409</v>
      </c>
      <c r="O6834" s="14" t="str">
        <f>HYPERLINK("https://otsuka-europe-crm.veevavault.com/ui/#object/email_activity__v/V8C00000004D076", "EN-002108316")</f>
        <v>EN-002108316</v>
      </c>
    </row>
    <row r="6835" spans="1:15" ht="16" x14ac:dyDescent="0.2">
      <c r="A6835" s="19"/>
      <c r="B6835" s="19"/>
      <c r="C6835" s="19"/>
      <c r="D6835" s="19"/>
      <c r="E6835" s="19"/>
      <c r="F6835" s="19"/>
      <c r="G6835" s="19"/>
      <c r="H6835" s="19"/>
      <c r="I6835" s="19"/>
      <c r="J6835" s="19"/>
      <c r="K6835" s="19"/>
      <c r="L6835" s="19"/>
      <c r="M6835" s="19"/>
      <c r="N6835" s="19"/>
      <c r="O6835" s="14" t="str">
        <f>HYPERLINK("https://otsuka-europe-crm.veevavault.com/ui/#object/email_activity__v/V8C00000004D345", "EN-002108740")</f>
        <v>EN-002108740</v>
      </c>
    </row>
    <row r="6836" spans="1:15" ht="16" x14ac:dyDescent="0.2">
      <c r="A6836" s="18" t="str">
        <f>HYPERLINK("https://otsuka-europe-crm.veevavault.com/ui/#object/account__v/V4TZ025E83CFP87", "MARIA VAHI SANCHEZ DE MEDINA")</f>
        <v>MARIA VAHI SANCHEZ DE MEDINA</v>
      </c>
      <c r="B6836" s="18" t="str">
        <f>HYPERLINK("https://otsuka-europe-crm.veevavault.com/ui/#object/vcountry__v/VENZ000004SONF5", "ES")</f>
        <v>ES</v>
      </c>
      <c r="C6836" s="20" t="s">
        <v>39</v>
      </c>
      <c r="D6836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36" s="22" t="str">
        <f>HYPERLINK("https://otsuka-europe-crm.veevavault.com/ui/#object/sent_email__v/VBL00000003B010", "SE-001444832")</f>
        <v>SE-001444832</v>
      </c>
      <c r="F6836" s="25">
        <v>46227.627986111111</v>
      </c>
      <c r="G6836" s="24">
        <v>1</v>
      </c>
      <c r="H6836" s="24">
        <v>7</v>
      </c>
      <c r="I6836" s="24">
        <v>0</v>
      </c>
      <c r="J6836" s="23"/>
      <c r="K6836" s="24">
        <v>0</v>
      </c>
      <c r="L6836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36" s="22" t="str">
        <f>HYPERLINK("mailto:oriballo@crm.otsuka-europe.com", "oriballo@crm.otsuka-europe.com")</f>
        <v>oriballo@crm.otsuka-europe.com</v>
      </c>
      <c r="N6836" s="25">
        <v>46227.517407407409</v>
      </c>
      <c r="O6836" s="14" t="str">
        <f>HYPERLINK("https://otsuka-europe-crm.veevavault.com/ui/#object/email_activity__v/V8C00000004D366", "EN-002108779")</f>
        <v>EN-002108779</v>
      </c>
    </row>
    <row r="6837" spans="1:15" ht="16" x14ac:dyDescent="0.2">
      <c r="A6837" s="26"/>
      <c r="B6837" s="26"/>
      <c r="C6837" s="26"/>
      <c r="D6837" s="26"/>
      <c r="E6837" s="26"/>
      <c r="F6837" s="26"/>
      <c r="G6837" s="26"/>
      <c r="H6837" s="26"/>
      <c r="I6837" s="26"/>
      <c r="J6837" s="26"/>
      <c r="K6837" s="26"/>
      <c r="L6837" s="26"/>
      <c r="M6837" s="26"/>
      <c r="N6837" s="26"/>
      <c r="O6837" s="14" t="str">
        <f>HYPERLINK("https://otsuka-europe-crm.veevavault.com/ui/#object/email_activity__v/V8C00000004D386", "EN-002108834")</f>
        <v>EN-002108834</v>
      </c>
    </row>
    <row r="6838" spans="1:15" ht="16" x14ac:dyDescent="0.2">
      <c r="A6838" s="26"/>
      <c r="B6838" s="26"/>
      <c r="C6838" s="26"/>
      <c r="D6838" s="26"/>
      <c r="E6838" s="26"/>
      <c r="F6838" s="26"/>
      <c r="G6838" s="26"/>
      <c r="H6838" s="26"/>
      <c r="I6838" s="26"/>
      <c r="J6838" s="26"/>
      <c r="K6838" s="26"/>
      <c r="L6838" s="26"/>
      <c r="M6838" s="26"/>
      <c r="N6838" s="26"/>
      <c r="O6838" s="14" t="str">
        <f>HYPERLINK("https://otsuka-europe-crm.veevavault.com/ui/#object/email_activity__v/V8C00000004D387", "EN-002108838")</f>
        <v>EN-002108838</v>
      </c>
    </row>
    <row r="6839" spans="1:15" ht="16" x14ac:dyDescent="0.2">
      <c r="A6839" s="26"/>
      <c r="B6839" s="26"/>
      <c r="C6839" s="26"/>
      <c r="D6839" s="26"/>
      <c r="E6839" s="26"/>
      <c r="F6839" s="26"/>
      <c r="G6839" s="26"/>
      <c r="H6839" s="26"/>
      <c r="I6839" s="26"/>
      <c r="J6839" s="26"/>
      <c r="K6839" s="26"/>
      <c r="L6839" s="26"/>
      <c r="M6839" s="26"/>
      <c r="N6839" s="26"/>
      <c r="O6839" s="14" t="str">
        <f>HYPERLINK("https://otsuka-europe-crm.veevavault.com/ui/#object/email_activity__v/V8C00000004E041", "EN-002108375")</f>
        <v>EN-002108375</v>
      </c>
    </row>
    <row r="6840" spans="1:15" ht="16" x14ac:dyDescent="0.2">
      <c r="A6840" s="26"/>
      <c r="B6840" s="26"/>
      <c r="C6840" s="26"/>
      <c r="D6840" s="26"/>
      <c r="E6840" s="26"/>
      <c r="F6840" s="26"/>
      <c r="G6840" s="26"/>
      <c r="H6840" s="26"/>
      <c r="I6840" s="26"/>
      <c r="J6840" s="26"/>
      <c r="K6840" s="26"/>
      <c r="L6840" s="26"/>
      <c r="M6840" s="26"/>
      <c r="N6840" s="26"/>
      <c r="O6840" s="14" t="str">
        <f>HYPERLINK("https://otsuka-europe-crm.veevavault.com/ui/#object/email_activity__v/V8C00000004E197", "EN-002108782")</f>
        <v>EN-002108782</v>
      </c>
    </row>
    <row r="6841" spans="1:15" ht="16" x14ac:dyDescent="0.2">
      <c r="A6841" s="26"/>
      <c r="B6841" s="26"/>
      <c r="C6841" s="26"/>
      <c r="D6841" s="26"/>
      <c r="E6841" s="26"/>
      <c r="F6841" s="26"/>
      <c r="G6841" s="26"/>
      <c r="H6841" s="26"/>
      <c r="I6841" s="26"/>
      <c r="J6841" s="26"/>
      <c r="K6841" s="26"/>
      <c r="L6841" s="26"/>
      <c r="M6841" s="26"/>
      <c r="N6841" s="26"/>
      <c r="O6841" s="14" t="str">
        <f>HYPERLINK("https://otsuka-europe-crm.veevavault.com/ui/#object/email_activity__v/V8C00000004E230", "EN-002108833")</f>
        <v>EN-002108833</v>
      </c>
    </row>
    <row r="6842" spans="1:15" ht="16" x14ac:dyDescent="0.2">
      <c r="A6842" s="26"/>
      <c r="B6842" s="26"/>
      <c r="C6842" s="26"/>
      <c r="D6842" s="26"/>
      <c r="E6842" s="26"/>
      <c r="F6842" s="26"/>
      <c r="G6842" s="26"/>
      <c r="H6842" s="26"/>
      <c r="I6842" s="26"/>
      <c r="J6842" s="26"/>
      <c r="K6842" s="26"/>
      <c r="L6842" s="26"/>
      <c r="M6842" s="26"/>
      <c r="N6842" s="26"/>
      <c r="O6842" s="14" t="str">
        <f>HYPERLINK("https://otsuka-europe-crm.veevavault.com/ui/#object/email_activity__v/V8C00000004E231", "EN-002108835")</f>
        <v>EN-002108835</v>
      </c>
    </row>
    <row r="6843" spans="1:15" ht="16" x14ac:dyDescent="0.2">
      <c r="A6843" s="19"/>
      <c r="B6843" s="19"/>
      <c r="C6843" s="19"/>
      <c r="D6843" s="19"/>
      <c r="E6843" s="19"/>
      <c r="F6843" s="19"/>
      <c r="G6843" s="19"/>
      <c r="H6843" s="19"/>
      <c r="I6843" s="19"/>
      <c r="J6843" s="19"/>
      <c r="K6843" s="19"/>
      <c r="L6843" s="19"/>
      <c r="M6843" s="19"/>
      <c r="N6843" s="19"/>
      <c r="O6843" s="14" t="str">
        <f>HYPERLINK("https://otsuka-europe-crm.veevavault.com/ui/#object/email_activity__v/V8C00000004E233", "EN-002108837")</f>
        <v>EN-002108837</v>
      </c>
    </row>
    <row r="6844" spans="1:15" ht="48" x14ac:dyDescent="0.2">
      <c r="A6844" s="7" t="str">
        <f>HYPERLINK("https://otsuka-europe-crm.veevavault.com/ui/#object/account__v/V4TZ025E831ETNG", "RAFAEL FLORES CORNEJO")</f>
        <v>RAFAEL FLORES CORNEJO</v>
      </c>
      <c r="B6844" s="7" t="str">
        <f>HYPERLINK("https://otsuka-europe-crm.veevavault.com/ui/#object/vcountry__v/VENZ000004SONF5", "ES")</f>
        <v>ES</v>
      </c>
      <c r="C6844" s="8" t="s">
        <v>39</v>
      </c>
      <c r="D6844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44" s="10" t="str">
        <f>HYPERLINK("https://otsuka-europe-crm.veevavault.com/ui/#object/sent_email__v/VBL00000003B011", "SE-001444833")</f>
        <v>SE-001444833</v>
      </c>
      <c r="F6844" s="11"/>
      <c r="G6844" s="12">
        <v>0</v>
      </c>
      <c r="H6844" s="12">
        <v>0</v>
      </c>
      <c r="I6844" s="12">
        <v>0</v>
      </c>
      <c r="J6844" s="11"/>
      <c r="K6844" s="12">
        <v>0</v>
      </c>
      <c r="L6844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44" s="10" t="str">
        <f>HYPERLINK("mailto:oriballo@crm.otsuka-europe.com", "oriballo@crm.otsuka-europe.com")</f>
        <v>oriballo@crm.otsuka-europe.com</v>
      </c>
      <c r="N6844" s="13">
        <v>46227.517407407409</v>
      </c>
      <c r="O6844" s="14" t="str">
        <f>HYPERLINK("https://otsuka-europe-crm.veevavault.com/ui/#object/email_activity__v/V8C00000004E026", "EN-002108349")</f>
        <v>EN-002108349</v>
      </c>
    </row>
    <row r="6845" spans="1:15" ht="16" x14ac:dyDescent="0.2">
      <c r="A6845" s="18" t="str">
        <f>HYPERLINK("https://otsuka-europe-crm.veevavault.com/ui/#object/account__v/V4TZ025E83MOXLD", "VICENTE JOSE RUBIO SANCHEZ")</f>
        <v>VICENTE JOSE RUBIO SANCHEZ</v>
      </c>
      <c r="B6845" s="18" t="str">
        <f>HYPERLINK("https://otsuka-europe-crm.veevavault.com/ui/#object/vcountry__v/VENZ000004SONF5", "ES")</f>
        <v>ES</v>
      </c>
      <c r="C6845" s="20" t="s">
        <v>39</v>
      </c>
      <c r="D6845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45" s="22" t="str">
        <f>HYPERLINK("https://otsuka-europe-crm.veevavault.com/ui/#object/sent_email__v/VBL00000003B012", "SE-001444834")</f>
        <v>SE-001444834</v>
      </c>
      <c r="F6845" s="25">
        <v>46227.559074074074</v>
      </c>
      <c r="G6845" s="24">
        <v>1</v>
      </c>
      <c r="H6845" s="24">
        <v>1</v>
      </c>
      <c r="I6845" s="24">
        <v>0</v>
      </c>
      <c r="J6845" s="23"/>
      <c r="K6845" s="24">
        <v>0</v>
      </c>
      <c r="L6845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45" s="22" t="str">
        <f>HYPERLINK("mailto:oriballo@crm.otsuka-europe.com", "oriballo@crm.otsuka-europe.com")</f>
        <v>oriballo@crm.otsuka-europe.com</v>
      </c>
      <c r="N6845" s="25">
        <v>46227.517407407409</v>
      </c>
      <c r="O6845" s="14" t="str">
        <f>HYPERLINK("https://otsuka-europe-crm.veevavault.com/ui/#object/email_activity__v/V8C00000004D364", "EN-002108775")</f>
        <v>EN-002108775</v>
      </c>
    </row>
    <row r="6846" spans="1:15" ht="16" x14ac:dyDescent="0.2">
      <c r="A6846" s="19"/>
      <c r="B6846" s="19"/>
      <c r="C6846" s="19"/>
      <c r="D6846" s="19"/>
      <c r="E6846" s="19"/>
      <c r="F6846" s="19"/>
      <c r="G6846" s="19"/>
      <c r="H6846" s="19"/>
      <c r="I6846" s="19"/>
      <c r="J6846" s="19"/>
      <c r="K6846" s="19"/>
      <c r="L6846" s="19"/>
      <c r="M6846" s="19"/>
      <c r="N6846" s="19"/>
      <c r="O6846" s="14" t="str">
        <f>HYPERLINK("https://otsuka-europe-crm.veevavault.com/ui/#object/email_activity__v/V8C00000004E042", "EN-002108376")</f>
        <v>EN-002108376</v>
      </c>
    </row>
    <row r="6847" spans="1:15" ht="16" x14ac:dyDescent="0.2">
      <c r="A6847" s="18" t="str">
        <f>HYPERLINK("https://otsuka-europe-crm.veevavault.com/ui/#object/account__v/V4TZ025E8603WFK", "FRANCISCA ALMAGRO TORRES")</f>
        <v>FRANCISCA ALMAGRO TORRES</v>
      </c>
      <c r="B6847" s="18" t="str">
        <f>HYPERLINK("https://otsuka-europe-crm.veevavault.com/ui/#object/vcountry__v/VENZ000004SONF5", "ES")</f>
        <v>ES</v>
      </c>
      <c r="C6847" s="20" t="s">
        <v>39</v>
      </c>
      <c r="D6847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47" s="22" t="str">
        <f>HYPERLINK("https://otsuka-europe-crm.veevavault.com/ui/#object/sent_email__v/VBL00000003B013", "SE-001444835")</f>
        <v>SE-001444835</v>
      </c>
      <c r="F6847" s="23"/>
      <c r="G6847" s="24">
        <v>0</v>
      </c>
      <c r="H6847" s="24">
        <v>0</v>
      </c>
      <c r="I6847" s="24">
        <v>0</v>
      </c>
      <c r="J6847" s="23"/>
      <c r="K6847" s="24">
        <v>0</v>
      </c>
      <c r="L6847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47" s="22" t="str">
        <f>HYPERLINK("mailto:oriballo@crm.otsuka-europe.com", "oriballo@crm.otsuka-europe.com")</f>
        <v>oriballo@crm.otsuka-europe.com</v>
      </c>
      <c r="N6847" s="25">
        <v>46227.517430555556</v>
      </c>
      <c r="O6847" s="14" t="str">
        <f>HYPERLINK("https://otsuka-europe-crm.veevavault.com/ui/#object/email_activity__v/V8C00000004D101", "EN-002108343")</f>
        <v>EN-002108343</v>
      </c>
    </row>
    <row r="6848" spans="1:15" ht="16" x14ac:dyDescent="0.2">
      <c r="A6848" s="19"/>
      <c r="B6848" s="19"/>
      <c r="C6848" s="19"/>
      <c r="D6848" s="19"/>
      <c r="E6848" s="19"/>
      <c r="F6848" s="19"/>
      <c r="G6848" s="19"/>
      <c r="H6848" s="19"/>
      <c r="I6848" s="19"/>
      <c r="J6848" s="19"/>
      <c r="K6848" s="19"/>
      <c r="L6848" s="19"/>
      <c r="M6848" s="19"/>
      <c r="N6848" s="19"/>
      <c r="O6848" s="14" t="str">
        <f>HYPERLINK("https://otsuka-europe-crm.veevavault.com/ui/#object/email_activity__v/V8C00000004E585", "EN-002109508")</f>
        <v>EN-002109508</v>
      </c>
    </row>
    <row r="6849" spans="1:15" ht="16" x14ac:dyDescent="0.2">
      <c r="A6849" s="18" t="str">
        <f>HYPERLINK("https://otsuka-europe-crm.veevavault.com/ui/#object/account__v/V4TZ025E831NGZU", "JOSE FRANCISCO FALANTES GONZALEZ")</f>
        <v>JOSE FRANCISCO FALANTES GONZALEZ</v>
      </c>
      <c r="B6849" s="18" t="str">
        <f>HYPERLINK("https://otsuka-europe-crm.veevavault.com/ui/#object/vcountry__v/VENZ000004SONF5", "ES")</f>
        <v>ES</v>
      </c>
      <c r="C6849" s="20" t="s">
        <v>39</v>
      </c>
      <c r="D6849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49" s="22" t="str">
        <f>HYPERLINK("https://otsuka-europe-crm.veevavault.com/ui/#object/sent_email__v/VBL00000003B014", "SE-001444836")</f>
        <v>SE-001444836</v>
      </c>
      <c r="F6849" s="25">
        <v>46227.611192129632</v>
      </c>
      <c r="G6849" s="24">
        <v>1</v>
      </c>
      <c r="H6849" s="24">
        <v>1</v>
      </c>
      <c r="I6849" s="24">
        <v>0</v>
      </c>
      <c r="J6849" s="23"/>
      <c r="K6849" s="24">
        <v>0</v>
      </c>
      <c r="L6849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49" s="22" t="str">
        <f>HYPERLINK("mailto:oriballo@crm.otsuka-europe.com", "oriballo@crm.otsuka-europe.com")</f>
        <v>oriballo@crm.otsuka-europe.com</v>
      </c>
      <c r="N6849" s="25">
        <v>46227.517407407409</v>
      </c>
      <c r="O6849" s="14" t="str">
        <f>HYPERLINK("https://otsuka-europe-crm.veevavault.com/ui/#object/email_activity__v/V8C00000004D383", "EN-002108825")</f>
        <v>EN-002108825</v>
      </c>
    </row>
    <row r="6850" spans="1:15" ht="16" x14ac:dyDescent="0.2">
      <c r="A6850" s="19"/>
      <c r="B6850" s="19"/>
      <c r="C6850" s="19"/>
      <c r="D6850" s="19"/>
      <c r="E6850" s="19"/>
      <c r="F6850" s="19"/>
      <c r="G6850" s="19"/>
      <c r="H6850" s="19"/>
      <c r="I6850" s="19"/>
      <c r="J6850" s="19"/>
      <c r="K6850" s="19"/>
      <c r="L6850" s="19"/>
      <c r="M6850" s="19"/>
      <c r="N6850" s="19"/>
      <c r="O6850" s="14" t="str">
        <f>HYPERLINK("https://otsuka-europe-crm.veevavault.com/ui/#object/email_activity__v/V8C00000004E040", "EN-002108374")</f>
        <v>EN-002108374</v>
      </c>
    </row>
    <row r="6851" spans="1:15" ht="16" x14ac:dyDescent="0.2">
      <c r="A6851" s="18" t="str">
        <f>HYPERLINK("https://otsuka-europe-crm.veevavault.com/ui/#object/account__v/V4TZ025E83MB3ZD", "MARIA VICTORIA VERDUGO CABEZA DE VACA")</f>
        <v>MARIA VICTORIA VERDUGO CABEZA DE VACA</v>
      </c>
      <c r="B6851" s="18" t="str">
        <f>HYPERLINK("https://otsuka-europe-crm.veevavault.com/ui/#object/vcountry__v/VENZ000004SONF5", "ES")</f>
        <v>ES</v>
      </c>
      <c r="C6851" s="20" t="s">
        <v>39</v>
      </c>
      <c r="D6851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51" s="22" t="str">
        <f>HYPERLINK("https://otsuka-europe-crm.veevavault.com/ui/#object/sent_email__v/VBL00000003B015", "SE-001444837")</f>
        <v>SE-001444837</v>
      </c>
      <c r="F6851" s="25">
        <v>46227.657048611109</v>
      </c>
      <c r="G6851" s="24">
        <v>1</v>
      </c>
      <c r="H6851" s="24">
        <v>3</v>
      </c>
      <c r="I6851" s="24">
        <v>0</v>
      </c>
      <c r="J6851" s="23"/>
      <c r="K6851" s="24">
        <v>0</v>
      </c>
      <c r="L6851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51" s="22" t="str">
        <f>HYPERLINK("mailto:oriballo@crm.otsuka-europe.com", "oriballo@crm.otsuka-europe.com")</f>
        <v>oriballo@crm.otsuka-europe.com</v>
      </c>
      <c r="N6851" s="25">
        <v>46227.517407407409</v>
      </c>
      <c r="O6851" s="14" t="str">
        <f>HYPERLINK("https://otsuka-europe-crm.veevavault.com/ui/#object/email_activity__v/V8C00000004D079", "EN-002108319")</f>
        <v>EN-002108319</v>
      </c>
    </row>
    <row r="6852" spans="1:15" ht="16" x14ac:dyDescent="0.2">
      <c r="A6852" s="26"/>
      <c r="B6852" s="26"/>
      <c r="C6852" s="26"/>
      <c r="D6852" s="26"/>
      <c r="E6852" s="26"/>
      <c r="F6852" s="26"/>
      <c r="G6852" s="26"/>
      <c r="H6852" s="26"/>
      <c r="I6852" s="26"/>
      <c r="J6852" s="26"/>
      <c r="K6852" s="26"/>
      <c r="L6852" s="26"/>
      <c r="M6852" s="26"/>
      <c r="N6852" s="26"/>
      <c r="O6852" s="14" t="str">
        <f>HYPERLINK("https://otsuka-europe-crm.veevavault.com/ui/#object/email_activity__v/V8C00000004D395", "EN-002108850")</f>
        <v>EN-002108850</v>
      </c>
    </row>
    <row r="6853" spans="1:15" ht="16" x14ac:dyDescent="0.2">
      <c r="A6853" s="26"/>
      <c r="B6853" s="26"/>
      <c r="C6853" s="26"/>
      <c r="D6853" s="26"/>
      <c r="E6853" s="26"/>
      <c r="F6853" s="26"/>
      <c r="G6853" s="26"/>
      <c r="H6853" s="26"/>
      <c r="I6853" s="26"/>
      <c r="J6853" s="26"/>
      <c r="K6853" s="26"/>
      <c r="L6853" s="26"/>
      <c r="M6853" s="26"/>
      <c r="N6853" s="26"/>
      <c r="O6853" s="14" t="str">
        <f>HYPERLINK("https://otsuka-europe-crm.veevavault.com/ui/#object/email_activity__v/V8C00000004E163", "EN-002108718")</f>
        <v>EN-002108718</v>
      </c>
    </row>
    <row r="6854" spans="1:15" ht="16" x14ac:dyDescent="0.2">
      <c r="A6854" s="26"/>
      <c r="B6854" s="26"/>
      <c r="C6854" s="26"/>
      <c r="D6854" s="26"/>
      <c r="E6854" s="26"/>
      <c r="F6854" s="26"/>
      <c r="G6854" s="26"/>
      <c r="H6854" s="26"/>
      <c r="I6854" s="26"/>
      <c r="J6854" s="26"/>
      <c r="K6854" s="26"/>
      <c r="L6854" s="26"/>
      <c r="M6854" s="26"/>
      <c r="N6854" s="26"/>
      <c r="O6854" s="14" t="str">
        <f>HYPERLINK("https://otsuka-europe-crm.veevavault.com/ui/#object/email_activity__v/V8C00000004E238", "EN-002108852")</f>
        <v>EN-002108852</v>
      </c>
    </row>
    <row r="6855" spans="1:15" ht="16" x14ac:dyDescent="0.2">
      <c r="A6855" s="19"/>
      <c r="B6855" s="19"/>
      <c r="C6855" s="19"/>
      <c r="D6855" s="19"/>
      <c r="E6855" s="19"/>
      <c r="F6855" s="19"/>
      <c r="G6855" s="19"/>
      <c r="H6855" s="19"/>
      <c r="I6855" s="19"/>
      <c r="J6855" s="19"/>
      <c r="K6855" s="19"/>
      <c r="L6855" s="19"/>
      <c r="M6855" s="19"/>
      <c r="N6855" s="19"/>
      <c r="O6855" s="14" t="str">
        <f>HYPERLINK("https://otsuka-europe-crm.veevavault.com/ui/#object/email_activity__v/V8C00000004E240", "EN-002108855")</f>
        <v>EN-002108855</v>
      </c>
    </row>
    <row r="6856" spans="1:15" ht="48" x14ac:dyDescent="0.2">
      <c r="A6856" s="7" t="str">
        <f>HYPERLINK("https://otsuka-europe-crm.veevavault.com/ui/#object/account__v/V4TZ025E8370KRM", "FRANCISCO JAVIER CAPOTE HUELVA")</f>
        <v>FRANCISCO JAVIER CAPOTE HUELVA</v>
      </c>
      <c r="B6856" s="7" t="str">
        <f>HYPERLINK("https://otsuka-europe-crm.veevavault.com/ui/#object/vcountry__v/VENZ000004SONF5", "ES")</f>
        <v>ES</v>
      </c>
      <c r="C6856" s="8" t="s">
        <v>39</v>
      </c>
      <c r="D6856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56" s="10" t="str">
        <f>HYPERLINK("https://otsuka-europe-crm.veevavault.com/ui/#object/sent_email__v/VBL00000003B016", "SE-001444838")</f>
        <v>SE-001444838</v>
      </c>
      <c r="F6856" s="11"/>
      <c r="G6856" s="12">
        <v>0</v>
      </c>
      <c r="H6856" s="12">
        <v>0</v>
      </c>
      <c r="I6856" s="12">
        <v>0</v>
      </c>
      <c r="J6856" s="11"/>
      <c r="K6856" s="12">
        <v>0</v>
      </c>
      <c r="L6856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56" s="10" t="str">
        <f>HYPERLINK("mailto:oriballo@crm.otsuka-europe.com", "oriballo@crm.otsuka-europe.com")</f>
        <v>oriballo@crm.otsuka-europe.com</v>
      </c>
      <c r="N6856" s="13">
        <v>46227.517407407409</v>
      </c>
      <c r="O6856" s="14" t="str">
        <f>HYPERLINK("https://otsuka-europe-crm.veevavault.com/ui/#object/email_activity__v/V8C00000004D082", "EN-002108323")</f>
        <v>EN-002108323</v>
      </c>
    </row>
    <row r="6857" spans="1:15" ht="48" x14ac:dyDescent="0.2">
      <c r="A6857" s="7" t="str">
        <f>HYPERLINK("https://otsuka-europe-crm.veevavault.com/ui/#object/account__v/V4TZ025E83819OK", "MARIA SOLE RODRIGUEZ")</f>
        <v>MARIA SOLE RODRIGUEZ</v>
      </c>
      <c r="B6857" s="7" t="str">
        <f>HYPERLINK("https://otsuka-europe-crm.veevavault.com/ui/#object/vcountry__v/VENZ000004SONF5", "ES")</f>
        <v>ES</v>
      </c>
      <c r="C6857" s="8" t="s">
        <v>39</v>
      </c>
      <c r="D6857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57" s="10" t="str">
        <f>HYPERLINK("https://otsuka-europe-crm.veevavault.com/ui/#object/sent_email__v/VBL00000003B017", "SE-001444839")</f>
        <v>SE-001444839</v>
      </c>
      <c r="F6857" s="11"/>
      <c r="G6857" s="12">
        <v>0</v>
      </c>
      <c r="H6857" s="12">
        <v>0</v>
      </c>
      <c r="I6857" s="12">
        <v>0</v>
      </c>
      <c r="J6857" s="11"/>
      <c r="K6857" s="12">
        <v>0</v>
      </c>
      <c r="L6857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57" s="10" t="str">
        <f>HYPERLINK("mailto:oriballo@crm.otsuka-europe.com", "oriballo@crm.otsuka-europe.com")</f>
        <v>oriballo@crm.otsuka-europe.com</v>
      </c>
      <c r="N6857" s="13">
        <v>46227.517407407409</v>
      </c>
      <c r="O6857" s="14" t="str">
        <f>HYPERLINK("https://otsuka-europe-crm.veevavault.com/ui/#object/email_activity__v/V8C00000004D083", "EN-002108324")</f>
        <v>EN-002108324</v>
      </c>
    </row>
    <row r="6858" spans="1:15" ht="48" x14ac:dyDescent="0.2">
      <c r="A6858" s="7" t="str">
        <f>HYPERLINK("https://otsuka-europe-crm.veevavault.com/ui/#object/account__v/V4TZ025E85SHCPN", "JOSEFA LUIS NAVARRO")</f>
        <v>JOSEFA LUIS NAVARRO</v>
      </c>
      <c r="B6858" s="7" t="str">
        <f>HYPERLINK("https://otsuka-europe-crm.veevavault.com/ui/#object/vcountry__v/VENZ000004SONF5", "ES")</f>
        <v>ES</v>
      </c>
      <c r="C6858" s="8" t="s">
        <v>39</v>
      </c>
      <c r="D6858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58" s="10" t="str">
        <f>HYPERLINK("https://otsuka-europe-crm.veevavault.com/ui/#object/sent_email__v/VBL00000003B018", "SE-001444840")</f>
        <v>SE-001444840</v>
      </c>
      <c r="F6858" s="11"/>
      <c r="G6858" s="12">
        <v>0</v>
      </c>
      <c r="H6858" s="12">
        <v>0</v>
      </c>
      <c r="I6858" s="12">
        <v>0</v>
      </c>
      <c r="J6858" s="11"/>
      <c r="K6858" s="12">
        <v>0</v>
      </c>
      <c r="L6858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58" s="10" t="str">
        <f>HYPERLINK("mailto:oriballo@crm.otsuka-europe.com", "oriballo@crm.otsuka-europe.com")</f>
        <v>oriballo@crm.otsuka-europe.com</v>
      </c>
      <c r="N6858" s="13">
        <v>46227.517407407409</v>
      </c>
      <c r="O6858" s="14" t="str">
        <f>HYPERLINK("https://otsuka-europe-crm.veevavault.com/ui/#object/email_activity__v/V8C00000004D116", "EN-002108373")</f>
        <v>EN-002108373</v>
      </c>
    </row>
    <row r="6859" spans="1:15" ht="48" x14ac:dyDescent="0.2">
      <c r="A6859" s="7" t="str">
        <f>HYPERLINK("https://otsuka-europe-crm.veevavault.com/ui/#object/account__v/V4TZ025E8371E37", "INMACULADA MARCHANTE CEPILLO")</f>
        <v>INMACULADA MARCHANTE CEPILLO</v>
      </c>
      <c r="B6859" s="7" t="str">
        <f>HYPERLINK("https://otsuka-europe-crm.veevavault.com/ui/#object/vcountry__v/VENZ000004SONF5", "ES")</f>
        <v>ES</v>
      </c>
      <c r="C6859" s="8" t="s">
        <v>39</v>
      </c>
      <c r="D6859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59" s="10" t="str">
        <f>HYPERLINK("https://otsuka-europe-crm.veevavault.com/ui/#object/sent_email__v/VBL00000003B019", "SE-001444841")</f>
        <v>SE-001444841</v>
      </c>
      <c r="F6859" s="11"/>
      <c r="G6859" s="12">
        <v>0</v>
      </c>
      <c r="H6859" s="12">
        <v>0</v>
      </c>
      <c r="I6859" s="12">
        <v>0</v>
      </c>
      <c r="J6859" s="11"/>
      <c r="K6859" s="12">
        <v>0</v>
      </c>
      <c r="L6859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59" s="10" t="str">
        <f>HYPERLINK("mailto:oriballo@crm.otsuka-europe.com", "oriballo@crm.otsuka-europe.com")</f>
        <v>oriballo@crm.otsuka-europe.com</v>
      </c>
      <c r="N6859" s="13">
        <v>46227.517407407409</v>
      </c>
      <c r="O6859" s="14" t="str">
        <f>HYPERLINK("https://otsuka-europe-crm.veevavault.com/ui/#object/email_activity__v/V8C00000004D085", "EN-002108326")</f>
        <v>EN-002108326</v>
      </c>
    </row>
    <row r="6860" spans="1:15" ht="16" x14ac:dyDescent="0.2">
      <c r="A6860" s="18" t="str">
        <f>HYPERLINK("https://otsuka-europe-crm.veevavault.com/ui/#object/account__v/V4TZ06G6O71TB6S", "RAQUEL MARIA MACIAS MONTERO")</f>
        <v>RAQUEL MARIA MACIAS MONTERO</v>
      </c>
      <c r="B6860" s="18" t="str">
        <f>HYPERLINK("https://otsuka-europe-crm.veevavault.com/ui/#object/vcountry__v/VENZ000004SONF5", "ES")</f>
        <v>ES</v>
      </c>
      <c r="C6860" s="20" t="s">
        <v>39</v>
      </c>
      <c r="D6860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60" s="22" t="str">
        <f>HYPERLINK("https://otsuka-europe-crm.veevavault.com/ui/#object/sent_email__v/VBL00000003B020", "SE-001444842")</f>
        <v>SE-001444842</v>
      </c>
      <c r="F6860" s="25">
        <v>46227.752025462964</v>
      </c>
      <c r="G6860" s="24">
        <v>1</v>
      </c>
      <c r="H6860" s="24">
        <v>1</v>
      </c>
      <c r="I6860" s="24">
        <v>0</v>
      </c>
      <c r="J6860" s="23"/>
      <c r="K6860" s="24">
        <v>0</v>
      </c>
      <c r="L6860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60" s="22" t="str">
        <f>HYPERLINK("mailto:oriballo@crm.otsuka-europe.com", "oriballo@crm.otsuka-europe.com")</f>
        <v>oriballo@crm.otsuka-europe.com</v>
      </c>
      <c r="N6860" s="25">
        <v>46227.517465277779</v>
      </c>
      <c r="O6860" s="14" t="str">
        <f>HYPERLINK("https://otsuka-europe-crm.veevavault.com/ui/#object/email_activity__v/V8C00000004D417", "EN-002108909")</f>
        <v>EN-002108909</v>
      </c>
    </row>
    <row r="6861" spans="1:15" ht="16" x14ac:dyDescent="0.2">
      <c r="A6861" s="19"/>
      <c r="B6861" s="19"/>
      <c r="C6861" s="19"/>
      <c r="D6861" s="19"/>
      <c r="E6861" s="19"/>
      <c r="F6861" s="19"/>
      <c r="G6861" s="19"/>
      <c r="H6861" s="19"/>
      <c r="I6861" s="19"/>
      <c r="J6861" s="19"/>
      <c r="K6861" s="19"/>
      <c r="L6861" s="19"/>
      <c r="M6861" s="19"/>
      <c r="N6861" s="19"/>
      <c r="O6861" s="14" t="str">
        <f>HYPERLINK("https://otsuka-europe-crm.veevavault.com/ui/#object/email_activity__v/V8C00000004E032", "EN-002108355")</f>
        <v>EN-002108355</v>
      </c>
    </row>
    <row r="6862" spans="1:15" ht="16" x14ac:dyDescent="0.2">
      <c r="A6862" s="18" t="str">
        <f>HYPERLINK("https://otsuka-europe-crm.veevavault.com/ui/#object/account__v/V4TZ025E83OVDQL", "MARIA CARMEN HERNANDEZ GARCIA")</f>
        <v>MARIA CARMEN HERNANDEZ GARCIA</v>
      </c>
      <c r="B6862" s="18" t="str">
        <f>HYPERLINK("https://otsuka-europe-crm.veevavault.com/ui/#object/vcountry__v/VENZ000004SONF5", "ES")</f>
        <v>ES</v>
      </c>
      <c r="C6862" s="20" t="s">
        <v>39</v>
      </c>
      <c r="D6862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62" s="22" t="str">
        <f>HYPERLINK("https://otsuka-europe-crm.veevavault.com/ui/#object/sent_email__v/VBL00000003B021", "SE-001444843")</f>
        <v>SE-001444843</v>
      </c>
      <c r="F6862" s="23"/>
      <c r="G6862" s="24">
        <v>0</v>
      </c>
      <c r="H6862" s="24">
        <v>0</v>
      </c>
      <c r="I6862" s="24">
        <v>0</v>
      </c>
      <c r="J6862" s="23"/>
      <c r="K6862" s="24">
        <v>0</v>
      </c>
      <c r="L6862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62" s="22" t="str">
        <f>HYPERLINK("mailto:oriballo@crm.otsuka-europe.com", "oriballo@crm.otsuka-europe.com")</f>
        <v>oriballo@crm.otsuka-europe.com</v>
      </c>
      <c r="N6862" s="25">
        <v>46227.517465277779</v>
      </c>
      <c r="O6862" s="14" t="str">
        <f>HYPERLINK("https://otsuka-europe-crm.veevavault.com/ui/#object/email_activity__v/V8C00000004D152", "EN-002108419")</f>
        <v>EN-002108419</v>
      </c>
    </row>
    <row r="6863" spans="1:15" ht="16" x14ac:dyDescent="0.2">
      <c r="A6863" s="19"/>
      <c r="B6863" s="19"/>
      <c r="C6863" s="19"/>
      <c r="D6863" s="19"/>
      <c r="E6863" s="19"/>
      <c r="F6863" s="19"/>
      <c r="G6863" s="19"/>
      <c r="H6863" s="19"/>
      <c r="I6863" s="19"/>
      <c r="J6863" s="19"/>
      <c r="K6863" s="19"/>
      <c r="L6863" s="19"/>
      <c r="M6863" s="19"/>
      <c r="N6863" s="19"/>
      <c r="O6863" s="14" t="str">
        <f>HYPERLINK("https://otsuka-europe-crm.veevavault.com/ui/#object/email_activity__v/V8C00000004E570", "EN-002109478")</f>
        <v>EN-002109478</v>
      </c>
    </row>
    <row r="6864" spans="1:15" ht="16" x14ac:dyDescent="0.2">
      <c r="A6864" s="18" t="str">
        <f>HYPERLINK("https://otsuka-europe-crm.veevavault.com/ui/#object/account__v/V4TZ025E831EBTT", "FRANCISCO MANUEL MARTIN DOMINGUEZ")</f>
        <v>FRANCISCO MANUEL MARTIN DOMINGUEZ</v>
      </c>
      <c r="B6864" s="18" t="str">
        <f>HYPERLINK("https://otsuka-europe-crm.veevavault.com/ui/#object/vcountry__v/VENZ000004SONF5", "ES")</f>
        <v>ES</v>
      </c>
      <c r="C6864" s="20" t="s">
        <v>39</v>
      </c>
      <c r="D6864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64" s="22" t="str">
        <f>HYPERLINK("https://otsuka-europe-crm.veevavault.com/ui/#object/sent_email__v/VBL00000003B022", "SE-001444844")</f>
        <v>SE-001444844</v>
      </c>
      <c r="F6864" s="25">
        <v>46227.521192129629</v>
      </c>
      <c r="G6864" s="24">
        <v>1</v>
      </c>
      <c r="H6864" s="24">
        <v>1</v>
      </c>
      <c r="I6864" s="24">
        <v>0</v>
      </c>
      <c r="J6864" s="23"/>
      <c r="K6864" s="24">
        <v>0</v>
      </c>
      <c r="L6864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64" s="22" t="str">
        <f>HYPERLINK("mailto:oriballo@crm.otsuka-europe.com", "oriballo@crm.otsuka-europe.com")</f>
        <v>oriballo@crm.otsuka-europe.com</v>
      </c>
      <c r="N6864" s="25">
        <v>46227.517465277779</v>
      </c>
      <c r="O6864" s="14" t="str">
        <f>HYPERLINK("https://otsuka-europe-crm.veevavault.com/ui/#object/email_activity__v/V8C00000004D332", "EN-002108673")</f>
        <v>EN-002108673</v>
      </c>
    </row>
    <row r="6865" spans="1:15" ht="16" x14ac:dyDescent="0.2">
      <c r="A6865" s="19"/>
      <c r="B6865" s="19"/>
      <c r="C6865" s="19"/>
      <c r="D6865" s="19"/>
      <c r="E6865" s="19"/>
      <c r="F6865" s="19"/>
      <c r="G6865" s="19"/>
      <c r="H6865" s="19"/>
      <c r="I6865" s="19"/>
      <c r="J6865" s="19"/>
      <c r="K6865" s="19"/>
      <c r="L6865" s="19"/>
      <c r="M6865" s="19"/>
      <c r="N6865" s="19"/>
      <c r="O6865" s="14" t="str">
        <f>HYPERLINK("https://otsuka-europe-crm.veevavault.com/ui/#object/email_activity__v/V8C00000004E031", "EN-002108354")</f>
        <v>EN-002108354</v>
      </c>
    </row>
    <row r="6866" spans="1:15" ht="16" x14ac:dyDescent="0.2">
      <c r="A6866" s="18" t="str">
        <f>HYPERLINK("https://otsuka-europe-crm.veevavault.com/ui/#object/account__v/V4TZ025E83YJPPJ", "MARIA AMPARO PIMENTEL VILLAR")</f>
        <v>MARIA AMPARO PIMENTEL VILLAR</v>
      </c>
      <c r="B6866" s="18" t="str">
        <f>HYPERLINK("https://otsuka-europe-crm.veevavault.com/ui/#object/vcountry__v/VENZ000004SONF5", "ES")</f>
        <v>ES</v>
      </c>
      <c r="C6866" s="20" t="s">
        <v>39</v>
      </c>
      <c r="D6866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66" s="22" t="str">
        <f>HYPERLINK("https://otsuka-europe-crm.veevavault.com/ui/#object/sent_email__v/VBL00000003B023", "SE-001444845")</f>
        <v>SE-001444845</v>
      </c>
      <c r="F6866" s="23"/>
      <c r="G6866" s="24">
        <v>0</v>
      </c>
      <c r="H6866" s="24">
        <v>0</v>
      </c>
      <c r="I6866" s="24">
        <v>0</v>
      </c>
      <c r="J6866" s="23"/>
      <c r="K6866" s="24">
        <v>0</v>
      </c>
      <c r="L6866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66" s="22" t="str">
        <f>HYPERLINK("mailto:oriballo@crm.otsuka-europe.com", "oriballo@crm.otsuka-europe.com")</f>
        <v>oriballo@crm.otsuka-europe.com</v>
      </c>
      <c r="N6866" s="25">
        <v>46227.517465277779</v>
      </c>
      <c r="O6866" s="14" t="str">
        <f>HYPERLINK("https://otsuka-europe-crm.veevavault.com/ui/#object/email_activity__v/V8C00000004D380", "EN-002108816")</f>
        <v>EN-002108816</v>
      </c>
    </row>
    <row r="6867" spans="1:15" ht="16" x14ac:dyDescent="0.2">
      <c r="A6867" s="26"/>
      <c r="B6867" s="26"/>
      <c r="C6867" s="26"/>
      <c r="D6867" s="26"/>
      <c r="E6867" s="26"/>
      <c r="F6867" s="26"/>
      <c r="G6867" s="26"/>
      <c r="H6867" s="26"/>
      <c r="I6867" s="26"/>
      <c r="J6867" s="26"/>
      <c r="K6867" s="26"/>
      <c r="L6867" s="26"/>
      <c r="M6867" s="26"/>
      <c r="N6867" s="26"/>
      <c r="O6867" s="14" t="str">
        <f>HYPERLINK("https://otsuka-europe-crm.veevavault.com/ui/#object/email_activity__v/V8C00000004E029", "EN-002108352")</f>
        <v>EN-002108352</v>
      </c>
    </row>
    <row r="6868" spans="1:15" ht="16" x14ac:dyDescent="0.2">
      <c r="A6868" s="19"/>
      <c r="B6868" s="19"/>
      <c r="C6868" s="19"/>
      <c r="D6868" s="19"/>
      <c r="E6868" s="19"/>
      <c r="F6868" s="19"/>
      <c r="G6868" s="19"/>
      <c r="H6868" s="19"/>
      <c r="I6868" s="19"/>
      <c r="J6868" s="19"/>
      <c r="K6868" s="19"/>
      <c r="L6868" s="19"/>
      <c r="M6868" s="19"/>
      <c r="N6868" s="19"/>
      <c r="O6868" s="14" t="str">
        <f>HYPERLINK("https://otsuka-europe-crm.veevavault.com/ui/#object/email_activity__v/V8C00000004G145", "EN-002110043")</f>
        <v>EN-002110043</v>
      </c>
    </row>
    <row r="6869" spans="1:15" ht="16" x14ac:dyDescent="0.2">
      <c r="A6869" s="18" t="str">
        <f>HYPERLINK("https://otsuka-europe-crm.veevavault.com/ui/#object/account__v/V4TZ025E835MR3F", "MARIA SOLEDAD CASADO CALDERON")</f>
        <v>MARIA SOLEDAD CASADO CALDERON</v>
      </c>
      <c r="B6869" s="18" t="str">
        <f>HYPERLINK("https://otsuka-europe-crm.veevavault.com/ui/#object/vcountry__v/VENZ000004SONF5", "ES")</f>
        <v>ES</v>
      </c>
      <c r="C6869" s="20" t="s">
        <v>39</v>
      </c>
      <c r="D6869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69" s="22" t="str">
        <f>HYPERLINK("https://otsuka-europe-crm.veevavault.com/ui/#object/sent_email__v/VBL00000003B024", "SE-001444846")</f>
        <v>SE-001444846</v>
      </c>
      <c r="F6869" s="25">
        <v>46227.517569444448</v>
      </c>
      <c r="G6869" s="24">
        <v>1</v>
      </c>
      <c r="H6869" s="24">
        <v>1</v>
      </c>
      <c r="I6869" s="24">
        <v>0</v>
      </c>
      <c r="J6869" s="23"/>
      <c r="K6869" s="24">
        <v>0</v>
      </c>
      <c r="L6869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69" s="22" t="str">
        <f>HYPERLINK("mailto:oriballo@crm.otsuka-europe.com", "oriballo@crm.otsuka-europe.com")</f>
        <v>oriballo@crm.otsuka-europe.com</v>
      </c>
      <c r="N6869" s="25">
        <v>46227.517476851855</v>
      </c>
      <c r="O6869" s="14" t="str">
        <f>HYPERLINK("https://otsuka-europe-crm.veevavault.com/ui/#object/email_activity__v/V8C00000004D091", "EN-002108332")</f>
        <v>EN-002108332</v>
      </c>
    </row>
    <row r="6870" spans="1:15" ht="16" x14ac:dyDescent="0.2">
      <c r="A6870" s="26"/>
      <c r="B6870" s="26"/>
      <c r="C6870" s="26"/>
      <c r="D6870" s="26"/>
      <c r="E6870" s="26"/>
      <c r="F6870" s="26"/>
      <c r="G6870" s="26"/>
      <c r="H6870" s="26"/>
      <c r="I6870" s="26"/>
      <c r="J6870" s="26"/>
      <c r="K6870" s="26"/>
      <c r="L6870" s="26"/>
      <c r="M6870" s="26"/>
      <c r="N6870" s="26"/>
      <c r="O6870" s="14" t="str">
        <f>HYPERLINK("https://otsuka-europe-crm.veevavault.com/ui/#object/email_activity__v/V8C00000004D142", "EN-002108409")</f>
        <v>EN-002108409</v>
      </c>
    </row>
    <row r="6871" spans="1:15" ht="16" x14ac:dyDescent="0.2">
      <c r="A6871" s="19"/>
      <c r="B6871" s="19"/>
      <c r="C6871" s="19"/>
      <c r="D6871" s="19"/>
      <c r="E6871" s="19"/>
      <c r="F6871" s="19"/>
      <c r="G6871" s="19"/>
      <c r="H6871" s="19"/>
      <c r="I6871" s="19"/>
      <c r="J6871" s="19"/>
      <c r="K6871" s="19"/>
      <c r="L6871" s="19"/>
      <c r="M6871" s="19"/>
      <c r="N6871" s="19"/>
      <c r="O6871" s="14" t="str">
        <f>HYPERLINK("https://otsuka-europe-crm.veevavault.com/ui/#object/email_activity__v/V8C00000004D406", "EN-002108874")</f>
        <v>EN-002108874</v>
      </c>
    </row>
    <row r="6872" spans="1:15" ht="16" x14ac:dyDescent="0.2">
      <c r="A6872" s="18" t="str">
        <f>HYPERLINK("https://otsuka-europe-crm.veevavault.com/ui/#object/account__v/V4TZ025E85NAG32", "MARIA REMEDIOS ARCAS VEGA")</f>
        <v>MARIA REMEDIOS ARCAS VEGA</v>
      </c>
      <c r="B6872" s="18" t="str">
        <f>HYPERLINK("https://otsuka-europe-crm.veevavault.com/ui/#object/vcountry__v/VENZ000004SONF5", "ES")</f>
        <v>ES</v>
      </c>
      <c r="C6872" s="20" t="s">
        <v>39</v>
      </c>
      <c r="D6872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72" s="22" t="str">
        <f>HYPERLINK("https://otsuka-europe-crm.veevavault.com/ui/#object/sent_email__v/VBL00000003B025", "SE-001444847")</f>
        <v>SE-001444847</v>
      </c>
      <c r="F6872" s="25">
        <v>46227.621342592596</v>
      </c>
      <c r="G6872" s="24">
        <v>1</v>
      </c>
      <c r="H6872" s="24">
        <v>2</v>
      </c>
      <c r="I6872" s="24">
        <v>0</v>
      </c>
      <c r="J6872" s="23"/>
      <c r="K6872" s="24">
        <v>0</v>
      </c>
      <c r="L6872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72" s="22" t="str">
        <f>HYPERLINK("mailto:oriballo@crm.otsuka-europe.com", "oriballo@crm.otsuka-europe.com")</f>
        <v>oriballo@crm.otsuka-europe.com</v>
      </c>
      <c r="N6872" s="25">
        <v>46227.517465277779</v>
      </c>
      <c r="O6872" s="14" t="str">
        <f>HYPERLINK("https://otsuka-europe-crm.veevavault.com/ui/#object/email_activity__v/V8C00000004D119", "EN-002108386")</f>
        <v>EN-002108386</v>
      </c>
    </row>
    <row r="6873" spans="1:15" ht="16" x14ac:dyDescent="0.2">
      <c r="A6873" s="26"/>
      <c r="B6873" s="26"/>
      <c r="C6873" s="26"/>
      <c r="D6873" s="26"/>
      <c r="E6873" s="26"/>
      <c r="F6873" s="26"/>
      <c r="G6873" s="26"/>
      <c r="H6873" s="26"/>
      <c r="I6873" s="26"/>
      <c r="J6873" s="26"/>
      <c r="K6873" s="26"/>
      <c r="L6873" s="26"/>
      <c r="M6873" s="26"/>
      <c r="N6873" s="26"/>
      <c r="O6873" s="14" t="str">
        <f>HYPERLINK("https://otsuka-europe-crm.veevavault.com/ui/#object/email_activity__v/V8C00000004D384", "EN-002108828")</f>
        <v>EN-002108828</v>
      </c>
    </row>
    <row r="6874" spans="1:15" ht="16" x14ac:dyDescent="0.2">
      <c r="A6874" s="19"/>
      <c r="B6874" s="19"/>
      <c r="C6874" s="19"/>
      <c r="D6874" s="19"/>
      <c r="E6874" s="19"/>
      <c r="F6874" s="19"/>
      <c r="G6874" s="19"/>
      <c r="H6874" s="19"/>
      <c r="I6874" s="19"/>
      <c r="J6874" s="19"/>
      <c r="K6874" s="19"/>
      <c r="L6874" s="19"/>
      <c r="M6874" s="19"/>
      <c r="N6874" s="19"/>
      <c r="O6874" s="14" t="str">
        <f>HYPERLINK("https://otsuka-europe-crm.veevavault.com/ui/#object/email_activity__v/V8C00000004E035", "EN-002108358")</f>
        <v>EN-002108358</v>
      </c>
    </row>
    <row r="6875" spans="1:15" ht="16" x14ac:dyDescent="0.2">
      <c r="A6875" s="18" t="str">
        <f>HYPERLINK("https://otsuka-europe-crm.veevavault.com/ui/#object/account__v/V4T00000002G074", "ELENA RUIZ CANCA")</f>
        <v>ELENA RUIZ CANCA</v>
      </c>
      <c r="B6875" s="18" t="str">
        <f>HYPERLINK("https://otsuka-europe-crm.veevavault.com/ui/#object/vcountry__v/VENZ000004SONF5", "ES")</f>
        <v>ES</v>
      </c>
      <c r="C6875" s="20" t="s">
        <v>39</v>
      </c>
      <c r="D6875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75" s="22" t="str">
        <f>HYPERLINK("https://otsuka-europe-crm.veevavault.com/ui/#object/sent_email__v/VBL00000003B026", "SE-001444848")</f>
        <v>SE-001444848</v>
      </c>
      <c r="F6875" s="25">
        <v>46230.382731481484</v>
      </c>
      <c r="G6875" s="24">
        <v>1</v>
      </c>
      <c r="H6875" s="24">
        <v>2</v>
      </c>
      <c r="I6875" s="24">
        <v>0</v>
      </c>
      <c r="J6875" s="23"/>
      <c r="K6875" s="24">
        <v>0</v>
      </c>
      <c r="L6875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75" s="22" t="str">
        <f>HYPERLINK("mailto:oriballo@crm.otsuka-europe.com", "oriballo@crm.otsuka-europe.com")</f>
        <v>oriballo@crm.otsuka-europe.com</v>
      </c>
      <c r="N6875" s="25">
        <v>46227.517476851855</v>
      </c>
      <c r="O6875" s="14" t="str">
        <f>HYPERLINK("https://otsuka-europe-crm.veevavault.com/ui/#object/email_activity__v/V8C00000004D093", "EN-002108334")</f>
        <v>EN-002108334</v>
      </c>
    </row>
    <row r="6876" spans="1:15" ht="16" x14ac:dyDescent="0.2">
      <c r="A6876" s="26"/>
      <c r="B6876" s="26"/>
      <c r="C6876" s="26"/>
      <c r="D6876" s="26"/>
      <c r="E6876" s="26"/>
      <c r="F6876" s="26"/>
      <c r="G6876" s="26"/>
      <c r="H6876" s="26"/>
      <c r="I6876" s="26"/>
      <c r="J6876" s="26"/>
      <c r="K6876" s="26"/>
      <c r="L6876" s="26"/>
      <c r="M6876" s="26"/>
      <c r="N6876" s="26"/>
      <c r="O6876" s="14" t="str">
        <f>HYPERLINK("https://otsuka-europe-crm.veevavault.com/ui/#object/email_activity__v/V8C00000004D432", "EN-002108948")</f>
        <v>EN-002108948</v>
      </c>
    </row>
    <row r="6877" spans="1:15" ht="16" x14ac:dyDescent="0.2">
      <c r="A6877" s="26"/>
      <c r="B6877" s="26"/>
      <c r="C6877" s="26"/>
      <c r="D6877" s="26"/>
      <c r="E6877" s="26"/>
      <c r="F6877" s="26"/>
      <c r="G6877" s="26"/>
      <c r="H6877" s="26"/>
      <c r="I6877" s="26"/>
      <c r="J6877" s="26"/>
      <c r="K6877" s="26"/>
      <c r="L6877" s="26"/>
      <c r="M6877" s="26"/>
      <c r="N6877" s="26"/>
      <c r="O6877" s="14" t="str">
        <f>HYPERLINK("https://otsuka-europe-crm.veevavault.com/ui/#object/email_activity__v/V8C00000004D497", "EN-002109082")</f>
        <v>EN-002109082</v>
      </c>
    </row>
    <row r="6878" spans="1:15" ht="16" x14ac:dyDescent="0.2">
      <c r="A6878" s="19"/>
      <c r="B6878" s="19"/>
      <c r="C6878" s="19"/>
      <c r="D6878" s="19"/>
      <c r="E6878" s="19"/>
      <c r="F6878" s="19"/>
      <c r="G6878" s="19"/>
      <c r="H6878" s="19"/>
      <c r="I6878" s="19"/>
      <c r="J6878" s="19"/>
      <c r="K6878" s="19"/>
      <c r="L6878" s="19"/>
      <c r="M6878" s="19"/>
      <c r="N6878" s="19"/>
      <c r="O6878" s="14" t="str">
        <f>HYPERLINK("https://otsuka-europe-crm.veevavault.com/ui/#object/email_activity__v/V8C00000004E068", "EN-002108539")</f>
        <v>EN-002108539</v>
      </c>
    </row>
    <row r="6879" spans="1:15" ht="16" x14ac:dyDescent="0.2">
      <c r="A6879" s="18" t="str">
        <f>HYPERLINK("https://otsuka-europe-crm.veevavault.com/ui/#object/account__v/V4TZ06G6O71T8CQ", "ELIZABETH DOLORES INGA SAAVEDRA")</f>
        <v>ELIZABETH DOLORES INGA SAAVEDRA</v>
      </c>
      <c r="B6879" s="18" t="str">
        <f>HYPERLINK("https://otsuka-europe-crm.veevavault.com/ui/#object/vcountry__v/VENZ000004SONF5", "ES")</f>
        <v>ES</v>
      </c>
      <c r="C6879" s="20" t="s">
        <v>39</v>
      </c>
      <c r="D6879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79" s="22" t="str">
        <f>HYPERLINK("https://otsuka-europe-crm.veevavault.com/ui/#object/sent_email__v/VBL00000003B027", "SE-001444849")</f>
        <v>SE-001444849</v>
      </c>
      <c r="F6879" s="23"/>
      <c r="G6879" s="24">
        <v>0</v>
      </c>
      <c r="H6879" s="24">
        <v>0</v>
      </c>
      <c r="I6879" s="24">
        <v>0</v>
      </c>
      <c r="J6879" s="23"/>
      <c r="K6879" s="24">
        <v>0</v>
      </c>
      <c r="L6879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79" s="22" t="str">
        <f>HYPERLINK("mailto:oriballo@crm.otsuka-europe.com", "oriballo@crm.otsuka-europe.com")</f>
        <v>oriballo@crm.otsuka-europe.com</v>
      </c>
      <c r="N6879" s="25">
        <v>46227.517465277779</v>
      </c>
      <c r="O6879" s="14" t="str">
        <f>HYPERLINK("https://otsuka-europe-crm.veevavault.com/ui/#object/email_activity__v/V8C00000004E030", "EN-002108353")</f>
        <v>EN-002108353</v>
      </c>
    </row>
    <row r="6880" spans="1:15" ht="16" x14ac:dyDescent="0.2">
      <c r="A6880" s="19"/>
      <c r="B6880" s="19"/>
      <c r="C6880" s="19"/>
      <c r="D6880" s="19"/>
      <c r="E6880" s="19"/>
      <c r="F6880" s="19"/>
      <c r="G6880" s="19"/>
      <c r="H6880" s="19"/>
      <c r="I6880" s="19"/>
      <c r="J6880" s="19"/>
      <c r="K6880" s="19"/>
      <c r="L6880" s="19"/>
      <c r="M6880" s="19"/>
      <c r="N6880" s="19"/>
      <c r="O6880" s="14" t="str">
        <f>HYPERLINK("https://otsuka-europe-crm.veevavault.com/ui/#object/email_activity__v/V8C00000004E146", "EN-002108700")</f>
        <v>EN-002108700</v>
      </c>
    </row>
    <row r="6881" spans="1:15" ht="48" x14ac:dyDescent="0.2">
      <c r="A6881" s="7" t="str">
        <f>HYPERLINK("https://otsuka-europe-crm.veevavault.com/ui/#object/account__v/V4TZ025E83A23QT", "EDUARDO RODRIGUEZ ARBOLI")</f>
        <v>EDUARDO RODRIGUEZ ARBOLI</v>
      </c>
      <c r="B6881" s="7" t="str">
        <f>HYPERLINK("https://otsuka-europe-crm.veevavault.com/ui/#object/vcountry__v/VENZ000004SONF5", "ES")</f>
        <v>ES</v>
      </c>
      <c r="C6881" s="8" t="s">
        <v>39</v>
      </c>
      <c r="D6881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1" s="10" t="str">
        <f>HYPERLINK("https://otsuka-europe-crm.veevavault.com/ui/#object/sent_email__v/VBL00000003B028", "SE-001444850")</f>
        <v>SE-001444850</v>
      </c>
      <c r="F6881" s="11"/>
      <c r="G6881" s="12">
        <v>0</v>
      </c>
      <c r="H6881" s="12">
        <v>0</v>
      </c>
      <c r="I6881" s="12">
        <v>0</v>
      </c>
      <c r="J6881" s="11"/>
      <c r="K6881" s="12">
        <v>0</v>
      </c>
      <c r="L6881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1" s="10" t="str">
        <f>HYPERLINK("mailto:oriballo@crm.otsuka-europe.com", "oriballo@crm.otsuka-europe.com")</f>
        <v>oriballo@crm.otsuka-europe.com</v>
      </c>
      <c r="N6881" s="13">
        <v>46227.517465277779</v>
      </c>
      <c r="O6881" s="14" t="str">
        <f>HYPERLINK("https://otsuka-europe-crm.veevavault.com/ui/#object/email_activity__v/V8C00000004D117", "EN-002108384")</f>
        <v>EN-002108384</v>
      </c>
    </row>
    <row r="6882" spans="1:15" ht="48" x14ac:dyDescent="0.2">
      <c r="A6882" s="7" t="str">
        <f>HYPERLINK("https://otsuka-europe-crm.veevavault.com/ui/#object/account__v/V4TZ025E85VNENJ", "INMACULADA CONCEPCION HERRERA ARROYO")</f>
        <v>INMACULADA CONCEPCION HERRERA ARROYO</v>
      </c>
      <c r="B6882" s="7" t="str">
        <f>HYPERLINK("https://otsuka-europe-crm.veevavault.com/ui/#object/vcountry__v/VENZ000004SONF5", "ES")</f>
        <v>ES</v>
      </c>
      <c r="C6882" s="8" t="s">
        <v>39</v>
      </c>
      <c r="D6882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2" s="10" t="str">
        <f>HYPERLINK("https://otsuka-europe-crm.veevavault.com/ui/#object/sent_email__v/VBL00000003B029", "SE-001444851")</f>
        <v>SE-001444851</v>
      </c>
      <c r="F6882" s="11"/>
      <c r="G6882" s="12">
        <v>0</v>
      </c>
      <c r="H6882" s="12">
        <v>0</v>
      </c>
      <c r="I6882" s="12">
        <v>0</v>
      </c>
      <c r="J6882" s="11"/>
      <c r="K6882" s="12">
        <v>0</v>
      </c>
      <c r="L6882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2" s="10" t="str">
        <f>HYPERLINK("mailto:oriballo@crm.otsuka-europe.com", "oriballo@crm.otsuka-europe.com")</f>
        <v>oriballo@crm.otsuka-europe.com</v>
      </c>
      <c r="N6882" s="13">
        <v>46227.517488425925</v>
      </c>
      <c r="O6882" s="14" t="str">
        <f>HYPERLINK("https://otsuka-europe-crm.veevavault.com/ui/#object/email_activity__v/V8C00000004D098", "EN-002108340")</f>
        <v>EN-002108340</v>
      </c>
    </row>
    <row r="6883" spans="1:15" ht="48" x14ac:dyDescent="0.2">
      <c r="A6883" s="7" t="str">
        <f>HYPERLINK("https://otsuka-europe-crm.veevavault.com/ui/#object/account__v/V4TZ025E83OUUDF", "ANGEL RODRIGUEZ LOPEZ")</f>
        <v>ANGEL RODRIGUEZ LOPEZ</v>
      </c>
      <c r="B6883" s="7" t="str">
        <f>HYPERLINK("https://otsuka-europe-crm.veevavault.com/ui/#object/vcountry__v/VENZ000004SONF5", "ES")</f>
        <v>ES</v>
      </c>
      <c r="C6883" s="8" t="s">
        <v>39</v>
      </c>
      <c r="D6883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3" s="10" t="str">
        <f>HYPERLINK("https://otsuka-europe-crm.veevavault.com/ui/#object/sent_email__v/VBL00000003B030", "SE-001444852")</f>
        <v>SE-001444852</v>
      </c>
      <c r="F6883" s="11"/>
      <c r="G6883" s="12">
        <v>0</v>
      </c>
      <c r="H6883" s="12">
        <v>0</v>
      </c>
      <c r="I6883" s="12">
        <v>0</v>
      </c>
      <c r="J6883" s="11"/>
      <c r="K6883" s="12">
        <v>0</v>
      </c>
      <c r="L6883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3" s="10" t="str">
        <f>HYPERLINK("mailto:oriballo@crm.otsuka-europe.com", "oriballo@crm.otsuka-europe.com")</f>
        <v>oriballo@crm.otsuka-europe.com</v>
      </c>
      <c r="N6883" s="13">
        <v>46227.517465277779</v>
      </c>
      <c r="O6883" s="14" t="str">
        <f>HYPERLINK("https://otsuka-europe-crm.veevavault.com/ui/#object/email_activity__v/V8C00000004D149", "EN-002108416")</f>
        <v>EN-002108416</v>
      </c>
    </row>
    <row r="6884" spans="1:15" ht="48" x14ac:dyDescent="0.2">
      <c r="A6884" s="7" t="str">
        <f>HYPERLINK("https://otsuka-europe-crm.veevavault.com/ui/#object/account__v/V4TZ025E85DY67X", "TANIA IVETT ARAMBULA AMAYA")</f>
        <v>TANIA IVETT ARAMBULA AMAYA</v>
      </c>
      <c r="B6884" s="7" t="str">
        <f>HYPERLINK("https://otsuka-europe-crm.veevavault.com/ui/#object/vcountry__v/VENZ000004SONF5", "ES")</f>
        <v>ES</v>
      </c>
      <c r="C6884" s="8" t="s">
        <v>39</v>
      </c>
      <c r="D6884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4" s="10" t="str">
        <f>HYPERLINK("https://otsuka-europe-crm.veevavault.com/ui/#object/sent_email__v/VBL00000003B031", "SE-001444853")</f>
        <v>SE-001444853</v>
      </c>
      <c r="F6884" s="11"/>
      <c r="G6884" s="12">
        <v>0</v>
      </c>
      <c r="H6884" s="12">
        <v>0</v>
      </c>
      <c r="I6884" s="12">
        <v>0</v>
      </c>
      <c r="J6884" s="11"/>
      <c r="K6884" s="12">
        <v>0</v>
      </c>
      <c r="L6884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4" s="10" t="str">
        <f>HYPERLINK("mailto:oriballo@crm.otsuka-europe.com", "oriballo@crm.otsuka-europe.com")</f>
        <v>oriballo@crm.otsuka-europe.com</v>
      </c>
      <c r="N6884" s="13">
        <v>46227.517465277779</v>
      </c>
      <c r="O6884" s="14" t="str">
        <f>HYPERLINK("https://otsuka-europe-crm.veevavault.com/ui/#object/email_activity__v/V8C00000004D121", "EN-002108388")</f>
        <v>EN-002108388</v>
      </c>
    </row>
    <row r="6885" spans="1:15" ht="16" x14ac:dyDescent="0.2">
      <c r="A6885" s="18" t="str">
        <f>HYPERLINK("https://otsuka-europe-crm.veevavault.com/ui/#object/account__v/V4TZ025E83OV48Y", "FRANCISCO ASIS PEREZ LEAL")</f>
        <v>FRANCISCO ASIS PEREZ LEAL</v>
      </c>
      <c r="B6885" s="18" t="str">
        <f>HYPERLINK("https://otsuka-europe-crm.veevavault.com/ui/#object/vcountry__v/VENZ000004SONF5", "ES")</f>
        <v>ES</v>
      </c>
      <c r="C6885" s="20" t="s">
        <v>39</v>
      </c>
      <c r="D6885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5" s="22" t="str">
        <f>HYPERLINK("https://otsuka-europe-crm.veevavault.com/ui/#object/sent_email__v/VBL00000003B032", "SE-001444854")</f>
        <v>SE-001444854</v>
      </c>
      <c r="F6885" s="25">
        <v>46227.519537037035</v>
      </c>
      <c r="G6885" s="24">
        <v>1</v>
      </c>
      <c r="H6885" s="24">
        <v>1</v>
      </c>
      <c r="I6885" s="24">
        <v>0</v>
      </c>
      <c r="J6885" s="23"/>
      <c r="K6885" s="24">
        <v>0</v>
      </c>
      <c r="L6885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5" s="22" t="str">
        <f>HYPERLINK("mailto:oriballo@crm.otsuka-europe.com", "oriballo@crm.otsuka-europe.com")</f>
        <v>oriballo@crm.otsuka-europe.com</v>
      </c>
      <c r="N6885" s="25">
        <v>46227.517465277779</v>
      </c>
      <c r="O6885" s="14" t="str">
        <f>HYPERLINK("https://otsuka-europe-crm.veevavault.com/ui/#object/email_activity__v/V8C00000004D150", "EN-002108417")</f>
        <v>EN-002108417</v>
      </c>
    </row>
    <row r="6886" spans="1:15" ht="16" x14ac:dyDescent="0.2">
      <c r="A6886" s="19"/>
      <c r="B6886" s="19"/>
      <c r="C6886" s="19"/>
      <c r="D6886" s="19"/>
      <c r="E6886" s="19"/>
      <c r="F6886" s="19"/>
      <c r="G6886" s="19"/>
      <c r="H6886" s="19"/>
      <c r="I6886" s="19"/>
      <c r="J6886" s="19"/>
      <c r="K6886" s="19"/>
      <c r="L6886" s="19"/>
      <c r="M6886" s="19"/>
      <c r="N6886" s="19"/>
      <c r="O6886" s="14" t="str">
        <f>HYPERLINK("https://otsuka-europe-crm.veevavault.com/ui/#object/email_activity__v/V8C00000004D248", "EN-002108531")</f>
        <v>EN-002108531</v>
      </c>
    </row>
    <row r="6887" spans="1:15" ht="16" x14ac:dyDescent="0.2">
      <c r="A6887" s="18" t="str">
        <f>HYPERLINK("https://otsuka-europe-crm.veevavault.com/ui/#object/account__v/V4TZ06G6O8O6EXY", "RAQUEL MANJON GOMEZ")</f>
        <v>RAQUEL MANJON GOMEZ</v>
      </c>
      <c r="B6887" s="18" t="str">
        <f>HYPERLINK("https://otsuka-europe-crm.veevavault.com/ui/#object/vcountry__v/VENZ000004SONF5", "ES")</f>
        <v>ES</v>
      </c>
      <c r="C6887" s="20" t="s">
        <v>39</v>
      </c>
      <c r="D6887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7" s="22" t="str">
        <f>HYPERLINK("https://otsuka-europe-crm.veevavault.com/ui/#object/sent_email__v/VBL00000003B033", "SE-001444855")</f>
        <v>SE-001444855</v>
      </c>
      <c r="F6887" s="23"/>
      <c r="G6887" s="24">
        <v>0</v>
      </c>
      <c r="H6887" s="24">
        <v>0</v>
      </c>
      <c r="I6887" s="24">
        <v>0</v>
      </c>
      <c r="J6887" s="23"/>
      <c r="K6887" s="24">
        <v>0</v>
      </c>
      <c r="L6887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7" s="22" t="str">
        <f>HYPERLINK("mailto:oriballo@crm.otsuka-europe.com", "oriballo@crm.otsuka-europe.com")</f>
        <v>oriballo@crm.otsuka-europe.com</v>
      </c>
      <c r="N6887" s="25">
        <v>46227.517465277779</v>
      </c>
      <c r="O6887" s="14" t="str">
        <f>HYPERLINK("https://otsuka-europe-crm.veevavault.com/ui/#object/email_activity__v/V8C00000004E023", "EN-002108321")</f>
        <v>EN-002108321</v>
      </c>
    </row>
    <row r="6888" spans="1:15" ht="16" x14ac:dyDescent="0.2">
      <c r="A6888" s="19"/>
      <c r="B6888" s="19"/>
      <c r="C6888" s="19"/>
      <c r="D6888" s="19"/>
      <c r="E6888" s="19"/>
      <c r="F6888" s="19"/>
      <c r="G6888" s="19"/>
      <c r="H6888" s="19"/>
      <c r="I6888" s="19"/>
      <c r="J6888" s="19"/>
      <c r="K6888" s="19"/>
      <c r="L6888" s="19"/>
      <c r="M6888" s="19"/>
      <c r="N6888" s="19"/>
      <c r="O6888" s="14" t="str">
        <f>HYPERLINK("https://otsuka-europe-crm.veevavault.com/ui/#object/email_activity__v/V8C00000004E222", "EN-002108821")</f>
        <v>EN-002108821</v>
      </c>
    </row>
    <row r="6889" spans="1:15" ht="48" x14ac:dyDescent="0.2">
      <c r="A6889" s="7" t="str">
        <f>HYPERLINK("https://otsuka-europe-crm.veevavault.com/ui/#object/account__v/V4TZ025E83MPK1L", "JOSE CARLOS HERNANDEZ CASTELLET")</f>
        <v>JOSE CARLOS HERNANDEZ CASTELLET</v>
      </c>
      <c r="B6889" s="7" t="str">
        <f>HYPERLINK("https://otsuka-europe-crm.veevavault.com/ui/#object/vcountry__v/VENZ000004SONF5", "ES")</f>
        <v>ES</v>
      </c>
      <c r="C6889" s="8" t="s">
        <v>39</v>
      </c>
      <c r="D6889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89" s="10" t="str">
        <f>HYPERLINK("https://otsuka-europe-crm.veevavault.com/ui/#object/sent_email__v/VBL00000003B034", "SE-001444856")</f>
        <v>SE-001444856</v>
      </c>
      <c r="F6889" s="11"/>
      <c r="G6889" s="12">
        <v>0</v>
      </c>
      <c r="H6889" s="12">
        <v>0</v>
      </c>
      <c r="I6889" s="12">
        <v>0</v>
      </c>
      <c r="J6889" s="11"/>
      <c r="K6889" s="12">
        <v>0</v>
      </c>
      <c r="L6889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89" s="10" t="str">
        <f>HYPERLINK("mailto:oriballo@crm.otsuka-europe.com", "oriballo@crm.otsuka-europe.com")</f>
        <v>oriballo@crm.otsuka-europe.com</v>
      </c>
      <c r="N6889" s="13">
        <v>46227.517465277779</v>
      </c>
      <c r="O6889" s="14" t="str">
        <f>HYPERLINK("https://otsuka-europe-crm.veevavault.com/ui/#object/email_activity__v/V8C00000004E050", "EN-002108424")</f>
        <v>EN-002108424</v>
      </c>
    </row>
    <row r="6890" spans="1:15" ht="16" x14ac:dyDescent="0.2">
      <c r="A6890" s="18" t="str">
        <f>HYPERLINK("https://otsuka-europe-crm.veevavault.com/ui/#object/account__v/V4TZ025E85S1IF5", "MARIA SANCHEZ JAEN")</f>
        <v>MARIA SANCHEZ JAEN</v>
      </c>
      <c r="B6890" s="18" t="str">
        <f>HYPERLINK("https://otsuka-europe-crm.veevavault.com/ui/#object/vcountry__v/VENZ000004SONF5", "ES")</f>
        <v>ES</v>
      </c>
      <c r="C6890" s="20" t="s">
        <v>39</v>
      </c>
      <c r="D6890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90" s="22" t="str">
        <f>HYPERLINK("https://otsuka-europe-crm.veevavault.com/ui/#object/sent_email__v/VBL00000003B035", "SE-001444857")</f>
        <v>SE-001444857</v>
      </c>
      <c r="F6890" s="23"/>
      <c r="G6890" s="24">
        <v>0</v>
      </c>
      <c r="H6890" s="24">
        <v>0</v>
      </c>
      <c r="I6890" s="24">
        <v>0</v>
      </c>
      <c r="J6890" s="23"/>
      <c r="K6890" s="24">
        <v>0</v>
      </c>
      <c r="L6890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90" s="22" t="str">
        <f>HYPERLINK("mailto:oriballo@crm.otsuka-europe.com", "oriballo@crm.otsuka-europe.com")</f>
        <v>oriballo@crm.otsuka-europe.com</v>
      </c>
      <c r="N6890" s="25">
        <v>46227.517465277779</v>
      </c>
      <c r="O6890" s="14" t="str">
        <f>HYPERLINK("https://otsuka-europe-crm.veevavault.com/ui/#object/email_activity__v/V8C00000004D151", "EN-002108418")</f>
        <v>EN-002108418</v>
      </c>
    </row>
    <row r="6891" spans="1:15" ht="16" x14ac:dyDescent="0.2">
      <c r="A6891" s="19"/>
      <c r="B6891" s="19"/>
      <c r="C6891" s="19"/>
      <c r="D6891" s="19"/>
      <c r="E6891" s="19"/>
      <c r="F6891" s="19"/>
      <c r="G6891" s="19"/>
      <c r="H6891" s="19"/>
      <c r="I6891" s="19"/>
      <c r="J6891" s="19"/>
      <c r="K6891" s="19"/>
      <c r="L6891" s="19"/>
      <c r="M6891" s="19"/>
      <c r="N6891" s="19"/>
      <c r="O6891" s="14" t="str">
        <f>HYPERLINK("https://otsuka-europe-crm.veevavault.com/ui/#object/email_activity__v/V8C00000004D246", "EN-002108528")</f>
        <v>EN-002108528</v>
      </c>
    </row>
    <row r="6892" spans="1:15" ht="48" x14ac:dyDescent="0.2">
      <c r="A6892" s="7" t="str">
        <f>HYPERLINK("https://otsuka-europe-crm.veevavault.com/ui/#object/account__v/V4TZ025E85EE3R5", "BIANCA DIAZ ROLDAN")</f>
        <v>BIANCA DIAZ ROLDAN</v>
      </c>
      <c r="B6892" s="7" t="str">
        <f>HYPERLINK("https://otsuka-europe-crm.veevavault.com/ui/#object/vcountry__v/VENZ000004SONF5", "ES")</f>
        <v>ES</v>
      </c>
      <c r="C6892" s="8" t="s">
        <v>39</v>
      </c>
      <c r="D6892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92" s="10" t="str">
        <f>HYPERLINK("https://otsuka-europe-crm.veevavault.com/ui/#object/sent_email__v/VBL00000003B036", "SE-001444858")</f>
        <v>SE-001444858</v>
      </c>
      <c r="F6892" s="11"/>
      <c r="G6892" s="12">
        <v>0</v>
      </c>
      <c r="H6892" s="12">
        <v>0</v>
      </c>
      <c r="I6892" s="12">
        <v>0</v>
      </c>
      <c r="J6892" s="11"/>
      <c r="K6892" s="12">
        <v>0</v>
      </c>
      <c r="L6892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92" s="10" t="str">
        <f>HYPERLINK("mailto:oriballo@crm.otsuka-europe.com", "oriballo@crm.otsuka-europe.com")</f>
        <v>oriballo@crm.otsuka-europe.com</v>
      </c>
      <c r="N6892" s="13">
        <v>46227.517465277779</v>
      </c>
      <c r="O6892" s="14" t="str">
        <f>HYPERLINK("https://otsuka-europe-crm.veevavault.com/ui/#object/email_activity__v/V8C00000004D120", "EN-002108387")</f>
        <v>EN-002108387</v>
      </c>
    </row>
    <row r="6893" spans="1:15" ht="16" x14ac:dyDescent="0.2">
      <c r="A6893" s="18" t="str">
        <f>HYPERLINK("https://otsuka-europe-crm.veevavault.com/ui/#object/account__v/V4TZ025E85I5RH2", "MANUELA INES HIDALGO CAMPOS")</f>
        <v>MANUELA INES HIDALGO CAMPOS</v>
      </c>
      <c r="B6893" s="18" t="str">
        <f>HYPERLINK("https://otsuka-europe-crm.veevavault.com/ui/#object/vcountry__v/VENZ000004SONF5", "ES")</f>
        <v>ES</v>
      </c>
      <c r="C6893" s="20" t="s">
        <v>39</v>
      </c>
      <c r="D6893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93" s="22" t="str">
        <f>HYPERLINK("https://otsuka-europe-crm.veevavault.com/ui/#object/sent_email__v/VBL00000003B037", "SE-001444859")</f>
        <v>SE-001444859</v>
      </c>
      <c r="F6893" s="25">
        <v>46227.51766203704</v>
      </c>
      <c r="G6893" s="24">
        <v>1</v>
      </c>
      <c r="H6893" s="24">
        <v>2</v>
      </c>
      <c r="I6893" s="24">
        <v>0</v>
      </c>
      <c r="J6893" s="23"/>
      <c r="K6893" s="24">
        <v>0</v>
      </c>
      <c r="L6893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93" s="22" t="str">
        <f>HYPERLINK("mailto:oriballo@crm.otsuka-europe.com", "oriballo@crm.otsuka-europe.com")</f>
        <v>oriballo@crm.otsuka-europe.com</v>
      </c>
      <c r="N6893" s="25">
        <v>46227.517488425925</v>
      </c>
      <c r="O6893" s="14" t="str">
        <f>HYPERLINK("https://otsuka-europe-crm.veevavault.com/ui/#object/email_activity__v/V8C00000004D097", "EN-002108339")</f>
        <v>EN-002108339</v>
      </c>
    </row>
    <row r="6894" spans="1:15" ht="16" x14ac:dyDescent="0.2">
      <c r="A6894" s="26"/>
      <c r="B6894" s="26"/>
      <c r="C6894" s="26"/>
      <c r="D6894" s="26"/>
      <c r="E6894" s="26"/>
      <c r="F6894" s="26"/>
      <c r="G6894" s="26"/>
      <c r="H6894" s="26"/>
      <c r="I6894" s="26"/>
      <c r="J6894" s="26"/>
      <c r="K6894" s="26"/>
      <c r="L6894" s="26"/>
      <c r="M6894" s="26"/>
      <c r="N6894" s="26"/>
      <c r="O6894" s="14" t="str">
        <f>HYPERLINK("https://otsuka-europe-crm.veevavault.com/ui/#object/email_activity__v/V8C00000004D131", "EN-002108398")</f>
        <v>EN-002108398</v>
      </c>
    </row>
    <row r="6895" spans="1:15" ht="16" x14ac:dyDescent="0.2">
      <c r="A6895" s="19"/>
      <c r="B6895" s="19"/>
      <c r="C6895" s="19"/>
      <c r="D6895" s="19"/>
      <c r="E6895" s="19"/>
      <c r="F6895" s="19"/>
      <c r="G6895" s="19"/>
      <c r="H6895" s="19"/>
      <c r="I6895" s="19"/>
      <c r="J6895" s="19"/>
      <c r="K6895" s="19"/>
      <c r="L6895" s="19"/>
      <c r="M6895" s="19"/>
      <c r="N6895" s="19"/>
      <c r="O6895" s="14" t="str">
        <f>HYPERLINK("https://otsuka-europe-crm.veevavault.com/ui/#object/email_activity__v/V8C00000004D162", "EN-002108433")</f>
        <v>EN-002108433</v>
      </c>
    </row>
    <row r="6896" spans="1:15" ht="48" x14ac:dyDescent="0.2">
      <c r="A6896" s="7" t="str">
        <f>HYPERLINK("https://otsuka-europe-crm.veevavault.com/ui/#object/account__v/V4TZ025E859JA8K", "JOSE MANUEL VAGACE VALERO")</f>
        <v>JOSE MANUEL VAGACE VALERO</v>
      </c>
      <c r="B6896" s="7" t="str">
        <f>HYPERLINK("https://otsuka-europe-crm.veevavault.com/ui/#object/vcountry__v/VENZ000004SONF5", "ES")</f>
        <v>ES</v>
      </c>
      <c r="C6896" s="8" t="s">
        <v>39</v>
      </c>
      <c r="D6896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96" s="10" t="str">
        <f>HYPERLINK("https://otsuka-europe-crm.veevavault.com/ui/#object/sent_email__v/VBL00000003B038", "SE-001444860")</f>
        <v>SE-001444860</v>
      </c>
      <c r="F6896" s="11"/>
      <c r="G6896" s="12">
        <v>0</v>
      </c>
      <c r="H6896" s="12">
        <v>0</v>
      </c>
      <c r="I6896" s="12">
        <v>0</v>
      </c>
      <c r="J6896" s="11"/>
      <c r="K6896" s="12">
        <v>0</v>
      </c>
      <c r="L6896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96" s="10" t="str">
        <f>HYPERLINK("mailto:oriballo@crm.otsuka-europe.com", "oriballo@crm.otsuka-europe.com")</f>
        <v>oriballo@crm.otsuka-europe.com</v>
      </c>
      <c r="N6896" s="13">
        <v>46227.517465277779</v>
      </c>
      <c r="O6896" s="14" t="str">
        <f>HYPERLINK("https://otsuka-europe-crm.veevavault.com/ui/#object/email_activity__v/V8C00000004E033", "EN-002108356")</f>
        <v>EN-002108356</v>
      </c>
    </row>
    <row r="6897" spans="1:15" ht="16" x14ac:dyDescent="0.2">
      <c r="A6897" s="18" t="str">
        <f>HYPERLINK("https://otsuka-europe-crm.veevavault.com/ui/#object/account__v/V4TZ06G6O71TC5W", "JOSEFINA SERRANO LOPEZ")</f>
        <v>JOSEFINA SERRANO LOPEZ</v>
      </c>
      <c r="B6897" s="18" t="str">
        <f>HYPERLINK("https://otsuka-europe-crm.veevavault.com/ui/#object/vcountry__v/VENZ000004SONF5", "ES")</f>
        <v>ES</v>
      </c>
      <c r="C6897" s="20" t="s">
        <v>39</v>
      </c>
      <c r="D6897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97" s="22" t="str">
        <f>HYPERLINK("https://otsuka-europe-crm.veevavault.com/ui/#object/sent_email__v/VBL00000003B039", "SE-001444861")</f>
        <v>SE-001444861</v>
      </c>
      <c r="F6897" s="23"/>
      <c r="G6897" s="24">
        <v>0</v>
      </c>
      <c r="H6897" s="24">
        <v>0</v>
      </c>
      <c r="I6897" s="24">
        <v>0</v>
      </c>
      <c r="J6897" s="23"/>
      <c r="K6897" s="24">
        <v>0</v>
      </c>
      <c r="L6897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97" s="22" t="str">
        <f>HYPERLINK("mailto:oriballo@crm.otsuka-europe.com", "oriballo@crm.otsuka-europe.com")</f>
        <v>oriballo@crm.otsuka-europe.com</v>
      </c>
      <c r="N6897" s="25">
        <v>46227.517465277779</v>
      </c>
      <c r="O6897" s="14" t="str">
        <f>HYPERLINK("https://otsuka-europe-crm.veevavault.com/ui/#object/email_activity__v/V8C00000004D148", "EN-002108415")</f>
        <v>EN-002108415</v>
      </c>
    </row>
    <row r="6898" spans="1:15" ht="16" x14ac:dyDescent="0.2">
      <c r="A6898" s="19"/>
      <c r="B6898" s="19"/>
      <c r="C6898" s="19"/>
      <c r="D6898" s="19"/>
      <c r="E6898" s="19"/>
      <c r="F6898" s="19"/>
      <c r="G6898" s="19"/>
      <c r="H6898" s="19"/>
      <c r="I6898" s="19"/>
      <c r="J6898" s="19"/>
      <c r="K6898" s="19"/>
      <c r="L6898" s="19"/>
      <c r="M6898" s="19"/>
      <c r="N6898" s="19"/>
      <c r="O6898" s="14" t="str">
        <f>HYPERLINK("https://otsuka-europe-crm.veevavault.com/ui/#object/email_activity__v/V8C00000004E301", "EN-002108955")</f>
        <v>EN-002108955</v>
      </c>
    </row>
    <row r="6899" spans="1:15" ht="16" x14ac:dyDescent="0.2">
      <c r="A6899" s="18" t="str">
        <f>HYPERLINK("https://otsuka-europe-crm.veevavault.com/ui/#object/account__v/V4TZ025E83BTC4U", "LOURDES HERMOSIN RAMOS")</f>
        <v>LOURDES HERMOSIN RAMOS</v>
      </c>
      <c r="B6899" s="18" t="str">
        <f>HYPERLINK("https://otsuka-europe-crm.veevavault.com/ui/#object/vcountry__v/VENZ000004SONF5", "ES")</f>
        <v>ES</v>
      </c>
      <c r="C6899" s="20" t="s">
        <v>39</v>
      </c>
      <c r="D6899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899" s="22" t="str">
        <f>HYPERLINK("https://otsuka-europe-crm.veevavault.com/ui/#object/sent_email__v/VBL00000003B040", "SE-001444862")</f>
        <v>SE-001444862</v>
      </c>
      <c r="F6899" s="25">
        <v>46231.395949074074</v>
      </c>
      <c r="G6899" s="24">
        <v>1</v>
      </c>
      <c r="H6899" s="24">
        <v>2</v>
      </c>
      <c r="I6899" s="24">
        <v>1</v>
      </c>
      <c r="J6899" s="25">
        <v>46231.395937499998</v>
      </c>
      <c r="K6899" s="24">
        <v>2</v>
      </c>
      <c r="L6899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899" s="22" t="str">
        <f>HYPERLINK("mailto:oriballo@crm.otsuka-europe.com", "oriballo@crm.otsuka-europe.com")</f>
        <v>oriballo@crm.otsuka-europe.com</v>
      </c>
      <c r="N6899" s="25">
        <v>46227.517384259256</v>
      </c>
      <c r="O6899" s="14" t="str">
        <f>HYPERLINK("https://otsuka-europe-crm.veevavault.com/ui/#object/email_activity__v/V8C00000004D540", "EN-002109173")</f>
        <v>EN-002109173</v>
      </c>
    </row>
    <row r="6900" spans="1:15" ht="16" x14ac:dyDescent="0.2">
      <c r="A6900" s="26"/>
      <c r="B6900" s="26"/>
      <c r="C6900" s="26"/>
      <c r="D6900" s="26"/>
      <c r="E6900" s="26"/>
      <c r="F6900" s="26"/>
      <c r="G6900" s="26"/>
      <c r="H6900" s="26"/>
      <c r="I6900" s="26"/>
      <c r="J6900" s="26"/>
      <c r="K6900" s="26"/>
      <c r="L6900" s="26"/>
      <c r="M6900" s="26"/>
      <c r="N6900" s="26"/>
      <c r="O6900" s="14" t="str">
        <f>HYPERLINK("https://otsuka-europe-crm.veevavault.com/ui/#object/email_activity__v/V8C00000004E024", "EN-002108336")</f>
        <v>EN-002108336</v>
      </c>
    </row>
    <row r="6901" spans="1:15" ht="16" x14ac:dyDescent="0.2">
      <c r="A6901" s="26"/>
      <c r="B6901" s="26"/>
      <c r="C6901" s="26"/>
      <c r="D6901" s="26"/>
      <c r="E6901" s="26"/>
      <c r="F6901" s="26"/>
      <c r="G6901" s="26"/>
      <c r="H6901" s="26"/>
      <c r="I6901" s="26"/>
      <c r="J6901" s="26"/>
      <c r="K6901" s="26"/>
      <c r="L6901" s="26"/>
      <c r="M6901" s="26"/>
      <c r="N6901" s="26"/>
      <c r="O6901" s="14" t="str">
        <f>HYPERLINK("https://otsuka-europe-crm.veevavault.com/ui/#object/email_activity__v/V8C00000004E414", "EN-002109172")</f>
        <v>EN-002109172</v>
      </c>
    </row>
    <row r="6902" spans="1:15" ht="16" x14ac:dyDescent="0.2">
      <c r="A6902" s="26"/>
      <c r="B6902" s="26"/>
      <c r="C6902" s="26"/>
      <c r="D6902" s="26"/>
      <c r="E6902" s="26"/>
      <c r="F6902" s="26"/>
      <c r="G6902" s="26"/>
      <c r="H6902" s="26"/>
      <c r="I6902" s="26"/>
      <c r="J6902" s="26"/>
      <c r="K6902" s="26"/>
      <c r="L6902" s="26"/>
      <c r="M6902" s="26"/>
      <c r="N6902" s="26"/>
      <c r="O6902" s="14" t="str">
        <f>HYPERLINK("https://otsuka-europe-crm.veevavault.com/ui/#object/email_activity__v/V8C00000004E415", "EN-002109171")</f>
        <v>EN-002109171</v>
      </c>
    </row>
    <row r="6903" spans="1:15" ht="16" x14ac:dyDescent="0.2">
      <c r="A6903" s="19"/>
      <c r="B6903" s="19"/>
      <c r="C6903" s="19"/>
      <c r="D6903" s="19"/>
      <c r="E6903" s="19"/>
      <c r="F6903" s="19"/>
      <c r="G6903" s="19"/>
      <c r="H6903" s="19"/>
      <c r="I6903" s="19"/>
      <c r="J6903" s="19"/>
      <c r="K6903" s="19"/>
      <c r="L6903" s="19"/>
      <c r="M6903" s="19"/>
      <c r="N6903" s="19"/>
      <c r="O6903" s="14" t="str">
        <f>HYPERLINK("https://otsuka-europe-crm.veevavault.com/ui/#object/email_activity__v/V8C00000004E416", "EN-002109174")</f>
        <v>EN-002109174</v>
      </c>
    </row>
    <row r="6904" spans="1:15" ht="16" x14ac:dyDescent="0.2">
      <c r="A6904" s="18" t="str">
        <f>HYPERLINK("https://otsuka-europe-crm.veevavault.com/ui/#object/account__v/V4TZ025E85S2ACO", "FRANCISCO JOSE JIMENEZ GONZALO")</f>
        <v>FRANCISCO JOSE JIMENEZ GONZALO</v>
      </c>
      <c r="B6904" s="18" t="str">
        <f>HYPERLINK("https://otsuka-europe-crm.veevavault.com/ui/#object/vcountry__v/VENZ000004SONF5", "ES")</f>
        <v>ES</v>
      </c>
      <c r="C6904" s="20" t="s">
        <v>39</v>
      </c>
      <c r="D6904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04" s="22" t="str">
        <f>HYPERLINK("https://otsuka-europe-crm.veevavault.com/ui/#object/sent_email__v/VBL00000003B041", "SE-001444863")</f>
        <v>SE-001444863</v>
      </c>
      <c r="F6904" s="23"/>
      <c r="G6904" s="24">
        <v>0</v>
      </c>
      <c r="H6904" s="24">
        <v>0</v>
      </c>
      <c r="I6904" s="24">
        <v>1</v>
      </c>
      <c r="J6904" s="25">
        <v>46227.81790509259</v>
      </c>
      <c r="K6904" s="24">
        <v>2</v>
      </c>
      <c r="L6904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04" s="22" t="str">
        <f>HYPERLINK("mailto:oriballo@crm.otsuka-europe.com", "oriballo@crm.otsuka-europe.com")</f>
        <v>oriballo@crm.otsuka-europe.com</v>
      </c>
      <c r="N6904" s="25">
        <v>46227.517337962963</v>
      </c>
      <c r="O6904" s="14" t="str">
        <f>HYPERLINK("https://otsuka-europe-crm.veevavault.com/ui/#object/email_activity__v/V8C00000004D081", "EN-002108322")</f>
        <v>EN-002108322</v>
      </c>
    </row>
    <row r="6905" spans="1:15" ht="16" x14ac:dyDescent="0.2">
      <c r="A6905" s="26"/>
      <c r="B6905" s="26"/>
      <c r="C6905" s="26"/>
      <c r="D6905" s="26"/>
      <c r="E6905" s="26"/>
      <c r="F6905" s="26"/>
      <c r="G6905" s="26"/>
      <c r="H6905" s="26"/>
      <c r="I6905" s="26"/>
      <c r="J6905" s="26"/>
      <c r="K6905" s="26"/>
      <c r="L6905" s="26"/>
      <c r="M6905" s="26"/>
      <c r="N6905" s="26"/>
      <c r="O6905" s="14" t="str">
        <f>HYPERLINK("https://otsuka-europe-crm.veevavault.com/ui/#object/email_activity__v/V8C00000004D423", "EN-002108923")</f>
        <v>EN-002108923</v>
      </c>
    </row>
    <row r="6906" spans="1:15" ht="16" x14ac:dyDescent="0.2">
      <c r="A6906" s="26"/>
      <c r="B6906" s="26"/>
      <c r="C6906" s="26"/>
      <c r="D6906" s="26"/>
      <c r="E6906" s="26"/>
      <c r="F6906" s="26"/>
      <c r="G6906" s="26"/>
      <c r="H6906" s="26"/>
      <c r="I6906" s="26"/>
      <c r="J6906" s="26"/>
      <c r="K6906" s="26"/>
      <c r="L6906" s="26"/>
      <c r="M6906" s="26"/>
      <c r="N6906" s="26"/>
      <c r="O6906" s="14" t="str">
        <f>HYPERLINK("https://otsuka-europe-crm.veevavault.com/ui/#object/email_activity__v/V8C00000004D424", "EN-002108924")</f>
        <v>EN-002108924</v>
      </c>
    </row>
    <row r="6907" spans="1:15" ht="16" x14ac:dyDescent="0.2">
      <c r="A6907" s="26"/>
      <c r="B6907" s="26"/>
      <c r="C6907" s="26"/>
      <c r="D6907" s="26"/>
      <c r="E6907" s="26"/>
      <c r="F6907" s="26"/>
      <c r="G6907" s="26"/>
      <c r="H6907" s="26"/>
      <c r="I6907" s="26"/>
      <c r="J6907" s="26"/>
      <c r="K6907" s="26"/>
      <c r="L6907" s="26"/>
      <c r="M6907" s="26"/>
      <c r="N6907" s="26"/>
      <c r="O6907" s="14" t="str">
        <f>HYPERLINK("https://otsuka-europe-crm.veevavault.com/ui/#object/email_activity__v/V8C00000004E180", "EN-002108744")</f>
        <v>EN-002108744</v>
      </c>
    </row>
    <row r="6908" spans="1:15" ht="16" x14ac:dyDescent="0.2">
      <c r="A6908" s="26"/>
      <c r="B6908" s="26"/>
      <c r="C6908" s="26"/>
      <c r="D6908" s="26"/>
      <c r="E6908" s="26"/>
      <c r="F6908" s="26"/>
      <c r="G6908" s="26"/>
      <c r="H6908" s="26"/>
      <c r="I6908" s="26"/>
      <c r="J6908" s="26"/>
      <c r="K6908" s="26"/>
      <c r="L6908" s="26"/>
      <c r="M6908" s="26"/>
      <c r="N6908" s="26"/>
      <c r="O6908" s="14" t="str">
        <f>HYPERLINK("https://otsuka-europe-crm.veevavault.com/ui/#object/email_activity__v/V8C00000004E283", "EN-002108925")</f>
        <v>EN-002108925</v>
      </c>
    </row>
    <row r="6909" spans="1:15" ht="16" x14ac:dyDescent="0.2">
      <c r="A6909" s="19"/>
      <c r="B6909" s="19"/>
      <c r="C6909" s="19"/>
      <c r="D6909" s="19"/>
      <c r="E6909" s="19"/>
      <c r="F6909" s="19"/>
      <c r="G6909" s="19"/>
      <c r="H6909" s="19"/>
      <c r="I6909" s="19"/>
      <c r="J6909" s="19"/>
      <c r="K6909" s="19"/>
      <c r="L6909" s="19"/>
      <c r="M6909" s="19"/>
      <c r="N6909" s="19"/>
      <c r="O6909" s="14" t="str">
        <f>HYPERLINK("https://otsuka-europe-crm.veevavault.com/ui/#object/email_activity__v/V8C00000004E290", "EN-002108934")</f>
        <v>EN-002108934</v>
      </c>
    </row>
    <row r="6910" spans="1:15" ht="16" x14ac:dyDescent="0.2">
      <c r="A6910" s="18" t="str">
        <f>HYPERLINK("https://otsuka-europe-crm.veevavault.com/ui/#object/account__v/V4TZ025E85GG46O", "CRISTINA HINOJOSA ORANTOS")</f>
        <v>CRISTINA HINOJOSA ORANTOS</v>
      </c>
      <c r="B6910" s="18" t="str">
        <f>HYPERLINK("https://otsuka-europe-crm.veevavault.com/ui/#object/vcountry__v/VENZ000004SONF5", "ES")</f>
        <v>ES</v>
      </c>
      <c r="C6910" s="20" t="s">
        <v>39</v>
      </c>
      <c r="D6910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0" s="22" t="str">
        <f>HYPERLINK("https://otsuka-europe-crm.veevavault.com/ui/#object/sent_email__v/VBL00000003B042", "SE-001444864")</f>
        <v>SE-001444864</v>
      </c>
      <c r="F6910" s="25">
        <v>46230.317615740743</v>
      </c>
      <c r="G6910" s="24">
        <v>1</v>
      </c>
      <c r="H6910" s="24">
        <v>2</v>
      </c>
      <c r="I6910" s="24">
        <v>0</v>
      </c>
      <c r="J6910" s="23"/>
      <c r="K6910" s="24">
        <v>0</v>
      </c>
      <c r="L6910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0" s="22" t="str">
        <f>HYPERLINK("mailto:oriballo@crm.otsuka-europe.com", "oriballo@crm.otsuka-europe.com")</f>
        <v>oriballo@crm.otsuka-europe.com</v>
      </c>
      <c r="N6910" s="25">
        <v>46227.517361111109</v>
      </c>
      <c r="O6910" s="14" t="str">
        <f>HYPERLINK("https://otsuka-europe-crm.veevavault.com/ui/#object/email_activity__v/V8C00000004D096", "EN-002108338")</f>
        <v>EN-002108338</v>
      </c>
    </row>
    <row r="6911" spans="1:15" ht="16" x14ac:dyDescent="0.2">
      <c r="A6911" s="26"/>
      <c r="B6911" s="26"/>
      <c r="C6911" s="26"/>
      <c r="D6911" s="26"/>
      <c r="E6911" s="26"/>
      <c r="F6911" s="26"/>
      <c r="G6911" s="26"/>
      <c r="H6911" s="26"/>
      <c r="I6911" s="26"/>
      <c r="J6911" s="26"/>
      <c r="K6911" s="26"/>
      <c r="L6911" s="26"/>
      <c r="M6911" s="26"/>
      <c r="N6911" s="26"/>
      <c r="O6911" s="14" t="str">
        <f>HYPERLINK("https://otsuka-europe-crm.veevavault.com/ui/#object/email_activity__v/V8C00000004E359", "EN-002109067")</f>
        <v>EN-002109067</v>
      </c>
    </row>
    <row r="6912" spans="1:15" ht="16" x14ac:dyDescent="0.2">
      <c r="A6912" s="19"/>
      <c r="B6912" s="19"/>
      <c r="C6912" s="19"/>
      <c r="D6912" s="19"/>
      <c r="E6912" s="19"/>
      <c r="F6912" s="19"/>
      <c r="G6912" s="19"/>
      <c r="H6912" s="19"/>
      <c r="I6912" s="19"/>
      <c r="J6912" s="19"/>
      <c r="K6912" s="19"/>
      <c r="L6912" s="19"/>
      <c r="M6912" s="19"/>
      <c r="N6912" s="19"/>
      <c r="O6912" s="14" t="str">
        <f>HYPERLINK("https://otsuka-europe-crm.veevavault.com/ui/#object/email_activity__v/V8C00000004E360", "EN-002109068")</f>
        <v>EN-002109068</v>
      </c>
    </row>
    <row r="6913" spans="1:15" ht="48" x14ac:dyDescent="0.2">
      <c r="A6913" s="7" t="str">
        <f>HYPERLINK("https://otsuka-europe-crm.veevavault.com/ui/#object/account__v/V4TZ025E85J1YNO", "NOELIA GONZALEZ CARRASCO")</f>
        <v>NOELIA GONZALEZ CARRASCO</v>
      </c>
      <c r="B6913" s="7" t="str">
        <f>HYPERLINK("https://otsuka-europe-crm.veevavault.com/ui/#object/vcountry__v/VENZ000004SONF5", "ES")</f>
        <v>ES</v>
      </c>
      <c r="C6913" s="8" t="s">
        <v>39</v>
      </c>
      <c r="D6913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3" s="10" t="str">
        <f>HYPERLINK("https://otsuka-europe-crm.veevavault.com/ui/#object/sent_email__v/VBL00000003B043", "SE-001444865")</f>
        <v>SE-001444865</v>
      </c>
      <c r="F6913" s="11"/>
      <c r="G6913" s="12">
        <v>0</v>
      </c>
      <c r="H6913" s="12">
        <v>0</v>
      </c>
      <c r="I6913" s="12">
        <v>0</v>
      </c>
      <c r="J6913" s="11"/>
      <c r="K6913" s="12">
        <v>0</v>
      </c>
      <c r="L6913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3" s="10" t="str">
        <f>HYPERLINK("mailto:oriballo@crm.otsuka-europe.com", "oriballo@crm.otsuka-europe.com")</f>
        <v>oriballo@crm.otsuka-europe.com</v>
      </c>
      <c r="N6913" s="13">
        <v>46227.517407407409</v>
      </c>
      <c r="O6913" s="14" t="str">
        <f>HYPERLINK("https://otsuka-europe-crm.veevavault.com/ui/#object/email_activity__v/V8C00000004E045", "EN-002108379")</f>
        <v>EN-002108379</v>
      </c>
    </row>
    <row r="6914" spans="1:15" ht="48" x14ac:dyDescent="0.2">
      <c r="A6914" s="7" t="str">
        <f>HYPERLINK("https://otsuka-europe-crm.veevavault.com/ui/#object/account__v/V4TZ025E8606MW0", "KRYSTA ELISA KESTLER GONZALEZ")</f>
        <v>KRYSTA ELISA KESTLER GONZALEZ</v>
      </c>
      <c r="B6914" s="7" t="str">
        <f>HYPERLINK("https://otsuka-europe-crm.veevavault.com/ui/#object/vcountry__v/VENZ000004SONF5", "ES")</f>
        <v>ES</v>
      </c>
      <c r="C6914" s="8" t="s">
        <v>39</v>
      </c>
      <c r="D6914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4" s="10" t="str">
        <f>HYPERLINK("https://otsuka-europe-crm.veevavault.com/ui/#object/sent_email__v/VBL00000003B044", "SE-001444866")</f>
        <v>SE-001444866</v>
      </c>
      <c r="F6914" s="11"/>
      <c r="G6914" s="12">
        <v>0</v>
      </c>
      <c r="H6914" s="12">
        <v>0</v>
      </c>
      <c r="I6914" s="12">
        <v>0</v>
      </c>
      <c r="J6914" s="11"/>
      <c r="K6914" s="12">
        <v>0</v>
      </c>
      <c r="L6914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4" s="10" t="str">
        <f>HYPERLINK("mailto:oriballo@crm.otsuka-europe.com", "oriballo@crm.otsuka-europe.com")</f>
        <v>oriballo@crm.otsuka-europe.com</v>
      </c>
      <c r="N6914" s="13">
        <v>46227.517407407409</v>
      </c>
      <c r="O6914" s="14" t="str">
        <f>HYPERLINK("https://otsuka-europe-crm.veevavault.com/ui/#object/email_activity__v/V8C00000004D132", "EN-002108399")</f>
        <v>EN-002108399</v>
      </c>
    </row>
    <row r="6915" spans="1:15" ht="48" x14ac:dyDescent="0.2">
      <c r="A6915" s="7" t="str">
        <f>HYPERLINK("https://otsuka-europe-crm.veevavault.com/ui/#object/account__v/V4TZ025E85J0NTM", "JOSELYN ESTEFANIA LARA FIALLOS")</f>
        <v>JOSELYN ESTEFANIA LARA FIALLOS</v>
      </c>
      <c r="B6915" s="7" t="str">
        <f>HYPERLINK("https://otsuka-europe-crm.veevavault.com/ui/#object/vcountry__v/VENZ000004SONF5", "ES")</f>
        <v>ES</v>
      </c>
      <c r="C6915" s="8" t="s">
        <v>39</v>
      </c>
      <c r="D6915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5" s="10" t="str">
        <f>HYPERLINK("https://otsuka-europe-crm.veevavault.com/ui/#object/sent_email__v/VBL00000003B045", "SE-001444867")</f>
        <v>SE-001444867</v>
      </c>
      <c r="F6915" s="11"/>
      <c r="G6915" s="12">
        <v>0</v>
      </c>
      <c r="H6915" s="12">
        <v>0</v>
      </c>
      <c r="I6915" s="12">
        <v>0</v>
      </c>
      <c r="J6915" s="11"/>
      <c r="K6915" s="12">
        <v>0</v>
      </c>
      <c r="L6915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5" s="10" t="str">
        <f>HYPERLINK("mailto:oriballo@crm.otsuka-europe.com", "oriballo@crm.otsuka-europe.com")</f>
        <v>oriballo@crm.otsuka-europe.com</v>
      </c>
      <c r="N6915" s="13">
        <v>46227.517407407409</v>
      </c>
      <c r="O6915" s="14" t="str">
        <f>HYPERLINK("https://otsuka-europe-crm.veevavault.com/ui/#object/email_activity__v/V8C00000004E044", "EN-002108378")</f>
        <v>EN-002108378</v>
      </c>
    </row>
    <row r="6916" spans="1:15" ht="48" x14ac:dyDescent="0.2">
      <c r="A6916" s="7" t="str">
        <f>HYPERLINK("https://otsuka-europe-crm.veevavault.com/ui/#object/account__v/V4TZ025E85GGIX5", "MARIA ESPINA GARCIA")</f>
        <v>MARIA ESPINA GARCIA</v>
      </c>
      <c r="B6916" s="7" t="str">
        <f>HYPERLINK("https://otsuka-europe-crm.veevavault.com/ui/#object/vcountry__v/VENZ000004SONF5", "ES")</f>
        <v>ES</v>
      </c>
      <c r="C6916" s="8" t="s">
        <v>39</v>
      </c>
      <c r="D6916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6" s="10" t="str">
        <f>HYPERLINK("https://otsuka-europe-crm.veevavault.com/ui/#object/sent_email__v/VBL00000003B046", "SE-001444868")</f>
        <v>SE-001444868</v>
      </c>
      <c r="F6916" s="11"/>
      <c r="G6916" s="12">
        <v>0</v>
      </c>
      <c r="H6916" s="12">
        <v>0</v>
      </c>
      <c r="I6916" s="12">
        <v>0</v>
      </c>
      <c r="J6916" s="11"/>
      <c r="K6916" s="12">
        <v>0</v>
      </c>
      <c r="L6916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6" s="10" t="str">
        <f>HYPERLINK("mailto:oriballo@crm.otsuka-europe.com", "oriballo@crm.otsuka-europe.com")</f>
        <v>oriballo@crm.otsuka-europe.com</v>
      </c>
      <c r="N6916" s="13">
        <v>46227.517407407409</v>
      </c>
      <c r="O6916" s="14" t="str">
        <f>HYPERLINK("https://otsuka-europe-crm.veevavault.com/ui/#object/email_activity__v/V8C00000004D075", "EN-002108315")</f>
        <v>EN-002108315</v>
      </c>
    </row>
    <row r="6917" spans="1:15" ht="16" x14ac:dyDescent="0.2">
      <c r="A6917" s="18" t="str">
        <f>HYPERLINK("https://otsuka-europe-crm.veevavault.com/ui/#object/account__v/V4TZ025E83BNUZQ", "DORIS ADRIANA RAMIREZ DUQUE")</f>
        <v>DORIS ADRIANA RAMIREZ DUQUE</v>
      </c>
      <c r="B6917" s="18" t="str">
        <f>HYPERLINK("https://otsuka-europe-crm.veevavault.com/ui/#object/vcountry__v/VENZ000004SONF5", "ES")</f>
        <v>ES</v>
      </c>
      <c r="C6917" s="20" t="s">
        <v>39</v>
      </c>
      <c r="D6917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7" s="22" t="str">
        <f>HYPERLINK("https://otsuka-europe-crm.veevavault.com/ui/#object/sent_email__v/VBL00000003B047", "SE-001444869")</f>
        <v>SE-001444869</v>
      </c>
      <c r="F6917" s="25">
        <v>46227.549560185187</v>
      </c>
      <c r="G6917" s="24">
        <v>1</v>
      </c>
      <c r="H6917" s="24">
        <v>1</v>
      </c>
      <c r="I6917" s="24">
        <v>0</v>
      </c>
      <c r="J6917" s="23"/>
      <c r="K6917" s="24">
        <v>0</v>
      </c>
      <c r="L6917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7" s="22" t="str">
        <f>HYPERLINK("mailto:oriballo@crm.otsuka-europe.com", "oriballo@crm.otsuka-europe.com")</f>
        <v>oriballo@crm.otsuka-europe.com</v>
      </c>
      <c r="N6917" s="25">
        <v>46227.517407407409</v>
      </c>
      <c r="O6917" s="14" t="str">
        <f>HYPERLINK("https://otsuka-europe-crm.veevavault.com/ui/#object/email_activity__v/V8C00000004D112", "EN-002108369")</f>
        <v>EN-002108369</v>
      </c>
    </row>
    <row r="6918" spans="1:15" ht="16" x14ac:dyDescent="0.2">
      <c r="A6918" s="19"/>
      <c r="B6918" s="19"/>
      <c r="C6918" s="19"/>
      <c r="D6918" s="19"/>
      <c r="E6918" s="19"/>
      <c r="F6918" s="19"/>
      <c r="G6918" s="19"/>
      <c r="H6918" s="19"/>
      <c r="I6918" s="19"/>
      <c r="J6918" s="19"/>
      <c r="K6918" s="19"/>
      <c r="L6918" s="19"/>
      <c r="M6918" s="19"/>
      <c r="N6918" s="19"/>
      <c r="O6918" s="14" t="str">
        <f>HYPERLINK("https://otsuka-europe-crm.veevavault.com/ui/#object/email_activity__v/V8C00000004E188", "EN-002108754")</f>
        <v>EN-002108754</v>
      </c>
    </row>
    <row r="6919" spans="1:15" ht="48" x14ac:dyDescent="0.2">
      <c r="A6919" s="7" t="str">
        <f>HYPERLINK("https://otsuka-europe-crm.veevavault.com/ui/#object/account__v/V4TZ025E85GGH59", "ELENA HERNANDEZ SANCHEZ")</f>
        <v>ELENA HERNANDEZ SANCHEZ</v>
      </c>
      <c r="B6919" s="7" t="str">
        <f>HYPERLINK("https://otsuka-europe-crm.veevavault.com/ui/#object/vcountry__v/VENZ000004SONF5", "ES")</f>
        <v>ES</v>
      </c>
      <c r="C6919" s="8" t="s">
        <v>39</v>
      </c>
      <c r="D6919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19" s="10" t="str">
        <f>HYPERLINK("https://otsuka-europe-crm.veevavault.com/ui/#object/sent_email__v/VBL00000003B048", "SE-001444870")</f>
        <v>SE-001444870</v>
      </c>
      <c r="F6919" s="11"/>
      <c r="G6919" s="12">
        <v>0</v>
      </c>
      <c r="H6919" s="12">
        <v>0</v>
      </c>
      <c r="I6919" s="12">
        <v>0</v>
      </c>
      <c r="J6919" s="11"/>
      <c r="K6919" s="12">
        <v>0</v>
      </c>
      <c r="L6919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19" s="10" t="str">
        <f>HYPERLINK("mailto:oriballo@crm.otsuka-europe.com", "oriballo@crm.otsuka-europe.com")</f>
        <v>oriballo@crm.otsuka-europe.com</v>
      </c>
      <c r="N6919" s="13">
        <v>46227.517407407409</v>
      </c>
      <c r="O6919" s="14" t="str">
        <f>HYPERLINK("https://otsuka-europe-crm.veevavault.com/ui/#object/email_activity__v/V8C00000004D113", "EN-002108370")</f>
        <v>EN-002108370</v>
      </c>
    </row>
    <row r="6920" spans="1:15" ht="48" x14ac:dyDescent="0.2">
      <c r="A6920" s="7" t="str">
        <f>HYPERLINK("https://otsuka-europe-crm.veevavault.com/ui/#object/account__v/V4TZ025E83OUNTB", "JULIO PRIETO FERNANDEZ")</f>
        <v>JULIO PRIETO FERNANDEZ</v>
      </c>
      <c r="B6920" s="7" t="str">
        <f>HYPERLINK("https://otsuka-europe-crm.veevavault.com/ui/#object/vcountry__v/VENZ000004SONF5", "ES")</f>
        <v>ES</v>
      </c>
      <c r="C6920" s="8" t="s">
        <v>39</v>
      </c>
      <c r="D6920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20" s="10" t="str">
        <f>HYPERLINK("https://otsuka-europe-crm.veevavault.com/ui/#object/sent_email__v/VBL00000003B049", "SE-001444871")</f>
        <v>SE-001444871</v>
      </c>
      <c r="F6920" s="11"/>
      <c r="G6920" s="12">
        <v>0</v>
      </c>
      <c r="H6920" s="12">
        <v>0</v>
      </c>
      <c r="I6920" s="12">
        <v>0</v>
      </c>
      <c r="J6920" s="11"/>
      <c r="K6920" s="12">
        <v>0</v>
      </c>
      <c r="L6920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20" s="10" t="str">
        <f>HYPERLINK("mailto:oriballo@crm.otsuka-europe.com", "oriballo@crm.otsuka-europe.com")</f>
        <v>oriballo@crm.otsuka-europe.com</v>
      </c>
      <c r="N6920" s="13">
        <v>46227.517407407409</v>
      </c>
      <c r="O6920" s="14" t="str">
        <f>HYPERLINK("https://otsuka-europe-crm.veevavault.com/ui/#object/email_activity__v/V8C00000004D074", "EN-002108314")</f>
        <v>EN-002108314</v>
      </c>
    </row>
    <row r="6921" spans="1:15" ht="16" x14ac:dyDescent="0.2">
      <c r="A6921" s="18" t="str">
        <f>HYPERLINK("https://otsuka-europe-crm.veevavault.com/ui/#object/account__v/V4TZ025E85GFKZ1", "ELENA PAUMARD RODRIGUEZ")</f>
        <v>ELENA PAUMARD RODRIGUEZ</v>
      </c>
      <c r="B6921" s="18" t="str">
        <f>HYPERLINK("https://otsuka-europe-crm.veevavault.com/ui/#object/vcountry__v/VENZ000004SONF5", "ES")</f>
        <v>ES</v>
      </c>
      <c r="C6921" s="20" t="s">
        <v>39</v>
      </c>
      <c r="D6921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21" s="22" t="str">
        <f>HYPERLINK("https://otsuka-europe-crm.veevavault.com/ui/#object/sent_email__v/VBL00000003B050", "SE-001444872")</f>
        <v>SE-001444872</v>
      </c>
      <c r="F6921" s="25">
        <v>46230.476180555554</v>
      </c>
      <c r="G6921" s="24">
        <v>1</v>
      </c>
      <c r="H6921" s="24">
        <v>4</v>
      </c>
      <c r="I6921" s="24">
        <v>0</v>
      </c>
      <c r="J6921" s="23"/>
      <c r="K6921" s="24">
        <v>0</v>
      </c>
      <c r="L6921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21" s="22" t="str">
        <f>HYPERLINK("mailto:oriballo@crm.otsuka-europe.com", "oriballo@crm.otsuka-europe.com")</f>
        <v>oriballo@crm.otsuka-europe.com</v>
      </c>
      <c r="N6921" s="25">
        <v>46227.517407407409</v>
      </c>
      <c r="O6921" s="14" t="str">
        <f>HYPERLINK("https://otsuka-europe-crm.veevavault.com/ui/#object/email_activity__v/V8C00000004D356", "EN-002108766")</f>
        <v>EN-002108766</v>
      </c>
    </row>
    <row r="6922" spans="1:15" ht="16" x14ac:dyDescent="0.2">
      <c r="A6922" s="26"/>
      <c r="B6922" s="26"/>
      <c r="C6922" s="26"/>
      <c r="D6922" s="26"/>
      <c r="E6922" s="26"/>
      <c r="F6922" s="26"/>
      <c r="G6922" s="26"/>
      <c r="H6922" s="26"/>
      <c r="I6922" s="26"/>
      <c r="J6922" s="26"/>
      <c r="K6922" s="26"/>
      <c r="L6922" s="26"/>
      <c r="M6922" s="26"/>
      <c r="N6922" s="26"/>
      <c r="O6922" s="14" t="str">
        <f>HYPERLINK("https://otsuka-europe-crm.veevavault.com/ui/#object/email_activity__v/V8C00000004D359", "EN-002108769")</f>
        <v>EN-002108769</v>
      </c>
    </row>
    <row r="6923" spans="1:15" ht="16" x14ac:dyDescent="0.2">
      <c r="A6923" s="26"/>
      <c r="B6923" s="26"/>
      <c r="C6923" s="26"/>
      <c r="D6923" s="26"/>
      <c r="E6923" s="26"/>
      <c r="F6923" s="26"/>
      <c r="G6923" s="26"/>
      <c r="H6923" s="26"/>
      <c r="I6923" s="26"/>
      <c r="J6923" s="26"/>
      <c r="K6923" s="26"/>
      <c r="L6923" s="26"/>
      <c r="M6923" s="26"/>
      <c r="N6923" s="26"/>
      <c r="O6923" s="14" t="str">
        <f>HYPERLINK("https://otsuka-europe-crm.veevavault.com/ui/#object/email_activity__v/V8C00000004D505", "EN-002109098")</f>
        <v>EN-002109098</v>
      </c>
    </row>
    <row r="6924" spans="1:15" ht="16" x14ac:dyDescent="0.2">
      <c r="A6924" s="26"/>
      <c r="B6924" s="26"/>
      <c r="C6924" s="26"/>
      <c r="D6924" s="26"/>
      <c r="E6924" s="26"/>
      <c r="F6924" s="26"/>
      <c r="G6924" s="26"/>
      <c r="H6924" s="26"/>
      <c r="I6924" s="26"/>
      <c r="J6924" s="26"/>
      <c r="K6924" s="26"/>
      <c r="L6924" s="26"/>
      <c r="M6924" s="26"/>
      <c r="N6924" s="26"/>
      <c r="O6924" s="14" t="str">
        <f>HYPERLINK("https://otsuka-europe-crm.veevavault.com/ui/#object/email_activity__v/V8C00000004E027", "EN-002108350")</f>
        <v>EN-002108350</v>
      </c>
    </row>
    <row r="6925" spans="1:15" ht="16" x14ac:dyDescent="0.2">
      <c r="A6925" s="19"/>
      <c r="B6925" s="19"/>
      <c r="C6925" s="19"/>
      <c r="D6925" s="19"/>
      <c r="E6925" s="19"/>
      <c r="F6925" s="19"/>
      <c r="G6925" s="19"/>
      <c r="H6925" s="19"/>
      <c r="I6925" s="19"/>
      <c r="J6925" s="19"/>
      <c r="K6925" s="19"/>
      <c r="L6925" s="19"/>
      <c r="M6925" s="19"/>
      <c r="N6925" s="19"/>
      <c r="O6925" s="14" t="str">
        <f>HYPERLINK("https://otsuka-europe-crm.veevavault.com/ui/#object/email_activity__v/V8C00000004E375", "EN-002109097")</f>
        <v>EN-002109097</v>
      </c>
    </row>
    <row r="6926" spans="1:15" ht="48" x14ac:dyDescent="0.2">
      <c r="A6926" s="7" t="str">
        <f>HYPERLINK("https://otsuka-europe-crm.veevavault.com/ui/#object/account__v/V4TZ025E85ZU2VX", "PATRICIA JIMENEZ GUERRERO")</f>
        <v>PATRICIA JIMENEZ GUERRERO</v>
      </c>
      <c r="B6926" s="7" t="str">
        <f>HYPERLINK("https://otsuka-europe-crm.veevavault.com/ui/#object/vcountry__v/VENZ000004SONF5", "ES")</f>
        <v>ES</v>
      </c>
      <c r="C6926" s="8" t="s">
        <v>39</v>
      </c>
      <c r="D6926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26" s="10" t="str">
        <f>HYPERLINK("https://otsuka-europe-crm.veevavault.com/ui/#object/sent_email__v/VBL00000003B051", "SE-001444873")</f>
        <v>SE-001444873</v>
      </c>
      <c r="F6926" s="11"/>
      <c r="G6926" s="12">
        <v>0</v>
      </c>
      <c r="H6926" s="12">
        <v>0</v>
      </c>
      <c r="I6926" s="12">
        <v>0</v>
      </c>
      <c r="J6926" s="11"/>
      <c r="K6926" s="12">
        <v>0</v>
      </c>
      <c r="L6926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26" s="10" t="str">
        <f>HYPERLINK("mailto:oriballo@crm.otsuka-europe.com", "oriballo@crm.otsuka-europe.com")</f>
        <v>oriballo@crm.otsuka-europe.com</v>
      </c>
      <c r="N6926" s="13">
        <v>46227.517407407409</v>
      </c>
      <c r="O6926" s="14" t="str">
        <f>HYPERLINK("https://otsuka-europe-crm.veevavault.com/ui/#object/email_activity__v/V8C00000004D077", "EN-002108317")</f>
        <v>EN-002108317</v>
      </c>
    </row>
    <row r="6927" spans="1:15" ht="48" x14ac:dyDescent="0.2">
      <c r="A6927" s="7" t="str">
        <f>HYPERLINK("https://otsuka-europe-crm.veevavault.com/ui/#object/account__v/V4TZ025E83DPYQI", "MARIA MAR ROMERO GONZALEZ")</f>
        <v>MARIA MAR ROMERO GONZALEZ</v>
      </c>
      <c r="B6927" s="7" t="str">
        <f>HYPERLINK("https://otsuka-europe-crm.veevavault.com/ui/#object/vcountry__v/VENZ000004SONF5", "ES")</f>
        <v>ES</v>
      </c>
      <c r="C6927" s="8" t="s">
        <v>39</v>
      </c>
      <c r="D6927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27" s="10" t="str">
        <f>HYPERLINK("https://otsuka-europe-crm.veevavault.com/ui/#object/sent_email__v/VBL00000003B052", "SE-001444874")</f>
        <v>SE-001444874</v>
      </c>
      <c r="F6927" s="11"/>
      <c r="G6927" s="12">
        <v>0</v>
      </c>
      <c r="H6927" s="12">
        <v>0</v>
      </c>
      <c r="I6927" s="12">
        <v>0</v>
      </c>
      <c r="J6927" s="11"/>
      <c r="K6927" s="12">
        <v>0</v>
      </c>
      <c r="L6927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27" s="10" t="str">
        <f>HYPERLINK("mailto:oriballo@crm.otsuka-europe.com", "oriballo@crm.otsuka-europe.com")</f>
        <v>oriballo@crm.otsuka-europe.com</v>
      </c>
      <c r="N6927" s="13">
        <v>46227.517407407409</v>
      </c>
      <c r="O6927" s="14" t="str">
        <f>HYPERLINK("https://otsuka-europe-crm.veevavault.com/ui/#object/email_activity__v/V8C00000004D115", "EN-002108372")</f>
        <v>EN-002108372</v>
      </c>
    </row>
    <row r="6928" spans="1:15" ht="16" x14ac:dyDescent="0.2">
      <c r="A6928" s="18" t="str">
        <f>HYPERLINK("https://otsuka-europe-crm.veevavault.com/ui/#object/account__v/V4TZ025E85SIQV5", "ISABEL VAZQUEZ-PASTOR JIMENEZ")</f>
        <v>ISABEL VAZQUEZ-PASTOR JIMENEZ</v>
      </c>
      <c r="B6928" s="18" t="str">
        <f>HYPERLINK("https://otsuka-europe-crm.veevavault.com/ui/#object/vcountry__v/VENZ000004SONF5", "ES")</f>
        <v>ES</v>
      </c>
      <c r="C6928" s="20" t="s">
        <v>39</v>
      </c>
      <c r="D6928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28" s="22" t="str">
        <f>HYPERLINK("https://otsuka-europe-crm.veevavault.com/ui/#object/sent_email__v/VBL00000003B053", "SE-001444875")</f>
        <v>SE-001444875</v>
      </c>
      <c r="F6928" s="23"/>
      <c r="G6928" s="24">
        <v>0</v>
      </c>
      <c r="H6928" s="24">
        <v>0</v>
      </c>
      <c r="I6928" s="24">
        <v>0</v>
      </c>
      <c r="J6928" s="23"/>
      <c r="K6928" s="24">
        <v>0</v>
      </c>
      <c r="L6928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28" s="22" t="str">
        <f>HYPERLINK("mailto:oriballo@crm.otsuka-europe.com", "oriballo@crm.otsuka-europe.com")</f>
        <v>oriballo@crm.otsuka-europe.com</v>
      </c>
      <c r="N6928" s="25">
        <v>46227.517407407409</v>
      </c>
      <c r="O6928" s="14" t="str">
        <f>HYPERLINK("https://otsuka-europe-crm.veevavault.com/ui/#object/email_activity__v/V8C00000004D399", "EN-002108860")</f>
        <v>EN-002108860</v>
      </c>
    </row>
    <row r="6929" spans="1:15" ht="16" x14ac:dyDescent="0.2">
      <c r="A6929" s="26"/>
      <c r="B6929" s="26"/>
      <c r="C6929" s="26"/>
      <c r="D6929" s="26"/>
      <c r="E6929" s="26"/>
      <c r="F6929" s="26"/>
      <c r="G6929" s="26"/>
      <c r="H6929" s="26"/>
      <c r="I6929" s="26"/>
      <c r="J6929" s="26"/>
      <c r="K6929" s="26"/>
      <c r="L6929" s="26"/>
      <c r="M6929" s="26"/>
      <c r="N6929" s="26"/>
      <c r="O6929" s="14" t="str">
        <f>HYPERLINK("https://otsuka-europe-crm.veevavault.com/ui/#object/email_activity__v/V8C00000004D476", "EN-002109032")</f>
        <v>EN-002109032</v>
      </c>
    </row>
    <row r="6930" spans="1:15" ht="16" x14ac:dyDescent="0.2">
      <c r="A6930" s="19"/>
      <c r="B6930" s="19"/>
      <c r="C6930" s="19"/>
      <c r="D6930" s="19"/>
      <c r="E6930" s="19"/>
      <c r="F6930" s="19"/>
      <c r="G6930" s="19"/>
      <c r="H6930" s="19"/>
      <c r="I6930" s="19"/>
      <c r="J6930" s="19"/>
      <c r="K6930" s="19"/>
      <c r="L6930" s="19"/>
      <c r="M6930" s="19"/>
      <c r="N6930" s="19"/>
      <c r="O6930" s="14" t="str">
        <f>HYPERLINK("https://otsuka-europe-crm.veevavault.com/ui/#object/email_activity__v/V8C00000004E025", "EN-002108348")</f>
        <v>EN-002108348</v>
      </c>
    </row>
    <row r="6931" spans="1:15" ht="16" x14ac:dyDescent="0.2">
      <c r="A6931" s="18" t="str">
        <f>HYPERLINK("https://otsuka-europe-crm.veevavault.com/ui/#object/account__v/V4TZ025E85KM84B", "DIANA PAOLA MOSQUERA CEBALLOS")</f>
        <v>DIANA PAOLA MOSQUERA CEBALLOS</v>
      </c>
      <c r="B6931" s="18" t="str">
        <f>HYPERLINK("https://otsuka-europe-crm.veevavault.com/ui/#object/vcountry__v/VENZ000004SONF5", "ES")</f>
        <v>ES</v>
      </c>
      <c r="C6931" s="20" t="s">
        <v>39</v>
      </c>
      <c r="D6931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31" s="22" t="str">
        <f>HYPERLINK("https://otsuka-europe-crm.veevavault.com/ui/#object/sent_email__v/VBL00000003B054", "SE-001444876")</f>
        <v>SE-001444876</v>
      </c>
      <c r="F6931" s="25">
        <v>46231.474224537036</v>
      </c>
      <c r="G6931" s="24">
        <v>1</v>
      </c>
      <c r="H6931" s="24">
        <v>1</v>
      </c>
      <c r="I6931" s="24">
        <v>0</v>
      </c>
      <c r="J6931" s="23"/>
      <c r="K6931" s="24">
        <v>0</v>
      </c>
      <c r="L6931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31" s="22" t="str">
        <f>HYPERLINK("mailto:oriballo@crm.otsuka-europe.com", "oriballo@crm.otsuka-europe.com")</f>
        <v>oriballo@crm.otsuka-europe.com</v>
      </c>
      <c r="N6931" s="25">
        <v>46227.517407407409</v>
      </c>
      <c r="O6931" s="14" t="str">
        <f>HYPERLINK("https://otsuka-europe-crm.veevavault.com/ui/#object/email_activity__v/V8C00000004D086", "EN-002108327")</f>
        <v>EN-002108327</v>
      </c>
    </row>
    <row r="6932" spans="1:15" ht="16" x14ac:dyDescent="0.2">
      <c r="A6932" s="26"/>
      <c r="B6932" s="26"/>
      <c r="C6932" s="26"/>
      <c r="D6932" s="26"/>
      <c r="E6932" s="26"/>
      <c r="F6932" s="26"/>
      <c r="G6932" s="26"/>
      <c r="H6932" s="26"/>
      <c r="I6932" s="26"/>
      <c r="J6932" s="26"/>
      <c r="K6932" s="26"/>
      <c r="L6932" s="26"/>
      <c r="M6932" s="26"/>
      <c r="N6932" s="26"/>
      <c r="O6932" s="14" t="str">
        <f>HYPERLINK("https://otsuka-europe-crm.veevavault.com/ui/#object/email_activity__v/V8C00000004E527", "EN-002109394")</f>
        <v>EN-002109394</v>
      </c>
    </row>
    <row r="6933" spans="1:15" ht="16" x14ac:dyDescent="0.2">
      <c r="A6933" s="19"/>
      <c r="B6933" s="19"/>
      <c r="C6933" s="19"/>
      <c r="D6933" s="19"/>
      <c r="E6933" s="19"/>
      <c r="F6933" s="19"/>
      <c r="G6933" s="19"/>
      <c r="H6933" s="19"/>
      <c r="I6933" s="19"/>
      <c r="J6933" s="19"/>
      <c r="K6933" s="19"/>
      <c r="L6933" s="19"/>
      <c r="M6933" s="19"/>
      <c r="N6933" s="19"/>
      <c r="O6933" s="14" t="str">
        <f>HYPERLINK("https://otsuka-europe-crm.veevavault.com/ui/#object/email_activity__v/V8C00000004E640", "EN-002109607")</f>
        <v>EN-002109607</v>
      </c>
    </row>
    <row r="6934" spans="1:15" ht="16" x14ac:dyDescent="0.2">
      <c r="A6934" s="18" t="str">
        <f>HYPERLINK("https://otsuka-europe-crm.veevavault.com/ui/#object/account__v/V4TZ025E85USKRX", "MIGUEL SANCHEZ REY")</f>
        <v>MIGUEL SANCHEZ REY</v>
      </c>
      <c r="B6934" s="18" t="str">
        <f>HYPERLINK("https://otsuka-europe-crm.veevavault.com/ui/#object/vcountry__v/VENZ000004SONF5", "ES")</f>
        <v>ES</v>
      </c>
      <c r="C6934" s="20" t="s">
        <v>39</v>
      </c>
      <c r="D6934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34" s="22" t="str">
        <f>HYPERLINK("https://otsuka-europe-crm.veevavault.com/ui/#object/sent_email__v/VBL00000003B055", "SE-001444877")</f>
        <v>SE-001444877</v>
      </c>
      <c r="F6934" s="25">
        <v>46227.85670138889</v>
      </c>
      <c r="G6934" s="24">
        <v>1</v>
      </c>
      <c r="H6934" s="24">
        <v>1</v>
      </c>
      <c r="I6934" s="24">
        <v>0</v>
      </c>
      <c r="J6934" s="23"/>
      <c r="K6934" s="24">
        <v>0</v>
      </c>
      <c r="L6934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34" s="22" t="str">
        <f>HYPERLINK("mailto:oriballo@crm.otsuka-europe.com", "oriballo@crm.otsuka-europe.com")</f>
        <v>oriballo@crm.otsuka-europe.com</v>
      </c>
      <c r="N6934" s="25">
        <v>46227.517430555556</v>
      </c>
      <c r="O6934" s="14" t="str">
        <f>HYPERLINK("https://otsuka-europe-crm.veevavault.com/ui/#object/email_activity__v/V8C00000004D099", "EN-002108341")</f>
        <v>EN-002108341</v>
      </c>
    </row>
    <row r="6935" spans="1:15" ht="16" x14ac:dyDescent="0.2">
      <c r="A6935" s="19"/>
      <c r="B6935" s="19"/>
      <c r="C6935" s="19"/>
      <c r="D6935" s="19"/>
      <c r="E6935" s="19"/>
      <c r="F6935" s="19"/>
      <c r="G6935" s="19"/>
      <c r="H6935" s="19"/>
      <c r="I6935" s="19"/>
      <c r="J6935" s="19"/>
      <c r="K6935" s="19"/>
      <c r="L6935" s="19"/>
      <c r="M6935" s="19"/>
      <c r="N6935" s="19"/>
      <c r="O6935" s="14" t="str">
        <f>HYPERLINK("https://otsuka-europe-crm.veevavault.com/ui/#object/email_activity__v/V8C00000004E289", "EN-002108933")</f>
        <v>EN-002108933</v>
      </c>
    </row>
    <row r="6936" spans="1:15" ht="16" x14ac:dyDescent="0.2">
      <c r="A6936" s="18" t="str">
        <f>HYPERLINK("https://otsuka-europe-crm.veevavault.com/ui/#object/account__v/V4TZ025E85LKVHT", "ANA CAMILA GONZALEZ TEOMIRO")</f>
        <v>ANA CAMILA GONZALEZ TEOMIRO</v>
      </c>
      <c r="B6936" s="18" t="str">
        <f>HYPERLINK("https://otsuka-europe-crm.veevavault.com/ui/#object/vcountry__v/VENZ000004SONF5", "ES")</f>
        <v>ES</v>
      </c>
      <c r="C6936" s="20" t="s">
        <v>39</v>
      </c>
      <c r="D6936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36" s="22" t="str">
        <f>HYPERLINK("https://otsuka-europe-crm.veevavault.com/ui/#object/sent_email__v/VBL00000003B056", "SE-001444878")</f>
        <v>SE-001444878</v>
      </c>
      <c r="F6936" s="25">
        <v>46227.51972222222</v>
      </c>
      <c r="G6936" s="24">
        <v>1</v>
      </c>
      <c r="H6936" s="24">
        <v>1</v>
      </c>
      <c r="I6936" s="24">
        <v>0</v>
      </c>
      <c r="J6936" s="23"/>
      <c r="K6936" s="24">
        <v>0</v>
      </c>
      <c r="L6936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36" s="22" t="str">
        <f>HYPERLINK("mailto:oriballo@crm.otsuka-europe.com", "oriballo@crm.otsuka-europe.com")</f>
        <v>oriballo@crm.otsuka-europe.com</v>
      </c>
      <c r="N6936" s="25">
        <v>46227.517465277779</v>
      </c>
      <c r="O6936" s="14" t="str">
        <f>HYPERLINK("https://otsuka-europe-crm.veevavault.com/ui/#object/email_activity__v/V8C00000004D118", "EN-002108385")</f>
        <v>EN-002108385</v>
      </c>
    </row>
    <row r="6937" spans="1:15" ht="16" x14ac:dyDescent="0.2">
      <c r="A6937" s="26"/>
      <c r="B6937" s="26"/>
      <c r="C6937" s="26"/>
      <c r="D6937" s="26"/>
      <c r="E6937" s="26"/>
      <c r="F6937" s="26"/>
      <c r="G6937" s="26"/>
      <c r="H6937" s="26"/>
      <c r="I6937" s="26"/>
      <c r="J6937" s="26"/>
      <c r="K6937" s="26"/>
      <c r="L6937" s="26"/>
      <c r="M6937" s="26"/>
      <c r="N6937" s="26"/>
      <c r="O6937" s="14" t="str">
        <f>HYPERLINK("https://otsuka-europe-crm.veevavault.com/ui/#object/email_activity__v/V8C00000004D253", "EN-002108536")</f>
        <v>EN-002108536</v>
      </c>
    </row>
    <row r="6938" spans="1:15" ht="16" x14ac:dyDescent="0.2">
      <c r="A6938" s="19"/>
      <c r="B6938" s="19"/>
      <c r="C6938" s="19"/>
      <c r="D6938" s="19"/>
      <c r="E6938" s="19"/>
      <c r="F6938" s="19"/>
      <c r="G6938" s="19"/>
      <c r="H6938" s="19"/>
      <c r="I6938" s="19"/>
      <c r="J6938" s="19"/>
      <c r="K6938" s="19"/>
      <c r="L6938" s="19"/>
      <c r="M6938" s="19"/>
      <c r="N6938" s="19"/>
      <c r="O6938" s="14" t="str">
        <f>HYPERLINK("https://otsuka-europe-crm.veevavault.com/ui/#object/email_activity__v/V8C00000004I098", "EN-002111176")</f>
        <v>EN-002111176</v>
      </c>
    </row>
    <row r="6939" spans="1:15" ht="16" x14ac:dyDescent="0.2">
      <c r="A6939" s="18" t="str">
        <f>HYPERLINK("https://otsuka-europe-crm.veevavault.com/ui/#object/account__v/V4TZ025E835MCZF", "CAROLINA LOPEZ-SANTAMARIA CASTRO")</f>
        <v>CAROLINA LOPEZ-SANTAMARIA CASTRO</v>
      </c>
      <c r="B6939" s="18" t="str">
        <f>HYPERLINK("https://otsuka-europe-crm.veevavault.com/ui/#object/vcountry__v/VENZ000004SONF5", "ES")</f>
        <v>ES</v>
      </c>
      <c r="C6939" s="20" t="s">
        <v>39</v>
      </c>
      <c r="D6939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39" s="22" t="str">
        <f>HYPERLINK("https://otsuka-europe-crm.veevavault.com/ui/#object/sent_email__v/VBL00000003B057", "SE-001444879")</f>
        <v>SE-001444879</v>
      </c>
      <c r="F6939" s="23"/>
      <c r="G6939" s="24">
        <v>0</v>
      </c>
      <c r="H6939" s="24">
        <v>0</v>
      </c>
      <c r="I6939" s="24">
        <v>0</v>
      </c>
      <c r="J6939" s="23"/>
      <c r="K6939" s="24">
        <v>0</v>
      </c>
      <c r="L6939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39" s="22" t="str">
        <f>HYPERLINK("mailto:oriballo@crm.otsuka-europe.com", "oriballo@crm.otsuka-europe.com")</f>
        <v>oriballo@crm.otsuka-europe.com</v>
      </c>
      <c r="N6939" s="25">
        <v>46227.517407407409</v>
      </c>
      <c r="O6939" s="14" t="str">
        <f>HYPERLINK("https://otsuka-europe-crm.veevavault.com/ui/#object/email_activity__v/V8C00000004D078", "EN-002108318")</f>
        <v>EN-002108318</v>
      </c>
    </row>
    <row r="6940" spans="1:15" ht="16" x14ac:dyDescent="0.2">
      <c r="A6940" s="26"/>
      <c r="B6940" s="26"/>
      <c r="C6940" s="26"/>
      <c r="D6940" s="26"/>
      <c r="E6940" s="26"/>
      <c r="F6940" s="26"/>
      <c r="G6940" s="26"/>
      <c r="H6940" s="26"/>
      <c r="I6940" s="26"/>
      <c r="J6940" s="26"/>
      <c r="K6940" s="26"/>
      <c r="L6940" s="26"/>
      <c r="M6940" s="26"/>
      <c r="N6940" s="26"/>
      <c r="O6940" s="14" t="str">
        <f>HYPERLINK("https://otsuka-europe-crm.veevavault.com/ui/#object/email_activity__v/V8C00000004D391", "EN-002108843")</f>
        <v>EN-002108843</v>
      </c>
    </row>
    <row r="6941" spans="1:15" ht="16" x14ac:dyDescent="0.2">
      <c r="A6941" s="19"/>
      <c r="B6941" s="19"/>
      <c r="C6941" s="19"/>
      <c r="D6941" s="19"/>
      <c r="E6941" s="19"/>
      <c r="F6941" s="19"/>
      <c r="G6941" s="19"/>
      <c r="H6941" s="19"/>
      <c r="I6941" s="19"/>
      <c r="J6941" s="19"/>
      <c r="K6941" s="19"/>
      <c r="L6941" s="19"/>
      <c r="M6941" s="19"/>
      <c r="N6941" s="19"/>
      <c r="O6941" s="14" t="str">
        <f>HYPERLINK("https://otsuka-europe-crm.veevavault.com/ui/#object/email_activity__v/V8C00000004H241", "EN-002111369")</f>
        <v>EN-002111369</v>
      </c>
    </row>
    <row r="6942" spans="1:15" ht="48" x14ac:dyDescent="0.2">
      <c r="A6942" s="7" t="str">
        <f>HYPERLINK("https://otsuka-europe-crm.veevavault.com/ui/#object/account__v/V4TZ025E8607S0H", "IRENE JARA LOPEZ")</f>
        <v>IRENE JARA LOPEZ</v>
      </c>
      <c r="B6942" s="7" t="str">
        <f>HYPERLINK("https://otsuka-europe-crm.veevavault.com/ui/#object/vcountry__v/VENZ000004SONF5", "ES")</f>
        <v>ES</v>
      </c>
      <c r="C6942" s="8" t="s">
        <v>39</v>
      </c>
      <c r="D6942" s="9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42" s="10" t="str">
        <f>HYPERLINK("https://otsuka-europe-crm.veevavault.com/ui/#object/sent_email__v/VBL00000003B058", "SE-001444880")</f>
        <v>SE-001444880</v>
      </c>
      <c r="F6942" s="11"/>
      <c r="G6942" s="12">
        <v>0</v>
      </c>
      <c r="H6942" s="12">
        <v>0</v>
      </c>
      <c r="I6942" s="12">
        <v>0</v>
      </c>
      <c r="J6942" s="11"/>
      <c r="K6942" s="12">
        <v>0</v>
      </c>
      <c r="L6942" s="10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42" s="10" t="str">
        <f>HYPERLINK("mailto:oriballo@crm.otsuka-europe.com", "oriballo@crm.otsuka-europe.com")</f>
        <v>oriballo@crm.otsuka-europe.com</v>
      </c>
      <c r="N6942" s="13">
        <v>46227.517407407409</v>
      </c>
      <c r="O6942" s="14" t="str">
        <f>HYPERLINK("https://otsuka-europe-crm.veevavault.com/ui/#object/email_activity__v/V8C00000004E028", "EN-002108351")</f>
        <v>EN-002108351</v>
      </c>
    </row>
    <row r="6943" spans="1:15" ht="16" x14ac:dyDescent="0.2">
      <c r="A6943" s="18" t="str">
        <f>HYPERLINK("https://otsuka-europe-crm.veevavault.com/ui/#object/account__v/V4TZ025E85GG0XZ", "ANA VALDIVIELSO LOPEZ")</f>
        <v>ANA VALDIVIELSO LOPEZ</v>
      </c>
      <c r="B6943" s="18" t="str">
        <f>HYPERLINK("https://otsuka-europe-crm.veevavault.com/ui/#object/vcountry__v/VENZ000004SONF5", "ES")</f>
        <v>ES</v>
      </c>
      <c r="C6943" s="20" t="s">
        <v>39</v>
      </c>
      <c r="D6943" s="21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E6943" s="22" t="str">
        <f>HYPERLINK("https://otsuka-europe-crm.veevavault.com/ui/#object/sent_email__v/VBL00000003B059", "SE-001444881")</f>
        <v>SE-001444881</v>
      </c>
      <c r="F6943" s="25">
        <v>46227.518796296295</v>
      </c>
      <c r="G6943" s="24">
        <v>1</v>
      </c>
      <c r="H6943" s="24">
        <v>1</v>
      </c>
      <c r="I6943" s="24">
        <v>0</v>
      </c>
      <c r="J6943" s="23"/>
      <c r="K6943" s="24">
        <v>0</v>
      </c>
      <c r="L6943" s="22" t="str">
        <f>HYPERLINK("https://otsuka-europe-crm.veevavault.com/ui/#object/approved_document__v/V5O00000001X006", "INA - Caso Clínico Dra Teresa Cedena (Experiencias con INAQOVI)")</f>
        <v>INA - Caso Clínico Dra Teresa Cedena (Experiencias con INAQOVI)</v>
      </c>
      <c r="M6943" s="22" t="str">
        <f>HYPERLINK("mailto:oriballo@crm.otsuka-europe.com", "oriballo@crm.otsuka-europe.com")</f>
        <v>oriballo@crm.otsuka-europe.com</v>
      </c>
      <c r="N6943" s="25">
        <v>46227.517407407409</v>
      </c>
      <c r="O6943" s="14" t="str">
        <f>HYPERLINK("https://otsuka-europe-crm.veevavault.com/ui/#object/email_activity__v/V8C00000004D084", "EN-002108325")</f>
        <v>EN-002108325</v>
      </c>
    </row>
    <row r="6944" spans="1:15" ht="16" x14ac:dyDescent="0.2">
      <c r="A6944" s="19"/>
      <c r="B6944" s="19"/>
      <c r="C6944" s="19"/>
      <c r="D6944" s="19"/>
      <c r="E6944" s="19"/>
      <c r="F6944" s="19"/>
      <c r="G6944" s="19"/>
      <c r="H6944" s="19"/>
      <c r="I6944" s="19"/>
      <c r="J6944" s="19"/>
      <c r="K6944" s="19"/>
      <c r="L6944" s="19"/>
      <c r="M6944" s="19"/>
      <c r="N6944" s="19"/>
      <c r="O6944" s="14" t="str">
        <f>HYPERLINK("https://otsuka-europe-crm.veevavault.com/ui/#object/email_activity__v/V8C00000004D183", "EN-002108461")</f>
        <v>EN-002108461</v>
      </c>
    </row>
    <row r="6945" spans="1:15" ht="48" x14ac:dyDescent="0.2">
      <c r="A6945" s="7" t="str">
        <f>HYPERLINK("https://otsuka-europe-crm.veevavault.com/ui/#object/account__v/V4TZ025E85NAADJ", "JUAN SEBASTIAN GONZALEZ")</f>
        <v>JUAN SEBASTIAN GONZALEZ</v>
      </c>
      <c r="B6945" s="7" t="str">
        <f>HYPERLINK("https://otsuka-europe-crm.veevavault.com/ui/#object/vcountry__v/VENZ000004SONF5", "ES")</f>
        <v>ES</v>
      </c>
      <c r="C6945" s="8" t="s">
        <v>39</v>
      </c>
      <c r="D6945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45" s="10" t="str">
        <f>HYPERLINK("https://otsuka-europe-crm.veevavault.com/ui/#object/sent_email__v/VBL00000003B060", "SE-001444882")</f>
        <v>SE-001444882</v>
      </c>
      <c r="F6945" s="11"/>
      <c r="G6945" s="12">
        <v>0</v>
      </c>
      <c r="H6945" s="12">
        <v>0</v>
      </c>
      <c r="I6945" s="12">
        <v>0</v>
      </c>
      <c r="J6945" s="11"/>
      <c r="K6945" s="12">
        <v>0</v>
      </c>
      <c r="L6945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45" s="10" t="str">
        <f>HYPERLINK("mailto:oriballo@crm.otsuka-europe.com", "oriballo@crm.otsuka-europe.com")</f>
        <v>oriballo@crm.otsuka-europe.com</v>
      </c>
      <c r="N6945" s="13">
        <v>46227.517511574071</v>
      </c>
      <c r="O6945" s="14" t="str">
        <f>HYPERLINK("https://otsuka-europe-crm.veevavault.com/ui/#object/email_activity__v/V8C00000004D135", "EN-002108402")</f>
        <v>EN-002108402</v>
      </c>
    </row>
    <row r="6946" spans="1:15" ht="48" x14ac:dyDescent="0.2">
      <c r="A6946" s="7" t="str">
        <f>HYPERLINK("https://otsuka-europe-crm.veevavault.com/ui/#object/account__v/V4TZ025E83DSAZV", "EDUARDO NAVAS ARAUZ")</f>
        <v>EDUARDO NAVAS ARAUZ</v>
      </c>
      <c r="B6946" s="7" t="str">
        <f>HYPERLINK("https://otsuka-europe-crm.veevavault.com/ui/#object/vcountry__v/VENZ000004SONF5", "ES")</f>
        <v>ES</v>
      </c>
      <c r="C6946" s="8" t="s">
        <v>39</v>
      </c>
      <c r="D6946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46" s="10" t="str">
        <f>HYPERLINK("https://otsuka-europe-crm.veevavault.com/ui/#object/sent_email__v/VBL00000003B061", "SE-001444883")</f>
        <v>SE-001444883</v>
      </c>
      <c r="F6946" s="11"/>
      <c r="G6946" s="12">
        <v>0</v>
      </c>
      <c r="H6946" s="12">
        <v>0</v>
      </c>
      <c r="I6946" s="12">
        <v>0</v>
      </c>
      <c r="J6946" s="11"/>
      <c r="K6946" s="12">
        <v>0</v>
      </c>
      <c r="L6946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46" s="10" t="str">
        <f>HYPERLINK("mailto:oriballo@crm.otsuka-europe.com", "oriballo@crm.otsuka-europe.com")</f>
        <v>oriballo@crm.otsuka-europe.com</v>
      </c>
      <c r="N6946" s="13">
        <v>46227.517511574071</v>
      </c>
      <c r="O6946" s="14" t="str">
        <f>HYPERLINK("https://otsuka-europe-crm.veevavault.com/ui/#object/email_activity__v/V8C00000004D105", "EN-002108347")</f>
        <v>EN-002108347</v>
      </c>
    </row>
    <row r="6947" spans="1:15" ht="16" x14ac:dyDescent="0.2">
      <c r="A6947" s="18" t="str">
        <f>HYPERLINK("https://otsuka-europe-crm.veevavault.com/ui/#object/account__v/V4TZ06G6O71T8EL", "FERNANDO MANUEL HENAO CARRASCO")</f>
        <v>FERNANDO MANUEL HENAO CARRASCO</v>
      </c>
      <c r="B6947" s="18" t="str">
        <f>HYPERLINK("https://otsuka-europe-crm.veevavault.com/ui/#object/vcountry__v/VENZ000004SONF5", "ES")</f>
        <v>ES</v>
      </c>
      <c r="C6947" s="20" t="s">
        <v>39</v>
      </c>
      <c r="D694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47" s="22" t="str">
        <f>HYPERLINK("https://otsuka-europe-crm.veevavault.com/ui/#object/sent_email__v/VBL00000003B062", "SE-001444884")</f>
        <v>SE-001444884</v>
      </c>
      <c r="F6947" s="25">
        <v>46227.521215277775</v>
      </c>
      <c r="G6947" s="24">
        <v>1</v>
      </c>
      <c r="H6947" s="24">
        <v>1</v>
      </c>
      <c r="I6947" s="24">
        <v>0</v>
      </c>
      <c r="J6947" s="23"/>
      <c r="K6947" s="24">
        <v>0</v>
      </c>
      <c r="L694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47" s="22" t="str">
        <f>HYPERLINK("mailto:oriballo@crm.otsuka-europe.com", "oriballo@crm.otsuka-europe.com")</f>
        <v>oriballo@crm.otsuka-europe.com</v>
      </c>
      <c r="N6947" s="25">
        <v>46227.517511574071</v>
      </c>
      <c r="O6947" s="14" t="str">
        <f>HYPERLINK("https://otsuka-europe-crm.veevavault.com/ui/#object/email_activity__v/V8C00000004D133", "EN-002108400")</f>
        <v>EN-002108400</v>
      </c>
    </row>
    <row r="6948" spans="1:15" ht="16" x14ac:dyDescent="0.2">
      <c r="A6948" s="19"/>
      <c r="B6948" s="19"/>
      <c r="C6948" s="19"/>
      <c r="D6948" s="19"/>
      <c r="E6948" s="19"/>
      <c r="F6948" s="19"/>
      <c r="G6948" s="19"/>
      <c r="H6948" s="19"/>
      <c r="I6948" s="19"/>
      <c r="J6948" s="19"/>
      <c r="K6948" s="19"/>
      <c r="L6948" s="19"/>
      <c r="M6948" s="19"/>
      <c r="N6948" s="19"/>
      <c r="O6948" s="14" t="str">
        <f>HYPERLINK("https://otsuka-europe-crm.veevavault.com/ui/#object/email_activity__v/V8C00000004E124", "EN-002108674")</f>
        <v>EN-002108674</v>
      </c>
    </row>
    <row r="6949" spans="1:15" ht="48" x14ac:dyDescent="0.2">
      <c r="A6949" s="7" t="str">
        <f>HYPERLINK("https://otsuka-europe-crm.veevavault.com/ui/#object/account__v/V4TZ025E82X55BL", "MARIA VICTORIA MORENO ROMERO")</f>
        <v>MARIA VICTORIA MORENO ROMERO</v>
      </c>
      <c r="B6949" s="7" t="str">
        <f>HYPERLINK("https://otsuka-europe-crm.veevavault.com/ui/#object/vcountry__v/VENZ000004SONF5", "ES")</f>
        <v>ES</v>
      </c>
      <c r="C6949" s="8" t="s">
        <v>39</v>
      </c>
      <c r="D6949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49" s="10" t="str">
        <f>HYPERLINK("https://otsuka-europe-crm.veevavault.com/ui/#object/sent_email__v/VBL00000003B063", "SE-001444885")</f>
        <v>SE-001444885</v>
      </c>
      <c r="F6949" s="11"/>
      <c r="G6949" s="12">
        <v>0</v>
      </c>
      <c r="H6949" s="12">
        <v>0</v>
      </c>
      <c r="I6949" s="12">
        <v>0</v>
      </c>
      <c r="J6949" s="11"/>
      <c r="K6949" s="12">
        <v>0</v>
      </c>
      <c r="L6949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49" s="10" t="str">
        <f>HYPERLINK("mailto:oriballo@crm.otsuka-europe.com", "oriballo@crm.otsuka-europe.com")</f>
        <v>oriballo@crm.otsuka-europe.com</v>
      </c>
      <c r="N6949" s="13">
        <v>46227.517511574071</v>
      </c>
      <c r="O6949" s="14" t="str">
        <f>HYPERLINK("https://otsuka-europe-crm.veevavault.com/ui/#object/email_activity__v/V8C00000004D103", "EN-002108345")</f>
        <v>EN-002108345</v>
      </c>
    </row>
    <row r="6950" spans="1:15" ht="16" x14ac:dyDescent="0.2">
      <c r="A6950" s="18" t="str">
        <f>HYPERLINK("https://otsuka-europe-crm.veevavault.com/ui/#object/account__v/V4TZ025E831CTCP", "MARIA DOLORES MADRIGAL TOSCANO")</f>
        <v>MARIA DOLORES MADRIGAL TOSCANO</v>
      </c>
      <c r="B6950" s="18" t="str">
        <f>HYPERLINK("https://otsuka-europe-crm.veevavault.com/ui/#object/vcountry__v/VENZ000004SONF5", "ES")</f>
        <v>ES</v>
      </c>
      <c r="C6950" s="20" t="s">
        <v>39</v>
      </c>
      <c r="D6950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50" s="22" t="str">
        <f>HYPERLINK("https://otsuka-europe-crm.veevavault.com/ui/#object/sent_email__v/VBL00000003B064", "SE-001444886")</f>
        <v>SE-001444886</v>
      </c>
      <c r="F6950" s="23"/>
      <c r="G6950" s="24">
        <v>0</v>
      </c>
      <c r="H6950" s="24">
        <v>0</v>
      </c>
      <c r="I6950" s="24">
        <v>1</v>
      </c>
      <c r="J6950" s="25">
        <v>46231.368645833332</v>
      </c>
      <c r="K6950" s="24">
        <v>1</v>
      </c>
      <c r="L6950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50" s="22" t="str">
        <f>HYPERLINK("mailto:oriballo@crm.otsuka-europe.com", "oriballo@crm.otsuka-europe.com")</f>
        <v>oriballo@crm.otsuka-europe.com</v>
      </c>
      <c r="N6950" s="25">
        <v>46227.517511574071</v>
      </c>
      <c r="O6950" s="14" t="str">
        <f>HYPERLINK("https://otsuka-europe-crm.veevavault.com/ui/#object/email_activity__v/V8C00000004D535", "EN-002109158")</f>
        <v>EN-002109158</v>
      </c>
    </row>
    <row r="6951" spans="1:15" ht="16" x14ac:dyDescent="0.2">
      <c r="A6951" s="26"/>
      <c r="B6951" s="26"/>
      <c r="C6951" s="26"/>
      <c r="D6951" s="26"/>
      <c r="E6951" s="26"/>
      <c r="F6951" s="26"/>
      <c r="G6951" s="26"/>
      <c r="H6951" s="26"/>
      <c r="I6951" s="26"/>
      <c r="J6951" s="26"/>
      <c r="K6951" s="26"/>
      <c r="L6951" s="26"/>
      <c r="M6951" s="26"/>
      <c r="N6951" s="26"/>
      <c r="O6951" s="14" t="str">
        <f>HYPERLINK("https://otsuka-europe-crm.veevavault.com/ui/#object/email_activity__v/V8C00000004D537", "EN-002109164")</f>
        <v>EN-002109164</v>
      </c>
    </row>
    <row r="6952" spans="1:15" ht="16" x14ac:dyDescent="0.2">
      <c r="A6952" s="26"/>
      <c r="B6952" s="26"/>
      <c r="C6952" s="26"/>
      <c r="D6952" s="26"/>
      <c r="E6952" s="26"/>
      <c r="F6952" s="26"/>
      <c r="G6952" s="26"/>
      <c r="H6952" s="26"/>
      <c r="I6952" s="26"/>
      <c r="J6952" s="26"/>
      <c r="K6952" s="26"/>
      <c r="L6952" s="26"/>
      <c r="M6952" s="26"/>
      <c r="N6952" s="26"/>
      <c r="O6952" s="14" t="str">
        <f>HYPERLINK("https://otsuka-europe-crm.veevavault.com/ui/#object/email_activity__v/V8C00000004E038", "EN-002108361")</f>
        <v>EN-002108361</v>
      </c>
    </row>
    <row r="6953" spans="1:15" ht="16" x14ac:dyDescent="0.2">
      <c r="A6953" s="19"/>
      <c r="B6953" s="19"/>
      <c r="C6953" s="19"/>
      <c r="D6953" s="19"/>
      <c r="E6953" s="19"/>
      <c r="F6953" s="19"/>
      <c r="G6953" s="19"/>
      <c r="H6953" s="19"/>
      <c r="I6953" s="19"/>
      <c r="J6953" s="19"/>
      <c r="K6953" s="19"/>
      <c r="L6953" s="19"/>
      <c r="M6953" s="19"/>
      <c r="N6953" s="19"/>
      <c r="O6953" s="14" t="str">
        <f>HYPERLINK("https://otsuka-europe-crm.veevavault.com/ui/#object/email_activity__v/V8C00000004E406", "EN-002109159")</f>
        <v>EN-002109159</v>
      </c>
    </row>
    <row r="6954" spans="1:15" ht="48" x14ac:dyDescent="0.2">
      <c r="A6954" s="7" t="str">
        <f>HYPERLINK("https://otsuka-europe-crm.veevavault.com/ui/#object/account__v/V4TZ025E85B2TBA", "ALICIA RODRIGUEZ FERNANDEZ")</f>
        <v>ALICIA RODRIGUEZ FERNANDEZ</v>
      </c>
      <c r="B6954" s="7" t="str">
        <f>HYPERLINK("https://otsuka-europe-crm.veevavault.com/ui/#object/vcountry__v/VENZ000004SONF5", "ES")</f>
        <v>ES</v>
      </c>
      <c r="C6954" s="8" t="s">
        <v>39</v>
      </c>
      <c r="D6954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54" s="10" t="str">
        <f>HYPERLINK("https://otsuka-europe-crm.veevavault.com/ui/#object/sent_email__v/VBL00000003B065", "SE-001444887")</f>
        <v>SE-001444887</v>
      </c>
      <c r="F6954" s="11"/>
      <c r="G6954" s="12">
        <v>0</v>
      </c>
      <c r="H6954" s="12">
        <v>0</v>
      </c>
      <c r="I6954" s="12">
        <v>0</v>
      </c>
      <c r="J6954" s="11"/>
      <c r="K6954" s="12">
        <v>0</v>
      </c>
      <c r="L6954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54" s="10" t="str">
        <f>HYPERLINK("mailto:oriballo@crm.otsuka-europe.com", "oriballo@crm.otsuka-europe.com")</f>
        <v>oriballo@crm.otsuka-europe.com</v>
      </c>
      <c r="N6954" s="13">
        <v>46227.517581018517</v>
      </c>
      <c r="O6954" s="14" t="str">
        <f>HYPERLINK("https://otsuka-europe-crm.veevavault.com/ui/#object/email_activity__v/V8C00000004D111", "EN-002108368")</f>
        <v>EN-002108368</v>
      </c>
    </row>
    <row r="6955" spans="1:15" ht="16" x14ac:dyDescent="0.2">
      <c r="A6955" s="18" t="str">
        <f>HYPERLINK("https://otsuka-europe-crm.veevavault.com/ui/#object/account__v/V4TZ06G6O71T980", "FUENSANTA ARANDA BELLIDO")</f>
        <v>FUENSANTA ARANDA BELLIDO</v>
      </c>
      <c r="B6955" s="18" t="str">
        <f>HYPERLINK("https://otsuka-europe-crm.veevavault.com/ui/#object/vcountry__v/VENZ000004SONF5", "ES")</f>
        <v>ES</v>
      </c>
      <c r="C6955" s="20" t="s">
        <v>39</v>
      </c>
      <c r="D6955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55" s="22" t="str">
        <f>HYPERLINK("https://otsuka-europe-crm.veevavault.com/ui/#object/sent_email__v/VBL00000003B066", "SE-001444888")</f>
        <v>SE-001444888</v>
      </c>
      <c r="F6955" s="23"/>
      <c r="G6955" s="24">
        <v>0</v>
      </c>
      <c r="H6955" s="24">
        <v>0</v>
      </c>
      <c r="I6955" s="24">
        <v>0</v>
      </c>
      <c r="J6955" s="23"/>
      <c r="K6955" s="24">
        <v>0</v>
      </c>
      <c r="L6955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55" s="22" t="str">
        <f>HYPERLINK("mailto:oriballo@crm.otsuka-europe.com", "oriballo@crm.otsuka-europe.com")</f>
        <v>oriballo@crm.otsuka-europe.com</v>
      </c>
      <c r="N6955" s="25">
        <v>46227.517581018517</v>
      </c>
      <c r="O6955" s="14" t="str">
        <f>HYPERLINK("https://otsuka-europe-crm.veevavault.com/ui/#object/email_activity__v/V8C00000004D130", "EN-002108397")</f>
        <v>EN-002108397</v>
      </c>
    </row>
    <row r="6956" spans="1:15" ht="16" x14ac:dyDescent="0.2">
      <c r="A6956" s="19"/>
      <c r="B6956" s="19"/>
      <c r="C6956" s="19"/>
      <c r="D6956" s="19"/>
      <c r="E6956" s="19"/>
      <c r="F6956" s="19"/>
      <c r="G6956" s="19"/>
      <c r="H6956" s="19"/>
      <c r="I6956" s="19"/>
      <c r="J6956" s="19"/>
      <c r="K6956" s="19"/>
      <c r="L6956" s="19"/>
      <c r="M6956" s="19"/>
      <c r="N6956" s="19"/>
      <c r="O6956" s="14" t="str">
        <f>HYPERLINK("https://otsuka-europe-crm.veevavault.com/ui/#object/email_activity__v/V8C00000004E177", "EN-002108739")</f>
        <v>EN-002108739</v>
      </c>
    </row>
    <row r="6957" spans="1:15" ht="16" x14ac:dyDescent="0.2">
      <c r="A6957" s="18" t="str">
        <f>HYPERLINK("https://otsuka-europe-crm.veevavault.com/ui/#object/account__v/V4TZ025E83CFP87", "MARIA VAHI SANCHEZ DE MEDINA")</f>
        <v>MARIA VAHI SANCHEZ DE MEDINA</v>
      </c>
      <c r="B6957" s="18" t="str">
        <f>HYPERLINK("https://otsuka-europe-crm.veevavault.com/ui/#object/vcountry__v/VENZ000004SONF5", "ES")</f>
        <v>ES</v>
      </c>
      <c r="C6957" s="20" t="s">
        <v>39</v>
      </c>
      <c r="D695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57" s="22" t="str">
        <f>HYPERLINK("https://otsuka-europe-crm.veevavault.com/ui/#object/sent_email__v/VBL00000003B067", "SE-001444889")</f>
        <v>SE-001444889</v>
      </c>
      <c r="F6957" s="25">
        <v>46227.626712962963</v>
      </c>
      <c r="G6957" s="24">
        <v>1</v>
      </c>
      <c r="H6957" s="24">
        <v>3</v>
      </c>
      <c r="I6957" s="24">
        <v>0</v>
      </c>
      <c r="J6957" s="23"/>
      <c r="K6957" s="24">
        <v>0</v>
      </c>
      <c r="L695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57" s="22" t="str">
        <f>HYPERLINK("mailto:oriballo@crm.otsuka-europe.com", "oriballo@crm.otsuka-europe.com")</f>
        <v>oriballo@crm.otsuka-europe.com</v>
      </c>
      <c r="N6957" s="25">
        <v>46227.517581018517</v>
      </c>
      <c r="O6957" s="14" t="str">
        <f>HYPERLINK("https://otsuka-europe-crm.veevavault.com/ui/#object/email_activity__v/V8C00000004D124", "EN-002108391")</f>
        <v>EN-002108391</v>
      </c>
    </row>
    <row r="6958" spans="1:15" ht="16" x14ac:dyDescent="0.2">
      <c r="A6958" s="26"/>
      <c r="B6958" s="26"/>
      <c r="C6958" s="26"/>
      <c r="D6958" s="26"/>
      <c r="E6958" s="26"/>
      <c r="F6958" s="26"/>
      <c r="G6958" s="26"/>
      <c r="H6958" s="26"/>
      <c r="I6958" s="26"/>
      <c r="J6958" s="26"/>
      <c r="K6958" s="26"/>
      <c r="L6958" s="26"/>
      <c r="M6958" s="26"/>
      <c r="N6958" s="26"/>
      <c r="O6958" s="14" t="str">
        <f>HYPERLINK("https://otsuka-europe-crm.veevavault.com/ui/#object/email_activity__v/V8C00000004D367", "EN-002108780")</f>
        <v>EN-002108780</v>
      </c>
    </row>
    <row r="6959" spans="1:15" ht="16" x14ac:dyDescent="0.2">
      <c r="A6959" s="26"/>
      <c r="B6959" s="26"/>
      <c r="C6959" s="26"/>
      <c r="D6959" s="26"/>
      <c r="E6959" s="26"/>
      <c r="F6959" s="26"/>
      <c r="G6959" s="26"/>
      <c r="H6959" s="26"/>
      <c r="I6959" s="26"/>
      <c r="J6959" s="26"/>
      <c r="K6959" s="26"/>
      <c r="L6959" s="26"/>
      <c r="M6959" s="26"/>
      <c r="N6959" s="26"/>
      <c r="O6959" s="14" t="str">
        <f>HYPERLINK("https://otsuka-europe-crm.veevavault.com/ui/#object/email_activity__v/V8C00000004E196", "EN-002108781")</f>
        <v>EN-002108781</v>
      </c>
    </row>
    <row r="6960" spans="1:15" ht="16" x14ac:dyDescent="0.2">
      <c r="A6960" s="19"/>
      <c r="B6960" s="19"/>
      <c r="C6960" s="19"/>
      <c r="D6960" s="19"/>
      <c r="E6960" s="19"/>
      <c r="F6960" s="19"/>
      <c r="G6960" s="19"/>
      <c r="H6960" s="19"/>
      <c r="I6960" s="19"/>
      <c r="J6960" s="19"/>
      <c r="K6960" s="19"/>
      <c r="L6960" s="19"/>
      <c r="M6960" s="19"/>
      <c r="N6960" s="19"/>
      <c r="O6960" s="14" t="str">
        <f>HYPERLINK("https://otsuka-europe-crm.veevavault.com/ui/#object/email_activity__v/V8C00000004E229", "EN-002108832")</f>
        <v>EN-002108832</v>
      </c>
    </row>
    <row r="6961" spans="1:15" ht="48" x14ac:dyDescent="0.2">
      <c r="A6961" s="7" t="str">
        <f>HYPERLINK("https://otsuka-europe-crm.veevavault.com/ui/#object/account__v/V4TZ025E831ETNG", "RAFAEL FLORES CORNEJO")</f>
        <v>RAFAEL FLORES CORNEJO</v>
      </c>
      <c r="B6961" s="7" t="str">
        <f>HYPERLINK("https://otsuka-europe-crm.veevavault.com/ui/#object/vcountry__v/VENZ000004SONF5", "ES")</f>
        <v>ES</v>
      </c>
      <c r="C6961" s="8" t="s">
        <v>39</v>
      </c>
      <c r="D6961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61" s="10" t="str">
        <f>HYPERLINK("https://otsuka-europe-crm.veevavault.com/ui/#object/sent_email__v/VBL00000003B068", "SE-001444890")</f>
        <v>SE-001444890</v>
      </c>
      <c r="F6961" s="11"/>
      <c r="G6961" s="12">
        <v>0</v>
      </c>
      <c r="H6961" s="12">
        <v>0</v>
      </c>
      <c r="I6961" s="12">
        <v>0</v>
      </c>
      <c r="J6961" s="11"/>
      <c r="K6961" s="12">
        <v>0</v>
      </c>
      <c r="L6961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61" s="10" t="str">
        <f>HYPERLINK("mailto:oriballo@crm.otsuka-europe.com", "oriballo@crm.otsuka-europe.com")</f>
        <v>oriballo@crm.otsuka-europe.com</v>
      </c>
      <c r="N6961" s="13">
        <v>46227.517581018517</v>
      </c>
      <c r="O6961" s="14" t="str">
        <f>HYPERLINK("https://otsuka-europe-crm.veevavault.com/ui/#object/email_activity__v/V8C00000004D145", "EN-002108412")</f>
        <v>EN-002108412</v>
      </c>
    </row>
    <row r="6962" spans="1:15" ht="16" x14ac:dyDescent="0.2">
      <c r="A6962" s="18" t="str">
        <f>HYPERLINK("https://otsuka-europe-crm.veevavault.com/ui/#object/account__v/V4TZ025E83MOXLD", "VICENTE JOSE RUBIO SANCHEZ")</f>
        <v>VICENTE JOSE RUBIO SANCHEZ</v>
      </c>
      <c r="B6962" s="18" t="str">
        <f>HYPERLINK("https://otsuka-europe-crm.veevavault.com/ui/#object/vcountry__v/VENZ000004SONF5", "ES")</f>
        <v>ES</v>
      </c>
      <c r="C6962" s="20" t="s">
        <v>39</v>
      </c>
      <c r="D6962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62" s="22" t="str">
        <f>HYPERLINK("https://otsuka-europe-crm.veevavault.com/ui/#object/sent_email__v/VBL00000003B069", "SE-001444891")</f>
        <v>SE-001444891</v>
      </c>
      <c r="F6962" s="25">
        <v>46228.666064814817</v>
      </c>
      <c r="G6962" s="24">
        <v>1</v>
      </c>
      <c r="H6962" s="24">
        <v>2</v>
      </c>
      <c r="I6962" s="24">
        <v>0</v>
      </c>
      <c r="J6962" s="23"/>
      <c r="K6962" s="24">
        <v>0</v>
      </c>
      <c r="L6962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62" s="22" t="str">
        <f>HYPERLINK("mailto:oriballo@crm.otsuka-europe.com", "oriballo@crm.otsuka-europe.com")</f>
        <v>oriballo@crm.otsuka-europe.com</v>
      </c>
      <c r="N6962" s="25">
        <v>46227.517581018517</v>
      </c>
      <c r="O6962" s="14" t="str">
        <f>HYPERLINK("https://otsuka-europe-crm.veevavault.com/ui/#object/email_activity__v/V8C00000004D123", "EN-002108390")</f>
        <v>EN-002108390</v>
      </c>
    </row>
    <row r="6963" spans="1:15" ht="16" x14ac:dyDescent="0.2">
      <c r="A6963" s="26"/>
      <c r="B6963" s="26"/>
      <c r="C6963" s="26"/>
      <c r="D6963" s="26"/>
      <c r="E6963" s="26"/>
      <c r="F6963" s="26"/>
      <c r="G6963" s="26"/>
      <c r="H6963" s="26"/>
      <c r="I6963" s="26"/>
      <c r="J6963" s="26"/>
      <c r="K6963" s="26"/>
      <c r="L6963" s="26"/>
      <c r="M6963" s="26"/>
      <c r="N6963" s="26"/>
      <c r="O6963" s="14" t="str">
        <f>HYPERLINK("https://otsuka-europe-crm.veevavault.com/ui/#object/email_activity__v/V8C00000004D363", "EN-002108774")</f>
        <v>EN-002108774</v>
      </c>
    </row>
    <row r="6964" spans="1:15" ht="16" x14ac:dyDescent="0.2">
      <c r="A6964" s="19"/>
      <c r="B6964" s="19"/>
      <c r="C6964" s="19"/>
      <c r="D6964" s="19"/>
      <c r="E6964" s="19"/>
      <c r="F6964" s="19"/>
      <c r="G6964" s="19"/>
      <c r="H6964" s="19"/>
      <c r="I6964" s="19"/>
      <c r="J6964" s="19"/>
      <c r="K6964" s="19"/>
      <c r="L6964" s="19"/>
      <c r="M6964" s="19"/>
      <c r="N6964" s="19"/>
      <c r="O6964" s="14" t="str">
        <f>HYPERLINK("https://otsuka-europe-crm.veevavault.com/ui/#object/email_activity__v/V8C00000004E319", "EN-002108994")</f>
        <v>EN-002108994</v>
      </c>
    </row>
    <row r="6965" spans="1:15" ht="16" x14ac:dyDescent="0.2">
      <c r="A6965" s="18" t="str">
        <f>HYPERLINK("https://otsuka-europe-crm.veevavault.com/ui/#object/account__v/V4TZ025E8603WFK", "FRANCISCA ALMAGRO TORRES")</f>
        <v>FRANCISCA ALMAGRO TORRES</v>
      </c>
      <c r="B6965" s="18" t="str">
        <f>HYPERLINK("https://otsuka-europe-crm.veevavault.com/ui/#object/vcountry__v/VENZ000004SONF5", "ES")</f>
        <v>ES</v>
      </c>
      <c r="C6965" s="20" t="s">
        <v>39</v>
      </c>
      <c r="D6965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65" s="22" t="str">
        <f>HYPERLINK("https://otsuka-europe-crm.veevavault.com/ui/#object/sent_email__v/VBL00000003B070", "SE-001444892")</f>
        <v>SE-001444892</v>
      </c>
      <c r="F6965" s="23"/>
      <c r="G6965" s="24">
        <v>0</v>
      </c>
      <c r="H6965" s="24">
        <v>0</v>
      </c>
      <c r="I6965" s="24">
        <v>0</v>
      </c>
      <c r="J6965" s="23"/>
      <c r="K6965" s="24">
        <v>0</v>
      </c>
      <c r="L6965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65" s="22" t="str">
        <f>HYPERLINK("mailto:oriballo@crm.otsuka-europe.com", "oriballo@crm.otsuka-europe.com")</f>
        <v>oriballo@crm.otsuka-europe.com</v>
      </c>
      <c r="N6965" s="25">
        <v>46227.517581018517</v>
      </c>
      <c r="O6965" s="14" t="str">
        <f>HYPERLINK("https://otsuka-europe-crm.veevavault.com/ui/#object/email_activity__v/V8C00000004D143", "EN-002108410")</f>
        <v>EN-002108410</v>
      </c>
    </row>
    <row r="6966" spans="1:15" ht="16" x14ac:dyDescent="0.2">
      <c r="A6966" s="19"/>
      <c r="B6966" s="19"/>
      <c r="C6966" s="19"/>
      <c r="D6966" s="19"/>
      <c r="E6966" s="19"/>
      <c r="F6966" s="19"/>
      <c r="G6966" s="19"/>
      <c r="H6966" s="19"/>
      <c r="I6966" s="19"/>
      <c r="J6966" s="19"/>
      <c r="K6966" s="19"/>
      <c r="L6966" s="19"/>
      <c r="M6966" s="19"/>
      <c r="N6966" s="19"/>
      <c r="O6966" s="14" t="str">
        <f>HYPERLINK("https://otsuka-europe-crm.veevavault.com/ui/#object/email_activity__v/V8C00000004E227", "EN-002108830")</f>
        <v>EN-002108830</v>
      </c>
    </row>
    <row r="6967" spans="1:15" ht="16" x14ac:dyDescent="0.2">
      <c r="A6967" s="18" t="str">
        <f>HYPERLINK("https://otsuka-europe-crm.veevavault.com/ui/#object/account__v/V4TZ025E831NGZU", "JOSE FRANCISCO FALANTES GONZALEZ")</f>
        <v>JOSE FRANCISCO FALANTES GONZALEZ</v>
      </c>
      <c r="B6967" s="18" t="str">
        <f>HYPERLINK("https://otsuka-europe-crm.veevavault.com/ui/#object/vcountry__v/VENZ000004SONF5", "ES")</f>
        <v>ES</v>
      </c>
      <c r="C6967" s="20" t="s">
        <v>39</v>
      </c>
      <c r="D696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67" s="22" t="str">
        <f>HYPERLINK("https://otsuka-europe-crm.veevavault.com/ui/#object/sent_email__v/VBL00000003B071", "SE-001444893")</f>
        <v>SE-001444893</v>
      </c>
      <c r="F6967" s="25">
        <v>46227.611134259256</v>
      </c>
      <c r="G6967" s="24">
        <v>1</v>
      </c>
      <c r="H6967" s="24">
        <v>1</v>
      </c>
      <c r="I6967" s="24">
        <v>0</v>
      </c>
      <c r="J6967" s="23"/>
      <c r="K6967" s="24">
        <v>0</v>
      </c>
      <c r="L696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67" s="22" t="str">
        <f>HYPERLINK("mailto:oriballo@crm.otsuka-europe.com", "oriballo@crm.otsuka-europe.com")</f>
        <v>oriballo@crm.otsuka-europe.com</v>
      </c>
      <c r="N6967" s="25">
        <v>46227.517581018517</v>
      </c>
      <c r="O6967" s="14" t="str">
        <f>HYPERLINK("https://otsuka-europe-crm.veevavault.com/ui/#object/email_activity__v/V8C00000004D139", "EN-002108406")</f>
        <v>EN-002108406</v>
      </c>
    </row>
    <row r="6968" spans="1:15" ht="16" x14ac:dyDescent="0.2">
      <c r="A6968" s="19"/>
      <c r="B6968" s="19"/>
      <c r="C6968" s="19"/>
      <c r="D6968" s="19"/>
      <c r="E6968" s="19"/>
      <c r="F6968" s="19"/>
      <c r="G6968" s="19"/>
      <c r="H6968" s="19"/>
      <c r="I6968" s="19"/>
      <c r="J6968" s="19"/>
      <c r="K6968" s="19"/>
      <c r="L6968" s="19"/>
      <c r="M6968" s="19"/>
      <c r="N6968" s="19"/>
      <c r="O6968" s="14" t="str">
        <f>HYPERLINK("https://otsuka-europe-crm.veevavault.com/ui/#object/email_activity__v/V8C00000004E224", "EN-002108824")</f>
        <v>EN-002108824</v>
      </c>
    </row>
    <row r="6969" spans="1:15" ht="16" x14ac:dyDescent="0.2">
      <c r="A6969" s="18" t="str">
        <f>HYPERLINK("https://otsuka-europe-crm.veevavault.com/ui/#object/account__v/V4TZ025E83MB3ZD", "MARIA VICTORIA VERDUGO CABEZA DE VACA")</f>
        <v>MARIA VICTORIA VERDUGO CABEZA DE VACA</v>
      </c>
      <c r="B6969" s="18" t="str">
        <f>HYPERLINK("https://otsuka-europe-crm.veevavault.com/ui/#object/vcountry__v/VENZ000004SONF5", "ES")</f>
        <v>ES</v>
      </c>
      <c r="C6969" s="20" t="s">
        <v>39</v>
      </c>
      <c r="D6969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69" s="22" t="str">
        <f>HYPERLINK("https://otsuka-europe-crm.veevavault.com/ui/#object/sent_email__v/VBL00000003B072", "SE-001444894")</f>
        <v>SE-001444894</v>
      </c>
      <c r="F6969" s="25">
        <v>46227.655381944445</v>
      </c>
      <c r="G6969" s="24">
        <v>1</v>
      </c>
      <c r="H6969" s="24">
        <v>3</v>
      </c>
      <c r="I6969" s="24">
        <v>1</v>
      </c>
      <c r="J6969" s="25">
        <v>46227.655405092592</v>
      </c>
      <c r="K6969" s="24">
        <v>1</v>
      </c>
      <c r="L6969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69" s="22" t="str">
        <f>HYPERLINK("mailto:oriballo@crm.otsuka-europe.com", "oriballo@crm.otsuka-europe.com")</f>
        <v>oriballo@crm.otsuka-europe.com</v>
      </c>
      <c r="N6969" s="25">
        <v>46227.517581018517</v>
      </c>
      <c r="O6969" s="14" t="str">
        <f>HYPERLINK("https://otsuka-europe-crm.veevavault.com/ui/#object/email_activity__v/V8C00000004D106", "EN-002108363")</f>
        <v>EN-002108363</v>
      </c>
    </row>
    <row r="6970" spans="1:15" ht="16" x14ac:dyDescent="0.2">
      <c r="A6970" s="26"/>
      <c r="B6970" s="26"/>
      <c r="C6970" s="26"/>
      <c r="D6970" s="26"/>
      <c r="E6970" s="26"/>
      <c r="F6970" s="26"/>
      <c r="G6970" s="26"/>
      <c r="H6970" s="26"/>
      <c r="I6970" s="26"/>
      <c r="J6970" s="26"/>
      <c r="K6970" s="26"/>
      <c r="L6970" s="26"/>
      <c r="M6970" s="26"/>
      <c r="N6970" s="26"/>
      <c r="O6970" s="14" t="str">
        <f>HYPERLINK("https://otsuka-europe-crm.veevavault.com/ui/#object/email_activity__v/V8C00000004D396", "EN-002108851")</f>
        <v>EN-002108851</v>
      </c>
    </row>
    <row r="6971" spans="1:15" ht="16" x14ac:dyDescent="0.2">
      <c r="A6971" s="26"/>
      <c r="B6971" s="26"/>
      <c r="C6971" s="26"/>
      <c r="D6971" s="26"/>
      <c r="E6971" s="26"/>
      <c r="F6971" s="26"/>
      <c r="G6971" s="26"/>
      <c r="H6971" s="26"/>
      <c r="I6971" s="26"/>
      <c r="J6971" s="26"/>
      <c r="K6971" s="26"/>
      <c r="L6971" s="26"/>
      <c r="M6971" s="26"/>
      <c r="N6971" s="26"/>
      <c r="O6971" s="14" t="str">
        <f>HYPERLINK("https://otsuka-europe-crm.veevavault.com/ui/#object/email_activity__v/V8C00000004D397", "EN-002108853")</f>
        <v>EN-002108853</v>
      </c>
    </row>
    <row r="6972" spans="1:15" ht="16" x14ac:dyDescent="0.2">
      <c r="A6972" s="26"/>
      <c r="B6972" s="26"/>
      <c r="C6972" s="26"/>
      <c r="D6972" s="26"/>
      <c r="E6972" s="26"/>
      <c r="F6972" s="26"/>
      <c r="G6972" s="26"/>
      <c r="H6972" s="26"/>
      <c r="I6972" s="26"/>
      <c r="J6972" s="26"/>
      <c r="K6972" s="26"/>
      <c r="L6972" s="26"/>
      <c r="M6972" s="26"/>
      <c r="N6972" s="26"/>
      <c r="O6972" s="14" t="str">
        <f>HYPERLINK("https://otsuka-europe-crm.veevavault.com/ui/#object/email_activity__v/V8C00000004D403", "EN-002108867")</f>
        <v>EN-002108867</v>
      </c>
    </row>
    <row r="6973" spans="1:15" ht="16" x14ac:dyDescent="0.2">
      <c r="A6973" s="26"/>
      <c r="B6973" s="26"/>
      <c r="C6973" s="26"/>
      <c r="D6973" s="26"/>
      <c r="E6973" s="26"/>
      <c r="F6973" s="26"/>
      <c r="G6973" s="26"/>
      <c r="H6973" s="26"/>
      <c r="I6973" s="26"/>
      <c r="J6973" s="26"/>
      <c r="K6973" s="26"/>
      <c r="L6973" s="26"/>
      <c r="M6973" s="26"/>
      <c r="N6973" s="26"/>
      <c r="O6973" s="14" t="str">
        <f>HYPERLINK("https://otsuka-europe-crm.veevavault.com/ui/#object/email_activity__v/V8C00000004D404", "EN-002108868")</f>
        <v>EN-002108868</v>
      </c>
    </row>
    <row r="6974" spans="1:15" ht="16" x14ac:dyDescent="0.2">
      <c r="A6974" s="26"/>
      <c r="B6974" s="26"/>
      <c r="C6974" s="26"/>
      <c r="D6974" s="26"/>
      <c r="E6974" s="26"/>
      <c r="F6974" s="26"/>
      <c r="G6974" s="26"/>
      <c r="H6974" s="26"/>
      <c r="I6974" s="26"/>
      <c r="J6974" s="26"/>
      <c r="K6974" s="26"/>
      <c r="L6974" s="26"/>
      <c r="M6974" s="26"/>
      <c r="N6974" s="26"/>
      <c r="O6974" s="14" t="str">
        <f>HYPERLINK("https://otsuka-europe-crm.veevavault.com/ui/#object/email_activity__v/V8C00000004D512", "EN-002109114")</f>
        <v>EN-002109114</v>
      </c>
    </row>
    <row r="6975" spans="1:15" ht="16" x14ac:dyDescent="0.2">
      <c r="A6975" s="26"/>
      <c r="B6975" s="26"/>
      <c r="C6975" s="26"/>
      <c r="D6975" s="26"/>
      <c r="E6975" s="26"/>
      <c r="F6975" s="26"/>
      <c r="G6975" s="26"/>
      <c r="H6975" s="26"/>
      <c r="I6975" s="26"/>
      <c r="J6975" s="26"/>
      <c r="K6975" s="26"/>
      <c r="L6975" s="26"/>
      <c r="M6975" s="26"/>
      <c r="N6975" s="26"/>
      <c r="O6975" s="14" t="str">
        <f>HYPERLINK("https://otsuka-europe-crm.veevavault.com/ui/#object/email_activity__v/V8C00000004E161", "EN-002108715")</f>
        <v>EN-002108715</v>
      </c>
    </row>
    <row r="6976" spans="1:15" ht="16" x14ac:dyDescent="0.2">
      <c r="A6976" s="26"/>
      <c r="B6976" s="26"/>
      <c r="C6976" s="26"/>
      <c r="D6976" s="26"/>
      <c r="E6976" s="26"/>
      <c r="F6976" s="26"/>
      <c r="G6976" s="26"/>
      <c r="H6976" s="26"/>
      <c r="I6976" s="26"/>
      <c r="J6976" s="26"/>
      <c r="K6976" s="26"/>
      <c r="L6976" s="26"/>
      <c r="M6976" s="26"/>
      <c r="N6976" s="26"/>
      <c r="O6976" s="14" t="str">
        <f>HYPERLINK("https://otsuka-europe-crm.veevavault.com/ui/#object/email_activity__v/V8C00000004E236", "EN-002108848")</f>
        <v>EN-002108848</v>
      </c>
    </row>
    <row r="6977" spans="1:15" ht="16" x14ac:dyDescent="0.2">
      <c r="A6977" s="19"/>
      <c r="B6977" s="19"/>
      <c r="C6977" s="19"/>
      <c r="D6977" s="19"/>
      <c r="E6977" s="19"/>
      <c r="F6977" s="19"/>
      <c r="G6977" s="19"/>
      <c r="H6977" s="19"/>
      <c r="I6977" s="19"/>
      <c r="J6977" s="19"/>
      <c r="K6977" s="19"/>
      <c r="L6977" s="19"/>
      <c r="M6977" s="19"/>
      <c r="N6977" s="19"/>
      <c r="O6977" s="14" t="str">
        <f>HYPERLINK("https://otsuka-europe-crm.veevavault.com/ui/#object/email_activity__v/V8C00000004E237", "EN-002108849")</f>
        <v>EN-002108849</v>
      </c>
    </row>
    <row r="6978" spans="1:15" ht="48" x14ac:dyDescent="0.2">
      <c r="A6978" s="7" t="str">
        <f>HYPERLINK("https://otsuka-europe-crm.veevavault.com/ui/#object/account__v/V4TZ025E8370KRM", "FRANCISCO JAVIER CAPOTE HUELVA")</f>
        <v>FRANCISCO JAVIER CAPOTE HUELVA</v>
      </c>
      <c r="B6978" s="7" t="str">
        <f>HYPERLINK("https://otsuka-europe-crm.veevavault.com/ui/#object/vcountry__v/VENZ000004SONF5", "ES")</f>
        <v>ES</v>
      </c>
      <c r="C6978" s="8" t="s">
        <v>39</v>
      </c>
      <c r="D6978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78" s="10" t="str">
        <f>HYPERLINK("https://otsuka-europe-crm.veevavault.com/ui/#object/sent_email__v/VBL00000003B073", "SE-001444895")</f>
        <v>SE-001444895</v>
      </c>
      <c r="F6978" s="11"/>
      <c r="G6978" s="12">
        <v>0</v>
      </c>
      <c r="H6978" s="12">
        <v>0</v>
      </c>
      <c r="I6978" s="12">
        <v>0</v>
      </c>
      <c r="J6978" s="11"/>
      <c r="K6978" s="12">
        <v>0</v>
      </c>
      <c r="L6978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78" s="10" t="str">
        <f>HYPERLINK("mailto:oriballo@crm.otsuka-europe.com", "oriballo@crm.otsuka-europe.com")</f>
        <v>oriballo@crm.otsuka-europe.com</v>
      </c>
      <c r="N6978" s="13">
        <v>46227.517581018517</v>
      </c>
      <c r="O6978" s="14" t="str">
        <f>HYPERLINK("https://otsuka-europe-crm.veevavault.com/ui/#object/email_activity__v/V8C00000004E053", "EN-002108432")</f>
        <v>EN-002108432</v>
      </c>
    </row>
    <row r="6979" spans="1:15" ht="48" x14ac:dyDescent="0.2">
      <c r="A6979" s="7" t="str">
        <f>HYPERLINK("https://otsuka-europe-crm.veevavault.com/ui/#object/account__v/V4TZ025E83819OK", "MARIA SOLE RODRIGUEZ")</f>
        <v>MARIA SOLE RODRIGUEZ</v>
      </c>
      <c r="B6979" s="7" t="str">
        <f>HYPERLINK("https://otsuka-europe-crm.veevavault.com/ui/#object/vcountry__v/VENZ000004SONF5", "ES")</f>
        <v>ES</v>
      </c>
      <c r="C6979" s="8" t="s">
        <v>39</v>
      </c>
      <c r="D6979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79" s="10" t="str">
        <f>HYPERLINK("https://otsuka-europe-crm.veevavault.com/ui/#object/sent_email__v/VBL00000003B074", "SE-001444896")</f>
        <v>SE-001444896</v>
      </c>
      <c r="F6979" s="11"/>
      <c r="G6979" s="12">
        <v>0</v>
      </c>
      <c r="H6979" s="12">
        <v>0</v>
      </c>
      <c r="I6979" s="12">
        <v>0</v>
      </c>
      <c r="J6979" s="11"/>
      <c r="K6979" s="12">
        <v>0</v>
      </c>
      <c r="L6979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79" s="10" t="str">
        <f>HYPERLINK("mailto:oriballo@crm.otsuka-europe.com", "oriballo@crm.otsuka-europe.com")</f>
        <v>oriballo@crm.otsuka-europe.com</v>
      </c>
      <c r="N6979" s="13">
        <v>46227.517581018517</v>
      </c>
      <c r="O6979" s="14" t="str">
        <f>HYPERLINK("https://otsuka-europe-crm.veevavault.com/ui/#object/email_activity__v/V8C00000004E052", "EN-002108431")</f>
        <v>EN-002108431</v>
      </c>
    </row>
    <row r="6980" spans="1:15" ht="48" x14ac:dyDescent="0.2">
      <c r="A6980" s="7" t="str">
        <f>HYPERLINK("https://otsuka-europe-crm.veevavault.com/ui/#object/account__v/V4TZ025E85SHCPN", "JOSEFA LUIS NAVARRO")</f>
        <v>JOSEFA LUIS NAVARRO</v>
      </c>
      <c r="B6980" s="7" t="str">
        <f>HYPERLINK("https://otsuka-europe-crm.veevavault.com/ui/#object/vcountry__v/VENZ000004SONF5", "ES")</f>
        <v>ES</v>
      </c>
      <c r="C6980" s="8" t="s">
        <v>39</v>
      </c>
      <c r="D6980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80" s="10" t="str">
        <f>HYPERLINK("https://otsuka-europe-crm.veevavault.com/ui/#object/sent_email__v/VBL00000003B075", "SE-001444897")</f>
        <v>SE-001444897</v>
      </c>
      <c r="F6980" s="11"/>
      <c r="G6980" s="12">
        <v>0</v>
      </c>
      <c r="H6980" s="12">
        <v>0</v>
      </c>
      <c r="I6980" s="12">
        <v>0</v>
      </c>
      <c r="J6980" s="11"/>
      <c r="K6980" s="12">
        <v>0</v>
      </c>
      <c r="L6980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80" s="10" t="str">
        <f>HYPERLINK("mailto:oriballo@crm.otsuka-europe.com", "oriballo@crm.otsuka-europe.com")</f>
        <v>oriballo@crm.otsuka-europe.com</v>
      </c>
      <c r="N6980" s="13">
        <v>46227.517581018517</v>
      </c>
      <c r="O6980" s="14" t="str">
        <f>HYPERLINK("https://otsuka-europe-crm.veevavault.com/ui/#object/email_activity__v/V8C00000004D144", "EN-002108411")</f>
        <v>EN-002108411</v>
      </c>
    </row>
    <row r="6981" spans="1:15" ht="48" x14ac:dyDescent="0.2">
      <c r="A6981" s="7" t="str">
        <f>HYPERLINK("https://otsuka-europe-crm.veevavault.com/ui/#object/account__v/V4TZ025E8371E37", "INMACULADA MARCHANTE CEPILLO")</f>
        <v>INMACULADA MARCHANTE CEPILLO</v>
      </c>
      <c r="B6981" s="7" t="str">
        <f>HYPERLINK("https://otsuka-europe-crm.veevavault.com/ui/#object/vcountry__v/VENZ000004SONF5", "ES")</f>
        <v>ES</v>
      </c>
      <c r="C6981" s="8" t="s">
        <v>39</v>
      </c>
      <c r="D6981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81" s="10" t="str">
        <f>HYPERLINK("https://otsuka-europe-crm.veevavault.com/ui/#object/sent_email__v/VBL00000003B076", "SE-001444898")</f>
        <v>SE-001444898</v>
      </c>
      <c r="F6981" s="11"/>
      <c r="G6981" s="12">
        <v>0</v>
      </c>
      <c r="H6981" s="12">
        <v>0</v>
      </c>
      <c r="I6981" s="12">
        <v>0</v>
      </c>
      <c r="J6981" s="11"/>
      <c r="K6981" s="12">
        <v>0</v>
      </c>
      <c r="L6981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81" s="10" t="str">
        <f>HYPERLINK("mailto:oriballo@crm.otsuka-europe.com", "oriballo@crm.otsuka-europe.com")</f>
        <v>oriballo@crm.otsuka-europe.com</v>
      </c>
      <c r="N6981" s="13">
        <v>46227.517581018517</v>
      </c>
      <c r="O6981" s="14" t="str">
        <f>HYPERLINK("https://otsuka-europe-crm.veevavault.com/ui/#object/email_activity__v/V8C00000004D109", "EN-002108366")</f>
        <v>EN-002108366</v>
      </c>
    </row>
    <row r="6982" spans="1:15" ht="16" x14ac:dyDescent="0.2">
      <c r="A6982" s="18" t="str">
        <f>HYPERLINK("https://otsuka-europe-crm.veevavault.com/ui/#object/account__v/V4TZ06G6O71TB6S", "RAQUEL MARIA MACIAS MONTERO")</f>
        <v>RAQUEL MARIA MACIAS MONTERO</v>
      </c>
      <c r="B6982" s="18" t="str">
        <f>HYPERLINK("https://otsuka-europe-crm.veevavault.com/ui/#object/vcountry__v/VENZ000004SONF5", "ES")</f>
        <v>ES</v>
      </c>
      <c r="C6982" s="20" t="s">
        <v>39</v>
      </c>
      <c r="D6982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82" s="22" t="str">
        <f>HYPERLINK("https://otsuka-europe-crm.veevavault.com/ui/#object/sent_email__v/VBL00000003B077", "SE-001444899")</f>
        <v>SE-001444899</v>
      </c>
      <c r="F6982" s="25">
        <v>46227.751979166664</v>
      </c>
      <c r="G6982" s="24">
        <v>1</v>
      </c>
      <c r="H6982" s="24">
        <v>1</v>
      </c>
      <c r="I6982" s="24">
        <v>0</v>
      </c>
      <c r="J6982" s="23"/>
      <c r="K6982" s="24">
        <v>0</v>
      </c>
      <c r="L6982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82" s="22" t="str">
        <f>HYPERLINK("mailto:oriballo@crm.otsuka-europe.com", "oriballo@crm.otsuka-europe.com")</f>
        <v>oriballo@crm.otsuka-europe.com</v>
      </c>
      <c r="N6982" s="25">
        <v>46227.517581018517</v>
      </c>
      <c r="O6982" s="14" t="str">
        <f>HYPERLINK("https://otsuka-europe-crm.veevavault.com/ui/#object/email_activity__v/V8C00000004D141", "EN-002108408")</f>
        <v>EN-002108408</v>
      </c>
    </row>
    <row r="6983" spans="1:15" ht="16" x14ac:dyDescent="0.2">
      <c r="A6983" s="19"/>
      <c r="B6983" s="19"/>
      <c r="C6983" s="19"/>
      <c r="D6983" s="19"/>
      <c r="E6983" s="19"/>
      <c r="F6983" s="19"/>
      <c r="G6983" s="19"/>
      <c r="H6983" s="19"/>
      <c r="I6983" s="19"/>
      <c r="J6983" s="19"/>
      <c r="K6983" s="19"/>
      <c r="L6983" s="19"/>
      <c r="M6983" s="19"/>
      <c r="N6983" s="19"/>
      <c r="O6983" s="14" t="str">
        <f>HYPERLINK("https://otsuka-europe-crm.veevavault.com/ui/#object/email_activity__v/V8C00000004E274", "EN-002108908")</f>
        <v>EN-002108908</v>
      </c>
    </row>
    <row r="6984" spans="1:15" ht="16" x14ac:dyDescent="0.2">
      <c r="A6984" s="18" t="str">
        <f>HYPERLINK("https://otsuka-europe-crm.veevavault.com/ui/#object/account__v/V4TZ025E83OVDQL", "MARIA CARMEN HERNANDEZ GARCIA")</f>
        <v>MARIA CARMEN HERNANDEZ GARCIA</v>
      </c>
      <c r="B6984" s="18" t="str">
        <f>HYPERLINK("https://otsuka-europe-crm.veevavault.com/ui/#object/vcountry__v/VENZ000004SONF5", "ES")</f>
        <v>ES</v>
      </c>
      <c r="C6984" s="20" t="s">
        <v>39</v>
      </c>
      <c r="D6984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84" s="22" t="str">
        <f>HYPERLINK("https://otsuka-europe-crm.veevavault.com/ui/#object/sent_email__v/VBL00000003B078", "SE-001444900")</f>
        <v>SE-001444900</v>
      </c>
      <c r="F6984" s="23"/>
      <c r="G6984" s="24">
        <v>0</v>
      </c>
      <c r="H6984" s="24">
        <v>0</v>
      </c>
      <c r="I6984" s="24">
        <v>0</v>
      </c>
      <c r="J6984" s="23"/>
      <c r="K6984" s="24">
        <v>0</v>
      </c>
      <c r="L6984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84" s="22" t="str">
        <f>HYPERLINK("mailto:oriballo@crm.otsuka-europe.com", "oriballo@crm.otsuka-europe.com")</f>
        <v>oriballo@crm.otsuka-europe.com</v>
      </c>
      <c r="N6984" s="25">
        <v>46227.517581018517</v>
      </c>
      <c r="O6984" s="14" t="str">
        <f>HYPERLINK("https://otsuka-europe-crm.veevavault.com/ui/#object/email_activity__v/V8C00000004D110", "EN-002108367")</f>
        <v>EN-002108367</v>
      </c>
    </row>
    <row r="6985" spans="1:15" ht="16" x14ac:dyDescent="0.2">
      <c r="A6985" s="19"/>
      <c r="B6985" s="19"/>
      <c r="C6985" s="19"/>
      <c r="D6985" s="19"/>
      <c r="E6985" s="19"/>
      <c r="F6985" s="19"/>
      <c r="G6985" s="19"/>
      <c r="H6985" s="19"/>
      <c r="I6985" s="19"/>
      <c r="J6985" s="19"/>
      <c r="K6985" s="19"/>
      <c r="L6985" s="19"/>
      <c r="M6985" s="19"/>
      <c r="N6985" s="19"/>
      <c r="O6985" s="14" t="str">
        <f>HYPERLINK("https://otsuka-europe-crm.veevavault.com/ui/#object/email_activity__v/V8C00000004D690", "EN-002109477")</f>
        <v>EN-002109477</v>
      </c>
    </row>
    <row r="6986" spans="1:15" ht="16" x14ac:dyDescent="0.2">
      <c r="A6986" s="18" t="str">
        <f>HYPERLINK("https://otsuka-europe-crm.veevavault.com/ui/#object/account__v/V4TZ025E831EBTT", "FRANCISCO MANUEL MARTIN DOMINGUEZ")</f>
        <v>FRANCISCO MANUEL MARTIN DOMINGUEZ</v>
      </c>
      <c r="B6986" s="18" t="str">
        <f>HYPERLINK("https://otsuka-europe-crm.veevavault.com/ui/#object/vcountry__v/VENZ000004SONF5", "ES")</f>
        <v>ES</v>
      </c>
      <c r="C6986" s="20" t="s">
        <v>39</v>
      </c>
      <c r="D6986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86" s="22" t="str">
        <f>HYPERLINK("https://otsuka-europe-crm.veevavault.com/ui/#object/sent_email__v/VBL00000003B079", "SE-001444901")</f>
        <v>SE-001444901</v>
      </c>
      <c r="F6986" s="25">
        <v>46227.520891203705</v>
      </c>
      <c r="G6986" s="24">
        <v>1</v>
      </c>
      <c r="H6986" s="24">
        <v>1</v>
      </c>
      <c r="I6986" s="24">
        <v>0</v>
      </c>
      <c r="J6986" s="23"/>
      <c r="K6986" s="24">
        <v>0</v>
      </c>
      <c r="L6986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86" s="22" t="str">
        <f>HYPERLINK("mailto:oriballo@crm.otsuka-europe.com", "oriballo@crm.otsuka-europe.com")</f>
        <v>oriballo@crm.otsuka-europe.com</v>
      </c>
      <c r="N6986" s="25">
        <v>46227.517581018517</v>
      </c>
      <c r="O6986" s="14" t="str">
        <f>HYPERLINK("https://otsuka-europe-crm.veevavault.com/ui/#object/email_activity__v/V8C00000004D125", "EN-002108392")</f>
        <v>EN-002108392</v>
      </c>
    </row>
    <row r="6987" spans="1:15" ht="16" x14ac:dyDescent="0.2">
      <c r="A6987" s="19"/>
      <c r="B6987" s="19"/>
      <c r="C6987" s="19"/>
      <c r="D6987" s="19"/>
      <c r="E6987" s="19"/>
      <c r="F6987" s="19"/>
      <c r="G6987" s="19"/>
      <c r="H6987" s="19"/>
      <c r="I6987" s="19"/>
      <c r="J6987" s="19"/>
      <c r="K6987" s="19"/>
      <c r="L6987" s="19"/>
      <c r="M6987" s="19"/>
      <c r="N6987" s="19"/>
      <c r="O6987" s="14" t="str">
        <f>HYPERLINK("https://otsuka-europe-crm.veevavault.com/ui/#object/email_activity__v/V8C00000004D331", "EN-002108672")</f>
        <v>EN-002108672</v>
      </c>
    </row>
    <row r="6988" spans="1:15" ht="16" x14ac:dyDescent="0.2">
      <c r="A6988" s="18" t="str">
        <f>HYPERLINK("https://otsuka-europe-crm.veevavault.com/ui/#object/account__v/V4TZ025E83YJPPJ", "MARIA AMPARO PIMENTEL VILLAR")</f>
        <v>MARIA AMPARO PIMENTEL VILLAR</v>
      </c>
      <c r="B6988" s="18" t="str">
        <f>HYPERLINK("https://otsuka-europe-crm.veevavault.com/ui/#object/vcountry__v/VENZ000004SONF5", "ES")</f>
        <v>ES</v>
      </c>
      <c r="C6988" s="20" t="s">
        <v>39</v>
      </c>
      <c r="D6988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88" s="22" t="str">
        <f>HYPERLINK("https://otsuka-europe-crm.veevavault.com/ui/#object/sent_email__v/VBL00000003B080", "SE-001444902")</f>
        <v>SE-001444902</v>
      </c>
      <c r="F6988" s="23"/>
      <c r="G6988" s="24">
        <v>0</v>
      </c>
      <c r="H6988" s="24">
        <v>0</v>
      </c>
      <c r="I6988" s="24">
        <v>0</v>
      </c>
      <c r="J6988" s="23"/>
      <c r="K6988" s="24">
        <v>0</v>
      </c>
      <c r="L6988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88" s="22" t="str">
        <f>HYPERLINK("mailto:oriballo@crm.otsuka-europe.com", "oriballo@crm.otsuka-europe.com")</f>
        <v>oriballo@crm.otsuka-europe.com</v>
      </c>
      <c r="N6988" s="25">
        <v>46227.517442129632</v>
      </c>
      <c r="O6988" s="14" t="str">
        <f>HYPERLINK("https://otsuka-europe-crm.veevavault.com/ui/#object/email_activity__v/V8C00000004D089", "EN-002108330")</f>
        <v>EN-002108330</v>
      </c>
    </row>
    <row r="6989" spans="1:15" ht="16" x14ac:dyDescent="0.2">
      <c r="A6989" s="26"/>
      <c r="B6989" s="26"/>
      <c r="C6989" s="26"/>
      <c r="D6989" s="26"/>
      <c r="E6989" s="26"/>
      <c r="F6989" s="26"/>
      <c r="G6989" s="26"/>
      <c r="H6989" s="26"/>
      <c r="I6989" s="26"/>
      <c r="J6989" s="26"/>
      <c r="K6989" s="26"/>
      <c r="L6989" s="26"/>
      <c r="M6989" s="26"/>
      <c r="N6989" s="26"/>
      <c r="O6989" s="14" t="str">
        <f>HYPERLINK("https://otsuka-europe-crm.veevavault.com/ui/#object/email_activity__v/V8C00000004D381", "EN-002108817")</f>
        <v>EN-002108817</v>
      </c>
    </row>
    <row r="6990" spans="1:15" ht="16" x14ac:dyDescent="0.2">
      <c r="A6990" s="19"/>
      <c r="B6990" s="19"/>
      <c r="C6990" s="19"/>
      <c r="D6990" s="19"/>
      <c r="E6990" s="19"/>
      <c r="F6990" s="19"/>
      <c r="G6990" s="19"/>
      <c r="H6990" s="19"/>
      <c r="I6990" s="19"/>
      <c r="J6990" s="19"/>
      <c r="K6990" s="19"/>
      <c r="L6990" s="19"/>
      <c r="M6990" s="19"/>
      <c r="N6990" s="19"/>
      <c r="O6990" s="14" t="str">
        <f>HYPERLINK("https://otsuka-europe-crm.veevavault.com/ui/#object/email_activity__v/V8C00000004G146", "EN-002110044")</f>
        <v>EN-002110044</v>
      </c>
    </row>
    <row r="6991" spans="1:15" ht="16" x14ac:dyDescent="0.2">
      <c r="A6991" s="18" t="str">
        <f>HYPERLINK("https://otsuka-europe-crm.veevavault.com/ui/#object/account__v/V4TZ025E835MR3F", "MARIA SOLEDAD CASADO CALDERON")</f>
        <v>MARIA SOLEDAD CASADO CALDERON</v>
      </c>
      <c r="B6991" s="18" t="str">
        <f>HYPERLINK("https://otsuka-europe-crm.veevavault.com/ui/#object/vcountry__v/VENZ000004SONF5", "ES")</f>
        <v>ES</v>
      </c>
      <c r="C6991" s="20" t="s">
        <v>39</v>
      </c>
      <c r="D6991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91" s="22" t="str">
        <f>HYPERLINK("https://otsuka-europe-crm.veevavault.com/ui/#object/sent_email__v/VBL00000003B081", "SE-001444903")</f>
        <v>SE-001444903</v>
      </c>
      <c r="F6991" s="25">
        <v>46227.517569444448</v>
      </c>
      <c r="G6991" s="24">
        <v>1</v>
      </c>
      <c r="H6991" s="24">
        <v>1</v>
      </c>
      <c r="I6991" s="24">
        <v>0</v>
      </c>
      <c r="J6991" s="23"/>
      <c r="K6991" s="24">
        <v>0</v>
      </c>
      <c r="L6991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91" s="22" t="str">
        <f>HYPERLINK("mailto:oriballo@crm.otsuka-europe.com", "oriballo@crm.otsuka-europe.com")</f>
        <v>oriballo@crm.otsuka-europe.com</v>
      </c>
      <c r="N6991" s="25">
        <v>46227.517511574071</v>
      </c>
      <c r="O6991" s="14" t="str">
        <f>HYPERLINK("https://otsuka-europe-crm.veevavault.com/ui/#object/email_activity__v/V8C00000004E037", "EN-002108360")</f>
        <v>EN-002108360</v>
      </c>
    </row>
    <row r="6992" spans="1:15" ht="16" x14ac:dyDescent="0.2">
      <c r="A6992" s="26"/>
      <c r="B6992" s="26"/>
      <c r="C6992" s="26"/>
      <c r="D6992" s="26"/>
      <c r="E6992" s="26"/>
      <c r="F6992" s="26"/>
      <c r="G6992" s="26"/>
      <c r="H6992" s="26"/>
      <c r="I6992" s="26"/>
      <c r="J6992" s="26"/>
      <c r="K6992" s="26"/>
      <c r="L6992" s="26"/>
      <c r="M6992" s="26"/>
      <c r="N6992" s="26"/>
      <c r="O6992" s="14" t="str">
        <f>HYPERLINK("https://otsuka-europe-crm.veevavault.com/ui/#object/email_activity__v/V8C00000004E048", "EN-002108382")</f>
        <v>EN-002108382</v>
      </c>
    </row>
    <row r="6993" spans="1:15" ht="16" x14ac:dyDescent="0.2">
      <c r="A6993" s="19"/>
      <c r="B6993" s="19"/>
      <c r="C6993" s="19"/>
      <c r="D6993" s="19"/>
      <c r="E6993" s="19"/>
      <c r="F6993" s="19"/>
      <c r="G6993" s="19"/>
      <c r="H6993" s="19"/>
      <c r="I6993" s="19"/>
      <c r="J6993" s="19"/>
      <c r="K6993" s="19"/>
      <c r="L6993" s="19"/>
      <c r="M6993" s="19"/>
      <c r="N6993" s="19"/>
      <c r="O6993" s="14" t="str">
        <f>HYPERLINK("https://otsuka-europe-crm.veevavault.com/ui/#object/email_activity__v/V8C00000004E250", "EN-002108873")</f>
        <v>EN-002108873</v>
      </c>
    </row>
    <row r="6994" spans="1:15" ht="16" x14ac:dyDescent="0.2">
      <c r="A6994" s="18" t="str">
        <f>HYPERLINK("https://otsuka-europe-crm.veevavault.com/ui/#object/account__v/V4TZ025E85NAG32", "MARIA REMEDIOS ARCAS VEGA")</f>
        <v>MARIA REMEDIOS ARCAS VEGA</v>
      </c>
      <c r="B6994" s="18" t="str">
        <f>HYPERLINK("https://otsuka-europe-crm.veevavault.com/ui/#object/vcountry__v/VENZ000004SONF5", "ES")</f>
        <v>ES</v>
      </c>
      <c r="C6994" s="20" t="s">
        <v>39</v>
      </c>
      <c r="D6994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94" s="22" t="str">
        <f>HYPERLINK("https://otsuka-europe-crm.veevavault.com/ui/#object/sent_email__v/VBL00000003B082", "SE-001444904")</f>
        <v>SE-001444904</v>
      </c>
      <c r="F6994" s="25">
        <v>46228.092615740738</v>
      </c>
      <c r="G6994" s="24">
        <v>1</v>
      </c>
      <c r="H6994" s="24">
        <v>3</v>
      </c>
      <c r="I6994" s="24">
        <v>0</v>
      </c>
      <c r="J6994" s="23"/>
      <c r="K6994" s="24">
        <v>0</v>
      </c>
      <c r="L6994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94" s="22" t="str">
        <f>HYPERLINK("mailto:oriballo@crm.otsuka-europe.com", "oriballo@crm.otsuka-europe.com")</f>
        <v>oriballo@crm.otsuka-europe.com</v>
      </c>
      <c r="N6994" s="25">
        <v>46227.517476851855</v>
      </c>
      <c r="O6994" s="14" t="str">
        <f>HYPERLINK("https://otsuka-europe-crm.veevavault.com/ui/#object/email_activity__v/V8C00000004D092", "EN-002108333")</f>
        <v>EN-002108333</v>
      </c>
    </row>
    <row r="6995" spans="1:15" ht="16" x14ac:dyDescent="0.2">
      <c r="A6995" s="26"/>
      <c r="B6995" s="26"/>
      <c r="C6995" s="26"/>
      <c r="D6995" s="26"/>
      <c r="E6995" s="26"/>
      <c r="F6995" s="26"/>
      <c r="G6995" s="26"/>
      <c r="H6995" s="26"/>
      <c r="I6995" s="26"/>
      <c r="J6995" s="26"/>
      <c r="K6995" s="26"/>
      <c r="L6995" s="26"/>
      <c r="M6995" s="26"/>
      <c r="N6995" s="26"/>
      <c r="O6995" s="14" t="str">
        <f>HYPERLINK("https://otsuka-europe-crm.veevavault.com/ui/#object/email_activity__v/V8C00000004D377", "EN-002108812")</f>
        <v>EN-002108812</v>
      </c>
    </row>
    <row r="6996" spans="1:15" ht="16" x14ac:dyDescent="0.2">
      <c r="A6996" s="26"/>
      <c r="B6996" s="26"/>
      <c r="C6996" s="26"/>
      <c r="D6996" s="26"/>
      <c r="E6996" s="26"/>
      <c r="F6996" s="26"/>
      <c r="G6996" s="26"/>
      <c r="H6996" s="26"/>
      <c r="I6996" s="26"/>
      <c r="J6996" s="26"/>
      <c r="K6996" s="26"/>
      <c r="L6996" s="26"/>
      <c r="M6996" s="26"/>
      <c r="N6996" s="26"/>
      <c r="O6996" s="14" t="str">
        <f>HYPERLINK("https://otsuka-europe-crm.veevavault.com/ui/#object/email_activity__v/V8C00000004D438", "EN-002108958")</f>
        <v>EN-002108958</v>
      </c>
    </row>
    <row r="6997" spans="1:15" ht="16" x14ac:dyDescent="0.2">
      <c r="A6997" s="19"/>
      <c r="B6997" s="19"/>
      <c r="C6997" s="19"/>
      <c r="D6997" s="19"/>
      <c r="E6997" s="19"/>
      <c r="F6997" s="19"/>
      <c r="G6997" s="19"/>
      <c r="H6997" s="19"/>
      <c r="I6997" s="19"/>
      <c r="J6997" s="19"/>
      <c r="K6997" s="19"/>
      <c r="L6997" s="19"/>
      <c r="M6997" s="19"/>
      <c r="N6997" s="19"/>
      <c r="O6997" s="14" t="str">
        <f>HYPERLINK("https://otsuka-europe-crm.veevavault.com/ui/#object/email_activity__v/V8C00000004E036", "EN-002108359")</f>
        <v>EN-002108359</v>
      </c>
    </row>
    <row r="6998" spans="1:15" ht="16" x14ac:dyDescent="0.2">
      <c r="A6998" s="18" t="str">
        <f>HYPERLINK("https://otsuka-europe-crm.veevavault.com/ui/#object/account__v/V4T00000002G074", "ELENA RUIZ CANCA")</f>
        <v>ELENA RUIZ CANCA</v>
      </c>
      <c r="B6998" s="18" t="str">
        <f>HYPERLINK("https://otsuka-europe-crm.veevavault.com/ui/#object/vcountry__v/VENZ000004SONF5", "ES")</f>
        <v>ES</v>
      </c>
      <c r="C6998" s="20" t="s">
        <v>39</v>
      </c>
      <c r="D6998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6998" s="22" t="str">
        <f>HYPERLINK("https://otsuka-europe-crm.veevavault.com/ui/#object/sent_email__v/VBL00000003B083", "SE-001444905")</f>
        <v>SE-001444905</v>
      </c>
      <c r="F6998" s="23"/>
      <c r="G6998" s="24">
        <v>0</v>
      </c>
      <c r="H6998" s="24">
        <v>0</v>
      </c>
      <c r="I6998" s="24">
        <v>0</v>
      </c>
      <c r="J6998" s="23"/>
      <c r="K6998" s="24">
        <v>0</v>
      </c>
      <c r="L6998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6998" s="22" t="str">
        <f>HYPERLINK("mailto:oriballo@crm.otsuka-europe.com", "oriballo@crm.otsuka-europe.com")</f>
        <v>oriballo@crm.otsuka-europe.com</v>
      </c>
      <c r="N6998" s="25">
        <v>46227.517442129632</v>
      </c>
      <c r="O6998" s="14" t="str">
        <f>HYPERLINK("https://otsuka-europe-crm.veevavault.com/ui/#object/email_activity__v/V8C00000004D088", "EN-002108329")</f>
        <v>EN-002108329</v>
      </c>
    </row>
    <row r="6999" spans="1:15" ht="16" x14ac:dyDescent="0.2">
      <c r="A6999" s="19"/>
      <c r="B6999" s="19"/>
      <c r="C6999" s="19"/>
      <c r="D6999" s="19"/>
      <c r="E6999" s="19"/>
      <c r="F6999" s="19"/>
      <c r="G6999" s="19"/>
      <c r="H6999" s="19"/>
      <c r="I6999" s="19"/>
      <c r="J6999" s="19"/>
      <c r="K6999" s="19"/>
      <c r="L6999" s="19"/>
      <c r="M6999" s="19"/>
      <c r="N6999" s="19"/>
      <c r="O6999" s="14" t="str">
        <f>HYPERLINK("https://otsuka-europe-crm.veevavault.com/ui/#object/email_activity__v/V8C00000004D433", "EN-002108949")</f>
        <v>EN-002108949</v>
      </c>
    </row>
    <row r="7000" spans="1:15" ht="16" x14ac:dyDescent="0.2">
      <c r="A7000" s="18" t="str">
        <f>HYPERLINK("https://otsuka-europe-crm.veevavault.com/ui/#object/account__v/V4TZ06G6O71T8CQ", "ELIZABETH DOLORES INGA SAAVEDRA")</f>
        <v>ELIZABETH DOLORES INGA SAAVEDRA</v>
      </c>
      <c r="B7000" s="18" t="str">
        <f>HYPERLINK("https://otsuka-europe-crm.veevavault.com/ui/#object/vcountry__v/VENZ000004SONF5", "ES")</f>
        <v>ES</v>
      </c>
      <c r="C7000" s="20" t="s">
        <v>39</v>
      </c>
      <c r="D7000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00" s="22" t="str">
        <f>HYPERLINK("https://otsuka-europe-crm.veevavault.com/ui/#object/sent_email__v/VBL00000003B084", "SE-001444906")</f>
        <v>SE-001444906</v>
      </c>
      <c r="F7000" s="23"/>
      <c r="G7000" s="24">
        <v>0</v>
      </c>
      <c r="H7000" s="24">
        <v>0</v>
      </c>
      <c r="I7000" s="24">
        <v>0</v>
      </c>
      <c r="J7000" s="23"/>
      <c r="K7000" s="24">
        <v>0</v>
      </c>
      <c r="L7000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00" s="22" t="str">
        <f>HYPERLINK("mailto:oriballo@crm.otsuka-europe.com", "oriballo@crm.otsuka-europe.com")</f>
        <v>oriballo@crm.otsuka-europe.com</v>
      </c>
      <c r="N7000" s="25">
        <v>46227.517442129632</v>
      </c>
      <c r="O7000" s="14" t="str">
        <f>HYPERLINK("https://otsuka-europe-crm.veevavault.com/ui/#object/email_activity__v/V8C00000004D090", "EN-002108331")</f>
        <v>EN-002108331</v>
      </c>
    </row>
    <row r="7001" spans="1:15" ht="16" x14ac:dyDescent="0.2">
      <c r="A7001" s="19"/>
      <c r="B7001" s="19"/>
      <c r="C7001" s="19"/>
      <c r="D7001" s="19"/>
      <c r="E7001" s="19"/>
      <c r="F7001" s="19"/>
      <c r="G7001" s="19"/>
      <c r="H7001" s="19"/>
      <c r="I7001" s="19"/>
      <c r="J7001" s="19"/>
      <c r="K7001" s="19"/>
      <c r="L7001" s="19"/>
      <c r="M7001" s="19"/>
      <c r="N7001" s="19"/>
      <c r="O7001" s="14" t="str">
        <f>HYPERLINK("https://otsuka-europe-crm.veevavault.com/ui/#object/email_activity__v/V8C00000004E148", "EN-002108702")</f>
        <v>EN-002108702</v>
      </c>
    </row>
    <row r="7002" spans="1:15" ht="16" x14ac:dyDescent="0.2">
      <c r="A7002" s="18" t="str">
        <f>HYPERLINK("https://otsuka-europe-crm.veevavault.com/ui/#object/account__v/V4TZ025E83A23QT", "EDUARDO RODRIGUEZ ARBOLI")</f>
        <v>EDUARDO RODRIGUEZ ARBOLI</v>
      </c>
      <c r="B7002" s="18" t="str">
        <f>HYPERLINK("https://otsuka-europe-crm.veevavault.com/ui/#object/vcountry__v/VENZ000004SONF5", "ES")</f>
        <v>ES</v>
      </c>
      <c r="C7002" s="20" t="s">
        <v>39</v>
      </c>
      <c r="D7002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02" s="22" t="str">
        <f>HYPERLINK("https://otsuka-europe-crm.veevavault.com/ui/#object/sent_email__v/VBL00000003B085", "SE-001444907")</f>
        <v>SE-001444907</v>
      </c>
      <c r="F7002" s="25">
        <v>46227.517800925925</v>
      </c>
      <c r="G7002" s="24">
        <v>1</v>
      </c>
      <c r="H7002" s="24">
        <v>1</v>
      </c>
      <c r="I7002" s="24">
        <v>0</v>
      </c>
      <c r="J7002" s="23"/>
      <c r="K7002" s="24">
        <v>0</v>
      </c>
      <c r="L7002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02" s="22" t="str">
        <f>HYPERLINK("mailto:oriballo@crm.otsuka-europe.com", "oriballo@crm.otsuka-europe.com")</f>
        <v>oriballo@crm.otsuka-europe.com</v>
      </c>
      <c r="N7002" s="25">
        <v>46227.517442129632</v>
      </c>
      <c r="O7002" s="14" t="str">
        <f>HYPERLINK("https://otsuka-europe-crm.veevavault.com/ui/#object/email_activity__v/V8C00000004D087", "EN-002108328")</f>
        <v>EN-002108328</v>
      </c>
    </row>
    <row r="7003" spans="1:15" ht="16" x14ac:dyDescent="0.2">
      <c r="A7003" s="19"/>
      <c r="B7003" s="19"/>
      <c r="C7003" s="19"/>
      <c r="D7003" s="19"/>
      <c r="E7003" s="19"/>
      <c r="F7003" s="19"/>
      <c r="G7003" s="19"/>
      <c r="H7003" s="19"/>
      <c r="I7003" s="19"/>
      <c r="J7003" s="19"/>
      <c r="K7003" s="19"/>
      <c r="L7003" s="19"/>
      <c r="M7003" s="19"/>
      <c r="N7003" s="19"/>
      <c r="O7003" s="14" t="str">
        <f>HYPERLINK("https://otsuka-europe-crm.veevavault.com/ui/#object/email_activity__v/V8C00000004D163", "EN-002108434")</f>
        <v>EN-002108434</v>
      </c>
    </row>
    <row r="7004" spans="1:15" ht="48" x14ac:dyDescent="0.2">
      <c r="A7004" s="7" t="str">
        <f>HYPERLINK("https://otsuka-europe-crm.veevavault.com/ui/#object/account__v/V4TZ025E85VNENJ", "INMACULADA CONCEPCION HERRERA ARROYO")</f>
        <v>INMACULADA CONCEPCION HERRERA ARROYO</v>
      </c>
      <c r="B7004" s="7" t="str">
        <f>HYPERLINK("https://otsuka-europe-crm.veevavault.com/ui/#object/vcountry__v/VENZ000004SONF5", "ES")</f>
        <v>ES</v>
      </c>
      <c r="C7004" s="8" t="s">
        <v>39</v>
      </c>
      <c r="D7004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04" s="10" t="str">
        <f>HYPERLINK("https://otsuka-europe-crm.veevavault.com/ui/#object/sent_email__v/VBL00000003B086", "SE-001444908")</f>
        <v>SE-001444908</v>
      </c>
      <c r="F7004" s="11"/>
      <c r="G7004" s="12">
        <v>0</v>
      </c>
      <c r="H7004" s="12">
        <v>0</v>
      </c>
      <c r="I7004" s="12">
        <v>0</v>
      </c>
      <c r="J7004" s="11"/>
      <c r="K7004" s="12">
        <v>0</v>
      </c>
      <c r="L7004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04" s="10" t="str">
        <f>HYPERLINK("mailto:oriballo@crm.otsuka-europe.com", "oriballo@crm.otsuka-europe.com")</f>
        <v>oriballo@crm.otsuka-europe.com</v>
      </c>
      <c r="N7004" s="13">
        <v>46227.517476851855</v>
      </c>
      <c r="O7004" s="14" t="str">
        <f>HYPERLINK("https://otsuka-europe-crm.veevavault.com/ui/#object/email_activity__v/V8C00000004D094", "EN-002108335")</f>
        <v>EN-002108335</v>
      </c>
    </row>
    <row r="7005" spans="1:15" ht="16" x14ac:dyDescent="0.2">
      <c r="A7005" s="18" t="str">
        <f>HYPERLINK("https://otsuka-europe-crm.veevavault.com/ui/#object/account__v/V4TZ025E83OUUDF", "ANGEL RODRIGUEZ LOPEZ")</f>
        <v>ANGEL RODRIGUEZ LOPEZ</v>
      </c>
      <c r="B7005" s="18" t="str">
        <f>HYPERLINK("https://otsuka-europe-crm.veevavault.com/ui/#object/vcountry__v/VENZ000004SONF5", "ES")</f>
        <v>ES</v>
      </c>
      <c r="C7005" s="20" t="s">
        <v>39</v>
      </c>
      <c r="D7005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05" s="22" t="str">
        <f>HYPERLINK("https://otsuka-europe-crm.veevavault.com/ui/#object/sent_email__v/VBL00000003B087", "SE-001444909")</f>
        <v>SE-001444909</v>
      </c>
      <c r="F7005" s="25">
        <v>46227.565069444441</v>
      </c>
      <c r="G7005" s="24">
        <v>1</v>
      </c>
      <c r="H7005" s="24">
        <v>1</v>
      </c>
      <c r="I7005" s="24">
        <v>0</v>
      </c>
      <c r="J7005" s="23"/>
      <c r="K7005" s="24">
        <v>0</v>
      </c>
      <c r="L7005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05" s="22" t="str">
        <f>HYPERLINK("mailto:oriballo@crm.otsuka-europe.com", "oriballo@crm.otsuka-europe.com")</f>
        <v>oriballo@crm.otsuka-europe.com</v>
      </c>
      <c r="N7005" s="25">
        <v>46227.517511574071</v>
      </c>
      <c r="O7005" s="14" t="str">
        <f>HYPERLINK("https://otsuka-europe-crm.veevavault.com/ui/#object/email_activity__v/V8C00000004D155", "EN-002108422")</f>
        <v>EN-002108422</v>
      </c>
    </row>
    <row r="7006" spans="1:15" ht="16" x14ac:dyDescent="0.2">
      <c r="A7006" s="19"/>
      <c r="B7006" s="19"/>
      <c r="C7006" s="19"/>
      <c r="D7006" s="19"/>
      <c r="E7006" s="19"/>
      <c r="F7006" s="19"/>
      <c r="G7006" s="19"/>
      <c r="H7006" s="19"/>
      <c r="I7006" s="19"/>
      <c r="J7006" s="19"/>
      <c r="K7006" s="19"/>
      <c r="L7006" s="19"/>
      <c r="M7006" s="19"/>
      <c r="N7006" s="19"/>
      <c r="O7006" s="14" t="str">
        <f>HYPERLINK("https://otsuka-europe-crm.veevavault.com/ui/#object/email_activity__v/V8C00000004E203", "EN-002108788")</f>
        <v>EN-002108788</v>
      </c>
    </row>
    <row r="7007" spans="1:15" ht="16" x14ac:dyDescent="0.2">
      <c r="A7007" s="18" t="str">
        <f>HYPERLINK("https://otsuka-europe-crm.veevavault.com/ui/#object/account__v/V4TZ025E85DY67X", "TANIA IVETT ARAMBULA AMAYA")</f>
        <v>TANIA IVETT ARAMBULA AMAYA</v>
      </c>
      <c r="B7007" s="18" t="str">
        <f>HYPERLINK("https://otsuka-europe-crm.veevavault.com/ui/#object/vcountry__v/VENZ000004SONF5", "ES")</f>
        <v>ES</v>
      </c>
      <c r="C7007" s="20" t="s">
        <v>39</v>
      </c>
      <c r="D700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07" s="22" t="str">
        <f>HYPERLINK("https://otsuka-europe-crm.veevavault.com/ui/#object/sent_email__v/VBL00000003B088", "SE-001444910")</f>
        <v>SE-001444910</v>
      </c>
      <c r="F7007" s="25">
        <v>46227.521689814814</v>
      </c>
      <c r="G7007" s="24">
        <v>1</v>
      </c>
      <c r="H7007" s="24">
        <v>1</v>
      </c>
      <c r="I7007" s="24">
        <v>0</v>
      </c>
      <c r="J7007" s="23"/>
      <c r="K7007" s="24">
        <v>0</v>
      </c>
      <c r="L700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07" s="22" t="str">
        <f>HYPERLINK("mailto:oriballo@crm.otsuka-europe.com", "oriballo@crm.otsuka-europe.com")</f>
        <v>oriballo@crm.otsuka-europe.com</v>
      </c>
      <c r="N7007" s="25">
        <v>46227.517511574071</v>
      </c>
      <c r="O7007" s="14" t="str">
        <f>HYPERLINK("https://otsuka-europe-crm.veevavault.com/ui/#object/email_activity__v/V8C00000004D158", "EN-002108426")</f>
        <v>EN-002108426</v>
      </c>
    </row>
    <row r="7008" spans="1:15" ht="16" x14ac:dyDescent="0.2">
      <c r="A7008" s="19"/>
      <c r="B7008" s="19"/>
      <c r="C7008" s="19"/>
      <c r="D7008" s="19"/>
      <c r="E7008" s="19"/>
      <c r="F7008" s="19"/>
      <c r="G7008" s="19"/>
      <c r="H7008" s="19"/>
      <c r="I7008" s="19"/>
      <c r="J7008" s="19"/>
      <c r="K7008" s="19"/>
      <c r="L7008" s="19"/>
      <c r="M7008" s="19"/>
      <c r="N7008" s="19"/>
      <c r="O7008" s="14" t="str">
        <f>HYPERLINK("https://otsuka-europe-crm.veevavault.com/ui/#object/email_activity__v/V8C00000004E127", "EN-002108677")</f>
        <v>EN-002108677</v>
      </c>
    </row>
    <row r="7009" spans="1:15" ht="16" x14ac:dyDescent="0.2">
      <c r="A7009" s="18" t="str">
        <f>HYPERLINK("https://otsuka-europe-crm.veevavault.com/ui/#object/account__v/V4TZ025E83OV48Y", "FRANCISCO ASIS PEREZ LEAL")</f>
        <v>FRANCISCO ASIS PEREZ LEAL</v>
      </c>
      <c r="B7009" s="18" t="str">
        <f>HYPERLINK("https://otsuka-europe-crm.veevavault.com/ui/#object/vcountry__v/VENZ000004SONF5", "ES")</f>
        <v>ES</v>
      </c>
      <c r="C7009" s="20" t="s">
        <v>39</v>
      </c>
      <c r="D7009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09" s="22" t="str">
        <f>HYPERLINK("https://otsuka-europe-crm.veevavault.com/ui/#object/sent_email__v/VBL00000003B089", "SE-001444911")</f>
        <v>SE-001444911</v>
      </c>
      <c r="F7009" s="25">
        <v>46227.519641203704</v>
      </c>
      <c r="G7009" s="24">
        <v>1</v>
      </c>
      <c r="H7009" s="24">
        <v>1</v>
      </c>
      <c r="I7009" s="24">
        <v>0</v>
      </c>
      <c r="J7009" s="23"/>
      <c r="K7009" s="24">
        <v>0</v>
      </c>
      <c r="L7009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09" s="22" t="str">
        <f>HYPERLINK("mailto:oriballo@crm.otsuka-europe.com", "oriballo@crm.otsuka-europe.com")</f>
        <v>oriballo@crm.otsuka-europe.com</v>
      </c>
      <c r="N7009" s="25">
        <v>46227.517511574071</v>
      </c>
      <c r="O7009" s="14" t="str">
        <f>HYPERLINK("https://otsuka-europe-crm.veevavault.com/ui/#object/email_activity__v/V8C00000004D157", "EN-002108425")</f>
        <v>EN-002108425</v>
      </c>
    </row>
    <row r="7010" spans="1:15" ht="16" x14ac:dyDescent="0.2">
      <c r="A7010" s="19"/>
      <c r="B7010" s="19"/>
      <c r="C7010" s="19"/>
      <c r="D7010" s="19"/>
      <c r="E7010" s="19"/>
      <c r="F7010" s="19"/>
      <c r="G7010" s="19"/>
      <c r="H7010" s="19"/>
      <c r="I7010" s="19"/>
      <c r="J7010" s="19"/>
      <c r="K7010" s="19"/>
      <c r="L7010" s="19"/>
      <c r="M7010" s="19"/>
      <c r="N7010" s="19"/>
      <c r="O7010" s="14" t="str">
        <f>HYPERLINK("https://otsuka-europe-crm.veevavault.com/ui/#object/email_activity__v/V8C00000004D247", "EN-002108530")</f>
        <v>EN-002108530</v>
      </c>
    </row>
    <row r="7011" spans="1:15" ht="16" x14ac:dyDescent="0.2">
      <c r="A7011" s="18" t="str">
        <f>HYPERLINK("https://otsuka-europe-crm.veevavault.com/ui/#object/account__v/V4TZ06G6O8O6EXY", "RAQUEL MANJON GOMEZ")</f>
        <v>RAQUEL MANJON GOMEZ</v>
      </c>
      <c r="B7011" s="18" t="str">
        <f>HYPERLINK("https://otsuka-europe-crm.veevavault.com/ui/#object/vcountry__v/VENZ000004SONF5", "ES")</f>
        <v>ES</v>
      </c>
      <c r="C7011" s="20" t="s">
        <v>39</v>
      </c>
      <c r="D7011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11" s="22" t="str">
        <f>HYPERLINK("https://otsuka-europe-crm.veevavault.com/ui/#object/sent_email__v/VBL00000003B090", "SE-001444912")</f>
        <v>SE-001444912</v>
      </c>
      <c r="F7011" s="23"/>
      <c r="G7011" s="24">
        <v>0</v>
      </c>
      <c r="H7011" s="24">
        <v>0</v>
      </c>
      <c r="I7011" s="24">
        <v>0</v>
      </c>
      <c r="J7011" s="23"/>
      <c r="K7011" s="24">
        <v>0</v>
      </c>
      <c r="L7011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11" s="22" t="str">
        <f>HYPERLINK("mailto:oriballo@crm.otsuka-europe.com", "oriballo@crm.otsuka-europe.com")</f>
        <v>oriballo@crm.otsuka-europe.com</v>
      </c>
      <c r="N7011" s="25">
        <v>46227.517511574071</v>
      </c>
      <c r="O7011" s="14" t="str">
        <f>HYPERLINK("https://otsuka-europe-crm.veevavault.com/ui/#object/email_activity__v/V8C00000004D153", "EN-002108420")</f>
        <v>EN-002108420</v>
      </c>
    </row>
    <row r="7012" spans="1:15" ht="16" x14ac:dyDescent="0.2">
      <c r="A7012" s="19"/>
      <c r="B7012" s="19"/>
      <c r="C7012" s="19"/>
      <c r="D7012" s="19"/>
      <c r="E7012" s="19"/>
      <c r="F7012" s="19"/>
      <c r="G7012" s="19"/>
      <c r="H7012" s="19"/>
      <c r="I7012" s="19"/>
      <c r="J7012" s="19"/>
      <c r="K7012" s="19"/>
      <c r="L7012" s="19"/>
      <c r="M7012" s="19"/>
      <c r="N7012" s="19"/>
      <c r="O7012" s="14" t="str">
        <f>HYPERLINK("https://otsuka-europe-crm.veevavault.com/ui/#object/email_activity__v/V8C00000004D382", "EN-002108822")</f>
        <v>EN-002108822</v>
      </c>
    </row>
    <row r="7013" spans="1:15" ht="48" x14ac:dyDescent="0.2">
      <c r="A7013" s="7" t="str">
        <f>HYPERLINK("https://otsuka-europe-crm.veevavault.com/ui/#object/account__v/V4TZ025E83MPK1L", "JOSE CARLOS HERNANDEZ CASTELLET")</f>
        <v>JOSE CARLOS HERNANDEZ CASTELLET</v>
      </c>
      <c r="B7013" s="7" t="str">
        <f>HYPERLINK("https://otsuka-europe-crm.veevavault.com/ui/#object/vcountry__v/VENZ000004SONF5", "ES")</f>
        <v>ES</v>
      </c>
      <c r="C7013" s="8" t="s">
        <v>39</v>
      </c>
      <c r="D7013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13" s="10" t="str">
        <f>HYPERLINK("https://otsuka-europe-crm.veevavault.com/ui/#object/sent_email__v/VBL00000003B091", "SE-001444913")</f>
        <v>SE-001444913</v>
      </c>
      <c r="F7013" s="11"/>
      <c r="G7013" s="12">
        <v>0</v>
      </c>
      <c r="H7013" s="12">
        <v>0</v>
      </c>
      <c r="I7013" s="12">
        <v>0</v>
      </c>
      <c r="J7013" s="11"/>
      <c r="K7013" s="12">
        <v>0</v>
      </c>
      <c r="L7013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13" s="10" t="str">
        <f>HYPERLINK("mailto:oriballo@crm.otsuka-europe.com", "oriballo@crm.otsuka-europe.com")</f>
        <v>oriballo@crm.otsuka-europe.com</v>
      </c>
      <c r="N7013" s="13">
        <v>46227.517511574071</v>
      </c>
      <c r="O7013" s="14" t="str">
        <f>HYPERLINK("https://otsuka-europe-crm.veevavault.com/ui/#object/email_activity__v/V8C00000004D137", "EN-002108404")</f>
        <v>EN-002108404</v>
      </c>
    </row>
    <row r="7014" spans="1:15" ht="16" x14ac:dyDescent="0.2">
      <c r="A7014" s="18" t="str">
        <f>HYPERLINK("https://otsuka-europe-crm.veevavault.com/ui/#object/account__v/V4TZ025E85S1IF5", "MARIA SANCHEZ JAEN")</f>
        <v>MARIA SANCHEZ JAEN</v>
      </c>
      <c r="B7014" s="18" t="str">
        <f>HYPERLINK("https://otsuka-europe-crm.veevavault.com/ui/#object/vcountry__v/VENZ000004SONF5", "ES")</f>
        <v>ES</v>
      </c>
      <c r="C7014" s="20" t="s">
        <v>39</v>
      </c>
      <c r="D7014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14" s="22" t="str">
        <f>HYPERLINK("https://otsuka-europe-crm.veevavault.com/ui/#object/sent_email__v/VBL00000003B092", "SE-001444914")</f>
        <v>SE-001444914</v>
      </c>
      <c r="F7014" s="23"/>
      <c r="G7014" s="24">
        <v>0</v>
      </c>
      <c r="H7014" s="24">
        <v>0</v>
      </c>
      <c r="I7014" s="24">
        <v>0</v>
      </c>
      <c r="J7014" s="23"/>
      <c r="K7014" s="24">
        <v>0</v>
      </c>
      <c r="L7014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14" s="22" t="str">
        <f>HYPERLINK("mailto:oriballo@crm.otsuka-europe.com", "oriballo@crm.otsuka-europe.com")</f>
        <v>oriballo@crm.otsuka-europe.com</v>
      </c>
      <c r="N7014" s="25">
        <v>46227.517511574071</v>
      </c>
      <c r="O7014" s="14" t="str">
        <f>HYPERLINK("https://otsuka-europe-crm.veevavault.com/ui/#object/email_activity__v/V8C00000004E046", "EN-002108380")</f>
        <v>EN-002108380</v>
      </c>
    </row>
    <row r="7015" spans="1:15" ht="16" x14ac:dyDescent="0.2">
      <c r="A7015" s="19"/>
      <c r="B7015" s="19"/>
      <c r="C7015" s="19"/>
      <c r="D7015" s="19"/>
      <c r="E7015" s="19"/>
      <c r="F7015" s="19"/>
      <c r="G7015" s="19"/>
      <c r="H7015" s="19"/>
      <c r="I7015" s="19"/>
      <c r="J7015" s="19"/>
      <c r="K7015" s="19"/>
      <c r="L7015" s="19"/>
      <c r="M7015" s="19"/>
      <c r="N7015" s="19"/>
      <c r="O7015" s="14" t="str">
        <f>HYPERLINK("https://otsuka-europe-crm.veevavault.com/ui/#object/email_activity__v/V8C00000004E065", "EN-002108529")</f>
        <v>EN-002108529</v>
      </c>
    </row>
    <row r="7016" spans="1:15" ht="48" x14ac:dyDescent="0.2">
      <c r="A7016" s="7" t="str">
        <f>HYPERLINK("https://otsuka-europe-crm.veevavault.com/ui/#object/account__v/V4TZ025E85EE3R5", "BIANCA DIAZ ROLDAN")</f>
        <v>BIANCA DIAZ ROLDAN</v>
      </c>
      <c r="B7016" s="7" t="str">
        <f>HYPERLINK("https://otsuka-europe-crm.veevavault.com/ui/#object/vcountry__v/VENZ000004SONF5", "ES")</f>
        <v>ES</v>
      </c>
      <c r="C7016" s="8" t="s">
        <v>39</v>
      </c>
      <c r="D7016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16" s="10" t="str">
        <f>HYPERLINK("https://otsuka-europe-crm.veevavault.com/ui/#object/sent_email__v/VBL00000003B093", "SE-001444915")</f>
        <v>SE-001444915</v>
      </c>
      <c r="F7016" s="11"/>
      <c r="G7016" s="12">
        <v>0</v>
      </c>
      <c r="H7016" s="12">
        <v>0</v>
      </c>
      <c r="I7016" s="12">
        <v>0</v>
      </c>
      <c r="J7016" s="11"/>
      <c r="K7016" s="12">
        <v>0</v>
      </c>
      <c r="L7016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16" s="10" t="str">
        <f>HYPERLINK("mailto:oriballo@crm.otsuka-europe.com", "oriballo@crm.otsuka-europe.com")</f>
        <v>oriballo@crm.otsuka-europe.com</v>
      </c>
      <c r="N7016" s="13">
        <v>46227.517511574071</v>
      </c>
      <c r="O7016" s="14" t="str">
        <f>HYPERLINK("https://otsuka-europe-crm.veevavault.com/ui/#object/email_activity__v/V8C00000004D156", "EN-002108423")</f>
        <v>EN-002108423</v>
      </c>
    </row>
    <row r="7017" spans="1:15" ht="16" x14ac:dyDescent="0.2">
      <c r="A7017" s="18" t="str">
        <f>HYPERLINK("https://otsuka-europe-crm.veevavault.com/ui/#object/account__v/V4TZ025E85I5RH2", "MANUELA INES HIDALGO CAMPOS")</f>
        <v>MANUELA INES HIDALGO CAMPOS</v>
      </c>
      <c r="B7017" s="18" t="str">
        <f>HYPERLINK("https://otsuka-europe-crm.veevavault.com/ui/#object/vcountry__v/VENZ000004SONF5", "ES")</f>
        <v>ES</v>
      </c>
      <c r="C7017" s="20" t="s">
        <v>39</v>
      </c>
      <c r="D701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17" s="22" t="str">
        <f>HYPERLINK("https://otsuka-europe-crm.veevavault.com/ui/#object/sent_email__v/VBL00000003B094", "SE-001444916")</f>
        <v>SE-001444916</v>
      </c>
      <c r="F7017" s="25">
        <v>46227.837488425925</v>
      </c>
      <c r="G7017" s="24">
        <v>1</v>
      </c>
      <c r="H7017" s="24">
        <v>2</v>
      </c>
      <c r="I7017" s="24">
        <v>0</v>
      </c>
      <c r="J7017" s="23"/>
      <c r="K7017" s="24">
        <v>0</v>
      </c>
      <c r="L701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17" s="22" t="str">
        <f>HYPERLINK("mailto:oriballo@crm.otsuka-europe.com", "oriballo@crm.otsuka-europe.com")</f>
        <v>oriballo@crm.otsuka-europe.com</v>
      </c>
      <c r="N7017" s="25">
        <v>46227.517511574071</v>
      </c>
      <c r="O7017" s="14" t="str">
        <f>HYPERLINK("https://otsuka-europe-crm.veevavault.com/ui/#object/email_activity__v/V8C00000004D147", "EN-002108414")</f>
        <v>EN-002108414</v>
      </c>
    </row>
    <row r="7018" spans="1:15" ht="16" x14ac:dyDescent="0.2">
      <c r="A7018" s="26"/>
      <c r="B7018" s="26"/>
      <c r="C7018" s="26"/>
      <c r="D7018" s="26"/>
      <c r="E7018" s="26"/>
      <c r="F7018" s="26"/>
      <c r="G7018" s="26"/>
      <c r="H7018" s="26"/>
      <c r="I7018" s="26"/>
      <c r="J7018" s="26"/>
      <c r="K7018" s="26"/>
      <c r="L7018" s="26"/>
      <c r="M7018" s="26"/>
      <c r="N7018" s="26"/>
      <c r="O7018" s="14" t="str">
        <f>HYPERLINK("https://otsuka-europe-crm.veevavault.com/ui/#object/email_activity__v/V8C00000004D426", "EN-002108928")</f>
        <v>EN-002108928</v>
      </c>
    </row>
    <row r="7019" spans="1:15" ht="16" x14ac:dyDescent="0.2">
      <c r="A7019" s="19"/>
      <c r="B7019" s="19"/>
      <c r="C7019" s="19"/>
      <c r="D7019" s="19"/>
      <c r="E7019" s="19"/>
      <c r="F7019" s="19"/>
      <c r="G7019" s="19"/>
      <c r="H7019" s="19"/>
      <c r="I7019" s="19"/>
      <c r="J7019" s="19"/>
      <c r="K7019" s="19"/>
      <c r="L7019" s="19"/>
      <c r="M7019" s="19"/>
      <c r="N7019" s="19"/>
      <c r="O7019" s="14" t="str">
        <f>HYPERLINK("https://otsuka-europe-crm.veevavault.com/ui/#object/email_activity__v/V8C00000004E039", "EN-002108362")</f>
        <v>EN-002108362</v>
      </c>
    </row>
    <row r="7020" spans="1:15" ht="16" x14ac:dyDescent="0.2">
      <c r="A7020" s="18" t="str">
        <f>HYPERLINK("https://otsuka-europe-crm.veevavault.com/ui/#object/account__v/V4TZ025E859JA8K", "JOSE MANUEL VAGACE VALERO")</f>
        <v>JOSE MANUEL VAGACE VALERO</v>
      </c>
      <c r="B7020" s="18" t="str">
        <f>HYPERLINK("https://otsuka-europe-crm.veevavault.com/ui/#object/vcountry__v/VENZ000004SONF5", "ES")</f>
        <v>ES</v>
      </c>
      <c r="C7020" s="20" t="s">
        <v>39</v>
      </c>
      <c r="D7020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20" s="22" t="str">
        <f>HYPERLINK("https://otsuka-europe-crm.veevavault.com/ui/#object/sent_email__v/VBL00000003B095", "SE-001444917")</f>
        <v>SE-001444917</v>
      </c>
      <c r="F7020" s="25">
        <v>46227.747384259259</v>
      </c>
      <c r="G7020" s="24">
        <v>1</v>
      </c>
      <c r="H7020" s="24">
        <v>1</v>
      </c>
      <c r="I7020" s="24">
        <v>1</v>
      </c>
      <c r="J7020" s="25">
        <v>46227.747384259259</v>
      </c>
      <c r="K7020" s="24">
        <v>1</v>
      </c>
      <c r="L7020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20" s="22" t="str">
        <f>HYPERLINK("mailto:oriballo@crm.otsuka-europe.com", "oriballo@crm.otsuka-europe.com")</f>
        <v>oriballo@crm.otsuka-europe.com</v>
      </c>
      <c r="N7020" s="25">
        <v>46227.517511574071</v>
      </c>
      <c r="O7020" s="14" t="str">
        <f>HYPERLINK("https://otsuka-europe-crm.veevavault.com/ui/#object/email_activity__v/V8C00000004D160", "EN-002108428")</f>
        <v>EN-002108428</v>
      </c>
    </row>
    <row r="7021" spans="1:15" ht="16" x14ac:dyDescent="0.2">
      <c r="A7021" s="26"/>
      <c r="B7021" s="26"/>
      <c r="C7021" s="26"/>
      <c r="D7021" s="26"/>
      <c r="E7021" s="26"/>
      <c r="F7021" s="26"/>
      <c r="G7021" s="26"/>
      <c r="H7021" s="26"/>
      <c r="I7021" s="26"/>
      <c r="J7021" s="26"/>
      <c r="K7021" s="26"/>
      <c r="L7021" s="26"/>
      <c r="M7021" s="26"/>
      <c r="N7021" s="26"/>
      <c r="O7021" s="14" t="str">
        <f>HYPERLINK("https://otsuka-europe-crm.veevavault.com/ui/#object/email_activity__v/V8C00000004D420", "EN-002108912")</f>
        <v>EN-002108912</v>
      </c>
    </row>
    <row r="7022" spans="1:15" ht="16" x14ac:dyDescent="0.2">
      <c r="A7022" s="26"/>
      <c r="B7022" s="26"/>
      <c r="C7022" s="26"/>
      <c r="D7022" s="26"/>
      <c r="E7022" s="26"/>
      <c r="F7022" s="26"/>
      <c r="G7022" s="26"/>
      <c r="H7022" s="26"/>
      <c r="I7022" s="26"/>
      <c r="J7022" s="26"/>
      <c r="K7022" s="26"/>
      <c r="L7022" s="26"/>
      <c r="M7022" s="26"/>
      <c r="N7022" s="26"/>
      <c r="O7022" s="14" t="str">
        <f>HYPERLINK("https://otsuka-europe-crm.veevavault.com/ui/#object/email_activity__v/V8C00000004E272", "EN-002108907")</f>
        <v>EN-002108907</v>
      </c>
    </row>
    <row r="7023" spans="1:15" ht="16" x14ac:dyDescent="0.2">
      <c r="A7023" s="19"/>
      <c r="B7023" s="19"/>
      <c r="C7023" s="19"/>
      <c r="D7023" s="19"/>
      <c r="E7023" s="19"/>
      <c r="F7023" s="19"/>
      <c r="G7023" s="19"/>
      <c r="H7023" s="19"/>
      <c r="I7023" s="19"/>
      <c r="J7023" s="19"/>
      <c r="K7023" s="19"/>
      <c r="L7023" s="19"/>
      <c r="M7023" s="19"/>
      <c r="N7023" s="19"/>
      <c r="O7023" s="14" t="str">
        <f>HYPERLINK("https://otsuka-europe-crm.veevavault.com/ui/#object/email_activity__v/V8C00000004E273", "EN-002108906")</f>
        <v>EN-002108906</v>
      </c>
    </row>
    <row r="7024" spans="1:15" ht="16" x14ac:dyDescent="0.2">
      <c r="A7024" s="18" t="str">
        <f>HYPERLINK("https://otsuka-europe-crm.veevavault.com/ui/#object/account__v/V4TZ06G6O71TC5W", "JOSEFINA SERRANO LOPEZ")</f>
        <v>JOSEFINA SERRANO LOPEZ</v>
      </c>
      <c r="B7024" s="18" t="str">
        <f>HYPERLINK("https://otsuka-europe-crm.veevavault.com/ui/#object/vcountry__v/VENZ000004SONF5", "ES")</f>
        <v>ES</v>
      </c>
      <c r="C7024" s="20" t="s">
        <v>39</v>
      </c>
      <c r="D7024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24" s="22" t="str">
        <f>HYPERLINK("https://otsuka-europe-crm.veevavault.com/ui/#object/sent_email__v/VBL00000003B096", "SE-001444918")</f>
        <v>SE-001444918</v>
      </c>
      <c r="F7024" s="23"/>
      <c r="G7024" s="24">
        <v>0</v>
      </c>
      <c r="H7024" s="24">
        <v>0</v>
      </c>
      <c r="I7024" s="24">
        <v>0</v>
      </c>
      <c r="J7024" s="23"/>
      <c r="K7024" s="24">
        <v>0</v>
      </c>
      <c r="L7024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24" s="22" t="str">
        <f>HYPERLINK("mailto:oriballo@crm.otsuka-europe.com", "oriballo@crm.otsuka-europe.com")</f>
        <v>oriballo@crm.otsuka-europe.com</v>
      </c>
      <c r="N7024" s="25">
        <v>46227.517511574071</v>
      </c>
      <c r="O7024" s="14" t="str">
        <f>HYPERLINK("https://otsuka-europe-crm.veevavault.com/ui/#object/email_activity__v/V8C00000004D102", "EN-002108344")</f>
        <v>EN-002108344</v>
      </c>
    </row>
    <row r="7025" spans="1:15" ht="16" x14ac:dyDescent="0.2">
      <c r="A7025" s="19"/>
      <c r="B7025" s="19"/>
      <c r="C7025" s="19"/>
      <c r="D7025" s="19"/>
      <c r="E7025" s="19"/>
      <c r="F7025" s="19"/>
      <c r="G7025" s="19"/>
      <c r="H7025" s="19"/>
      <c r="I7025" s="19"/>
      <c r="J7025" s="19"/>
      <c r="K7025" s="19"/>
      <c r="L7025" s="19"/>
      <c r="M7025" s="19"/>
      <c r="N7025" s="19"/>
      <c r="O7025" s="14" t="str">
        <f>HYPERLINK("https://otsuka-europe-crm.veevavault.com/ui/#object/email_activity__v/V8C00000004E204", "EN-002108790")</f>
        <v>EN-002108790</v>
      </c>
    </row>
    <row r="7026" spans="1:15" ht="16" x14ac:dyDescent="0.2">
      <c r="A7026" s="18" t="str">
        <f>HYPERLINK("https://otsuka-europe-crm.veevavault.com/ui/#object/account__v/V4TZ025E83BTC4U", "LOURDES HERMOSIN RAMOS")</f>
        <v>LOURDES HERMOSIN RAMOS</v>
      </c>
      <c r="B7026" s="18" t="str">
        <f>HYPERLINK("https://otsuka-europe-crm.veevavault.com/ui/#object/vcountry__v/VENZ000004SONF5", "ES")</f>
        <v>ES</v>
      </c>
      <c r="C7026" s="20" t="s">
        <v>39</v>
      </c>
      <c r="D7026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26" s="22" t="str">
        <f>HYPERLINK("https://otsuka-europe-crm.veevavault.com/ui/#object/sent_email__v/VBL00000003B097", "SE-001444919")</f>
        <v>SE-001444919</v>
      </c>
      <c r="F7026" s="25">
        <v>46231.396041666667</v>
      </c>
      <c r="G7026" s="24">
        <v>1</v>
      </c>
      <c r="H7026" s="24">
        <v>1</v>
      </c>
      <c r="I7026" s="24">
        <v>1</v>
      </c>
      <c r="J7026" s="25">
        <v>46231.396041666667</v>
      </c>
      <c r="K7026" s="24">
        <v>1</v>
      </c>
      <c r="L7026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26" s="22" t="str">
        <f>HYPERLINK("mailto:oriballo@crm.otsuka-europe.com", "oriballo@crm.otsuka-europe.com")</f>
        <v>oriballo@crm.otsuka-europe.com</v>
      </c>
      <c r="N7026" s="25">
        <v>46227.517511574071</v>
      </c>
      <c r="O7026" s="14" t="str">
        <f>HYPERLINK("https://otsuka-europe-crm.veevavault.com/ui/#object/email_activity__v/V8C00000004D136", "EN-002108403")</f>
        <v>EN-002108403</v>
      </c>
    </row>
    <row r="7027" spans="1:15" ht="16" x14ac:dyDescent="0.2">
      <c r="A7027" s="26"/>
      <c r="B7027" s="26"/>
      <c r="C7027" s="26"/>
      <c r="D7027" s="26"/>
      <c r="E7027" s="26"/>
      <c r="F7027" s="26"/>
      <c r="G7027" s="26"/>
      <c r="H7027" s="26"/>
      <c r="I7027" s="26"/>
      <c r="J7027" s="26"/>
      <c r="K7027" s="26"/>
      <c r="L7027" s="26"/>
      <c r="M7027" s="26"/>
      <c r="N7027" s="26"/>
      <c r="O7027" s="14" t="str">
        <f>HYPERLINK("https://otsuka-europe-crm.veevavault.com/ui/#object/email_activity__v/V8C00000004D541", "EN-002109176")</f>
        <v>EN-002109176</v>
      </c>
    </row>
    <row r="7028" spans="1:15" ht="16" x14ac:dyDescent="0.2">
      <c r="A7028" s="26"/>
      <c r="B7028" s="26"/>
      <c r="C7028" s="26"/>
      <c r="D7028" s="26"/>
      <c r="E7028" s="26"/>
      <c r="F7028" s="26"/>
      <c r="G7028" s="26"/>
      <c r="H7028" s="26"/>
      <c r="I7028" s="26"/>
      <c r="J7028" s="26"/>
      <c r="K7028" s="26"/>
      <c r="L7028" s="26"/>
      <c r="M7028" s="26"/>
      <c r="N7028" s="26"/>
      <c r="O7028" s="14" t="str">
        <f>HYPERLINK("https://otsuka-europe-crm.veevavault.com/ui/#object/email_activity__v/V8C00000004D542", "EN-002109175")</f>
        <v>EN-002109175</v>
      </c>
    </row>
    <row r="7029" spans="1:15" ht="16" x14ac:dyDescent="0.2">
      <c r="A7029" s="19"/>
      <c r="B7029" s="19"/>
      <c r="C7029" s="19"/>
      <c r="D7029" s="19"/>
      <c r="E7029" s="19"/>
      <c r="F7029" s="19"/>
      <c r="G7029" s="19"/>
      <c r="H7029" s="19"/>
      <c r="I7029" s="19"/>
      <c r="J7029" s="19"/>
      <c r="K7029" s="19"/>
      <c r="L7029" s="19"/>
      <c r="M7029" s="19"/>
      <c r="N7029" s="19"/>
      <c r="O7029" s="14" t="str">
        <f>HYPERLINK("https://otsuka-europe-crm.veevavault.com/ui/#object/email_activity__v/V8C00000004D629", "EN-002109351")</f>
        <v>EN-002109351</v>
      </c>
    </row>
    <row r="7030" spans="1:15" ht="16" x14ac:dyDescent="0.2">
      <c r="A7030" s="18" t="str">
        <f>HYPERLINK("https://otsuka-europe-crm.veevavault.com/ui/#object/account__v/V4TZ025E85S2ACO", "FRANCISCO JOSE JIMENEZ GONZALO")</f>
        <v>FRANCISCO JOSE JIMENEZ GONZALO</v>
      </c>
      <c r="B7030" s="18" t="str">
        <f>HYPERLINK("https://otsuka-europe-crm.veevavault.com/ui/#object/vcountry__v/VENZ000004SONF5", "ES")</f>
        <v>ES</v>
      </c>
      <c r="C7030" s="20" t="s">
        <v>39</v>
      </c>
      <c r="D7030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30" s="22" t="str">
        <f>HYPERLINK("https://otsuka-europe-crm.veevavault.com/ui/#object/sent_email__v/VBL00000003B098", "SE-001444920")</f>
        <v>SE-001444920</v>
      </c>
      <c r="F7030" s="23"/>
      <c r="G7030" s="24">
        <v>0</v>
      </c>
      <c r="H7030" s="24">
        <v>0</v>
      </c>
      <c r="I7030" s="24">
        <v>1</v>
      </c>
      <c r="J7030" s="25">
        <v>46227.81826388889</v>
      </c>
      <c r="K7030" s="24">
        <v>2</v>
      </c>
      <c r="L7030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30" s="22" t="str">
        <f>HYPERLINK("mailto:oriballo@crm.otsuka-europe.com", "oriballo@crm.otsuka-europe.com")</f>
        <v>oriballo@crm.otsuka-europe.com</v>
      </c>
      <c r="N7030" s="25">
        <v>46227.517511574071</v>
      </c>
      <c r="O7030" s="14" t="str">
        <f>HYPERLINK("https://otsuka-europe-crm.veevavault.com/ui/#object/email_activity__v/V8C00000004D159", "EN-002108427")</f>
        <v>EN-002108427</v>
      </c>
    </row>
    <row r="7031" spans="1:15" ht="16" x14ac:dyDescent="0.2">
      <c r="A7031" s="26"/>
      <c r="B7031" s="26"/>
      <c r="C7031" s="26"/>
      <c r="D7031" s="26"/>
      <c r="E7031" s="26"/>
      <c r="F7031" s="26"/>
      <c r="G7031" s="26"/>
      <c r="H7031" s="26"/>
      <c r="I7031" s="26"/>
      <c r="J7031" s="26"/>
      <c r="K7031" s="26"/>
      <c r="L7031" s="26"/>
      <c r="M7031" s="26"/>
      <c r="N7031" s="26"/>
      <c r="O7031" s="14" t="str">
        <f>HYPERLINK("https://otsuka-europe-crm.veevavault.com/ui/#object/email_activity__v/V8C00000004D425", "EN-002108926")</f>
        <v>EN-002108926</v>
      </c>
    </row>
    <row r="7032" spans="1:15" ht="16" x14ac:dyDescent="0.2">
      <c r="A7032" s="26"/>
      <c r="B7032" s="26"/>
      <c r="C7032" s="26"/>
      <c r="D7032" s="26"/>
      <c r="E7032" s="26"/>
      <c r="F7032" s="26"/>
      <c r="G7032" s="26"/>
      <c r="H7032" s="26"/>
      <c r="I7032" s="26"/>
      <c r="J7032" s="26"/>
      <c r="K7032" s="26"/>
      <c r="L7032" s="26"/>
      <c r="M7032" s="26"/>
      <c r="N7032" s="26"/>
      <c r="O7032" s="14" t="str">
        <f>HYPERLINK("https://otsuka-europe-crm.veevavault.com/ui/#object/email_activity__v/V8C00000004E182", "EN-002108746")</f>
        <v>EN-002108746</v>
      </c>
    </row>
    <row r="7033" spans="1:15" ht="16" x14ac:dyDescent="0.2">
      <c r="A7033" s="26"/>
      <c r="B7033" s="26"/>
      <c r="C7033" s="26"/>
      <c r="D7033" s="26"/>
      <c r="E7033" s="26"/>
      <c r="F7033" s="26"/>
      <c r="G7033" s="26"/>
      <c r="H7033" s="26"/>
      <c r="I7033" s="26"/>
      <c r="J7033" s="26"/>
      <c r="K7033" s="26"/>
      <c r="L7033" s="26"/>
      <c r="M7033" s="26"/>
      <c r="N7033" s="26"/>
      <c r="O7033" s="14" t="str">
        <f>HYPERLINK("https://otsuka-europe-crm.veevavault.com/ui/#object/email_activity__v/V8C00000004E276", "EN-002108914")</f>
        <v>EN-002108914</v>
      </c>
    </row>
    <row r="7034" spans="1:15" ht="16" x14ac:dyDescent="0.2">
      <c r="A7034" s="26"/>
      <c r="B7034" s="26"/>
      <c r="C7034" s="26"/>
      <c r="D7034" s="26"/>
      <c r="E7034" s="26"/>
      <c r="F7034" s="26"/>
      <c r="G7034" s="26"/>
      <c r="H7034" s="26"/>
      <c r="I7034" s="26"/>
      <c r="J7034" s="26"/>
      <c r="K7034" s="26"/>
      <c r="L7034" s="26"/>
      <c r="M7034" s="26"/>
      <c r="N7034" s="26"/>
      <c r="O7034" s="14" t="str">
        <f>HYPERLINK("https://otsuka-europe-crm.veevavault.com/ui/#object/email_activity__v/V8C00000004E281", "EN-002108921")</f>
        <v>EN-002108921</v>
      </c>
    </row>
    <row r="7035" spans="1:15" ht="16" x14ac:dyDescent="0.2">
      <c r="A7035" s="26"/>
      <c r="B7035" s="26"/>
      <c r="C7035" s="26"/>
      <c r="D7035" s="26"/>
      <c r="E7035" s="26"/>
      <c r="F7035" s="26"/>
      <c r="G7035" s="26"/>
      <c r="H7035" s="26"/>
      <c r="I7035" s="26"/>
      <c r="J7035" s="26"/>
      <c r="K7035" s="26"/>
      <c r="L7035" s="26"/>
      <c r="M7035" s="26"/>
      <c r="N7035" s="26"/>
      <c r="O7035" s="14" t="str">
        <f>HYPERLINK("https://otsuka-europe-crm.veevavault.com/ui/#object/email_activity__v/V8C00000004E282", "EN-002108922")</f>
        <v>EN-002108922</v>
      </c>
    </row>
    <row r="7036" spans="1:15" ht="16" x14ac:dyDescent="0.2">
      <c r="A7036" s="26"/>
      <c r="B7036" s="26"/>
      <c r="C7036" s="26"/>
      <c r="D7036" s="26"/>
      <c r="E7036" s="26"/>
      <c r="F7036" s="26"/>
      <c r="G7036" s="26"/>
      <c r="H7036" s="26"/>
      <c r="I7036" s="26"/>
      <c r="J7036" s="26"/>
      <c r="K7036" s="26"/>
      <c r="L7036" s="26"/>
      <c r="M7036" s="26"/>
      <c r="N7036" s="26"/>
      <c r="O7036" s="14" t="str">
        <f>HYPERLINK("https://otsuka-europe-crm.veevavault.com/ui/#object/email_activity__v/V8C00000004E285", "EN-002108929")</f>
        <v>EN-002108929</v>
      </c>
    </row>
    <row r="7037" spans="1:15" ht="16" x14ac:dyDescent="0.2">
      <c r="A7037" s="26"/>
      <c r="B7037" s="26"/>
      <c r="C7037" s="26"/>
      <c r="D7037" s="26"/>
      <c r="E7037" s="26"/>
      <c r="F7037" s="26"/>
      <c r="G7037" s="26"/>
      <c r="H7037" s="26"/>
      <c r="I7037" s="26"/>
      <c r="J7037" s="26"/>
      <c r="K7037" s="26"/>
      <c r="L7037" s="26"/>
      <c r="M7037" s="26"/>
      <c r="N7037" s="26"/>
      <c r="O7037" s="14" t="str">
        <f>HYPERLINK("https://otsuka-europe-crm.veevavault.com/ui/#object/email_activity__v/V8C00000004E286", "EN-002108930")</f>
        <v>EN-002108930</v>
      </c>
    </row>
    <row r="7038" spans="1:15" ht="16" x14ac:dyDescent="0.2">
      <c r="A7038" s="19"/>
      <c r="B7038" s="19"/>
      <c r="C7038" s="19"/>
      <c r="D7038" s="19"/>
      <c r="E7038" s="19"/>
      <c r="F7038" s="19"/>
      <c r="G7038" s="19"/>
      <c r="H7038" s="19"/>
      <c r="I7038" s="19"/>
      <c r="J7038" s="19"/>
      <c r="K7038" s="19"/>
      <c r="L7038" s="19"/>
      <c r="M7038" s="19"/>
      <c r="N7038" s="19"/>
      <c r="O7038" s="14" t="str">
        <f>HYPERLINK("https://otsuka-europe-crm.veevavault.com/ui/#object/email_activity__v/V8C00000004I090", "EN-002111160")</f>
        <v>EN-002111160</v>
      </c>
    </row>
    <row r="7039" spans="1:15" ht="16" x14ac:dyDescent="0.2">
      <c r="A7039" s="18" t="str">
        <f>HYPERLINK("https://otsuka-europe-crm.veevavault.com/ui/#object/account__v/V4TZ025E85GG46O", "CRISTINA HINOJOSA ORANTOS")</f>
        <v>CRISTINA HINOJOSA ORANTOS</v>
      </c>
      <c r="B7039" s="18" t="str">
        <f>HYPERLINK("https://otsuka-europe-crm.veevavault.com/ui/#object/vcountry__v/VENZ000004SONF5", "ES")</f>
        <v>ES</v>
      </c>
      <c r="C7039" s="20" t="s">
        <v>39</v>
      </c>
      <c r="D7039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39" s="22" t="str">
        <f>HYPERLINK("https://otsuka-europe-crm.veevavault.com/ui/#object/sent_email__v/VBL00000003B099", "SE-001444921")</f>
        <v>SE-001444921</v>
      </c>
      <c r="F7039" s="25">
        <v>46230.317546296297</v>
      </c>
      <c r="G7039" s="24">
        <v>1</v>
      </c>
      <c r="H7039" s="24">
        <v>2</v>
      </c>
      <c r="I7039" s="24">
        <v>0</v>
      </c>
      <c r="J7039" s="23"/>
      <c r="K7039" s="24">
        <v>0</v>
      </c>
      <c r="L7039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39" s="22" t="str">
        <f>HYPERLINK("mailto:oriballo@crm.otsuka-europe.com", "oriballo@crm.otsuka-europe.com")</f>
        <v>oriballo@crm.otsuka-europe.com</v>
      </c>
      <c r="N7039" s="25">
        <v>46227.517511574071</v>
      </c>
      <c r="O7039" s="14" t="str">
        <f>HYPERLINK("https://otsuka-europe-crm.veevavault.com/ui/#object/email_activity__v/V8C00000004E034", "EN-002108357")</f>
        <v>EN-002108357</v>
      </c>
    </row>
    <row r="7040" spans="1:15" ht="16" x14ac:dyDescent="0.2">
      <c r="A7040" s="26"/>
      <c r="B7040" s="26"/>
      <c r="C7040" s="26"/>
      <c r="D7040" s="26"/>
      <c r="E7040" s="26"/>
      <c r="F7040" s="26"/>
      <c r="G7040" s="26"/>
      <c r="H7040" s="26"/>
      <c r="I7040" s="26"/>
      <c r="J7040" s="26"/>
      <c r="K7040" s="26"/>
      <c r="L7040" s="26"/>
      <c r="M7040" s="26"/>
      <c r="N7040" s="26"/>
      <c r="O7040" s="14" t="str">
        <f>HYPERLINK("https://otsuka-europe-crm.veevavault.com/ui/#object/email_activity__v/V8C00000004E357", "EN-002109065")</f>
        <v>EN-002109065</v>
      </c>
    </row>
    <row r="7041" spans="1:15" ht="16" x14ac:dyDescent="0.2">
      <c r="A7041" s="19"/>
      <c r="B7041" s="19"/>
      <c r="C7041" s="19"/>
      <c r="D7041" s="19"/>
      <c r="E7041" s="19"/>
      <c r="F7041" s="19"/>
      <c r="G7041" s="19"/>
      <c r="H7041" s="19"/>
      <c r="I7041" s="19"/>
      <c r="J7041" s="19"/>
      <c r="K7041" s="19"/>
      <c r="L7041" s="19"/>
      <c r="M7041" s="19"/>
      <c r="N7041" s="19"/>
      <c r="O7041" s="14" t="str">
        <f>HYPERLINK("https://otsuka-europe-crm.veevavault.com/ui/#object/email_activity__v/V8C00000004E358", "EN-002109066")</f>
        <v>EN-002109066</v>
      </c>
    </row>
    <row r="7042" spans="1:15" ht="16" x14ac:dyDescent="0.2">
      <c r="A7042" s="18" t="str">
        <f>HYPERLINK("https://otsuka-europe-crm.veevavault.com/ui/#object/account__v/V4TZ025E85J1YNO", "NOELIA GONZALEZ CARRASCO")</f>
        <v>NOELIA GONZALEZ CARRASCO</v>
      </c>
      <c r="B7042" s="18" t="str">
        <f>HYPERLINK("https://otsuka-europe-crm.veevavault.com/ui/#object/vcountry__v/VENZ000004SONF5", "ES")</f>
        <v>ES</v>
      </c>
      <c r="C7042" s="20" t="s">
        <v>39</v>
      </c>
      <c r="D7042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42" s="22" t="str">
        <f>HYPERLINK("https://otsuka-europe-crm.veevavault.com/ui/#object/sent_email__v/VBL00000003B100", "SE-001444922")</f>
        <v>SE-001444922</v>
      </c>
      <c r="F7042" s="25">
        <v>46227.755381944444</v>
      </c>
      <c r="G7042" s="24">
        <v>1</v>
      </c>
      <c r="H7042" s="24">
        <v>1</v>
      </c>
      <c r="I7042" s="24">
        <v>0</v>
      </c>
      <c r="J7042" s="23"/>
      <c r="K7042" s="24">
        <v>0</v>
      </c>
      <c r="L7042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42" s="22" t="str">
        <f>HYPERLINK("mailto:oriballo@crm.otsuka-europe.com", "oriballo@crm.otsuka-europe.com")</f>
        <v>oriballo@crm.otsuka-europe.com</v>
      </c>
      <c r="N7042" s="25">
        <v>46227.517581018517</v>
      </c>
      <c r="O7042" s="14" t="str">
        <f>HYPERLINK("https://otsuka-europe-crm.veevavault.com/ui/#object/email_activity__v/V8C00000004D107", "EN-002108364")</f>
        <v>EN-002108364</v>
      </c>
    </row>
    <row r="7043" spans="1:15" ht="16" x14ac:dyDescent="0.2">
      <c r="A7043" s="19"/>
      <c r="B7043" s="19"/>
      <c r="C7043" s="19"/>
      <c r="D7043" s="19"/>
      <c r="E7043" s="19"/>
      <c r="F7043" s="19"/>
      <c r="G7043" s="19"/>
      <c r="H7043" s="19"/>
      <c r="I7043" s="19"/>
      <c r="J7043" s="19"/>
      <c r="K7043" s="19"/>
      <c r="L7043" s="19"/>
      <c r="M7043" s="19"/>
      <c r="N7043" s="19"/>
      <c r="O7043" s="14" t="str">
        <f>HYPERLINK("https://otsuka-europe-crm.veevavault.com/ui/#object/email_activity__v/V8C00000004D419", "EN-002108911")</f>
        <v>EN-002108911</v>
      </c>
    </row>
    <row r="7044" spans="1:15" ht="48" x14ac:dyDescent="0.2">
      <c r="A7044" s="7" t="str">
        <f>HYPERLINK("https://otsuka-europe-crm.veevavault.com/ui/#object/account__v/V4TZ025E8606MW0", "KRYSTA ELISA KESTLER GONZALEZ")</f>
        <v>KRYSTA ELISA KESTLER GONZALEZ</v>
      </c>
      <c r="B7044" s="7" t="str">
        <f>HYPERLINK("https://otsuka-europe-crm.veevavault.com/ui/#object/vcountry__v/VENZ000004SONF5", "ES")</f>
        <v>ES</v>
      </c>
      <c r="C7044" s="8" t="s">
        <v>39</v>
      </c>
      <c r="D7044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44" s="10" t="str">
        <f>HYPERLINK("https://otsuka-europe-crm.veevavault.com/ui/#object/sent_email__v/VBL00000003B101", "SE-001444923")</f>
        <v>SE-001444923</v>
      </c>
      <c r="F7044" s="11"/>
      <c r="G7044" s="12">
        <v>0</v>
      </c>
      <c r="H7044" s="12">
        <v>0</v>
      </c>
      <c r="I7044" s="12">
        <v>0</v>
      </c>
      <c r="J7044" s="11"/>
      <c r="K7044" s="12">
        <v>0</v>
      </c>
      <c r="L7044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44" s="10" t="str">
        <f>HYPERLINK("mailto:oriballo@crm.otsuka-europe.com", "oriballo@crm.otsuka-europe.com")</f>
        <v>oriballo@crm.otsuka-europe.com</v>
      </c>
      <c r="N7044" s="13">
        <v>46227.517581018517</v>
      </c>
      <c r="O7044" s="14" t="str">
        <f>HYPERLINK("https://otsuka-europe-crm.veevavault.com/ui/#object/email_activity__v/V8C00000004E049", "EN-002108383")</f>
        <v>EN-002108383</v>
      </c>
    </row>
    <row r="7045" spans="1:15" ht="48" x14ac:dyDescent="0.2">
      <c r="A7045" s="7" t="str">
        <f>HYPERLINK("https://otsuka-europe-crm.veevavault.com/ui/#object/account__v/V4TZ025E85J0NTM", "JOSELYN ESTEFANIA LARA FIALLOS")</f>
        <v>JOSELYN ESTEFANIA LARA FIALLOS</v>
      </c>
      <c r="B7045" s="7" t="str">
        <f>HYPERLINK("https://otsuka-europe-crm.veevavault.com/ui/#object/vcountry__v/VENZ000004SONF5", "ES")</f>
        <v>ES</v>
      </c>
      <c r="C7045" s="8" t="s">
        <v>39</v>
      </c>
      <c r="D7045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45" s="10" t="str">
        <f>HYPERLINK("https://otsuka-europe-crm.veevavault.com/ui/#object/sent_email__v/VBL00000003B102", "SE-001444924")</f>
        <v>SE-001444924</v>
      </c>
      <c r="F7045" s="11"/>
      <c r="G7045" s="12">
        <v>0</v>
      </c>
      <c r="H7045" s="12">
        <v>0</v>
      </c>
      <c r="I7045" s="12">
        <v>0</v>
      </c>
      <c r="J7045" s="11"/>
      <c r="K7045" s="12">
        <v>0</v>
      </c>
      <c r="L7045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45" s="10" t="str">
        <f>HYPERLINK("mailto:oriballo@crm.otsuka-europe.com", "oriballo@crm.otsuka-europe.com")</f>
        <v>oriballo@crm.otsuka-europe.com</v>
      </c>
      <c r="N7045" s="13">
        <v>46227.517581018517</v>
      </c>
      <c r="O7045" s="14" t="str">
        <f>HYPERLINK("https://otsuka-europe-crm.veevavault.com/ui/#object/email_activity__v/V8C00000004D140", "EN-002108407")</f>
        <v>EN-002108407</v>
      </c>
    </row>
    <row r="7046" spans="1:15" ht="48" x14ac:dyDescent="0.2">
      <c r="A7046" s="7" t="str">
        <f>HYPERLINK("https://otsuka-europe-crm.veevavault.com/ui/#object/account__v/V4TZ025E85GGIX5", "MARIA ESPINA GARCIA")</f>
        <v>MARIA ESPINA GARCIA</v>
      </c>
      <c r="B7046" s="7" t="str">
        <f>HYPERLINK("https://otsuka-europe-crm.veevavault.com/ui/#object/vcountry__v/VENZ000004SONF5", "ES")</f>
        <v>ES</v>
      </c>
      <c r="C7046" s="8" t="s">
        <v>39</v>
      </c>
      <c r="D7046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46" s="10" t="str">
        <f>HYPERLINK("https://otsuka-europe-crm.veevavault.com/ui/#object/sent_email__v/VBL00000003B103", "SE-001444925")</f>
        <v>SE-001444925</v>
      </c>
      <c r="F7046" s="11"/>
      <c r="G7046" s="12">
        <v>0</v>
      </c>
      <c r="H7046" s="12">
        <v>0</v>
      </c>
      <c r="I7046" s="12">
        <v>0</v>
      </c>
      <c r="J7046" s="11"/>
      <c r="K7046" s="12">
        <v>0</v>
      </c>
      <c r="L7046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46" s="10" t="str">
        <f>HYPERLINK("mailto:oriballo@crm.otsuka-europe.com", "oriballo@crm.otsuka-europe.com")</f>
        <v>oriballo@crm.otsuka-europe.com</v>
      </c>
      <c r="N7046" s="13">
        <v>46227.517511574071</v>
      </c>
      <c r="O7046" s="14" t="str">
        <f>HYPERLINK("https://otsuka-europe-crm.veevavault.com/ui/#object/email_activity__v/V8C00000004E047", "EN-002108381")</f>
        <v>EN-002108381</v>
      </c>
    </row>
    <row r="7047" spans="1:15" ht="16" x14ac:dyDescent="0.2">
      <c r="A7047" s="18" t="str">
        <f>HYPERLINK("https://otsuka-europe-crm.veevavault.com/ui/#object/account__v/V4TZ025E83BNUZQ", "DORIS ADRIANA RAMIREZ DUQUE")</f>
        <v>DORIS ADRIANA RAMIREZ DUQUE</v>
      </c>
      <c r="B7047" s="18" t="str">
        <f>HYPERLINK("https://otsuka-europe-crm.veevavault.com/ui/#object/vcountry__v/VENZ000004SONF5", "ES")</f>
        <v>ES</v>
      </c>
      <c r="C7047" s="20" t="s">
        <v>39</v>
      </c>
      <c r="D704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47" s="22" t="str">
        <f>HYPERLINK("https://otsuka-europe-crm.veevavault.com/ui/#object/sent_email__v/VBL00000003B104", "SE-001444926")</f>
        <v>SE-001444926</v>
      </c>
      <c r="F7047" s="25">
        <v>46227.549409722225</v>
      </c>
      <c r="G7047" s="24">
        <v>1</v>
      </c>
      <c r="H7047" s="24">
        <v>1</v>
      </c>
      <c r="I7047" s="24">
        <v>0</v>
      </c>
      <c r="J7047" s="23"/>
      <c r="K7047" s="24">
        <v>0</v>
      </c>
      <c r="L704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47" s="22" t="str">
        <f>HYPERLINK("mailto:oriballo@crm.otsuka-europe.com", "oriballo@crm.otsuka-europe.com")</f>
        <v>oriballo@crm.otsuka-europe.com</v>
      </c>
      <c r="N7047" s="25">
        <v>46227.517581018517</v>
      </c>
      <c r="O7047" s="14" t="str">
        <f>HYPERLINK("https://otsuka-europe-crm.veevavault.com/ui/#object/email_activity__v/V8C00000004D348", "EN-002108753")</f>
        <v>EN-002108753</v>
      </c>
    </row>
    <row r="7048" spans="1:15" ht="16" x14ac:dyDescent="0.2">
      <c r="A7048" s="19"/>
      <c r="B7048" s="19"/>
      <c r="C7048" s="19"/>
      <c r="D7048" s="19"/>
      <c r="E7048" s="19"/>
      <c r="F7048" s="19"/>
      <c r="G7048" s="19"/>
      <c r="H7048" s="19"/>
      <c r="I7048" s="19"/>
      <c r="J7048" s="19"/>
      <c r="K7048" s="19"/>
      <c r="L7048" s="19"/>
      <c r="M7048" s="19"/>
      <c r="N7048" s="19"/>
      <c r="O7048" s="14" t="str">
        <f>HYPERLINK("https://otsuka-europe-crm.veevavault.com/ui/#object/email_activity__v/V8C00000004E051", "EN-002108430")</f>
        <v>EN-002108430</v>
      </c>
    </row>
    <row r="7049" spans="1:15" ht="48" x14ac:dyDescent="0.2">
      <c r="A7049" s="7" t="str">
        <f>HYPERLINK("https://otsuka-europe-crm.veevavault.com/ui/#object/account__v/V4TZ025E85GGH59", "ELENA HERNANDEZ SANCHEZ")</f>
        <v>ELENA HERNANDEZ SANCHEZ</v>
      </c>
      <c r="B7049" s="7" t="str">
        <f>HYPERLINK("https://otsuka-europe-crm.veevavault.com/ui/#object/vcountry__v/VENZ000004SONF5", "ES")</f>
        <v>ES</v>
      </c>
      <c r="C7049" s="8" t="s">
        <v>39</v>
      </c>
      <c r="D7049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49" s="10" t="str">
        <f>HYPERLINK("https://otsuka-europe-crm.veevavault.com/ui/#object/sent_email__v/VBL00000003B105", "SE-001444927")</f>
        <v>SE-001444927</v>
      </c>
      <c r="F7049" s="11"/>
      <c r="G7049" s="12">
        <v>0</v>
      </c>
      <c r="H7049" s="12">
        <v>0</v>
      </c>
      <c r="I7049" s="12">
        <v>0</v>
      </c>
      <c r="J7049" s="11"/>
      <c r="K7049" s="12">
        <v>0</v>
      </c>
      <c r="L7049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49" s="10" t="str">
        <f>HYPERLINK("mailto:oriballo@crm.otsuka-europe.com", "oriballo@crm.otsuka-europe.com")</f>
        <v>oriballo@crm.otsuka-europe.com</v>
      </c>
      <c r="N7049" s="13">
        <v>46227.517581018517</v>
      </c>
      <c r="O7049" s="14" t="str">
        <f>HYPERLINK("https://otsuka-europe-crm.veevavault.com/ui/#object/email_activity__v/V8C00000004D108", "EN-002108365")</f>
        <v>EN-002108365</v>
      </c>
    </row>
    <row r="7050" spans="1:15" ht="48" x14ac:dyDescent="0.2">
      <c r="A7050" s="7" t="str">
        <f>HYPERLINK("https://otsuka-europe-crm.veevavault.com/ui/#object/account__v/V4TZ025E83OUNTB", "JULIO PRIETO FERNANDEZ")</f>
        <v>JULIO PRIETO FERNANDEZ</v>
      </c>
      <c r="B7050" s="7" t="str">
        <f>HYPERLINK("https://otsuka-europe-crm.veevavault.com/ui/#object/vcountry__v/VENZ000004SONF5", "ES")</f>
        <v>ES</v>
      </c>
      <c r="C7050" s="8" t="s">
        <v>39</v>
      </c>
      <c r="D7050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50" s="10" t="str">
        <f>HYPERLINK("https://otsuka-europe-crm.veevavault.com/ui/#object/sent_email__v/VBL00000003B106", "SE-001444928")</f>
        <v>SE-001444928</v>
      </c>
      <c r="F7050" s="11"/>
      <c r="G7050" s="12">
        <v>0</v>
      </c>
      <c r="H7050" s="12">
        <v>0</v>
      </c>
      <c r="I7050" s="12">
        <v>0</v>
      </c>
      <c r="J7050" s="11"/>
      <c r="K7050" s="12">
        <v>0</v>
      </c>
      <c r="L7050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50" s="10" t="str">
        <f>HYPERLINK("mailto:oriballo@crm.otsuka-europe.com", "oriballo@crm.otsuka-europe.com")</f>
        <v>oriballo@crm.otsuka-europe.com</v>
      </c>
      <c r="N7050" s="13">
        <v>46227.517511574071</v>
      </c>
      <c r="O7050" s="14" t="str">
        <f>HYPERLINK("https://otsuka-europe-crm.veevavault.com/ui/#object/email_activity__v/V8C00000004D134", "EN-002108401")</f>
        <v>EN-002108401</v>
      </c>
    </row>
    <row r="7051" spans="1:15" ht="16" x14ac:dyDescent="0.2">
      <c r="A7051" s="18" t="str">
        <f>HYPERLINK("https://otsuka-europe-crm.veevavault.com/ui/#object/account__v/V4TZ025E85GFKZ1", "ELENA PAUMARD RODRIGUEZ")</f>
        <v>ELENA PAUMARD RODRIGUEZ</v>
      </c>
      <c r="B7051" s="18" t="str">
        <f>HYPERLINK("https://otsuka-europe-crm.veevavault.com/ui/#object/vcountry__v/VENZ000004SONF5", "ES")</f>
        <v>ES</v>
      </c>
      <c r="C7051" s="20" t="s">
        <v>39</v>
      </c>
      <c r="D7051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51" s="22" t="str">
        <f>HYPERLINK("https://otsuka-europe-crm.veevavault.com/ui/#object/sent_email__v/VBL00000003B107", "SE-001444929")</f>
        <v>SE-001444929</v>
      </c>
      <c r="F7051" s="25">
        <v>46227.556377314817</v>
      </c>
      <c r="G7051" s="24">
        <v>1</v>
      </c>
      <c r="H7051" s="24">
        <v>2</v>
      </c>
      <c r="I7051" s="24">
        <v>0</v>
      </c>
      <c r="J7051" s="23"/>
      <c r="K7051" s="24">
        <v>0</v>
      </c>
      <c r="L7051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51" s="22" t="str">
        <f>HYPERLINK("mailto:oriballo@crm.otsuka-europe.com", "oriballo@crm.otsuka-europe.com")</f>
        <v>oriballo@crm.otsuka-europe.com</v>
      </c>
      <c r="N7051" s="25">
        <v>46227.517511574071</v>
      </c>
      <c r="O7051" s="14" t="str">
        <f>HYPERLINK("https://otsuka-europe-crm.veevavault.com/ui/#object/email_activity__v/V8C00000004D161", "EN-002108429")</f>
        <v>EN-002108429</v>
      </c>
    </row>
    <row r="7052" spans="1:15" ht="16" x14ac:dyDescent="0.2">
      <c r="A7052" s="26"/>
      <c r="B7052" s="26"/>
      <c r="C7052" s="26"/>
      <c r="D7052" s="26"/>
      <c r="E7052" s="26"/>
      <c r="F7052" s="26"/>
      <c r="G7052" s="26"/>
      <c r="H7052" s="26"/>
      <c r="I7052" s="26"/>
      <c r="J7052" s="26"/>
      <c r="K7052" s="26"/>
      <c r="L7052" s="26"/>
      <c r="M7052" s="26"/>
      <c r="N7052" s="26"/>
      <c r="O7052" s="14" t="str">
        <f>HYPERLINK("https://otsuka-europe-crm.veevavault.com/ui/#object/email_activity__v/V8C00000004D358", "EN-002108768")</f>
        <v>EN-002108768</v>
      </c>
    </row>
    <row r="7053" spans="1:15" ht="16" x14ac:dyDescent="0.2">
      <c r="A7053" s="19"/>
      <c r="B7053" s="19"/>
      <c r="C7053" s="19"/>
      <c r="D7053" s="19"/>
      <c r="E7053" s="19"/>
      <c r="F7053" s="19"/>
      <c r="G7053" s="19"/>
      <c r="H7053" s="19"/>
      <c r="I7053" s="19"/>
      <c r="J7053" s="19"/>
      <c r="K7053" s="19"/>
      <c r="L7053" s="19"/>
      <c r="M7053" s="19"/>
      <c r="N7053" s="19"/>
      <c r="O7053" s="14" t="str">
        <f>HYPERLINK("https://otsuka-europe-crm.veevavault.com/ui/#object/email_activity__v/V8C00000004D360", "EN-002108770")</f>
        <v>EN-002108770</v>
      </c>
    </row>
    <row r="7054" spans="1:15" ht="48" x14ac:dyDescent="0.2">
      <c r="A7054" s="7" t="str">
        <f>HYPERLINK("https://otsuka-europe-crm.veevavault.com/ui/#object/account__v/V4TZ025E85ZU2VX", "PATRICIA JIMENEZ GUERRERO")</f>
        <v>PATRICIA JIMENEZ GUERRERO</v>
      </c>
      <c r="B7054" s="7" t="str">
        <f>HYPERLINK("https://otsuka-europe-crm.veevavault.com/ui/#object/vcountry__v/VENZ000004SONF5", "ES")</f>
        <v>ES</v>
      </c>
      <c r="C7054" s="8" t="s">
        <v>39</v>
      </c>
      <c r="D7054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54" s="10" t="str">
        <f>HYPERLINK("https://otsuka-europe-crm.veevavault.com/ui/#object/sent_email__v/VBL00000003B108", "SE-001444930")</f>
        <v>SE-001444930</v>
      </c>
      <c r="F7054" s="11"/>
      <c r="G7054" s="12">
        <v>0</v>
      </c>
      <c r="H7054" s="12">
        <v>0</v>
      </c>
      <c r="I7054" s="12">
        <v>0</v>
      </c>
      <c r="J7054" s="11"/>
      <c r="K7054" s="12">
        <v>0</v>
      </c>
      <c r="L7054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54" s="10" t="str">
        <f>HYPERLINK("mailto:oriballo@crm.otsuka-europe.com", "oriballo@crm.otsuka-europe.com")</f>
        <v>oriballo@crm.otsuka-europe.com</v>
      </c>
      <c r="N7054" s="13">
        <v>46227.517511574071</v>
      </c>
      <c r="O7054" s="14" t="str">
        <f>HYPERLINK("https://otsuka-europe-crm.veevavault.com/ui/#object/email_activity__v/V8C00000004D154", "EN-002108421")</f>
        <v>EN-002108421</v>
      </c>
    </row>
    <row r="7055" spans="1:15" ht="48" x14ac:dyDescent="0.2">
      <c r="A7055" s="7" t="str">
        <f>HYPERLINK("https://otsuka-europe-crm.veevavault.com/ui/#object/account__v/V4TZ025E83DPYQI", "MARIA MAR ROMERO GONZALEZ")</f>
        <v>MARIA MAR ROMERO GONZALEZ</v>
      </c>
      <c r="B7055" s="7" t="str">
        <f>HYPERLINK("https://otsuka-europe-crm.veevavault.com/ui/#object/vcountry__v/VENZ000004SONF5", "ES")</f>
        <v>ES</v>
      </c>
      <c r="C7055" s="8" t="s">
        <v>39</v>
      </c>
      <c r="D7055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55" s="10" t="str">
        <f>HYPERLINK("https://otsuka-europe-crm.veevavault.com/ui/#object/sent_email__v/VBL00000003B109", "SE-001444931")</f>
        <v>SE-001444931</v>
      </c>
      <c r="F7055" s="11"/>
      <c r="G7055" s="12">
        <v>0</v>
      </c>
      <c r="H7055" s="12">
        <v>0</v>
      </c>
      <c r="I7055" s="12">
        <v>0</v>
      </c>
      <c r="J7055" s="11"/>
      <c r="K7055" s="12">
        <v>0</v>
      </c>
      <c r="L7055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55" s="10" t="str">
        <f>HYPERLINK("mailto:oriballo@crm.otsuka-europe.com", "oriballo@crm.otsuka-europe.com")</f>
        <v>oriballo@crm.otsuka-europe.com</v>
      </c>
      <c r="N7055" s="13">
        <v>46227.517511574071</v>
      </c>
      <c r="O7055" s="14" t="str">
        <f>HYPERLINK("https://otsuka-europe-crm.veevavault.com/ui/#object/email_activity__v/V8C00000004D104", "EN-002108346")</f>
        <v>EN-002108346</v>
      </c>
    </row>
    <row r="7056" spans="1:15" ht="16" x14ac:dyDescent="0.2">
      <c r="A7056" s="18" t="str">
        <f>HYPERLINK("https://otsuka-europe-crm.veevavault.com/ui/#object/account__v/V4TZ025E85SIQV5", "ISABEL VAZQUEZ-PASTOR JIMENEZ")</f>
        <v>ISABEL VAZQUEZ-PASTOR JIMENEZ</v>
      </c>
      <c r="B7056" s="18" t="str">
        <f>HYPERLINK("https://otsuka-europe-crm.veevavault.com/ui/#object/vcountry__v/VENZ000004SONF5", "ES")</f>
        <v>ES</v>
      </c>
      <c r="C7056" s="20" t="s">
        <v>39</v>
      </c>
      <c r="D7056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56" s="22" t="str">
        <f>HYPERLINK("https://otsuka-europe-crm.veevavault.com/ui/#object/sent_email__v/VBL00000003B110", "SE-001444932")</f>
        <v>SE-001444932</v>
      </c>
      <c r="F7056" s="23"/>
      <c r="G7056" s="24">
        <v>0</v>
      </c>
      <c r="H7056" s="24">
        <v>0</v>
      </c>
      <c r="I7056" s="24">
        <v>1</v>
      </c>
      <c r="J7056" s="25">
        <v>46229.558472222219</v>
      </c>
      <c r="K7056" s="24">
        <v>1</v>
      </c>
      <c r="L7056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56" s="22" t="str">
        <f>HYPERLINK("mailto:oriballo@crm.otsuka-europe.com", "oriballo@crm.otsuka-europe.com")</f>
        <v>oriballo@crm.otsuka-europe.com</v>
      </c>
      <c r="N7056" s="25">
        <v>46227.517581018517</v>
      </c>
      <c r="O7056" s="14" t="str">
        <f>HYPERLINK("https://otsuka-europe-crm.veevavault.com/ui/#object/email_activity__v/V8C00000004D138", "EN-002108405")</f>
        <v>EN-002108405</v>
      </c>
    </row>
    <row r="7057" spans="1:15" ht="16" x14ac:dyDescent="0.2">
      <c r="A7057" s="26"/>
      <c r="B7057" s="26"/>
      <c r="C7057" s="26"/>
      <c r="D7057" s="26"/>
      <c r="E7057" s="26"/>
      <c r="F7057" s="26"/>
      <c r="G7057" s="26"/>
      <c r="H7057" s="26"/>
      <c r="I7057" s="26"/>
      <c r="J7057" s="26"/>
      <c r="K7057" s="26"/>
      <c r="L7057" s="26"/>
      <c r="M7057" s="26"/>
      <c r="N7057" s="26"/>
      <c r="O7057" s="14" t="str">
        <f>HYPERLINK("https://otsuka-europe-crm.veevavault.com/ui/#object/email_activity__v/V8C00000004D398", "EN-002108859")</f>
        <v>EN-002108859</v>
      </c>
    </row>
    <row r="7058" spans="1:15" ht="16" x14ac:dyDescent="0.2">
      <c r="A7058" s="26"/>
      <c r="B7058" s="26"/>
      <c r="C7058" s="26"/>
      <c r="D7058" s="26"/>
      <c r="E7058" s="26"/>
      <c r="F7058" s="26"/>
      <c r="G7058" s="26"/>
      <c r="H7058" s="26"/>
      <c r="I7058" s="26"/>
      <c r="J7058" s="26"/>
      <c r="K7058" s="26"/>
      <c r="L7058" s="26"/>
      <c r="M7058" s="26"/>
      <c r="N7058" s="26"/>
      <c r="O7058" s="14" t="str">
        <f>HYPERLINK("https://otsuka-europe-crm.veevavault.com/ui/#object/email_activity__v/V8C00000004D478", "EN-002109038")</f>
        <v>EN-002109038</v>
      </c>
    </row>
    <row r="7059" spans="1:15" ht="16" x14ac:dyDescent="0.2">
      <c r="A7059" s="26"/>
      <c r="B7059" s="26"/>
      <c r="C7059" s="26"/>
      <c r="D7059" s="26"/>
      <c r="E7059" s="26"/>
      <c r="F7059" s="26"/>
      <c r="G7059" s="26"/>
      <c r="H7059" s="26"/>
      <c r="I7059" s="26"/>
      <c r="J7059" s="26"/>
      <c r="K7059" s="26"/>
      <c r="L7059" s="26"/>
      <c r="M7059" s="26"/>
      <c r="N7059" s="26"/>
      <c r="O7059" s="14" t="str">
        <f>HYPERLINK("https://otsuka-europe-crm.veevavault.com/ui/#object/email_activity__v/V8C00000004E339", "EN-002109033")</f>
        <v>EN-002109033</v>
      </c>
    </row>
    <row r="7060" spans="1:15" ht="16" x14ac:dyDescent="0.2">
      <c r="A7060" s="19"/>
      <c r="B7060" s="19"/>
      <c r="C7060" s="19"/>
      <c r="D7060" s="19"/>
      <c r="E7060" s="19"/>
      <c r="F7060" s="19"/>
      <c r="G7060" s="19"/>
      <c r="H7060" s="19"/>
      <c r="I7060" s="19"/>
      <c r="J7060" s="19"/>
      <c r="K7060" s="19"/>
      <c r="L7060" s="19"/>
      <c r="M7060" s="19"/>
      <c r="N7060" s="19"/>
      <c r="O7060" s="14" t="str">
        <f>HYPERLINK("https://otsuka-europe-crm.veevavault.com/ui/#object/email_activity__v/V8C00000004E340", "EN-002109034")</f>
        <v>EN-002109034</v>
      </c>
    </row>
    <row r="7061" spans="1:15" ht="16" x14ac:dyDescent="0.2">
      <c r="A7061" s="18" t="str">
        <f>HYPERLINK("https://otsuka-europe-crm.veevavault.com/ui/#object/account__v/V4TZ025E85KM84B", "DIANA PAOLA MOSQUERA CEBALLOS")</f>
        <v>DIANA PAOLA MOSQUERA CEBALLOS</v>
      </c>
      <c r="B7061" s="18" t="str">
        <f>HYPERLINK("https://otsuka-europe-crm.veevavault.com/ui/#object/vcountry__v/VENZ000004SONF5", "ES")</f>
        <v>ES</v>
      </c>
      <c r="C7061" s="20" t="s">
        <v>39</v>
      </c>
      <c r="D7061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61" s="22" t="str">
        <f>HYPERLINK("https://otsuka-europe-crm.veevavault.com/ui/#object/sent_email__v/VBL00000003B111", "SE-001444933")</f>
        <v>SE-001444933</v>
      </c>
      <c r="F7061" s="25">
        <v>46231.474131944444</v>
      </c>
      <c r="G7061" s="24">
        <v>1</v>
      </c>
      <c r="H7061" s="24">
        <v>2</v>
      </c>
      <c r="I7061" s="24">
        <v>0</v>
      </c>
      <c r="J7061" s="23"/>
      <c r="K7061" s="24">
        <v>0</v>
      </c>
      <c r="L7061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61" s="22" t="str">
        <f>HYPERLINK("mailto:oriballo@crm.otsuka-europe.com", "oriballo@crm.otsuka-europe.com")</f>
        <v>oriballo@crm.otsuka-europe.com</v>
      </c>
      <c r="N7061" s="25">
        <v>46227.517581018517</v>
      </c>
      <c r="O7061" s="14" t="str">
        <f>HYPERLINK("https://otsuka-europe-crm.veevavault.com/ui/#object/email_activity__v/V8C00000004D146", "EN-002108413")</f>
        <v>EN-002108413</v>
      </c>
    </row>
    <row r="7062" spans="1:15" ht="16" x14ac:dyDescent="0.2">
      <c r="A7062" s="26"/>
      <c r="B7062" s="26"/>
      <c r="C7062" s="26"/>
      <c r="D7062" s="26"/>
      <c r="E7062" s="26"/>
      <c r="F7062" s="26"/>
      <c r="G7062" s="26"/>
      <c r="H7062" s="26"/>
      <c r="I7062" s="26"/>
      <c r="J7062" s="26"/>
      <c r="K7062" s="26"/>
      <c r="L7062" s="26"/>
      <c r="M7062" s="26"/>
      <c r="N7062" s="26"/>
      <c r="O7062" s="14" t="str">
        <f>HYPERLINK("https://otsuka-europe-crm.veevavault.com/ui/#object/email_activity__v/V8C00000004D164", "EN-002108435")</f>
        <v>EN-002108435</v>
      </c>
    </row>
    <row r="7063" spans="1:15" ht="16" x14ac:dyDescent="0.2">
      <c r="A7063" s="26"/>
      <c r="B7063" s="26"/>
      <c r="C7063" s="26"/>
      <c r="D7063" s="26"/>
      <c r="E7063" s="26"/>
      <c r="F7063" s="26"/>
      <c r="G7063" s="26"/>
      <c r="H7063" s="26"/>
      <c r="I7063" s="26"/>
      <c r="J7063" s="26"/>
      <c r="K7063" s="26"/>
      <c r="L7063" s="26"/>
      <c r="M7063" s="26"/>
      <c r="N7063" s="26"/>
      <c r="O7063" s="14" t="str">
        <f>HYPERLINK("https://otsuka-europe-crm.veevavault.com/ui/#object/email_activity__v/V8C00000004E526", "EN-002109393")</f>
        <v>EN-002109393</v>
      </c>
    </row>
    <row r="7064" spans="1:15" ht="16" x14ac:dyDescent="0.2">
      <c r="A7064" s="19"/>
      <c r="B7064" s="19"/>
      <c r="C7064" s="19"/>
      <c r="D7064" s="19"/>
      <c r="E7064" s="19"/>
      <c r="F7064" s="19"/>
      <c r="G7064" s="19"/>
      <c r="H7064" s="19"/>
      <c r="I7064" s="19"/>
      <c r="J7064" s="19"/>
      <c r="K7064" s="19"/>
      <c r="L7064" s="19"/>
      <c r="M7064" s="19"/>
      <c r="N7064" s="19"/>
      <c r="O7064" s="14" t="str">
        <f>HYPERLINK("https://otsuka-europe-crm.veevavault.com/ui/#object/email_activity__v/V8C00000004E641", "EN-002109608")</f>
        <v>EN-002109608</v>
      </c>
    </row>
    <row r="7065" spans="1:15" ht="16" x14ac:dyDescent="0.2">
      <c r="A7065" s="18" t="str">
        <f>HYPERLINK("https://otsuka-europe-crm.veevavault.com/ui/#object/account__v/V4TZ025E85USKRX", "MIGUEL SANCHEZ REY")</f>
        <v>MIGUEL SANCHEZ REY</v>
      </c>
      <c r="B7065" s="18" t="str">
        <f>HYPERLINK("https://otsuka-europe-crm.veevavault.com/ui/#object/vcountry__v/VENZ000004SONF5", "ES")</f>
        <v>ES</v>
      </c>
      <c r="C7065" s="20" t="s">
        <v>39</v>
      </c>
      <c r="D7065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65" s="22" t="str">
        <f>HYPERLINK("https://otsuka-europe-crm.veevavault.com/ui/#object/sent_email__v/VBL00000003B112", "SE-001444934")</f>
        <v>SE-001444934</v>
      </c>
      <c r="F7065" s="25">
        <v>46227.51798611111</v>
      </c>
      <c r="G7065" s="24">
        <v>1</v>
      </c>
      <c r="H7065" s="24">
        <v>1</v>
      </c>
      <c r="I7065" s="24">
        <v>0</v>
      </c>
      <c r="J7065" s="23"/>
      <c r="K7065" s="24">
        <v>0</v>
      </c>
      <c r="L7065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65" s="22" t="str">
        <f>HYPERLINK("mailto:oriballo@crm.otsuka-europe.com", "oriballo@crm.otsuka-europe.com")</f>
        <v>oriballo@crm.otsuka-europe.com</v>
      </c>
      <c r="N7065" s="25">
        <v>46227.517581018517</v>
      </c>
      <c r="O7065" s="14" t="str">
        <f>HYPERLINK("https://otsuka-europe-crm.veevavault.com/ui/#object/email_activity__v/V8C00000004D126", "EN-002108393")</f>
        <v>EN-002108393</v>
      </c>
    </row>
    <row r="7066" spans="1:15" ht="16" x14ac:dyDescent="0.2">
      <c r="A7066" s="19"/>
      <c r="B7066" s="19"/>
      <c r="C7066" s="19"/>
      <c r="D7066" s="19"/>
      <c r="E7066" s="19"/>
      <c r="F7066" s="19"/>
      <c r="G7066" s="19"/>
      <c r="H7066" s="19"/>
      <c r="I7066" s="19"/>
      <c r="J7066" s="19"/>
      <c r="K7066" s="19"/>
      <c r="L7066" s="19"/>
      <c r="M7066" s="19"/>
      <c r="N7066" s="19"/>
      <c r="O7066" s="14" t="str">
        <f>HYPERLINK("https://otsuka-europe-crm.veevavault.com/ui/#object/email_activity__v/V8C00000004D165", "EN-002108436")</f>
        <v>EN-002108436</v>
      </c>
    </row>
    <row r="7067" spans="1:15" ht="16" x14ac:dyDescent="0.2">
      <c r="A7067" s="18" t="str">
        <f>HYPERLINK("https://otsuka-europe-crm.veevavault.com/ui/#object/account__v/V4TZ025E85LKVHT", "ANA CAMILA GONZALEZ TEOMIRO")</f>
        <v>ANA CAMILA GONZALEZ TEOMIRO</v>
      </c>
      <c r="B7067" s="18" t="str">
        <f>HYPERLINK("https://otsuka-europe-crm.veevavault.com/ui/#object/vcountry__v/VENZ000004SONF5", "ES")</f>
        <v>ES</v>
      </c>
      <c r="C7067" s="20" t="s">
        <v>39</v>
      </c>
      <c r="D706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67" s="22" t="str">
        <f>HYPERLINK("https://otsuka-europe-crm.veevavault.com/ui/#object/sent_email__v/VBL00000003B113", "SE-001444935")</f>
        <v>SE-001444935</v>
      </c>
      <c r="F7067" s="25">
        <v>46227.519791666666</v>
      </c>
      <c r="G7067" s="24">
        <v>1</v>
      </c>
      <c r="H7067" s="24">
        <v>1</v>
      </c>
      <c r="I7067" s="24">
        <v>0</v>
      </c>
      <c r="J7067" s="23"/>
      <c r="K7067" s="24">
        <v>0</v>
      </c>
      <c r="L706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67" s="22" t="str">
        <f>HYPERLINK("mailto:oriballo@crm.otsuka-europe.com", "oriballo@crm.otsuka-europe.com")</f>
        <v>oriballo@crm.otsuka-europe.com</v>
      </c>
      <c r="N7067" s="25">
        <v>46227.517581018517</v>
      </c>
      <c r="O7067" s="14" t="str">
        <f>HYPERLINK("https://otsuka-europe-crm.veevavault.com/ui/#object/email_activity__v/V8C00000004D127", "EN-002108394")</f>
        <v>EN-002108394</v>
      </c>
    </row>
    <row r="7068" spans="1:15" ht="16" x14ac:dyDescent="0.2">
      <c r="A7068" s="26"/>
      <c r="B7068" s="26"/>
      <c r="C7068" s="26"/>
      <c r="D7068" s="26"/>
      <c r="E7068" s="26"/>
      <c r="F7068" s="26"/>
      <c r="G7068" s="26"/>
      <c r="H7068" s="26"/>
      <c r="I7068" s="26"/>
      <c r="J7068" s="26"/>
      <c r="K7068" s="26"/>
      <c r="L7068" s="26"/>
      <c r="M7068" s="26"/>
      <c r="N7068" s="26"/>
      <c r="O7068" s="14" t="str">
        <f>HYPERLINK("https://otsuka-europe-crm.veevavault.com/ui/#object/email_activity__v/V8C00000004E081", "EN-002108553")</f>
        <v>EN-002108553</v>
      </c>
    </row>
    <row r="7069" spans="1:15" ht="16" x14ac:dyDescent="0.2">
      <c r="A7069" s="19"/>
      <c r="B7069" s="19"/>
      <c r="C7069" s="19"/>
      <c r="D7069" s="19"/>
      <c r="E7069" s="19"/>
      <c r="F7069" s="19"/>
      <c r="G7069" s="19"/>
      <c r="H7069" s="19"/>
      <c r="I7069" s="19"/>
      <c r="J7069" s="19"/>
      <c r="K7069" s="19"/>
      <c r="L7069" s="19"/>
      <c r="M7069" s="19"/>
      <c r="N7069" s="19"/>
      <c r="O7069" s="14" t="str">
        <f>HYPERLINK("https://otsuka-europe-crm.veevavault.com/ui/#object/email_activity__v/V8C00000004I097", "EN-002111175")</f>
        <v>EN-002111175</v>
      </c>
    </row>
    <row r="7070" spans="1:15" ht="16" x14ac:dyDescent="0.2">
      <c r="A7070" s="18" t="str">
        <f>HYPERLINK("https://otsuka-europe-crm.veevavault.com/ui/#object/account__v/V4TZ025E835MCZF", "CAROLINA LOPEZ-SANTAMARIA CASTRO")</f>
        <v>CAROLINA LOPEZ-SANTAMARIA CASTRO</v>
      </c>
      <c r="B7070" s="18" t="str">
        <f>HYPERLINK("https://otsuka-europe-crm.veevavault.com/ui/#object/vcountry__v/VENZ000004SONF5", "ES")</f>
        <v>ES</v>
      </c>
      <c r="C7070" s="20" t="s">
        <v>39</v>
      </c>
      <c r="D7070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70" s="22" t="str">
        <f>HYPERLINK("https://otsuka-europe-crm.veevavault.com/ui/#object/sent_email__v/VBL00000003B114", "SE-001444936")</f>
        <v>SE-001444936</v>
      </c>
      <c r="F7070" s="23"/>
      <c r="G7070" s="24">
        <v>0</v>
      </c>
      <c r="H7070" s="24">
        <v>0</v>
      </c>
      <c r="I7070" s="24">
        <v>1</v>
      </c>
      <c r="J7070" s="25">
        <v>46228.389305555553</v>
      </c>
      <c r="K7070" s="24">
        <v>1</v>
      </c>
      <c r="L7070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70" s="22" t="str">
        <f>HYPERLINK("mailto:oriballo@crm.otsuka-europe.com", "oriballo@crm.otsuka-europe.com")</f>
        <v>oriballo@crm.otsuka-europe.com</v>
      </c>
      <c r="N7070" s="25">
        <v>46227.517581018517</v>
      </c>
      <c r="O7070" s="14" t="str">
        <f>HYPERLINK("https://otsuka-europe-crm.veevavault.com/ui/#object/email_activity__v/V8C00000004D122", "EN-002108389")</f>
        <v>EN-002108389</v>
      </c>
    </row>
    <row r="7071" spans="1:15" ht="16" x14ac:dyDescent="0.2">
      <c r="A7071" s="26"/>
      <c r="B7071" s="26"/>
      <c r="C7071" s="26"/>
      <c r="D7071" s="26"/>
      <c r="E7071" s="26"/>
      <c r="F7071" s="26"/>
      <c r="G7071" s="26"/>
      <c r="H7071" s="26"/>
      <c r="I7071" s="26"/>
      <c r="J7071" s="26"/>
      <c r="K7071" s="26"/>
      <c r="L7071" s="26"/>
      <c r="M7071" s="26"/>
      <c r="N7071" s="26"/>
      <c r="O7071" s="14" t="str">
        <f>HYPERLINK("https://otsuka-europe-crm.veevavault.com/ui/#object/email_activity__v/V8C00000004D447", "EN-002108974")</f>
        <v>EN-002108974</v>
      </c>
    </row>
    <row r="7072" spans="1:15" ht="16" x14ac:dyDescent="0.2">
      <c r="A7072" s="26"/>
      <c r="B7072" s="26"/>
      <c r="C7072" s="26"/>
      <c r="D7072" s="26"/>
      <c r="E7072" s="26"/>
      <c r="F7072" s="26"/>
      <c r="G7072" s="26"/>
      <c r="H7072" s="26"/>
      <c r="I7072" s="26"/>
      <c r="J7072" s="26"/>
      <c r="K7072" s="26"/>
      <c r="L7072" s="26"/>
      <c r="M7072" s="26"/>
      <c r="N7072" s="26"/>
      <c r="O7072" s="14" t="str">
        <f>HYPERLINK("https://otsuka-europe-crm.veevavault.com/ui/#object/email_activity__v/V8C00000004D452", "EN-002108986")</f>
        <v>EN-002108986</v>
      </c>
    </row>
    <row r="7073" spans="1:15" ht="16" x14ac:dyDescent="0.2">
      <c r="A7073" s="26"/>
      <c r="B7073" s="26"/>
      <c r="C7073" s="26"/>
      <c r="D7073" s="26"/>
      <c r="E7073" s="26"/>
      <c r="F7073" s="26"/>
      <c r="G7073" s="26"/>
      <c r="H7073" s="26"/>
      <c r="I7073" s="26"/>
      <c r="J7073" s="26"/>
      <c r="K7073" s="26"/>
      <c r="L7073" s="26"/>
      <c r="M7073" s="26"/>
      <c r="N7073" s="26"/>
      <c r="O7073" s="14" t="str">
        <f>HYPERLINK("https://otsuka-europe-crm.veevavault.com/ui/#object/email_activity__v/V8C00000004D464", "EN-002109013")</f>
        <v>EN-002109013</v>
      </c>
    </row>
    <row r="7074" spans="1:15" ht="16" x14ac:dyDescent="0.2">
      <c r="A7074" s="26"/>
      <c r="B7074" s="26"/>
      <c r="C7074" s="26"/>
      <c r="D7074" s="26"/>
      <c r="E7074" s="26"/>
      <c r="F7074" s="26"/>
      <c r="G7074" s="26"/>
      <c r="H7074" s="26"/>
      <c r="I7074" s="26"/>
      <c r="J7074" s="26"/>
      <c r="K7074" s="26"/>
      <c r="L7074" s="26"/>
      <c r="M7074" s="26"/>
      <c r="N7074" s="26"/>
      <c r="O7074" s="14" t="str">
        <f>HYPERLINK("https://otsuka-europe-crm.veevavault.com/ui/#object/email_activity__v/V8C00000004E244", "EN-002108862")</f>
        <v>EN-002108862</v>
      </c>
    </row>
    <row r="7075" spans="1:15" ht="16" x14ac:dyDescent="0.2">
      <c r="A7075" s="19"/>
      <c r="B7075" s="19"/>
      <c r="C7075" s="19"/>
      <c r="D7075" s="19"/>
      <c r="E7075" s="19"/>
      <c r="F7075" s="19"/>
      <c r="G7075" s="19"/>
      <c r="H7075" s="19"/>
      <c r="I7075" s="19"/>
      <c r="J7075" s="19"/>
      <c r="K7075" s="19"/>
      <c r="L7075" s="19"/>
      <c r="M7075" s="19"/>
      <c r="N7075" s="19"/>
      <c r="O7075" s="14" t="str">
        <f>HYPERLINK("https://otsuka-europe-crm.veevavault.com/ui/#object/email_activity__v/V8C00000004E308", "EN-002108972")</f>
        <v>EN-002108972</v>
      </c>
    </row>
    <row r="7076" spans="1:15" ht="48" x14ac:dyDescent="0.2">
      <c r="A7076" s="7" t="str">
        <f>HYPERLINK("https://otsuka-europe-crm.veevavault.com/ui/#object/account__v/V4TZ025E8607S0H", "IRENE JARA LOPEZ")</f>
        <v>IRENE JARA LOPEZ</v>
      </c>
      <c r="B7076" s="7" t="str">
        <f>HYPERLINK("https://otsuka-europe-crm.veevavault.com/ui/#object/vcountry__v/VENZ000004SONF5", "ES")</f>
        <v>ES</v>
      </c>
      <c r="C7076" s="8" t="s">
        <v>39</v>
      </c>
      <c r="D7076" s="9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76" s="10" t="str">
        <f>HYPERLINK("https://otsuka-europe-crm.veevavault.com/ui/#object/sent_email__v/VBL00000003B115", "SE-001444937")</f>
        <v>SE-001444937</v>
      </c>
      <c r="F7076" s="11"/>
      <c r="G7076" s="12">
        <v>0</v>
      </c>
      <c r="H7076" s="12">
        <v>0</v>
      </c>
      <c r="I7076" s="12">
        <v>0</v>
      </c>
      <c r="J7076" s="11"/>
      <c r="K7076" s="12">
        <v>0</v>
      </c>
      <c r="L7076" s="10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76" s="10" t="str">
        <f>HYPERLINK("mailto:oriballo@crm.otsuka-europe.com", "oriballo@crm.otsuka-europe.com")</f>
        <v>oriballo@crm.otsuka-europe.com</v>
      </c>
      <c r="N7076" s="13">
        <v>46227.517581018517</v>
      </c>
      <c r="O7076" s="14" t="str">
        <f>HYPERLINK("https://otsuka-europe-crm.veevavault.com/ui/#object/email_activity__v/V8C00000004D129", "EN-002108396")</f>
        <v>EN-002108396</v>
      </c>
    </row>
    <row r="7077" spans="1:15" ht="16" x14ac:dyDescent="0.2">
      <c r="A7077" s="18" t="str">
        <f>HYPERLINK("https://otsuka-europe-crm.veevavault.com/ui/#object/account__v/V4TZ025E85GG0XZ", "ANA VALDIVIELSO LOPEZ")</f>
        <v>ANA VALDIVIELSO LOPEZ</v>
      </c>
      <c r="B7077" s="18" t="str">
        <f>HYPERLINK("https://otsuka-europe-crm.veevavault.com/ui/#object/vcountry__v/VENZ000004SONF5", "ES")</f>
        <v>ES</v>
      </c>
      <c r="C7077" s="20" t="s">
        <v>39</v>
      </c>
      <c r="D7077" s="21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E7077" s="22" t="str">
        <f>HYPERLINK("https://otsuka-europe-crm.veevavault.com/ui/#object/sent_email__v/VBL00000003B116", "SE-001444938")</f>
        <v>SE-001444938</v>
      </c>
      <c r="F7077" s="25">
        <v>46227.518576388888</v>
      </c>
      <c r="G7077" s="24">
        <v>1</v>
      </c>
      <c r="H7077" s="24">
        <v>1</v>
      </c>
      <c r="I7077" s="24">
        <v>0</v>
      </c>
      <c r="J7077" s="23"/>
      <c r="K7077" s="24">
        <v>0</v>
      </c>
      <c r="L7077" s="22" t="str">
        <f>HYPERLINK("https://otsuka-europe-crm.veevavault.com/ui/#object/approved_document__v/V5O00000001X005", "INA - Caso Clínico Dra Sara Garcia (Experiencias con INAQOVI)")</f>
        <v>INA - Caso Clínico Dra Sara Garcia (Experiencias con INAQOVI)</v>
      </c>
      <c r="M7077" s="22" t="str">
        <f>HYPERLINK("mailto:oriballo@crm.otsuka-europe.com", "oriballo@crm.otsuka-europe.com")</f>
        <v>oriballo@crm.otsuka-europe.com</v>
      </c>
      <c r="N7077" s="25">
        <v>46227.517581018517</v>
      </c>
      <c r="O7077" s="14" t="str">
        <f>HYPERLINK("https://otsuka-europe-crm.veevavault.com/ui/#object/email_activity__v/V8C00000004D128", "EN-002108395")</f>
        <v>EN-002108395</v>
      </c>
    </row>
    <row r="7078" spans="1:15" ht="16" x14ac:dyDescent="0.2">
      <c r="A7078" s="19"/>
      <c r="B7078" s="19"/>
      <c r="C7078" s="19"/>
      <c r="D7078" s="19"/>
      <c r="E7078" s="19"/>
      <c r="F7078" s="19"/>
      <c r="G7078" s="19"/>
      <c r="H7078" s="19"/>
      <c r="I7078" s="19"/>
      <c r="J7078" s="19"/>
      <c r="K7078" s="19"/>
      <c r="L7078" s="19"/>
      <c r="M7078" s="19"/>
      <c r="N7078" s="19"/>
      <c r="O7078" s="14" t="str">
        <f>HYPERLINK("https://otsuka-europe-crm.veevavault.com/ui/#object/email_activity__v/V8C00000004D167", "EN-002108439")</f>
        <v>EN-002108439</v>
      </c>
    </row>
    <row r="7079" spans="1:15" ht="16" x14ac:dyDescent="0.2">
      <c r="A7079" s="18" t="str">
        <f>HYPERLINK("https://otsuka-europe-crm.veevavault.com/ui/#object/account__v/V4T000000024062", "SANTIAGO DANS CABALLERO")</f>
        <v>SANTIAGO DANS CABALLERO</v>
      </c>
      <c r="B7079" s="18" t="str">
        <f>HYPERLINK("https://otsuka-europe-crm.veevavault.com/ui/#object/vcountry__v/VENZ000004SONF5", "ES")</f>
        <v>ES</v>
      </c>
      <c r="C7079" s="20" t="s">
        <v>39</v>
      </c>
      <c r="D707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79" s="22" t="str">
        <f>HYPERLINK("https://otsuka-europe-crm.veevavault.com/ui/#object/sent_email__v/VBL00000003B117", "SE-001444939")</f>
        <v>SE-001444939</v>
      </c>
      <c r="F7079" s="25">
        <v>46227.537314814814</v>
      </c>
      <c r="G7079" s="24">
        <v>1</v>
      </c>
      <c r="H7079" s="24">
        <v>2</v>
      </c>
      <c r="I7079" s="24">
        <v>0</v>
      </c>
      <c r="J7079" s="23"/>
      <c r="K7079" s="24">
        <v>0</v>
      </c>
      <c r="L707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79" s="22" t="str">
        <f>HYPERLINK("mailto:oriballo@crm.otsuka-europe.com", "oriballo@crm.otsuka-europe.com")</f>
        <v>oriballo@crm.otsuka-europe.com</v>
      </c>
      <c r="N7079" s="25">
        <v>46227.518726851849</v>
      </c>
      <c r="O7079" s="14" t="str">
        <f>HYPERLINK("https://otsuka-europe-crm.veevavault.com/ui/#object/email_activity__v/V8C00000004D187", "EN-002108466")</f>
        <v>EN-002108466</v>
      </c>
    </row>
    <row r="7080" spans="1:15" ht="16" x14ac:dyDescent="0.2">
      <c r="A7080" s="26"/>
      <c r="B7080" s="26"/>
      <c r="C7080" s="26"/>
      <c r="D7080" s="26"/>
      <c r="E7080" s="26"/>
      <c r="F7080" s="26"/>
      <c r="G7080" s="26"/>
      <c r="H7080" s="26"/>
      <c r="I7080" s="26"/>
      <c r="J7080" s="26"/>
      <c r="K7080" s="26"/>
      <c r="L7080" s="26"/>
      <c r="M7080" s="26"/>
      <c r="N7080" s="26"/>
      <c r="O7080" s="14" t="str">
        <f>HYPERLINK("https://otsuka-europe-crm.veevavault.com/ui/#object/email_activity__v/V8C00000004E125", "EN-002108675")</f>
        <v>EN-002108675</v>
      </c>
    </row>
    <row r="7081" spans="1:15" ht="16" x14ac:dyDescent="0.2">
      <c r="A7081" s="19"/>
      <c r="B7081" s="19"/>
      <c r="C7081" s="19"/>
      <c r="D7081" s="19"/>
      <c r="E7081" s="19"/>
      <c r="F7081" s="19"/>
      <c r="G7081" s="19"/>
      <c r="H7081" s="19"/>
      <c r="I7081" s="19"/>
      <c r="J7081" s="19"/>
      <c r="K7081" s="19"/>
      <c r="L7081" s="19"/>
      <c r="M7081" s="19"/>
      <c r="N7081" s="19"/>
      <c r="O7081" s="14" t="str">
        <f>HYPERLINK("https://otsuka-europe-crm.veevavault.com/ui/#object/email_activity__v/V8C00000004E154", "EN-002108708")</f>
        <v>EN-002108708</v>
      </c>
    </row>
    <row r="7082" spans="1:15" ht="16" x14ac:dyDescent="0.2">
      <c r="A7082" s="18" t="str">
        <f>HYPERLINK("https://otsuka-europe-crm.veevavault.com/ui/#object/account__v/V4TZ04ASGCDG32I", "ANTONIA FERREIRA CONEJO")</f>
        <v>ANTONIA FERREIRA CONEJO</v>
      </c>
      <c r="B7082" s="18" t="str">
        <f>HYPERLINK("https://otsuka-europe-crm.veevavault.com/ui/#object/vcountry__v/VENZ000004SONF5", "ES")</f>
        <v>ES</v>
      </c>
      <c r="C7082" s="20" t="s">
        <v>39</v>
      </c>
      <c r="D708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82" s="22" t="str">
        <f>HYPERLINK("https://otsuka-europe-crm.veevavault.com/ui/#object/sent_email__v/VBL00000003B118", "SE-001444940")</f>
        <v>SE-001444940</v>
      </c>
      <c r="F7082" s="23"/>
      <c r="G7082" s="24">
        <v>0</v>
      </c>
      <c r="H7082" s="24">
        <v>0</v>
      </c>
      <c r="I7082" s="24">
        <v>0</v>
      </c>
      <c r="J7082" s="23"/>
      <c r="K7082" s="24">
        <v>0</v>
      </c>
      <c r="L708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82" s="22" t="str">
        <f>HYPERLINK("mailto:oriballo@crm.otsuka-europe.com", "oriballo@crm.otsuka-europe.com")</f>
        <v>oriballo@crm.otsuka-europe.com</v>
      </c>
      <c r="N7082" s="25">
        <v>46227.518750000003</v>
      </c>
      <c r="O7082" s="14" t="str">
        <f>HYPERLINK("https://otsuka-europe-crm.veevavault.com/ui/#object/email_activity__v/V8C00000004D239", "EN-002108518")</f>
        <v>EN-002108518</v>
      </c>
    </row>
    <row r="7083" spans="1:15" ht="16" x14ac:dyDescent="0.2">
      <c r="A7083" s="26"/>
      <c r="B7083" s="26"/>
      <c r="C7083" s="26"/>
      <c r="D7083" s="26"/>
      <c r="E7083" s="26"/>
      <c r="F7083" s="26"/>
      <c r="G7083" s="26"/>
      <c r="H7083" s="26"/>
      <c r="I7083" s="26"/>
      <c r="J7083" s="26"/>
      <c r="K7083" s="26"/>
      <c r="L7083" s="26"/>
      <c r="M7083" s="26"/>
      <c r="N7083" s="26"/>
      <c r="O7083" s="14" t="str">
        <f>HYPERLINK("https://otsuka-europe-crm.veevavault.com/ui/#object/email_activity__v/V8C00000004D435", "EN-002108952")</f>
        <v>EN-002108952</v>
      </c>
    </row>
    <row r="7084" spans="1:15" ht="16" x14ac:dyDescent="0.2">
      <c r="A7084" s="19"/>
      <c r="B7084" s="19"/>
      <c r="C7084" s="19"/>
      <c r="D7084" s="19"/>
      <c r="E7084" s="19"/>
      <c r="F7084" s="19"/>
      <c r="G7084" s="19"/>
      <c r="H7084" s="19"/>
      <c r="I7084" s="19"/>
      <c r="J7084" s="19"/>
      <c r="K7084" s="19"/>
      <c r="L7084" s="19"/>
      <c r="M7084" s="19"/>
      <c r="N7084" s="19"/>
      <c r="O7084" s="14" t="str">
        <f>HYPERLINK("https://otsuka-europe-crm.veevavault.com/ui/#object/email_activity__v/V8C00000004D454", "EN-002108990")</f>
        <v>EN-002108990</v>
      </c>
    </row>
    <row r="7085" spans="1:15" ht="16" x14ac:dyDescent="0.2">
      <c r="A7085" s="18" t="str">
        <f>HYPERLINK("https://otsuka-europe-crm.veevavault.com/ui/#object/account__v/V4TZ04ASG9962PD", "CARMEN CARRASCO CUBERO")</f>
        <v>CARMEN CARRASCO CUBERO</v>
      </c>
      <c r="B7085" s="18" t="str">
        <f>HYPERLINK("https://otsuka-europe-crm.veevavault.com/ui/#object/vcountry__v/VENZ000004SONF5", "ES")</f>
        <v>ES</v>
      </c>
      <c r="C7085" s="20" t="s">
        <v>39</v>
      </c>
      <c r="D708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85" s="22" t="str">
        <f>HYPERLINK("https://otsuka-europe-crm.veevavault.com/ui/#object/sent_email__v/VBL00000003B119", "SE-001444941")</f>
        <v>SE-001444941</v>
      </c>
      <c r="F7085" s="25">
        <v>46227.693599537037</v>
      </c>
      <c r="G7085" s="24">
        <v>1</v>
      </c>
      <c r="H7085" s="24">
        <v>2</v>
      </c>
      <c r="I7085" s="24">
        <v>1</v>
      </c>
      <c r="J7085" s="25">
        <v>46227.693391203706</v>
      </c>
      <c r="K7085" s="24">
        <v>1</v>
      </c>
      <c r="L708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85" s="22" t="str">
        <f>HYPERLINK("mailto:oriballo@crm.otsuka-europe.com", "oriballo@crm.otsuka-europe.com")</f>
        <v>oriballo@crm.otsuka-europe.com</v>
      </c>
      <c r="N7085" s="25">
        <v>46227.518726851849</v>
      </c>
      <c r="O7085" s="14" t="str">
        <f>HYPERLINK("https://otsuka-europe-crm.veevavault.com/ui/#object/email_activity__v/V8C00000004D191", "EN-002108470")</f>
        <v>EN-002108470</v>
      </c>
    </row>
    <row r="7086" spans="1:15" ht="16" x14ac:dyDescent="0.2">
      <c r="A7086" s="26"/>
      <c r="B7086" s="26"/>
      <c r="C7086" s="26"/>
      <c r="D7086" s="26"/>
      <c r="E7086" s="26"/>
      <c r="F7086" s="26"/>
      <c r="G7086" s="26"/>
      <c r="H7086" s="26"/>
      <c r="I7086" s="26"/>
      <c r="J7086" s="26"/>
      <c r="K7086" s="26"/>
      <c r="L7086" s="26"/>
      <c r="M7086" s="26"/>
      <c r="N7086" s="26"/>
      <c r="O7086" s="14" t="str">
        <f>HYPERLINK("https://otsuka-europe-crm.veevavault.com/ui/#object/email_activity__v/V8C00000004D408", "EN-002108884")</f>
        <v>EN-002108884</v>
      </c>
    </row>
    <row r="7087" spans="1:15" ht="16" x14ac:dyDescent="0.2">
      <c r="A7087" s="26"/>
      <c r="B7087" s="26"/>
      <c r="C7087" s="26"/>
      <c r="D7087" s="26"/>
      <c r="E7087" s="26"/>
      <c r="F7087" s="26"/>
      <c r="G7087" s="26"/>
      <c r="H7087" s="26"/>
      <c r="I7087" s="26"/>
      <c r="J7087" s="26"/>
      <c r="K7087" s="26"/>
      <c r="L7087" s="26"/>
      <c r="M7087" s="26"/>
      <c r="N7087" s="26"/>
      <c r="O7087" s="14" t="str">
        <f>HYPERLINK("https://otsuka-europe-crm.veevavault.com/ui/#object/email_activity__v/V8C00000004E257", "EN-002108882")</f>
        <v>EN-002108882</v>
      </c>
    </row>
    <row r="7088" spans="1:15" ht="16" x14ac:dyDescent="0.2">
      <c r="A7088" s="19"/>
      <c r="B7088" s="19"/>
      <c r="C7088" s="19"/>
      <c r="D7088" s="19"/>
      <c r="E7088" s="19"/>
      <c r="F7088" s="19"/>
      <c r="G7088" s="19"/>
      <c r="H7088" s="19"/>
      <c r="I7088" s="19"/>
      <c r="J7088" s="19"/>
      <c r="K7088" s="19"/>
      <c r="L7088" s="19"/>
      <c r="M7088" s="19"/>
      <c r="N7088" s="19"/>
      <c r="O7088" s="14" t="str">
        <f>HYPERLINK("https://otsuka-europe-crm.veevavault.com/ui/#object/email_activity__v/V8C00000004E258", "EN-002108883")</f>
        <v>EN-002108883</v>
      </c>
    </row>
    <row r="7089" spans="1:15" ht="16" x14ac:dyDescent="0.2">
      <c r="A7089" s="18" t="str">
        <f>HYPERLINK("https://otsuka-europe-crm.veevavault.com/ui/#object/account__v/V4TZ04ASG9RHE5V", "ESTEBAN RUBIO ROMERO")</f>
        <v>ESTEBAN RUBIO ROMERO</v>
      </c>
      <c r="B7089" s="18" t="str">
        <f>HYPERLINK("https://otsuka-europe-crm.veevavault.com/ui/#object/vcountry__v/VENZ000004SONF5", "ES")</f>
        <v>ES</v>
      </c>
      <c r="C7089" s="20" t="s">
        <v>39</v>
      </c>
      <c r="D708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89" s="22" t="str">
        <f>HYPERLINK("https://otsuka-europe-crm.veevavault.com/ui/#object/sent_email__v/VBL00000003B120", "SE-001444942")</f>
        <v>SE-001444942</v>
      </c>
      <c r="F7089" s="23"/>
      <c r="G7089" s="24">
        <v>0</v>
      </c>
      <c r="H7089" s="24">
        <v>0</v>
      </c>
      <c r="I7089" s="24">
        <v>0</v>
      </c>
      <c r="J7089" s="23"/>
      <c r="K7089" s="24">
        <v>0</v>
      </c>
      <c r="L708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89" s="22" t="str">
        <f>HYPERLINK("mailto:oriballo@crm.otsuka-europe.com", "oriballo@crm.otsuka-europe.com")</f>
        <v>oriballo@crm.otsuka-europe.com</v>
      </c>
      <c r="N7089" s="25">
        <v>46227.518726851849</v>
      </c>
      <c r="O7089" s="14" t="str">
        <f>HYPERLINK("https://otsuka-europe-crm.veevavault.com/ui/#object/email_activity__v/V8C00000004D189", "EN-002108468")</f>
        <v>EN-002108468</v>
      </c>
    </row>
    <row r="7090" spans="1:15" ht="16" x14ac:dyDescent="0.2">
      <c r="A7090" s="19"/>
      <c r="B7090" s="19"/>
      <c r="C7090" s="19"/>
      <c r="D7090" s="19"/>
      <c r="E7090" s="19"/>
      <c r="F7090" s="19"/>
      <c r="G7090" s="19"/>
      <c r="H7090" s="19"/>
      <c r="I7090" s="19"/>
      <c r="J7090" s="19"/>
      <c r="K7090" s="19"/>
      <c r="L7090" s="19"/>
      <c r="M7090" s="19"/>
      <c r="N7090" s="19"/>
      <c r="O7090" s="14" t="str">
        <f>HYPERLINK("https://otsuka-europe-crm.veevavault.com/ui/#object/email_activity__v/V8C00000004D252", "EN-002108535")</f>
        <v>EN-002108535</v>
      </c>
    </row>
    <row r="7091" spans="1:15" ht="16" x14ac:dyDescent="0.2">
      <c r="A7091" s="18" t="str">
        <f>HYPERLINK("https://otsuka-europe-crm.veevavault.com/ui/#object/account__v/V4TZ025E831DVXJ", "JULIA UCEDA MONTAÑES")</f>
        <v>JULIA UCEDA MONTAÑES</v>
      </c>
      <c r="B7091" s="18" t="str">
        <f>HYPERLINK("https://otsuka-europe-crm.veevavault.com/ui/#object/vcountry__v/VENZ000004SONF5", "ES")</f>
        <v>ES</v>
      </c>
      <c r="C7091" s="20" t="s">
        <v>39</v>
      </c>
      <c r="D709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91" s="22" t="str">
        <f>HYPERLINK("https://otsuka-europe-crm.veevavault.com/ui/#object/sent_email__v/VBL00000003B121", "SE-001444943")</f>
        <v>SE-001444943</v>
      </c>
      <c r="F7091" s="23"/>
      <c r="G7091" s="24">
        <v>0</v>
      </c>
      <c r="H7091" s="24">
        <v>0</v>
      </c>
      <c r="I7091" s="24">
        <v>0</v>
      </c>
      <c r="J7091" s="23"/>
      <c r="K7091" s="24">
        <v>0</v>
      </c>
      <c r="L709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91" s="22" t="str">
        <f>HYPERLINK("mailto:oriballo@crm.otsuka-europe.com", "oriballo@crm.otsuka-europe.com")</f>
        <v>oriballo@crm.otsuka-europe.com</v>
      </c>
      <c r="N7091" s="25">
        <v>46227.518726851849</v>
      </c>
      <c r="O7091" s="14" t="str">
        <f>HYPERLINK("https://otsuka-europe-crm.veevavault.com/ui/#object/email_activity__v/V8C00000004D179", "EN-002108457")</f>
        <v>EN-002108457</v>
      </c>
    </row>
    <row r="7092" spans="1:15" ht="16" x14ac:dyDescent="0.2">
      <c r="A7092" s="19"/>
      <c r="B7092" s="19"/>
      <c r="C7092" s="19"/>
      <c r="D7092" s="19"/>
      <c r="E7092" s="19"/>
      <c r="F7092" s="19"/>
      <c r="G7092" s="19"/>
      <c r="H7092" s="19"/>
      <c r="I7092" s="19"/>
      <c r="J7092" s="19"/>
      <c r="K7092" s="19"/>
      <c r="L7092" s="19"/>
      <c r="M7092" s="19"/>
      <c r="N7092" s="19"/>
      <c r="O7092" s="14" t="str">
        <f>HYPERLINK("https://otsuka-europe-crm.veevavault.com/ui/#object/email_activity__v/V8C00000004D347", "EN-002108747")</f>
        <v>EN-002108747</v>
      </c>
    </row>
    <row r="7093" spans="1:15" ht="64" x14ac:dyDescent="0.2">
      <c r="A7093" s="7" t="str">
        <f>HYPERLINK("https://otsuka-europe-crm.veevavault.com/ui/#object/account__v/V4TZ04ASGAP1K6A", "SERGIO ANTONIO RODRIGUEZ MONTERO")</f>
        <v>SERGIO ANTONIO RODRIGUEZ MONTERO</v>
      </c>
      <c r="B7093" s="7" t="str">
        <f>HYPERLINK("https://otsuka-europe-crm.veevavault.com/ui/#object/vcountry__v/VENZ000004SONF5", "ES")</f>
        <v>ES</v>
      </c>
      <c r="C7093" s="8" t="s">
        <v>39</v>
      </c>
      <c r="D709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93" s="10" t="str">
        <f>HYPERLINK("https://otsuka-europe-crm.veevavault.com/ui/#object/sent_email__v/VBL00000003B122", "SE-001444944")</f>
        <v>SE-001444944</v>
      </c>
      <c r="F7093" s="11"/>
      <c r="G7093" s="12">
        <v>0</v>
      </c>
      <c r="H7093" s="12">
        <v>0</v>
      </c>
      <c r="I7093" s="12">
        <v>0</v>
      </c>
      <c r="J7093" s="11"/>
      <c r="K7093" s="12">
        <v>0</v>
      </c>
      <c r="L709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93" s="10" t="str">
        <f>HYPERLINK("mailto:oriballo@crm.otsuka-europe.com", "oriballo@crm.otsuka-europe.com")</f>
        <v>oriballo@crm.otsuka-europe.com</v>
      </c>
      <c r="N7093" s="13">
        <v>46227.518726851849</v>
      </c>
      <c r="O7093" s="14" t="str">
        <f>HYPERLINK("https://otsuka-europe-crm.veevavault.com/ui/#object/email_activity__v/V8C00000004D208", "EN-002108487")</f>
        <v>EN-002108487</v>
      </c>
    </row>
    <row r="7094" spans="1:15" ht="16" x14ac:dyDescent="0.2">
      <c r="A7094" s="18" t="str">
        <f>HYPERLINK("https://otsuka-europe-crm.veevavault.com/ui/#object/account__v/V4TZ025E83KCVIA", "JUAN BAUTISTA POVEDANO GOMEZ")</f>
        <v>JUAN BAUTISTA POVEDANO GOMEZ</v>
      </c>
      <c r="B7094" s="18" t="str">
        <f>HYPERLINK("https://otsuka-europe-crm.veevavault.com/ui/#object/vcountry__v/VENZ000004SONF5", "ES")</f>
        <v>ES</v>
      </c>
      <c r="C7094" s="20" t="s">
        <v>39</v>
      </c>
      <c r="D709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94" s="22" t="str">
        <f>HYPERLINK("https://otsuka-europe-crm.veevavault.com/ui/#object/sent_email__v/VBL00000003B123", "SE-001444945")</f>
        <v>SE-001444945</v>
      </c>
      <c r="F7094" s="23"/>
      <c r="G7094" s="24">
        <v>0</v>
      </c>
      <c r="H7094" s="24">
        <v>0</v>
      </c>
      <c r="I7094" s="24">
        <v>0</v>
      </c>
      <c r="J7094" s="23"/>
      <c r="K7094" s="24">
        <v>0</v>
      </c>
      <c r="L709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94" s="22" t="str">
        <f>HYPERLINK("mailto:oriballo@crm.otsuka-europe.com", "oriballo@crm.otsuka-europe.com")</f>
        <v>oriballo@crm.otsuka-europe.com</v>
      </c>
      <c r="N7094" s="25">
        <v>46227.518726851849</v>
      </c>
      <c r="O7094" s="14" t="str">
        <f>HYPERLINK("https://otsuka-europe-crm.veevavault.com/ui/#object/email_activity__v/V8C00000004D173", "EN-002108445")</f>
        <v>EN-002108445</v>
      </c>
    </row>
    <row r="7095" spans="1:15" ht="16" x14ac:dyDescent="0.2">
      <c r="A7095" s="19"/>
      <c r="B7095" s="19"/>
      <c r="C7095" s="19"/>
      <c r="D7095" s="19"/>
      <c r="E7095" s="19"/>
      <c r="F7095" s="19"/>
      <c r="G7095" s="19"/>
      <c r="H7095" s="19"/>
      <c r="I7095" s="19"/>
      <c r="J7095" s="19"/>
      <c r="K7095" s="19"/>
      <c r="L7095" s="19"/>
      <c r="M7095" s="19"/>
      <c r="N7095" s="19"/>
      <c r="O7095" s="14" t="str">
        <f>HYPERLINK("https://otsuka-europe-crm.veevavault.com/ui/#object/email_activity__v/V8C00000004E307", "EN-002108970")</f>
        <v>EN-002108970</v>
      </c>
    </row>
    <row r="7096" spans="1:15" ht="16" x14ac:dyDescent="0.2">
      <c r="A7096" s="18" t="str">
        <f>HYPERLINK("https://otsuka-europe-crm.veevavault.com/ui/#object/account__v/V4TZ04ASG962JNE", "ISABEL GARCIA HERNANDEZ")</f>
        <v>ISABEL GARCIA HERNANDEZ</v>
      </c>
      <c r="B7096" s="18" t="str">
        <f>HYPERLINK("https://otsuka-europe-crm.veevavault.com/ui/#object/vcountry__v/VENZ000004SONF5", "ES")</f>
        <v>ES</v>
      </c>
      <c r="C7096" s="20" t="s">
        <v>39</v>
      </c>
      <c r="D709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96" s="22" t="str">
        <f>HYPERLINK("https://otsuka-europe-crm.veevavault.com/ui/#object/sent_email__v/VBL00000003B124", "SE-001444946")</f>
        <v>SE-001444946</v>
      </c>
      <c r="F7096" s="25">
        <v>46239.407280092593</v>
      </c>
      <c r="G7096" s="24">
        <v>1</v>
      </c>
      <c r="H7096" s="24">
        <v>2</v>
      </c>
      <c r="I7096" s="24">
        <v>0</v>
      </c>
      <c r="J7096" s="23"/>
      <c r="K7096" s="24">
        <v>0</v>
      </c>
      <c r="L709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96" s="22" t="str">
        <f>HYPERLINK("mailto:oriballo@crm.otsuka-europe.com", "oriballo@crm.otsuka-europe.com")</f>
        <v>oriballo@crm.otsuka-europe.com</v>
      </c>
      <c r="N7096" s="25">
        <v>46227.518726851849</v>
      </c>
      <c r="O7096" s="14" t="str">
        <f>HYPERLINK("https://otsuka-europe-crm.veevavault.com/ui/#object/email_activity__v/V8C00000004D207", "EN-002108486")</f>
        <v>EN-002108486</v>
      </c>
    </row>
    <row r="7097" spans="1:15" ht="16" x14ac:dyDescent="0.2">
      <c r="A7097" s="26"/>
      <c r="B7097" s="26"/>
      <c r="C7097" s="26"/>
      <c r="D7097" s="26"/>
      <c r="E7097" s="26"/>
      <c r="F7097" s="26"/>
      <c r="G7097" s="26"/>
      <c r="H7097" s="26"/>
      <c r="I7097" s="26"/>
      <c r="J7097" s="26"/>
      <c r="K7097" s="26"/>
      <c r="L7097" s="26"/>
      <c r="M7097" s="26"/>
      <c r="N7097" s="26"/>
      <c r="O7097" s="14" t="str">
        <f>HYPERLINK("https://otsuka-europe-crm.veevavault.com/ui/#object/email_activity__v/V8C00000004H103", "EN-002111124")</f>
        <v>EN-002111124</v>
      </c>
    </row>
    <row r="7098" spans="1:15" ht="16" x14ac:dyDescent="0.2">
      <c r="A7098" s="19"/>
      <c r="B7098" s="19"/>
      <c r="C7098" s="19"/>
      <c r="D7098" s="19"/>
      <c r="E7098" s="19"/>
      <c r="F7098" s="19"/>
      <c r="G7098" s="19"/>
      <c r="H7098" s="19"/>
      <c r="I7098" s="19"/>
      <c r="J7098" s="19"/>
      <c r="K7098" s="19"/>
      <c r="L7098" s="19"/>
      <c r="M7098" s="19"/>
      <c r="N7098" s="19"/>
      <c r="O7098" s="14" t="str">
        <f>HYPERLINK("https://otsuka-europe-crm.veevavault.com/ui/#object/email_activity__v/V8C00000004H363", "EN-002111585")</f>
        <v>EN-002111585</v>
      </c>
    </row>
    <row r="7099" spans="1:15" ht="64" x14ac:dyDescent="0.2">
      <c r="A7099" s="7" t="str">
        <f>HYPERLINK("https://otsuka-europe-crm.veevavault.com/ui/#object/account__v/V4TZ04ASG9B0RU3", "NOELIA VAZQUEZ FUENTES")</f>
        <v>NOELIA VAZQUEZ FUENTES</v>
      </c>
      <c r="B7099" s="7" t="str">
        <f>HYPERLINK("https://otsuka-europe-crm.veevavault.com/ui/#object/vcountry__v/VENZ000004SONF5", "ES")</f>
        <v>ES</v>
      </c>
      <c r="C7099" s="8" t="s">
        <v>39</v>
      </c>
      <c r="D709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099" s="10" t="str">
        <f>HYPERLINK("https://otsuka-europe-crm.veevavault.com/ui/#object/sent_email__v/VBL00000003B125", "SE-001444947")</f>
        <v>SE-001444947</v>
      </c>
      <c r="F7099" s="11"/>
      <c r="G7099" s="12">
        <v>0</v>
      </c>
      <c r="H7099" s="12">
        <v>0</v>
      </c>
      <c r="I7099" s="12">
        <v>0</v>
      </c>
      <c r="J7099" s="11"/>
      <c r="K7099" s="12">
        <v>0</v>
      </c>
      <c r="L709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099" s="10" t="str">
        <f>HYPERLINK("mailto:oriballo@crm.otsuka-europe.com", "oriballo@crm.otsuka-europe.com")</f>
        <v>oriballo@crm.otsuka-europe.com</v>
      </c>
      <c r="N7099" s="13">
        <v>46227.518726851849</v>
      </c>
      <c r="O7099" s="14" t="str">
        <f>HYPERLINK("https://otsuka-europe-crm.veevavault.com/ui/#object/email_activity__v/V8C00000004D217", "EN-002108496")</f>
        <v>EN-002108496</v>
      </c>
    </row>
    <row r="7100" spans="1:15" ht="64" x14ac:dyDescent="0.2">
      <c r="A7100" s="7" t="str">
        <f>HYPERLINK("https://otsuka-europe-crm.veevavault.com/ui/#object/account__v/V4TZ025E83M9CK0", "CRISTINA FUENTES RODRIGUEZ")</f>
        <v>CRISTINA FUENTES RODRIGUEZ</v>
      </c>
      <c r="B7100" s="7" t="str">
        <f>HYPERLINK("https://otsuka-europe-crm.veevavault.com/ui/#object/vcountry__v/VENZ000004SONF5", "ES")</f>
        <v>ES</v>
      </c>
      <c r="C7100" s="8" t="s">
        <v>39</v>
      </c>
      <c r="D710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00" s="10" t="str">
        <f>HYPERLINK("https://otsuka-europe-crm.veevavault.com/ui/#object/sent_email__v/VBL00000003B126", "SE-001444948")</f>
        <v>SE-001444948</v>
      </c>
      <c r="F7100" s="11"/>
      <c r="G7100" s="12">
        <v>0</v>
      </c>
      <c r="H7100" s="12">
        <v>0</v>
      </c>
      <c r="I7100" s="12">
        <v>0</v>
      </c>
      <c r="J7100" s="11"/>
      <c r="K7100" s="12">
        <v>0</v>
      </c>
      <c r="L710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00" s="10" t="str">
        <f>HYPERLINK("mailto:oriballo@crm.otsuka-europe.com", "oriballo@crm.otsuka-europe.com")</f>
        <v>oriballo@crm.otsuka-europe.com</v>
      </c>
      <c r="N7100" s="13">
        <v>46227.518726851849</v>
      </c>
      <c r="O7100" s="14" t="str">
        <f>HYPERLINK("https://otsuka-europe-crm.veevavault.com/ui/#object/email_activity__v/V8C00000004D216", "EN-002108495")</f>
        <v>EN-002108495</v>
      </c>
    </row>
    <row r="7101" spans="1:15" ht="16" x14ac:dyDescent="0.2">
      <c r="A7101" s="18" t="str">
        <f>HYPERLINK("https://otsuka-europe-crm.veevavault.com/ui/#object/account__v/V4TZ04ASGABZRVI", "CLARA OJEDA GARCIA")</f>
        <v>CLARA OJEDA GARCIA</v>
      </c>
      <c r="B7101" s="18" t="str">
        <f>HYPERLINK("https://otsuka-europe-crm.veevavault.com/ui/#object/vcountry__v/VENZ000004SONF5", "ES")</f>
        <v>ES</v>
      </c>
      <c r="C7101" s="20" t="s">
        <v>39</v>
      </c>
      <c r="D710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01" s="22" t="str">
        <f>HYPERLINK("https://otsuka-europe-crm.veevavault.com/ui/#object/sent_email__v/VBL00000003B127", "SE-001444949")</f>
        <v>SE-001444949</v>
      </c>
      <c r="F7101" s="25">
        <v>46227.584270833337</v>
      </c>
      <c r="G7101" s="24">
        <v>1</v>
      </c>
      <c r="H7101" s="24">
        <v>2</v>
      </c>
      <c r="I7101" s="24">
        <v>0</v>
      </c>
      <c r="J7101" s="23"/>
      <c r="K7101" s="24">
        <v>0</v>
      </c>
      <c r="L710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01" s="22" t="str">
        <f>HYPERLINK("mailto:oriballo@crm.otsuka-europe.com", "oriballo@crm.otsuka-europe.com")</f>
        <v>oriballo@crm.otsuka-europe.com</v>
      </c>
      <c r="N7101" s="25">
        <v>46227.518726851849</v>
      </c>
      <c r="O7101" s="14" t="str">
        <f>HYPERLINK("https://otsuka-europe-crm.veevavault.com/ui/#object/email_activity__v/V8C00000004D199", "EN-002108478")</f>
        <v>EN-002108478</v>
      </c>
    </row>
    <row r="7102" spans="1:15" ht="16" x14ac:dyDescent="0.2">
      <c r="A7102" s="26"/>
      <c r="B7102" s="26"/>
      <c r="C7102" s="26"/>
      <c r="D7102" s="26"/>
      <c r="E7102" s="26"/>
      <c r="F7102" s="26"/>
      <c r="G7102" s="26"/>
      <c r="H7102" s="26"/>
      <c r="I7102" s="26"/>
      <c r="J7102" s="26"/>
      <c r="K7102" s="26"/>
      <c r="L7102" s="26"/>
      <c r="M7102" s="26"/>
      <c r="N7102" s="26"/>
      <c r="O7102" s="14" t="str">
        <f>HYPERLINK("https://otsuka-europe-crm.veevavault.com/ui/#object/email_activity__v/V8C00000004D375", "EN-002108807")</f>
        <v>EN-002108807</v>
      </c>
    </row>
    <row r="7103" spans="1:15" ht="16" x14ac:dyDescent="0.2">
      <c r="A7103" s="26"/>
      <c r="B7103" s="26"/>
      <c r="C7103" s="26"/>
      <c r="D7103" s="26"/>
      <c r="E7103" s="26"/>
      <c r="F7103" s="26"/>
      <c r="G7103" s="26"/>
      <c r="H7103" s="26"/>
      <c r="I7103" s="26"/>
      <c r="J7103" s="26"/>
      <c r="K7103" s="26"/>
      <c r="L7103" s="26"/>
      <c r="M7103" s="26"/>
      <c r="N7103" s="26"/>
      <c r="O7103" s="14" t="str">
        <f>HYPERLINK("https://otsuka-europe-crm.veevavault.com/ui/#object/email_activity__v/V8C00000004D479", "EN-002109039")</f>
        <v>EN-002109039</v>
      </c>
    </row>
    <row r="7104" spans="1:15" ht="16" x14ac:dyDescent="0.2">
      <c r="A7104" s="19"/>
      <c r="B7104" s="19"/>
      <c r="C7104" s="19"/>
      <c r="D7104" s="19"/>
      <c r="E7104" s="19"/>
      <c r="F7104" s="19"/>
      <c r="G7104" s="19"/>
      <c r="H7104" s="19"/>
      <c r="I7104" s="19"/>
      <c r="J7104" s="19"/>
      <c r="K7104" s="19"/>
      <c r="L7104" s="19"/>
      <c r="M7104" s="19"/>
      <c r="N7104" s="19"/>
      <c r="O7104" s="14" t="str">
        <f>HYPERLINK("https://otsuka-europe-crm.veevavault.com/ui/#object/email_activity__v/V8C00000004E215", "EN-002108808")</f>
        <v>EN-002108808</v>
      </c>
    </row>
    <row r="7105" spans="1:15" ht="64" x14ac:dyDescent="0.2">
      <c r="A7105" s="7" t="str">
        <f>HYPERLINK("https://otsuka-europe-crm.veevavault.com/ui/#object/account__v/V4TZ025E82WRAH6", "IGNACIO GOMEZ GARCIA")</f>
        <v>IGNACIO GOMEZ GARCIA</v>
      </c>
      <c r="B7105" s="7" t="str">
        <f>HYPERLINK("https://otsuka-europe-crm.veevavault.com/ui/#object/vcountry__v/VENZ000004SONF5", "ES")</f>
        <v>ES</v>
      </c>
      <c r="C7105" s="8" t="s">
        <v>39</v>
      </c>
      <c r="D710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05" s="10" t="str">
        <f>HYPERLINK("https://otsuka-europe-crm.veevavault.com/ui/#object/sent_email__v/VBL00000003B128", "SE-001444950")</f>
        <v>SE-001444950</v>
      </c>
      <c r="F7105" s="11"/>
      <c r="G7105" s="12">
        <v>0</v>
      </c>
      <c r="H7105" s="12">
        <v>0</v>
      </c>
      <c r="I7105" s="12">
        <v>0</v>
      </c>
      <c r="J7105" s="11"/>
      <c r="K7105" s="12">
        <v>0</v>
      </c>
      <c r="L710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05" s="10" t="str">
        <f>HYPERLINK("mailto:oriballo@crm.otsuka-europe.com", "oriballo@crm.otsuka-europe.com")</f>
        <v>oriballo@crm.otsuka-europe.com</v>
      </c>
      <c r="N7105" s="13">
        <v>46227.518726851849</v>
      </c>
      <c r="O7105" s="14" t="str">
        <f>HYPERLINK("https://otsuka-europe-crm.veevavault.com/ui/#object/email_activity__v/V8C00000004D215", "EN-002108494")</f>
        <v>EN-002108494</v>
      </c>
    </row>
    <row r="7106" spans="1:15" ht="64" x14ac:dyDescent="0.2">
      <c r="A7106" s="7" t="str">
        <f>HYPERLINK("https://otsuka-europe-crm.veevavault.com/ui/#object/account__v/V4TZ04ASGABZRMG", "MARTA MILAGROS LLANES GOMEZ")</f>
        <v>MARTA MILAGROS LLANES GOMEZ</v>
      </c>
      <c r="B7106" s="7" t="str">
        <f>HYPERLINK("https://otsuka-europe-crm.veevavault.com/ui/#object/vcountry__v/VENZ000004SONF5", "ES")</f>
        <v>ES</v>
      </c>
      <c r="C7106" s="8" t="s">
        <v>39</v>
      </c>
      <c r="D710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06" s="10" t="str">
        <f>HYPERLINK("https://otsuka-europe-crm.veevavault.com/ui/#object/sent_email__v/VBL00000003B129", "SE-001444951")</f>
        <v>SE-001444951</v>
      </c>
      <c r="F7106" s="11"/>
      <c r="G7106" s="12">
        <v>0</v>
      </c>
      <c r="H7106" s="12">
        <v>0</v>
      </c>
      <c r="I7106" s="12">
        <v>0</v>
      </c>
      <c r="J7106" s="11"/>
      <c r="K7106" s="12">
        <v>0</v>
      </c>
      <c r="L710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06" s="10" t="str">
        <f>HYPERLINK("mailto:oriballo@crm.otsuka-europe.com", "oriballo@crm.otsuka-europe.com")</f>
        <v>oriballo@crm.otsuka-europe.com</v>
      </c>
      <c r="N7106" s="13">
        <v>46227.518738425926</v>
      </c>
      <c r="O7106" s="14" t="str">
        <f>HYPERLINK("https://otsuka-europe-crm.veevavault.com/ui/#object/email_activity__v/V8C00000004D233", "EN-002108512")</f>
        <v>EN-002108512</v>
      </c>
    </row>
    <row r="7107" spans="1:15" ht="16" x14ac:dyDescent="0.2">
      <c r="A7107" s="18" t="str">
        <f>HYPERLINK("https://otsuka-europe-crm.veevavault.com/ui/#object/account__v/V4TZ04ASGFDCMU4", "DOLORES MENDOZA MENDOZA")</f>
        <v>DOLORES MENDOZA MENDOZA</v>
      </c>
      <c r="B7107" s="18" t="str">
        <f>HYPERLINK("https://otsuka-europe-crm.veevavault.com/ui/#object/vcountry__v/VENZ000004SONF5", "ES")</f>
        <v>ES</v>
      </c>
      <c r="C7107" s="20" t="s">
        <v>39</v>
      </c>
      <c r="D710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07" s="22" t="str">
        <f>HYPERLINK("https://otsuka-europe-crm.veevavault.com/ui/#object/sent_email__v/VBL00000003B130", "SE-001444952")</f>
        <v>SE-001444952</v>
      </c>
      <c r="F7107" s="25">
        <v>46227.521354166667</v>
      </c>
      <c r="G7107" s="24">
        <v>1</v>
      </c>
      <c r="H7107" s="24">
        <v>1</v>
      </c>
      <c r="I7107" s="24">
        <v>0</v>
      </c>
      <c r="J7107" s="23"/>
      <c r="K7107" s="24">
        <v>0</v>
      </c>
      <c r="L710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07" s="22" t="str">
        <f>HYPERLINK("mailto:oriballo@crm.otsuka-europe.com", "oriballo@crm.otsuka-europe.com")</f>
        <v>oriballo@crm.otsuka-europe.com</v>
      </c>
      <c r="N7107" s="25">
        <v>46227.518726851849</v>
      </c>
      <c r="O7107" s="14" t="str">
        <f>HYPERLINK("https://otsuka-europe-crm.veevavault.com/ui/#object/email_activity__v/V8C00000004D223", "EN-002108502")</f>
        <v>EN-002108502</v>
      </c>
    </row>
    <row r="7108" spans="1:15" ht="16" x14ac:dyDescent="0.2">
      <c r="A7108" s="19"/>
      <c r="B7108" s="19"/>
      <c r="C7108" s="19"/>
      <c r="D7108" s="19"/>
      <c r="E7108" s="19"/>
      <c r="F7108" s="19"/>
      <c r="G7108" s="19"/>
      <c r="H7108" s="19"/>
      <c r="I7108" s="19"/>
      <c r="J7108" s="19"/>
      <c r="K7108" s="19"/>
      <c r="L7108" s="19"/>
      <c r="M7108" s="19"/>
      <c r="N7108" s="19"/>
      <c r="O7108" s="14" t="str">
        <f>HYPERLINK("https://otsuka-europe-crm.veevavault.com/ui/#object/email_activity__v/V8C00000004E126", "EN-002108676")</f>
        <v>EN-002108676</v>
      </c>
    </row>
    <row r="7109" spans="1:15" ht="64" x14ac:dyDescent="0.2">
      <c r="A7109" s="7" t="str">
        <f>HYPERLINK("https://otsuka-europe-crm.veevavault.com/ui/#object/account__v/V4TZ04ASG9MA30C", "JUAN JOSE AZNAR SANCHEZ")</f>
        <v>JUAN JOSE AZNAR SANCHEZ</v>
      </c>
      <c r="B7109" s="7" t="str">
        <f>HYPERLINK("https://otsuka-europe-crm.veevavault.com/ui/#object/vcountry__v/VENZ000004SONF5", "ES")</f>
        <v>ES</v>
      </c>
      <c r="C7109" s="8" t="s">
        <v>39</v>
      </c>
      <c r="D710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09" s="10" t="str">
        <f>HYPERLINK("https://otsuka-europe-crm.veevavault.com/ui/#object/sent_email__v/VBL00000003B131", "SE-001444953")</f>
        <v>SE-001444953</v>
      </c>
      <c r="F7109" s="11"/>
      <c r="G7109" s="12">
        <v>0</v>
      </c>
      <c r="H7109" s="12">
        <v>0</v>
      </c>
      <c r="I7109" s="12">
        <v>0</v>
      </c>
      <c r="J7109" s="11"/>
      <c r="K7109" s="12">
        <v>0</v>
      </c>
      <c r="L710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09" s="10" t="str">
        <f>HYPERLINK("mailto:oriballo@crm.otsuka-europe.com", "oriballo@crm.otsuka-europe.com")</f>
        <v>oriballo@crm.otsuka-europe.com</v>
      </c>
      <c r="N7109" s="13">
        <v>46227.518726851849</v>
      </c>
      <c r="O7109" s="14" t="str">
        <f>HYPERLINK("https://otsuka-europe-crm.veevavault.com/ui/#object/email_activity__v/V8C00000004D218", "EN-002108497")</f>
        <v>EN-002108497</v>
      </c>
    </row>
    <row r="7110" spans="1:15" ht="64" x14ac:dyDescent="0.2">
      <c r="A7110" s="7" t="str">
        <f>HYPERLINK("https://otsuka-europe-crm.veevavault.com/ui/#object/account__v/V4TZ04ASGAOW7GB", "MARIA DOLORES TOLEDO COELLO")</f>
        <v>MARIA DOLORES TOLEDO COELLO</v>
      </c>
      <c r="B7110" s="7" t="str">
        <f>HYPERLINK("https://otsuka-europe-crm.veevavault.com/ui/#object/vcountry__v/VENZ000004SONF5", "ES")</f>
        <v>ES</v>
      </c>
      <c r="C7110" s="8" t="s">
        <v>39</v>
      </c>
      <c r="D711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10" s="10" t="str">
        <f>HYPERLINK("https://otsuka-europe-crm.veevavault.com/ui/#object/sent_email__v/VBL00000003B132", "SE-001444954")</f>
        <v>SE-001444954</v>
      </c>
      <c r="F7110" s="11"/>
      <c r="G7110" s="12">
        <v>0</v>
      </c>
      <c r="H7110" s="12">
        <v>0</v>
      </c>
      <c r="I7110" s="12">
        <v>0</v>
      </c>
      <c r="J7110" s="11"/>
      <c r="K7110" s="12">
        <v>0</v>
      </c>
      <c r="L711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10" s="10" t="str">
        <f>HYPERLINK("mailto:oriballo@crm.otsuka-europe.com", "oriballo@crm.otsuka-europe.com")</f>
        <v>oriballo@crm.otsuka-europe.com</v>
      </c>
      <c r="N7110" s="13">
        <v>46227.518750000003</v>
      </c>
      <c r="O7110" s="14" t="str">
        <f>HYPERLINK("https://otsuka-europe-crm.veevavault.com/ui/#object/email_activity__v/V8C00000004D236", "EN-002108515")</f>
        <v>EN-002108515</v>
      </c>
    </row>
    <row r="7111" spans="1:15" ht="16" x14ac:dyDescent="0.2">
      <c r="A7111" s="18" t="str">
        <f>HYPERLINK("https://otsuka-europe-crm.veevavault.com/ui/#object/account__v/V4TZ04ASG9UAT1H", "FERNANDO BERNABE GAMERO RUIZ")</f>
        <v>FERNANDO BERNABE GAMERO RUIZ</v>
      </c>
      <c r="B7111" s="18" t="str">
        <f>HYPERLINK("https://otsuka-europe-crm.veevavault.com/ui/#object/vcountry__v/VENZ000004SONF5", "ES")</f>
        <v>ES</v>
      </c>
      <c r="C7111" s="20" t="s">
        <v>39</v>
      </c>
      <c r="D711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11" s="22" t="str">
        <f>HYPERLINK("https://otsuka-europe-crm.veevavault.com/ui/#object/sent_email__v/VBL00000003B133", "SE-001444955")</f>
        <v>SE-001444955</v>
      </c>
      <c r="F7111" s="25">
        <v>46228.394328703704</v>
      </c>
      <c r="G7111" s="24">
        <v>1</v>
      </c>
      <c r="H7111" s="24">
        <v>2</v>
      </c>
      <c r="I7111" s="24">
        <v>0</v>
      </c>
      <c r="J7111" s="23"/>
      <c r="K7111" s="24">
        <v>0</v>
      </c>
      <c r="L711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11" s="22" t="str">
        <f>HYPERLINK("mailto:oriballo@crm.otsuka-europe.com", "oriballo@crm.otsuka-europe.com")</f>
        <v>oriballo@crm.otsuka-europe.com</v>
      </c>
      <c r="N7111" s="25">
        <v>46227.518726851849</v>
      </c>
      <c r="O7111" s="14" t="str">
        <f>HYPERLINK("https://otsuka-europe-crm.veevavault.com/ui/#object/email_activity__v/V8C00000004D219", "EN-002108498")</f>
        <v>EN-002108498</v>
      </c>
    </row>
    <row r="7112" spans="1:15" ht="16" x14ac:dyDescent="0.2">
      <c r="A7112" s="26"/>
      <c r="B7112" s="26"/>
      <c r="C7112" s="26"/>
      <c r="D7112" s="26"/>
      <c r="E7112" s="26"/>
      <c r="F7112" s="26"/>
      <c r="G7112" s="26"/>
      <c r="H7112" s="26"/>
      <c r="I7112" s="26"/>
      <c r="J7112" s="26"/>
      <c r="K7112" s="26"/>
      <c r="L7112" s="26"/>
      <c r="M7112" s="26"/>
      <c r="N7112" s="26"/>
      <c r="O7112" s="14" t="str">
        <f>HYPERLINK("https://otsuka-europe-crm.veevavault.com/ui/#object/email_activity__v/V8C00000004E220", "EN-002108819")</f>
        <v>EN-002108819</v>
      </c>
    </row>
    <row r="7113" spans="1:15" ht="16" x14ac:dyDescent="0.2">
      <c r="A7113" s="19"/>
      <c r="B7113" s="19"/>
      <c r="C7113" s="19"/>
      <c r="D7113" s="19"/>
      <c r="E7113" s="19"/>
      <c r="F7113" s="19"/>
      <c r="G7113" s="19"/>
      <c r="H7113" s="19"/>
      <c r="I7113" s="19"/>
      <c r="J7113" s="19"/>
      <c r="K7113" s="19"/>
      <c r="L7113" s="19"/>
      <c r="M7113" s="19"/>
      <c r="N7113" s="19"/>
      <c r="O7113" s="14" t="str">
        <f>HYPERLINK("https://otsuka-europe-crm.veevavault.com/ui/#object/email_activity__v/V8C00000004E309", "EN-002108973")</f>
        <v>EN-002108973</v>
      </c>
    </row>
    <row r="7114" spans="1:15" ht="64" x14ac:dyDescent="0.2">
      <c r="A7114" s="7" t="str">
        <f>HYPERLINK("https://otsuka-europe-crm.veevavault.com/ui/#object/account__v/V4TZ025E844GFNL", "ESTHER FERNANDEZ PANADERO")</f>
        <v>ESTHER FERNANDEZ PANADERO</v>
      </c>
      <c r="B7114" s="7" t="str">
        <f>HYPERLINK("https://otsuka-europe-crm.veevavault.com/ui/#object/vcountry__v/VENZ000004SONF5", "ES")</f>
        <v>ES</v>
      </c>
      <c r="C7114" s="8" t="s">
        <v>39</v>
      </c>
      <c r="D711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14" s="10" t="str">
        <f>HYPERLINK("https://otsuka-europe-crm.veevavault.com/ui/#object/sent_email__v/VBL00000003B134", "SE-001444956")</f>
        <v>SE-001444956</v>
      </c>
      <c r="F7114" s="11"/>
      <c r="G7114" s="12">
        <v>0</v>
      </c>
      <c r="H7114" s="12">
        <v>0</v>
      </c>
      <c r="I7114" s="12">
        <v>0</v>
      </c>
      <c r="J7114" s="11"/>
      <c r="K7114" s="12">
        <v>0</v>
      </c>
      <c r="L711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14" s="10" t="str">
        <f>HYPERLINK("mailto:oriballo@crm.otsuka-europe.com", "oriballo@crm.otsuka-europe.com")</f>
        <v>oriballo@crm.otsuka-europe.com</v>
      </c>
      <c r="N7114" s="13">
        <v>46227.518726851849</v>
      </c>
      <c r="O7114" s="14" t="str">
        <f>HYPERLINK("https://otsuka-europe-crm.veevavault.com/ui/#object/email_activity__v/V8C00000004D222", "EN-002108501")</f>
        <v>EN-002108501</v>
      </c>
    </row>
    <row r="7115" spans="1:15" ht="16" x14ac:dyDescent="0.2">
      <c r="A7115" s="18" t="str">
        <f>HYPERLINK("https://otsuka-europe-crm.veevavault.com/ui/#object/account__v/V4TZ025E831DOOE", "RAQUEL HERNANDEZ SANCHEZ")</f>
        <v>RAQUEL HERNANDEZ SANCHEZ</v>
      </c>
      <c r="B7115" s="18" t="str">
        <f>HYPERLINK("https://otsuka-europe-crm.veevavault.com/ui/#object/vcountry__v/VENZ000004SONF5", "ES")</f>
        <v>ES</v>
      </c>
      <c r="C7115" s="20" t="s">
        <v>39</v>
      </c>
      <c r="D711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15" s="22" t="str">
        <f>HYPERLINK("https://otsuka-europe-crm.veevavault.com/ui/#object/sent_email__v/VBL00000003B135", "SE-001444957")</f>
        <v>SE-001444957</v>
      </c>
      <c r="F7115" s="25">
        <v>46227.522152777776</v>
      </c>
      <c r="G7115" s="24">
        <v>1</v>
      </c>
      <c r="H7115" s="24">
        <v>1</v>
      </c>
      <c r="I7115" s="24">
        <v>0</v>
      </c>
      <c r="J7115" s="23"/>
      <c r="K7115" s="24">
        <v>0</v>
      </c>
      <c r="L711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15" s="22" t="str">
        <f>HYPERLINK("mailto:oriballo@crm.otsuka-europe.com", "oriballo@crm.otsuka-europe.com")</f>
        <v>oriballo@crm.otsuka-europe.com</v>
      </c>
      <c r="N7115" s="25">
        <v>46227.518726851849</v>
      </c>
      <c r="O7115" s="14" t="str">
        <f>HYPERLINK("https://otsuka-europe-crm.veevavault.com/ui/#object/email_activity__v/V8C00000004E059", "EN-002108455")</f>
        <v>EN-002108455</v>
      </c>
    </row>
    <row r="7116" spans="1:15" ht="16" x14ac:dyDescent="0.2">
      <c r="A7116" s="26"/>
      <c r="B7116" s="26"/>
      <c r="C7116" s="26"/>
      <c r="D7116" s="26"/>
      <c r="E7116" s="26"/>
      <c r="F7116" s="26"/>
      <c r="G7116" s="26"/>
      <c r="H7116" s="26"/>
      <c r="I7116" s="26"/>
      <c r="J7116" s="26"/>
      <c r="K7116" s="26"/>
      <c r="L7116" s="26"/>
      <c r="M7116" s="26"/>
      <c r="N7116" s="26"/>
      <c r="O7116" s="14" t="str">
        <f>HYPERLINK("https://otsuka-europe-crm.veevavault.com/ui/#object/email_activity__v/V8C00000004E130", "EN-002108680")</f>
        <v>EN-002108680</v>
      </c>
    </row>
    <row r="7117" spans="1:15" ht="16" x14ac:dyDescent="0.2">
      <c r="A7117" s="19"/>
      <c r="B7117" s="19"/>
      <c r="C7117" s="19"/>
      <c r="D7117" s="19"/>
      <c r="E7117" s="19"/>
      <c r="F7117" s="19"/>
      <c r="G7117" s="19"/>
      <c r="H7117" s="19"/>
      <c r="I7117" s="19"/>
      <c r="J7117" s="19"/>
      <c r="K7117" s="19"/>
      <c r="L7117" s="19"/>
      <c r="M7117" s="19"/>
      <c r="N7117" s="19"/>
      <c r="O7117" s="14" t="str">
        <f>HYPERLINK("https://otsuka-europe-crm.veevavault.com/ui/#object/email_activity__v/V8C00000004E396", "EN-002109144")</f>
        <v>EN-002109144</v>
      </c>
    </row>
    <row r="7118" spans="1:15" ht="16" x14ac:dyDescent="0.2">
      <c r="A7118" s="18" t="str">
        <f>HYPERLINK("https://otsuka-europe-crm.veevavault.com/ui/#object/account__v/V4TZ04ASG9UAU4E", "ADELA MARIA GALLEGO FLORES")</f>
        <v>ADELA MARIA GALLEGO FLORES</v>
      </c>
      <c r="B7118" s="18" t="str">
        <f>HYPERLINK("https://otsuka-europe-crm.veevavault.com/ui/#object/vcountry__v/VENZ000004SONF5", "ES")</f>
        <v>ES</v>
      </c>
      <c r="C7118" s="20" t="s">
        <v>39</v>
      </c>
      <c r="D711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18" s="22" t="str">
        <f>HYPERLINK("https://otsuka-europe-crm.veevavault.com/ui/#object/sent_email__v/VBL00000003B136", "SE-001444958")</f>
        <v>SE-001444958</v>
      </c>
      <c r="F7118" s="25">
        <v>46229.374641203707</v>
      </c>
      <c r="G7118" s="24">
        <v>1</v>
      </c>
      <c r="H7118" s="24">
        <v>1</v>
      </c>
      <c r="I7118" s="24">
        <v>0</v>
      </c>
      <c r="J7118" s="23"/>
      <c r="K7118" s="24">
        <v>0</v>
      </c>
      <c r="L711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18" s="22" t="str">
        <f>HYPERLINK("mailto:oriballo@crm.otsuka-europe.com", "oriballo@crm.otsuka-europe.com")</f>
        <v>oriballo@crm.otsuka-europe.com</v>
      </c>
      <c r="N7118" s="25">
        <v>46227.518726851849</v>
      </c>
      <c r="O7118" s="14" t="str">
        <f>HYPERLINK("https://otsuka-europe-crm.veevavault.com/ui/#object/email_activity__v/V8C00000004D181", "EN-002108459")</f>
        <v>EN-002108459</v>
      </c>
    </row>
    <row r="7119" spans="1:15" ht="16" x14ac:dyDescent="0.2">
      <c r="A7119" s="19"/>
      <c r="B7119" s="19"/>
      <c r="C7119" s="19"/>
      <c r="D7119" s="19"/>
      <c r="E7119" s="19"/>
      <c r="F7119" s="19"/>
      <c r="G7119" s="19"/>
      <c r="H7119" s="19"/>
      <c r="I7119" s="19"/>
      <c r="J7119" s="19"/>
      <c r="K7119" s="19"/>
      <c r="L7119" s="19"/>
      <c r="M7119" s="19"/>
      <c r="N7119" s="19"/>
      <c r="O7119" s="14" t="str">
        <f>HYPERLINK("https://otsuka-europe-crm.veevavault.com/ui/#object/email_activity__v/V8C00000004E336", "EN-002109025")</f>
        <v>EN-002109025</v>
      </c>
    </row>
    <row r="7120" spans="1:15" ht="16" x14ac:dyDescent="0.2">
      <c r="A7120" s="18" t="str">
        <f>HYPERLINK("https://otsuka-europe-crm.veevavault.com/ui/#object/account__v/V4TZ04ASGCYP39O", "LAURA ALVAREZ ORTIZ")</f>
        <v>LAURA ALVAREZ ORTIZ</v>
      </c>
      <c r="B7120" s="18" t="str">
        <f>HYPERLINK("https://otsuka-europe-crm.veevavault.com/ui/#object/vcountry__v/VENZ000004SONF5", "ES")</f>
        <v>ES</v>
      </c>
      <c r="C7120" s="20" t="s">
        <v>39</v>
      </c>
      <c r="D712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20" s="22" t="str">
        <f>HYPERLINK("https://otsuka-europe-crm.veevavault.com/ui/#object/sent_email__v/VBL00000003B137", "SE-001444959")</f>
        <v>SE-001444959</v>
      </c>
      <c r="F7120" s="23"/>
      <c r="G7120" s="24">
        <v>0</v>
      </c>
      <c r="H7120" s="24">
        <v>0</v>
      </c>
      <c r="I7120" s="24">
        <v>0</v>
      </c>
      <c r="J7120" s="23"/>
      <c r="K7120" s="24">
        <v>0</v>
      </c>
      <c r="L712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20" s="22" t="str">
        <f>HYPERLINK("mailto:oriballo@crm.otsuka-europe.com", "oriballo@crm.otsuka-europe.com")</f>
        <v>oriballo@crm.otsuka-europe.com</v>
      </c>
      <c r="N7120" s="25">
        <v>46227.518726851849</v>
      </c>
      <c r="O7120" s="14" t="str">
        <f>HYPERLINK("https://otsuka-europe-crm.veevavault.com/ui/#object/email_activity__v/V8C00000004D180", "EN-002108458")</f>
        <v>EN-002108458</v>
      </c>
    </row>
    <row r="7121" spans="1:15" ht="16" x14ac:dyDescent="0.2">
      <c r="A7121" s="19"/>
      <c r="B7121" s="19"/>
      <c r="C7121" s="19"/>
      <c r="D7121" s="19"/>
      <c r="E7121" s="19"/>
      <c r="F7121" s="19"/>
      <c r="G7121" s="19"/>
      <c r="H7121" s="19"/>
      <c r="I7121" s="19"/>
      <c r="J7121" s="19"/>
      <c r="K7121" s="19"/>
      <c r="L7121" s="19"/>
      <c r="M7121" s="19"/>
      <c r="N7121" s="19"/>
      <c r="O7121" s="14" t="str">
        <f>HYPERLINK("https://otsuka-europe-crm.veevavault.com/ui/#object/email_activity__v/V8C00000004E141", "EN-002108693")</f>
        <v>EN-002108693</v>
      </c>
    </row>
    <row r="7122" spans="1:15" ht="16" x14ac:dyDescent="0.2">
      <c r="A7122" s="18" t="str">
        <f>HYPERLINK("https://otsuka-europe-crm.veevavault.com/ui/#object/account__v/V4TZ025E8316MO0", "MINERVA BERROCAL ACEDO")</f>
        <v>MINERVA BERROCAL ACEDO</v>
      </c>
      <c r="B7122" s="18" t="str">
        <f>HYPERLINK("https://otsuka-europe-crm.veevavault.com/ui/#object/vcountry__v/VENZ000004SONF5", "ES")</f>
        <v>ES</v>
      </c>
      <c r="C7122" s="20" t="s">
        <v>39</v>
      </c>
      <c r="D712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22" s="22" t="str">
        <f>HYPERLINK("https://otsuka-europe-crm.veevavault.com/ui/#object/sent_email__v/VBL00000003B138", "SE-001444960")</f>
        <v>SE-001444960</v>
      </c>
      <c r="F7122" s="25">
        <v>46229.275972222225</v>
      </c>
      <c r="G7122" s="24">
        <v>1</v>
      </c>
      <c r="H7122" s="24">
        <v>3</v>
      </c>
      <c r="I7122" s="24">
        <v>0</v>
      </c>
      <c r="J7122" s="23"/>
      <c r="K7122" s="24">
        <v>0</v>
      </c>
      <c r="L712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22" s="22" t="str">
        <f>HYPERLINK("mailto:oriballo@crm.otsuka-europe.com", "oriballo@crm.otsuka-europe.com")</f>
        <v>oriballo@crm.otsuka-europe.com</v>
      </c>
      <c r="N7122" s="25">
        <v>46227.518726851849</v>
      </c>
      <c r="O7122" s="14" t="str">
        <f>HYPERLINK("https://otsuka-europe-crm.veevavault.com/ui/#object/email_activity__v/V8C00000004D214", "EN-002108493")</f>
        <v>EN-002108493</v>
      </c>
    </row>
    <row r="7123" spans="1:15" ht="16" x14ac:dyDescent="0.2">
      <c r="A7123" s="26"/>
      <c r="B7123" s="26"/>
      <c r="C7123" s="26"/>
      <c r="D7123" s="26"/>
      <c r="E7123" s="26"/>
      <c r="F7123" s="26"/>
      <c r="G7123" s="26"/>
      <c r="H7123" s="26"/>
      <c r="I7123" s="26"/>
      <c r="J7123" s="26"/>
      <c r="K7123" s="26"/>
      <c r="L7123" s="26"/>
      <c r="M7123" s="26"/>
      <c r="N7123" s="26"/>
      <c r="O7123" s="14" t="str">
        <f>HYPERLINK("https://otsuka-europe-crm.veevavault.com/ui/#object/email_activity__v/V8C00000004D418", "EN-002108910")</f>
        <v>EN-002108910</v>
      </c>
    </row>
    <row r="7124" spans="1:15" ht="16" x14ac:dyDescent="0.2">
      <c r="A7124" s="26"/>
      <c r="B7124" s="26"/>
      <c r="C7124" s="26"/>
      <c r="D7124" s="26"/>
      <c r="E7124" s="26"/>
      <c r="F7124" s="26"/>
      <c r="G7124" s="26"/>
      <c r="H7124" s="26"/>
      <c r="I7124" s="26"/>
      <c r="J7124" s="26"/>
      <c r="K7124" s="26"/>
      <c r="L7124" s="26"/>
      <c r="M7124" s="26"/>
      <c r="N7124" s="26"/>
      <c r="O7124" s="14" t="str">
        <f>HYPERLINK("https://otsuka-europe-crm.veevavault.com/ui/#object/email_activity__v/V8C00000004E331", "EN-002109012")</f>
        <v>EN-002109012</v>
      </c>
    </row>
    <row r="7125" spans="1:15" ht="16" x14ac:dyDescent="0.2">
      <c r="A7125" s="19"/>
      <c r="B7125" s="19"/>
      <c r="C7125" s="19"/>
      <c r="D7125" s="19"/>
      <c r="E7125" s="19"/>
      <c r="F7125" s="19"/>
      <c r="G7125" s="19"/>
      <c r="H7125" s="19"/>
      <c r="I7125" s="19"/>
      <c r="J7125" s="19"/>
      <c r="K7125" s="19"/>
      <c r="L7125" s="19"/>
      <c r="M7125" s="19"/>
      <c r="N7125" s="19"/>
      <c r="O7125" s="14" t="str">
        <f>HYPERLINK("https://otsuka-europe-crm.veevavault.com/ui/#object/email_activity__v/V8C00000004E334", "EN-002109018")</f>
        <v>EN-002109018</v>
      </c>
    </row>
    <row r="7126" spans="1:15" ht="16" x14ac:dyDescent="0.2">
      <c r="A7126" s="18" t="str">
        <f>HYPERLINK("https://otsuka-europe-crm.veevavault.com/ui/#object/account__v/V4TZ025E831DGT4", "ALVARO ROMAN PEREA")</f>
        <v>ALVARO ROMAN PEREA</v>
      </c>
      <c r="B7126" s="18" t="str">
        <f>HYPERLINK("https://otsuka-europe-crm.veevavault.com/ui/#object/vcountry__v/VENZ000004SONF5", "ES")</f>
        <v>ES</v>
      </c>
      <c r="C7126" s="20" t="s">
        <v>39</v>
      </c>
      <c r="D712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26" s="22" t="str">
        <f>HYPERLINK("https://otsuka-europe-crm.veevavault.com/ui/#object/sent_email__v/VBL00000003B139", "SE-001444961")</f>
        <v>SE-001444961</v>
      </c>
      <c r="F7126" s="25">
        <v>46230.426851851851</v>
      </c>
      <c r="G7126" s="24">
        <v>1</v>
      </c>
      <c r="H7126" s="24">
        <v>2</v>
      </c>
      <c r="I7126" s="24">
        <v>0</v>
      </c>
      <c r="J7126" s="23"/>
      <c r="K7126" s="24">
        <v>0</v>
      </c>
      <c r="L712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26" s="22" t="str">
        <f>HYPERLINK("mailto:oriballo@crm.otsuka-europe.com", "oriballo@crm.otsuka-europe.com")</f>
        <v>oriballo@crm.otsuka-europe.com</v>
      </c>
      <c r="N7126" s="25">
        <v>46227.518726851849</v>
      </c>
      <c r="O7126" s="14" t="str">
        <f>HYPERLINK("https://otsuka-europe-crm.veevavault.com/ui/#object/email_activity__v/V8C00000004D212", "EN-002108491")</f>
        <v>EN-002108491</v>
      </c>
    </row>
    <row r="7127" spans="1:15" ht="16" x14ac:dyDescent="0.2">
      <c r="A7127" s="26"/>
      <c r="B7127" s="26"/>
      <c r="C7127" s="26"/>
      <c r="D7127" s="26"/>
      <c r="E7127" s="26"/>
      <c r="F7127" s="26"/>
      <c r="G7127" s="26"/>
      <c r="H7127" s="26"/>
      <c r="I7127" s="26"/>
      <c r="J7127" s="26"/>
      <c r="K7127" s="26"/>
      <c r="L7127" s="26"/>
      <c r="M7127" s="26"/>
      <c r="N7127" s="26"/>
      <c r="O7127" s="14" t="str">
        <f>HYPERLINK("https://otsuka-europe-crm.veevavault.com/ui/#object/email_activity__v/V8C00000004D502", "EN-002109089")</f>
        <v>EN-002109089</v>
      </c>
    </row>
    <row r="7128" spans="1:15" ht="16" x14ac:dyDescent="0.2">
      <c r="A7128" s="19"/>
      <c r="B7128" s="19"/>
      <c r="C7128" s="19"/>
      <c r="D7128" s="19"/>
      <c r="E7128" s="19"/>
      <c r="F7128" s="19"/>
      <c r="G7128" s="19"/>
      <c r="H7128" s="19"/>
      <c r="I7128" s="19"/>
      <c r="J7128" s="19"/>
      <c r="K7128" s="19"/>
      <c r="L7128" s="19"/>
      <c r="M7128" s="19"/>
      <c r="N7128" s="19"/>
      <c r="O7128" s="14" t="str">
        <f>HYPERLINK("https://otsuka-europe-crm.veevavault.com/ui/#object/email_activity__v/V8C00000004D503", "EN-002109090")</f>
        <v>EN-002109090</v>
      </c>
    </row>
    <row r="7129" spans="1:15" ht="64" x14ac:dyDescent="0.2">
      <c r="A7129" s="7" t="str">
        <f>HYPERLINK("https://otsuka-europe-crm.veevavault.com/ui/#object/account__v/V4TZ025E82C976L", "ROCIO BATURONE BEY")</f>
        <v>ROCIO BATURONE BEY</v>
      </c>
      <c r="B7129" s="7" t="str">
        <f>HYPERLINK("https://otsuka-europe-crm.veevavault.com/ui/#object/vcountry__v/VENZ000004SONF5", "ES")</f>
        <v>ES</v>
      </c>
      <c r="C7129" s="8" t="s">
        <v>39</v>
      </c>
      <c r="D712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29" s="10" t="str">
        <f>HYPERLINK("https://otsuka-europe-crm.veevavault.com/ui/#object/sent_email__v/VBL00000003B140", "SE-001444962")</f>
        <v>SE-001444962</v>
      </c>
      <c r="F7129" s="11"/>
      <c r="G7129" s="12">
        <v>0</v>
      </c>
      <c r="H7129" s="12">
        <v>0</v>
      </c>
      <c r="I7129" s="12">
        <v>0</v>
      </c>
      <c r="J7129" s="11"/>
      <c r="K7129" s="12">
        <v>0</v>
      </c>
      <c r="L712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29" s="10" t="str">
        <f>HYPERLINK("mailto:oriballo@crm.otsuka-europe.com", "oriballo@crm.otsuka-europe.com")</f>
        <v>oriballo@crm.otsuka-europe.com</v>
      </c>
      <c r="N7129" s="13">
        <v>46227.518726851849</v>
      </c>
      <c r="O7129" s="14" t="str">
        <f>HYPERLINK("https://otsuka-europe-crm.veevavault.com/ui/#object/email_activity__v/V8C00000004D188", "EN-002108467")</f>
        <v>EN-002108467</v>
      </c>
    </row>
    <row r="7130" spans="1:15" ht="64" x14ac:dyDescent="0.2">
      <c r="A7130" s="7" t="str">
        <f>HYPERLINK("https://otsuka-europe-crm.veevavault.com/ui/#object/account__v/V4TZ04ASGE0FAPB", "CRISTINA ARCINIEGA LARIOS")</f>
        <v>CRISTINA ARCINIEGA LARIOS</v>
      </c>
      <c r="B7130" s="7" t="str">
        <f>HYPERLINK("https://otsuka-europe-crm.veevavault.com/ui/#object/vcountry__v/VENZ000004SONF5", "ES")</f>
        <v>ES</v>
      </c>
      <c r="C7130" s="8" t="s">
        <v>39</v>
      </c>
      <c r="D713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30" s="10" t="str">
        <f>HYPERLINK("https://otsuka-europe-crm.veevavault.com/ui/#object/sent_email__v/VBL00000003B141", "SE-001444963")</f>
        <v>SE-001444963</v>
      </c>
      <c r="F7130" s="11"/>
      <c r="G7130" s="12">
        <v>0</v>
      </c>
      <c r="H7130" s="12">
        <v>0</v>
      </c>
      <c r="I7130" s="12">
        <v>0</v>
      </c>
      <c r="J7130" s="11"/>
      <c r="K7130" s="12">
        <v>0</v>
      </c>
      <c r="L713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30" s="10" t="str">
        <f>HYPERLINK("mailto:oriballo@crm.otsuka-europe.com", "oriballo@crm.otsuka-europe.com")</f>
        <v>oriballo@crm.otsuka-europe.com</v>
      </c>
      <c r="N7130" s="13">
        <v>46227.518726851849</v>
      </c>
      <c r="O7130" s="14" t="str">
        <f>HYPERLINK("https://otsuka-europe-crm.veevavault.com/ui/#object/email_activity__v/V8C00000004D226", "EN-002108505")</f>
        <v>EN-002108505</v>
      </c>
    </row>
    <row r="7131" spans="1:15" ht="16" x14ac:dyDescent="0.2">
      <c r="A7131" s="18" t="str">
        <f>HYPERLINK("https://otsuka-europe-crm.veevavault.com/ui/#object/account__v/V4TZ06G6OBUD71A", "MARIA ANGELES AGUIRRE ZAMORANO")</f>
        <v>MARIA ANGELES AGUIRRE ZAMORANO</v>
      </c>
      <c r="B7131" s="18" t="str">
        <f>HYPERLINK("https://otsuka-europe-crm.veevavault.com/ui/#object/vcountry__v/VENZ000004SONF5", "ES")</f>
        <v>ES</v>
      </c>
      <c r="C7131" s="20" t="s">
        <v>39</v>
      </c>
      <c r="D713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31" s="22" t="str">
        <f>HYPERLINK("https://otsuka-europe-crm.veevavault.com/ui/#object/sent_email__v/VBL00000003B142", "SE-001444964")</f>
        <v>SE-001444964</v>
      </c>
      <c r="F7131" s="25">
        <v>46227.518831018519</v>
      </c>
      <c r="G7131" s="24">
        <v>1</v>
      </c>
      <c r="H7131" s="24">
        <v>1</v>
      </c>
      <c r="I7131" s="24">
        <v>0</v>
      </c>
      <c r="J7131" s="23"/>
      <c r="K7131" s="24">
        <v>0</v>
      </c>
      <c r="L713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31" s="22" t="str">
        <f>HYPERLINK("mailto:oriballo@crm.otsuka-europe.com", "oriballo@crm.otsuka-europe.com")</f>
        <v>oriballo@crm.otsuka-europe.com</v>
      </c>
      <c r="N7131" s="25">
        <v>46227.518726851849</v>
      </c>
      <c r="O7131" s="14" t="str">
        <f>HYPERLINK("https://otsuka-europe-crm.veevavault.com/ui/#object/email_activity__v/V8C00000004D205", "EN-002108484")</f>
        <v>EN-002108484</v>
      </c>
    </row>
    <row r="7132" spans="1:15" ht="16" x14ac:dyDescent="0.2">
      <c r="A7132" s="26"/>
      <c r="B7132" s="26"/>
      <c r="C7132" s="26"/>
      <c r="D7132" s="26"/>
      <c r="E7132" s="26"/>
      <c r="F7132" s="26"/>
      <c r="G7132" s="26"/>
      <c r="H7132" s="26"/>
      <c r="I7132" s="26"/>
      <c r="J7132" s="26"/>
      <c r="K7132" s="26"/>
      <c r="L7132" s="26"/>
      <c r="M7132" s="26"/>
      <c r="N7132" s="26"/>
      <c r="O7132" s="14" t="str">
        <f>HYPERLINK("https://otsuka-europe-crm.veevavault.com/ui/#object/email_activity__v/V8C00000004D220", "EN-002108499")</f>
        <v>EN-002108499</v>
      </c>
    </row>
    <row r="7133" spans="1:15" ht="16" x14ac:dyDescent="0.2">
      <c r="A7133" s="19"/>
      <c r="B7133" s="19"/>
      <c r="C7133" s="19"/>
      <c r="D7133" s="19"/>
      <c r="E7133" s="19"/>
      <c r="F7133" s="19"/>
      <c r="G7133" s="19"/>
      <c r="H7133" s="19"/>
      <c r="I7133" s="19"/>
      <c r="J7133" s="19"/>
      <c r="K7133" s="19"/>
      <c r="L7133" s="19"/>
      <c r="M7133" s="19"/>
      <c r="N7133" s="19"/>
      <c r="O7133" s="14" t="str">
        <f>HYPERLINK("https://otsuka-europe-crm.veevavault.com/ui/#object/email_activity__v/V8C00000004E213", "EN-002108803")</f>
        <v>EN-002108803</v>
      </c>
    </row>
    <row r="7134" spans="1:15" ht="16" x14ac:dyDescent="0.2">
      <c r="A7134" s="18" t="str">
        <f>HYPERLINK("https://otsuka-europe-crm.veevavault.com/ui/#object/account__v/V4TZ04ASGB4NL97", "JORGE CABEZON DOMINGUEZ")</f>
        <v>JORGE CABEZON DOMINGUEZ</v>
      </c>
      <c r="B7134" s="18" t="str">
        <f>HYPERLINK("https://otsuka-europe-crm.veevavault.com/ui/#object/vcountry__v/VENZ000004SONF5", "ES")</f>
        <v>ES</v>
      </c>
      <c r="C7134" s="20" t="s">
        <v>39</v>
      </c>
      <c r="D713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34" s="22" t="str">
        <f>HYPERLINK("https://otsuka-europe-crm.veevavault.com/ui/#object/sent_email__v/VBL00000003B143", "SE-001444965")</f>
        <v>SE-001444965</v>
      </c>
      <c r="F7134" s="23"/>
      <c r="G7134" s="24">
        <v>0</v>
      </c>
      <c r="H7134" s="24">
        <v>0</v>
      </c>
      <c r="I7134" s="24">
        <v>0</v>
      </c>
      <c r="J7134" s="23"/>
      <c r="K7134" s="24">
        <v>0</v>
      </c>
      <c r="L713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34" s="22" t="str">
        <f>HYPERLINK("mailto:oriballo@crm.otsuka-europe.com", "oriballo@crm.otsuka-europe.com")</f>
        <v>oriballo@crm.otsuka-europe.com</v>
      </c>
      <c r="N7134" s="25">
        <v>46227.518726851849</v>
      </c>
      <c r="O7134" s="14" t="str">
        <f>HYPERLINK("https://otsuka-europe-crm.veevavault.com/ui/#object/email_activity__v/V8C00000004E055", "EN-002108451")</f>
        <v>EN-002108451</v>
      </c>
    </row>
    <row r="7135" spans="1:15" ht="16" x14ac:dyDescent="0.2">
      <c r="A7135" s="19"/>
      <c r="B7135" s="19"/>
      <c r="C7135" s="19"/>
      <c r="D7135" s="19"/>
      <c r="E7135" s="19"/>
      <c r="F7135" s="19"/>
      <c r="G7135" s="19"/>
      <c r="H7135" s="19"/>
      <c r="I7135" s="19"/>
      <c r="J7135" s="19"/>
      <c r="K7135" s="19"/>
      <c r="L7135" s="19"/>
      <c r="M7135" s="19"/>
      <c r="N7135" s="19"/>
      <c r="O7135" s="14" t="str">
        <f>HYPERLINK("https://otsuka-europe-crm.veevavault.com/ui/#object/email_activity__v/V8C00000004E322", "EN-002108998")</f>
        <v>EN-002108998</v>
      </c>
    </row>
    <row r="7136" spans="1:15" ht="16" x14ac:dyDescent="0.2">
      <c r="A7136" s="18" t="str">
        <f>HYPERLINK("https://otsuka-europe-crm.veevavault.com/ui/#object/account__v/V4TZ025E846HVN4", "ROCIO GUERRA VERA")</f>
        <v>ROCIO GUERRA VERA</v>
      </c>
      <c r="B7136" s="18" t="str">
        <f>HYPERLINK("https://otsuka-europe-crm.veevavault.com/ui/#object/vcountry__v/VENZ000004SONF5", "ES")</f>
        <v>ES</v>
      </c>
      <c r="C7136" s="20" t="s">
        <v>39</v>
      </c>
      <c r="D713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36" s="22" t="str">
        <f>HYPERLINK("https://otsuka-europe-crm.veevavault.com/ui/#object/sent_email__v/VBL00000003B144", "SE-001444966")</f>
        <v>SE-001444966</v>
      </c>
      <c r="F7136" s="23"/>
      <c r="G7136" s="24">
        <v>0</v>
      </c>
      <c r="H7136" s="24">
        <v>0</v>
      </c>
      <c r="I7136" s="24">
        <v>0</v>
      </c>
      <c r="J7136" s="23"/>
      <c r="K7136" s="24">
        <v>0</v>
      </c>
      <c r="L713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36" s="22" t="str">
        <f>HYPERLINK("mailto:oriballo@crm.otsuka-europe.com", "oriballo@crm.otsuka-europe.com")</f>
        <v>oriballo@crm.otsuka-europe.com</v>
      </c>
      <c r="N7136" s="25">
        <v>46227.518726851849</v>
      </c>
      <c r="O7136" s="14" t="str">
        <f>HYPERLINK("https://otsuka-europe-crm.veevavault.com/ui/#object/email_activity__v/V8C00000004D229", "EN-002108508")</f>
        <v>EN-002108508</v>
      </c>
    </row>
    <row r="7137" spans="1:15" ht="16" x14ac:dyDescent="0.2">
      <c r="A7137" s="19"/>
      <c r="B7137" s="19"/>
      <c r="C7137" s="19"/>
      <c r="D7137" s="19"/>
      <c r="E7137" s="19"/>
      <c r="F7137" s="19"/>
      <c r="G7137" s="19"/>
      <c r="H7137" s="19"/>
      <c r="I7137" s="19"/>
      <c r="J7137" s="19"/>
      <c r="K7137" s="19"/>
      <c r="L7137" s="19"/>
      <c r="M7137" s="19"/>
      <c r="N7137" s="19"/>
      <c r="O7137" s="14" t="str">
        <f>HYPERLINK("https://otsuka-europe-crm.veevavault.com/ui/#object/email_activity__v/V8C00000004D405", "EN-002108872")</f>
        <v>EN-002108872</v>
      </c>
    </row>
    <row r="7138" spans="1:15" ht="16" x14ac:dyDescent="0.2">
      <c r="A7138" s="18" t="str">
        <f>HYPERLINK("https://otsuka-europe-crm.veevavault.com/ui/#object/account__v/V4TZ04ASGABZRYE", "ALBERTO MARIANO RUIZ ROMAN")</f>
        <v>ALBERTO MARIANO RUIZ ROMAN</v>
      </c>
      <c r="B7138" s="18" t="str">
        <f>HYPERLINK("https://otsuka-europe-crm.veevavault.com/ui/#object/vcountry__v/VENZ000004SONF5", "ES")</f>
        <v>ES</v>
      </c>
      <c r="C7138" s="20" t="s">
        <v>39</v>
      </c>
      <c r="D713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38" s="22" t="str">
        <f>HYPERLINK("https://otsuka-europe-crm.veevavault.com/ui/#object/sent_email__v/VBL00000003B145", "SE-001444967")</f>
        <v>SE-001444967</v>
      </c>
      <c r="F7138" s="25">
        <v>46231.218460648146</v>
      </c>
      <c r="G7138" s="24">
        <v>1</v>
      </c>
      <c r="H7138" s="24">
        <v>5</v>
      </c>
      <c r="I7138" s="24">
        <v>0</v>
      </c>
      <c r="J7138" s="23"/>
      <c r="K7138" s="24">
        <v>0</v>
      </c>
      <c r="L713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38" s="22" t="str">
        <f>HYPERLINK("mailto:oriballo@crm.otsuka-europe.com", "oriballo@crm.otsuka-europe.com")</f>
        <v>oriballo@crm.otsuka-europe.com</v>
      </c>
      <c r="N7138" s="25">
        <v>46227.518726851849</v>
      </c>
      <c r="O7138" s="14" t="str">
        <f>HYPERLINK("https://otsuka-europe-crm.veevavault.com/ui/#object/email_activity__v/V8C00000004D176", "EN-002108448")</f>
        <v>EN-002108448</v>
      </c>
    </row>
    <row r="7139" spans="1:15" ht="16" x14ac:dyDescent="0.2">
      <c r="A7139" s="26"/>
      <c r="B7139" s="26"/>
      <c r="C7139" s="26"/>
      <c r="D7139" s="26"/>
      <c r="E7139" s="26"/>
      <c r="F7139" s="26"/>
      <c r="G7139" s="26"/>
      <c r="H7139" s="26"/>
      <c r="I7139" s="26"/>
      <c r="J7139" s="26"/>
      <c r="K7139" s="26"/>
      <c r="L7139" s="26"/>
      <c r="M7139" s="26"/>
      <c r="N7139" s="26"/>
      <c r="O7139" s="14" t="str">
        <f>HYPERLINK("https://otsuka-europe-crm.veevavault.com/ui/#object/email_activity__v/V8C00000004D362", "EN-002108772")</f>
        <v>EN-002108772</v>
      </c>
    </row>
    <row r="7140" spans="1:15" ht="16" x14ac:dyDescent="0.2">
      <c r="A7140" s="26"/>
      <c r="B7140" s="26"/>
      <c r="C7140" s="26"/>
      <c r="D7140" s="26"/>
      <c r="E7140" s="26"/>
      <c r="F7140" s="26"/>
      <c r="G7140" s="26"/>
      <c r="H7140" s="26"/>
      <c r="I7140" s="26"/>
      <c r="J7140" s="26"/>
      <c r="K7140" s="26"/>
      <c r="L7140" s="26"/>
      <c r="M7140" s="26"/>
      <c r="N7140" s="26"/>
      <c r="O7140" s="14" t="str">
        <f>HYPERLINK("https://otsuka-europe-crm.veevavault.com/ui/#object/email_activity__v/V8C00000004E151", "EN-002108705")</f>
        <v>EN-002108705</v>
      </c>
    </row>
    <row r="7141" spans="1:15" ht="16" x14ac:dyDescent="0.2">
      <c r="A7141" s="26"/>
      <c r="B7141" s="26"/>
      <c r="C7141" s="26"/>
      <c r="D7141" s="26"/>
      <c r="E7141" s="26"/>
      <c r="F7141" s="26"/>
      <c r="G7141" s="26"/>
      <c r="H7141" s="26"/>
      <c r="I7141" s="26"/>
      <c r="J7141" s="26"/>
      <c r="K7141" s="26"/>
      <c r="L7141" s="26"/>
      <c r="M7141" s="26"/>
      <c r="N7141" s="26"/>
      <c r="O7141" s="14" t="str">
        <f>HYPERLINK("https://otsuka-europe-crm.veevavault.com/ui/#object/email_activity__v/V8C00000004E193", "EN-002108773")</f>
        <v>EN-002108773</v>
      </c>
    </row>
    <row r="7142" spans="1:15" ht="16" x14ac:dyDescent="0.2">
      <c r="A7142" s="26"/>
      <c r="B7142" s="26"/>
      <c r="C7142" s="26"/>
      <c r="D7142" s="26"/>
      <c r="E7142" s="26"/>
      <c r="F7142" s="26"/>
      <c r="G7142" s="26"/>
      <c r="H7142" s="26"/>
      <c r="I7142" s="26"/>
      <c r="J7142" s="26"/>
      <c r="K7142" s="26"/>
      <c r="L7142" s="26"/>
      <c r="M7142" s="26"/>
      <c r="N7142" s="26"/>
      <c r="O7142" s="14" t="str">
        <f>HYPERLINK("https://otsuka-europe-crm.veevavault.com/ui/#object/email_activity__v/V8C00000004E291", "EN-002108935")</f>
        <v>EN-002108935</v>
      </c>
    </row>
    <row r="7143" spans="1:15" ht="16" x14ac:dyDescent="0.2">
      <c r="A7143" s="19"/>
      <c r="B7143" s="19"/>
      <c r="C7143" s="19"/>
      <c r="D7143" s="19"/>
      <c r="E7143" s="19"/>
      <c r="F7143" s="19"/>
      <c r="G7143" s="19"/>
      <c r="H7143" s="19"/>
      <c r="I7143" s="19"/>
      <c r="J7143" s="19"/>
      <c r="K7143" s="19"/>
      <c r="L7143" s="19"/>
      <c r="M7143" s="19"/>
      <c r="N7143" s="19"/>
      <c r="O7143" s="14" t="str">
        <f>HYPERLINK("https://otsuka-europe-crm.veevavault.com/ui/#object/email_activity__v/V8C00000004E400", "EN-002109148")</f>
        <v>EN-002109148</v>
      </c>
    </row>
    <row r="7144" spans="1:15" ht="16" x14ac:dyDescent="0.2">
      <c r="A7144" s="18" t="str">
        <f>HYPERLINK("https://otsuka-europe-crm.veevavault.com/ui/#object/account__v/V4TZ04ASGEOMJX5", "GONZALO MARIA JURADO QUIJANO")</f>
        <v>GONZALO MARIA JURADO QUIJANO</v>
      </c>
      <c r="B7144" s="18" t="str">
        <f>HYPERLINK("https://otsuka-europe-crm.veevavault.com/ui/#object/vcountry__v/VENZ000004SONF5", "ES")</f>
        <v>ES</v>
      </c>
      <c r="C7144" s="20" t="s">
        <v>39</v>
      </c>
      <c r="D714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44" s="22" t="str">
        <f>HYPERLINK("https://otsuka-europe-crm.veevavault.com/ui/#object/sent_email__v/VBL00000003B146", "SE-001444968")</f>
        <v>SE-001444968</v>
      </c>
      <c r="F7144" s="25">
        <v>46227.713703703703</v>
      </c>
      <c r="G7144" s="24">
        <v>1</v>
      </c>
      <c r="H7144" s="24">
        <v>2</v>
      </c>
      <c r="I7144" s="24">
        <v>0</v>
      </c>
      <c r="J7144" s="23"/>
      <c r="K7144" s="24">
        <v>0</v>
      </c>
      <c r="L714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44" s="22" t="str">
        <f>HYPERLINK("mailto:oriballo@crm.otsuka-europe.com", "oriballo@crm.otsuka-europe.com")</f>
        <v>oriballo@crm.otsuka-europe.com</v>
      </c>
      <c r="N7144" s="25">
        <v>46227.518726851849</v>
      </c>
      <c r="O7144" s="14" t="str">
        <f>HYPERLINK("https://otsuka-europe-crm.veevavault.com/ui/#object/email_activity__v/V8C00000004D251", "EN-002108534")</f>
        <v>EN-002108534</v>
      </c>
    </row>
    <row r="7145" spans="1:15" ht="16" x14ac:dyDescent="0.2">
      <c r="A7145" s="26"/>
      <c r="B7145" s="26"/>
      <c r="C7145" s="26"/>
      <c r="D7145" s="26"/>
      <c r="E7145" s="26"/>
      <c r="F7145" s="26"/>
      <c r="G7145" s="26"/>
      <c r="H7145" s="26"/>
      <c r="I7145" s="26"/>
      <c r="J7145" s="26"/>
      <c r="K7145" s="26"/>
      <c r="L7145" s="26"/>
      <c r="M7145" s="26"/>
      <c r="N7145" s="26"/>
      <c r="O7145" s="14" t="str">
        <f>HYPERLINK("https://otsuka-europe-crm.veevavault.com/ui/#object/email_activity__v/V8C00000004E056", "EN-002108452")</f>
        <v>EN-002108452</v>
      </c>
    </row>
    <row r="7146" spans="1:15" ht="16" x14ac:dyDescent="0.2">
      <c r="A7146" s="26"/>
      <c r="B7146" s="26"/>
      <c r="C7146" s="26"/>
      <c r="D7146" s="26"/>
      <c r="E7146" s="26"/>
      <c r="F7146" s="26"/>
      <c r="G7146" s="26"/>
      <c r="H7146" s="26"/>
      <c r="I7146" s="26"/>
      <c r="J7146" s="26"/>
      <c r="K7146" s="26"/>
      <c r="L7146" s="26"/>
      <c r="M7146" s="26"/>
      <c r="N7146" s="26"/>
      <c r="O7146" s="14" t="str">
        <f>HYPERLINK("https://otsuka-europe-crm.veevavault.com/ui/#object/email_activity__v/V8C00000004E266", "EN-002108899")</f>
        <v>EN-002108899</v>
      </c>
    </row>
    <row r="7147" spans="1:15" ht="16" x14ac:dyDescent="0.2">
      <c r="A7147" s="19"/>
      <c r="B7147" s="19"/>
      <c r="C7147" s="19"/>
      <c r="D7147" s="19"/>
      <c r="E7147" s="19"/>
      <c r="F7147" s="19"/>
      <c r="G7147" s="19"/>
      <c r="H7147" s="19"/>
      <c r="I7147" s="19"/>
      <c r="J7147" s="19"/>
      <c r="K7147" s="19"/>
      <c r="L7147" s="19"/>
      <c r="M7147" s="19"/>
      <c r="N7147" s="19"/>
      <c r="O7147" s="14" t="str">
        <f>HYPERLINK("https://otsuka-europe-crm.veevavault.com/ui/#object/email_activity__v/V8C00000004E315", "EN-002108982")</f>
        <v>EN-002108982</v>
      </c>
    </row>
    <row r="7148" spans="1:15" ht="64" x14ac:dyDescent="0.2">
      <c r="A7148" s="7" t="str">
        <f>HYPERLINK("https://otsuka-europe-crm.veevavault.com/ui/#object/account__v/V4TZ04ASGEOMJX4", "MARIA CARMEN TRAPERO PEREZ")</f>
        <v>MARIA CARMEN TRAPERO PEREZ</v>
      </c>
      <c r="B7148" s="7" t="str">
        <f>HYPERLINK("https://otsuka-europe-crm.veevavault.com/ui/#object/vcountry__v/VENZ000004SONF5", "ES")</f>
        <v>ES</v>
      </c>
      <c r="C7148" s="8" t="s">
        <v>39</v>
      </c>
      <c r="D714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48" s="10" t="str">
        <f>HYPERLINK("https://otsuka-europe-crm.veevavault.com/ui/#object/sent_email__v/VBL00000003B147", "SE-001444969")</f>
        <v>SE-001444969</v>
      </c>
      <c r="F7148" s="11"/>
      <c r="G7148" s="12">
        <v>0</v>
      </c>
      <c r="H7148" s="12">
        <v>0</v>
      </c>
      <c r="I7148" s="12">
        <v>0</v>
      </c>
      <c r="J7148" s="11"/>
      <c r="K7148" s="12">
        <v>0</v>
      </c>
      <c r="L714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48" s="10" t="str">
        <f>HYPERLINK("mailto:oriballo@crm.otsuka-europe.com", "oriballo@crm.otsuka-europe.com")</f>
        <v>oriballo@crm.otsuka-europe.com</v>
      </c>
      <c r="N7148" s="13">
        <v>46227.518726851849</v>
      </c>
      <c r="O7148" s="14" t="str">
        <f>HYPERLINK("https://otsuka-europe-crm.veevavault.com/ui/#object/email_activity__v/V8C00000004D221", "EN-002108500")</f>
        <v>EN-002108500</v>
      </c>
    </row>
    <row r="7149" spans="1:15" ht="16" x14ac:dyDescent="0.2">
      <c r="A7149" s="18" t="str">
        <f>HYPERLINK("https://otsuka-europe-crm.veevavault.com/ui/#object/account__v/V4TZ04ASGBXE2TB", "PURA CLARA AGUILERA CROS")</f>
        <v>PURA CLARA AGUILERA CROS</v>
      </c>
      <c r="B7149" s="18" t="str">
        <f>HYPERLINK("https://otsuka-europe-crm.veevavault.com/ui/#object/vcountry__v/VENZ000004SONF5", "ES")</f>
        <v>ES</v>
      </c>
      <c r="C7149" s="20" t="s">
        <v>39</v>
      </c>
      <c r="D714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49" s="22" t="str">
        <f>HYPERLINK("https://otsuka-europe-crm.veevavault.com/ui/#object/sent_email__v/VBL00000003B148", "SE-001444970")</f>
        <v>SE-001444970</v>
      </c>
      <c r="F7149" s="25">
        <v>46227.692118055558</v>
      </c>
      <c r="G7149" s="24">
        <v>1</v>
      </c>
      <c r="H7149" s="24">
        <v>1</v>
      </c>
      <c r="I7149" s="24">
        <v>0</v>
      </c>
      <c r="J7149" s="23"/>
      <c r="K7149" s="24">
        <v>0</v>
      </c>
      <c r="L714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49" s="22" t="str">
        <f>HYPERLINK("mailto:oriballo@crm.otsuka-europe.com", "oriballo@crm.otsuka-europe.com")</f>
        <v>oriballo@crm.otsuka-europe.com</v>
      </c>
      <c r="N7149" s="25">
        <v>46227.518726851849</v>
      </c>
      <c r="O7149" s="14" t="str">
        <f>HYPERLINK("https://otsuka-europe-crm.veevavault.com/ui/#object/email_activity__v/V8C00000004D202", "EN-002108481")</f>
        <v>EN-002108481</v>
      </c>
    </row>
    <row r="7150" spans="1:15" ht="16" x14ac:dyDescent="0.2">
      <c r="A7150" s="19"/>
      <c r="B7150" s="19"/>
      <c r="C7150" s="19"/>
      <c r="D7150" s="19"/>
      <c r="E7150" s="19"/>
      <c r="F7150" s="19"/>
      <c r="G7150" s="19"/>
      <c r="H7150" s="19"/>
      <c r="I7150" s="19"/>
      <c r="J7150" s="19"/>
      <c r="K7150" s="19"/>
      <c r="L7150" s="19"/>
      <c r="M7150" s="19"/>
      <c r="N7150" s="19"/>
      <c r="O7150" s="14" t="str">
        <f>HYPERLINK("https://otsuka-europe-crm.veevavault.com/ui/#object/email_activity__v/V8C00000004E256", "EN-002108881")</f>
        <v>EN-002108881</v>
      </c>
    </row>
    <row r="7151" spans="1:15" ht="64" x14ac:dyDescent="0.2">
      <c r="A7151" s="7" t="str">
        <f>HYPERLINK("https://otsuka-europe-crm.veevavault.com/ui/#object/account__v/V4TZ04ASG9ZE9OR", "VIRGINIA MOREIRA NAVARRETE")</f>
        <v>VIRGINIA MOREIRA NAVARRETE</v>
      </c>
      <c r="B7151" s="7" t="str">
        <f>HYPERLINK("https://otsuka-europe-crm.veevavault.com/ui/#object/vcountry__v/VENZ000004SONF5", "ES")</f>
        <v>ES</v>
      </c>
      <c r="C7151" s="8" t="s">
        <v>39</v>
      </c>
      <c r="D715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51" s="10" t="str">
        <f>HYPERLINK("https://otsuka-europe-crm.veevavault.com/ui/#object/sent_email__v/VBL00000003B149", "SE-001444971")</f>
        <v>SE-001444971</v>
      </c>
      <c r="F7151" s="11"/>
      <c r="G7151" s="12">
        <v>0</v>
      </c>
      <c r="H7151" s="12">
        <v>0</v>
      </c>
      <c r="I7151" s="12">
        <v>0</v>
      </c>
      <c r="J7151" s="11"/>
      <c r="K7151" s="12">
        <v>0</v>
      </c>
      <c r="L715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51" s="10" t="str">
        <f>HYPERLINK("mailto:oriballo@crm.otsuka-europe.com", "oriballo@crm.otsuka-europe.com")</f>
        <v>oriballo@crm.otsuka-europe.com</v>
      </c>
      <c r="N7151" s="13">
        <v>46227.518726851849</v>
      </c>
      <c r="O7151" s="14" t="str">
        <f>HYPERLINK("https://otsuka-europe-crm.veevavault.com/ui/#object/email_activity__v/V8C00000004E057", "EN-002108453")</f>
        <v>EN-002108453</v>
      </c>
    </row>
    <row r="7152" spans="1:15" ht="16" x14ac:dyDescent="0.2">
      <c r="A7152" s="18" t="str">
        <f>HYPERLINK("https://otsuka-europe-crm.veevavault.com/ui/#object/account__v/V4TZ04ASGBJBWCU", "LUIS MARIA JIMENEZ LIÑAN")</f>
        <v>LUIS MARIA JIMENEZ LIÑAN</v>
      </c>
      <c r="B7152" s="18" t="str">
        <f>HYPERLINK("https://otsuka-europe-crm.veevavault.com/ui/#object/vcountry__v/VENZ000004SONF5", "ES")</f>
        <v>ES</v>
      </c>
      <c r="C7152" s="20" t="s">
        <v>39</v>
      </c>
      <c r="D715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52" s="22" t="str">
        <f>HYPERLINK("https://otsuka-europe-crm.veevavault.com/ui/#object/sent_email__v/VBL00000003B150", "SE-001444972")</f>
        <v>SE-001444972</v>
      </c>
      <c r="F7152" s="25">
        <v>46228.720648148148</v>
      </c>
      <c r="G7152" s="24">
        <v>1</v>
      </c>
      <c r="H7152" s="24">
        <v>1</v>
      </c>
      <c r="I7152" s="24">
        <v>0</v>
      </c>
      <c r="J7152" s="23"/>
      <c r="K7152" s="24">
        <v>0</v>
      </c>
      <c r="L715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52" s="22" t="str">
        <f>HYPERLINK("mailto:oriballo@crm.otsuka-europe.com", "oriballo@crm.otsuka-europe.com")</f>
        <v>oriballo@crm.otsuka-europe.com</v>
      </c>
      <c r="N7152" s="25">
        <v>46227.518726851849</v>
      </c>
      <c r="O7152" s="14" t="str">
        <f>HYPERLINK("https://otsuka-europe-crm.veevavault.com/ui/#object/email_activity__v/V8C00000004D210", "EN-002108489")</f>
        <v>EN-002108489</v>
      </c>
    </row>
    <row r="7153" spans="1:15" ht="16" x14ac:dyDescent="0.2">
      <c r="A7153" s="19"/>
      <c r="B7153" s="19"/>
      <c r="C7153" s="19"/>
      <c r="D7153" s="19"/>
      <c r="E7153" s="19"/>
      <c r="F7153" s="19"/>
      <c r="G7153" s="19"/>
      <c r="H7153" s="19"/>
      <c r="I7153" s="19"/>
      <c r="J7153" s="19"/>
      <c r="K7153" s="19"/>
      <c r="L7153" s="19"/>
      <c r="M7153" s="19"/>
      <c r="N7153" s="19"/>
      <c r="O7153" s="14" t="str">
        <f>HYPERLINK("https://otsuka-europe-crm.veevavault.com/ui/#object/email_activity__v/V8C00000004E321", "EN-002108997")</f>
        <v>EN-002108997</v>
      </c>
    </row>
    <row r="7154" spans="1:15" ht="16" x14ac:dyDescent="0.2">
      <c r="A7154" s="18" t="str">
        <f>HYPERLINK("https://otsuka-europe-crm.veevavault.com/ui/#object/account__v/V4TZ025E82C94V8", "INMACULADA MACIAS FERNANDEZ")</f>
        <v>INMACULADA MACIAS FERNANDEZ</v>
      </c>
      <c r="B7154" s="18" t="str">
        <f>HYPERLINK("https://otsuka-europe-crm.veevavault.com/ui/#object/vcountry__v/VENZ000004SONF5", "ES")</f>
        <v>ES</v>
      </c>
      <c r="C7154" s="20" t="s">
        <v>39</v>
      </c>
      <c r="D715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54" s="22" t="str">
        <f>HYPERLINK("https://otsuka-europe-crm.veevavault.com/ui/#object/sent_email__v/VBL00000003B151", "SE-001444973")</f>
        <v>SE-001444973</v>
      </c>
      <c r="F7154" s="25">
        <v>46227.660277777781</v>
      </c>
      <c r="G7154" s="24">
        <v>1</v>
      </c>
      <c r="H7154" s="24">
        <v>2</v>
      </c>
      <c r="I7154" s="24">
        <v>0</v>
      </c>
      <c r="J7154" s="23"/>
      <c r="K7154" s="24">
        <v>0</v>
      </c>
      <c r="L715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54" s="22" t="str">
        <f>HYPERLINK("mailto:oriballo@crm.otsuka-europe.com", "oriballo@crm.otsuka-europe.com")</f>
        <v>oriballo@crm.otsuka-europe.com</v>
      </c>
      <c r="N7154" s="25">
        <v>46227.518726851849</v>
      </c>
      <c r="O7154" s="14" t="str">
        <f>HYPERLINK("https://otsuka-europe-crm.veevavault.com/ui/#object/email_activity__v/V8C00000004D224", "EN-002108503")</f>
        <v>EN-002108503</v>
      </c>
    </row>
    <row r="7155" spans="1:15" ht="16" x14ac:dyDescent="0.2">
      <c r="A7155" s="26"/>
      <c r="B7155" s="26"/>
      <c r="C7155" s="26"/>
      <c r="D7155" s="26"/>
      <c r="E7155" s="26"/>
      <c r="F7155" s="26"/>
      <c r="G7155" s="26"/>
      <c r="H7155" s="26"/>
      <c r="I7155" s="26"/>
      <c r="J7155" s="26"/>
      <c r="K7155" s="26"/>
      <c r="L7155" s="26"/>
      <c r="M7155" s="26"/>
      <c r="N7155" s="26"/>
      <c r="O7155" s="14" t="str">
        <f>HYPERLINK("https://otsuka-europe-crm.veevavault.com/ui/#object/email_activity__v/V8C00000004E242", "EN-002108857")</f>
        <v>EN-002108857</v>
      </c>
    </row>
    <row r="7156" spans="1:15" ht="16" x14ac:dyDescent="0.2">
      <c r="A7156" s="19"/>
      <c r="B7156" s="19"/>
      <c r="C7156" s="19"/>
      <c r="D7156" s="19"/>
      <c r="E7156" s="19"/>
      <c r="F7156" s="19"/>
      <c r="G7156" s="19"/>
      <c r="H7156" s="19"/>
      <c r="I7156" s="19"/>
      <c r="J7156" s="19"/>
      <c r="K7156" s="19"/>
      <c r="L7156" s="19"/>
      <c r="M7156" s="19"/>
      <c r="N7156" s="19"/>
      <c r="O7156" s="14" t="str">
        <f>HYPERLINK("https://otsuka-europe-crm.veevavault.com/ui/#object/email_activity__v/V8C00000004E243", "EN-002108858")</f>
        <v>EN-002108858</v>
      </c>
    </row>
    <row r="7157" spans="1:15" ht="64" x14ac:dyDescent="0.2">
      <c r="A7157" s="7" t="str">
        <f>HYPERLINK("https://otsuka-europe-crm.veevavault.com/ui/#object/account__v/V4TZ025E833OBLN", "ELOY DELGADO VITAL")</f>
        <v>ELOY DELGADO VITAL</v>
      </c>
      <c r="B7157" s="7" t="str">
        <f>HYPERLINK("https://otsuka-europe-crm.veevavault.com/ui/#object/vcountry__v/VENZ000004SONF5", "ES")</f>
        <v>ES</v>
      </c>
      <c r="C7157" s="8" t="s">
        <v>39</v>
      </c>
      <c r="D715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57" s="10" t="str">
        <f>HYPERLINK("https://otsuka-europe-crm.veevavault.com/ui/#object/sent_email__v/VBL00000003B152", "SE-001444974")</f>
        <v>SE-001444974</v>
      </c>
      <c r="F7157" s="11"/>
      <c r="G7157" s="12">
        <v>0</v>
      </c>
      <c r="H7157" s="12">
        <v>0</v>
      </c>
      <c r="I7157" s="12">
        <v>0</v>
      </c>
      <c r="J7157" s="11"/>
      <c r="K7157" s="12">
        <v>0</v>
      </c>
      <c r="L715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57" s="10" t="str">
        <f>HYPERLINK("mailto:oriballo@crm.otsuka-europe.com", "oriballo@crm.otsuka-europe.com")</f>
        <v>oriballo@crm.otsuka-europe.com</v>
      </c>
      <c r="N7157" s="13">
        <v>46227.518726851849</v>
      </c>
      <c r="O7157" s="14" t="str">
        <f>HYPERLINK("https://otsuka-europe-crm.veevavault.com/ui/#object/email_activity__v/V8C00000004D193", "EN-002108472")</f>
        <v>EN-002108472</v>
      </c>
    </row>
    <row r="7158" spans="1:15" ht="16" x14ac:dyDescent="0.2">
      <c r="A7158" s="18" t="str">
        <f>HYPERLINK("https://otsuka-europe-crm.veevavault.com/ui/#object/account__v/V4TZ04ASG9ZSH2X", "ALBA PEREZ LINAZA")</f>
        <v>ALBA PEREZ LINAZA</v>
      </c>
      <c r="B7158" s="18" t="str">
        <f>HYPERLINK("https://otsuka-europe-crm.veevavault.com/ui/#object/vcountry__v/VENZ000004SONF5", "ES")</f>
        <v>ES</v>
      </c>
      <c r="C7158" s="20" t="s">
        <v>39</v>
      </c>
      <c r="D715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58" s="22" t="str">
        <f>HYPERLINK("https://otsuka-europe-crm.veevavault.com/ui/#object/sent_email__v/VBL00000003B153", "SE-001444975")</f>
        <v>SE-001444975</v>
      </c>
      <c r="F7158" s="23"/>
      <c r="G7158" s="24">
        <v>0</v>
      </c>
      <c r="H7158" s="24">
        <v>0</v>
      </c>
      <c r="I7158" s="24">
        <v>0</v>
      </c>
      <c r="J7158" s="23"/>
      <c r="K7158" s="24">
        <v>0</v>
      </c>
      <c r="L715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58" s="22" t="str">
        <f>HYPERLINK("mailto:oriballo@crm.otsuka-europe.com", "oriballo@crm.otsuka-europe.com")</f>
        <v>oriballo@crm.otsuka-europe.com</v>
      </c>
      <c r="N7158" s="25">
        <v>46227.518726851849</v>
      </c>
      <c r="O7158" s="14" t="str">
        <f>HYPERLINK("https://otsuka-europe-crm.veevavault.com/ui/#object/email_activity__v/V8C00000004D197", "EN-002108476")</f>
        <v>EN-002108476</v>
      </c>
    </row>
    <row r="7159" spans="1:15" ht="16" x14ac:dyDescent="0.2">
      <c r="A7159" s="19"/>
      <c r="B7159" s="19"/>
      <c r="C7159" s="19"/>
      <c r="D7159" s="19"/>
      <c r="E7159" s="19"/>
      <c r="F7159" s="19"/>
      <c r="G7159" s="19"/>
      <c r="H7159" s="19"/>
      <c r="I7159" s="19"/>
      <c r="J7159" s="19"/>
      <c r="K7159" s="19"/>
      <c r="L7159" s="19"/>
      <c r="M7159" s="19"/>
      <c r="N7159" s="19"/>
      <c r="O7159" s="14" t="str">
        <f>HYPERLINK("https://otsuka-europe-crm.veevavault.com/ui/#object/email_activity__v/V8C00000004E337", "EN-002109026")</f>
        <v>EN-002109026</v>
      </c>
    </row>
    <row r="7160" spans="1:15" ht="64" x14ac:dyDescent="0.2">
      <c r="A7160" s="7" t="str">
        <f>HYPERLINK("https://otsuka-europe-crm.veevavault.com/ui/#object/account__v/V4TZ04ASGB98DHF", "ROSARIO CABEZA RODRIGUEZ")</f>
        <v>ROSARIO CABEZA RODRIGUEZ</v>
      </c>
      <c r="B7160" s="7" t="str">
        <f>HYPERLINK("https://otsuka-europe-crm.veevavault.com/ui/#object/vcountry__v/VENZ000004SONF5", "ES")</f>
        <v>ES</v>
      </c>
      <c r="C7160" s="8" t="s">
        <v>39</v>
      </c>
      <c r="D7160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60" s="10" t="str">
        <f>HYPERLINK("https://otsuka-europe-crm.veevavault.com/ui/#object/sent_email__v/VBL00000003B154", "SE-001444976")</f>
        <v>SE-001444976</v>
      </c>
      <c r="F7160" s="11"/>
      <c r="G7160" s="12">
        <v>0</v>
      </c>
      <c r="H7160" s="12">
        <v>0</v>
      </c>
      <c r="I7160" s="12">
        <v>0</v>
      </c>
      <c r="J7160" s="11"/>
      <c r="K7160" s="12">
        <v>0</v>
      </c>
      <c r="L7160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60" s="10" t="str">
        <f>HYPERLINK("mailto:oriballo@crm.otsuka-europe.com", "oriballo@crm.otsuka-europe.com")</f>
        <v>oriballo@crm.otsuka-europe.com</v>
      </c>
      <c r="N7160" s="13">
        <v>46227.518726851849</v>
      </c>
      <c r="O7160" s="14" t="str">
        <f>HYPERLINK("https://otsuka-europe-crm.veevavault.com/ui/#object/email_activity__v/V8C00000004D225", "EN-002108504")</f>
        <v>EN-002108504</v>
      </c>
    </row>
    <row r="7161" spans="1:15" ht="16" x14ac:dyDescent="0.2">
      <c r="A7161" s="18" t="str">
        <f>HYPERLINK("https://otsuka-europe-crm.veevavault.com/ui/#object/account__v/V4TZ025E831720W", "CELIA AZABAL PEREZ")</f>
        <v>CELIA AZABAL PEREZ</v>
      </c>
      <c r="B7161" s="18" t="str">
        <f>HYPERLINK("https://otsuka-europe-crm.veevavault.com/ui/#object/vcountry__v/VENZ000004SONF5", "ES")</f>
        <v>ES</v>
      </c>
      <c r="C7161" s="20" t="s">
        <v>39</v>
      </c>
      <c r="D716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61" s="22" t="str">
        <f>HYPERLINK("https://otsuka-europe-crm.veevavault.com/ui/#object/sent_email__v/VBL00000003B155", "SE-001444977")</f>
        <v>SE-001444977</v>
      </c>
      <c r="F7161" s="25">
        <v>46227.734571759262</v>
      </c>
      <c r="G7161" s="24">
        <v>1</v>
      </c>
      <c r="H7161" s="24">
        <v>2</v>
      </c>
      <c r="I7161" s="24">
        <v>0</v>
      </c>
      <c r="J7161" s="23"/>
      <c r="K7161" s="24">
        <v>0</v>
      </c>
      <c r="L716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61" s="22" t="str">
        <f>HYPERLINK("mailto:oriballo@crm.otsuka-europe.com", "oriballo@crm.otsuka-europe.com")</f>
        <v>oriballo@crm.otsuka-europe.com</v>
      </c>
      <c r="N7161" s="25">
        <v>46227.518726851849</v>
      </c>
      <c r="O7161" s="14" t="str">
        <f>HYPERLINK("https://otsuka-europe-crm.veevavault.com/ui/#object/email_activity__v/V8C00000004D200", "EN-002108479")</f>
        <v>EN-002108479</v>
      </c>
    </row>
    <row r="7162" spans="1:15" ht="16" x14ac:dyDescent="0.2">
      <c r="A7162" s="26"/>
      <c r="B7162" s="26"/>
      <c r="C7162" s="26"/>
      <c r="D7162" s="26"/>
      <c r="E7162" s="26"/>
      <c r="F7162" s="26"/>
      <c r="G7162" s="26"/>
      <c r="H7162" s="26"/>
      <c r="I7162" s="26"/>
      <c r="J7162" s="26"/>
      <c r="K7162" s="26"/>
      <c r="L7162" s="26"/>
      <c r="M7162" s="26"/>
      <c r="N7162" s="26"/>
      <c r="O7162" s="14" t="str">
        <f>HYPERLINK("https://otsuka-europe-crm.veevavault.com/ui/#object/email_activity__v/V8C00000004D463", "EN-002109011")</f>
        <v>EN-002109011</v>
      </c>
    </row>
    <row r="7163" spans="1:15" ht="16" x14ac:dyDescent="0.2">
      <c r="A7163" s="26"/>
      <c r="B7163" s="26"/>
      <c r="C7163" s="26"/>
      <c r="D7163" s="26"/>
      <c r="E7163" s="26"/>
      <c r="F7163" s="26"/>
      <c r="G7163" s="26"/>
      <c r="H7163" s="26"/>
      <c r="I7163" s="26"/>
      <c r="J7163" s="26"/>
      <c r="K7163" s="26"/>
      <c r="L7163" s="26"/>
      <c r="M7163" s="26"/>
      <c r="N7163" s="26"/>
      <c r="O7163" s="14" t="str">
        <f>HYPERLINK("https://otsuka-europe-crm.veevavault.com/ui/#object/email_activity__v/V8C00000004E133", "EN-002108683")</f>
        <v>EN-002108683</v>
      </c>
    </row>
    <row r="7164" spans="1:15" ht="16" x14ac:dyDescent="0.2">
      <c r="A7164" s="19"/>
      <c r="B7164" s="19"/>
      <c r="C7164" s="19"/>
      <c r="D7164" s="19"/>
      <c r="E7164" s="19"/>
      <c r="F7164" s="19"/>
      <c r="G7164" s="19"/>
      <c r="H7164" s="19"/>
      <c r="I7164" s="19"/>
      <c r="J7164" s="19"/>
      <c r="K7164" s="19"/>
      <c r="L7164" s="19"/>
      <c r="M7164" s="19"/>
      <c r="N7164" s="19"/>
      <c r="O7164" s="14" t="str">
        <f>HYPERLINK("https://otsuka-europe-crm.veevavault.com/ui/#object/email_activity__v/V8C00000004E271", "EN-002108905")</f>
        <v>EN-002108905</v>
      </c>
    </row>
    <row r="7165" spans="1:15" ht="64" x14ac:dyDescent="0.2">
      <c r="A7165" s="7" t="str">
        <f>HYPERLINK("https://otsuka-europe-crm.veevavault.com/ui/#object/account__v/V4TZ04ASG995L7Y", "JOSE LUIS ALVAREZ VEGA")</f>
        <v>JOSE LUIS ALVAREZ VEGA</v>
      </c>
      <c r="B7165" s="7" t="str">
        <f>HYPERLINK("https://otsuka-europe-crm.veevavault.com/ui/#object/vcountry__v/VENZ000004SONF5", "ES")</f>
        <v>ES</v>
      </c>
      <c r="C7165" s="8" t="s">
        <v>39</v>
      </c>
      <c r="D716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65" s="10" t="str">
        <f>HYPERLINK("https://otsuka-europe-crm.veevavault.com/ui/#object/sent_email__v/VBL00000003B156", "SE-001444978")</f>
        <v>SE-001444978</v>
      </c>
      <c r="F7165" s="11"/>
      <c r="G7165" s="12">
        <v>0</v>
      </c>
      <c r="H7165" s="12">
        <v>0</v>
      </c>
      <c r="I7165" s="12">
        <v>0</v>
      </c>
      <c r="J7165" s="11"/>
      <c r="K7165" s="12">
        <v>0</v>
      </c>
      <c r="L716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65" s="10" t="str">
        <f>HYPERLINK("mailto:oriballo@crm.otsuka-europe.com", "oriballo@crm.otsuka-europe.com")</f>
        <v>oriballo@crm.otsuka-europe.com</v>
      </c>
      <c r="N7165" s="13">
        <v>46227.518726851849</v>
      </c>
      <c r="O7165" s="14" t="str">
        <f>HYPERLINK("https://otsuka-europe-crm.veevavault.com/ui/#object/email_activity__v/V8C00000004D196", "EN-002108475")</f>
        <v>EN-002108475</v>
      </c>
    </row>
    <row r="7166" spans="1:15" ht="16" x14ac:dyDescent="0.2">
      <c r="A7166" s="18" t="str">
        <f>HYPERLINK("https://otsuka-europe-crm.veevavault.com/ui/#object/account__v/V4TZ04ASGCYP2X9", "MANUEL LEON LUQUE")</f>
        <v>MANUEL LEON LUQUE</v>
      </c>
      <c r="B7166" s="18" t="str">
        <f>HYPERLINK("https://otsuka-europe-crm.veevavault.com/ui/#object/vcountry__v/VENZ000004SONF5", "ES")</f>
        <v>ES</v>
      </c>
      <c r="C7166" s="20" t="s">
        <v>39</v>
      </c>
      <c r="D716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66" s="22" t="str">
        <f>HYPERLINK("https://otsuka-europe-crm.veevavault.com/ui/#object/sent_email__v/VBL00000003B157", "SE-001444979")</f>
        <v>SE-001444979</v>
      </c>
      <c r="F7166" s="23"/>
      <c r="G7166" s="24">
        <v>0</v>
      </c>
      <c r="H7166" s="24">
        <v>0</v>
      </c>
      <c r="I7166" s="24">
        <v>0</v>
      </c>
      <c r="J7166" s="23"/>
      <c r="K7166" s="24">
        <v>0</v>
      </c>
      <c r="L716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66" s="22" t="str">
        <f>HYPERLINK("mailto:oriballo@crm.otsuka-europe.com", "oriballo@crm.otsuka-europe.com")</f>
        <v>oriballo@crm.otsuka-europe.com</v>
      </c>
      <c r="N7166" s="25">
        <v>46227.518750000003</v>
      </c>
      <c r="O7166" s="14" t="str">
        <f>HYPERLINK("https://otsuka-europe-crm.veevavault.com/ui/#object/email_activity__v/V8C00000004D235", "EN-002108514")</f>
        <v>EN-002108514</v>
      </c>
    </row>
    <row r="7167" spans="1:15" ht="16" x14ac:dyDescent="0.2">
      <c r="A7167" s="19"/>
      <c r="B7167" s="19"/>
      <c r="C7167" s="19"/>
      <c r="D7167" s="19"/>
      <c r="E7167" s="19"/>
      <c r="F7167" s="19"/>
      <c r="G7167" s="19"/>
      <c r="H7167" s="19"/>
      <c r="I7167" s="19"/>
      <c r="J7167" s="19"/>
      <c r="K7167" s="19"/>
      <c r="L7167" s="19"/>
      <c r="M7167" s="19"/>
      <c r="N7167" s="19"/>
      <c r="O7167" s="14" t="str">
        <f>HYPERLINK("https://otsuka-europe-crm.veevavault.com/ui/#object/email_activity__v/V8C00000004E189", "EN-002108755")</f>
        <v>EN-002108755</v>
      </c>
    </row>
    <row r="7168" spans="1:15" ht="16" x14ac:dyDescent="0.2">
      <c r="A7168" s="18" t="str">
        <f>HYPERLINK("https://otsuka-europe-crm.veevavault.com/ui/#object/account__v/V4TZ04ASG9MA3J8", "SARA MARIA ROJAS HERRERA")</f>
        <v>SARA MARIA ROJAS HERRERA</v>
      </c>
      <c r="B7168" s="18" t="str">
        <f>HYPERLINK("https://otsuka-europe-crm.veevavault.com/ui/#object/vcountry__v/VENZ000004SONF5", "ES")</f>
        <v>ES</v>
      </c>
      <c r="C7168" s="20" t="s">
        <v>39</v>
      </c>
      <c r="D716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68" s="22" t="str">
        <f>HYPERLINK("https://otsuka-europe-crm.veevavault.com/ui/#object/sent_email__v/VBL00000003B158", "SE-001444980")</f>
        <v>SE-001444980</v>
      </c>
      <c r="F7168" s="25">
        <v>46227.518807870372</v>
      </c>
      <c r="G7168" s="24">
        <v>1</v>
      </c>
      <c r="H7168" s="24">
        <v>1</v>
      </c>
      <c r="I7168" s="24">
        <v>0</v>
      </c>
      <c r="J7168" s="23"/>
      <c r="K7168" s="24">
        <v>0</v>
      </c>
      <c r="L716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68" s="22" t="str">
        <f>HYPERLINK("mailto:oriballo@crm.otsuka-europe.com", "oriballo@crm.otsuka-europe.com")</f>
        <v>oriballo@crm.otsuka-europe.com</v>
      </c>
      <c r="N7168" s="25">
        <v>46227.518726851849</v>
      </c>
      <c r="O7168" s="14" t="str">
        <f>HYPERLINK("https://otsuka-europe-crm.veevavault.com/ui/#object/email_activity__v/V8C00000004D184", "EN-002108462")</f>
        <v>EN-002108462</v>
      </c>
    </row>
    <row r="7169" spans="1:15" ht="16" x14ac:dyDescent="0.2">
      <c r="A7169" s="19"/>
      <c r="B7169" s="19"/>
      <c r="C7169" s="19"/>
      <c r="D7169" s="19"/>
      <c r="E7169" s="19"/>
      <c r="F7169" s="19"/>
      <c r="G7169" s="19"/>
      <c r="H7169" s="19"/>
      <c r="I7169" s="19"/>
      <c r="J7169" s="19"/>
      <c r="K7169" s="19"/>
      <c r="L7169" s="19"/>
      <c r="M7169" s="19"/>
      <c r="N7169" s="19"/>
      <c r="O7169" s="14" t="str">
        <f>HYPERLINK("https://otsuka-europe-crm.veevavault.com/ui/#object/email_activity__v/V8C00000004D190", "EN-002108469")</f>
        <v>EN-002108469</v>
      </c>
    </row>
    <row r="7170" spans="1:15" ht="16" x14ac:dyDescent="0.2">
      <c r="A7170" s="18" t="str">
        <f>HYPERLINK("https://otsuka-europe-crm.veevavault.com/ui/#object/account__v/V4TZ025E85Q6BD2", "ANA FERNANDEZ-REBOUL FERNANDEZ")</f>
        <v>ANA FERNANDEZ-REBOUL FERNANDEZ</v>
      </c>
      <c r="B7170" s="18" t="str">
        <f>HYPERLINK("https://otsuka-europe-crm.veevavault.com/ui/#object/vcountry__v/VENZ000004SONF5", "ES")</f>
        <v>ES</v>
      </c>
      <c r="C7170" s="20" t="s">
        <v>39</v>
      </c>
      <c r="D717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70" s="22" t="str">
        <f>HYPERLINK("https://otsuka-europe-crm.veevavault.com/ui/#object/sent_email__v/VBL00000003B159", "SE-001444981")</f>
        <v>SE-001444981</v>
      </c>
      <c r="F7170" s="25">
        <v>46228.935046296298</v>
      </c>
      <c r="G7170" s="24">
        <v>1</v>
      </c>
      <c r="H7170" s="24">
        <v>2</v>
      </c>
      <c r="I7170" s="24">
        <v>0</v>
      </c>
      <c r="J7170" s="23"/>
      <c r="K7170" s="24">
        <v>0</v>
      </c>
      <c r="L717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70" s="22" t="str">
        <f>HYPERLINK("mailto:oriballo@crm.otsuka-europe.com", "oriballo@crm.otsuka-europe.com")</f>
        <v>oriballo@crm.otsuka-europe.com</v>
      </c>
      <c r="N7170" s="25">
        <v>46227.518726851849</v>
      </c>
      <c r="O7170" s="14" t="str">
        <f>HYPERLINK("https://otsuka-europe-crm.veevavault.com/ui/#object/email_activity__v/V8C00000004D213", "EN-002108492")</f>
        <v>EN-002108492</v>
      </c>
    </row>
    <row r="7171" spans="1:15" ht="16" x14ac:dyDescent="0.2">
      <c r="A7171" s="26"/>
      <c r="B7171" s="26"/>
      <c r="C7171" s="26"/>
      <c r="D7171" s="26"/>
      <c r="E7171" s="26"/>
      <c r="F7171" s="26"/>
      <c r="G7171" s="26"/>
      <c r="H7171" s="26"/>
      <c r="I7171" s="26"/>
      <c r="J7171" s="26"/>
      <c r="K7171" s="26"/>
      <c r="L7171" s="26"/>
      <c r="M7171" s="26"/>
      <c r="N7171" s="26"/>
      <c r="O7171" s="14" t="str">
        <f>HYPERLINK("https://otsuka-europe-crm.veevavault.com/ui/#object/email_activity__v/V8C00000004E329", "EN-002109009")</f>
        <v>EN-002109009</v>
      </c>
    </row>
    <row r="7172" spans="1:15" ht="16" x14ac:dyDescent="0.2">
      <c r="A7172" s="19"/>
      <c r="B7172" s="19"/>
      <c r="C7172" s="19"/>
      <c r="D7172" s="19"/>
      <c r="E7172" s="19"/>
      <c r="F7172" s="19"/>
      <c r="G7172" s="19"/>
      <c r="H7172" s="19"/>
      <c r="I7172" s="19"/>
      <c r="J7172" s="19"/>
      <c r="K7172" s="19"/>
      <c r="L7172" s="19"/>
      <c r="M7172" s="19"/>
      <c r="N7172" s="19"/>
      <c r="O7172" s="14" t="str">
        <f>HYPERLINK("https://otsuka-europe-crm.veevavault.com/ui/#object/email_activity__v/V8C00000004E330", "EN-002109010")</f>
        <v>EN-002109010</v>
      </c>
    </row>
    <row r="7173" spans="1:15" ht="16" x14ac:dyDescent="0.2">
      <c r="A7173" s="18" t="str">
        <f>HYPERLINK("https://otsuka-europe-crm.veevavault.com/ui/#object/account__v/V4TZ04ASG9ZSH77", "MARIA ISABEL SERRANO GARCIA")</f>
        <v>MARIA ISABEL SERRANO GARCIA</v>
      </c>
      <c r="B7173" s="18" t="str">
        <f>HYPERLINK("https://otsuka-europe-crm.veevavault.com/ui/#object/vcountry__v/VENZ000004SONF5", "ES")</f>
        <v>ES</v>
      </c>
      <c r="C7173" s="20" t="s">
        <v>39</v>
      </c>
      <c r="D717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73" s="22" t="str">
        <f>HYPERLINK("https://otsuka-europe-crm.veevavault.com/ui/#object/sent_email__v/VBL00000003B160", "SE-001444982")</f>
        <v>SE-001444982</v>
      </c>
      <c r="F7173" s="23"/>
      <c r="G7173" s="24">
        <v>0</v>
      </c>
      <c r="H7173" s="24">
        <v>0</v>
      </c>
      <c r="I7173" s="24">
        <v>0</v>
      </c>
      <c r="J7173" s="23"/>
      <c r="K7173" s="24">
        <v>0</v>
      </c>
      <c r="L717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73" s="22" t="str">
        <f>HYPERLINK("mailto:oriballo@crm.otsuka-europe.com", "oriballo@crm.otsuka-europe.com")</f>
        <v>oriballo@crm.otsuka-europe.com</v>
      </c>
      <c r="N7173" s="25">
        <v>46227.518541666665</v>
      </c>
      <c r="O7173" s="14" t="str">
        <f>HYPERLINK("https://otsuka-europe-crm.veevavault.com/ui/#object/email_activity__v/V8C00000004D168", "EN-002108440")</f>
        <v>EN-002108440</v>
      </c>
    </row>
    <row r="7174" spans="1:15" ht="16" x14ac:dyDescent="0.2">
      <c r="A7174" s="19"/>
      <c r="B7174" s="19"/>
      <c r="C7174" s="19"/>
      <c r="D7174" s="19"/>
      <c r="E7174" s="19"/>
      <c r="F7174" s="19"/>
      <c r="G7174" s="19"/>
      <c r="H7174" s="19"/>
      <c r="I7174" s="19"/>
      <c r="J7174" s="19"/>
      <c r="K7174" s="19"/>
      <c r="L7174" s="19"/>
      <c r="M7174" s="19"/>
      <c r="N7174" s="19"/>
      <c r="O7174" s="14" t="str">
        <f>HYPERLINK("https://otsuka-europe-crm.veevavault.com/ui/#object/email_activity__v/V8C00000004D449", "EN-002108979")</f>
        <v>EN-002108979</v>
      </c>
    </row>
    <row r="7175" spans="1:15" ht="64" x14ac:dyDescent="0.2">
      <c r="A7175" s="7" t="str">
        <f>HYPERLINK("https://otsuka-europe-crm.veevavault.com/ui/#object/account__v/V4TZ04ASGC4NZ6C", "MARIA VICTORIA PEREZ ROMERA")</f>
        <v>MARIA VICTORIA PEREZ ROMERA</v>
      </c>
      <c r="B7175" s="7" t="str">
        <f>HYPERLINK("https://otsuka-europe-crm.veevavault.com/ui/#object/vcountry__v/VENZ000004SONF5", "ES")</f>
        <v>ES</v>
      </c>
      <c r="C7175" s="8" t="s">
        <v>39</v>
      </c>
      <c r="D717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75" s="10" t="str">
        <f>HYPERLINK("https://otsuka-europe-crm.veevavault.com/ui/#object/sent_email__v/VBL00000003B161", "SE-001444983")</f>
        <v>SE-001444983</v>
      </c>
      <c r="F7175" s="11"/>
      <c r="G7175" s="12">
        <v>0</v>
      </c>
      <c r="H7175" s="12">
        <v>0</v>
      </c>
      <c r="I7175" s="12">
        <v>0</v>
      </c>
      <c r="J7175" s="11"/>
      <c r="K7175" s="12">
        <v>0</v>
      </c>
      <c r="L717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75" s="10" t="str">
        <f>HYPERLINK("mailto:oriballo@crm.otsuka-europe.com", "oriballo@crm.otsuka-europe.com")</f>
        <v>oriballo@crm.otsuka-europe.com</v>
      </c>
      <c r="N7175" s="13">
        <v>46227.518530092595</v>
      </c>
      <c r="O7175" s="14" t="str">
        <f>HYPERLINK("https://otsuka-europe-crm.veevavault.com/ui/#object/email_activity__v/V8C00000004D169", "EN-002108441")</f>
        <v>EN-002108441</v>
      </c>
    </row>
    <row r="7176" spans="1:15" ht="16" x14ac:dyDescent="0.2">
      <c r="A7176" s="18" t="str">
        <f>HYPERLINK("https://otsuka-europe-crm.veevavault.com/ui/#object/account__v/V4TZ025E831837M", "CARMEN MARIA ESCUDERO GONZALEZ")</f>
        <v>CARMEN MARIA ESCUDERO GONZALEZ</v>
      </c>
      <c r="B7176" s="18" t="str">
        <f>HYPERLINK("https://otsuka-europe-crm.veevavault.com/ui/#object/vcountry__v/VENZ000004SONF5", "ES")</f>
        <v>ES</v>
      </c>
      <c r="C7176" s="20" t="s">
        <v>39</v>
      </c>
      <c r="D717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76" s="22" t="str">
        <f>HYPERLINK("https://otsuka-europe-crm.veevavault.com/ui/#object/sent_email__v/VBL00000003B162", "SE-001444984")</f>
        <v>SE-001444984</v>
      </c>
      <c r="F7176" s="25">
        <v>46232.660462962966</v>
      </c>
      <c r="G7176" s="24">
        <v>1</v>
      </c>
      <c r="H7176" s="24">
        <v>2</v>
      </c>
      <c r="I7176" s="24">
        <v>0</v>
      </c>
      <c r="J7176" s="23"/>
      <c r="K7176" s="24">
        <v>0</v>
      </c>
      <c r="L717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76" s="22" t="str">
        <f>HYPERLINK("mailto:oriballo@crm.otsuka-europe.com", "oriballo@crm.otsuka-europe.com")</f>
        <v>oriballo@crm.otsuka-europe.com</v>
      </c>
      <c r="N7176" s="25">
        <v>46227.518541666665</v>
      </c>
      <c r="O7176" s="14" t="str">
        <f>HYPERLINK("https://otsuka-europe-crm.veevavault.com/ui/#object/email_activity__v/V8C00000004D170", "EN-002108442")</f>
        <v>EN-002108442</v>
      </c>
    </row>
    <row r="7177" spans="1:15" ht="16" x14ac:dyDescent="0.2">
      <c r="A7177" s="26"/>
      <c r="B7177" s="26"/>
      <c r="C7177" s="26"/>
      <c r="D7177" s="26"/>
      <c r="E7177" s="26"/>
      <c r="F7177" s="26"/>
      <c r="G7177" s="26"/>
      <c r="H7177" s="26"/>
      <c r="I7177" s="26"/>
      <c r="J7177" s="26"/>
      <c r="K7177" s="26"/>
      <c r="L7177" s="26"/>
      <c r="M7177" s="26"/>
      <c r="N7177" s="26"/>
      <c r="O7177" s="14" t="str">
        <f>HYPERLINK("https://otsuka-europe-crm.veevavault.com/ui/#object/email_activity__v/V8C00000004E135", "EN-002108687")</f>
        <v>EN-002108687</v>
      </c>
    </row>
    <row r="7178" spans="1:15" ht="16" x14ac:dyDescent="0.2">
      <c r="A7178" s="19"/>
      <c r="B7178" s="19"/>
      <c r="C7178" s="19"/>
      <c r="D7178" s="19"/>
      <c r="E7178" s="19"/>
      <c r="F7178" s="19"/>
      <c r="G7178" s="19"/>
      <c r="H7178" s="19"/>
      <c r="I7178" s="19"/>
      <c r="J7178" s="19"/>
      <c r="K7178" s="19"/>
      <c r="L7178" s="19"/>
      <c r="M7178" s="19"/>
      <c r="N7178" s="19"/>
      <c r="O7178" s="14" t="str">
        <f>HYPERLINK("https://otsuka-europe-crm.veevavault.com/ui/#object/email_activity__v/V8C00000004E633", "EN-002109588")</f>
        <v>EN-002109588</v>
      </c>
    </row>
    <row r="7179" spans="1:15" ht="64" x14ac:dyDescent="0.2">
      <c r="A7179" s="7" t="str">
        <f>HYPERLINK("https://otsuka-europe-crm.veevavault.com/ui/#object/account__v/V4TZ025E860BPIZ", "MITNDBAIM AELOHIM PARRA MORENO")</f>
        <v>MITNDBAIM AELOHIM PARRA MORENO</v>
      </c>
      <c r="B7179" s="7" t="str">
        <f>HYPERLINK("https://otsuka-europe-crm.veevavault.com/ui/#object/vcountry__v/VENZ000004SONF5", "ES")</f>
        <v>ES</v>
      </c>
      <c r="C7179" s="8" t="s">
        <v>39</v>
      </c>
      <c r="D7179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79" s="10" t="str">
        <f>HYPERLINK("https://otsuka-europe-crm.veevavault.com/ui/#object/sent_email__v/VBL00000003B163", "SE-001444985")</f>
        <v>SE-001444985</v>
      </c>
      <c r="F7179" s="11"/>
      <c r="G7179" s="12">
        <v>0</v>
      </c>
      <c r="H7179" s="12">
        <v>0</v>
      </c>
      <c r="I7179" s="12">
        <v>0</v>
      </c>
      <c r="J7179" s="11"/>
      <c r="K7179" s="12">
        <v>0</v>
      </c>
      <c r="L7179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79" s="10" t="str">
        <f>HYPERLINK("mailto:oriballo@crm.otsuka-europe.com", "oriballo@crm.otsuka-europe.com")</f>
        <v>oriballo@crm.otsuka-europe.com</v>
      </c>
      <c r="N7179" s="13">
        <v>46227.518541666665</v>
      </c>
      <c r="O7179" s="14" t="str">
        <f>HYPERLINK("https://otsuka-europe-crm.veevavault.com/ui/#object/email_activity__v/V8C00000004D166", "EN-002108438")</f>
        <v>EN-002108438</v>
      </c>
    </row>
    <row r="7180" spans="1:15" ht="16" x14ac:dyDescent="0.2">
      <c r="A7180" s="18" t="str">
        <f>HYPERLINK("https://otsuka-europe-crm.veevavault.com/ui/#object/account__v/V4TZ04ASG9MA40M", "RAUL VEROZ GONZALEZ")</f>
        <v>RAUL VEROZ GONZALEZ</v>
      </c>
      <c r="B7180" s="18" t="str">
        <f>HYPERLINK("https://otsuka-europe-crm.veevavault.com/ui/#object/vcountry__v/VENZ000004SONF5", "ES")</f>
        <v>ES</v>
      </c>
      <c r="C7180" s="20" t="s">
        <v>39</v>
      </c>
      <c r="D7180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0" s="22" t="str">
        <f>HYPERLINK("https://otsuka-europe-crm.veevavault.com/ui/#object/sent_email__v/VBL00000003B164", "SE-001444986")</f>
        <v>SE-001444986</v>
      </c>
      <c r="F7180" s="25">
        <v>46227.521701388891</v>
      </c>
      <c r="G7180" s="24">
        <v>1</v>
      </c>
      <c r="H7180" s="24">
        <v>1</v>
      </c>
      <c r="I7180" s="24">
        <v>0</v>
      </c>
      <c r="J7180" s="23"/>
      <c r="K7180" s="24">
        <v>0</v>
      </c>
      <c r="L7180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0" s="22" t="str">
        <f>HYPERLINK("mailto:oriballo@crm.otsuka-europe.com", "oriballo@crm.otsuka-europe.com")</f>
        <v>oriballo@crm.otsuka-europe.com</v>
      </c>
      <c r="N7180" s="25">
        <v>46227.518726851849</v>
      </c>
      <c r="O7180" s="14" t="str">
        <f>HYPERLINK("https://otsuka-europe-crm.veevavault.com/ui/#object/email_activity__v/V8C00000004D192", "EN-002108471")</f>
        <v>EN-002108471</v>
      </c>
    </row>
    <row r="7181" spans="1:15" ht="16" x14ac:dyDescent="0.2">
      <c r="A7181" s="19"/>
      <c r="B7181" s="19"/>
      <c r="C7181" s="19"/>
      <c r="D7181" s="19"/>
      <c r="E7181" s="19"/>
      <c r="F7181" s="19"/>
      <c r="G7181" s="19"/>
      <c r="H7181" s="19"/>
      <c r="I7181" s="19"/>
      <c r="J7181" s="19"/>
      <c r="K7181" s="19"/>
      <c r="L7181" s="19"/>
      <c r="M7181" s="19"/>
      <c r="N7181" s="19"/>
      <c r="O7181" s="14" t="str">
        <f>HYPERLINK("https://otsuka-europe-crm.veevavault.com/ui/#object/email_activity__v/V8C00000004E128", "EN-002108678")</f>
        <v>EN-002108678</v>
      </c>
    </row>
    <row r="7182" spans="1:15" ht="16" x14ac:dyDescent="0.2">
      <c r="A7182" s="18" t="str">
        <f>HYPERLINK("https://otsuka-europe-crm.veevavault.com/ui/#object/account__v/V4TZ04ASGABZRSR", "LARA MENDEZ DIAZ")</f>
        <v>LARA MENDEZ DIAZ</v>
      </c>
      <c r="B7182" s="18" t="str">
        <f>HYPERLINK("https://otsuka-europe-crm.veevavault.com/ui/#object/vcountry__v/VENZ000004SONF5", "ES")</f>
        <v>ES</v>
      </c>
      <c r="C7182" s="20" t="s">
        <v>39</v>
      </c>
      <c r="D718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2" s="22" t="str">
        <f>HYPERLINK("https://otsuka-europe-crm.veevavault.com/ui/#object/sent_email__v/VBL00000003B165", "SE-001444987")</f>
        <v>SE-001444987</v>
      </c>
      <c r="F7182" s="25">
        <v>46227.518993055557</v>
      </c>
      <c r="G7182" s="24">
        <v>1</v>
      </c>
      <c r="H7182" s="24">
        <v>1</v>
      </c>
      <c r="I7182" s="24">
        <v>0</v>
      </c>
      <c r="J7182" s="23"/>
      <c r="K7182" s="24">
        <v>0</v>
      </c>
      <c r="L718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2" s="22" t="str">
        <f>HYPERLINK("mailto:oriballo@crm.otsuka-europe.com", "oriballo@crm.otsuka-europe.com")</f>
        <v>oriballo@crm.otsuka-europe.com</v>
      </c>
      <c r="N7182" s="25">
        <v>46227.518738425926</v>
      </c>
      <c r="O7182" s="14" t="str">
        <f>HYPERLINK("https://otsuka-europe-crm.veevavault.com/ui/#object/email_activity__v/V8C00000004D241", "EN-002108521")</f>
        <v>EN-002108521</v>
      </c>
    </row>
    <row r="7183" spans="1:15" ht="16" x14ac:dyDescent="0.2">
      <c r="A7183" s="19"/>
      <c r="B7183" s="19"/>
      <c r="C7183" s="19"/>
      <c r="D7183" s="19"/>
      <c r="E7183" s="19"/>
      <c r="F7183" s="19"/>
      <c r="G7183" s="19"/>
      <c r="H7183" s="19"/>
      <c r="I7183" s="19"/>
      <c r="J7183" s="19"/>
      <c r="K7183" s="19"/>
      <c r="L7183" s="19"/>
      <c r="M7183" s="19"/>
      <c r="N7183" s="19"/>
      <c r="O7183" s="14" t="str">
        <f>HYPERLINK("https://otsuka-europe-crm.veevavault.com/ui/#object/email_activity__v/V8C00000004D245", "EN-002108527")</f>
        <v>EN-002108527</v>
      </c>
    </row>
    <row r="7184" spans="1:15" ht="16" x14ac:dyDescent="0.2">
      <c r="A7184" s="18" t="str">
        <f>HYPERLINK("https://otsuka-europe-crm.veevavault.com/ui/#object/account__v/V4TZ04ASGABZROO", "MANUEL MAQUEDA LOPEZ")</f>
        <v>MANUEL MAQUEDA LOPEZ</v>
      </c>
      <c r="B7184" s="18" t="str">
        <f>HYPERLINK("https://otsuka-europe-crm.veevavault.com/ui/#object/vcountry__v/VENZ000004SONF5", "ES")</f>
        <v>ES</v>
      </c>
      <c r="C7184" s="20" t="s">
        <v>39</v>
      </c>
      <c r="D7184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4" s="22" t="str">
        <f>HYPERLINK("https://otsuka-europe-crm.veevavault.com/ui/#object/sent_email__v/VBL00000003B166", "SE-001444988")</f>
        <v>SE-001444988</v>
      </c>
      <c r="F7184" s="23"/>
      <c r="G7184" s="24">
        <v>0</v>
      </c>
      <c r="H7184" s="24">
        <v>0</v>
      </c>
      <c r="I7184" s="24">
        <v>0</v>
      </c>
      <c r="J7184" s="23"/>
      <c r="K7184" s="24">
        <v>0</v>
      </c>
      <c r="L7184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4" s="22" t="str">
        <f>HYPERLINK("mailto:oriballo@crm.otsuka-europe.com", "oriballo@crm.otsuka-europe.com")</f>
        <v>oriballo@crm.otsuka-europe.com</v>
      </c>
      <c r="N7184" s="25">
        <v>46227.518750000003</v>
      </c>
      <c r="O7184" s="14" t="str">
        <f>HYPERLINK("https://otsuka-europe-crm.veevavault.com/ui/#object/email_activity__v/V8C00000004D238", "EN-002108517")</f>
        <v>EN-002108517</v>
      </c>
    </row>
    <row r="7185" spans="1:15" ht="16" x14ac:dyDescent="0.2">
      <c r="A7185" s="19"/>
      <c r="B7185" s="19"/>
      <c r="C7185" s="19"/>
      <c r="D7185" s="19"/>
      <c r="E7185" s="19"/>
      <c r="F7185" s="19"/>
      <c r="G7185" s="19"/>
      <c r="H7185" s="19"/>
      <c r="I7185" s="19"/>
      <c r="J7185" s="19"/>
      <c r="K7185" s="19"/>
      <c r="L7185" s="19"/>
      <c r="M7185" s="19"/>
      <c r="N7185" s="19"/>
      <c r="O7185" s="14" t="str">
        <f>HYPERLINK("https://otsuka-europe-crm.veevavault.com/ui/#object/email_activity__v/V8C00000004E200", "EN-002108785")</f>
        <v>EN-002108785</v>
      </c>
    </row>
    <row r="7186" spans="1:15" ht="64" x14ac:dyDescent="0.2">
      <c r="A7186" s="7" t="str">
        <f>HYPERLINK("https://otsuka-europe-crm.veevavault.com/ui/#object/account__v/V4TZ04ASGABZW4O", "JOSE JAVIER SALABERRI MAESTROJUAN")</f>
        <v>JOSE JAVIER SALABERRI MAESTROJUAN</v>
      </c>
      <c r="B7186" s="7" t="str">
        <f>HYPERLINK("https://otsuka-europe-crm.veevavault.com/ui/#object/vcountry__v/VENZ000004SONF5", "ES")</f>
        <v>ES</v>
      </c>
      <c r="C7186" s="8" t="s">
        <v>39</v>
      </c>
      <c r="D7186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6" s="10" t="str">
        <f>HYPERLINK("https://otsuka-europe-crm.veevavault.com/ui/#object/sent_email__v/VBL00000003B167", "SE-001444989")</f>
        <v>SE-001444989</v>
      </c>
      <c r="F7186" s="11"/>
      <c r="G7186" s="12">
        <v>0</v>
      </c>
      <c r="H7186" s="12">
        <v>0</v>
      </c>
      <c r="I7186" s="12">
        <v>0</v>
      </c>
      <c r="J7186" s="11"/>
      <c r="K7186" s="12">
        <v>0</v>
      </c>
      <c r="L7186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6" s="10" t="str">
        <f>HYPERLINK("mailto:oriballo@crm.otsuka-europe.com", "oriballo@crm.otsuka-europe.com")</f>
        <v>oriballo@crm.otsuka-europe.com</v>
      </c>
      <c r="N7186" s="13">
        <v>46227.518726851849</v>
      </c>
      <c r="O7186" s="14" t="str">
        <f>HYPERLINK("https://otsuka-europe-crm.veevavault.com/ui/#object/email_activity__v/V8C00000004D230", "EN-002108509")</f>
        <v>EN-002108509</v>
      </c>
    </row>
    <row r="7187" spans="1:15" ht="64" x14ac:dyDescent="0.2">
      <c r="A7187" s="7" t="str">
        <f>HYPERLINK("https://otsuka-europe-crm.veevavault.com/ui/#object/account__v/V4TZ06G6O9VKN8N", "JOSE RAUL MENOR ALMAGRO")</f>
        <v>JOSE RAUL MENOR ALMAGRO</v>
      </c>
      <c r="B7187" s="7" t="str">
        <f>HYPERLINK("https://otsuka-europe-crm.veevavault.com/ui/#object/vcountry__v/VENZ000004SONF5", "ES")</f>
        <v>ES</v>
      </c>
      <c r="C7187" s="8" t="s">
        <v>39</v>
      </c>
      <c r="D7187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7" s="10" t="str">
        <f>HYPERLINK("https://otsuka-europe-crm.veevavault.com/ui/#object/sent_email__v/VBL00000003B168", "SE-001444990")</f>
        <v>SE-001444990</v>
      </c>
      <c r="F7187" s="11"/>
      <c r="G7187" s="12">
        <v>0</v>
      </c>
      <c r="H7187" s="12">
        <v>0</v>
      </c>
      <c r="I7187" s="12">
        <v>0</v>
      </c>
      <c r="J7187" s="11"/>
      <c r="K7187" s="12">
        <v>0</v>
      </c>
      <c r="L7187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7" s="10" t="str">
        <f>HYPERLINK("mailto:oriballo@crm.otsuka-europe.com", "oriballo@crm.otsuka-europe.com")</f>
        <v>oriballo@crm.otsuka-europe.com</v>
      </c>
      <c r="N7187" s="13">
        <v>46227.518726851849</v>
      </c>
      <c r="O7187" s="14" t="str">
        <f>HYPERLINK("https://otsuka-europe-crm.veevavault.com/ui/#object/email_activity__v/V8C00000004D243", "EN-002108523")</f>
        <v>EN-002108523</v>
      </c>
    </row>
    <row r="7188" spans="1:15" ht="64" x14ac:dyDescent="0.2">
      <c r="A7188" s="7" t="str">
        <f>HYPERLINK("https://otsuka-europe-crm.veevavault.com/ui/#object/account__v/V4TZ025E82BJJVQ", "MARIA DE NAZARET ROLDAN RUIZ")</f>
        <v>MARIA DE NAZARET ROLDAN RUIZ</v>
      </c>
      <c r="B7188" s="7" t="str">
        <f>HYPERLINK("https://otsuka-europe-crm.veevavault.com/ui/#object/vcountry__v/VENZ000004SONF5", "ES")</f>
        <v>ES</v>
      </c>
      <c r="C7188" s="8" t="s">
        <v>39</v>
      </c>
      <c r="D718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8" s="10" t="str">
        <f>HYPERLINK("https://otsuka-europe-crm.veevavault.com/ui/#object/sent_email__v/VBL00000003B169", "SE-001444991")</f>
        <v>SE-001444991</v>
      </c>
      <c r="F7188" s="11"/>
      <c r="G7188" s="12">
        <v>0</v>
      </c>
      <c r="H7188" s="12">
        <v>0</v>
      </c>
      <c r="I7188" s="12">
        <v>0</v>
      </c>
      <c r="J7188" s="11"/>
      <c r="K7188" s="12">
        <v>0</v>
      </c>
      <c r="L718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8" s="10" t="str">
        <f>HYPERLINK("mailto:oriballo@crm.otsuka-europe.com", "oriballo@crm.otsuka-europe.com")</f>
        <v>oriballo@crm.otsuka-europe.com</v>
      </c>
      <c r="N7188" s="13">
        <v>46227.518726851849</v>
      </c>
      <c r="O7188" s="14" t="str">
        <f>HYPERLINK("https://otsuka-europe-crm.veevavault.com/ui/#object/email_activity__v/V8C00000004D211", "EN-002108490")</f>
        <v>EN-002108490</v>
      </c>
    </row>
    <row r="7189" spans="1:15" ht="16" x14ac:dyDescent="0.2">
      <c r="A7189" s="18" t="str">
        <f>HYPERLINK("https://otsuka-europe-crm.veevavault.com/ui/#object/account__v/V4TZ04ASGAOWDKB", "MIRIAM GANDIA MARTINEZ")</f>
        <v>MIRIAM GANDIA MARTINEZ</v>
      </c>
      <c r="B7189" s="18" t="str">
        <f>HYPERLINK("https://otsuka-europe-crm.veevavault.com/ui/#object/vcountry__v/VENZ000004SONF5", "ES")</f>
        <v>ES</v>
      </c>
      <c r="C7189" s="20" t="s">
        <v>39</v>
      </c>
      <c r="D718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89" s="22" t="str">
        <f>HYPERLINK("https://otsuka-europe-crm.veevavault.com/ui/#object/sent_email__v/VBL00000003B170", "SE-001444992")</f>
        <v>SE-001444992</v>
      </c>
      <c r="F7189" s="25">
        <v>46227.545925925922</v>
      </c>
      <c r="G7189" s="24">
        <v>1</v>
      </c>
      <c r="H7189" s="24">
        <v>1</v>
      </c>
      <c r="I7189" s="24">
        <v>0</v>
      </c>
      <c r="J7189" s="23"/>
      <c r="K7189" s="24">
        <v>0</v>
      </c>
      <c r="L718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89" s="22" t="str">
        <f>HYPERLINK("mailto:oriballo@crm.otsuka-europe.com", "oriballo@crm.otsuka-europe.com")</f>
        <v>oriballo@crm.otsuka-europe.com</v>
      </c>
      <c r="N7189" s="25">
        <v>46227.518726851849</v>
      </c>
      <c r="O7189" s="14" t="str">
        <f>HYPERLINK("https://otsuka-europe-crm.veevavault.com/ui/#object/email_activity__v/V8C00000004D194", "EN-002108473")</f>
        <v>EN-002108473</v>
      </c>
    </row>
    <row r="7190" spans="1:15" ht="16" x14ac:dyDescent="0.2">
      <c r="A7190" s="19"/>
      <c r="B7190" s="19"/>
      <c r="C7190" s="19"/>
      <c r="D7190" s="19"/>
      <c r="E7190" s="19"/>
      <c r="F7190" s="19"/>
      <c r="G7190" s="19"/>
      <c r="H7190" s="19"/>
      <c r="I7190" s="19"/>
      <c r="J7190" s="19"/>
      <c r="K7190" s="19"/>
      <c r="L7190" s="19"/>
      <c r="M7190" s="19"/>
      <c r="N7190" s="19"/>
      <c r="O7190" s="14" t="str">
        <f>HYPERLINK("https://otsuka-europe-crm.veevavault.com/ui/#object/email_activity__v/V8C00000004D346", "EN-002108742")</f>
        <v>EN-002108742</v>
      </c>
    </row>
    <row r="7191" spans="1:15" ht="16" x14ac:dyDescent="0.2">
      <c r="A7191" s="18" t="str">
        <f>HYPERLINK("https://otsuka-europe-crm.veevavault.com/ui/#object/account__v/V4TZ04ASG9M9E1R", "NICOLAS CHOZAS CANDANEDO")</f>
        <v>NICOLAS CHOZAS CANDANEDO</v>
      </c>
      <c r="B7191" s="18" t="str">
        <f>HYPERLINK("https://otsuka-europe-crm.veevavault.com/ui/#object/vcountry__v/VENZ000004SONF5", "ES")</f>
        <v>ES</v>
      </c>
      <c r="C7191" s="20" t="s">
        <v>39</v>
      </c>
      <c r="D719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91" s="22" t="str">
        <f>HYPERLINK("https://otsuka-europe-crm.veevavault.com/ui/#object/sent_email__v/VBL00000003B171", "SE-001444993")</f>
        <v>SE-001444993</v>
      </c>
      <c r="F7191" s="23"/>
      <c r="G7191" s="24">
        <v>0</v>
      </c>
      <c r="H7191" s="24">
        <v>0</v>
      </c>
      <c r="I7191" s="24">
        <v>0</v>
      </c>
      <c r="J7191" s="23"/>
      <c r="K7191" s="24">
        <v>0</v>
      </c>
      <c r="L719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91" s="22" t="str">
        <f>HYPERLINK("mailto:oriballo@crm.otsuka-europe.com", "oriballo@crm.otsuka-europe.com")</f>
        <v>oriballo@crm.otsuka-europe.com</v>
      </c>
      <c r="N7191" s="25">
        <v>46227.518726851849</v>
      </c>
      <c r="O7191" s="14" t="str">
        <f>HYPERLINK("https://otsuka-europe-crm.veevavault.com/ui/#object/email_activity__v/V8C00000004D171", "EN-002108443")</f>
        <v>EN-002108443</v>
      </c>
    </row>
    <row r="7192" spans="1:15" ht="16" x14ac:dyDescent="0.2">
      <c r="A7192" s="19"/>
      <c r="B7192" s="19"/>
      <c r="C7192" s="19"/>
      <c r="D7192" s="19"/>
      <c r="E7192" s="19"/>
      <c r="F7192" s="19"/>
      <c r="G7192" s="19"/>
      <c r="H7192" s="19"/>
      <c r="I7192" s="19"/>
      <c r="J7192" s="19"/>
      <c r="K7192" s="19"/>
      <c r="L7192" s="19"/>
      <c r="M7192" s="19"/>
      <c r="N7192" s="19"/>
      <c r="O7192" s="14" t="str">
        <f>HYPERLINK("https://otsuka-europe-crm.veevavault.com/ui/#object/email_activity__v/V8C00000004D430", "EN-002108944")</f>
        <v>EN-002108944</v>
      </c>
    </row>
    <row r="7193" spans="1:15" ht="16" x14ac:dyDescent="0.2">
      <c r="A7193" s="18" t="str">
        <f>HYPERLINK("https://otsuka-europe-crm.veevavault.com/ui/#object/account__v/V4TZ04ASG9UBO2P", "JOSE JAVIER PEREZ VENEGAS")</f>
        <v>JOSE JAVIER PEREZ VENEGAS</v>
      </c>
      <c r="B7193" s="18" t="str">
        <f>HYPERLINK("https://otsuka-europe-crm.veevavault.com/ui/#object/vcountry__v/VENZ000004SONF5", "ES")</f>
        <v>ES</v>
      </c>
      <c r="C7193" s="20" t="s">
        <v>39</v>
      </c>
      <c r="D719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93" s="22" t="str">
        <f>HYPERLINK("https://otsuka-europe-crm.veevavault.com/ui/#object/sent_email__v/VBL00000003B172", "SE-001444994")</f>
        <v>SE-001444994</v>
      </c>
      <c r="F7193" s="25">
        <v>46227.518923611111</v>
      </c>
      <c r="G7193" s="24">
        <v>1</v>
      </c>
      <c r="H7193" s="24">
        <v>1</v>
      </c>
      <c r="I7193" s="24">
        <v>0</v>
      </c>
      <c r="J7193" s="23"/>
      <c r="K7193" s="24">
        <v>0</v>
      </c>
      <c r="L719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93" s="22" t="str">
        <f>HYPERLINK("mailto:oriballo@crm.otsuka-europe.com", "oriballo@crm.otsuka-europe.com")</f>
        <v>oriballo@crm.otsuka-europe.com</v>
      </c>
      <c r="N7193" s="25">
        <v>46227.518738425926</v>
      </c>
      <c r="O7193" s="14" t="str">
        <f>HYPERLINK("https://otsuka-europe-crm.veevavault.com/ui/#object/email_activity__v/V8C00000004D242", "EN-002108522")</f>
        <v>EN-002108522</v>
      </c>
    </row>
    <row r="7194" spans="1:15" ht="16" x14ac:dyDescent="0.2">
      <c r="A7194" s="26"/>
      <c r="B7194" s="26"/>
      <c r="C7194" s="26"/>
      <c r="D7194" s="26"/>
      <c r="E7194" s="26"/>
      <c r="F7194" s="26"/>
      <c r="G7194" s="26"/>
      <c r="H7194" s="26"/>
      <c r="I7194" s="26"/>
      <c r="J7194" s="26"/>
      <c r="K7194" s="26"/>
      <c r="L7194" s="26"/>
      <c r="M7194" s="26"/>
      <c r="N7194" s="26"/>
      <c r="O7194" s="14" t="str">
        <f>HYPERLINK("https://otsuka-europe-crm.veevavault.com/ui/#object/email_activity__v/V8C00000004E062", "EN-002108520")</f>
        <v>EN-002108520</v>
      </c>
    </row>
    <row r="7195" spans="1:15" ht="16" x14ac:dyDescent="0.2">
      <c r="A7195" s="19"/>
      <c r="B7195" s="19"/>
      <c r="C7195" s="19"/>
      <c r="D7195" s="19"/>
      <c r="E7195" s="19"/>
      <c r="F7195" s="19"/>
      <c r="G7195" s="19"/>
      <c r="H7195" s="19"/>
      <c r="I7195" s="19"/>
      <c r="J7195" s="19"/>
      <c r="K7195" s="19"/>
      <c r="L7195" s="19"/>
      <c r="M7195" s="19"/>
      <c r="N7195" s="19"/>
      <c r="O7195" s="14" t="str">
        <f>HYPERLINK("https://otsuka-europe-crm.veevavault.com/ui/#object/email_activity__v/V8C00000004E296", "EN-002108943")</f>
        <v>EN-002108943</v>
      </c>
    </row>
    <row r="7196" spans="1:15" ht="16" x14ac:dyDescent="0.2">
      <c r="A7196" s="18" t="str">
        <f>HYPERLINK("https://otsuka-europe-crm.veevavault.com/ui/#object/account__v/V4TZ04ASGAP1UV3", "MARIA LUISA VELLOSO FEIJOO")</f>
        <v>MARIA LUISA VELLOSO FEIJOO</v>
      </c>
      <c r="B7196" s="18" t="str">
        <f>HYPERLINK("https://otsuka-europe-crm.veevavault.com/ui/#object/vcountry__v/VENZ000004SONF5", "ES")</f>
        <v>ES</v>
      </c>
      <c r="C7196" s="20" t="s">
        <v>39</v>
      </c>
      <c r="D719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96" s="22" t="str">
        <f>HYPERLINK("https://otsuka-europe-crm.veevavault.com/ui/#object/sent_email__v/VBL00000003B173", "SE-001444995")</f>
        <v>SE-001444995</v>
      </c>
      <c r="F7196" s="23"/>
      <c r="G7196" s="24">
        <v>0</v>
      </c>
      <c r="H7196" s="24">
        <v>0</v>
      </c>
      <c r="I7196" s="24">
        <v>0</v>
      </c>
      <c r="J7196" s="23"/>
      <c r="K7196" s="24">
        <v>0</v>
      </c>
      <c r="L719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96" s="22" t="str">
        <f>HYPERLINK("mailto:oriballo@crm.otsuka-europe.com", "oriballo@crm.otsuka-europe.com")</f>
        <v>oriballo@crm.otsuka-europe.com</v>
      </c>
      <c r="N7196" s="25">
        <v>46227.518750000003</v>
      </c>
      <c r="O7196" s="14" t="str">
        <f>HYPERLINK("https://otsuka-europe-crm.veevavault.com/ui/#object/email_activity__v/V8C00000004D237", "EN-002108516")</f>
        <v>EN-002108516</v>
      </c>
    </row>
    <row r="7197" spans="1:15" ht="16" x14ac:dyDescent="0.2">
      <c r="A7197" s="19"/>
      <c r="B7197" s="19"/>
      <c r="C7197" s="19"/>
      <c r="D7197" s="19"/>
      <c r="E7197" s="19"/>
      <c r="F7197" s="19"/>
      <c r="G7197" s="19"/>
      <c r="H7197" s="19"/>
      <c r="I7197" s="19"/>
      <c r="J7197" s="19"/>
      <c r="K7197" s="19"/>
      <c r="L7197" s="19"/>
      <c r="M7197" s="19"/>
      <c r="N7197" s="19"/>
      <c r="O7197" s="14" t="str">
        <f>HYPERLINK("https://otsuka-europe-crm.veevavault.com/ui/#object/email_activity__v/V8C00000004E399", "EN-002109147")</f>
        <v>EN-002109147</v>
      </c>
    </row>
    <row r="7198" spans="1:15" ht="16" x14ac:dyDescent="0.2">
      <c r="A7198" s="18" t="str">
        <f>HYPERLINK("https://otsuka-europe-crm.veevavault.com/ui/#object/account__v/V4TZ04ASG9MA4E2", "EUGENIO CHAMIZO CARMONA")</f>
        <v>EUGENIO CHAMIZO CARMONA</v>
      </c>
      <c r="B7198" s="18" t="str">
        <f>HYPERLINK("https://otsuka-europe-crm.veevavault.com/ui/#object/vcountry__v/VENZ000004SONF5", "ES")</f>
        <v>ES</v>
      </c>
      <c r="C7198" s="20" t="s">
        <v>39</v>
      </c>
      <c r="D719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198" s="22" t="str">
        <f>HYPERLINK("https://otsuka-europe-crm.veevavault.com/ui/#object/sent_email__v/VBL00000003B174", "SE-001444996")</f>
        <v>SE-001444996</v>
      </c>
      <c r="F7198" s="25">
        <v>46227.524074074077</v>
      </c>
      <c r="G7198" s="24">
        <v>1</v>
      </c>
      <c r="H7198" s="24">
        <v>3</v>
      </c>
      <c r="I7198" s="24">
        <v>0</v>
      </c>
      <c r="J7198" s="23"/>
      <c r="K7198" s="24">
        <v>0</v>
      </c>
      <c r="L719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198" s="22" t="str">
        <f>HYPERLINK("mailto:oriballo@crm.otsuka-europe.com", "oriballo@crm.otsuka-europe.com")</f>
        <v>oriballo@crm.otsuka-europe.com</v>
      </c>
      <c r="N7198" s="25">
        <v>46227.518726851849</v>
      </c>
      <c r="O7198" s="14" t="str">
        <f>HYPERLINK("https://otsuka-europe-crm.veevavault.com/ui/#object/email_activity__v/V8C00000004D206", "EN-002108485")</f>
        <v>EN-002108485</v>
      </c>
    </row>
    <row r="7199" spans="1:15" ht="16" x14ac:dyDescent="0.2">
      <c r="A7199" s="26"/>
      <c r="B7199" s="26"/>
      <c r="C7199" s="26"/>
      <c r="D7199" s="26"/>
      <c r="E7199" s="26"/>
      <c r="F7199" s="26"/>
      <c r="G7199" s="26"/>
      <c r="H7199" s="26"/>
      <c r="I7199" s="26"/>
      <c r="J7199" s="26"/>
      <c r="K7199" s="26"/>
      <c r="L7199" s="26"/>
      <c r="M7199" s="26"/>
      <c r="N7199" s="26"/>
      <c r="O7199" s="14" t="str">
        <f>HYPERLINK("https://otsuka-europe-crm.veevavault.com/ui/#object/email_activity__v/V8C00000004D333", "EN-002108684")</f>
        <v>EN-002108684</v>
      </c>
    </row>
    <row r="7200" spans="1:15" ht="16" x14ac:dyDescent="0.2">
      <c r="A7200" s="26"/>
      <c r="B7200" s="26"/>
      <c r="C7200" s="26"/>
      <c r="D7200" s="26"/>
      <c r="E7200" s="26"/>
      <c r="F7200" s="26"/>
      <c r="G7200" s="26"/>
      <c r="H7200" s="26"/>
      <c r="I7200" s="26"/>
      <c r="J7200" s="26"/>
      <c r="K7200" s="26"/>
      <c r="L7200" s="26"/>
      <c r="M7200" s="26"/>
      <c r="N7200" s="26"/>
      <c r="O7200" s="14" t="str">
        <f>HYPERLINK("https://otsuka-europe-crm.veevavault.com/ui/#object/email_activity__v/V8C00000004D334", "EN-002108685")</f>
        <v>EN-002108685</v>
      </c>
    </row>
    <row r="7201" spans="1:15" ht="16" x14ac:dyDescent="0.2">
      <c r="A7201" s="19"/>
      <c r="B7201" s="19"/>
      <c r="C7201" s="19"/>
      <c r="D7201" s="19"/>
      <c r="E7201" s="19"/>
      <c r="F7201" s="19"/>
      <c r="G7201" s="19"/>
      <c r="H7201" s="19"/>
      <c r="I7201" s="19"/>
      <c r="J7201" s="19"/>
      <c r="K7201" s="19"/>
      <c r="L7201" s="19"/>
      <c r="M7201" s="19"/>
      <c r="N7201" s="19"/>
      <c r="O7201" s="14" t="str">
        <f>HYPERLINK("https://otsuka-europe-crm.veevavault.com/ui/#object/email_activity__v/V8C00000004E061", "EN-002108464")</f>
        <v>EN-002108464</v>
      </c>
    </row>
    <row r="7202" spans="1:15" ht="64" x14ac:dyDescent="0.2">
      <c r="A7202" s="7" t="str">
        <f>HYPERLINK("https://otsuka-europe-crm.veevavault.com/ui/#object/account__v/V4TZ04ASGCYMFLR", "RICARDO JUAN GIL VELEZ")</f>
        <v>RICARDO JUAN GIL VELEZ</v>
      </c>
      <c r="B7202" s="7" t="str">
        <f>HYPERLINK("https://otsuka-europe-crm.veevavault.com/ui/#object/vcountry__v/VENZ000004SONF5", "ES")</f>
        <v>ES</v>
      </c>
      <c r="C7202" s="8" t="s">
        <v>39</v>
      </c>
      <c r="D720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02" s="10" t="str">
        <f>HYPERLINK("https://otsuka-europe-crm.veevavault.com/ui/#object/sent_email__v/VBL00000003B175", "SE-001444997")</f>
        <v>SE-001444997</v>
      </c>
      <c r="F7202" s="11"/>
      <c r="G7202" s="12">
        <v>0</v>
      </c>
      <c r="H7202" s="12">
        <v>0</v>
      </c>
      <c r="I7202" s="12">
        <v>0</v>
      </c>
      <c r="J7202" s="11"/>
      <c r="K7202" s="12">
        <v>0</v>
      </c>
      <c r="L720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02" s="10" t="str">
        <f>HYPERLINK("mailto:oriballo@crm.otsuka-europe.com", "oriballo@crm.otsuka-europe.com")</f>
        <v>oriballo@crm.otsuka-europe.com</v>
      </c>
      <c r="N7202" s="13">
        <v>46227.518738425926</v>
      </c>
      <c r="O7202" s="14" t="str">
        <f>HYPERLINK("https://otsuka-europe-crm.veevavault.com/ui/#object/email_activity__v/V8C00000004D234", "EN-002108513")</f>
        <v>EN-002108513</v>
      </c>
    </row>
    <row r="7203" spans="1:15" ht="16" x14ac:dyDescent="0.2">
      <c r="A7203" s="18" t="str">
        <f>HYPERLINK("https://otsuka-europe-crm.veevavault.com/ui/#object/account__v/V4TZ025E8317EIU", "MAITE ODRIOZOLA GIL")</f>
        <v>MAITE ODRIOZOLA GIL</v>
      </c>
      <c r="B7203" s="18" t="str">
        <f>HYPERLINK("https://otsuka-europe-crm.veevavault.com/ui/#object/vcountry__v/VENZ000004SONF5", "ES")</f>
        <v>ES</v>
      </c>
      <c r="C7203" s="20" t="s">
        <v>39</v>
      </c>
      <c r="D720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03" s="22" t="str">
        <f>HYPERLINK("https://otsuka-europe-crm.veevavault.com/ui/#object/sent_email__v/VBL00000003B176", "SE-001444998")</f>
        <v>SE-001444998</v>
      </c>
      <c r="F7203" s="25">
        <v>46227.536157407405</v>
      </c>
      <c r="G7203" s="24">
        <v>1</v>
      </c>
      <c r="H7203" s="24">
        <v>2</v>
      </c>
      <c r="I7203" s="24">
        <v>0</v>
      </c>
      <c r="J7203" s="23"/>
      <c r="K7203" s="24">
        <v>0</v>
      </c>
      <c r="L720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03" s="22" t="str">
        <f>HYPERLINK("mailto:oriballo@crm.otsuka-europe.com", "oriballo@crm.otsuka-europe.com")</f>
        <v>oriballo@crm.otsuka-europe.com</v>
      </c>
      <c r="N7203" s="25">
        <v>46227.518726851849</v>
      </c>
      <c r="O7203" s="14" t="str">
        <f>HYPERLINK("https://otsuka-europe-crm.veevavault.com/ui/#object/email_activity__v/V8C00000004D186", "EN-002108465")</f>
        <v>EN-002108465</v>
      </c>
    </row>
    <row r="7204" spans="1:15" ht="16" x14ac:dyDescent="0.2">
      <c r="A7204" s="26"/>
      <c r="B7204" s="26"/>
      <c r="C7204" s="26"/>
      <c r="D7204" s="26"/>
      <c r="E7204" s="26"/>
      <c r="F7204" s="26"/>
      <c r="G7204" s="26"/>
      <c r="H7204" s="26"/>
      <c r="I7204" s="26"/>
      <c r="J7204" s="26"/>
      <c r="K7204" s="26"/>
      <c r="L7204" s="26"/>
      <c r="M7204" s="26"/>
      <c r="N7204" s="26"/>
      <c r="O7204" s="14" t="str">
        <f>HYPERLINK("https://otsuka-europe-crm.veevavault.com/ui/#object/email_activity__v/V8C00000004E063", "EN-002108524")</f>
        <v>EN-002108524</v>
      </c>
    </row>
    <row r="7205" spans="1:15" ht="16" x14ac:dyDescent="0.2">
      <c r="A7205" s="19"/>
      <c r="B7205" s="19"/>
      <c r="C7205" s="19"/>
      <c r="D7205" s="19"/>
      <c r="E7205" s="19"/>
      <c r="F7205" s="19"/>
      <c r="G7205" s="19"/>
      <c r="H7205" s="19"/>
      <c r="I7205" s="19"/>
      <c r="J7205" s="19"/>
      <c r="K7205" s="19"/>
      <c r="L7205" s="19"/>
      <c r="M7205" s="19"/>
      <c r="N7205" s="19"/>
      <c r="O7205" s="14" t="str">
        <f>HYPERLINK("https://otsuka-europe-crm.veevavault.com/ui/#object/email_activity__v/V8C00000004E147", "EN-002108701")</f>
        <v>EN-002108701</v>
      </c>
    </row>
    <row r="7206" spans="1:15" ht="16" x14ac:dyDescent="0.2">
      <c r="A7206" s="18" t="str">
        <f>HYPERLINK("https://otsuka-europe-crm.veevavault.com/ui/#object/account__v/V4TZ04ASGAV8CVH", "ALEJANDRO ESCUDERO CONTRERAS")</f>
        <v>ALEJANDRO ESCUDERO CONTRERAS</v>
      </c>
      <c r="B7206" s="18" t="str">
        <f>HYPERLINK("https://otsuka-europe-crm.veevavault.com/ui/#object/vcountry__v/VENZ000004SONF5", "ES")</f>
        <v>ES</v>
      </c>
      <c r="C7206" s="20" t="s">
        <v>39</v>
      </c>
      <c r="D720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06" s="22" t="str">
        <f>HYPERLINK("https://otsuka-europe-crm.veevavault.com/ui/#object/sent_email__v/VBL00000003B177", "SE-001444999")</f>
        <v>SE-001444999</v>
      </c>
      <c r="F7206" s="23"/>
      <c r="G7206" s="24">
        <v>0</v>
      </c>
      <c r="H7206" s="24">
        <v>0</v>
      </c>
      <c r="I7206" s="24">
        <v>0</v>
      </c>
      <c r="J7206" s="23"/>
      <c r="K7206" s="24">
        <v>0</v>
      </c>
      <c r="L720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06" s="22" t="str">
        <f>HYPERLINK("mailto:oriballo@crm.otsuka-europe.com", "oriballo@crm.otsuka-europe.com")</f>
        <v>oriballo@crm.otsuka-europe.com</v>
      </c>
      <c r="N7206" s="25">
        <v>46227.518726851849</v>
      </c>
      <c r="O7206" s="14" t="str">
        <f>HYPERLINK("https://otsuka-europe-crm.veevavault.com/ui/#object/email_activity__v/V8C00000004D195", "EN-002108474")</f>
        <v>EN-002108474</v>
      </c>
    </row>
    <row r="7207" spans="1:15" ht="16" x14ac:dyDescent="0.2">
      <c r="A7207" s="26"/>
      <c r="B7207" s="26"/>
      <c r="C7207" s="26"/>
      <c r="D7207" s="26"/>
      <c r="E7207" s="26"/>
      <c r="F7207" s="26"/>
      <c r="G7207" s="26"/>
      <c r="H7207" s="26"/>
      <c r="I7207" s="26"/>
      <c r="J7207" s="26"/>
      <c r="K7207" s="26"/>
      <c r="L7207" s="26"/>
      <c r="M7207" s="26"/>
      <c r="N7207" s="26"/>
      <c r="O7207" s="14" t="str">
        <f>HYPERLINK("https://otsuka-europe-crm.veevavault.com/ui/#object/email_activity__v/V8C00000004D439", "EN-002108959")</f>
        <v>EN-002108959</v>
      </c>
    </row>
    <row r="7208" spans="1:15" ht="16" x14ac:dyDescent="0.2">
      <c r="A7208" s="19"/>
      <c r="B7208" s="19"/>
      <c r="C7208" s="19"/>
      <c r="D7208" s="19"/>
      <c r="E7208" s="19"/>
      <c r="F7208" s="19"/>
      <c r="G7208" s="19"/>
      <c r="H7208" s="19"/>
      <c r="I7208" s="19"/>
      <c r="J7208" s="19"/>
      <c r="K7208" s="19"/>
      <c r="L7208" s="19"/>
      <c r="M7208" s="19"/>
      <c r="N7208" s="19"/>
      <c r="O7208" s="14" t="str">
        <f>HYPERLINK("https://otsuka-europe-crm.veevavault.com/ui/#object/email_activity__v/V8C00000004E380", "EN-002109103")</f>
        <v>EN-002109103</v>
      </c>
    </row>
    <row r="7209" spans="1:15" ht="16" x14ac:dyDescent="0.2">
      <c r="A7209" s="18" t="str">
        <f>HYPERLINK("https://otsuka-europe-crm.veevavault.com/ui/#object/account__v/V4TZ04ASG9RHE35", "ALEJANDRO MUÑOZ JIMENEZ")</f>
        <v>ALEJANDRO MUÑOZ JIMENEZ</v>
      </c>
      <c r="B7209" s="18" t="str">
        <f>HYPERLINK("https://otsuka-europe-crm.veevavault.com/ui/#object/vcountry__v/VENZ000004SONF5", "ES")</f>
        <v>ES</v>
      </c>
      <c r="C7209" s="20" t="s">
        <v>39</v>
      </c>
      <c r="D720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09" s="22" t="str">
        <f>HYPERLINK("https://otsuka-europe-crm.veevavault.com/ui/#object/sent_email__v/VBL00000003B178", "SE-001445000")</f>
        <v>SE-001445000</v>
      </c>
      <c r="F7209" s="23"/>
      <c r="G7209" s="24">
        <v>0</v>
      </c>
      <c r="H7209" s="24">
        <v>0</v>
      </c>
      <c r="I7209" s="24">
        <v>0</v>
      </c>
      <c r="J7209" s="23"/>
      <c r="K7209" s="24">
        <v>0</v>
      </c>
      <c r="L720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09" s="22" t="str">
        <f>HYPERLINK("mailto:oriballo@crm.otsuka-europe.com", "oriballo@crm.otsuka-europe.com")</f>
        <v>oriballo@crm.otsuka-europe.com</v>
      </c>
      <c r="N7209" s="25">
        <v>46227.518761574072</v>
      </c>
      <c r="O7209" s="14" t="str">
        <f>HYPERLINK("https://otsuka-europe-crm.veevavault.com/ui/#object/email_activity__v/V8C00000004D240", "EN-002108519")</f>
        <v>EN-002108519</v>
      </c>
    </row>
    <row r="7210" spans="1:15" ht="16" x14ac:dyDescent="0.2">
      <c r="A7210" s="19"/>
      <c r="B7210" s="19"/>
      <c r="C7210" s="19"/>
      <c r="D7210" s="19"/>
      <c r="E7210" s="19"/>
      <c r="F7210" s="19"/>
      <c r="G7210" s="19"/>
      <c r="H7210" s="19"/>
      <c r="I7210" s="19"/>
      <c r="J7210" s="19"/>
      <c r="K7210" s="19"/>
      <c r="L7210" s="19"/>
      <c r="M7210" s="19"/>
      <c r="N7210" s="19"/>
      <c r="O7210" s="14" t="str">
        <f>HYPERLINK("https://otsuka-europe-crm.veevavault.com/ui/#object/email_activity__v/V8C00000004E153", "EN-002108707")</f>
        <v>EN-002108707</v>
      </c>
    </row>
    <row r="7211" spans="1:15" ht="16" x14ac:dyDescent="0.2">
      <c r="A7211" s="18" t="str">
        <f>HYPERLINK("https://otsuka-europe-crm.veevavault.com/ui/#object/account__v/V4TZ04ASGBJBW95", "ANTONIO CARDENAL ESCARCENA")</f>
        <v>ANTONIO CARDENAL ESCARCENA</v>
      </c>
      <c r="B7211" s="18" t="str">
        <f>HYPERLINK("https://otsuka-europe-crm.veevavault.com/ui/#object/vcountry__v/VENZ000004SONF5", "ES")</f>
        <v>ES</v>
      </c>
      <c r="C7211" s="20" t="s">
        <v>39</v>
      </c>
      <c r="D7211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11" s="22" t="str">
        <f>HYPERLINK("https://otsuka-europe-crm.veevavault.com/ui/#object/sent_email__v/VBL00000003B179", "SE-001445001")</f>
        <v>SE-001445001</v>
      </c>
      <c r="F7211" s="25">
        <v>46227.518807870372</v>
      </c>
      <c r="G7211" s="24">
        <v>1</v>
      </c>
      <c r="H7211" s="24">
        <v>1</v>
      </c>
      <c r="I7211" s="24">
        <v>0</v>
      </c>
      <c r="J7211" s="23"/>
      <c r="K7211" s="24">
        <v>0</v>
      </c>
      <c r="L7211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11" s="22" t="str">
        <f>HYPERLINK("mailto:oriballo@crm.otsuka-europe.com", "oriballo@crm.otsuka-europe.com")</f>
        <v>oriballo@crm.otsuka-europe.com</v>
      </c>
      <c r="N7211" s="25">
        <v>46227.518726851849</v>
      </c>
      <c r="O7211" s="14" t="str">
        <f>HYPERLINK("https://otsuka-europe-crm.veevavault.com/ui/#object/email_activity__v/V8C00000004D185", "EN-002108463")</f>
        <v>EN-002108463</v>
      </c>
    </row>
    <row r="7212" spans="1:15" ht="16" x14ac:dyDescent="0.2">
      <c r="A7212" s="19"/>
      <c r="B7212" s="19"/>
      <c r="C7212" s="19"/>
      <c r="D7212" s="19"/>
      <c r="E7212" s="19"/>
      <c r="F7212" s="19"/>
      <c r="G7212" s="19"/>
      <c r="H7212" s="19"/>
      <c r="I7212" s="19"/>
      <c r="J7212" s="19"/>
      <c r="K7212" s="19"/>
      <c r="L7212" s="19"/>
      <c r="M7212" s="19"/>
      <c r="N7212" s="19"/>
      <c r="O7212" s="14" t="str">
        <f>HYPERLINK("https://otsuka-europe-crm.veevavault.com/ui/#object/email_activity__v/V8C00000004D209", "EN-002108488")</f>
        <v>EN-002108488</v>
      </c>
    </row>
    <row r="7213" spans="1:15" ht="16" x14ac:dyDescent="0.2">
      <c r="A7213" s="18" t="str">
        <f>HYPERLINK("https://otsuka-europe-crm.veevavault.com/ui/#object/account__v/V4TZ025E82C8ZUO", "MARIA JOSE PEREZ QUINTANA")</f>
        <v>MARIA JOSE PEREZ QUINTANA</v>
      </c>
      <c r="B7213" s="18" t="str">
        <f>HYPERLINK("https://otsuka-europe-crm.veevavault.com/ui/#object/vcountry__v/VENZ000004SONF5", "ES")</f>
        <v>ES</v>
      </c>
      <c r="C7213" s="20" t="s">
        <v>39</v>
      </c>
      <c r="D7213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13" s="22" t="str">
        <f>HYPERLINK("https://otsuka-europe-crm.veevavault.com/ui/#object/sent_email__v/VBL00000003B180", "SE-001445002")</f>
        <v>SE-001445002</v>
      </c>
      <c r="F7213" s="25">
        <v>46227.518831018519</v>
      </c>
      <c r="G7213" s="24">
        <v>1</v>
      </c>
      <c r="H7213" s="24">
        <v>1</v>
      </c>
      <c r="I7213" s="24">
        <v>0</v>
      </c>
      <c r="J7213" s="23"/>
      <c r="K7213" s="24">
        <v>0</v>
      </c>
      <c r="L7213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13" s="22" t="str">
        <f>HYPERLINK("mailto:oriballo@crm.otsuka-europe.com", "oriballo@crm.otsuka-europe.com")</f>
        <v>oriballo@crm.otsuka-europe.com</v>
      </c>
      <c r="N7213" s="25">
        <v>46227.518726851849</v>
      </c>
      <c r="O7213" s="14" t="str">
        <f>HYPERLINK("https://otsuka-europe-crm.veevavault.com/ui/#object/email_activity__v/V8C00000004D177", "EN-002108449")</f>
        <v>EN-002108449</v>
      </c>
    </row>
    <row r="7214" spans="1:15" ht="16" x14ac:dyDescent="0.2">
      <c r="A7214" s="19"/>
      <c r="B7214" s="19"/>
      <c r="C7214" s="19"/>
      <c r="D7214" s="19"/>
      <c r="E7214" s="19"/>
      <c r="F7214" s="19"/>
      <c r="G7214" s="19"/>
      <c r="H7214" s="19"/>
      <c r="I7214" s="19"/>
      <c r="J7214" s="19"/>
      <c r="K7214" s="19"/>
      <c r="L7214" s="19"/>
      <c r="M7214" s="19"/>
      <c r="N7214" s="19"/>
      <c r="O7214" s="14" t="str">
        <f>HYPERLINK("https://otsuka-europe-crm.veevavault.com/ui/#object/email_activity__v/V8C00000004D204", "EN-002108483")</f>
        <v>EN-002108483</v>
      </c>
    </row>
    <row r="7215" spans="1:15" ht="64" x14ac:dyDescent="0.2">
      <c r="A7215" s="7" t="str">
        <f>HYPERLINK("https://otsuka-europe-crm.veevavault.com/ui/#object/account__v/V4TZ04ASGCYMN5H", "MARIA LISBONA MUÑOZ")</f>
        <v>MARIA LISBONA MUÑOZ</v>
      </c>
      <c r="B7215" s="7" t="str">
        <f>HYPERLINK("https://otsuka-europe-crm.veevavault.com/ui/#object/vcountry__v/VENZ000004SONF5", "ES")</f>
        <v>ES</v>
      </c>
      <c r="C7215" s="8" t="s">
        <v>39</v>
      </c>
      <c r="D7215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15" s="10" t="str">
        <f>HYPERLINK("https://otsuka-europe-crm.veevavault.com/ui/#object/sent_email__v/VBL00000003B181", "SE-001445003")</f>
        <v>SE-001445003</v>
      </c>
      <c r="F7215" s="11"/>
      <c r="G7215" s="12">
        <v>0</v>
      </c>
      <c r="H7215" s="12">
        <v>0</v>
      </c>
      <c r="I7215" s="12">
        <v>0</v>
      </c>
      <c r="J7215" s="11"/>
      <c r="K7215" s="12">
        <v>0</v>
      </c>
      <c r="L7215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15" s="10" t="str">
        <f>HYPERLINK("mailto:oriballo@crm.otsuka-europe.com", "oriballo@crm.otsuka-europe.com")</f>
        <v>oriballo@crm.otsuka-europe.com</v>
      </c>
      <c r="N7215" s="13">
        <v>46227.518726851849</v>
      </c>
      <c r="O7215" s="14" t="str">
        <f>HYPERLINK("https://otsuka-europe-crm.veevavault.com/ui/#object/email_activity__v/V8C00000004D227", "EN-002108506")</f>
        <v>EN-002108506</v>
      </c>
    </row>
    <row r="7216" spans="1:15" ht="16" x14ac:dyDescent="0.2">
      <c r="A7216" s="18" t="str">
        <f>HYPERLINK("https://otsuka-europe-crm.veevavault.com/ui/#object/account__v/V4TZ025E83WTLB3", "PALOMA MUÑOZ REINOSO")</f>
        <v>PALOMA MUÑOZ REINOSO</v>
      </c>
      <c r="B7216" s="18" t="str">
        <f>HYPERLINK("https://otsuka-europe-crm.veevavault.com/ui/#object/vcountry__v/VENZ000004SONF5", "ES")</f>
        <v>ES</v>
      </c>
      <c r="C7216" s="20" t="s">
        <v>39</v>
      </c>
      <c r="D721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16" s="22" t="str">
        <f>HYPERLINK("https://otsuka-europe-crm.veevavault.com/ui/#object/sent_email__v/VBL00000003B182", "SE-001445004")</f>
        <v>SE-001445004</v>
      </c>
      <c r="F7216" s="25">
        <v>46227.525682870371</v>
      </c>
      <c r="G7216" s="24">
        <v>1</v>
      </c>
      <c r="H7216" s="24">
        <v>1</v>
      </c>
      <c r="I7216" s="24">
        <v>0</v>
      </c>
      <c r="J7216" s="23"/>
      <c r="K7216" s="24">
        <v>0</v>
      </c>
      <c r="L721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16" s="22" t="str">
        <f>HYPERLINK("mailto:oriballo@crm.otsuka-europe.com", "oriballo@crm.otsuka-europe.com")</f>
        <v>oriballo@crm.otsuka-europe.com</v>
      </c>
      <c r="N7216" s="25">
        <v>46227.518726851849</v>
      </c>
      <c r="O7216" s="14" t="str">
        <f>HYPERLINK("https://otsuka-europe-crm.veevavault.com/ui/#object/email_activity__v/V8C00000004E060", "EN-002108456")</f>
        <v>EN-002108456</v>
      </c>
    </row>
    <row r="7217" spans="1:15" ht="16" x14ac:dyDescent="0.2">
      <c r="A7217" s="19"/>
      <c r="B7217" s="19"/>
      <c r="C7217" s="19"/>
      <c r="D7217" s="19"/>
      <c r="E7217" s="19"/>
      <c r="F7217" s="19"/>
      <c r="G7217" s="19"/>
      <c r="H7217" s="19"/>
      <c r="I7217" s="19"/>
      <c r="J7217" s="19"/>
      <c r="K7217" s="19"/>
      <c r="L7217" s="19"/>
      <c r="M7217" s="19"/>
      <c r="N7217" s="19"/>
      <c r="O7217" s="14" t="str">
        <f>HYPERLINK("https://otsuka-europe-crm.veevavault.com/ui/#object/email_activity__v/V8C00000004E134", "EN-002108686")</f>
        <v>EN-002108686</v>
      </c>
    </row>
    <row r="7218" spans="1:15" ht="16" x14ac:dyDescent="0.2">
      <c r="A7218" s="18" t="str">
        <f>HYPERLINK("https://otsuka-europe-crm.veevavault.com/ui/#object/account__v/V4TZ04ASGCDG9GH", "LAURA PEREZ SANCHEZ")</f>
        <v>LAURA PEREZ SANCHEZ</v>
      </c>
      <c r="B7218" s="18" t="str">
        <f>HYPERLINK("https://otsuka-europe-crm.veevavault.com/ui/#object/vcountry__v/VENZ000004SONF5", "ES")</f>
        <v>ES</v>
      </c>
      <c r="C7218" s="20" t="s">
        <v>39</v>
      </c>
      <c r="D7218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18" s="22" t="str">
        <f>HYPERLINK("https://otsuka-europe-crm.veevavault.com/ui/#object/sent_email__v/VBL00000003B183", "SE-001445005")</f>
        <v>SE-001445005</v>
      </c>
      <c r="F7218" s="25">
        <v>46230.849074074074</v>
      </c>
      <c r="G7218" s="24">
        <v>1</v>
      </c>
      <c r="H7218" s="24">
        <v>2</v>
      </c>
      <c r="I7218" s="24">
        <v>0</v>
      </c>
      <c r="J7218" s="23"/>
      <c r="K7218" s="24">
        <v>0</v>
      </c>
      <c r="L7218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18" s="22" t="str">
        <f>HYPERLINK("mailto:oriballo@crm.otsuka-europe.com", "oriballo@crm.otsuka-europe.com")</f>
        <v>oriballo@crm.otsuka-europe.com</v>
      </c>
      <c r="N7218" s="25">
        <v>46227.518726851849</v>
      </c>
      <c r="O7218" s="14" t="str">
        <f>HYPERLINK("https://otsuka-europe-crm.veevavault.com/ui/#object/email_activity__v/V8C00000004D182", "EN-002108460")</f>
        <v>EN-002108460</v>
      </c>
    </row>
    <row r="7219" spans="1:15" ht="16" x14ac:dyDescent="0.2">
      <c r="A7219" s="26"/>
      <c r="B7219" s="26"/>
      <c r="C7219" s="26"/>
      <c r="D7219" s="26"/>
      <c r="E7219" s="26"/>
      <c r="F7219" s="26"/>
      <c r="G7219" s="26"/>
      <c r="H7219" s="26"/>
      <c r="I7219" s="26"/>
      <c r="J7219" s="26"/>
      <c r="K7219" s="26"/>
      <c r="L7219" s="26"/>
      <c r="M7219" s="26"/>
      <c r="N7219" s="26"/>
      <c r="O7219" s="14" t="str">
        <f>HYPERLINK("https://otsuka-europe-crm.veevavault.com/ui/#object/email_activity__v/V8C00000004D527", "EN-002109140")</f>
        <v>EN-002109140</v>
      </c>
    </row>
    <row r="7220" spans="1:15" ht="16" x14ac:dyDescent="0.2">
      <c r="A7220" s="19"/>
      <c r="B7220" s="19"/>
      <c r="C7220" s="19"/>
      <c r="D7220" s="19"/>
      <c r="E7220" s="19"/>
      <c r="F7220" s="19"/>
      <c r="G7220" s="19"/>
      <c r="H7220" s="19"/>
      <c r="I7220" s="19"/>
      <c r="J7220" s="19"/>
      <c r="K7220" s="19"/>
      <c r="L7220" s="19"/>
      <c r="M7220" s="19"/>
      <c r="N7220" s="19"/>
      <c r="O7220" s="14" t="str">
        <f>HYPERLINK("https://otsuka-europe-crm.veevavault.com/ui/#object/email_activity__v/V8C00000004E169", "EN-002108730")</f>
        <v>EN-002108730</v>
      </c>
    </row>
    <row r="7221" spans="1:15" ht="64" x14ac:dyDescent="0.2">
      <c r="A7221" s="7" t="str">
        <f>HYPERLINK("https://otsuka-europe-crm.veevavault.com/ui/#object/account__v/V4TZ04ASG95Q2DZ", "RAFAELA ORTEGA CASTRO")</f>
        <v>RAFAELA ORTEGA CASTRO</v>
      </c>
      <c r="B7221" s="7" t="str">
        <f>HYPERLINK("https://otsuka-europe-crm.veevavault.com/ui/#object/vcountry__v/VENZ000004SONF5", "ES")</f>
        <v>ES</v>
      </c>
      <c r="C7221" s="8" t="s">
        <v>39</v>
      </c>
      <c r="D7221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21" s="10" t="str">
        <f>HYPERLINK("https://otsuka-europe-crm.veevavault.com/ui/#object/sent_email__v/VBL00000003B184", "SE-001445006")</f>
        <v>SE-001445006</v>
      </c>
      <c r="F7221" s="11"/>
      <c r="G7221" s="12">
        <v>0</v>
      </c>
      <c r="H7221" s="12">
        <v>0</v>
      </c>
      <c r="I7221" s="12">
        <v>0</v>
      </c>
      <c r="J7221" s="11"/>
      <c r="K7221" s="12">
        <v>0</v>
      </c>
      <c r="L7221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21" s="10" t="str">
        <f>HYPERLINK("mailto:oriballo@crm.otsuka-europe.com", "oriballo@crm.otsuka-europe.com")</f>
        <v>oriballo@crm.otsuka-europe.com</v>
      </c>
      <c r="N7221" s="13">
        <v>46227.518726851849</v>
      </c>
      <c r="O7221" s="14" t="str">
        <f>HYPERLINK("https://otsuka-europe-crm.veevavault.com/ui/#object/email_activity__v/V8C00000004D201", "EN-002108480")</f>
        <v>EN-002108480</v>
      </c>
    </row>
    <row r="7222" spans="1:15" ht="64" x14ac:dyDescent="0.2">
      <c r="A7222" s="7" t="str">
        <f>HYPERLINK("https://otsuka-europe-crm.veevavault.com/ui/#object/account__v/V4TZ04ASG9RG6EE", "TOMAS ALMORZA HIDALGO")</f>
        <v>TOMAS ALMORZA HIDALGO</v>
      </c>
      <c r="B7222" s="7" t="str">
        <f>HYPERLINK("https://otsuka-europe-crm.veevavault.com/ui/#object/vcountry__v/VENZ000004SONF5", "ES")</f>
        <v>ES</v>
      </c>
      <c r="C7222" s="8" t="s">
        <v>39</v>
      </c>
      <c r="D7222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22" s="10" t="str">
        <f>HYPERLINK("https://otsuka-europe-crm.veevavault.com/ui/#object/sent_email__v/VBL00000003B185", "SE-001445007")</f>
        <v>SE-001445007</v>
      </c>
      <c r="F7222" s="11"/>
      <c r="G7222" s="12">
        <v>0</v>
      </c>
      <c r="H7222" s="12">
        <v>0</v>
      </c>
      <c r="I7222" s="12">
        <v>0</v>
      </c>
      <c r="J7222" s="11"/>
      <c r="K7222" s="12">
        <v>0</v>
      </c>
      <c r="L7222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22" s="10" t="str">
        <f>HYPERLINK("mailto:oriballo@crm.otsuka-europe.com", "oriballo@crm.otsuka-europe.com")</f>
        <v>oriballo@crm.otsuka-europe.com</v>
      </c>
      <c r="N7222" s="13">
        <v>46227.518726851849</v>
      </c>
      <c r="O7222" s="14" t="str">
        <f>HYPERLINK("https://otsuka-europe-crm.veevavault.com/ui/#object/email_activity__v/V8C00000004D198", "EN-002108477")</f>
        <v>EN-002108477</v>
      </c>
    </row>
    <row r="7223" spans="1:15" ht="64" x14ac:dyDescent="0.2">
      <c r="A7223" s="7" t="str">
        <f>HYPERLINK("https://otsuka-europe-crm.veevavault.com/ui/#object/account__v/V4TZ04ASGB98DNM", "CINTHIA SERRANO VIRLAN")</f>
        <v>CINTHIA SERRANO VIRLAN</v>
      </c>
      <c r="B7223" s="7" t="str">
        <f>HYPERLINK("https://otsuka-europe-crm.veevavault.com/ui/#object/vcountry__v/VENZ000004SONF5", "ES")</f>
        <v>ES</v>
      </c>
      <c r="C7223" s="8" t="s">
        <v>39</v>
      </c>
      <c r="D7223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23" s="10" t="str">
        <f>HYPERLINK("https://otsuka-europe-crm.veevavault.com/ui/#object/sent_email__v/VBL00000003B186", "SE-001445008")</f>
        <v>SE-001445008</v>
      </c>
      <c r="F7223" s="11"/>
      <c r="G7223" s="12">
        <v>0</v>
      </c>
      <c r="H7223" s="12">
        <v>0</v>
      </c>
      <c r="I7223" s="12">
        <v>0</v>
      </c>
      <c r="J7223" s="11"/>
      <c r="K7223" s="12">
        <v>0</v>
      </c>
      <c r="L7223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23" s="10" t="str">
        <f>HYPERLINK("mailto:oriballo@crm.otsuka-europe.com", "oriballo@crm.otsuka-europe.com")</f>
        <v>oriballo@crm.otsuka-europe.com</v>
      </c>
      <c r="N7223" s="13">
        <v>46227.518726851849</v>
      </c>
      <c r="O7223" s="14" t="str">
        <f>HYPERLINK("https://otsuka-europe-crm.veevavault.com/ui/#object/email_activity__v/V8C00000004D228", "EN-002108507")</f>
        <v>EN-002108507</v>
      </c>
    </row>
    <row r="7224" spans="1:15" ht="64" x14ac:dyDescent="0.2">
      <c r="A7224" s="7" t="str">
        <f>HYPERLINK("https://otsuka-europe-crm.veevavault.com/ui/#object/account__v/V4TZ04ASGEI40BV", "MARIA JOSE ALADOS HERNANDEZ")</f>
        <v>MARIA JOSE ALADOS HERNANDEZ</v>
      </c>
      <c r="B7224" s="7" t="str">
        <f>HYPERLINK("https://otsuka-europe-crm.veevavault.com/ui/#object/vcountry__v/VENZ000004SONF5", "ES")</f>
        <v>ES</v>
      </c>
      <c r="C7224" s="8" t="s">
        <v>39</v>
      </c>
      <c r="D7224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24" s="10" t="str">
        <f>HYPERLINK("https://otsuka-europe-crm.veevavault.com/ui/#object/sent_email__v/VBL00000003B187", "SE-001445009")</f>
        <v>SE-001445009</v>
      </c>
      <c r="F7224" s="11"/>
      <c r="G7224" s="12">
        <v>0</v>
      </c>
      <c r="H7224" s="12">
        <v>0</v>
      </c>
      <c r="I7224" s="12">
        <v>0</v>
      </c>
      <c r="J7224" s="11"/>
      <c r="K7224" s="12">
        <v>0</v>
      </c>
      <c r="L7224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24" s="10" t="str">
        <f>HYPERLINK("mailto:oriballo@crm.otsuka-europe.com", "oriballo@crm.otsuka-europe.com")</f>
        <v>oriballo@crm.otsuka-europe.com</v>
      </c>
      <c r="N7224" s="13">
        <v>46227.518726851849</v>
      </c>
      <c r="O7224" s="14" t="str">
        <f>HYPERLINK("https://otsuka-europe-crm.veevavault.com/ui/#object/email_activity__v/V8C00000004D174", "EN-002108446")</f>
        <v>EN-002108446</v>
      </c>
    </row>
    <row r="7225" spans="1:15" ht="16" x14ac:dyDescent="0.2">
      <c r="A7225" s="18" t="str">
        <f>HYPERLINK("https://otsuka-europe-crm.veevavault.com/ui/#object/account__v/V4TZ04ASGGCF9UG", "GRACIA MORAL GARCIA")</f>
        <v>GRACIA MORAL GARCIA</v>
      </c>
      <c r="B7225" s="18" t="str">
        <f>HYPERLINK("https://otsuka-europe-crm.veevavault.com/ui/#object/vcountry__v/VENZ000004SONF5", "ES")</f>
        <v>ES</v>
      </c>
      <c r="C7225" s="20" t="s">
        <v>39</v>
      </c>
      <c r="D7225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25" s="22" t="str">
        <f>HYPERLINK("https://otsuka-europe-crm.veevavault.com/ui/#object/sent_email__v/VBL00000003B188", "SE-001445010")</f>
        <v>SE-001445010</v>
      </c>
      <c r="F7225" s="25">
        <v>46227.892152777778</v>
      </c>
      <c r="G7225" s="24">
        <v>1</v>
      </c>
      <c r="H7225" s="24">
        <v>1</v>
      </c>
      <c r="I7225" s="24">
        <v>0</v>
      </c>
      <c r="J7225" s="23"/>
      <c r="K7225" s="24">
        <v>0</v>
      </c>
      <c r="L7225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25" s="22" t="str">
        <f>HYPERLINK("mailto:oriballo@crm.otsuka-europe.com", "oriballo@crm.otsuka-europe.com")</f>
        <v>oriballo@crm.otsuka-europe.com</v>
      </c>
      <c r="N7225" s="25">
        <v>46227.518726851849</v>
      </c>
      <c r="O7225" s="14" t="str">
        <f>HYPERLINK("https://otsuka-europe-crm.veevavault.com/ui/#object/email_activity__v/V8C00000004D178", "EN-002108450")</f>
        <v>EN-002108450</v>
      </c>
    </row>
    <row r="7226" spans="1:15" ht="16" x14ac:dyDescent="0.2">
      <c r="A7226" s="19"/>
      <c r="B7226" s="19"/>
      <c r="C7226" s="19"/>
      <c r="D7226" s="19"/>
      <c r="E7226" s="19"/>
      <c r="F7226" s="19"/>
      <c r="G7226" s="19"/>
      <c r="H7226" s="19"/>
      <c r="I7226" s="19"/>
      <c r="J7226" s="19"/>
      <c r="K7226" s="19"/>
      <c r="L7226" s="19"/>
      <c r="M7226" s="19"/>
      <c r="N7226" s="19"/>
      <c r="O7226" s="14" t="str">
        <f>HYPERLINK("https://otsuka-europe-crm.veevavault.com/ui/#object/email_activity__v/V8C00000004E292", "EN-002108936")</f>
        <v>EN-002108936</v>
      </c>
    </row>
    <row r="7227" spans="1:15" ht="16" x14ac:dyDescent="0.2">
      <c r="A7227" s="18" t="str">
        <f>HYPERLINK("https://otsuka-europe-crm.veevavault.com/ui/#object/account__v/V4TZ025E87BV6HQ", "JAVIER MANZANEQUE SANCHEZ")</f>
        <v>JAVIER MANZANEQUE SANCHEZ</v>
      </c>
      <c r="B7227" s="18" t="str">
        <f>HYPERLINK("https://otsuka-europe-crm.veevavault.com/ui/#object/vcountry__v/VENZ000004SONF5", "ES")</f>
        <v>ES</v>
      </c>
      <c r="C7227" s="20" t="s">
        <v>39</v>
      </c>
      <c r="D7227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27" s="22" t="str">
        <f>HYPERLINK("https://otsuka-europe-crm.veevavault.com/ui/#object/sent_email__v/VBL00000003B189", "SE-001445011")</f>
        <v>SE-001445011</v>
      </c>
      <c r="F7227" s="25">
        <v>46227.671064814815</v>
      </c>
      <c r="G7227" s="24">
        <v>1</v>
      </c>
      <c r="H7227" s="24">
        <v>4</v>
      </c>
      <c r="I7227" s="24">
        <v>0</v>
      </c>
      <c r="J7227" s="23"/>
      <c r="K7227" s="24">
        <v>0</v>
      </c>
      <c r="L7227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27" s="22" t="str">
        <f>HYPERLINK("mailto:oriballo@crm.otsuka-europe.com", "oriballo@crm.otsuka-europe.com")</f>
        <v>oriballo@crm.otsuka-europe.com</v>
      </c>
      <c r="N7227" s="25">
        <v>46227.518726851849</v>
      </c>
      <c r="O7227" s="14" t="str">
        <f>HYPERLINK("https://otsuka-europe-crm.veevavault.com/ui/#object/email_activity__v/V8C00000004D175", "EN-002108447")</f>
        <v>EN-002108447</v>
      </c>
    </row>
    <row r="7228" spans="1:15" ht="16" x14ac:dyDescent="0.2">
      <c r="A7228" s="26"/>
      <c r="B7228" s="26"/>
      <c r="C7228" s="26"/>
      <c r="D7228" s="26"/>
      <c r="E7228" s="26"/>
      <c r="F7228" s="26"/>
      <c r="G7228" s="26"/>
      <c r="H7228" s="26"/>
      <c r="I7228" s="26"/>
      <c r="J7228" s="26"/>
      <c r="K7228" s="26"/>
      <c r="L7228" s="26"/>
      <c r="M7228" s="26"/>
      <c r="N7228" s="26"/>
      <c r="O7228" s="14" t="str">
        <f>HYPERLINK("https://otsuka-europe-crm.veevavault.com/ui/#object/email_activity__v/V8C00000004D401", "EN-002108863")</f>
        <v>EN-002108863</v>
      </c>
    </row>
    <row r="7229" spans="1:15" ht="16" x14ac:dyDescent="0.2">
      <c r="A7229" s="26"/>
      <c r="B7229" s="26"/>
      <c r="C7229" s="26"/>
      <c r="D7229" s="26"/>
      <c r="E7229" s="26"/>
      <c r="F7229" s="26"/>
      <c r="G7229" s="26"/>
      <c r="H7229" s="26"/>
      <c r="I7229" s="26"/>
      <c r="J7229" s="26"/>
      <c r="K7229" s="26"/>
      <c r="L7229" s="26"/>
      <c r="M7229" s="26"/>
      <c r="N7229" s="26"/>
      <c r="O7229" s="14" t="str">
        <f>HYPERLINK("https://otsuka-europe-crm.veevavault.com/ui/#object/email_activity__v/V8C00000004E205", "EN-002108791")</f>
        <v>EN-002108791</v>
      </c>
    </row>
    <row r="7230" spans="1:15" ht="16" x14ac:dyDescent="0.2">
      <c r="A7230" s="26"/>
      <c r="B7230" s="26"/>
      <c r="C7230" s="26"/>
      <c r="D7230" s="26"/>
      <c r="E7230" s="26"/>
      <c r="F7230" s="26"/>
      <c r="G7230" s="26"/>
      <c r="H7230" s="26"/>
      <c r="I7230" s="26"/>
      <c r="J7230" s="26"/>
      <c r="K7230" s="26"/>
      <c r="L7230" s="26"/>
      <c r="M7230" s="26"/>
      <c r="N7230" s="26"/>
      <c r="O7230" s="14" t="str">
        <f>HYPERLINK("https://otsuka-europe-crm.veevavault.com/ui/#object/email_activity__v/V8C00000004E245", "EN-002108864")</f>
        <v>EN-002108864</v>
      </c>
    </row>
    <row r="7231" spans="1:15" ht="16" x14ac:dyDescent="0.2">
      <c r="A7231" s="19"/>
      <c r="B7231" s="19"/>
      <c r="C7231" s="19"/>
      <c r="D7231" s="19"/>
      <c r="E7231" s="19"/>
      <c r="F7231" s="19"/>
      <c r="G7231" s="19"/>
      <c r="H7231" s="19"/>
      <c r="I7231" s="19"/>
      <c r="J7231" s="19"/>
      <c r="K7231" s="19"/>
      <c r="L7231" s="19"/>
      <c r="M7231" s="19"/>
      <c r="N7231" s="19"/>
      <c r="O7231" s="14" t="str">
        <f>HYPERLINK("https://otsuka-europe-crm.veevavault.com/ui/#object/email_activity__v/V8C00000004E246", "EN-002108865")</f>
        <v>EN-002108865</v>
      </c>
    </row>
    <row r="7232" spans="1:15" ht="16" x14ac:dyDescent="0.2">
      <c r="A7232" s="18" t="str">
        <f>HYPERLINK("https://otsuka-europe-crm.veevavault.com/ui/#object/account__v/V4TZ04ASGGKMZ4F", "JULIO DAVID SUAREZ CUBA")</f>
        <v>JULIO DAVID SUAREZ CUBA</v>
      </c>
      <c r="B7232" s="18" t="str">
        <f>HYPERLINK("https://otsuka-europe-crm.veevavault.com/ui/#object/vcountry__v/VENZ000004SONF5", "ES")</f>
        <v>ES</v>
      </c>
      <c r="C7232" s="20" t="s">
        <v>39</v>
      </c>
      <c r="D7232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32" s="22" t="str">
        <f>HYPERLINK("https://otsuka-europe-crm.veevavault.com/ui/#object/sent_email__v/VBL00000003B190", "SE-001445012")</f>
        <v>SE-001445012</v>
      </c>
      <c r="F7232" s="25">
        <v>46227.518819444442</v>
      </c>
      <c r="G7232" s="24">
        <v>1</v>
      </c>
      <c r="H7232" s="24">
        <v>1</v>
      </c>
      <c r="I7232" s="24">
        <v>1</v>
      </c>
      <c r="J7232" s="25">
        <v>46227.518912037034</v>
      </c>
      <c r="K7232" s="24">
        <v>2</v>
      </c>
      <c r="L7232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32" s="22" t="str">
        <f>HYPERLINK("mailto:oriballo@crm.otsuka-europe.com", "oriballo@crm.otsuka-europe.com")</f>
        <v>oriballo@crm.otsuka-europe.com</v>
      </c>
      <c r="N7232" s="25">
        <v>46227.518738425926</v>
      </c>
      <c r="O7232" s="14" t="str">
        <f>HYPERLINK("https://otsuka-europe-crm.veevavault.com/ui/#object/email_activity__v/V8C00000004D203", "EN-002108482")</f>
        <v>EN-002108482</v>
      </c>
    </row>
    <row r="7233" spans="1:15" ht="16" x14ac:dyDescent="0.2">
      <c r="A7233" s="26"/>
      <c r="B7233" s="26"/>
      <c r="C7233" s="26"/>
      <c r="D7233" s="26"/>
      <c r="E7233" s="26"/>
      <c r="F7233" s="26"/>
      <c r="G7233" s="26"/>
      <c r="H7233" s="26"/>
      <c r="I7233" s="26"/>
      <c r="J7233" s="26"/>
      <c r="K7233" s="26"/>
      <c r="L7233" s="26"/>
      <c r="M7233" s="26"/>
      <c r="N7233" s="26"/>
      <c r="O7233" s="14" t="str">
        <f>HYPERLINK("https://otsuka-europe-crm.veevavault.com/ui/#object/email_activity__v/V8C00000004D232", "EN-002108511")</f>
        <v>EN-002108511</v>
      </c>
    </row>
    <row r="7234" spans="1:15" ht="16" x14ac:dyDescent="0.2">
      <c r="A7234" s="26"/>
      <c r="B7234" s="26"/>
      <c r="C7234" s="26"/>
      <c r="D7234" s="26"/>
      <c r="E7234" s="26"/>
      <c r="F7234" s="26"/>
      <c r="G7234" s="26"/>
      <c r="H7234" s="26"/>
      <c r="I7234" s="26"/>
      <c r="J7234" s="26"/>
      <c r="K7234" s="26"/>
      <c r="L7234" s="26"/>
      <c r="M7234" s="26"/>
      <c r="N7234" s="26"/>
      <c r="O7234" s="14" t="str">
        <f>HYPERLINK("https://otsuka-europe-crm.veevavault.com/ui/#object/email_activity__v/V8C00000004D244", "EN-002108526")</f>
        <v>EN-002108526</v>
      </c>
    </row>
    <row r="7235" spans="1:15" ht="16" x14ac:dyDescent="0.2">
      <c r="A7235" s="19"/>
      <c r="B7235" s="19"/>
      <c r="C7235" s="19"/>
      <c r="D7235" s="19"/>
      <c r="E7235" s="19"/>
      <c r="F7235" s="19"/>
      <c r="G7235" s="19"/>
      <c r="H7235" s="19"/>
      <c r="I7235" s="19"/>
      <c r="J7235" s="19"/>
      <c r="K7235" s="19"/>
      <c r="L7235" s="19"/>
      <c r="M7235" s="19"/>
      <c r="N7235" s="19"/>
      <c r="O7235" s="14" t="str">
        <f>HYPERLINK("https://otsuka-europe-crm.veevavault.com/ui/#object/email_activity__v/V8C00000004E064", "EN-002108525")</f>
        <v>EN-002108525</v>
      </c>
    </row>
    <row r="7236" spans="1:15" ht="16" x14ac:dyDescent="0.2">
      <c r="A7236" s="18" t="str">
        <f>HYPERLINK("https://otsuka-europe-crm.veevavault.com/ui/#object/account__v/V4TZ04ASGAP1UY5", "ROSALIA MARTINEZ PEREZ")</f>
        <v>ROSALIA MARTINEZ PEREZ</v>
      </c>
      <c r="B7236" s="18" t="str">
        <f>HYPERLINK("https://otsuka-europe-crm.veevavault.com/ui/#object/vcountry__v/VENZ000004SONF5", "ES")</f>
        <v>ES</v>
      </c>
      <c r="C7236" s="20" t="s">
        <v>39</v>
      </c>
      <c r="D7236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36" s="22" t="str">
        <f>HYPERLINK("https://otsuka-europe-crm.veevavault.com/ui/#object/sent_email__v/VBL00000003B191", "SE-001445013")</f>
        <v>SE-001445013</v>
      </c>
      <c r="F7236" s="25">
        <v>46227.628645833334</v>
      </c>
      <c r="G7236" s="24">
        <v>1</v>
      </c>
      <c r="H7236" s="24">
        <v>1</v>
      </c>
      <c r="I7236" s="24">
        <v>0</v>
      </c>
      <c r="J7236" s="23"/>
      <c r="K7236" s="24">
        <v>0</v>
      </c>
      <c r="L7236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36" s="22" t="str">
        <f>HYPERLINK("mailto:oriballo@crm.otsuka-europe.com", "oriballo@crm.otsuka-europe.com")</f>
        <v>oriballo@crm.otsuka-europe.com</v>
      </c>
      <c r="N7236" s="25">
        <v>46227.518726851849</v>
      </c>
      <c r="O7236" s="14" t="str">
        <f>HYPERLINK("https://otsuka-europe-crm.veevavault.com/ui/#object/email_activity__v/V8C00000004D172", "EN-002108444")</f>
        <v>EN-002108444</v>
      </c>
    </row>
    <row r="7237" spans="1:15" ht="16" x14ac:dyDescent="0.2">
      <c r="A7237" s="19"/>
      <c r="B7237" s="19"/>
      <c r="C7237" s="19"/>
      <c r="D7237" s="19"/>
      <c r="E7237" s="19"/>
      <c r="F7237" s="19"/>
      <c r="G7237" s="19"/>
      <c r="H7237" s="19"/>
      <c r="I7237" s="19"/>
      <c r="J7237" s="19"/>
      <c r="K7237" s="19"/>
      <c r="L7237" s="19"/>
      <c r="M7237" s="19"/>
      <c r="N7237" s="19"/>
      <c r="O7237" s="14" t="str">
        <f>HYPERLINK("https://otsuka-europe-crm.veevavault.com/ui/#object/email_activity__v/V8C00000004D388", "EN-002108839")</f>
        <v>EN-002108839</v>
      </c>
    </row>
    <row r="7238" spans="1:15" ht="64" x14ac:dyDescent="0.2">
      <c r="A7238" s="7" t="str">
        <f>HYPERLINK("https://otsuka-europe-crm.veevavault.com/ui/#object/account__v/V4TZ04ASGGC79J1", "MIRIAN YANETH ORELLANA GOMEZ")</f>
        <v>MIRIAN YANETH ORELLANA GOMEZ</v>
      </c>
      <c r="B7238" s="7" t="str">
        <f>HYPERLINK("https://otsuka-europe-crm.veevavault.com/ui/#object/vcountry__v/VENZ000004SONF5", "ES")</f>
        <v>ES</v>
      </c>
      <c r="C7238" s="8" t="s">
        <v>39</v>
      </c>
      <c r="D7238" s="9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38" s="10" t="str">
        <f>HYPERLINK("https://otsuka-europe-crm.veevavault.com/ui/#object/sent_email__v/VBL00000003B192", "SE-001445014")</f>
        <v>SE-001445014</v>
      </c>
      <c r="F7238" s="11"/>
      <c r="G7238" s="12">
        <v>0</v>
      </c>
      <c r="H7238" s="12">
        <v>0</v>
      </c>
      <c r="I7238" s="12">
        <v>0</v>
      </c>
      <c r="J7238" s="11"/>
      <c r="K7238" s="12">
        <v>0</v>
      </c>
      <c r="L7238" s="10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38" s="10" t="str">
        <f>HYPERLINK("mailto:oriballo@crm.otsuka-europe.com", "oriballo@crm.otsuka-europe.com")</f>
        <v>oriballo@crm.otsuka-europe.com</v>
      </c>
      <c r="N7238" s="13">
        <v>46227.518726851849</v>
      </c>
      <c r="O7238" s="14" t="str">
        <f>HYPERLINK("https://otsuka-europe-crm.veevavault.com/ui/#object/email_activity__v/V8C00000004E058", "EN-002108454")</f>
        <v>EN-002108454</v>
      </c>
    </row>
    <row r="7239" spans="1:15" ht="16" x14ac:dyDescent="0.2">
      <c r="A7239" s="18" t="str">
        <f>HYPERLINK("https://otsuka-europe-crm.veevavault.com/ui/#object/account__v/V4TZ04ASG9UBNZU", "FRANCISCO JAVIER TOYOS SAENZ DE MIERA")</f>
        <v>FRANCISCO JAVIER TOYOS SAENZ DE MIERA</v>
      </c>
      <c r="B7239" s="18" t="str">
        <f>HYPERLINK("https://otsuka-europe-crm.veevavault.com/ui/#object/vcountry__v/VENZ000004SONF5", "ES")</f>
        <v>ES</v>
      </c>
      <c r="C7239" s="20" t="s">
        <v>39</v>
      </c>
      <c r="D7239" s="21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E7239" s="22" t="str">
        <f>HYPERLINK("https://otsuka-europe-crm.veevavault.com/ui/#object/sent_email__v/VBL00000003B193", "SE-001445015")</f>
        <v>SE-001445015</v>
      </c>
      <c r="F7239" s="25">
        <v>46229.426412037035</v>
      </c>
      <c r="G7239" s="24">
        <v>1</v>
      </c>
      <c r="H7239" s="24">
        <v>2</v>
      </c>
      <c r="I7239" s="24">
        <v>0</v>
      </c>
      <c r="J7239" s="23"/>
      <c r="K7239" s="24">
        <v>0</v>
      </c>
      <c r="L7239" s="22" t="str">
        <f>HYPERLINK("https://otsuka-europe-crm.veevavault.com/ui/#object/approved_document__v/V5O00000001T004", "LUP - VAE Webinar “Lupkynis▼ en la práctica clínica real: más allá de la respuesta renal” - Reuma")</f>
        <v>LUP - VAE Webinar “Lupkynis▼ en la práctica clínica real: más allá de la respuesta renal” - Reuma</v>
      </c>
      <c r="M7239" s="22" t="str">
        <f>HYPERLINK("mailto:oriballo@crm.otsuka-europe.com", "oriballo@crm.otsuka-europe.com")</f>
        <v>oriballo@crm.otsuka-europe.com</v>
      </c>
      <c r="N7239" s="25">
        <v>46227.518738425926</v>
      </c>
      <c r="O7239" s="14" t="str">
        <f>HYPERLINK("https://otsuka-europe-crm.veevavault.com/ui/#object/email_activity__v/V8C00000004D231", "EN-002108510")</f>
        <v>EN-002108510</v>
      </c>
    </row>
    <row r="7240" spans="1:15" ht="16" x14ac:dyDescent="0.2">
      <c r="A7240" s="26"/>
      <c r="B7240" s="26"/>
      <c r="C7240" s="26"/>
      <c r="D7240" s="26"/>
      <c r="E7240" s="26"/>
      <c r="F7240" s="26"/>
      <c r="G7240" s="26"/>
      <c r="H7240" s="26"/>
      <c r="I7240" s="26"/>
      <c r="J7240" s="26"/>
      <c r="K7240" s="26"/>
      <c r="L7240" s="26"/>
      <c r="M7240" s="26"/>
      <c r="N7240" s="26"/>
      <c r="O7240" s="14" t="str">
        <f>HYPERLINK("https://otsuka-europe-crm.veevavault.com/ui/#object/email_activity__v/V8C00000004D472", "EN-002109027")</f>
        <v>EN-002109027</v>
      </c>
    </row>
    <row r="7241" spans="1:15" ht="16" x14ac:dyDescent="0.2">
      <c r="A7241" s="19"/>
      <c r="B7241" s="19"/>
      <c r="C7241" s="19"/>
      <c r="D7241" s="19"/>
      <c r="E7241" s="19"/>
      <c r="F7241" s="19"/>
      <c r="G7241" s="19"/>
      <c r="H7241" s="19"/>
      <c r="I7241" s="19"/>
      <c r="J7241" s="19"/>
      <c r="K7241" s="19"/>
      <c r="L7241" s="19"/>
      <c r="M7241" s="19"/>
      <c r="N7241" s="19"/>
      <c r="O7241" s="14" t="str">
        <f>HYPERLINK("https://otsuka-europe-crm.veevavault.com/ui/#object/email_activity__v/V8C00000004E320", "EN-002108995")</f>
        <v>EN-002108995</v>
      </c>
    </row>
    <row r="7242" spans="1:15" ht="64" x14ac:dyDescent="0.2">
      <c r="A7242" s="7" t="str">
        <f>HYPERLINK("https://otsuka-europe-crm.veevavault.com/ui/#object/account__v/V4TZ06G6O71T89W", "IRENE DIAZ DIEZ")</f>
        <v>IRENE DIAZ DIEZ</v>
      </c>
      <c r="B7242" s="7" t="str">
        <f>HYPERLINK("https://otsuka-europe-crm.veevavault.com/ui/#object/vcountry__v/VENZ000004SONF5", "ES")</f>
        <v>ES</v>
      </c>
      <c r="C7242" s="8" t="s">
        <v>39</v>
      </c>
      <c r="D724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42" s="10" t="str">
        <f>HYPERLINK("https://otsuka-europe-crm.veevavault.com/ui/#object/sent_email__v/VBL00000003C004", "SE-001445016")</f>
        <v>SE-001445016</v>
      </c>
      <c r="F7242" s="11"/>
      <c r="G7242" s="12">
        <v>0</v>
      </c>
      <c r="H7242" s="12">
        <v>0</v>
      </c>
      <c r="I7242" s="12">
        <v>0</v>
      </c>
      <c r="J7242" s="11"/>
      <c r="K7242" s="12">
        <v>0</v>
      </c>
      <c r="L724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42" s="10" t="str">
        <f>HYPERLINK("mailto:oriballo@crm.otsuka-europe.com", "oriballo@crm.otsuka-europe.com")</f>
        <v>oriballo@crm.otsuka-europe.com</v>
      </c>
      <c r="N7242" s="13">
        <v>46227.519849537035</v>
      </c>
      <c r="O7242" s="14" t="str">
        <f>HYPERLINK("https://otsuka-europe-crm.veevavault.com/ui/#object/email_activity__v/V8C00000004D267", "EN-002108599")</f>
        <v>EN-002108599</v>
      </c>
    </row>
    <row r="7243" spans="1:15" ht="64" x14ac:dyDescent="0.2">
      <c r="A7243" s="7" t="str">
        <f>HYPERLINK("https://otsuka-europe-crm.veevavault.com/ui/#object/account__v/V4TZ06G6O71T7BV", "ANTONIO SALVADOR MORENO SALAZAR")</f>
        <v>ANTONIO SALVADOR MORENO SALAZAR</v>
      </c>
      <c r="B7243" s="7" t="str">
        <f>HYPERLINK("https://otsuka-europe-crm.veevavault.com/ui/#object/vcountry__v/VENZ000004SONF5", "ES")</f>
        <v>ES</v>
      </c>
      <c r="C7243" s="8" t="s">
        <v>39</v>
      </c>
      <c r="D724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43" s="10" t="str">
        <f>HYPERLINK("https://otsuka-europe-crm.veevavault.com/ui/#object/sent_email__v/VBL00000003C005", "SE-001445017")</f>
        <v>SE-001445017</v>
      </c>
      <c r="F7243" s="11"/>
      <c r="G7243" s="12">
        <v>0</v>
      </c>
      <c r="H7243" s="12">
        <v>0</v>
      </c>
      <c r="I7243" s="12">
        <v>0</v>
      </c>
      <c r="J7243" s="11"/>
      <c r="K7243" s="12">
        <v>0</v>
      </c>
      <c r="L724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43" s="10" t="str">
        <f>HYPERLINK("mailto:oriballo@crm.otsuka-europe.com", "oriballo@crm.otsuka-europe.com")</f>
        <v>oriballo@crm.otsuka-europe.com</v>
      </c>
      <c r="N7243" s="13">
        <v>46227.519849537035</v>
      </c>
      <c r="O7243" s="14" t="str">
        <f>HYPERLINK("https://otsuka-europe-crm.veevavault.com/ui/#object/email_activity__v/V8C00000004E084", "EN-002108556")</f>
        <v>EN-002108556</v>
      </c>
    </row>
    <row r="7244" spans="1:15" ht="16" x14ac:dyDescent="0.2">
      <c r="A7244" s="18" t="str">
        <f>HYPERLINK("https://otsuka-europe-crm.veevavault.com/ui/#object/account__v/V4TZ025E85NHXGA", "GEMA MONTILLA COSANO")</f>
        <v>GEMA MONTILLA COSANO</v>
      </c>
      <c r="B7244" s="18" t="str">
        <f>HYPERLINK("https://otsuka-europe-crm.veevavault.com/ui/#object/vcountry__v/VENZ000004SONF5", "ES")</f>
        <v>ES</v>
      </c>
      <c r="C7244" s="20" t="s">
        <v>39</v>
      </c>
      <c r="D724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44" s="22" t="str">
        <f>HYPERLINK("https://otsuka-europe-crm.veevavault.com/ui/#object/sent_email__v/VBL00000003C006", "SE-001445018")</f>
        <v>SE-001445018</v>
      </c>
      <c r="F7244" s="23"/>
      <c r="G7244" s="24">
        <v>0</v>
      </c>
      <c r="H7244" s="24">
        <v>0</v>
      </c>
      <c r="I7244" s="24">
        <v>0</v>
      </c>
      <c r="J7244" s="23"/>
      <c r="K7244" s="24">
        <v>0</v>
      </c>
      <c r="L724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44" s="22" t="str">
        <f>HYPERLINK("mailto:oriballo@crm.otsuka-europe.com", "oriballo@crm.otsuka-europe.com")</f>
        <v>oriballo@crm.otsuka-europe.com</v>
      </c>
      <c r="N7244" s="25">
        <v>46227.519849537035</v>
      </c>
      <c r="O7244" s="14" t="str">
        <f>HYPERLINK("https://otsuka-europe-crm.veevavault.com/ui/#object/email_activity__v/V8C00000004D309", "EN-002108643")</f>
        <v>EN-002108643</v>
      </c>
    </row>
    <row r="7245" spans="1:15" ht="16" x14ac:dyDescent="0.2">
      <c r="A7245" s="19"/>
      <c r="B7245" s="19"/>
      <c r="C7245" s="19"/>
      <c r="D7245" s="19"/>
      <c r="E7245" s="19"/>
      <c r="F7245" s="19"/>
      <c r="G7245" s="19"/>
      <c r="H7245" s="19"/>
      <c r="I7245" s="19"/>
      <c r="J7245" s="19"/>
      <c r="K7245" s="19"/>
      <c r="L7245" s="19"/>
      <c r="M7245" s="19"/>
      <c r="N7245" s="19"/>
      <c r="O7245" s="14" t="str">
        <f>HYPERLINK("https://otsuka-europe-crm.veevavault.com/ui/#object/email_activity__v/V8C00000004D385", "EN-002108829")</f>
        <v>EN-002108829</v>
      </c>
    </row>
    <row r="7246" spans="1:15" ht="64" x14ac:dyDescent="0.2">
      <c r="A7246" s="7" t="str">
        <f>HYPERLINK("https://otsuka-europe-crm.veevavault.com/ui/#object/account__v/V4TZ06G6O71TA70", "INES ANA GONZALEZ GOMEZ")</f>
        <v>INES ANA GONZALEZ GOMEZ</v>
      </c>
      <c r="B7246" s="7" t="str">
        <f>HYPERLINK("https://otsuka-europe-crm.veevavault.com/ui/#object/vcountry__v/VENZ000004SONF5", "ES")</f>
        <v>ES</v>
      </c>
      <c r="C7246" s="8" t="s">
        <v>39</v>
      </c>
      <c r="D724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46" s="10" t="str">
        <f>HYPERLINK("https://otsuka-europe-crm.veevavault.com/ui/#object/sent_email__v/VBL00000003C007", "SE-001445019")</f>
        <v>SE-001445019</v>
      </c>
      <c r="F7246" s="11"/>
      <c r="G7246" s="12">
        <v>0</v>
      </c>
      <c r="H7246" s="12">
        <v>0</v>
      </c>
      <c r="I7246" s="12">
        <v>0</v>
      </c>
      <c r="J7246" s="11"/>
      <c r="K7246" s="12">
        <v>0</v>
      </c>
      <c r="L724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46" s="10" t="str">
        <f>HYPERLINK("mailto:oriballo@crm.otsuka-europe.com", "oriballo@crm.otsuka-europe.com")</f>
        <v>oriballo@crm.otsuka-europe.com</v>
      </c>
      <c r="N7246" s="13">
        <v>46227.519849537035</v>
      </c>
      <c r="O7246" s="14" t="str">
        <f>HYPERLINK("https://otsuka-europe-crm.veevavault.com/ui/#object/email_activity__v/V8C00000004E092", "EN-002108564")</f>
        <v>EN-002108564</v>
      </c>
    </row>
    <row r="7247" spans="1:15" ht="16" x14ac:dyDescent="0.2">
      <c r="A7247" s="18" t="str">
        <f>HYPERLINK("https://otsuka-europe-crm.veevavault.com/ui/#object/account__v/V4TZ025E85T8MKT", "GABRIEL BERNAL BLANCO")</f>
        <v>GABRIEL BERNAL BLANCO</v>
      </c>
      <c r="B7247" s="18" t="str">
        <f>HYPERLINK("https://otsuka-europe-crm.veevavault.com/ui/#object/vcountry__v/VENZ000004SONF5", "ES")</f>
        <v>ES</v>
      </c>
      <c r="C7247" s="20" t="s">
        <v>39</v>
      </c>
      <c r="D724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47" s="22" t="str">
        <f>HYPERLINK("https://otsuka-europe-crm.veevavault.com/ui/#object/sent_email__v/VBL00000003C008", "SE-001445020")</f>
        <v>SE-001445020</v>
      </c>
      <c r="F7247" s="23"/>
      <c r="G7247" s="24">
        <v>0</v>
      </c>
      <c r="H7247" s="24">
        <v>0</v>
      </c>
      <c r="I7247" s="24">
        <v>0</v>
      </c>
      <c r="J7247" s="23"/>
      <c r="K7247" s="24">
        <v>0</v>
      </c>
      <c r="L724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47" s="22" t="str">
        <f>HYPERLINK("mailto:oriballo@crm.otsuka-europe.com", "oriballo@crm.otsuka-europe.com")</f>
        <v>oriballo@crm.otsuka-europe.com</v>
      </c>
      <c r="N7247" s="25">
        <v>46227.519849537035</v>
      </c>
      <c r="O7247" s="14" t="str">
        <f>HYPERLINK("https://otsuka-europe-crm.veevavault.com/ui/#object/email_activity__v/V8C00000004E074", "EN-002108545")</f>
        <v>EN-002108545</v>
      </c>
    </row>
    <row r="7248" spans="1:15" ht="16" x14ac:dyDescent="0.2">
      <c r="A7248" s="26"/>
      <c r="B7248" s="26"/>
      <c r="C7248" s="26"/>
      <c r="D7248" s="26"/>
      <c r="E7248" s="26"/>
      <c r="F7248" s="26"/>
      <c r="G7248" s="26"/>
      <c r="H7248" s="26"/>
      <c r="I7248" s="26"/>
      <c r="J7248" s="26"/>
      <c r="K7248" s="26"/>
      <c r="L7248" s="26"/>
      <c r="M7248" s="26"/>
      <c r="N7248" s="26"/>
      <c r="O7248" s="14" t="str">
        <f>HYPERLINK("https://otsuka-europe-crm.veevavault.com/ui/#object/email_activity__v/V8C00000004E302", "EN-002108956")</f>
        <v>EN-002108956</v>
      </c>
    </row>
    <row r="7249" spans="1:15" ht="16" x14ac:dyDescent="0.2">
      <c r="A7249" s="19"/>
      <c r="B7249" s="19"/>
      <c r="C7249" s="19"/>
      <c r="D7249" s="19"/>
      <c r="E7249" s="19"/>
      <c r="F7249" s="19"/>
      <c r="G7249" s="19"/>
      <c r="H7249" s="19"/>
      <c r="I7249" s="19"/>
      <c r="J7249" s="19"/>
      <c r="K7249" s="19"/>
      <c r="L7249" s="19"/>
      <c r="M7249" s="19"/>
      <c r="N7249" s="19"/>
      <c r="O7249" s="14" t="str">
        <f>HYPERLINK("https://otsuka-europe-crm.veevavault.com/ui/#object/email_activity__v/V8C00000004E338", "EN-002109031")</f>
        <v>EN-002109031</v>
      </c>
    </row>
    <row r="7250" spans="1:15" ht="16" x14ac:dyDescent="0.2">
      <c r="A7250" s="18" t="str">
        <f>HYPERLINK("https://otsuka-europe-crm.veevavault.com/ui/#object/account__v/V4TZ06G6O71WUWS", "LILIA MARIANA OLIVEIRA AZEVEDO")</f>
        <v>LILIA MARIANA OLIVEIRA AZEVEDO</v>
      </c>
      <c r="B7250" s="18" t="str">
        <f>HYPERLINK("https://otsuka-europe-crm.veevavault.com/ui/#object/vcountry__v/VENZ000004SONF5", "ES")</f>
        <v>ES</v>
      </c>
      <c r="C7250" s="20" t="s">
        <v>39</v>
      </c>
      <c r="D72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50" s="22" t="str">
        <f>HYPERLINK("https://otsuka-europe-crm.veevavault.com/ui/#object/sent_email__v/VBL00000003C009", "SE-001445021")</f>
        <v>SE-001445021</v>
      </c>
      <c r="F7250" s="23"/>
      <c r="G7250" s="24">
        <v>0</v>
      </c>
      <c r="H7250" s="24">
        <v>0</v>
      </c>
      <c r="I7250" s="24">
        <v>0</v>
      </c>
      <c r="J7250" s="23"/>
      <c r="K7250" s="24">
        <v>0</v>
      </c>
      <c r="L72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50" s="22" t="str">
        <f>HYPERLINK("mailto:oriballo@crm.otsuka-europe.com", "oriballo@crm.otsuka-europe.com")</f>
        <v>oriballo@crm.otsuka-europe.com</v>
      </c>
      <c r="N7250" s="25">
        <v>46227.519849537035</v>
      </c>
      <c r="O7250" s="14" t="str">
        <f>HYPERLINK("https://otsuka-europe-crm.veevavault.com/ui/#object/email_activity__v/V8C00000004D413", "EN-002108893")</f>
        <v>EN-002108893</v>
      </c>
    </row>
    <row r="7251" spans="1:15" ht="16" x14ac:dyDescent="0.2">
      <c r="A7251" s="26"/>
      <c r="B7251" s="26"/>
      <c r="C7251" s="26"/>
      <c r="D7251" s="26"/>
      <c r="E7251" s="26"/>
      <c r="F7251" s="26"/>
      <c r="G7251" s="26"/>
      <c r="H7251" s="26"/>
      <c r="I7251" s="26"/>
      <c r="J7251" s="26"/>
      <c r="K7251" s="26"/>
      <c r="L7251" s="26"/>
      <c r="M7251" s="26"/>
      <c r="N7251" s="26"/>
      <c r="O7251" s="14" t="str">
        <f>HYPERLINK("https://otsuka-europe-crm.veevavault.com/ui/#object/email_activity__v/V8C00000004E104", "EN-002108576")</f>
        <v>EN-002108576</v>
      </c>
    </row>
    <row r="7252" spans="1:15" ht="16" x14ac:dyDescent="0.2">
      <c r="A7252" s="19"/>
      <c r="B7252" s="19"/>
      <c r="C7252" s="19"/>
      <c r="D7252" s="19"/>
      <c r="E7252" s="19"/>
      <c r="F7252" s="19"/>
      <c r="G7252" s="19"/>
      <c r="H7252" s="19"/>
      <c r="I7252" s="19"/>
      <c r="J7252" s="19"/>
      <c r="K7252" s="19"/>
      <c r="L7252" s="19"/>
      <c r="M7252" s="19"/>
      <c r="N7252" s="19"/>
      <c r="O7252" s="14" t="str">
        <f>HYPERLINK("https://otsuka-europe-crm.veevavault.com/ui/#object/email_activity__v/V8C00000004E299", "EN-002108950")</f>
        <v>EN-002108950</v>
      </c>
    </row>
    <row r="7253" spans="1:15" ht="16" x14ac:dyDescent="0.2">
      <c r="A7253" s="18" t="str">
        <f>HYPERLINK("https://otsuka-europe-crm.veevavault.com/ui/#object/account__v/V4TZ06G6O71T8PT", "LAURA RICO FERNANDEZ DE SANTAELLA")</f>
        <v>LAURA RICO FERNANDEZ DE SANTAELLA</v>
      </c>
      <c r="B7253" s="18" t="str">
        <f>HYPERLINK("https://otsuka-europe-crm.veevavault.com/ui/#object/vcountry__v/VENZ000004SONF5", "ES")</f>
        <v>ES</v>
      </c>
      <c r="C7253" s="20" t="s">
        <v>39</v>
      </c>
      <c r="D725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53" s="22" t="str">
        <f>HYPERLINK("https://otsuka-europe-crm.veevavault.com/ui/#object/sent_email__v/VBL00000003C010", "SE-001445022")</f>
        <v>SE-001445022</v>
      </c>
      <c r="F7253" s="25">
        <v>46227.532141203701</v>
      </c>
      <c r="G7253" s="24">
        <v>1</v>
      </c>
      <c r="H7253" s="24">
        <v>2</v>
      </c>
      <c r="I7253" s="24">
        <v>0</v>
      </c>
      <c r="J7253" s="23"/>
      <c r="K7253" s="24">
        <v>0</v>
      </c>
      <c r="L725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53" s="22" t="str">
        <f>HYPERLINK("mailto:oriballo@crm.otsuka-europe.com", "oriballo@crm.otsuka-europe.com")</f>
        <v>oriballo@crm.otsuka-europe.com</v>
      </c>
      <c r="N7253" s="25">
        <v>46227.519571759258</v>
      </c>
      <c r="O7253" s="14" t="str">
        <f>HYPERLINK("https://otsuka-europe-crm.veevavault.com/ui/#object/email_activity__v/V8C00000004D250", "EN-002108533")</f>
        <v>EN-002108533</v>
      </c>
    </row>
    <row r="7254" spans="1:15" ht="16" x14ac:dyDescent="0.2">
      <c r="A7254" s="26"/>
      <c r="B7254" s="26"/>
      <c r="C7254" s="26"/>
      <c r="D7254" s="26"/>
      <c r="E7254" s="26"/>
      <c r="F7254" s="26"/>
      <c r="G7254" s="26"/>
      <c r="H7254" s="26"/>
      <c r="I7254" s="26"/>
      <c r="J7254" s="26"/>
      <c r="K7254" s="26"/>
      <c r="L7254" s="26"/>
      <c r="M7254" s="26"/>
      <c r="N7254" s="26"/>
      <c r="O7254" s="14" t="str">
        <f>HYPERLINK("https://otsuka-europe-crm.veevavault.com/ui/#object/email_activity__v/V8C00000004D335", "EN-002108694")</f>
        <v>EN-002108694</v>
      </c>
    </row>
    <row r="7255" spans="1:15" ht="16" x14ac:dyDescent="0.2">
      <c r="A7255" s="19"/>
      <c r="B7255" s="19"/>
      <c r="C7255" s="19"/>
      <c r="D7255" s="19"/>
      <c r="E7255" s="19"/>
      <c r="F7255" s="19"/>
      <c r="G7255" s="19"/>
      <c r="H7255" s="19"/>
      <c r="I7255" s="19"/>
      <c r="J7255" s="19"/>
      <c r="K7255" s="19"/>
      <c r="L7255" s="19"/>
      <c r="M7255" s="19"/>
      <c r="N7255" s="19"/>
      <c r="O7255" s="14" t="str">
        <f>HYPERLINK("https://otsuka-europe-crm.veevavault.com/ui/#object/email_activity__v/V8C00000004E142", "EN-002108695")</f>
        <v>EN-002108695</v>
      </c>
    </row>
    <row r="7256" spans="1:15" ht="16" x14ac:dyDescent="0.2">
      <c r="A7256" s="18" t="str">
        <f>HYPERLINK("https://otsuka-europe-crm.veevavault.com/ui/#object/account__v/V4TZ06G6OBU7N9G", "CRISTINA GARCIA DE LA VEGA GARCIA")</f>
        <v>CRISTINA GARCIA DE LA VEGA GARCIA</v>
      </c>
      <c r="B7256" s="18" t="str">
        <f>HYPERLINK("https://otsuka-europe-crm.veevavault.com/ui/#object/vcountry__v/VENZ000004SONF5", "ES")</f>
        <v>ES</v>
      </c>
      <c r="C7256" s="20" t="s">
        <v>39</v>
      </c>
      <c r="D725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56" s="22" t="str">
        <f>HYPERLINK("https://otsuka-europe-crm.veevavault.com/ui/#object/sent_email__v/VBL00000003C011", "SE-001445023")</f>
        <v>SE-001445023</v>
      </c>
      <c r="F7256" s="25">
        <v>46227.568391203706</v>
      </c>
      <c r="G7256" s="24">
        <v>1</v>
      </c>
      <c r="H7256" s="24">
        <v>1</v>
      </c>
      <c r="I7256" s="24">
        <v>0</v>
      </c>
      <c r="J7256" s="23"/>
      <c r="K7256" s="24">
        <v>0</v>
      </c>
      <c r="L725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56" s="22" t="str">
        <f>HYPERLINK("mailto:oriballo@crm.otsuka-europe.com", "oriballo@crm.otsuka-europe.com")</f>
        <v>oriballo@crm.otsuka-europe.com</v>
      </c>
      <c r="N7256" s="25">
        <v>46227.519849537035</v>
      </c>
      <c r="O7256" s="14" t="str">
        <f>HYPERLINK("https://otsuka-europe-crm.veevavault.com/ui/#object/email_activity__v/V8C00000004D270", "EN-002108602")</f>
        <v>EN-002108602</v>
      </c>
    </row>
    <row r="7257" spans="1:15" ht="16" x14ac:dyDescent="0.2">
      <c r="A7257" s="26"/>
      <c r="B7257" s="26"/>
      <c r="C7257" s="26"/>
      <c r="D7257" s="26"/>
      <c r="E7257" s="26"/>
      <c r="F7257" s="26"/>
      <c r="G7257" s="26"/>
      <c r="H7257" s="26"/>
      <c r="I7257" s="26"/>
      <c r="J7257" s="26"/>
      <c r="K7257" s="26"/>
      <c r="L7257" s="26"/>
      <c r="M7257" s="26"/>
      <c r="N7257" s="26"/>
      <c r="O7257" s="14" t="str">
        <f>HYPERLINK("https://otsuka-europe-crm.veevavault.com/ui/#object/email_activity__v/V8C00000004D371", "EN-002108799")</f>
        <v>EN-002108799</v>
      </c>
    </row>
    <row r="7258" spans="1:15" ht="16" x14ac:dyDescent="0.2">
      <c r="A7258" s="19"/>
      <c r="B7258" s="19"/>
      <c r="C7258" s="19"/>
      <c r="D7258" s="19"/>
      <c r="E7258" s="19"/>
      <c r="F7258" s="19"/>
      <c r="G7258" s="19"/>
      <c r="H7258" s="19"/>
      <c r="I7258" s="19"/>
      <c r="J7258" s="19"/>
      <c r="K7258" s="19"/>
      <c r="L7258" s="19"/>
      <c r="M7258" s="19"/>
      <c r="N7258" s="19"/>
      <c r="O7258" s="14" t="str">
        <f>HYPERLINK("https://otsuka-europe-crm.veevavault.com/ui/#object/email_activity__v/V8C00000004E293", "EN-002108937")</f>
        <v>EN-002108937</v>
      </c>
    </row>
    <row r="7259" spans="1:15" ht="16" x14ac:dyDescent="0.2">
      <c r="A7259" s="18" t="str">
        <f>HYPERLINK("https://otsuka-europe-crm.veevavault.com/ui/#object/account__v/V4TZ025E84363DB", "JORGE ALBERTO RODRIGUEZ SABILLON")</f>
        <v>JORGE ALBERTO RODRIGUEZ SABILLON</v>
      </c>
      <c r="B7259" s="18" t="str">
        <f>HYPERLINK("https://otsuka-europe-crm.veevavault.com/ui/#object/vcountry__v/VENZ000004SONF5", "ES")</f>
        <v>ES</v>
      </c>
      <c r="C7259" s="20" t="s">
        <v>39</v>
      </c>
      <c r="D725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59" s="22" t="str">
        <f>HYPERLINK("https://otsuka-europe-crm.veevavault.com/ui/#object/sent_email__v/VBL00000003C012", "SE-001445024")</f>
        <v>SE-001445024</v>
      </c>
      <c r="F7259" s="23"/>
      <c r="G7259" s="24">
        <v>0</v>
      </c>
      <c r="H7259" s="24">
        <v>0</v>
      </c>
      <c r="I7259" s="24">
        <v>1</v>
      </c>
      <c r="J7259" s="25">
        <v>46228.524861111109</v>
      </c>
      <c r="K7259" s="24">
        <v>1</v>
      </c>
      <c r="L725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59" s="22" t="str">
        <f>HYPERLINK("mailto:oriballo@crm.otsuka-europe.com", "oriballo@crm.otsuka-europe.com")</f>
        <v>oriballo@crm.otsuka-europe.com</v>
      </c>
      <c r="N7259" s="25">
        <v>46227.519918981481</v>
      </c>
      <c r="O7259" s="14" t="str">
        <f>HYPERLINK("https://otsuka-europe-crm.veevavault.com/ui/#object/email_activity__v/V8C00000004D320", "EN-002108659")</f>
        <v>EN-002108659</v>
      </c>
    </row>
    <row r="7260" spans="1:15" ht="16" x14ac:dyDescent="0.2">
      <c r="A7260" s="26"/>
      <c r="B7260" s="26"/>
      <c r="C7260" s="26"/>
      <c r="D7260" s="26"/>
      <c r="E7260" s="26"/>
      <c r="F7260" s="26"/>
      <c r="G7260" s="26"/>
      <c r="H7260" s="26"/>
      <c r="I7260" s="26"/>
      <c r="J7260" s="26"/>
      <c r="K7260" s="26"/>
      <c r="L7260" s="26"/>
      <c r="M7260" s="26"/>
      <c r="N7260" s="26"/>
      <c r="O7260" s="14" t="str">
        <f>HYPERLINK("https://otsuka-europe-crm.veevavault.com/ui/#object/email_activity__v/V8C00000004E179", "EN-002108743")</f>
        <v>EN-002108743</v>
      </c>
    </row>
    <row r="7261" spans="1:15" ht="16" x14ac:dyDescent="0.2">
      <c r="A7261" s="19"/>
      <c r="B7261" s="19"/>
      <c r="C7261" s="19"/>
      <c r="D7261" s="19"/>
      <c r="E7261" s="19"/>
      <c r="F7261" s="19"/>
      <c r="G7261" s="19"/>
      <c r="H7261" s="19"/>
      <c r="I7261" s="19"/>
      <c r="J7261" s="19"/>
      <c r="K7261" s="19"/>
      <c r="L7261" s="19"/>
      <c r="M7261" s="19"/>
      <c r="N7261" s="19"/>
      <c r="O7261" s="14" t="str">
        <f>HYPERLINK("https://otsuka-europe-crm.veevavault.com/ui/#object/email_activity__v/V8C00000004E313", "EN-002108980")</f>
        <v>EN-002108980</v>
      </c>
    </row>
    <row r="7262" spans="1:15" ht="16" x14ac:dyDescent="0.2">
      <c r="A7262" s="18" t="str">
        <f>HYPERLINK("https://otsuka-europe-crm.veevavault.com/ui/#object/account__v/V4TZ06G6O71WUWO", "ANA LAURA SANCHEZ CAMACHO")</f>
        <v>ANA LAURA SANCHEZ CAMACHO</v>
      </c>
      <c r="B7262" s="18" t="str">
        <f>HYPERLINK("https://otsuka-europe-crm.veevavault.com/ui/#object/vcountry__v/VENZ000004SONF5", "ES")</f>
        <v>ES</v>
      </c>
      <c r="C7262" s="20" t="s">
        <v>39</v>
      </c>
      <c r="D726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62" s="22" t="str">
        <f>HYPERLINK("https://otsuka-europe-crm.veevavault.com/ui/#object/sent_email__v/VBL00000003C013", "SE-001445025")</f>
        <v>SE-001445025</v>
      </c>
      <c r="F7262" s="23"/>
      <c r="G7262" s="24">
        <v>0</v>
      </c>
      <c r="H7262" s="24">
        <v>0</v>
      </c>
      <c r="I7262" s="24">
        <v>0</v>
      </c>
      <c r="J7262" s="23"/>
      <c r="K7262" s="24">
        <v>0</v>
      </c>
      <c r="L726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62" s="22" t="str">
        <f>HYPERLINK("mailto:oriballo@crm.otsuka-europe.com", "oriballo@crm.otsuka-europe.com")</f>
        <v>oriballo@crm.otsuka-europe.com</v>
      </c>
      <c r="N7262" s="25">
        <v>46227.519907407404</v>
      </c>
      <c r="O7262" s="14" t="str">
        <f>HYPERLINK("https://otsuka-europe-crm.veevavault.com/ui/#object/email_activity__v/V8C00000004D317", "EN-002108656")</f>
        <v>EN-002108656</v>
      </c>
    </row>
    <row r="7263" spans="1:15" ht="16" x14ac:dyDescent="0.2">
      <c r="A7263" s="19"/>
      <c r="B7263" s="19"/>
      <c r="C7263" s="19"/>
      <c r="D7263" s="19"/>
      <c r="E7263" s="19"/>
      <c r="F7263" s="19"/>
      <c r="G7263" s="19"/>
      <c r="H7263" s="19"/>
      <c r="I7263" s="19"/>
      <c r="J7263" s="19"/>
      <c r="K7263" s="19"/>
      <c r="L7263" s="19"/>
      <c r="M7263" s="19"/>
      <c r="N7263" s="19"/>
      <c r="O7263" s="14" t="str">
        <f>HYPERLINK("https://otsuka-europe-crm.veevavault.com/ui/#object/email_activity__v/V8C00000004E586", "EN-002109509")</f>
        <v>EN-002109509</v>
      </c>
    </row>
    <row r="7264" spans="1:15" ht="16" x14ac:dyDescent="0.2">
      <c r="A7264" s="18" t="str">
        <f>HYPERLINK("https://otsuka-europe-crm.veevavault.com/ui/#object/account__v/V4TZ06G6OCBGRUI", "MARIA AUXILIADORA ALEZARD RAMIREZ")</f>
        <v>MARIA AUXILIADORA ALEZARD RAMIREZ</v>
      </c>
      <c r="B7264" s="18" t="str">
        <f>HYPERLINK("https://otsuka-europe-crm.veevavault.com/ui/#object/vcountry__v/VENZ000004SONF5", "ES")</f>
        <v>ES</v>
      </c>
      <c r="C7264" s="20" t="s">
        <v>39</v>
      </c>
      <c r="D726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64" s="22" t="str">
        <f>HYPERLINK("https://otsuka-europe-crm.veevavault.com/ui/#object/sent_email__v/VBL00000003C014", "SE-001445026")</f>
        <v>SE-001445026</v>
      </c>
      <c r="F7264" s="25">
        <v>46227.770787037036</v>
      </c>
      <c r="G7264" s="24">
        <v>1</v>
      </c>
      <c r="H7264" s="24">
        <v>1</v>
      </c>
      <c r="I7264" s="24">
        <v>0</v>
      </c>
      <c r="J7264" s="23"/>
      <c r="K7264" s="24">
        <v>0</v>
      </c>
      <c r="L726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64" s="22" t="str">
        <f>HYPERLINK("mailto:oriballo@crm.otsuka-europe.com", "oriballo@crm.otsuka-europe.com")</f>
        <v>oriballo@crm.otsuka-europe.com</v>
      </c>
      <c r="N7264" s="25">
        <v>46227.519849537035</v>
      </c>
      <c r="O7264" s="14" t="str">
        <f>HYPERLINK("https://otsuka-europe-crm.veevavault.com/ui/#object/email_activity__v/V8C00000004D268", "EN-002108600")</f>
        <v>EN-002108600</v>
      </c>
    </row>
    <row r="7265" spans="1:15" ht="16" x14ac:dyDescent="0.2">
      <c r="A7265" s="19"/>
      <c r="B7265" s="19"/>
      <c r="C7265" s="19"/>
      <c r="D7265" s="19"/>
      <c r="E7265" s="19"/>
      <c r="F7265" s="19"/>
      <c r="G7265" s="19"/>
      <c r="H7265" s="19"/>
      <c r="I7265" s="19"/>
      <c r="J7265" s="19"/>
      <c r="K7265" s="19"/>
      <c r="L7265" s="19"/>
      <c r="M7265" s="19"/>
      <c r="N7265" s="19"/>
      <c r="O7265" s="14" t="str">
        <f>HYPERLINK("https://otsuka-europe-crm.veevavault.com/ui/#object/email_activity__v/V8C00000004E277", "EN-002108915")</f>
        <v>EN-002108915</v>
      </c>
    </row>
    <row r="7266" spans="1:15" ht="16" x14ac:dyDescent="0.2">
      <c r="A7266" s="18" t="str">
        <f>HYPERLINK("https://otsuka-europe-crm.veevavault.com/ui/#object/account__v/V4TZ06G6O71T74A", "ESTHER ROMERO RAMIREZ")</f>
        <v>ESTHER ROMERO RAMIREZ</v>
      </c>
      <c r="B7266" s="18" t="str">
        <f>HYPERLINK("https://otsuka-europe-crm.veevavault.com/ui/#object/vcountry__v/VENZ000004SONF5", "ES")</f>
        <v>ES</v>
      </c>
      <c r="C7266" s="20" t="s">
        <v>39</v>
      </c>
      <c r="D726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66" s="22" t="str">
        <f>HYPERLINK("https://otsuka-europe-crm.veevavault.com/ui/#object/sent_email__v/VBL00000003C015", "SE-001445027")</f>
        <v>SE-001445027</v>
      </c>
      <c r="F7266" s="23"/>
      <c r="G7266" s="24">
        <v>0</v>
      </c>
      <c r="H7266" s="24">
        <v>0</v>
      </c>
      <c r="I7266" s="24">
        <v>0</v>
      </c>
      <c r="J7266" s="23"/>
      <c r="K7266" s="24">
        <v>0</v>
      </c>
      <c r="L726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66" s="22" t="str">
        <f>HYPERLINK("mailto:oriballo@crm.otsuka-europe.com", "oriballo@crm.otsuka-europe.com")</f>
        <v>oriballo@crm.otsuka-europe.com</v>
      </c>
      <c r="N7266" s="25">
        <v>46227.519849537035</v>
      </c>
      <c r="O7266" s="14" t="str">
        <f>HYPERLINK("https://otsuka-europe-crm.veevavault.com/ui/#object/email_activity__v/V8C00000004E077", "EN-002108548")</f>
        <v>EN-002108548</v>
      </c>
    </row>
    <row r="7267" spans="1:15" ht="16" x14ac:dyDescent="0.2">
      <c r="A7267" s="26"/>
      <c r="B7267" s="26"/>
      <c r="C7267" s="26"/>
      <c r="D7267" s="26"/>
      <c r="E7267" s="26"/>
      <c r="F7267" s="26"/>
      <c r="G7267" s="26"/>
      <c r="H7267" s="26"/>
      <c r="I7267" s="26"/>
      <c r="J7267" s="26"/>
      <c r="K7267" s="26"/>
      <c r="L7267" s="26"/>
      <c r="M7267" s="26"/>
      <c r="N7267" s="26"/>
      <c r="O7267" s="14" t="str">
        <f>HYPERLINK("https://otsuka-europe-crm.veevavault.com/ui/#object/email_activity__v/V8C00000004E136", "EN-002108688")</f>
        <v>EN-002108688</v>
      </c>
    </row>
    <row r="7268" spans="1:15" ht="16" x14ac:dyDescent="0.2">
      <c r="A7268" s="19"/>
      <c r="B7268" s="19"/>
      <c r="C7268" s="19"/>
      <c r="D7268" s="19"/>
      <c r="E7268" s="19"/>
      <c r="F7268" s="19"/>
      <c r="G7268" s="19"/>
      <c r="H7268" s="19"/>
      <c r="I7268" s="19"/>
      <c r="J7268" s="19"/>
      <c r="K7268" s="19"/>
      <c r="L7268" s="19"/>
      <c r="M7268" s="19"/>
      <c r="N7268" s="19"/>
      <c r="O7268" s="14" t="str">
        <f>HYPERLINK("https://otsuka-europe-crm.veevavault.com/ui/#object/email_activity__v/V8C00000004G596", "EN-002110785")</f>
        <v>EN-002110785</v>
      </c>
    </row>
    <row r="7269" spans="1:15" ht="64" x14ac:dyDescent="0.2">
      <c r="A7269" s="7" t="str">
        <f>HYPERLINK("https://otsuka-europe-crm.veevavault.com/ui/#object/account__v/V4TZ06G6O71T8QR", "JUAN MANUEL CAZORLA LOPEZ")</f>
        <v>JUAN MANUEL CAZORLA LOPEZ</v>
      </c>
      <c r="B7269" s="7" t="str">
        <f>HYPERLINK("https://otsuka-europe-crm.veevavault.com/ui/#object/vcountry__v/VENZ000004SONF5", "ES")</f>
        <v>ES</v>
      </c>
      <c r="C7269" s="8" t="s">
        <v>39</v>
      </c>
      <c r="D726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69" s="10" t="str">
        <f>HYPERLINK("https://otsuka-europe-crm.veevavault.com/ui/#object/sent_email__v/VBL00000003C016", "SE-001445028")</f>
        <v>SE-001445028</v>
      </c>
      <c r="F7269" s="11"/>
      <c r="G7269" s="12">
        <v>0</v>
      </c>
      <c r="H7269" s="12">
        <v>0</v>
      </c>
      <c r="I7269" s="12">
        <v>0</v>
      </c>
      <c r="J7269" s="11"/>
      <c r="K7269" s="12">
        <v>0</v>
      </c>
      <c r="L726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69" s="10" t="str">
        <f>HYPERLINK("mailto:oriballo@crm.otsuka-europe.com", "oriballo@crm.otsuka-europe.com")</f>
        <v>oriballo@crm.otsuka-europe.com</v>
      </c>
      <c r="N7269" s="13">
        <v>46227.519849537035</v>
      </c>
      <c r="O7269" s="14" t="str">
        <f>HYPERLINK("https://otsuka-europe-crm.veevavault.com/ui/#object/email_activity__v/V8C00000004E107", "EN-002108579")</f>
        <v>EN-002108579</v>
      </c>
    </row>
    <row r="7270" spans="1:15" ht="16" x14ac:dyDescent="0.2">
      <c r="A7270" s="18" t="str">
        <f>HYPERLINK("https://otsuka-europe-crm.veevavault.com/ui/#object/account__v/V4TZ06G6O71T7C8", "CRISTHIAN DAVID ORELLANA CHAVEZ")</f>
        <v>CRISTHIAN DAVID ORELLANA CHAVEZ</v>
      </c>
      <c r="B7270" s="18" t="str">
        <f>HYPERLINK("https://otsuka-europe-crm.veevavault.com/ui/#object/vcountry__v/VENZ000004SONF5", "ES")</f>
        <v>ES</v>
      </c>
      <c r="C7270" s="20" t="s">
        <v>39</v>
      </c>
      <c r="D727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70" s="22" t="str">
        <f>HYPERLINK("https://otsuka-europe-crm.veevavault.com/ui/#object/sent_email__v/VBL00000003C017", "SE-001445029")</f>
        <v>SE-001445029</v>
      </c>
      <c r="F7270" s="25">
        <v>46230.724768518521</v>
      </c>
      <c r="G7270" s="24">
        <v>1</v>
      </c>
      <c r="H7270" s="24">
        <v>2</v>
      </c>
      <c r="I7270" s="24">
        <v>0</v>
      </c>
      <c r="J7270" s="23"/>
      <c r="K7270" s="24">
        <v>0</v>
      </c>
      <c r="L727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70" s="22" t="str">
        <f>HYPERLINK("mailto:oriballo@crm.otsuka-europe.com", "oriballo@crm.otsuka-europe.com")</f>
        <v>oriballo@crm.otsuka-europe.com</v>
      </c>
      <c r="N7270" s="25">
        <v>46227.519849537035</v>
      </c>
      <c r="O7270" s="14" t="str">
        <f>HYPERLINK("https://otsuka-europe-crm.veevavault.com/ui/#object/email_activity__v/V8C00000004D272", "EN-002108604")</f>
        <v>EN-002108604</v>
      </c>
    </row>
    <row r="7271" spans="1:15" ht="16" x14ac:dyDescent="0.2">
      <c r="A7271" s="26"/>
      <c r="B7271" s="26"/>
      <c r="C7271" s="26"/>
      <c r="D7271" s="26"/>
      <c r="E7271" s="26"/>
      <c r="F7271" s="26"/>
      <c r="G7271" s="26"/>
      <c r="H7271" s="26"/>
      <c r="I7271" s="26"/>
      <c r="J7271" s="26"/>
      <c r="K7271" s="26"/>
      <c r="L7271" s="26"/>
      <c r="M7271" s="26"/>
      <c r="N7271" s="26"/>
      <c r="O7271" s="14" t="str">
        <f>HYPERLINK("https://otsuka-europe-crm.veevavault.com/ui/#object/email_activity__v/V8C00000004D462", "EN-002109007")</f>
        <v>EN-002109007</v>
      </c>
    </row>
    <row r="7272" spans="1:15" ht="16" x14ac:dyDescent="0.2">
      <c r="A7272" s="26"/>
      <c r="B7272" s="26"/>
      <c r="C7272" s="26"/>
      <c r="D7272" s="26"/>
      <c r="E7272" s="26"/>
      <c r="F7272" s="26"/>
      <c r="G7272" s="26"/>
      <c r="H7272" s="26"/>
      <c r="I7272" s="26"/>
      <c r="J7272" s="26"/>
      <c r="K7272" s="26"/>
      <c r="L7272" s="26"/>
      <c r="M7272" s="26"/>
      <c r="N7272" s="26"/>
      <c r="O7272" s="14" t="str">
        <f>HYPERLINK("https://otsuka-europe-crm.veevavault.com/ui/#object/email_activity__v/V8C00000004D514", "EN-002109123")</f>
        <v>EN-002109123</v>
      </c>
    </row>
    <row r="7273" spans="1:15" ht="16" x14ac:dyDescent="0.2">
      <c r="A7273" s="19"/>
      <c r="B7273" s="19"/>
      <c r="C7273" s="19"/>
      <c r="D7273" s="19"/>
      <c r="E7273" s="19"/>
      <c r="F7273" s="19"/>
      <c r="G7273" s="19"/>
      <c r="H7273" s="19"/>
      <c r="I7273" s="19"/>
      <c r="J7273" s="19"/>
      <c r="K7273" s="19"/>
      <c r="L7273" s="19"/>
      <c r="M7273" s="19"/>
      <c r="N7273" s="19"/>
      <c r="O7273" s="14" t="str">
        <f>HYPERLINK("https://otsuka-europe-crm.veevavault.com/ui/#object/email_activity__v/V8C00000004D515", "EN-002109124")</f>
        <v>EN-002109124</v>
      </c>
    </row>
    <row r="7274" spans="1:15" ht="16" x14ac:dyDescent="0.2">
      <c r="A7274" s="18" t="str">
        <f>HYPERLINK("https://otsuka-europe-crm.veevavault.com/ui/#object/account__v/V4TZ06G6O71T99W", "MERCEDES ACEVEDO RIBO")</f>
        <v>MERCEDES ACEVEDO RIBO</v>
      </c>
      <c r="B7274" s="18" t="str">
        <f>HYPERLINK("https://otsuka-europe-crm.veevavault.com/ui/#object/vcountry__v/VENZ000004SONF5", "ES")</f>
        <v>ES</v>
      </c>
      <c r="C7274" s="20" t="s">
        <v>39</v>
      </c>
      <c r="D727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74" s="22" t="str">
        <f>HYPERLINK("https://otsuka-europe-crm.veevavault.com/ui/#object/sent_email__v/VBL00000003C018", "SE-001445030")</f>
        <v>SE-001445030</v>
      </c>
      <c r="F7274" s="25">
        <v>46227.562615740739</v>
      </c>
      <c r="G7274" s="24">
        <v>1</v>
      </c>
      <c r="H7274" s="24">
        <v>2</v>
      </c>
      <c r="I7274" s="24">
        <v>0</v>
      </c>
      <c r="J7274" s="23"/>
      <c r="K7274" s="24">
        <v>0</v>
      </c>
      <c r="L727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74" s="22" t="str">
        <f>HYPERLINK("mailto:oriballo@crm.otsuka-europe.com", "oriballo@crm.otsuka-europe.com")</f>
        <v>oriballo@crm.otsuka-europe.com</v>
      </c>
      <c r="N7274" s="25">
        <v>46227.519849537035</v>
      </c>
      <c r="O7274" s="14" t="str">
        <f>HYPERLINK("https://otsuka-europe-crm.veevavault.com/ui/#object/email_activity__v/V8C00000004D264", "EN-002108595")</f>
        <v>EN-002108595</v>
      </c>
    </row>
    <row r="7275" spans="1:15" ht="16" x14ac:dyDescent="0.2">
      <c r="A7275" s="26"/>
      <c r="B7275" s="26"/>
      <c r="C7275" s="26"/>
      <c r="D7275" s="26"/>
      <c r="E7275" s="26"/>
      <c r="F7275" s="26"/>
      <c r="G7275" s="26"/>
      <c r="H7275" s="26"/>
      <c r="I7275" s="26"/>
      <c r="J7275" s="26"/>
      <c r="K7275" s="26"/>
      <c r="L7275" s="26"/>
      <c r="M7275" s="26"/>
      <c r="N7275" s="26"/>
      <c r="O7275" s="14" t="str">
        <f>HYPERLINK("https://otsuka-europe-crm.veevavault.com/ui/#object/email_activity__v/V8C00000004E201", "EN-002108786")</f>
        <v>EN-002108786</v>
      </c>
    </row>
    <row r="7276" spans="1:15" ht="16" x14ac:dyDescent="0.2">
      <c r="A7276" s="19"/>
      <c r="B7276" s="19"/>
      <c r="C7276" s="19"/>
      <c r="D7276" s="19"/>
      <c r="E7276" s="19"/>
      <c r="F7276" s="19"/>
      <c r="G7276" s="19"/>
      <c r="H7276" s="19"/>
      <c r="I7276" s="19"/>
      <c r="J7276" s="19"/>
      <c r="K7276" s="19"/>
      <c r="L7276" s="19"/>
      <c r="M7276" s="19"/>
      <c r="N7276" s="19"/>
      <c r="O7276" s="14" t="str">
        <f>HYPERLINK("https://otsuka-europe-crm.veevavault.com/ui/#object/email_activity__v/V8C00000004E202", "EN-002108787")</f>
        <v>EN-002108787</v>
      </c>
    </row>
    <row r="7277" spans="1:15" ht="16" x14ac:dyDescent="0.2">
      <c r="A7277" s="18" t="str">
        <f>HYPERLINK("https://otsuka-europe-crm.veevavault.com/ui/#object/account__v/V4TZ025E8458OMS", "MARIA ANGELES GARCIA PEREZ")</f>
        <v>MARIA ANGELES GARCIA PEREZ</v>
      </c>
      <c r="B7277" s="18" t="str">
        <f>HYPERLINK("https://otsuka-europe-crm.veevavault.com/ui/#object/vcountry__v/VENZ000004SONF5", "ES")</f>
        <v>ES</v>
      </c>
      <c r="C7277" s="20" t="s">
        <v>39</v>
      </c>
      <c r="D727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77" s="22" t="str">
        <f>HYPERLINK("https://otsuka-europe-crm.veevavault.com/ui/#object/sent_email__v/VBL00000003C019", "SE-001445031")</f>
        <v>SE-001445031</v>
      </c>
      <c r="F7277" s="25">
        <v>46227.537789351853</v>
      </c>
      <c r="G7277" s="24">
        <v>1</v>
      </c>
      <c r="H7277" s="24">
        <v>3</v>
      </c>
      <c r="I7277" s="24">
        <v>0</v>
      </c>
      <c r="J7277" s="23"/>
      <c r="K7277" s="24">
        <v>0</v>
      </c>
      <c r="L727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77" s="22" t="str">
        <f>HYPERLINK("mailto:oriballo@crm.otsuka-europe.com", "oriballo@crm.otsuka-europe.com")</f>
        <v>oriballo@crm.otsuka-europe.com</v>
      </c>
      <c r="N7277" s="25">
        <v>46227.519849537035</v>
      </c>
      <c r="O7277" s="14" t="str">
        <f>HYPERLINK("https://otsuka-europe-crm.veevavault.com/ui/#object/email_activity__v/V8C00000004E101", "EN-002108573")</f>
        <v>EN-002108573</v>
      </c>
    </row>
    <row r="7278" spans="1:15" ht="16" x14ac:dyDescent="0.2">
      <c r="A7278" s="26"/>
      <c r="B7278" s="26"/>
      <c r="C7278" s="26"/>
      <c r="D7278" s="26"/>
      <c r="E7278" s="26"/>
      <c r="F7278" s="26"/>
      <c r="G7278" s="26"/>
      <c r="H7278" s="26"/>
      <c r="I7278" s="26"/>
      <c r="J7278" s="26"/>
      <c r="K7278" s="26"/>
      <c r="L7278" s="26"/>
      <c r="M7278" s="26"/>
      <c r="N7278" s="26"/>
      <c r="O7278" s="14" t="str">
        <f>HYPERLINK("https://otsuka-europe-crm.veevavault.com/ui/#object/email_activity__v/V8C00000004E155", "EN-002108709")</f>
        <v>EN-002108709</v>
      </c>
    </row>
    <row r="7279" spans="1:15" ht="16" x14ac:dyDescent="0.2">
      <c r="A7279" s="26"/>
      <c r="B7279" s="26"/>
      <c r="C7279" s="26"/>
      <c r="D7279" s="26"/>
      <c r="E7279" s="26"/>
      <c r="F7279" s="26"/>
      <c r="G7279" s="26"/>
      <c r="H7279" s="26"/>
      <c r="I7279" s="26"/>
      <c r="J7279" s="26"/>
      <c r="K7279" s="26"/>
      <c r="L7279" s="26"/>
      <c r="M7279" s="26"/>
      <c r="N7279" s="26"/>
      <c r="O7279" s="14" t="str">
        <f>HYPERLINK("https://otsuka-europe-crm.veevavault.com/ui/#object/email_activity__v/V8C00000004E156", "EN-002108710")</f>
        <v>EN-002108710</v>
      </c>
    </row>
    <row r="7280" spans="1:15" ht="16" x14ac:dyDescent="0.2">
      <c r="A7280" s="19"/>
      <c r="B7280" s="19"/>
      <c r="C7280" s="19"/>
      <c r="D7280" s="19"/>
      <c r="E7280" s="19"/>
      <c r="F7280" s="19"/>
      <c r="G7280" s="19"/>
      <c r="H7280" s="19"/>
      <c r="I7280" s="19"/>
      <c r="J7280" s="19"/>
      <c r="K7280" s="19"/>
      <c r="L7280" s="19"/>
      <c r="M7280" s="19"/>
      <c r="N7280" s="19"/>
      <c r="O7280" s="14" t="str">
        <f>HYPERLINK("https://otsuka-europe-crm.veevavault.com/ui/#object/email_activity__v/V8C00000004E158", "EN-002108712")</f>
        <v>EN-002108712</v>
      </c>
    </row>
    <row r="7281" spans="1:15" ht="16" x14ac:dyDescent="0.2">
      <c r="A7281" s="18" t="str">
        <f>HYPERLINK("https://otsuka-europe-crm.veevavault.com/ui/#object/account__v/V4TZ025E84BILYS", "BLANCA SERRANO MUÑOZ")</f>
        <v>BLANCA SERRANO MUÑOZ</v>
      </c>
      <c r="B7281" s="18" t="str">
        <f>HYPERLINK("https://otsuka-europe-crm.veevavault.com/ui/#object/vcountry__v/VENZ000004SONF5", "ES")</f>
        <v>ES</v>
      </c>
      <c r="C7281" s="20" t="s">
        <v>39</v>
      </c>
      <c r="D728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81" s="22" t="str">
        <f>HYPERLINK("https://otsuka-europe-crm.veevavault.com/ui/#object/sent_email__v/VBL00000003C020", "SE-001445032")</f>
        <v>SE-001445032</v>
      </c>
      <c r="F7281" s="23"/>
      <c r="G7281" s="24">
        <v>0</v>
      </c>
      <c r="H7281" s="24">
        <v>0</v>
      </c>
      <c r="I7281" s="24">
        <v>0</v>
      </c>
      <c r="J7281" s="23"/>
      <c r="K7281" s="24">
        <v>0</v>
      </c>
      <c r="L728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81" s="22" t="str">
        <f>HYPERLINK("mailto:oriballo@crm.otsuka-europe.com", "oriballo@crm.otsuka-europe.com")</f>
        <v>oriballo@crm.otsuka-europe.com</v>
      </c>
      <c r="N7281" s="25">
        <v>46227.519849537035</v>
      </c>
      <c r="O7281" s="14" t="str">
        <f>HYPERLINK("https://otsuka-europe-crm.veevavault.com/ui/#object/email_activity__v/V8C00000004E076", "EN-002108547")</f>
        <v>EN-002108547</v>
      </c>
    </row>
    <row r="7282" spans="1:15" ht="16" x14ac:dyDescent="0.2">
      <c r="A7282" s="26"/>
      <c r="B7282" s="26"/>
      <c r="C7282" s="26"/>
      <c r="D7282" s="26"/>
      <c r="E7282" s="26"/>
      <c r="F7282" s="26"/>
      <c r="G7282" s="26"/>
      <c r="H7282" s="26"/>
      <c r="I7282" s="26"/>
      <c r="J7282" s="26"/>
      <c r="K7282" s="26"/>
      <c r="L7282" s="26"/>
      <c r="M7282" s="26"/>
      <c r="N7282" s="26"/>
      <c r="O7282" s="14" t="str">
        <f>HYPERLINK("https://otsuka-europe-crm.veevavault.com/ui/#object/email_activity__v/V8C00000004E211", "EN-002108801")</f>
        <v>EN-002108801</v>
      </c>
    </row>
    <row r="7283" spans="1:15" ht="16" x14ac:dyDescent="0.2">
      <c r="A7283" s="19"/>
      <c r="B7283" s="19"/>
      <c r="C7283" s="19"/>
      <c r="D7283" s="19"/>
      <c r="E7283" s="19"/>
      <c r="F7283" s="19"/>
      <c r="G7283" s="19"/>
      <c r="H7283" s="19"/>
      <c r="I7283" s="19"/>
      <c r="J7283" s="19"/>
      <c r="K7283" s="19"/>
      <c r="L7283" s="19"/>
      <c r="M7283" s="19"/>
      <c r="N7283" s="19"/>
      <c r="O7283" s="14" t="str">
        <f>HYPERLINK("https://otsuka-europe-crm.veevavault.com/ui/#object/email_activity__v/V8C00000004E312", "EN-002108978")</f>
        <v>EN-002108978</v>
      </c>
    </row>
    <row r="7284" spans="1:15" ht="16" x14ac:dyDescent="0.2">
      <c r="A7284" s="18" t="str">
        <f>HYPERLINK("https://otsuka-europe-crm.veevavault.com/ui/#object/account__v/V4TZ06G6O71TBW0", "JUAN MARIANO RODRIGUEZ PORTILLO")</f>
        <v>JUAN MARIANO RODRIGUEZ PORTILLO</v>
      </c>
      <c r="B7284" s="18" t="str">
        <f>HYPERLINK("https://otsuka-europe-crm.veevavault.com/ui/#object/vcountry__v/VENZ000004SONF5", "ES")</f>
        <v>ES</v>
      </c>
      <c r="C7284" s="20" t="s">
        <v>39</v>
      </c>
      <c r="D728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84" s="22" t="str">
        <f>HYPERLINK("https://otsuka-europe-crm.veevavault.com/ui/#object/sent_email__v/VBL00000003C021", "SE-001445033")</f>
        <v>SE-001445033</v>
      </c>
      <c r="F7284" s="23"/>
      <c r="G7284" s="24">
        <v>0</v>
      </c>
      <c r="H7284" s="24">
        <v>0</v>
      </c>
      <c r="I7284" s="24">
        <v>0</v>
      </c>
      <c r="J7284" s="23"/>
      <c r="K7284" s="24">
        <v>0</v>
      </c>
      <c r="L728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84" s="22" t="str">
        <f>HYPERLINK("mailto:oriballo@crm.otsuka-europe.com", "oriballo@crm.otsuka-europe.com")</f>
        <v>oriballo@crm.otsuka-europe.com</v>
      </c>
      <c r="N7284" s="25">
        <v>46227.519849537035</v>
      </c>
      <c r="O7284" s="14" t="str">
        <f>HYPERLINK("https://otsuka-europe-crm.veevavault.com/ui/#object/email_activity__v/V8C00000004E094", "EN-002108566")</f>
        <v>EN-002108566</v>
      </c>
    </row>
    <row r="7285" spans="1:15" ht="16" x14ac:dyDescent="0.2">
      <c r="A7285" s="19"/>
      <c r="B7285" s="19"/>
      <c r="C7285" s="19"/>
      <c r="D7285" s="19"/>
      <c r="E7285" s="19"/>
      <c r="F7285" s="19"/>
      <c r="G7285" s="19"/>
      <c r="H7285" s="19"/>
      <c r="I7285" s="19"/>
      <c r="J7285" s="19"/>
      <c r="K7285" s="19"/>
      <c r="L7285" s="19"/>
      <c r="M7285" s="19"/>
      <c r="N7285" s="19"/>
      <c r="O7285" s="14" t="str">
        <f>HYPERLINK("https://otsuka-europe-crm.veevavault.com/ui/#object/email_activity__v/V8C00000004E356", "EN-002109064")</f>
        <v>EN-002109064</v>
      </c>
    </row>
    <row r="7286" spans="1:15" ht="64" x14ac:dyDescent="0.2">
      <c r="A7286" s="7" t="str">
        <f>HYPERLINK("https://otsuka-europe-crm.veevavault.com/ui/#object/account__v/V4TZ06G6O71T7BQ", "CRISTINA RABASCO RUIZ")</f>
        <v>CRISTINA RABASCO RUIZ</v>
      </c>
      <c r="B7286" s="7" t="str">
        <f>HYPERLINK("https://otsuka-europe-crm.veevavault.com/ui/#object/vcountry__v/VENZ000004SONF5", "ES")</f>
        <v>ES</v>
      </c>
      <c r="C7286" s="8" t="s">
        <v>39</v>
      </c>
      <c r="D728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86" s="10" t="str">
        <f>HYPERLINK("https://otsuka-europe-crm.veevavault.com/ui/#object/sent_email__v/VBL00000003C022", "SE-001445034")</f>
        <v>SE-001445034</v>
      </c>
      <c r="F7286" s="11"/>
      <c r="G7286" s="12">
        <v>0</v>
      </c>
      <c r="H7286" s="12">
        <v>0</v>
      </c>
      <c r="I7286" s="12">
        <v>0</v>
      </c>
      <c r="J7286" s="11"/>
      <c r="K7286" s="12">
        <v>0</v>
      </c>
      <c r="L728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86" s="10" t="str">
        <f>HYPERLINK("mailto:oriballo@crm.otsuka-europe.com", "oriballo@crm.otsuka-europe.com")</f>
        <v>oriballo@crm.otsuka-europe.com</v>
      </c>
      <c r="N7286" s="13">
        <v>46227.519849537035</v>
      </c>
      <c r="O7286" s="14" t="str">
        <f>HYPERLINK("https://otsuka-europe-crm.veevavault.com/ui/#object/email_activity__v/V8C00000004E080", "EN-002108551")</f>
        <v>EN-002108551</v>
      </c>
    </row>
    <row r="7287" spans="1:15" ht="64" x14ac:dyDescent="0.2">
      <c r="A7287" s="7" t="str">
        <f>HYPERLINK("https://otsuka-europe-crm.veevavault.com/ui/#object/account__v/V4TZ06G6O71TB5K", "MARIA CARMEN MINGUEZ MAÑANES")</f>
        <v>MARIA CARMEN MINGUEZ MAÑANES</v>
      </c>
      <c r="B7287" s="7" t="str">
        <f>HYPERLINK("https://otsuka-europe-crm.veevavault.com/ui/#object/vcountry__v/VENZ000004SONF5", "ES")</f>
        <v>ES</v>
      </c>
      <c r="C7287" s="8" t="s">
        <v>39</v>
      </c>
      <c r="D7287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87" s="10" t="str">
        <f>HYPERLINK("https://otsuka-europe-crm.veevavault.com/ui/#object/sent_email__v/VBL00000003C023", "SE-001445035")</f>
        <v>SE-001445035</v>
      </c>
      <c r="F7287" s="11"/>
      <c r="G7287" s="12">
        <v>0</v>
      </c>
      <c r="H7287" s="12">
        <v>0</v>
      </c>
      <c r="I7287" s="12">
        <v>0</v>
      </c>
      <c r="J7287" s="11"/>
      <c r="K7287" s="12">
        <v>0</v>
      </c>
      <c r="L7287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87" s="10" t="str">
        <f>HYPERLINK("mailto:oriballo@crm.otsuka-europe.com", "oriballo@crm.otsuka-europe.com")</f>
        <v>oriballo@crm.otsuka-europe.com</v>
      </c>
      <c r="N7287" s="13">
        <v>46227.519849537035</v>
      </c>
      <c r="O7287" s="14" t="str">
        <f>HYPERLINK("https://otsuka-europe-crm.veevavault.com/ui/#object/email_activity__v/V8C00000004D312", "EN-002108646")</f>
        <v>EN-002108646</v>
      </c>
    </row>
    <row r="7288" spans="1:15" ht="64" x14ac:dyDescent="0.2">
      <c r="A7288" s="7" t="str">
        <f>HYPERLINK("https://otsuka-europe-crm.veevavault.com/ui/#object/account__v/V4TZ06G6O71T8I7", "ROSA GOMEZ GOMEZ")</f>
        <v>ROSA GOMEZ GOMEZ</v>
      </c>
      <c r="B7288" s="7" t="str">
        <f>HYPERLINK("https://otsuka-europe-crm.veevavault.com/ui/#object/vcountry__v/VENZ000004SONF5", "ES")</f>
        <v>ES</v>
      </c>
      <c r="C7288" s="8" t="s">
        <v>39</v>
      </c>
      <c r="D728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88" s="10" t="str">
        <f>HYPERLINK("https://otsuka-europe-crm.veevavault.com/ui/#object/sent_email__v/VBL00000003C024", "SE-001445036")</f>
        <v>SE-001445036</v>
      </c>
      <c r="F7288" s="11"/>
      <c r="G7288" s="12">
        <v>0</v>
      </c>
      <c r="H7288" s="12">
        <v>0</v>
      </c>
      <c r="I7288" s="12">
        <v>0</v>
      </c>
      <c r="J7288" s="11"/>
      <c r="K7288" s="12">
        <v>0</v>
      </c>
      <c r="L728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88" s="10" t="str">
        <f>HYPERLINK("mailto:oriballo@crm.otsuka-europe.com", "oriballo@crm.otsuka-europe.com")</f>
        <v>oriballo@crm.otsuka-europe.com</v>
      </c>
      <c r="N7288" s="13">
        <v>46227.519849537035</v>
      </c>
      <c r="O7288" s="14" t="str">
        <f>HYPERLINK("https://otsuka-europe-crm.veevavault.com/ui/#object/email_activity__v/V8C00000004D308", "EN-002108642")</f>
        <v>EN-002108642</v>
      </c>
    </row>
    <row r="7289" spans="1:15" ht="64" x14ac:dyDescent="0.2">
      <c r="A7289" s="7" t="str">
        <f>HYPERLINK("https://otsuka-europe-crm.veevavault.com/ui/#object/account__v/V4TZ06G6O71TAO6", "SONIA MARIA CRUZ MUÑOZ")</f>
        <v>SONIA MARIA CRUZ MUÑOZ</v>
      </c>
      <c r="B7289" s="7" t="str">
        <f>HYPERLINK("https://otsuka-europe-crm.veevavault.com/ui/#object/vcountry__v/VENZ000004SONF5", "ES")</f>
        <v>ES</v>
      </c>
      <c r="C7289" s="8" t="s">
        <v>39</v>
      </c>
      <c r="D728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89" s="10" t="str">
        <f>HYPERLINK("https://otsuka-europe-crm.veevavault.com/ui/#object/sent_email__v/VBL00000003C025", "SE-001445037")</f>
        <v>SE-001445037</v>
      </c>
      <c r="F7289" s="11"/>
      <c r="G7289" s="12">
        <v>0</v>
      </c>
      <c r="H7289" s="12">
        <v>0</v>
      </c>
      <c r="I7289" s="12">
        <v>0</v>
      </c>
      <c r="J7289" s="11"/>
      <c r="K7289" s="12">
        <v>0</v>
      </c>
      <c r="L728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89" s="10" t="str">
        <f>HYPERLINK("mailto:oriballo@crm.otsuka-europe.com", "oriballo@crm.otsuka-europe.com")</f>
        <v>oriballo@crm.otsuka-europe.com</v>
      </c>
      <c r="N7289" s="13">
        <v>46227.519849537035</v>
      </c>
      <c r="O7289" s="14" t="str">
        <f>HYPERLINK("https://otsuka-europe-crm.veevavault.com/ui/#object/email_activity__v/V8C00000004D277", "EN-002108609")</f>
        <v>EN-002108609</v>
      </c>
    </row>
    <row r="7290" spans="1:15" ht="16" x14ac:dyDescent="0.2">
      <c r="A7290" s="18" t="str">
        <f>HYPERLINK("https://otsuka-europe-crm.veevavault.com/ui/#object/account__v/V4TZ06G6O9RNW31", "FERNANDO BERTOMEU MORENO")</f>
        <v>FERNANDO BERTOMEU MORENO</v>
      </c>
      <c r="B7290" s="18" t="str">
        <f>HYPERLINK("https://otsuka-europe-crm.veevavault.com/ui/#object/vcountry__v/VENZ000004SONF5", "ES")</f>
        <v>ES</v>
      </c>
      <c r="C7290" s="20" t="s">
        <v>39</v>
      </c>
      <c r="D729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90" s="22" t="str">
        <f>HYPERLINK("https://otsuka-europe-crm.veevavault.com/ui/#object/sent_email__v/VBL00000003C026", "SE-001445038")</f>
        <v>SE-001445038</v>
      </c>
      <c r="F7290" s="25">
        <v>46227.587523148148</v>
      </c>
      <c r="G7290" s="24">
        <v>1</v>
      </c>
      <c r="H7290" s="24">
        <v>2</v>
      </c>
      <c r="I7290" s="24">
        <v>0</v>
      </c>
      <c r="J7290" s="23"/>
      <c r="K7290" s="24">
        <v>0</v>
      </c>
      <c r="L729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90" s="22" t="str">
        <f>HYPERLINK("mailto:oriballo@crm.otsuka-europe.com", "oriballo@crm.otsuka-europe.com")</f>
        <v>oriballo@crm.otsuka-europe.com</v>
      </c>
      <c r="N7290" s="25">
        <v>46227.519849537035</v>
      </c>
      <c r="O7290" s="14" t="str">
        <f>HYPERLINK("https://otsuka-europe-crm.veevavault.com/ui/#object/email_activity__v/V8C00000004D291", "EN-002108623")</f>
        <v>EN-002108623</v>
      </c>
    </row>
    <row r="7291" spans="1:15" ht="16" x14ac:dyDescent="0.2">
      <c r="A7291" s="26"/>
      <c r="B7291" s="26"/>
      <c r="C7291" s="26"/>
      <c r="D7291" s="26"/>
      <c r="E7291" s="26"/>
      <c r="F7291" s="26"/>
      <c r="G7291" s="26"/>
      <c r="H7291" s="26"/>
      <c r="I7291" s="26"/>
      <c r="J7291" s="26"/>
      <c r="K7291" s="26"/>
      <c r="L7291" s="26"/>
      <c r="M7291" s="26"/>
      <c r="N7291" s="26"/>
      <c r="O7291" s="14" t="str">
        <f>HYPERLINK("https://otsuka-europe-crm.veevavault.com/ui/#object/email_activity__v/V8C00000004D376", "EN-002108810")</f>
        <v>EN-002108810</v>
      </c>
    </row>
    <row r="7292" spans="1:15" ht="16" x14ac:dyDescent="0.2">
      <c r="A7292" s="19"/>
      <c r="B7292" s="19"/>
      <c r="C7292" s="19"/>
      <c r="D7292" s="19"/>
      <c r="E7292" s="19"/>
      <c r="F7292" s="19"/>
      <c r="G7292" s="19"/>
      <c r="H7292" s="19"/>
      <c r="I7292" s="19"/>
      <c r="J7292" s="19"/>
      <c r="K7292" s="19"/>
      <c r="L7292" s="19"/>
      <c r="M7292" s="19"/>
      <c r="N7292" s="19"/>
      <c r="O7292" s="14" t="str">
        <f>HYPERLINK("https://otsuka-europe-crm.veevavault.com/ui/#object/email_activity__v/V8C00000004E129", "EN-002108679")</f>
        <v>EN-002108679</v>
      </c>
    </row>
    <row r="7293" spans="1:15" ht="16" x14ac:dyDescent="0.2">
      <c r="A7293" s="18" t="str">
        <f>HYPERLINK("https://otsuka-europe-crm.veevavault.com/ui/#object/account__v/V4T00000001G027", "JARY LORENZO PERELLO MARTINEZ")</f>
        <v>JARY LORENZO PERELLO MARTINEZ</v>
      </c>
      <c r="B7293" s="18" t="str">
        <f>HYPERLINK("https://otsuka-europe-crm.veevavault.com/ui/#object/vcountry__v/VENZ000004SONF5", "ES")</f>
        <v>ES</v>
      </c>
      <c r="C7293" s="20" t="s">
        <v>39</v>
      </c>
      <c r="D729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93" s="22" t="str">
        <f>HYPERLINK("https://otsuka-europe-crm.veevavault.com/ui/#object/sent_email__v/VBL00000003C027", "SE-001445039")</f>
        <v>SE-001445039</v>
      </c>
      <c r="F7293" s="25">
        <v>46227.899652777778</v>
      </c>
      <c r="G7293" s="24">
        <v>1</v>
      </c>
      <c r="H7293" s="24">
        <v>1</v>
      </c>
      <c r="I7293" s="24">
        <v>0</v>
      </c>
      <c r="J7293" s="23"/>
      <c r="K7293" s="24">
        <v>0</v>
      </c>
      <c r="L729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93" s="22" t="str">
        <f>HYPERLINK("mailto:oriballo@crm.otsuka-europe.com", "oriballo@crm.otsuka-europe.com")</f>
        <v>oriballo@crm.otsuka-europe.com</v>
      </c>
      <c r="N7293" s="25">
        <v>46227.519907407404</v>
      </c>
      <c r="O7293" s="14" t="str">
        <f>HYPERLINK("https://otsuka-europe-crm.veevavault.com/ui/#object/email_activity__v/V8C00000004D314", "EN-002108648")</f>
        <v>EN-002108648</v>
      </c>
    </row>
    <row r="7294" spans="1:15" ht="16" x14ac:dyDescent="0.2">
      <c r="A7294" s="19"/>
      <c r="B7294" s="19"/>
      <c r="C7294" s="19"/>
      <c r="D7294" s="19"/>
      <c r="E7294" s="19"/>
      <c r="F7294" s="19"/>
      <c r="G7294" s="19"/>
      <c r="H7294" s="19"/>
      <c r="I7294" s="19"/>
      <c r="J7294" s="19"/>
      <c r="K7294" s="19"/>
      <c r="L7294" s="19"/>
      <c r="M7294" s="19"/>
      <c r="N7294" s="19"/>
      <c r="O7294" s="14" t="str">
        <f>HYPERLINK("https://otsuka-europe-crm.veevavault.com/ui/#object/email_activity__v/V8C00000004D427", "EN-002108938")</f>
        <v>EN-002108938</v>
      </c>
    </row>
    <row r="7295" spans="1:15" ht="64" x14ac:dyDescent="0.2">
      <c r="A7295" s="7" t="str">
        <f>HYPERLINK("https://otsuka-europe-crm.veevavault.com/ui/#object/account__v/V4TZ04ASG7A7QSF", "ALVARO OSSORIO ANAYA")</f>
        <v>ALVARO OSSORIO ANAYA</v>
      </c>
      <c r="B7295" s="7" t="str">
        <f>HYPERLINK("https://otsuka-europe-crm.veevavault.com/ui/#object/vcountry__v/VENZ000004SONF5", "ES")</f>
        <v>ES</v>
      </c>
      <c r="C7295" s="8" t="s">
        <v>39</v>
      </c>
      <c r="D7295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95" s="10" t="str">
        <f>HYPERLINK("https://otsuka-europe-crm.veevavault.com/ui/#object/sent_email__v/VBL00000003C028", "SE-001445040")</f>
        <v>SE-001445040</v>
      </c>
      <c r="F7295" s="11"/>
      <c r="G7295" s="12">
        <v>0</v>
      </c>
      <c r="H7295" s="12">
        <v>0</v>
      </c>
      <c r="I7295" s="12">
        <v>0</v>
      </c>
      <c r="J7295" s="11"/>
      <c r="K7295" s="12">
        <v>0</v>
      </c>
      <c r="L7295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95" s="10" t="str">
        <f>HYPERLINK("mailto:oriballo@crm.otsuka-europe.com", "oriballo@crm.otsuka-europe.com")</f>
        <v>oriballo@crm.otsuka-europe.com</v>
      </c>
      <c r="N7295" s="13">
        <v>46227.519849537035</v>
      </c>
      <c r="O7295" s="14" t="str">
        <f>HYPERLINK("https://otsuka-europe-crm.veevavault.com/ui/#object/email_activity__v/V8C00000004D296", "EN-002108628")</f>
        <v>EN-002108628</v>
      </c>
    </row>
    <row r="7296" spans="1:15" ht="16" x14ac:dyDescent="0.2">
      <c r="A7296" s="18" t="str">
        <f>HYPERLINK("https://otsuka-europe-crm.veevavault.com/ui/#object/account__v/V4TZ06G6O71T8KC", "VERONICA DE LA ESPADA PIÑA")</f>
        <v>VERONICA DE LA ESPADA PIÑA</v>
      </c>
      <c r="B7296" s="18" t="str">
        <f>HYPERLINK("https://otsuka-europe-crm.veevavault.com/ui/#object/vcountry__v/VENZ000004SONF5", "ES")</f>
        <v>ES</v>
      </c>
      <c r="C7296" s="20" t="s">
        <v>39</v>
      </c>
      <c r="D729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96" s="22" t="str">
        <f>HYPERLINK("https://otsuka-europe-crm.veevavault.com/ui/#object/sent_email__v/VBL00000003C029", "SE-001445041")</f>
        <v>SE-001445041</v>
      </c>
      <c r="F7296" s="25">
        <v>46227.544548611113</v>
      </c>
      <c r="G7296" s="24">
        <v>1</v>
      </c>
      <c r="H7296" s="24">
        <v>2</v>
      </c>
      <c r="I7296" s="24">
        <v>0</v>
      </c>
      <c r="J7296" s="23"/>
      <c r="K7296" s="24">
        <v>0</v>
      </c>
      <c r="L729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96" s="22" t="str">
        <f>HYPERLINK("mailto:oriballo@crm.otsuka-europe.com", "oriballo@crm.otsuka-europe.com")</f>
        <v>oriballo@crm.otsuka-europe.com</v>
      </c>
      <c r="N7296" s="25">
        <v>46227.519849537035</v>
      </c>
      <c r="O7296" s="14" t="str">
        <f>HYPERLINK("https://otsuka-europe-crm.veevavault.com/ui/#object/email_activity__v/V8C00000004D300", "EN-002108634")</f>
        <v>EN-002108634</v>
      </c>
    </row>
    <row r="7297" spans="1:15" ht="16" x14ac:dyDescent="0.2">
      <c r="A7297" s="26"/>
      <c r="B7297" s="26"/>
      <c r="C7297" s="26"/>
      <c r="D7297" s="26"/>
      <c r="E7297" s="26"/>
      <c r="F7297" s="26"/>
      <c r="G7297" s="26"/>
      <c r="H7297" s="26"/>
      <c r="I7297" s="26"/>
      <c r="J7297" s="26"/>
      <c r="K7297" s="26"/>
      <c r="L7297" s="26"/>
      <c r="M7297" s="26"/>
      <c r="N7297" s="26"/>
      <c r="O7297" s="14" t="str">
        <f>HYPERLINK("https://otsuka-europe-crm.veevavault.com/ui/#object/email_activity__v/V8C00000004E171", "EN-002108732")</f>
        <v>EN-002108732</v>
      </c>
    </row>
    <row r="7298" spans="1:15" ht="16" x14ac:dyDescent="0.2">
      <c r="A7298" s="19"/>
      <c r="B7298" s="19"/>
      <c r="C7298" s="19"/>
      <c r="D7298" s="19"/>
      <c r="E7298" s="19"/>
      <c r="F7298" s="19"/>
      <c r="G7298" s="19"/>
      <c r="H7298" s="19"/>
      <c r="I7298" s="19"/>
      <c r="J7298" s="19"/>
      <c r="K7298" s="19"/>
      <c r="L7298" s="19"/>
      <c r="M7298" s="19"/>
      <c r="N7298" s="19"/>
      <c r="O7298" s="14" t="str">
        <f>HYPERLINK("https://otsuka-europe-crm.veevavault.com/ui/#object/email_activity__v/V8C00000004E174", "EN-002108736")</f>
        <v>EN-002108736</v>
      </c>
    </row>
    <row r="7299" spans="1:15" ht="16" x14ac:dyDescent="0.2">
      <c r="A7299" s="18" t="str">
        <f>HYPERLINK("https://otsuka-europe-crm.veevavault.com/ui/#object/account__v/V4TZ06G6O71TASB", "MANUEL LOPEZ MENDOZA")</f>
        <v>MANUEL LOPEZ MENDOZA</v>
      </c>
      <c r="B7299" s="18" t="str">
        <f>HYPERLINK("https://otsuka-europe-crm.veevavault.com/ui/#object/vcountry__v/VENZ000004SONF5", "ES")</f>
        <v>ES</v>
      </c>
      <c r="C7299" s="20" t="s">
        <v>39</v>
      </c>
      <c r="D729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299" s="22" t="str">
        <f>HYPERLINK("https://otsuka-europe-crm.veevavault.com/ui/#object/sent_email__v/VBL00000003C030", "SE-001445042")</f>
        <v>SE-001445042</v>
      </c>
      <c r="F7299" s="25">
        <v>46227.520173611112</v>
      </c>
      <c r="G7299" s="24">
        <v>1</v>
      </c>
      <c r="H7299" s="24">
        <v>1</v>
      </c>
      <c r="I7299" s="24">
        <v>0</v>
      </c>
      <c r="J7299" s="23"/>
      <c r="K7299" s="24">
        <v>0</v>
      </c>
      <c r="L729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299" s="22" t="str">
        <f>HYPERLINK("mailto:oriballo@crm.otsuka-europe.com", "oriballo@crm.otsuka-europe.com")</f>
        <v>oriballo@crm.otsuka-europe.com</v>
      </c>
      <c r="N7299" s="25">
        <v>46227.519849537035</v>
      </c>
      <c r="O7299" s="14" t="str">
        <f>HYPERLINK("https://otsuka-europe-crm.veevavault.com/ui/#object/email_activity__v/V8C00000004D327", "EN-002108667")</f>
        <v>EN-002108667</v>
      </c>
    </row>
    <row r="7300" spans="1:15" ht="16" x14ac:dyDescent="0.2">
      <c r="A7300" s="19"/>
      <c r="B7300" s="19"/>
      <c r="C7300" s="19"/>
      <c r="D7300" s="19"/>
      <c r="E7300" s="19"/>
      <c r="F7300" s="19"/>
      <c r="G7300" s="19"/>
      <c r="H7300" s="19"/>
      <c r="I7300" s="19"/>
      <c r="J7300" s="19"/>
      <c r="K7300" s="19"/>
      <c r="L7300" s="19"/>
      <c r="M7300" s="19"/>
      <c r="N7300" s="19"/>
      <c r="O7300" s="14" t="str">
        <f>HYPERLINK("https://otsuka-europe-crm.veevavault.com/ui/#object/email_activity__v/V8C00000004E079", "EN-002108550")</f>
        <v>EN-002108550</v>
      </c>
    </row>
    <row r="7301" spans="1:15" ht="16" x14ac:dyDescent="0.2">
      <c r="A7301" s="18" t="str">
        <f>HYPERLINK("https://otsuka-europe-crm.veevavault.com/ui/#object/account__v/V4TZ025E833O03R", "JULIAN VALLADARES ALCOBENDAS")</f>
        <v>JULIAN VALLADARES ALCOBENDAS</v>
      </c>
      <c r="B7301" s="18" t="str">
        <f>HYPERLINK("https://otsuka-europe-crm.veevavault.com/ui/#object/vcountry__v/VENZ000004SONF5", "ES")</f>
        <v>ES</v>
      </c>
      <c r="C7301" s="20" t="s">
        <v>39</v>
      </c>
      <c r="D730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01" s="22" t="str">
        <f>HYPERLINK("https://otsuka-europe-crm.veevavault.com/ui/#object/sent_email__v/VBL00000003C031", "SE-001445043")</f>
        <v>SE-001445043</v>
      </c>
      <c r="F7301" s="23"/>
      <c r="G7301" s="24">
        <v>0</v>
      </c>
      <c r="H7301" s="24">
        <v>0</v>
      </c>
      <c r="I7301" s="24">
        <v>0</v>
      </c>
      <c r="J7301" s="23"/>
      <c r="K7301" s="24">
        <v>0</v>
      </c>
      <c r="L730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01" s="22" t="str">
        <f>HYPERLINK("mailto:oriballo@crm.otsuka-europe.com", "oriballo@crm.otsuka-europe.com")</f>
        <v>oriballo@crm.otsuka-europe.com</v>
      </c>
      <c r="N7301" s="25">
        <v>46227.519849537035</v>
      </c>
      <c r="O7301" s="14" t="str">
        <f>HYPERLINK("https://otsuka-europe-crm.veevavault.com/ui/#object/email_activity__v/V8C00000004E075", "EN-002108546")</f>
        <v>EN-002108546</v>
      </c>
    </row>
    <row r="7302" spans="1:15" ht="16" x14ac:dyDescent="0.2">
      <c r="A7302" s="19"/>
      <c r="B7302" s="19"/>
      <c r="C7302" s="19"/>
      <c r="D7302" s="19"/>
      <c r="E7302" s="19"/>
      <c r="F7302" s="19"/>
      <c r="G7302" s="19"/>
      <c r="H7302" s="19"/>
      <c r="I7302" s="19"/>
      <c r="J7302" s="19"/>
      <c r="K7302" s="19"/>
      <c r="L7302" s="19"/>
      <c r="M7302" s="19"/>
      <c r="N7302" s="19"/>
      <c r="O7302" s="14" t="str">
        <f>HYPERLINK("https://otsuka-europe-crm.veevavault.com/ui/#object/email_activity__v/V8C00000004E279", "EN-002108917")</f>
        <v>EN-002108917</v>
      </c>
    </row>
    <row r="7303" spans="1:15" ht="16" x14ac:dyDescent="0.2">
      <c r="A7303" s="18" t="str">
        <f>HYPERLINK("https://otsuka-europe-crm.veevavault.com/ui/#object/account__v/V4TZ06G6O71T77Z", "VICTORIA EUGENIA GARCIA MONTEMAYOR")</f>
        <v>VICTORIA EUGENIA GARCIA MONTEMAYOR</v>
      </c>
      <c r="B7303" s="18" t="str">
        <f>HYPERLINK("https://otsuka-europe-crm.veevavault.com/ui/#object/vcountry__v/VENZ000004SONF5", "ES")</f>
        <v>ES</v>
      </c>
      <c r="C7303" s="20" t="s">
        <v>39</v>
      </c>
      <c r="D730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03" s="22" t="str">
        <f>HYPERLINK("https://otsuka-europe-crm.veevavault.com/ui/#object/sent_email__v/VBL00000003C032", "SE-001445044")</f>
        <v>SE-001445044</v>
      </c>
      <c r="F7303" s="25">
        <v>46227.520520833335</v>
      </c>
      <c r="G7303" s="24">
        <v>1</v>
      </c>
      <c r="H7303" s="24">
        <v>2</v>
      </c>
      <c r="I7303" s="24">
        <v>0</v>
      </c>
      <c r="J7303" s="23"/>
      <c r="K7303" s="24">
        <v>0</v>
      </c>
      <c r="L730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03" s="22" t="str">
        <f>HYPERLINK("mailto:oriballo@crm.otsuka-europe.com", "oriballo@crm.otsuka-europe.com")</f>
        <v>oriballo@crm.otsuka-europe.com</v>
      </c>
      <c r="N7303" s="25">
        <v>46227.519849537035</v>
      </c>
      <c r="O7303" s="14" t="str">
        <f>HYPERLINK("https://otsuka-europe-crm.veevavault.com/ui/#object/email_activity__v/V8C00000004D329", "EN-002108670")</f>
        <v>EN-002108670</v>
      </c>
    </row>
    <row r="7304" spans="1:15" ht="16" x14ac:dyDescent="0.2">
      <c r="A7304" s="26"/>
      <c r="B7304" s="26"/>
      <c r="C7304" s="26"/>
      <c r="D7304" s="26"/>
      <c r="E7304" s="26"/>
      <c r="F7304" s="26"/>
      <c r="G7304" s="26"/>
      <c r="H7304" s="26"/>
      <c r="I7304" s="26"/>
      <c r="J7304" s="26"/>
      <c r="K7304" s="26"/>
      <c r="L7304" s="26"/>
      <c r="M7304" s="26"/>
      <c r="N7304" s="26"/>
      <c r="O7304" s="14" t="str">
        <f>HYPERLINK("https://otsuka-europe-crm.veevavault.com/ui/#object/email_activity__v/V8C00000004D330", "EN-002108671")</f>
        <v>EN-002108671</v>
      </c>
    </row>
    <row r="7305" spans="1:15" ht="16" x14ac:dyDescent="0.2">
      <c r="A7305" s="19"/>
      <c r="B7305" s="19"/>
      <c r="C7305" s="19"/>
      <c r="D7305" s="19"/>
      <c r="E7305" s="19"/>
      <c r="F7305" s="19"/>
      <c r="G7305" s="19"/>
      <c r="H7305" s="19"/>
      <c r="I7305" s="19"/>
      <c r="J7305" s="19"/>
      <c r="K7305" s="19"/>
      <c r="L7305" s="19"/>
      <c r="M7305" s="19"/>
      <c r="N7305" s="19"/>
      <c r="O7305" s="14" t="str">
        <f>HYPERLINK("https://otsuka-europe-crm.veevavault.com/ui/#object/email_activity__v/V8C00000004E099", "EN-002108571")</f>
        <v>EN-002108571</v>
      </c>
    </row>
    <row r="7306" spans="1:15" ht="16" x14ac:dyDescent="0.2">
      <c r="A7306" s="18" t="str">
        <f>HYPERLINK("https://otsuka-europe-crm.veevavault.com/ui/#object/account__v/V4TZ06G6O71TAVD", "ENRIQUE LUNA HUERTA")</f>
        <v>ENRIQUE LUNA HUERTA</v>
      </c>
      <c r="B7306" s="18" t="str">
        <f>HYPERLINK("https://otsuka-europe-crm.veevavault.com/ui/#object/vcountry__v/VENZ000004SONF5", "ES")</f>
        <v>ES</v>
      </c>
      <c r="C7306" s="20" t="s">
        <v>39</v>
      </c>
      <c r="D730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06" s="22" t="str">
        <f>HYPERLINK("https://otsuka-europe-crm.veevavault.com/ui/#object/sent_email__v/VBL00000003C033", "SE-001445045")</f>
        <v>SE-001445045</v>
      </c>
      <c r="F7306" s="23"/>
      <c r="G7306" s="24">
        <v>0</v>
      </c>
      <c r="H7306" s="24">
        <v>0</v>
      </c>
      <c r="I7306" s="24">
        <v>0</v>
      </c>
      <c r="J7306" s="23"/>
      <c r="K7306" s="24">
        <v>0</v>
      </c>
      <c r="L730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06" s="22" t="str">
        <f>HYPERLINK("mailto:oriballo@crm.otsuka-europe.com", "oriballo@crm.otsuka-europe.com")</f>
        <v>oriballo@crm.otsuka-europe.com</v>
      </c>
      <c r="N7306" s="25">
        <v>46227.519849537035</v>
      </c>
      <c r="O7306" s="14" t="str">
        <f>HYPERLINK("https://otsuka-europe-crm.veevavault.com/ui/#object/email_activity__v/V8C00000004D310", "EN-002108644")</f>
        <v>EN-002108644</v>
      </c>
    </row>
    <row r="7307" spans="1:15" ht="16" x14ac:dyDescent="0.2">
      <c r="A7307" s="19"/>
      <c r="B7307" s="19"/>
      <c r="C7307" s="19"/>
      <c r="D7307" s="19"/>
      <c r="E7307" s="19"/>
      <c r="F7307" s="19"/>
      <c r="G7307" s="19"/>
      <c r="H7307" s="19"/>
      <c r="I7307" s="19"/>
      <c r="J7307" s="19"/>
      <c r="K7307" s="19"/>
      <c r="L7307" s="19"/>
      <c r="M7307" s="19"/>
      <c r="N7307" s="19"/>
      <c r="O7307" s="14" t="str">
        <f>HYPERLINK("https://otsuka-europe-crm.veevavault.com/ui/#object/email_activity__v/V8C00000004D350", "EN-002108758")</f>
        <v>EN-002108758</v>
      </c>
    </row>
    <row r="7308" spans="1:15" ht="16" x14ac:dyDescent="0.2">
      <c r="A7308" s="18" t="str">
        <f>HYPERLINK("https://otsuka-europe-crm.veevavault.com/ui/#object/account__v/V4TZ06G6O71TBWW", "MARIANA RIVERA PEREZ")</f>
        <v>MARIANA RIVERA PEREZ</v>
      </c>
      <c r="B7308" s="18" t="str">
        <f>HYPERLINK("https://otsuka-europe-crm.veevavault.com/ui/#object/vcountry__v/VENZ000004SONF5", "ES")</f>
        <v>ES</v>
      </c>
      <c r="C7308" s="20" t="s">
        <v>39</v>
      </c>
      <c r="D730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08" s="22" t="str">
        <f>HYPERLINK("https://otsuka-europe-crm.veevavault.com/ui/#object/sent_email__v/VBL00000003C034", "SE-001445046")</f>
        <v>SE-001445046</v>
      </c>
      <c r="F7308" s="25">
        <v>46227.583171296297</v>
      </c>
      <c r="G7308" s="24">
        <v>1</v>
      </c>
      <c r="H7308" s="24">
        <v>2</v>
      </c>
      <c r="I7308" s="24">
        <v>0</v>
      </c>
      <c r="J7308" s="23"/>
      <c r="K7308" s="24">
        <v>0</v>
      </c>
      <c r="L730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08" s="22" t="str">
        <f>HYPERLINK("mailto:oriballo@crm.otsuka-europe.com", "oriballo@crm.otsuka-europe.com")</f>
        <v>oriballo@crm.otsuka-europe.com</v>
      </c>
      <c r="N7308" s="25">
        <v>46227.519849537035</v>
      </c>
      <c r="O7308" s="14" t="str">
        <f>HYPERLINK("https://otsuka-europe-crm.veevavault.com/ui/#object/email_activity__v/V8C00000004D292", "EN-002108624")</f>
        <v>EN-002108624</v>
      </c>
    </row>
    <row r="7309" spans="1:15" ht="16" x14ac:dyDescent="0.2">
      <c r="A7309" s="26"/>
      <c r="B7309" s="26"/>
      <c r="C7309" s="26"/>
      <c r="D7309" s="26"/>
      <c r="E7309" s="26"/>
      <c r="F7309" s="26"/>
      <c r="G7309" s="26"/>
      <c r="H7309" s="26"/>
      <c r="I7309" s="26"/>
      <c r="J7309" s="26"/>
      <c r="K7309" s="26"/>
      <c r="L7309" s="26"/>
      <c r="M7309" s="26"/>
      <c r="N7309" s="26"/>
      <c r="O7309" s="14" t="str">
        <f>HYPERLINK("https://otsuka-europe-crm.veevavault.com/ui/#object/email_activity__v/V8C00000004D326", "EN-002108666")</f>
        <v>EN-002108666</v>
      </c>
    </row>
    <row r="7310" spans="1:15" ht="16" x14ac:dyDescent="0.2">
      <c r="A7310" s="19"/>
      <c r="B7310" s="19"/>
      <c r="C7310" s="19"/>
      <c r="D7310" s="19"/>
      <c r="E7310" s="19"/>
      <c r="F7310" s="19"/>
      <c r="G7310" s="19"/>
      <c r="H7310" s="19"/>
      <c r="I7310" s="19"/>
      <c r="J7310" s="19"/>
      <c r="K7310" s="19"/>
      <c r="L7310" s="19"/>
      <c r="M7310" s="19"/>
      <c r="N7310" s="19"/>
      <c r="O7310" s="14" t="str">
        <f>HYPERLINK("https://otsuka-europe-crm.veevavault.com/ui/#object/email_activity__v/V8C00000004E214", "EN-002108805")</f>
        <v>EN-002108805</v>
      </c>
    </row>
    <row r="7311" spans="1:15" ht="64" x14ac:dyDescent="0.2">
      <c r="A7311" s="7" t="str">
        <f>HYPERLINK("https://otsuka-europe-crm.veevavault.com/ui/#object/account__v/V4TZ06G6O71T8O7", "LIEN WINDERICKX")</f>
        <v>LIEN WINDERICKX</v>
      </c>
      <c r="B7311" s="7" t="str">
        <f>HYPERLINK("https://otsuka-europe-crm.veevavault.com/ui/#object/vcountry__v/VENZ000004SONF5", "ES")</f>
        <v>ES</v>
      </c>
      <c r="C7311" s="8" t="s">
        <v>39</v>
      </c>
      <c r="D731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11" s="10" t="str">
        <f>HYPERLINK("https://otsuka-europe-crm.veevavault.com/ui/#object/sent_email__v/VBL00000003C035", "SE-001445047")</f>
        <v>SE-001445047</v>
      </c>
      <c r="F7311" s="11"/>
      <c r="G7311" s="12">
        <v>0</v>
      </c>
      <c r="H7311" s="12">
        <v>0</v>
      </c>
      <c r="I7311" s="12">
        <v>0</v>
      </c>
      <c r="J7311" s="11"/>
      <c r="K7311" s="12">
        <v>0</v>
      </c>
      <c r="L731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11" s="10" t="str">
        <f>HYPERLINK("mailto:oriballo@crm.otsuka-europe.com", "oriballo@crm.otsuka-europe.com")</f>
        <v>oriballo@crm.otsuka-europe.com</v>
      </c>
      <c r="N7311" s="13">
        <v>46227.519884259258</v>
      </c>
      <c r="O7311" s="14" t="str">
        <f>HYPERLINK("https://otsuka-europe-crm.veevavault.com/ui/#object/email_activity__v/V8C00000004E117", "EN-002108651")</f>
        <v>EN-002108651</v>
      </c>
    </row>
    <row r="7312" spans="1:15" ht="64" x14ac:dyDescent="0.2">
      <c r="A7312" s="7" t="str">
        <f>HYPERLINK("https://otsuka-europe-crm.veevavault.com/ui/#object/account__v/V4TZ06G6O71T77X", "CORAL MARTINEZ DEL VIEJO")</f>
        <v>CORAL MARTINEZ DEL VIEJO</v>
      </c>
      <c r="B7312" s="7" t="str">
        <f>HYPERLINK("https://otsuka-europe-crm.veevavault.com/ui/#object/vcountry__v/VENZ000004SONF5", "ES")</f>
        <v>ES</v>
      </c>
      <c r="C7312" s="8" t="s">
        <v>39</v>
      </c>
      <c r="D731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12" s="10" t="str">
        <f>HYPERLINK("https://otsuka-europe-crm.veevavault.com/ui/#object/sent_email__v/VBL00000003C036", "SE-001445048")</f>
        <v>SE-001445048</v>
      </c>
      <c r="F7312" s="11"/>
      <c r="G7312" s="12">
        <v>0</v>
      </c>
      <c r="H7312" s="12">
        <v>0</v>
      </c>
      <c r="I7312" s="12">
        <v>0</v>
      </c>
      <c r="J7312" s="11"/>
      <c r="K7312" s="12">
        <v>0</v>
      </c>
      <c r="L731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12" s="10" t="str">
        <f>HYPERLINK("mailto:oriballo@crm.otsuka-europe.com", "oriballo@crm.otsuka-europe.com")</f>
        <v>oriballo@crm.otsuka-europe.com</v>
      </c>
      <c r="N7312" s="13">
        <v>46227.519849537035</v>
      </c>
      <c r="O7312" s="14" t="str">
        <f>HYPERLINK("https://otsuka-europe-crm.veevavault.com/ui/#object/email_activity__v/V8C00000004D257", "EN-002108588")</f>
        <v>EN-002108588</v>
      </c>
    </row>
    <row r="7313" spans="1:15" ht="16" x14ac:dyDescent="0.2">
      <c r="A7313" s="18" t="str">
        <f>HYPERLINK("https://otsuka-europe-crm.veevavault.com/ui/#object/account__v/V4TZ04ASGGC74OO", "MARTA ALONSO MOZO")</f>
        <v>MARTA ALONSO MOZO</v>
      </c>
      <c r="B7313" s="18" t="str">
        <f>HYPERLINK("https://otsuka-europe-crm.veevavault.com/ui/#object/vcountry__v/VENZ000004SONF5", "ES")</f>
        <v>ES</v>
      </c>
      <c r="C7313" s="20" t="s">
        <v>39</v>
      </c>
      <c r="D731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13" s="22" t="str">
        <f>HYPERLINK("https://otsuka-europe-crm.veevavault.com/ui/#object/sent_email__v/VBL00000003C037", "SE-001445049")</f>
        <v>SE-001445049</v>
      </c>
      <c r="F7313" s="25">
        <v>46227.519999999997</v>
      </c>
      <c r="G7313" s="24">
        <v>1</v>
      </c>
      <c r="H7313" s="24">
        <v>1</v>
      </c>
      <c r="I7313" s="24">
        <v>0</v>
      </c>
      <c r="J7313" s="23"/>
      <c r="K7313" s="24">
        <v>0</v>
      </c>
      <c r="L731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13" s="22" t="str">
        <f>HYPERLINK("mailto:oriballo@crm.otsuka-europe.com", "oriballo@crm.otsuka-europe.com")</f>
        <v>oriballo@crm.otsuka-europe.com</v>
      </c>
      <c r="N7313" s="25">
        <v>46227.519849537035</v>
      </c>
      <c r="O7313" s="14" t="str">
        <f>HYPERLINK("https://otsuka-europe-crm.veevavault.com/ui/#object/email_activity__v/V8C00000004D288", "EN-002108620")</f>
        <v>EN-002108620</v>
      </c>
    </row>
    <row r="7314" spans="1:15" ht="16" x14ac:dyDescent="0.2">
      <c r="A7314" s="26"/>
      <c r="B7314" s="26"/>
      <c r="C7314" s="26"/>
      <c r="D7314" s="26"/>
      <c r="E7314" s="26"/>
      <c r="F7314" s="26"/>
      <c r="G7314" s="26"/>
      <c r="H7314" s="26"/>
      <c r="I7314" s="26"/>
      <c r="J7314" s="26"/>
      <c r="K7314" s="26"/>
      <c r="L7314" s="26"/>
      <c r="M7314" s="26"/>
      <c r="N7314" s="26"/>
      <c r="O7314" s="14" t="str">
        <f>HYPERLINK("https://otsuka-europe-crm.veevavault.com/ui/#object/email_activity__v/V8C00000004D325", "EN-002108665")</f>
        <v>EN-002108665</v>
      </c>
    </row>
    <row r="7315" spans="1:15" ht="16" x14ac:dyDescent="0.2">
      <c r="A7315" s="19"/>
      <c r="B7315" s="19"/>
      <c r="C7315" s="19"/>
      <c r="D7315" s="19"/>
      <c r="E7315" s="19"/>
      <c r="F7315" s="19"/>
      <c r="G7315" s="19"/>
      <c r="H7315" s="19"/>
      <c r="I7315" s="19"/>
      <c r="J7315" s="19"/>
      <c r="K7315" s="19"/>
      <c r="L7315" s="19"/>
      <c r="M7315" s="19"/>
      <c r="N7315" s="19"/>
      <c r="O7315" s="14" t="str">
        <f>HYPERLINK("https://otsuka-europe-crm.veevavault.com/ui/#object/email_activity__v/V8C00000004E300", "EN-002108954")</f>
        <v>EN-002108954</v>
      </c>
    </row>
    <row r="7316" spans="1:15" ht="16" x14ac:dyDescent="0.2">
      <c r="A7316" s="18" t="str">
        <f>HYPERLINK("https://otsuka-europe-crm.veevavault.com/ui/#object/account__v/V4TZ06G6OC91UD5", "JOSE ANTONIO DURAN PAUCAR")</f>
        <v>JOSE ANTONIO DURAN PAUCAR</v>
      </c>
      <c r="B7316" s="18" t="str">
        <f>HYPERLINK("https://otsuka-europe-crm.veevavault.com/ui/#object/vcountry__v/VENZ000004SONF5", "ES")</f>
        <v>ES</v>
      </c>
      <c r="C7316" s="20" t="s">
        <v>39</v>
      </c>
      <c r="D731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16" s="22" t="str">
        <f>HYPERLINK("https://otsuka-europe-crm.veevavault.com/ui/#object/sent_email__v/VBL00000003C038", "SE-001445050")</f>
        <v>SE-001445050</v>
      </c>
      <c r="F7316" s="25">
        <v>46227.552372685182</v>
      </c>
      <c r="G7316" s="24">
        <v>1</v>
      </c>
      <c r="H7316" s="24">
        <v>1</v>
      </c>
      <c r="I7316" s="24">
        <v>1</v>
      </c>
      <c r="J7316" s="25">
        <v>46233.58902777778</v>
      </c>
      <c r="K7316" s="24">
        <v>1</v>
      </c>
      <c r="L731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16" s="22" t="str">
        <f>HYPERLINK("mailto:oriballo@crm.otsuka-europe.com", "oriballo@crm.otsuka-europe.com")</f>
        <v>oriballo@crm.otsuka-europe.com</v>
      </c>
      <c r="N7316" s="25">
        <v>46227.519849537035</v>
      </c>
      <c r="O7316" s="14" t="str">
        <f>HYPERLINK("https://otsuka-europe-crm.veevavault.com/ui/#object/email_activity__v/V8C00000004D814", "EN-002109764")</f>
        <v>EN-002109764</v>
      </c>
    </row>
    <row r="7317" spans="1:15" ht="16" x14ac:dyDescent="0.2">
      <c r="A7317" s="26"/>
      <c r="B7317" s="26"/>
      <c r="C7317" s="26"/>
      <c r="D7317" s="26"/>
      <c r="E7317" s="26"/>
      <c r="F7317" s="26"/>
      <c r="G7317" s="26"/>
      <c r="H7317" s="26"/>
      <c r="I7317" s="26"/>
      <c r="J7317" s="26"/>
      <c r="K7317" s="26"/>
      <c r="L7317" s="26"/>
      <c r="M7317" s="26"/>
      <c r="N7317" s="26"/>
      <c r="O7317" s="14" t="str">
        <f>HYPERLINK("https://otsuka-europe-crm.veevavault.com/ui/#object/email_activity__v/V8C00000004E112", "EN-002108584")</f>
        <v>EN-002108584</v>
      </c>
    </row>
    <row r="7318" spans="1:15" ht="16" x14ac:dyDescent="0.2">
      <c r="A7318" s="19"/>
      <c r="B7318" s="19"/>
      <c r="C7318" s="19"/>
      <c r="D7318" s="19"/>
      <c r="E7318" s="19"/>
      <c r="F7318" s="19"/>
      <c r="G7318" s="19"/>
      <c r="H7318" s="19"/>
      <c r="I7318" s="19"/>
      <c r="J7318" s="19"/>
      <c r="K7318" s="19"/>
      <c r="L7318" s="19"/>
      <c r="M7318" s="19"/>
      <c r="N7318" s="19"/>
      <c r="O7318" s="14" t="str">
        <f>HYPERLINK("https://otsuka-europe-crm.veevavault.com/ui/#object/email_activity__v/V8C00000004E192", "EN-002108763")</f>
        <v>EN-002108763</v>
      </c>
    </row>
    <row r="7319" spans="1:15" ht="64" x14ac:dyDescent="0.2">
      <c r="A7319" s="7" t="str">
        <f>HYPERLINK("https://otsuka-europe-crm.veevavault.com/ui/#object/account__v/V4TZ04ASGGC6U34", "TERESA MARIA GARCIA ALVAREZ")</f>
        <v>TERESA MARIA GARCIA ALVAREZ</v>
      </c>
      <c r="B7319" s="7" t="str">
        <f>HYPERLINK("https://otsuka-europe-crm.veevavault.com/ui/#object/vcountry__v/VENZ000004SONF5", "ES")</f>
        <v>ES</v>
      </c>
      <c r="C7319" s="8" t="s">
        <v>39</v>
      </c>
      <c r="D731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19" s="10" t="str">
        <f>HYPERLINK("https://otsuka-europe-crm.veevavault.com/ui/#object/sent_email__v/VBL00000003C039", "SE-001445051")</f>
        <v>SE-001445051</v>
      </c>
      <c r="F7319" s="11"/>
      <c r="G7319" s="12">
        <v>0</v>
      </c>
      <c r="H7319" s="12">
        <v>0</v>
      </c>
      <c r="I7319" s="12">
        <v>0</v>
      </c>
      <c r="J7319" s="11"/>
      <c r="K7319" s="12">
        <v>0</v>
      </c>
      <c r="L731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19" s="10" t="str">
        <f>HYPERLINK("mailto:oriballo@crm.otsuka-europe.com", "oriballo@crm.otsuka-europe.com")</f>
        <v>oriballo@crm.otsuka-europe.com</v>
      </c>
      <c r="N7319" s="13">
        <v>46227.519849537035</v>
      </c>
      <c r="O7319" s="14" t="str">
        <f>HYPERLINK("https://otsuka-europe-crm.veevavault.com/ui/#object/email_activity__v/V8C00000004D259", "EN-002108590")</f>
        <v>EN-002108590</v>
      </c>
    </row>
    <row r="7320" spans="1:15" ht="64" x14ac:dyDescent="0.2">
      <c r="A7320" s="7" t="str">
        <f>HYPERLINK("https://otsuka-europe-crm.veevavault.com/ui/#object/account__v/V4TZ06G6O71TBTI", "NICOLAS ROBERTO ROBLES PEREZ-MONTEOLIVA")</f>
        <v>NICOLAS ROBERTO ROBLES PEREZ-MONTEOLIVA</v>
      </c>
      <c r="B7320" s="7" t="str">
        <f>HYPERLINK("https://otsuka-europe-crm.veevavault.com/ui/#object/vcountry__v/VENZ000004SONF5", "ES")</f>
        <v>ES</v>
      </c>
      <c r="C7320" s="8" t="s">
        <v>39</v>
      </c>
      <c r="D732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20" s="10" t="str">
        <f>HYPERLINK("https://otsuka-europe-crm.veevavault.com/ui/#object/sent_email__v/VBL00000003C040", "SE-001445052")</f>
        <v>SE-001445052</v>
      </c>
      <c r="F7320" s="11"/>
      <c r="G7320" s="12">
        <v>0</v>
      </c>
      <c r="H7320" s="12">
        <v>0</v>
      </c>
      <c r="I7320" s="12">
        <v>0</v>
      </c>
      <c r="J7320" s="11"/>
      <c r="K7320" s="12">
        <v>0</v>
      </c>
      <c r="L732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20" s="10" t="str">
        <f>HYPERLINK("mailto:oriballo@crm.otsuka-europe.com", "oriballo@crm.otsuka-europe.com")</f>
        <v>oriballo@crm.otsuka-europe.com</v>
      </c>
      <c r="N7320" s="13">
        <v>46227.519907407404</v>
      </c>
      <c r="O7320" s="14" t="str">
        <f>HYPERLINK("https://otsuka-europe-crm.veevavault.com/ui/#object/email_activity__v/V8C00000004D313", "EN-002108647")</f>
        <v>EN-002108647</v>
      </c>
    </row>
    <row r="7321" spans="1:15" ht="16" x14ac:dyDescent="0.2">
      <c r="A7321" s="18" t="str">
        <f>HYPERLINK("https://otsuka-europe-crm.veevavault.com/ui/#object/account__v/V4TZ06G6O71T8EH", "CRISTINA GALLARDO CHAPARRO")</f>
        <v>CRISTINA GALLARDO CHAPARRO</v>
      </c>
      <c r="B7321" s="18" t="str">
        <f>HYPERLINK("https://otsuka-europe-crm.veevavault.com/ui/#object/vcountry__v/VENZ000004SONF5", "ES")</f>
        <v>ES</v>
      </c>
      <c r="C7321" s="20" t="s">
        <v>39</v>
      </c>
      <c r="D732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21" s="22" t="str">
        <f>HYPERLINK("https://otsuka-europe-crm.veevavault.com/ui/#object/sent_email__v/VBL00000003C041", "SE-001445053")</f>
        <v>SE-001445053</v>
      </c>
      <c r="F7321" s="23"/>
      <c r="G7321" s="24">
        <v>0</v>
      </c>
      <c r="H7321" s="24">
        <v>0</v>
      </c>
      <c r="I7321" s="24">
        <v>0</v>
      </c>
      <c r="J7321" s="23"/>
      <c r="K7321" s="24">
        <v>0</v>
      </c>
      <c r="L732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21" s="22" t="str">
        <f>HYPERLINK("mailto:oriballo@crm.otsuka-europe.com", "oriballo@crm.otsuka-europe.com")</f>
        <v>oriballo@crm.otsuka-europe.com</v>
      </c>
      <c r="N7321" s="25">
        <v>46227.519849537035</v>
      </c>
      <c r="O7321" s="14" t="str">
        <f>HYPERLINK("https://otsuka-europe-crm.veevavault.com/ui/#object/email_activity__v/V8C00000004D290", "EN-002108622")</f>
        <v>EN-002108622</v>
      </c>
    </row>
    <row r="7322" spans="1:15" ht="16" x14ac:dyDescent="0.2">
      <c r="A7322" s="19"/>
      <c r="B7322" s="19"/>
      <c r="C7322" s="19"/>
      <c r="D7322" s="19"/>
      <c r="E7322" s="19"/>
      <c r="F7322" s="19"/>
      <c r="G7322" s="19"/>
      <c r="H7322" s="19"/>
      <c r="I7322" s="19"/>
      <c r="J7322" s="19"/>
      <c r="K7322" s="19"/>
      <c r="L7322" s="19"/>
      <c r="M7322" s="19"/>
      <c r="N7322" s="19"/>
      <c r="O7322" s="14" t="str">
        <f>HYPERLINK("https://otsuka-europe-crm.veevavault.com/ui/#object/email_activity__v/V8C00000004D392", "EN-002108845")</f>
        <v>EN-002108845</v>
      </c>
    </row>
    <row r="7323" spans="1:15" ht="16" x14ac:dyDescent="0.2">
      <c r="A7323" s="18" t="str">
        <f>HYPERLINK("https://otsuka-europe-crm.veevavault.com/ui/#object/account__v/V4TZ025E832EHZH", "LOURDES BALLESTERO MACIAS")</f>
        <v>LOURDES BALLESTERO MACIAS</v>
      </c>
      <c r="B7323" s="18" t="str">
        <f>HYPERLINK("https://otsuka-europe-crm.veevavault.com/ui/#object/vcountry__v/VENZ000004SONF5", "ES")</f>
        <v>ES</v>
      </c>
      <c r="C7323" s="20" t="s">
        <v>39</v>
      </c>
      <c r="D732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23" s="22" t="str">
        <f>HYPERLINK("https://otsuka-europe-crm.veevavault.com/ui/#object/sent_email__v/VBL00000003C042", "SE-001445054")</f>
        <v>SE-001445054</v>
      </c>
      <c r="F7323" s="23"/>
      <c r="G7323" s="24">
        <v>0</v>
      </c>
      <c r="H7323" s="24">
        <v>0</v>
      </c>
      <c r="I7323" s="24">
        <v>0</v>
      </c>
      <c r="J7323" s="23"/>
      <c r="K7323" s="24">
        <v>0</v>
      </c>
      <c r="L732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23" s="22" t="str">
        <f>HYPERLINK("mailto:oriballo@crm.otsuka-europe.com", "oriballo@crm.otsuka-europe.com")</f>
        <v>oriballo@crm.otsuka-europe.com</v>
      </c>
      <c r="N7323" s="25">
        <v>46227.519849537035</v>
      </c>
      <c r="O7323" s="14" t="str">
        <f>HYPERLINK("https://otsuka-europe-crm.veevavault.com/ui/#object/email_activity__v/V8C00000004D255", "EN-002108586")</f>
        <v>EN-002108586</v>
      </c>
    </row>
    <row r="7324" spans="1:15" ht="16" x14ac:dyDescent="0.2">
      <c r="A7324" s="19"/>
      <c r="B7324" s="19"/>
      <c r="C7324" s="19"/>
      <c r="D7324" s="19"/>
      <c r="E7324" s="19"/>
      <c r="F7324" s="19"/>
      <c r="G7324" s="19"/>
      <c r="H7324" s="19"/>
      <c r="I7324" s="19"/>
      <c r="J7324" s="19"/>
      <c r="K7324" s="19"/>
      <c r="L7324" s="19"/>
      <c r="M7324" s="19"/>
      <c r="N7324" s="19"/>
      <c r="O7324" s="14" t="str">
        <f>HYPERLINK("https://otsuka-europe-crm.veevavault.com/ui/#object/email_activity__v/V8C00000004E317", "EN-002108987")</f>
        <v>EN-002108987</v>
      </c>
    </row>
    <row r="7325" spans="1:15" ht="16" x14ac:dyDescent="0.2">
      <c r="A7325" s="18" t="str">
        <f>HYPERLINK("https://otsuka-europe-crm.veevavault.com/ui/#object/account__v/V4TZ06G6O71T9SO", "FRANCISCO JOSE DE LA PRADA ALVAREZ")</f>
        <v>FRANCISCO JOSE DE LA PRADA ALVAREZ</v>
      </c>
      <c r="B7325" s="18" t="str">
        <f>HYPERLINK("https://otsuka-europe-crm.veevavault.com/ui/#object/vcountry__v/VENZ000004SONF5", "ES")</f>
        <v>ES</v>
      </c>
      <c r="C7325" s="20" t="s">
        <v>39</v>
      </c>
      <c r="D732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25" s="22" t="str">
        <f>HYPERLINK("https://otsuka-europe-crm.veevavault.com/ui/#object/sent_email__v/VBL00000003C043", "SE-001445055")</f>
        <v>SE-001445055</v>
      </c>
      <c r="F7325" s="25">
        <v>46227.58520833333</v>
      </c>
      <c r="G7325" s="24">
        <v>1</v>
      </c>
      <c r="H7325" s="24">
        <v>1</v>
      </c>
      <c r="I7325" s="24">
        <v>0</v>
      </c>
      <c r="J7325" s="23"/>
      <c r="K7325" s="24">
        <v>0</v>
      </c>
      <c r="L732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25" s="22" t="str">
        <f>HYPERLINK("mailto:oriballo@crm.otsuka-europe.com", "oriballo@crm.otsuka-europe.com")</f>
        <v>oriballo@crm.otsuka-europe.com</v>
      </c>
      <c r="N7325" s="25">
        <v>46227.519849537035</v>
      </c>
      <c r="O7325" s="14" t="str">
        <f>HYPERLINK("https://otsuka-europe-crm.veevavault.com/ui/#object/email_activity__v/V8C00000004E111", "EN-002108583")</f>
        <v>EN-002108583</v>
      </c>
    </row>
    <row r="7326" spans="1:15" ht="16" x14ac:dyDescent="0.2">
      <c r="A7326" s="19"/>
      <c r="B7326" s="19"/>
      <c r="C7326" s="19"/>
      <c r="D7326" s="19"/>
      <c r="E7326" s="19"/>
      <c r="F7326" s="19"/>
      <c r="G7326" s="19"/>
      <c r="H7326" s="19"/>
      <c r="I7326" s="19"/>
      <c r="J7326" s="19"/>
      <c r="K7326" s="19"/>
      <c r="L7326" s="19"/>
      <c r="M7326" s="19"/>
      <c r="N7326" s="19"/>
      <c r="O7326" s="14" t="str">
        <f>HYPERLINK("https://otsuka-europe-crm.veevavault.com/ui/#object/email_activity__v/V8C00000004E216", "EN-002108809")</f>
        <v>EN-002108809</v>
      </c>
    </row>
    <row r="7327" spans="1:15" ht="16" x14ac:dyDescent="0.2">
      <c r="A7327" s="18" t="str">
        <f>HYPERLINK("https://otsuka-europe-crm.veevavault.com/ui/#object/account__v/V4TZ04ASG8MJJU3", "ROCIO VALVERDE ORTIZ")</f>
        <v>ROCIO VALVERDE ORTIZ</v>
      </c>
      <c r="B7327" s="18" t="str">
        <f>HYPERLINK("https://otsuka-europe-crm.veevavault.com/ui/#object/vcountry__v/VENZ000004SONF5", "ES")</f>
        <v>ES</v>
      </c>
      <c r="C7327" s="20" t="s">
        <v>39</v>
      </c>
      <c r="D732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27" s="22" t="str">
        <f>HYPERLINK("https://otsuka-europe-crm.veevavault.com/ui/#object/sent_email__v/VBL00000003C044", "SE-001445056")</f>
        <v>SE-001445056</v>
      </c>
      <c r="F7327" s="25">
        <v>46231.471574074072</v>
      </c>
      <c r="G7327" s="24">
        <v>1</v>
      </c>
      <c r="H7327" s="24">
        <v>1</v>
      </c>
      <c r="I7327" s="24">
        <v>0</v>
      </c>
      <c r="J7327" s="23"/>
      <c r="K7327" s="24">
        <v>0</v>
      </c>
      <c r="L732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27" s="22" t="str">
        <f>HYPERLINK("mailto:oriballo@crm.otsuka-europe.com", "oriballo@crm.otsuka-europe.com")</f>
        <v>oriballo@crm.otsuka-europe.com</v>
      </c>
      <c r="N7327" s="25">
        <v>46227.519907407404</v>
      </c>
      <c r="O7327" s="14" t="str">
        <f>HYPERLINK("https://otsuka-europe-crm.veevavault.com/ui/#object/email_activity__v/V8C00000004D316", "EN-002108650")</f>
        <v>EN-002108650</v>
      </c>
    </row>
    <row r="7328" spans="1:15" ht="16" x14ac:dyDescent="0.2">
      <c r="A7328" s="19"/>
      <c r="B7328" s="19"/>
      <c r="C7328" s="19"/>
      <c r="D7328" s="19"/>
      <c r="E7328" s="19"/>
      <c r="F7328" s="19"/>
      <c r="G7328" s="19"/>
      <c r="H7328" s="19"/>
      <c r="I7328" s="19"/>
      <c r="J7328" s="19"/>
      <c r="K7328" s="19"/>
      <c r="L7328" s="19"/>
      <c r="M7328" s="19"/>
      <c r="N7328" s="19"/>
      <c r="O7328" s="14" t="str">
        <f>HYPERLINK("https://otsuka-europe-crm.veevavault.com/ui/#object/email_activity__v/V8C00000004D648", "EN-002109391")</f>
        <v>EN-002109391</v>
      </c>
    </row>
    <row r="7329" spans="1:15" ht="64" x14ac:dyDescent="0.2">
      <c r="A7329" s="7" t="str">
        <f>HYPERLINK("https://otsuka-europe-crm.veevavault.com/ui/#object/account__v/V4TZ025E85UDMFJ", "JOSE MARIA ROMERO LEON")</f>
        <v>JOSE MARIA ROMERO LEON</v>
      </c>
      <c r="B7329" s="7" t="str">
        <f>HYPERLINK("https://otsuka-europe-crm.veevavault.com/ui/#object/vcountry__v/VENZ000004SONF5", "ES")</f>
        <v>ES</v>
      </c>
      <c r="C7329" s="8" t="s">
        <v>39</v>
      </c>
      <c r="D732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29" s="10" t="str">
        <f>HYPERLINK("https://otsuka-europe-crm.veevavault.com/ui/#object/sent_email__v/VBL00000003C045", "SE-001445057")</f>
        <v>SE-001445057</v>
      </c>
      <c r="F7329" s="11"/>
      <c r="G7329" s="12">
        <v>0</v>
      </c>
      <c r="H7329" s="12">
        <v>0</v>
      </c>
      <c r="I7329" s="12">
        <v>0</v>
      </c>
      <c r="J7329" s="11"/>
      <c r="K7329" s="12">
        <v>0</v>
      </c>
      <c r="L732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29" s="10" t="str">
        <f>HYPERLINK("mailto:oriballo@crm.otsuka-europe.com", "oriballo@crm.otsuka-europe.com")</f>
        <v>oriballo@crm.otsuka-europe.com</v>
      </c>
      <c r="N7329" s="13">
        <v>46227.519849537035</v>
      </c>
      <c r="O7329" s="14" t="str">
        <f>HYPERLINK("https://otsuka-europe-crm.veevavault.com/ui/#object/email_activity__v/V8C00000004E098", "EN-002108570")</f>
        <v>EN-002108570</v>
      </c>
    </row>
    <row r="7330" spans="1:15" ht="16" x14ac:dyDescent="0.2">
      <c r="A7330" s="18" t="str">
        <f>HYPERLINK("https://otsuka-europe-crm.veevavault.com/ui/#object/account__v/V4TZ06G6O71T89T", "MARINA SANCHEZ-AGESTA MARTINEZ")</f>
        <v>MARINA SANCHEZ-AGESTA MARTINEZ</v>
      </c>
      <c r="B7330" s="18" t="str">
        <f>HYPERLINK("https://otsuka-europe-crm.veevavault.com/ui/#object/vcountry__v/VENZ000004SONF5", "ES")</f>
        <v>ES</v>
      </c>
      <c r="C7330" s="20" t="s">
        <v>39</v>
      </c>
      <c r="D733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30" s="22" t="str">
        <f>HYPERLINK("https://otsuka-europe-crm.veevavault.com/ui/#object/sent_email__v/VBL00000003C046", "SE-001445058")</f>
        <v>SE-001445058</v>
      </c>
      <c r="F7330" s="23"/>
      <c r="G7330" s="24">
        <v>0</v>
      </c>
      <c r="H7330" s="24">
        <v>0</v>
      </c>
      <c r="I7330" s="24">
        <v>0</v>
      </c>
      <c r="J7330" s="23"/>
      <c r="K7330" s="24">
        <v>0</v>
      </c>
      <c r="L733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30" s="22" t="str">
        <f>HYPERLINK("mailto:oriballo@crm.otsuka-europe.com", "oriballo@crm.otsuka-europe.com")</f>
        <v>oriballo@crm.otsuka-europe.com</v>
      </c>
      <c r="N7330" s="25">
        <v>46227.519849537035</v>
      </c>
      <c r="O7330" s="14" t="str">
        <f>HYPERLINK("https://otsuka-europe-crm.veevavault.com/ui/#object/email_activity__v/V8C00000004D307", "EN-002108641")</f>
        <v>EN-002108641</v>
      </c>
    </row>
    <row r="7331" spans="1:15" ht="16" x14ac:dyDescent="0.2">
      <c r="A7331" s="19"/>
      <c r="B7331" s="19"/>
      <c r="C7331" s="19"/>
      <c r="D7331" s="19"/>
      <c r="E7331" s="19"/>
      <c r="F7331" s="19"/>
      <c r="G7331" s="19"/>
      <c r="H7331" s="19"/>
      <c r="I7331" s="19"/>
      <c r="J7331" s="19"/>
      <c r="K7331" s="19"/>
      <c r="L7331" s="19"/>
      <c r="M7331" s="19"/>
      <c r="N7331" s="19"/>
      <c r="O7331" s="14" t="str">
        <f>HYPERLINK("https://otsuka-europe-crm.veevavault.com/ui/#object/email_activity__v/V8C00000004E143", "EN-002108696")</f>
        <v>EN-002108696</v>
      </c>
    </row>
    <row r="7332" spans="1:15" ht="16" x14ac:dyDescent="0.2">
      <c r="A7332" s="18" t="str">
        <f>HYPERLINK("https://otsuka-europe-crm.veevavault.com/ui/#object/account__v/V4TZ06G6O71T8MT", "FRANCISCO JOSE ROCA OPORTO")</f>
        <v>FRANCISCO JOSE ROCA OPORTO</v>
      </c>
      <c r="B7332" s="18" t="str">
        <f>HYPERLINK("https://otsuka-europe-crm.veevavault.com/ui/#object/vcountry__v/VENZ000004SONF5", "ES")</f>
        <v>ES</v>
      </c>
      <c r="C7332" s="20" t="s">
        <v>39</v>
      </c>
      <c r="D73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32" s="22" t="str">
        <f>HYPERLINK("https://otsuka-europe-crm.veevavault.com/ui/#object/sent_email__v/VBL00000003C047", "SE-001445059")</f>
        <v>SE-001445059</v>
      </c>
      <c r="F7332" s="23"/>
      <c r="G7332" s="24">
        <v>0</v>
      </c>
      <c r="H7332" s="24">
        <v>0</v>
      </c>
      <c r="I7332" s="24">
        <v>0</v>
      </c>
      <c r="J7332" s="23"/>
      <c r="K7332" s="24">
        <v>0</v>
      </c>
      <c r="L73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32" s="22" t="str">
        <f>HYPERLINK("mailto:oriballo@crm.otsuka-europe.com", "oriballo@crm.otsuka-europe.com")</f>
        <v>oriballo@crm.otsuka-europe.com</v>
      </c>
      <c r="N7332" s="25">
        <v>46227.519849537035</v>
      </c>
      <c r="O7332" s="14" t="str">
        <f>HYPERLINK("https://otsuka-europe-crm.veevavault.com/ui/#object/email_activity__v/V8C00000004D263", "EN-002108594")</f>
        <v>EN-002108594</v>
      </c>
    </row>
    <row r="7333" spans="1:15" ht="16" x14ac:dyDescent="0.2">
      <c r="A7333" s="19"/>
      <c r="B7333" s="19"/>
      <c r="C7333" s="19"/>
      <c r="D7333" s="19"/>
      <c r="E7333" s="19"/>
      <c r="F7333" s="19"/>
      <c r="G7333" s="19"/>
      <c r="H7333" s="19"/>
      <c r="I7333" s="19"/>
      <c r="J7333" s="19"/>
      <c r="K7333" s="19"/>
      <c r="L7333" s="19"/>
      <c r="M7333" s="19"/>
      <c r="N7333" s="19"/>
      <c r="O7333" s="14" t="str">
        <f>HYPERLINK("https://otsuka-europe-crm.veevavault.com/ui/#object/email_activity__v/V8C00000004D344", "EN-002108733")</f>
        <v>EN-002108733</v>
      </c>
    </row>
    <row r="7334" spans="1:15" ht="64" x14ac:dyDescent="0.2">
      <c r="A7334" s="7" t="str">
        <f>HYPERLINK("https://otsuka-europe-crm.veevavault.com/ui/#object/account__v/V4TZ025E8368NAD", "TERESA JESUS GIRALDO RUA")</f>
        <v>TERESA JESUS GIRALDO RUA</v>
      </c>
      <c r="B7334" s="7" t="str">
        <f>HYPERLINK("https://otsuka-europe-crm.veevavault.com/ui/#object/vcountry__v/VENZ000004SONF5", "ES")</f>
        <v>ES</v>
      </c>
      <c r="C7334" s="8" t="s">
        <v>39</v>
      </c>
      <c r="D733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34" s="10" t="str">
        <f>HYPERLINK("https://otsuka-europe-crm.veevavault.com/ui/#object/sent_email__v/VBL00000003C048", "SE-001445060")</f>
        <v>SE-001445060</v>
      </c>
      <c r="F7334" s="11"/>
      <c r="G7334" s="12">
        <v>0</v>
      </c>
      <c r="H7334" s="12">
        <v>0</v>
      </c>
      <c r="I7334" s="12">
        <v>0</v>
      </c>
      <c r="J7334" s="11"/>
      <c r="K7334" s="12">
        <v>0</v>
      </c>
      <c r="L733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34" s="10" t="str">
        <f>HYPERLINK("mailto:oriballo@crm.otsuka-europe.com", "oriballo@crm.otsuka-europe.com")</f>
        <v>oriballo@crm.otsuka-europe.com</v>
      </c>
      <c r="N7334" s="13">
        <v>46227.519849537035</v>
      </c>
      <c r="O7334" s="14" t="str">
        <f>HYPERLINK("https://otsuka-europe-crm.veevavault.com/ui/#object/email_activity__v/V8C00000004E113", "EN-002108585")</f>
        <v>EN-002108585</v>
      </c>
    </row>
    <row r="7335" spans="1:15" ht="16" x14ac:dyDescent="0.2">
      <c r="A7335" s="18" t="str">
        <f>HYPERLINK("https://otsuka-europe-crm.veevavault.com/ui/#object/account__v/V4TZ06G6O7VTB1J", "DAVID ANTONIO RODRIGUEZ FUENTES")</f>
        <v>DAVID ANTONIO RODRIGUEZ FUENTES</v>
      </c>
      <c r="B7335" s="18" t="str">
        <f>HYPERLINK("https://otsuka-europe-crm.veevavault.com/ui/#object/vcountry__v/VENZ000004SONF5", "ES")</f>
        <v>ES</v>
      </c>
      <c r="C7335" s="20" t="s">
        <v>39</v>
      </c>
      <c r="D733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35" s="22" t="str">
        <f>HYPERLINK("https://otsuka-europe-crm.veevavault.com/ui/#object/sent_email__v/VBL00000003C049", "SE-001445061")</f>
        <v>SE-001445061</v>
      </c>
      <c r="F7335" s="25">
        <v>46227.694560185184</v>
      </c>
      <c r="G7335" s="24">
        <v>1</v>
      </c>
      <c r="H7335" s="24">
        <v>2</v>
      </c>
      <c r="I7335" s="24">
        <v>0</v>
      </c>
      <c r="J7335" s="23"/>
      <c r="K7335" s="24">
        <v>0</v>
      </c>
      <c r="L733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35" s="22" t="str">
        <f>HYPERLINK("mailto:oriballo@crm.otsuka-europe.com", "oriballo@crm.otsuka-europe.com")</f>
        <v>oriballo@crm.otsuka-europe.com</v>
      </c>
      <c r="N7335" s="25">
        <v>46227.519849537035</v>
      </c>
      <c r="O7335" s="14" t="str">
        <f>HYPERLINK("https://otsuka-europe-crm.veevavault.com/ui/#object/email_activity__v/V8C00000004D254", "EN-002108552")</f>
        <v>EN-002108552</v>
      </c>
    </row>
    <row r="7336" spans="1:15" ht="16" x14ac:dyDescent="0.2">
      <c r="A7336" s="26"/>
      <c r="B7336" s="26"/>
      <c r="C7336" s="26"/>
      <c r="D7336" s="26"/>
      <c r="E7336" s="26"/>
      <c r="F7336" s="26"/>
      <c r="G7336" s="26"/>
      <c r="H7336" s="26"/>
      <c r="I7336" s="26"/>
      <c r="J7336" s="26"/>
      <c r="K7336" s="26"/>
      <c r="L7336" s="26"/>
      <c r="M7336" s="26"/>
      <c r="N7336" s="26"/>
      <c r="O7336" s="14" t="str">
        <f>HYPERLINK("https://otsuka-europe-crm.veevavault.com/ui/#object/email_activity__v/V8C00000004D303", "EN-002108637")</f>
        <v>EN-002108637</v>
      </c>
    </row>
    <row r="7337" spans="1:15" ht="16" x14ac:dyDescent="0.2">
      <c r="A7337" s="26"/>
      <c r="B7337" s="26"/>
      <c r="C7337" s="26"/>
      <c r="D7337" s="26"/>
      <c r="E7337" s="26"/>
      <c r="F7337" s="26"/>
      <c r="G7337" s="26"/>
      <c r="H7337" s="26"/>
      <c r="I7337" s="26"/>
      <c r="J7337" s="26"/>
      <c r="K7337" s="26"/>
      <c r="L7337" s="26"/>
      <c r="M7337" s="26"/>
      <c r="N7337" s="26"/>
      <c r="O7337" s="14" t="str">
        <f>HYPERLINK("https://otsuka-europe-crm.veevavault.com/ui/#object/email_activity__v/V8C00000004D747", "EN-002109599")</f>
        <v>EN-002109599</v>
      </c>
    </row>
    <row r="7338" spans="1:15" ht="16" x14ac:dyDescent="0.2">
      <c r="A7338" s="19"/>
      <c r="B7338" s="19"/>
      <c r="C7338" s="19"/>
      <c r="D7338" s="19"/>
      <c r="E7338" s="19"/>
      <c r="F7338" s="19"/>
      <c r="G7338" s="19"/>
      <c r="H7338" s="19"/>
      <c r="I7338" s="19"/>
      <c r="J7338" s="19"/>
      <c r="K7338" s="19"/>
      <c r="L7338" s="19"/>
      <c r="M7338" s="19"/>
      <c r="N7338" s="19"/>
      <c r="O7338" s="14" t="str">
        <f>HYPERLINK("https://otsuka-europe-crm.veevavault.com/ui/#object/email_activity__v/V8C00000004E260", "EN-002108890")</f>
        <v>EN-002108890</v>
      </c>
    </row>
    <row r="7339" spans="1:15" ht="16" x14ac:dyDescent="0.2">
      <c r="A7339" s="18" t="str">
        <f>HYPERLINK("https://otsuka-europe-crm.veevavault.com/ui/#object/account__v/V4TZ04ASG8N1WJL", "PABLO PEREZ ROMERO")</f>
        <v>PABLO PEREZ ROMERO</v>
      </c>
      <c r="B7339" s="18" t="str">
        <f>HYPERLINK("https://otsuka-europe-crm.veevavault.com/ui/#object/vcountry__v/VENZ000004SONF5", "ES")</f>
        <v>ES</v>
      </c>
      <c r="C7339" s="20" t="s">
        <v>39</v>
      </c>
      <c r="D733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39" s="22" t="str">
        <f>HYPERLINK("https://otsuka-europe-crm.veevavault.com/ui/#object/sent_email__v/VBL00000003C050", "SE-001445062")</f>
        <v>SE-001445062</v>
      </c>
      <c r="F7339" s="25">
        <v>46227.605405092596</v>
      </c>
      <c r="G7339" s="24">
        <v>1</v>
      </c>
      <c r="H7339" s="24">
        <v>1</v>
      </c>
      <c r="I7339" s="24">
        <v>0</v>
      </c>
      <c r="J7339" s="23"/>
      <c r="K7339" s="24">
        <v>0</v>
      </c>
      <c r="L733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39" s="22" t="str">
        <f>HYPERLINK("mailto:oriballo@crm.otsuka-europe.com", "oriballo@crm.otsuka-europe.com")</f>
        <v>oriballo@crm.otsuka-europe.com</v>
      </c>
      <c r="N7339" s="25">
        <v>46227.519849537035</v>
      </c>
      <c r="O7339" s="14" t="str">
        <f>HYPERLINK("https://otsuka-europe-crm.veevavault.com/ui/#object/email_activity__v/V8C00000004E108", "EN-002108580")</f>
        <v>EN-002108580</v>
      </c>
    </row>
    <row r="7340" spans="1:15" ht="16" x14ac:dyDescent="0.2">
      <c r="A7340" s="19"/>
      <c r="B7340" s="19"/>
      <c r="C7340" s="19"/>
      <c r="D7340" s="19"/>
      <c r="E7340" s="19"/>
      <c r="F7340" s="19"/>
      <c r="G7340" s="19"/>
      <c r="H7340" s="19"/>
      <c r="I7340" s="19"/>
      <c r="J7340" s="19"/>
      <c r="K7340" s="19"/>
      <c r="L7340" s="19"/>
      <c r="M7340" s="19"/>
      <c r="N7340" s="19"/>
      <c r="O7340" s="14" t="str">
        <f>HYPERLINK("https://otsuka-europe-crm.veevavault.com/ui/#object/email_activity__v/V8C00000004E223", "EN-002108823")</f>
        <v>EN-002108823</v>
      </c>
    </row>
    <row r="7341" spans="1:15" ht="16" x14ac:dyDescent="0.2">
      <c r="A7341" s="18" t="str">
        <f>HYPERLINK("https://otsuka-europe-crm.veevavault.com/ui/#object/account__v/V4TZ06G6O71T8RY", "WENCESLAO ADRIAN AGUILERA MORALES")</f>
        <v>WENCESLAO ADRIAN AGUILERA MORALES</v>
      </c>
      <c r="B7341" s="18" t="str">
        <f>HYPERLINK("https://otsuka-europe-crm.veevavault.com/ui/#object/vcountry__v/VENZ000004SONF5", "ES")</f>
        <v>ES</v>
      </c>
      <c r="C7341" s="20" t="s">
        <v>39</v>
      </c>
      <c r="D734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41" s="22" t="str">
        <f>HYPERLINK("https://otsuka-europe-crm.veevavault.com/ui/#object/sent_email__v/VBL00000003C051", "SE-001445063")</f>
        <v>SE-001445063</v>
      </c>
      <c r="F7341" s="25">
        <v>46232.820914351854</v>
      </c>
      <c r="G7341" s="24">
        <v>1</v>
      </c>
      <c r="H7341" s="24">
        <v>1</v>
      </c>
      <c r="I7341" s="24">
        <v>0</v>
      </c>
      <c r="J7341" s="23"/>
      <c r="K7341" s="24">
        <v>0</v>
      </c>
      <c r="L734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41" s="22" t="str">
        <f>HYPERLINK("mailto:oriballo@crm.otsuka-europe.com", "oriballo@crm.otsuka-europe.com")</f>
        <v>oriballo@crm.otsuka-europe.com</v>
      </c>
      <c r="N7341" s="25">
        <v>46227.519849537035</v>
      </c>
      <c r="O7341" s="14" t="str">
        <f>HYPERLINK("https://otsuka-europe-crm.veevavault.com/ui/#object/email_activity__v/V8C00000004D750", "EN-002109602")</f>
        <v>EN-002109602</v>
      </c>
    </row>
    <row r="7342" spans="1:15" ht="16" x14ac:dyDescent="0.2">
      <c r="A7342" s="19"/>
      <c r="B7342" s="19"/>
      <c r="C7342" s="19"/>
      <c r="D7342" s="19"/>
      <c r="E7342" s="19"/>
      <c r="F7342" s="19"/>
      <c r="G7342" s="19"/>
      <c r="H7342" s="19"/>
      <c r="I7342" s="19"/>
      <c r="J7342" s="19"/>
      <c r="K7342" s="19"/>
      <c r="L7342" s="19"/>
      <c r="M7342" s="19"/>
      <c r="N7342" s="19"/>
      <c r="O7342" s="14" t="str">
        <f>HYPERLINK("https://otsuka-europe-crm.veevavault.com/ui/#object/email_activity__v/V8C00000004E095", "EN-002108567")</f>
        <v>EN-002108567</v>
      </c>
    </row>
    <row r="7343" spans="1:15" ht="16" x14ac:dyDescent="0.2">
      <c r="A7343" s="18" t="str">
        <f>HYPERLINK("https://otsuka-europe-crm.veevavault.com/ui/#object/account__v/V4TZ06G6O71WUYC", "GUADALUPE GARCIA PINO")</f>
        <v>GUADALUPE GARCIA PINO</v>
      </c>
      <c r="B7343" s="18" t="str">
        <f>HYPERLINK("https://otsuka-europe-crm.veevavault.com/ui/#object/vcountry__v/VENZ000004SONF5", "ES")</f>
        <v>ES</v>
      </c>
      <c r="C7343" s="20" t="s">
        <v>39</v>
      </c>
      <c r="D734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43" s="22" t="str">
        <f>HYPERLINK("https://otsuka-europe-crm.veevavault.com/ui/#object/sent_email__v/VBL00000003C052", "SE-001445064")</f>
        <v>SE-001445064</v>
      </c>
      <c r="F7343" s="25">
        <v>46227.760185185187</v>
      </c>
      <c r="G7343" s="24">
        <v>1</v>
      </c>
      <c r="H7343" s="24">
        <v>1</v>
      </c>
      <c r="I7343" s="24">
        <v>0</v>
      </c>
      <c r="J7343" s="23"/>
      <c r="K7343" s="24">
        <v>0</v>
      </c>
      <c r="L734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43" s="22" t="str">
        <f>HYPERLINK("mailto:oriballo@crm.otsuka-europe.com", "oriballo@crm.otsuka-europe.com")</f>
        <v>oriballo@crm.otsuka-europe.com</v>
      </c>
      <c r="N7343" s="25">
        <v>46227.519849537035</v>
      </c>
      <c r="O7343" s="14" t="str">
        <f>HYPERLINK("https://otsuka-europe-crm.veevavault.com/ui/#object/email_activity__v/V8C00000004E109", "EN-002108581")</f>
        <v>EN-002108581</v>
      </c>
    </row>
    <row r="7344" spans="1:15" ht="16" x14ac:dyDescent="0.2">
      <c r="A7344" s="19"/>
      <c r="B7344" s="19"/>
      <c r="C7344" s="19"/>
      <c r="D7344" s="19"/>
      <c r="E7344" s="19"/>
      <c r="F7344" s="19"/>
      <c r="G7344" s="19"/>
      <c r="H7344" s="19"/>
      <c r="I7344" s="19"/>
      <c r="J7344" s="19"/>
      <c r="K7344" s="19"/>
      <c r="L7344" s="19"/>
      <c r="M7344" s="19"/>
      <c r="N7344" s="19"/>
      <c r="O7344" s="14" t="str">
        <f>HYPERLINK("https://otsuka-europe-crm.veevavault.com/ui/#object/email_activity__v/V8C00000004E275", "EN-002108913")</f>
        <v>EN-002108913</v>
      </c>
    </row>
    <row r="7345" spans="1:15" ht="16" x14ac:dyDescent="0.2">
      <c r="A7345" s="18" t="str">
        <f>HYPERLINK("https://otsuka-europe-crm.veevavault.com/ui/#object/account__v/V4TZ06G6O80L38Z", "MIGUEL ANGEL PEREZ VALDIVIA")</f>
        <v>MIGUEL ANGEL PEREZ VALDIVIA</v>
      </c>
      <c r="B7345" s="18" t="str">
        <f>HYPERLINK("https://otsuka-europe-crm.veevavault.com/ui/#object/vcountry__v/VENZ000004SONF5", "ES")</f>
        <v>ES</v>
      </c>
      <c r="C7345" s="20" t="s">
        <v>39</v>
      </c>
      <c r="D734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45" s="22" t="str">
        <f>HYPERLINK("https://otsuka-europe-crm.veevavault.com/ui/#object/sent_email__v/VBL00000003C053", "SE-001445065")</f>
        <v>SE-001445065</v>
      </c>
      <c r="F7345" s="23"/>
      <c r="G7345" s="24">
        <v>0</v>
      </c>
      <c r="H7345" s="24">
        <v>0</v>
      </c>
      <c r="I7345" s="24">
        <v>0</v>
      </c>
      <c r="J7345" s="23"/>
      <c r="K7345" s="24">
        <v>0</v>
      </c>
      <c r="L734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45" s="22" t="str">
        <f>HYPERLINK("mailto:oriballo@crm.otsuka-europe.com", "oriballo@crm.otsuka-europe.com")</f>
        <v>oriballo@crm.otsuka-europe.com</v>
      </c>
      <c r="N7345" s="25">
        <v>46227.519849537035</v>
      </c>
      <c r="O7345" s="14" t="str">
        <f>HYPERLINK("https://otsuka-europe-crm.veevavault.com/ui/#object/email_activity__v/V8C00000004D458", "EN-002108996")</f>
        <v>EN-002108996</v>
      </c>
    </row>
    <row r="7346" spans="1:15" ht="16" x14ac:dyDescent="0.2">
      <c r="A7346" s="26"/>
      <c r="B7346" s="26"/>
      <c r="C7346" s="26"/>
      <c r="D7346" s="26"/>
      <c r="E7346" s="26"/>
      <c r="F7346" s="26"/>
      <c r="G7346" s="26"/>
      <c r="H7346" s="26"/>
      <c r="I7346" s="26"/>
      <c r="J7346" s="26"/>
      <c r="K7346" s="26"/>
      <c r="L7346" s="26"/>
      <c r="M7346" s="26"/>
      <c r="N7346" s="26"/>
      <c r="O7346" s="14" t="str">
        <f>HYPERLINK("https://otsuka-europe-crm.veevavault.com/ui/#object/email_activity__v/V8C00000004E091", "EN-002108563")</f>
        <v>EN-002108563</v>
      </c>
    </row>
    <row r="7347" spans="1:15" ht="16" x14ac:dyDescent="0.2">
      <c r="A7347" s="19"/>
      <c r="B7347" s="19"/>
      <c r="C7347" s="19"/>
      <c r="D7347" s="19"/>
      <c r="E7347" s="19"/>
      <c r="F7347" s="19"/>
      <c r="G7347" s="19"/>
      <c r="H7347" s="19"/>
      <c r="I7347" s="19"/>
      <c r="J7347" s="19"/>
      <c r="K7347" s="19"/>
      <c r="L7347" s="19"/>
      <c r="M7347" s="19"/>
      <c r="N7347" s="19"/>
      <c r="O7347" s="14" t="str">
        <f>HYPERLINK("https://otsuka-europe-crm.veevavault.com/ui/#object/email_activity__v/V8C00000004E344", "EN-002109044")</f>
        <v>EN-002109044</v>
      </c>
    </row>
    <row r="7348" spans="1:15" ht="16" x14ac:dyDescent="0.2">
      <c r="A7348" s="18" t="str">
        <f>HYPERLINK("https://otsuka-europe-crm.veevavault.com/ui/#object/account__v/V4TZ06G6O7VTE1W", "GUILLERMO MANUEL TIRADO NUMANCIA")</f>
        <v>GUILLERMO MANUEL TIRADO NUMANCIA</v>
      </c>
      <c r="B7348" s="18" t="str">
        <f>HYPERLINK("https://otsuka-europe-crm.veevavault.com/ui/#object/vcountry__v/VENZ000004SONF5", "ES")</f>
        <v>ES</v>
      </c>
      <c r="C7348" s="20" t="s">
        <v>39</v>
      </c>
      <c r="D734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48" s="22" t="str">
        <f>HYPERLINK("https://otsuka-europe-crm.veevavault.com/ui/#object/sent_email__v/VBL00000003C054", "SE-001445066")</f>
        <v>SE-001445066</v>
      </c>
      <c r="F7348" s="23"/>
      <c r="G7348" s="24">
        <v>0</v>
      </c>
      <c r="H7348" s="24">
        <v>0</v>
      </c>
      <c r="I7348" s="24">
        <v>0</v>
      </c>
      <c r="J7348" s="23"/>
      <c r="K7348" s="24">
        <v>0</v>
      </c>
      <c r="L734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48" s="22" t="str">
        <f>HYPERLINK("mailto:oriballo@crm.otsuka-europe.com", "oriballo@crm.otsuka-europe.com")</f>
        <v>oriballo@crm.otsuka-europe.com</v>
      </c>
      <c r="N7348" s="25">
        <v>46227.519849537035</v>
      </c>
      <c r="O7348" s="14" t="str">
        <f>HYPERLINK("https://otsuka-europe-crm.veevavault.com/ui/#object/email_activity__v/V8C00000004D283", "EN-002108615")</f>
        <v>EN-002108615</v>
      </c>
    </row>
    <row r="7349" spans="1:15" ht="16" x14ac:dyDescent="0.2">
      <c r="A7349" s="19"/>
      <c r="B7349" s="19"/>
      <c r="C7349" s="19"/>
      <c r="D7349" s="19"/>
      <c r="E7349" s="19"/>
      <c r="F7349" s="19"/>
      <c r="G7349" s="19"/>
      <c r="H7349" s="19"/>
      <c r="I7349" s="19"/>
      <c r="J7349" s="19"/>
      <c r="K7349" s="19"/>
      <c r="L7349" s="19"/>
      <c r="M7349" s="19"/>
      <c r="N7349" s="19"/>
      <c r="O7349" s="14" t="str">
        <f>HYPERLINK("https://otsuka-europe-crm.veevavault.com/ui/#object/email_activity__v/V8C00000004I271", "EN-002111575")</f>
        <v>EN-002111575</v>
      </c>
    </row>
    <row r="7350" spans="1:15" ht="16" x14ac:dyDescent="0.2">
      <c r="A7350" s="18" t="str">
        <f>HYPERLINK("https://otsuka-europe-crm.veevavault.com/ui/#object/account__v/V4TZ06G6O71TBB9", "JOSE MANUEL MUÑOZ TEROL")</f>
        <v>JOSE MANUEL MUÑOZ TEROL</v>
      </c>
      <c r="B7350" s="18" t="str">
        <f>HYPERLINK("https://otsuka-europe-crm.veevavault.com/ui/#object/vcountry__v/VENZ000004SONF5", "ES")</f>
        <v>ES</v>
      </c>
      <c r="C7350" s="20" t="s">
        <v>39</v>
      </c>
      <c r="D73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50" s="22" t="str">
        <f>HYPERLINK("https://otsuka-europe-crm.veevavault.com/ui/#object/sent_email__v/VBL00000003C055", "SE-001445067")</f>
        <v>SE-001445067</v>
      </c>
      <c r="F7350" s="25">
        <v>46227.810347222221</v>
      </c>
      <c r="G7350" s="24">
        <v>1</v>
      </c>
      <c r="H7350" s="24">
        <v>1</v>
      </c>
      <c r="I7350" s="24">
        <v>0</v>
      </c>
      <c r="J7350" s="23"/>
      <c r="K7350" s="24">
        <v>0</v>
      </c>
      <c r="L73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50" s="22" t="str">
        <f>HYPERLINK("mailto:oriballo@crm.otsuka-europe.com", "oriballo@crm.otsuka-europe.com")</f>
        <v>oriballo@crm.otsuka-europe.com</v>
      </c>
      <c r="N7350" s="25">
        <v>46227.519849537035</v>
      </c>
      <c r="O7350" s="14" t="str">
        <f>HYPERLINK("https://otsuka-europe-crm.veevavault.com/ui/#object/email_activity__v/V8C00000004D274", "EN-002108606")</f>
        <v>EN-002108606</v>
      </c>
    </row>
    <row r="7351" spans="1:15" ht="16" x14ac:dyDescent="0.2">
      <c r="A7351" s="19"/>
      <c r="B7351" s="19"/>
      <c r="C7351" s="19"/>
      <c r="D7351" s="19"/>
      <c r="E7351" s="19"/>
      <c r="F7351" s="19"/>
      <c r="G7351" s="19"/>
      <c r="H7351" s="19"/>
      <c r="I7351" s="19"/>
      <c r="J7351" s="19"/>
      <c r="K7351" s="19"/>
      <c r="L7351" s="19"/>
      <c r="M7351" s="19"/>
      <c r="N7351" s="19"/>
      <c r="O7351" s="14" t="str">
        <f>HYPERLINK("https://otsuka-europe-crm.veevavault.com/ui/#object/email_activity__v/V8C00000004D422", "EN-002108920")</f>
        <v>EN-002108920</v>
      </c>
    </row>
    <row r="7352" spans="1:15" ht="16" x14ac:dyDescent="0.2">
      <c r="A7352" s="18" t="str">
        <f>HYPERLINK("https://otsuka-europe-crm.veevavault.com/ui/#object/account__v/V4TZ06G6O71T9S0", "NOEMI FERNANDEZ SANCHEZ")</f>
        <v>NOEMI FERNANDEZ SANCHEZ</v>
      </c>
      <c r="B7352" s="18" t="str">
        <f>HYPERLINK("https://otsuka-europe-crm.veevavault.com/ui/#object/vcountry__v/VENZ000004SONF5", "ES")</f>
        <v>ES</v>
      </c>
      <c r="C7352" s="20" t="s">
        <v>39</v>
      </c>
      <c r="D735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52" s="22" t="str">
        <f>HYPERLINK("https://otsuka-europe-crm.veevavault.com/ui/#object/sent_email__v/VBL00000003C056", "SE-001445068")</f>
        <v>SE-001445068</v>
      </c>
      <c r="F7352" s="23"/>
      <c r="G7352" s="24">
        <v>0</v>
      </c>
      <c r="H7352" s="24">
        <v>0</v>
      </c>
      <c r="I7352" s="24">
        <v>0</v>
      </c>
      <c r="J7352" s="23"/>
      <c r="K7352" s="24">
        <v>0</v>
      </c>
      <c r="L735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52" s="22" t="str">
        <f>HYPERLINK("mailto:oriballo@crm.otsuka-europe.com", "oriballo@crm.otsuka-europe.com")</f>
        <v>oriballo@crm.otsuka-europe.com</v>
      </c>
      <c r="N7352" s="25">
        <v>46227.519849537035</v>
      </c>
      <c r="O7352" s="14" t="str">
        <f>HYPERLINK("https://otsuka-europe-crm.veevavault.com/ui/#object/email_activity__v/V8C00000004D260", "EN-002108591")</f>
        <v>EN-002108591</v>
      </c>
    </row>
    <row r="7353" spans="1:15" ht="16" x14ac:dyDescent="0.2">
      <c r="A7353" s="19"/>
      <c r="B7353" s="19"/>
      <c r="C7353" s="19"/>
      <c r="D7353" s="19"/>
      <c r="E7353" s="19"/>
      <c r="F7353" s="19"/>
      <c r="G7353" s="19"/>
      <c r="H7353" s="19"/>
      <c r="I7353" s="19"/>
      <c r="J7353" s="19"/>
      <c r="K7353" s="19"/>
      <c r="L7353" s="19"/>
      <c r="M7353" s="19"/>
      <c r="N7353" s="19"/>
      <c r="O7353" s="14" t="str">
        <f>HYPERLINK("https://otsuka-europe-crm.veevavault.com/ui/#object/email_activity__v/V8C00000004E221", "EN-002108820")</f>
        <v>EN-002108820</v>
      </c>
    </row>
    <row r="7354" spans="1:15" ht="16" x14ac:dyDescent="0.2">
      <c r="A7354" s="18" t="str">
        <f>HYPERLINK("https://otsuka-europe-crm.veevavault.com/ui/#object/account__v/V4TZ06G6O71T7HJ", "FABIOLA ALONSO GARCIA")</f>
        <v>FABIOLA ALONSO GARCIA</v>
      </c>
      <c r="B7354" s="18" t="str">
        <f>HYPERLINK("https://otsuka-europe-crm.veevavault.com/ui/#object/vcountry__v/VENZ000004SONF5", "ES")</f>
        <v>ES</v>
      </c>
      <c r="C7354" s="20" t="s">
        <v>39</v>
      </c>
      <c r="D735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54" s="22" t="str">
        <f>HYPERLINK("https://otsuka-europe-crm.veevavault.com/ui/#object/sent_email__v/VBL00000003C057", "SE-001445069")</f>
        <v>SE-001445069</v>
      </c>
      <c r="F7354" s="25">
        <v>46227.631203703706</v>
      </c>
      <c r="G7354" s="24">
        <v>1</v>
      </c>
      <c r="H7354" s="24">
        <v>3</v>
      </c>
      <c r="I7354" s="24">
        <v>0</v>
      </c>
      <c r="J7354" s="23"/>
      <c r="K7354" s="24">
        <v>0</v>
      </c>
      <c r="L735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54" s="22" t="str">
        <f>HYPERLINK("mailto:oriballo@crm.otsuka-europe.com", "oriballo@crm.otsuka-europe.com")</f>
        <v>oriballo@crm.otsuka-europe.com</v>
      </c>
      <c r="N7354" s="25">
        <v>46227.519849537035</v>
      </c>
      <c r="O7354" s="14" t="str">
        <f>HYPERLINK("https://otsuka-europe-crm.veevavault.com/ui/#object/email_activity__v/V8C00000004D389", "EN-002108840")</f>
        <v>EN-002108840</v>
      </c>
    </row>
    <row r="7355" spans="1:15" ht="16" x14ac:dyDescent="0.2">
      <c r="A7355" s="26"/>
      <c r="B7355" s="26"/>
      <c r="C7355" s="26"/>
      <c r="D7355" s="26"/>
      <c r="E7355" s="26"/>
      <c r="F7355" s="26"/>
      <c r="G7355" s="26"/>
      <c r="H7355" s="26"/>
      <c r="I7355" s="26"/>
      <c r="J7355" s="26"/>
      <c r="K7355" s="26"/>
      <c r="L7355" s="26"/>
      <c r="M7355" s="26"/>
      <c r="N7355" s="26"/>
      <c r="O7355" s="14" t="str">
        <f>HYPERLINK("https://otsuka-europe-crm.veevavault.com/ui/#object/email_activity__v/V8C00000004D390", "EN-002108842")</f>
        <v>EN-002108842</v>
      </c>
    </row>
    <row r="7356" spans="1:15" ht="16" x14ac:dyDescent="0.2">
      <c r="A7356" s="26"/>
      <c r="B7356" s="26"/>
      <c r="C7356" s="26"/>
      <c r="D7356" s="26"/>
      <c r="E7356" s="26"/>
      <c r="F7356" s="26"/>
      <c r="G7356" s="26"/>
      <c r="H7356" s="26"/>
      <c r="I7356" s="26"/>
      <c r="J7356" s="26"/>
      <c r="K7356" s="26"/>
      <c r="L7356" s="26"/>
      <c r="M7356" s="26"/>
      <c r="N7356" s="26"/>
      <c r="O7356" s="14" t="str">
        <f>HYPERLINK("https://otsuka-europe-crm.veevavault.com/ui/#object/email_activity__v/V8C00000004E070", "EN-002108541")</f>
        <v>EN-002108541</v>
      </c>
    </row>
    <row r="7357" spans="1:15" ht="16" x14ac:dyDescent="0.2">
      <c r="A7357" s="19"/>
      <c r="B7357" s="19"/>
      <c r="C7357" s="19"/>
      <c r="D7357" s="19"/>
      <c r="E7357" s="19"/>
      <c r="F7357" s="19"/>
      <c r="G7357" s="19"/>
      <c r="H7357" s="19"/>
      <c r="I7357" s="19"/>
      <c r="J7357" s="19"/>
      <c r="K7357" s="19"/>
      <c r="L7357" s="19"/>
      <c r="M7357" s="19"/>
      <c r="N7357" s="19"/>
      <c r="O7357" s="14" t="str">
        <f>HYPERLINK("https://otsuka-europe-crm.veevavault.com/ui/#object/email_activity__v/V8C00000004E234", "EN-002108841")</f>
        <v>EN-002108841</v>
      </c>
    </row>
    <row r="7358" spans="1:15" ht="16" x14ac:dyDescent="0.2">
      <c r="A7358" s="18" t="str">
        <f>HYPERLINK("https://otsuka-europe-crm.veevavault.com/ui/#object/account__v/V4TZ025E8486MOA", "SARA BLAZQUEZ ROSELLO")</f>
        <v>SARA BLAZQUEZ ROSELLO</v>
      </c>
      <c r="B7358" s="18" t="str">
        <f>HYPERLINK("https://otsuka-europe-crm.veevavault.com/ui/#object/vcountry__v/VENZ000004SONF5", "ES")</f>
        <v>ES</v>
      </c>
      <c r="C7358" s="20" t="s">
        <v>39</v>
      </c>
      <c r="D735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58" s="22" t="str">
        <f>HYPERLINK("https://otsuka-europe-crm.veevavault.com/ui/#object/sent_email__v/VBL00000003C058", "SE-001445070")</f>
        <v>SE-001445070</v>
      </c>
      <c r="F7358" s="25">
        <v>46228.863483796296</v>
      </c>
      <c r="G7358" s="24">
        <v>1</v>
      </c>
      <c r="H7358" s="24">
        <v>1</v>
      </c>
      <c r="I7358" s="24">
        <v>0</v>
      </c>
      <c r="J7358" s="23"/>
      <c r="K7358" s="24">
        <v>0</v>
      </c>
      <c r="L735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58" s="22" t="str">
        <f>HYPERLINK("mailto:oriballo@crm.otsuka-europe.com", "oriballo@crm.otsuka-europe.com")</f>
        <v>oriballo@crm.otsuka-europe.com</v>
      </c>
      <c r="N7358" s="25">
        <v>46227.519849537035</v>
      </c>
      <c r="O7358" s="14" t="str">
        <f>HYPERLINK("https://otsuka-europe-crm.veevavault.com/ui/#object/email_activity__v/V8C00000004E106", "EN-002108578")</f>
        <v>EN-002108578</v>
      </c>
    </row>
    <row r="7359" spans="1:15" ht="16" x14ac:dyDescent="0.2">
      <c r="A7359" s="19"/>
      <c r="B7359" s="19"/>
      <c r="C7359" s="19"/>
      <c r="D7359" s="19"/>
      <c r="E7359" s="19"/>
      <c r="F7359" s="19"/>
      <c r="G7359" s="19"/>
      <c r="H7359" s="19"/>
      <c r="I7359" s="19"/>
      <c r="J7359" s="19"/>
      <c r="K7359" s="19"/>
      <c r="L7359" s="19"/>
      <c r="M7359" s="19"/>
      <c r="N7359" s="19"/>
      <c r="O7359" s="14" t="str">
        <f>HYPERLINK("https://otsuka-europe-crm.veevavault.com/ui/#object/email_activity__v/V8C00000004E328", "EN-002109008")</f>
        <v>EN-002109008</v>
      </c>
    </row>
    <row r="7360" spans="1:15" ht="64" x14ac:dyDescent="0.2">
      <c r="A7360" s="7" t="str">
        <f>HYPERLINK("https://otsuka-europe-crm.veevavault.com/ui/#object/account__v/V4TZ04ASGDUJG2A", "JOSE MANUEL AMARO MARTIN")</f>
        <v>JOSE MANUEL AMARO MARTIN</v>
      </c>
      <c r="B7360" s="7" t="str">
        <f>HYPERLINK("https://otsuka-europe-crm.veevavault.com/ui/#object/vcountry__v/VENZ000004SONF5", "ES")</f>
        <v>ES</v>
      </c>
      <c r="C7360" s="8" t="s">
        <v>39</v>
      </c>
      <c r="D736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60" s="10" t="str">
        <f>HYPERLINK("https://otsuka-europe-crm.veevavault.com/ui/#object/sent_email__v/VBL00000003C059", "SE-001445071")</f>
        <v>SE-001445071</v>
      </c>
      <c r="F7360" s="11"/>
      <c r="G7360" s="12">
        <v>0</v>
      </c>
      <c r="H7360" s="12">
        <v>0</v>
      </c>
      <c r="I7360" s="12">
        <v>0</v>
      </c>
      <c r="J7360" s="11"/>
      <c r="K7360" s="12">
        <v>0</v>
      </c>
      <c r="L736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60" s="10" t="str">
        <f>HYPERLINK("mailto:oriballo@crm.otsuka-europe.com", "oriballo@crm.otsuka-europe.com")</f>
        <v>oriballo@crm.otsuka-europe.com</v>
      </c>
      <c r="N7360" s="13">
        <v>46227.519849537035</v>
      </c>
      <c r="O7360" s="14" t="str">
        <f>HYPERLINK("https://otsuka-europe-crm.veevavault.com/ui/#object/email_activity__v/V8C00000004E078", "EN-002108549")</f>
        <v>EN-002108549</v>
      </c>
    </row>
    <row r="7361" spans="1:15" ht="64" x14ac:dyDescent="0.2">
      <c r="A7361" s="7" t="str">
        <f>HYPERLINK("https://otsuka-europe-crm.veevavault.com/ui/#object/account__v/V4TZ06G6O95NFAC", "ANA BELEN RUIZ JIMENEZ")</f>
        <v>ANA BELEN RUIZ JIMENEZ</v>
      </c>
      <c r="B7361" s="7" t="str">
        <f>HYPERLINK("https://otsuka-europe-crm.veevavault.com/ui/#object/vcountry__v/VENZ000004SONF5", "ES")</f>
        <v>ES</v>
      </c>
      <c r="C7361" s="8" t="s">
        <v>39</v>
      </c>
      <c r="D736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61" s="10" t="str">
        <f>HYPERLINK("https://otsuka-europe-crm.veevavault.com/ui/#object/sent_email__v/VBL00000003C060", "SE-001445072")</f>
        <v>SE-001445072</v>
      </c>
      <c r="F7361" s="11"/>
      <c r="G7361" s="12">
        <v>0</v>
      </c>
      <c r="H7361" s="12">
        <v>0</v>
      </c>
      <c r="I7361" s="12">
        <v>0</v>
      </c>
      <c r="J7361" s="11"/>
      <c r="K7361" s="12">
        <v>0</v>
      </c>
      <c r="L736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61" s="10" t="str">
        <f>HYPERLINK("mailto:oriballo@crm.otsuka-europe.com", "oriballo@crm.otsuka-europe.com")</f>
        <v>oriballo@crm.otsuka-europe.com</v>
      </c>
      <c r="N7361" s="13">
        <v>46227.519849537035</v>
      </c>
      <c r="O7361" s="14" t="str">
        <f>HYPERLINK("https://otsuka-europe-crm.veevavault.com/ui/#object/email_activity__v/V8C00000004E086", "EN-002108558")</f>
        <v>EN-002108558</v>
      </c>
    </row>
    <row r="7362" spans="1:15" ht="16" x14ac:dyDescent="0.2">
      <c r="A7362" s="18" t="str">
        <f>HYPERLINK("https://otsuka-europe-crm.veevavault.com/ui/#object/account__v/V4TZ06G6O71TBTS", "JOSE LUIS ROCHA CASTILLA")</f>
        <v>JOSE LUIS ROCHA CASTILLA</v>
      </c>
      <c r="B7362" s="18" t="str">
        <f>HYPERLINK("https://otsuka-europe-crm.veevavault.com/ui/#object/vcountry__v/VENZ000004SONF5", "ES")</f>
        <v>ES</v>
      </c>
      <c r="C7362" s="20" t="s">
        <v>39</v>
      </c>
      <c r="D736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62" s="22" t="str">
        <f>HYPERLINK("https://otsuka-europe-crm.veevavault.com/ui/#object/sent_email__v/VBL00000003C061", "SE-001445073")</f>
        <v>SE-001445073</v>
      </c>
      <c r="F7362" s="25">
        <v>46227.519965277781</v>
      </c>
      <c r="G7362" s="24">
        <v>1</v>
      </c>
      <c r="H7362" s="24">
        <v>2</v>
      </c>
      <c r="I7362" s="24">
        <v>0</v>
      </c>
      <c r="J7362" s="23"/>
      <c r="K7362" s="24">
        <v>0</v>
      </c>
      <c r="L736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62" s="22" t="str">
        <f>HYPERLINK("mailto:oriballo@crm.otsuka-europe.com", "oriballo@crm.otsuka-europe.com")</f>
        <v>oriballo@crm.otsuka-europe.com</v>
      </c>
      <c r="N7362" s="25">
        <v>46227.519849537035</v>
      </c>
      <c r="O7362" s="14" t="str">
        <f>HYPERLINK("https://otsuka-europe-crm.veevavault.com/ui/#object/email_activity__v/V8C00000004D278", "EN-002108610")</f>
        <v>EN-002108610</v>
      </c>
    </row>
    <row r="7363" spans="1:15" ht="16" x14ac:dyDescent="0.2">
      <c r="A7363" s="26"/>
      <c r="B7363" s="26"/>
      <c r="C7363" s="26"/>
      <c r="D7363" s="26"/>
      <c r="E7363" s="26"/>
      <c r="F7363" s="26"/>
      <c r="G7363" s="26"/>
      <c r="H7363" s="26"/>
      <c r="I7363" s="26"/>
      <c r="J7363" s="26"/>
      <c r="K7363" s="26"/>
      <c r="L7363" s="26"/>
      <c r="M7363" s="26"/>
      <c r="N7363" s="26"/>
      <c r="O7363" s="14" t="str">
        <f>HYPERLINK("https://otsuka-europe-crm.veevavault.com/ui/#object/email_activity__v/V8C00000004D321", "EN-002108660")</f>
        <v>EN-002108660</v>
      </c>
    </row>
    <row r="7364" spans="1:15" ht="16" x14ac:dyDescent="0.2">
      <c r="A7364" s="26"/>
      <c r="B7364" s="26"/>
      <c r="C7364" s="26"/>
      <c r="D7364" s="26"/>
      <c r="E7364" s="26"/>
      <c r="F7364" s="26"/>
      <c r="G7364" s="26"/>
      <c r="H7364" s="26"/>
      <c r="I7364" s="26"/>
      <c r="J7364" s="26"/>
      <c r="K7364" s="26"/>
      <c r="L7364" s="26"/>
      <c r="M7364" s="26"/>
      <c r="N7364" s="26"/>
      <c r="O7364" s="14" t="str">
        <f>HYPERLINK("https://otsuka-europe-crm.veevavault.com/ui/#object/email_activity__v/V8C00000004D324", "EN-002108663")</f>
        <v>EN-002108663</v>
      </c>
    </row>
    <row r="7365" spans="1:15" ht="16" x14ac:dyDescent="0.2">
      <c r="A7365" s="26"/>
      <c r="B7365" s="26"/>
      <c r="C7365" s="26"/>
      <c r="D7365" s="26"/>
      <c r="E7365" s="26"/>
      <c r="F7365" s="26"/>
      <c r="G7365" s="26"/>
      <c r="H7365" s="26"/>
      <c r="I7365" s="26"/>
      <c r="J7365" s="26"/>
      <c r="K7365" s="26"/>
      <c r="L7365" s="26"/>
      <c r="M7365" s="26"/>
      <c r="N7365" s="26"/>
      <c r="O7365" s="14" t="str">
        <f>HYPERLINK("https://otsuka-europe-crm.veevavault.com/ui/#object/email_activity__v/V8C00000004D400", "EN-002108861")</f>
        <v>EN-002108861</v>
      </c>
    </row>
    <row r="7366" spans="1:15" ht="16" x14ac:dyDescent="0.2">
      <c r="A7366" s="26"/>
      <c r="B7366" s="26"/>
      <c r="C7366" s="26"/>
      <c r="D7366" s="26"/>
      <c r="E7366" s="26"/>
      <c r="F7366" s="26"/>
      <c r="G7366" s="26"/>
      <c r="H7366" s="26"/>
      <c r="I7366" s="26"/>
      <c r="J7366" s="26"/>
      <c r="K7366" s="26"/>
      <c r="L7366" s="26"/>
      <c r="M7366" s="26"/>
      <c r="N7366" s="26"/>
      <c r="O7366" s="14" t="str">
        <f>HYPERLINK("https://otsuka-europe-crm.veevavault.com/ui/#object/email_activity__v/V8C00000004E278", "EN-002108916")</f>
        <v>EN-002108916</v>
      </c>
    </row>
    <row r="7367" spans="1:15" ht="16" x14ac:dyDescent="0.2">
      <c r="A7367" s="19"/>
      <c r="B7367" s="19"/>
      <c r="C7367" s="19"/>
      <c r="D7367" s="19"/>
      <c r="E7367" s="19"/>
      <c r="F7367" s="19"/>
      <c r="G7367" s="19"/>
      <c r="H7367" s="19"/>
      <c r="I7367" s="19"/>
      <c r="J7367" s="19"/>
      <c r="K7367" s="19"/>
      <c r="L7367" s="19"/>
      <c r="M7367" s="19"/>
      <c r="N7367" s="19"/>
      <c r="O7367" s="14" t="str">
        <f>HYPERLINK("https://otsuka-europe-crm.veevavault.com/ui/#object/email_activity__v/V8C00000004E280", "EN-002108918")</f>
        <v>EN-002108918</v>
      </c>
    </row>
    <row r="7368" spans="1:15" ht="16" x14ac:dyDescent="0.2">
      <c r="A7368" s="18" t="str">
        <f>HYPERLINK("https://otsuka-europe-crm.veevavault.com/ui/#object/account__v/V4TZ06G6O71T74F", "MYRIAM EADY ALONSO")</f>
        <v>MYRIAM EADY ALONSO</v>
      </c>
      <c r="B7368" s="18" t="str">
        <f>HYPERLINK("https://otsuka-europe-crm.veevavault.com/ui/#object/vcountry__v/VENZ000004SONF5", "ES")</f>
        <v>ES</v>
      </c>
      <c r="C7368" s="20" t="s">
        <v>39</v>
      </c>
      <c r="D736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68" s="22" t="str">
        <f>HYPERLINK("https://otsuka-europe-crm.veevavault.com/ui/#object/sent_email__v/VBL00000003C062", "SE-001445074")</f>
        <v>SE-001445074</v>
      </c>
      <c r="F7368" s="23"/>
      <c r="G7368" s="24">
        <v>0</v>
      </c>
      <c r="H7368" s="24">
        <v>0</v>
      </c>
      <c r="I7368" s="24">
        <v>0</v>
      </c>
      <c r="J7368" s="23"/>
      <c r="K7368" s="24">
        <v>0</v>
      </c>
      <c r="L736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68" s="22" t="str">
        <f>HYPERLINK("mailto:oriballo@crm.otsuka-europe.com", "oriballo@crm.otsuka-europe.com")</f>
        <v>oriballo@crm.otsuka-europe.com</v>
      </c>
      <c r="N7368" s="25">
        <v>46227.519884259258</v>
      </c>
      <c r="O7368" s="14" t="str">
        <f>HYPERLINK("https://otsuka-europe-crm.veevavault.com/ui/#object/email_activity__v/V8C00000004E118", "EN-002108652")</f>
        <v>EN-002108652</v>
      </c>
    </row>
    <row r="7369" spans="1:15" ht="16" x14ac:dyDescent="0.2">
      <c r="A7369" s="19"/>
      <c r="B7369" s="19"/>
      <c r="C7369" s="19"/>
      <c r="D7369" s="19"/>
      <c r="E7369" s="19"/>
      <c r="F7369" s="19"/>
      <c r="G7369" s="19"/>
      <c r="H7369" s="19"/>
      <c r="I7369" s="19"/>
      <c r="J7369" s="19"/>
      <c r="K7369" s="19"/>
      <c r="L7369" s="19"/>
      <c r="M7369" s="19"/>
      <c r="N7369" s="19"/>
      <c r="O7369" s="14" t="str">
        <f>HYPERLINK("https://otsuka-europe-crm.veevavault.com/ui/#object/email_activity__v/V8C00000004E306", "EN-002108967")</f>
        <v>EN-002108967</v>
      </c>
    </row>
    <row r="7370" spans="1:15" ht="64" x14ac:dyDescent="0.2">
      <c r="A7370" s="7" t="str">
        <f>HYPERLINK("https://otsuka-europe-crm.veevavault.com/ui/#object/account__v/V4TZ06G6O71TA6P", "MARIA ISABEL GONZALEZ CARMELO")</f>
        <v>MARIA ISABEL GONZALEZ CARMELO</v>
      </c>
      <c r="B7370" s="7" t="str">
        <f>HYPERLINK("https://otsuka-europe-crm.veevavault.com/ui/#object/vcountry__v/VENZ000004SONF5", "ES")</f>
        <v>ES</v>
      </c>
      <c r="C7370" s="8" t="s">
        <v>39</v>
      </c>
      <c r="D737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70" s="10" t="str">
        <f>HYPERLINK("https://otsuka-europe-crm.veevavault.com/ui/#object/sent_email__v/VBL00000003C063", "SE-001445075")</f>
        <v>SE-001445075</v>
      </c>
      <c r="F7370" s="11"/>
      <c r="G7370" s="12">
        <v>0</v>
      </c>
      <c r="H7370" s="12">
        <v>0</v>
      </c>
      <c r="I7370" s="12">
        <v>0</v>
      </c>
      <c r="J7370" s="11"/>
      <c r="K7370" s="12">
        <v>0</v>
      </c>
      <c r="L737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70" s="10" t="str">
        <f>HYPERLINK("mailto:oriballo@crm.otsuka-europe.com", "oriballo@crm.otsuka-europe.com")</f>
        <v>oriballo@crm.otsuka-europe.com</v>
      </c>
      <c r="N7370" s="13">
        <v>46227.519849537035</v>
      </c>
      <c r="O7370" s="14" t="str">
        <f>HYPERLINK("https://otsuka-europe-crm.veevavault.com/ui/#object/email_activity__v/V8C00000004E089", "EN-002108561")</f>
        <v>EN-002108561</v>
      </c>
    </row>
    <row r="7371" spans="1:15" ht="64" x14ac:dyDescent="0.2">
      <c r="A7371" s="7" t="str">
        <f>HYPERLINK("https://otsuka-europe-crm.veevavault.com/ui/#object/account__v/V4TZ06G6O71TAWP", "ALEJANDRO MARTIN MALO")</f>
        <v>ALEJANDRO MARTIN MALO</v>
      </c>
      <c r="B7371" s="7" t="str">
        <f>HYPERLINK("https://otsuka-europe-crm.veevavault.com/ui/#object/vcountry__v/VENZ000004SONF5", "ES")</f>
        <v>ES</v>
      </c>
      <c r="C7371" s="8" t="s">
        <v>39</v>
      </c>
      <c r="D737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71" s="10" t="str">
        <f>HYPERLINK("https://otsuka-europe-crm.veevavault.com/ui/#object/sent_email__v/VBL00000003C064", "SE-001445076")</f>
        <v>SE-001445076</v>
      </c>
      <c r="F7371" s="11"/>
      <c r="G7371" s="12">
        <v>0</v>
      </c>
      <c r="H7371" s="12">
        <v>0</v>
      </c>
      <c r="I7371" s="12">
        <v>0</v>
      </c>
      <c r="J7371" s="11"/>
      <c r="K7371" s="12">
        <v>0</v>
      </c>
      <c r="L737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71" s="10" t="str">
        <f>HYPERLINK("mailto:oriballo@crm.otsuka-europe.com", "oriballo@crm.otsuka-europe.com")</f>
        <v>oriballo@crm.otsuka-europe.com</v>
      </c>
      <c r="N7371" s="13">
        <v>46227.519849537035</v>
      </c>
      <c r="O7371" s="14" t="str">
        <f>HYPERLINK("https://otsuka-europe-crm.veevavault.com/ui/#object/email_activity__v/V8C00000004E123", "EN-002108669")</f>
        <v>EN-002108669</v>
      </c>
    </row>
    <row r="7372" spans="1:15" ht="16" x14ac:dyDescent="0.2">
      <c r="A7372" s="18" t="str">
        <f>HYPERLINK("https://otsuka-europe-crm.veevavault.com/ui/#object/account__v/V4TZ06G6O71T9LZ", "MANUEL CEBALLOS GUERRERO")</f>
        <v>MANUEL CEBALLOS GUERRERO</v>
      </c>
      <c r="B7372" s="18" t="str">
        <f>HYPERLINK("https://otsuka-europe-crm.veevavault.com/ui/#object/vcountry__v/VENZ000004SONF5", "ES")</f>
        <v>ES</v>
      </c>
      <c r="C7372" s="20" t="s">
        <v>39</v>
      </c>
      <c r="D73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72" s="22" t="str">
        <f>HYPERLINK("https://otsuka-europe-crm.veevavault.com/ui/#object/sent_email__v/VBL00000003C065", "SE-001445077")</f>
        <v>SE-001445077</v>
      </c>
      <c r="F7372" s="25">
        <v>46228.747615740744</v>
      </c>
      <c r="G7372" s="24">
        <v>1</v>
      </c>
      <c r="H7372" s="24">
        <v>2</v>
      </c>
      <c r="I7372" s="24">
        <v>0</v>
      </c>
      <c r="J7372" s="23"/>
      <c r="K7372" s="24">
        <v>0</v>
      </c>
      <c r="L73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72" s="22" t="str">
        <f>HYPERLINK("mailto:oriballo@crm.otsuka-europe.com", "oriballo@crm.otsuka-europe.com")</f>
        <v>oriballo@crm.otsuka-europe.com</v>
      </c>
      <c r="N7372" s="25">
        <v>46227.519849537035</v>
      </c>
      <c r="O7372" s="14" t="str">
        <f>HYPERLINK("https://otsuka-europe-crm.veevavault.com/ui/#object/email_activity__v/V8C00000004E082", "EN-002108554")</f>
        <v>EN-002108554</v>
      </c>
    </row>
    <row r="7373" spans="1:15" ht="16" x14ac:dyDescent="0.2">
      <c r="A7373" s="26"/>
      <c r="B7373" s="26"/>
      <c r="C7373" s="26"/>
      <c r="D7373" s="26"/>
      <c r="E7373" s="26"/>
      <c r="F7373" s="26"/>
      <c r="G7373" s="26"/>
      <c r="H7373" s="26"/>
      <c r="I7373" s="26"/>
      <c r="J7373" s="26"/>
      <c r="K7373" s="26"/>
      <c r="L7373" s="26"/>
      <c r="M7373" s="26"/>
      <c r="N7373" s="26"/>
      <c r="O7373" s="14" t="str">
        <f>HYPERLINK("https://otsuka-europe-crm.veevavault.com/ui/#object/email_activity__v/V8C00000004E323", "EN-002108999")</f>
        <v>EN-002108999</v>
      </c>
    </row>
    <row r="7374" spans="1:15" ht="16" x14ac:dyDescent="0.2">
      <c r="A7374" s="19"/>
      <c r="B7374" s="19"/>
      <c r="C7374" s="19"/>
      <c r="D7374" s="19"/>
      <c r="E7374" s="19"/>
      <c r="F7374" s="19"/>
      <c r="G7374" s="19"/>
      <c r="H7374" s="19"/>
      <c r="I7374" s="19"/>
      <c r="J7374" s="19"/>
      <c r="K7374" s="19"/>
      <c r="L7374" s="19"/>
      <c r="M7374" s="19"/>
      <c r="N7374" s="19"/>
      <c r="O7374" s="14" t="str">
        <f>HYPERLINK("https://otsuka-europe-crm.veevavault.com/ui/#object/email_activity__v/V8C00000004E324", "EN-002109000")</f>
        <v>EN-002109000</v>
      </c>
    </row>
    <row r="7375" spans="1:15" ht="16" x14ac:dyDescent="0.2">
      <c r="A7375" s="18" t="str">
        <f>HYPERLINK("https://otsuka-europe-crm.veevavault.com/ui/#object/account__v/V4TZ06G6O71T8DL", "JAVIER NARANJO MUÑOZ")</f>
        <v>JAVIER NARANJO MUÑOZ</v>
      </c>
      <c r="B7375" s="18" t="str">
        <f>HYPERLINK("https://otsuka-europe-crm.veevavault.com/ui/#object/vcountry__v/VENZ000004SONF5", "ES")</f>
        <v>ES</v>
      </c>
      <c r="C7375" s="20" t="s">
        <v>39</v>
      </c>
      <c r="D73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75" s="22" t="str">
        <f>HYPERLINK("https://otsuka-europe-crm.veevavault.com/ui/#object/sent_email__v/VBL00000003C066", "SE-001445078")</f>
        <v>SE-001445078</v>
      </c>
      <c r="F7375" s="25">
        <v>46227.618055555555</v>
      </c>
      <c r="G7375" s="24">
        <v>1</v>
      </c>
      <c r="H7375" s="24">
        <v>1</v>
      </c>
      <c r="I7375" s="24">
        <v>0</v>
      </c>
      <c r="J7375" s="23"/>
      <c r="K7375" s="24">
        <v>0</v>
      </c>
      <c r="L73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75" s="22" t="str">
        <f>HYPERLINK("mailto:oriballo@crm.otsuka-europe.com", "oriballo@crm.otsuka-europe.com")</f>
        <v>oriballo@crm.otsuka-europe.com</v>
      </c>
      <c r="N7375" s="25">
        <v>46227.519849537035</v>
      </c>
      <c r="O7375" s="14" t="str">
        <f>HYPERLINK("https://otsuka-europe-crm.veevavault.com/ui/#object/email_activity__v/V8C00000004D285", "EN-002108617")</f>
        <v>EN-002108617</v>
      </c>
    </row>
    <row r="7376" spans="1:15" ht="16" x14ac:dyDescent="0.2">
      <c r="A7376" s="19"/>
      <c r="B7376" s="19"/>
      <c r="C7376" s="19"/>
      <c r="D7376" s="19"/>
      <c r="E7376" s="19"/>
      <c r="F7376" s="19"/>
      <c r="G7376" s="19"/>
      <c r="H7376" s="19"/>
      <c r="I7376" s="19"/>
      <c r="J7376" s="19"/>
      <c r="K7376" s="19"/>
      <c r="L7376" s="19"/>
      <c r="M7376" s="19"/>
      <c r="N7376" s="19"/>
      <c r="O7376" s="14" t="str">
        <f>HYPERLINK("https://otsuka-europe-crm.veevavault.com/ui/#object/email_activity__v/V8C00000004E226", "EN-002108827")</f>
        <v>EN-002108827</v>
      </c>
    </row>
    <row r="7377" spans="1:15" ht="64" x14ac:dyDescent="0.2">
      <c r="A7377" s="7" t="str">
        <f>HYPERLINK("https://otsuka-europe-crm.veevavault.com/ui/#object/account__v/V4TZ06G6O71TCEE", "MARIA SAGRARIO SORIANO CABRERA")</f>
        <v>MARIA SAGRARIO SORIANO CABRERA</v>
      </c>
      <c r="B7377" s="7" t="str">
        <f t="shared" ref="B7377:B7383" si="269">HYPERLINK("https://otsuka-europe-crm.veevavault.com/ui/#object/vcountry__v/VENZ000004SONF5", "ES")</f>
        <v>ES</v>
      </c>
      <c r="C7377" s="8" t="s">
        <v>39</v>
      </c>
      <c r="D7377" s="9" t="str">
        <f t="shared" ref="D7377:D7383" si="270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77" s="10" t="str">
        <f>HYPERLINK("https://otsuka-europe-crm.veevavault.com/ui/#object/sent_email__v/VBL00000003C067", "SE-001445079")</f>
        <v>SE-001445079</v>
      </c>
      <c r="F7377" s="11"/>
      <c r="G7377" s="12">
        <v>0</v>
      </c>
      <c r="H7377" s="12">
        <v>0</v>
      </c>
      <c r="I7377" s="12">
        <v>0</v>
      </c>
      <c r="J7377" s="11"/>
      <c r="K7377" s="12">
        <v>0</v>
      </c>
      <c r="L7377" s="10" t="str">
        <f t="shared" ref="L7377:L7383" si="271"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77" s="10" t="str">
        <f t="shared" ref="M7377:M7383" si="272">HYPERLINK("mailto:oriballo@crm.otsuka-europe.com", "oriballo@crm.otsuka-europe.com")</f>
        <v>oriballo@crm.otsuka-europe.com</v>
      </c>
      <c r="N7377" s="13">
        <v>46227.519849537035</v>
      </c>
      <c r="O7377" s="14" t="str">
        <f>HYPERLINK("https://otsuka-europe-crm.veevavault.com/ui/#object/email_activity__v/V8C00000004D261", "EN-002108592")</f>
        <v>EN-002108592</v>
      </c>
    </row>
    <row r="7378" spans="1:15" ht="64" x14ac:dyDescent="0.2">
      <c r="A7378" s="7" t="str">
        <f>HYPERLINK("https://otsuka-europe-crm.veevavault.com/ui/#object/account__v/V4TZ06G6O71T82F", "CARLOS EDUARDO NARVAEZ MEJIA")</f>
        <v>CARLOS EDUARDO NARVAEZ MEJIA</v>
      </c>
      <c r="B7378" s="7" t="str">
        <f t="shared" si="269"/>
        <v>ES</v>
      </c>
      <c r="C7378" s="8" t="s">
        <v>39</v>
      </c>
      <c r="D7378" s="9" t="str">
        <f t="shared" si="270"/>
        <v>LUP - VAE Webinar “Lupkynis▼ en la práctica clínica real: más allá de la respuesta renal” - Nefro</v>
      </c>
      <c r="E7378" s="10" t="str">
        <f>HYPERLINK("https://otsuka-europe-crm.veevavault.com/ui/#object/sent_email__v/VBL00000003C068", "SE-001445080")</f>
        <v>SE-001445080</v>
      </c>
      <c r="F7378" s="11"/>
      <c r="G7378" s="12">
        <v>0</v>
      </c>
      <c r="H7378" s="12">
        <v>0</v>
      </c>
      <c r="I7378" s="12">
        <v>0</v>
      </c>
      <c r="J7378" s="11"/>
      <c r="K7378" s="12">
        <v>0</v>
      </c>
      <c r="L7378" s="10" t="str">
        <f t="shared" si="271"/>
        <v>LUP - VAE Webinar “Lupkynis▼ en la práctica clínica real: más allá de la respuesta renal” - Nefro</v>
      </c>
      <c r="M7378" s="10" t="str">
        <f t="shared" si="272"/>
        <v>oriballo@crm.otsuka-europe.com</v>
      </c>
      <c r="N7378" s="13">
        <v>46227.519849537035</v>
      </c>
      <c r="O7378" s="14" t="str">
        <f>HYPERLINK("https://otsuka-europe-crm.veevavault.com/ui/#object/email_activity__v/V8C00000004D256", "EN-002108587")</f>
        <v>EN-002108587</v>
      </c>
    </row>
    <row r="7379" spans="1:15" ht="64" x14ac:dyDescent="0.2">
      <c r="A7379" s="7" t="str">
        <f>HYPERLINK("https://otsuka-europe-crm.veevavault.com/ui/#object/account__v/V4TZ06G6O71T7U4", "MARIA ELISA MONTERO ESCOBAR")</f>
        <v>MARIA ELISA MONTERO ESCOBAR</v>
      </c>
      <c r="B7379" s="7" t="str">
        <f t="shared" si="269"/>
        <v>ES</v>
      </c>
      <c r="C7379" s="8" t="s">
        <v>39</v>
      </c>
      <c r="D7379" s="9" t="str">
        <f t="shared" si="270"/>
        <v>LUP - VAE Webinar “Lupkynis▼ en la práctica clínica real: más allá de la respuesta renal” - Nefro</v>
      </c>
      <c r="E7379" s="10" t="str">
        <f>HYPERLINK("https://otsuka-europe-crm.veevavault.com/ui/#object/sent_email__v/VBL00000003C069", "SE-001445081")</f>
        <v>SE-001445081</v>
      </c>
      <c r="F7379" s="11"/>
      <c r="G7379" s="12">
        <v>0</v>
      </c>
      <c r="H7379" s="12">
        <v>0</v>
      </c>
      <c r="I7379" s="12">
        <v>0</v>
      </c>
      <c r="J7379" s="11"/>
      <c r="K7379" s="12">
        <v>0</v>
      </c>
      <c r="L7379" s="10" t="str">
        <f t="shared" si="271"/>
        <v>LUP - VAE Webinar “Lupkynis▼ en la práctica clínica real: más allá de la respuesta renal” - Nefro</v>
      </c>
      <c r="M7379" s="10" t="str">
        <f t="shared" si="272"/>
        <v>oriballo@crm.otsuka-europe.com</v>
      </c>
      <c r="N7379" s="13">
        <v>46227.519849537035</v>
      </c>
      <c r="O7379" s="14" t="str">
        <f>HYPERLINK("https://otsuka-europe-crm.veevavault.com/ui/#object/email_activity__v/V8C00000004E103", "EN-002108575")</f>
        <v>EN-002108575</v>
      </c>
    </row>
    <row r="7380" spans="1:15" ht="64" x14ac:dyDescent="0.2">
      <c r="A7380" s="7" t="str">
        <f>HYPERLINK("https://otsuka-europe-crm.veevavault.com/ui/#object/account__v/V4TZ06G6O71TA0H", "ELENA GARCIA DE VINUESA CALVO")</f>
        <v>ELENA GARCIA DE VINUESA CALVO</v>
      </c>
      <c r="B7380" s="7" t="str">
        <f t="shared" si="269"/>
        <v>ES</v>
      </c>
      <c r="C7380" s="8" t="s">
        <v>39</v>
      </c>
      <c r="D7380" s="9" t="str">
        <f t="shared" si="270"/>
        <v>LUP - VAE Webinar “Lupkynis▼ en la práctica clínica real: más allá de la respuesta renal” - Nefro</v>
      </c>
      <c r="E7380" s="10" t="str">
        <f>HYPERLINK("https://otsuka-europe-crm.veevavault.com/ui/#object/sent_email__v/VBL00000003C070", "SE-001445082")</f>
        <v>SE-001445082</v>
      </c>
      <c r="F7380" s="11"/>
      <c r="G7380" s="12">
        <v>0</v>
      </c>
      <c r="H7380" s="12">
        <v>0</v>
      </c>
      <c r="I7380" s="12">
        <v>0</v>
      </c>
      <c r="J7380" s="11"/>
      <c r="K7380" s="12">
        <v>0</v>
      </c>
      <c r="L7380" s="10" t="str">
        <f t="shared" si="271"/>
        <v>LUP - VAE Webinar “Lupkynis▼ en la práctica clínica real: más allá de la respuesta renal” - Nefro</v>
      </c>
      <c r="M7380" s="10" t="str">
        <f t="shared" si="272"/>
        <v>oriballo@crm.otsuka-europe.com</v>
      </c>
      <c r="N7380" s="13">
        <v>46227.519918981481</v>
      </c>
      <c r="O7380" s="14" t="str">
        <f>HYPERLINK("https://otsuka-europe-crm.veevavault.com/ui/#object/email_activity__v/V8C00000004D319", "EN-002108658")</f>
        <v>EN-002108658</v>
      </c>
    </row>
    <row r="7381" spans="1:15" ht="64" x14ac:dyDescent="0.2">
      <c r="A7381" s="7" t="str">
        <f>HYPERLINK("https://otsuka-europe-crm.veevavault.com/ui/#object/account__v/V4TZ06G6O71TB8X", "PEDRO LUIS QUIROS GANGA")</f>
        <v>PEDRO LUIS QUIROS GANGA</v>
      </c>
      <c r="B7381" s="7" t="str">
        <f t="shared" si="269"/>
        <v>ES</v>
      </c>
      <c r="C7381" s="8" t="s">
        <v>39</v>
      </c>
      <c r="D7381" s="9" t="str">
        <f t="shared" si="270"/>
        <v>LUP - VAE Webinar “Lupkynis▼ en la práctica clínica real: más allá de la respuesta renal” - Nefro</v>
      </c>
      <c r="E7381" s="10" t="str">
        <f>HYPERLINK("https://otsuka-europe-crm.veevavault.com/ui/#object/sent_email__v/VBL00000003C071", "SE-001445083")</f>
        <v>SE-001445083</v>
      </c>
      <c r="F7381" s="11"/>
      <c r="G7381" s="12">
        <v>0</v>
      </c>
      <c r="H7381" s="12">
        <v>0</v>
      </c>
      <c r="I7381" s="12">
        <v>0</v>
      </c>
      <c r="J7381" s="11"/>
      <c r="K7381" s="12">
        <v>0</v>
      </c>
      <c r="L7381" s="10" t="str">
        <f t="shared" si="271"/>
        <v>LUP - VAE Webinar “Lupkynis▼ en la práctica clínica real: más allá de la respuesta renal” - Nefro</v>
      </c>
      <c r="M7381" s="10" t="str">
        <f t="shared" si="272"/>
        <v>oriballo@crm.otsuka-europe.com</v>
      </c>
      <c r="N7381" s="13">
        <v>46227.519849537035</v>
      </c>
      <c r="O7381" s="14" t="str">
        <f>HYPERLINK("https://otsuka-europe-crm.veevavault.com/ui/#object/email_activity__v/V8C00000004D276", "EN-002108608")</f>
        <v>EN-002108608</v>
      </c>
    </row>
    <row r="7382" spans="1:15" ht="64" x14ac:dyDescent="0.2">
      <c r="A7382" s="7" t="str">
        <f>HYPERLINK("https://otsuka-europe-crm.veevavault.com/ui/#object/account__v/V4TZ04ASG9ZSGZR", "MARIA AUXILIADORA MAZUECOS BLANCA")</f>
        <v>MARIA AUXILIADORA MAZUECOS BLANCA</v>
      </c>
      <c r="B7382" s="7" t="str">
        <f t="shared" si="269"/>
        <v>ES</v>
      </c>
      <c r="C7382" s="8" t="s">
        <v>39</v>
      </c>
      <c r="D7382" s="9" t="str">
        <f t="shared" si="270"/>
        <v>LUP - VAE Webinar “Lupkynis▼ en la práctica clínica real: más allá de la respuesta renal” - Nefro</v>
      </c>
      <c r="E7382" s="10" t="str">
        <f>HYPERLINK("https://otsuka-europe-crm.veevavault.com/ui/#object/sent_email__v/VBL00000003C072", "SE-001445084")</f>
        <v>SE-001445084</v>
      </c>
      <c r="F7382" s="11"/>
      <c r="G7382" s="12">
        <v>0</v>
      </c>
      <c r="H7382" s="12">
        <v>0</v>
      </c>
      <c r="I7382" s="12">
        <v>0</v>
      </c>
      <c r="J7382" s="11"/>
      <c r="K7382" s="12">
        <v>0</v>
      </c>
      <c r="L7382" s="10" t="str">
        <f t="shared" si="271"/>
        <v>LUP - VAE Webinar “Lupkynis▼ en la práctica clínica real: más allá de la respuesta renal” - Nefro</v>
      </c>
      <c r="M7382" s="10" t="str">
        <f t="shared" si="272"/>
        <v>oriballo@crm.otsuka-europe.com</v>
      </c>
      <c r="N7382" s="13">
        <v>46227.519849537035</v>
      </c>
      <c r="O7382" s="14" t="str">
        <f>HYPERLINK("https://otsuka-europe-crm.veevavault.com/ui/#object/email_activity__v/V8C00000004E105", "EN-002108577")</f>
        <v>EN-002108577</v>
      </c>
    </row>
    <row r="7383" spans="1:15" ht="16" x14ac:dyDescent="0.2">
      <c r="A7383" s="18" t="str">
        <f>HYPERLINK("https://otsuka-europe-crm.veevavault.com/ui/#object/account__v/V4TZ06G6O71TC7Y", "MARIA GABRIELA SANCHEZ MARQUEZ")</f>
        <v>MARIA GABRIELA SANCHEZ MARQUEZ</v>
      </c>
      <c r="B7383" s="18" t="str">
        <f t="shared" si="269"/>
        <v>ES</v>
      </c>
      <c r="C7383" s="20" t="s">
        <v>39</v>
      </c>
      <c r="D7383" s="21" t="str">
        <f t="shared" si="270"/>
        <v>LUP - VAE Webinar “Lupkynis▼ en la práctica clínica real: más allá de la respuesta renal” - Nefro</v>
      </c>
      <c r="E7383" s="22" t="str">
        <f>HYPERLINK("https://otsuka-europe-crm.veevavault.com/ui/#object/sent_email__v/VBL00000003C073", "SE-001445085")</f>
        <v>SE-001445085</v>
      </c>
      <c r="F7383" s="23"/>
      <c r="G7383" s="24">
        <v>0</v>
      </c>
      <c r="H7383" s="24">
        <v>0</v>
      </c>
      <c r="I7383" s="24">
        <v>0</v>
      </c>
      <c r="J7383" s="23"/>
      <c r="K7383" s="24">
        <v>0</v>
      </c>
      <c r="L7383" s="22" t="str">
        <f t="shared" si="271"/>
        <v>LUP - VAE Webinar “Lupkynis▼ en la práctica clínica real: más allá de la respuesta renal” - Nefro</v>
      </c>
      <c r="M7383" s="22" t="str">
        <f t="shared" si="272"/>
        <v>oriballo@crm.otsuka-europe.com</v>
      </c>
      <c r="N7383" s="25">
        <v>46227.519849537035</v>
      </c>
      <c r="O7383" s="14" t="str">
        <f>HYPERLINK("https://otsuka-europe-crm.veevavault.com/ui/#object/email_activity__v/V8C00000004D436", "EN-002108953")</f>
        <v>EN-002108953</v>
      </c>
    </row>
    <row r="7384" spans="1:15" ht="16" x14ac:dyDescent="0.2">
      <c r="A7384" s="19"/>
      <c r="B7384" s="19"/>
      <c r="C7384" s="19"/>
      <c r="D7384" s="19"/>
      <c r="E7384" s="19"/>
      <c r="F7384" s="19"/>
      <c r="G7384" s="19"/>
      <c r="H7384" s="19"/>
      <c r="I7384" s="19"/>
      <c r="J7384" s="19"/>
      <c r="K7384" s="19"/>
      <c r="L7384" s="19"/>
      <c r="M7384" s="19"/>
      <c r="N7384" s="19"/>
      <c r="O7384" s="14" t="str">
        <f>HYPERLINK("https://otsuka-europe-crm.veevavault.com/ui/#object/email_activity__v/V8C00000004E087", "EN-002108559")</f>
        <v>EN-002108559</v>
      </c>
    </row>
    <row r="7385" spans="1:15" ht="16" x14ac:dyDescent="0.2">
      <c r="A7385" s="18" t="str">
        <f>HYPERLINK("https://otsuka-europe-crm.veevavault.com/ui/#object/account__v/V4T00000001D089", "LIZET CARTAGENA LEDEZMA")</f>
        <v>LIZET CARTAGENA LEDEZMA</v>
      </c>
      <c r="B7385" s="18" t="str">
        <f>HYPERLINK("https://otsuka-europe-crm.veevavault.com/ui/#object/vcountry__v/VENZ000004SONF5", "ES")</f>
        <v>ES</v>
      </c>
      <c r="C7385" s="20" t="s">
        <v>39</v>
      </c>
      <c r="D738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85" s="22" t="str">
        <f>HYPERLINK("https://otsuka-europe-crm.veevavault.com/ui/#object/sent_email__v/VBL00000003C074", "SE-001445086")</f>
        <v>SE-001445086</v>
      </c>
      <c r="F7385" s="25">
        <v>46227.589120370372</v>
      </c>
      <c r="G7385" s="24">
        <v>1</v>
      </c>
      <c r="H7385" s="24">
        <v>3</v>
      </c>
      <c r="I7385" s="24">
        <v>0</v>
      </c>
      <c r="J7385" s="23"/>
      <c r="K7385" s="24">
        <v>0</v>
      </c>
      <c r="L738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85" s="22" t="str">
        <f>HYPERLINK("mailto:oriballo@crm.otsuka-europe.com", "oriballo@crm.otsuka-europe.com")</f>
        <v>oriballo@crm.otsuka-europe.com</v>
      </c>
      <c r="N7385" s="25">
        <v>46227.519849537035</v>
      </c>
      <c r="O7385" s="14" t="str">
        <f>HYPERLINK("https://otsuka-europe-crm.veevavault.com/ui/#object/email_activity__v/V8C00000004D306", "EN-002108640")</f>
        <v>EN-002108640</v>
      </c>
    </row>
    <row r="7386" spans="1:15" ht="16" x14ac:dyDescent="0.2">
      <c r="A7386" s="26"/>
      <c r="B7386" s="26"/>
      <c r="C7386" s="26"/>
      <c r="D7386" s="26"/>
      <c r="E7386" s="26"/>
      <c r="F7386" s="26"/>
      <c r="G7386" s="26"/>
      <c r="H7386" s="26"/>
      <c r="I7386" s="26"/>
      <c r="J7386" s="26"/>
      <c r="K7386" s="26"/>
      <c r="L7386" s="26"/>
      <c r="M7386" s="26"/>
      <c r="N7386" s="26"/>
      <c r="O7386" s="14" t="str">
        <f>HYPERLINK("https://otsuka-europe-crm.veevavault.com/ui/#object/email_activity__v/V8C00000004D373", "EN-002108804")</f>
        <v>EN-002108804</v>
      </c>
    </row>
    <row r="7387" spans="1:15" ht="16" x14ac:dyDescent="0.2">
      <c r="A7387" s="26"/>
      <c r="B7387" s="26"/>
      <c r="C7387" s="26"/>
      <c r="D7387" s="26"/>
      <c r="E7387" s="26"/>
      <c r="F7387" s="26"/>
      <c r="G7387" s="26"/>
      <c r="H7387" s="26"/>
      <c r="I7387" s="26"/>
      <c r="J7387" s="26"/>
      <c r="K7387" s="26"/>
      <c r="L7387" s="26"/>
      <c r="M7387" s="26"/>
      <c r="N7387" s="26"/>
      <c r="O7387" s="14" t="str">
        <f>HYPERLINK("https://otsuka-europe-crm.veevavault.com/ui/#object/email_activity__v/V8C00000004D378", "EN-002108813")</f>
        <v>EN-002108813</v>
      </c>
    </row>
    <row r="7388" spans="1:15" ht="16" x14ac:dyDescent="0.2">
      <c r="A7388" s="19"/>
      <c r="B7388" s="19"/>
      <c r="C7388" s="19"/>
      <c r="D7388" s="19"/>
      <c r="E7388" s="19"/>
      <c r="F7388" s="19"/>
      <c r="G7388" s="19"/>
      <c r="H7388" s="19"/>
      <c r="I7388" s="19"/>
      <c r="J7388" s="19"/>
      <c r="K7388" s="19"/>
      <c r="L7388" s="19"/>
      <c r="M7388" s="19"/>
      <c r="N7388" s="19"/>
      <c r="O7388" s="14" t="str">
        <f>HYPERLINK("https://otsuka-europe-crm.veevavault.com/ui/#object/email_activity__v/V8C00000004E217", "EN-002108811")</f>
        <v>EN-002108811</v>
      </c>
    </row>
    <row r="7389" spans="1:15" ht="64" x14ac:dyDescent="0.2">
      <c r="A7389" s="7" t="str">
        <f>HYPERLINK("https://otsuka-europe-crm.veevavault.com/ui/#object/account__v/V4TZ06G6O71T7FK", "MARIA ROCIO COLLANTES MATEOS")</f>
        <v>MARIA ROCIO COLLANTES MATEOS</v>
      </c>
      <c r="B7389" s="7" t="str">
        <f>HYPERLINK("https://otsuka-europe-crm.veevavault.com/ui/#object/vcountry__v/VENZ000004SONF5", "ES")</f>
        <v>ES</v>
      </c>
      <c r="C7389" s="8" t="s">
        <v>39</v>
      </c>
      <c r="D738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89" s="10" t="str">
        <f>HYPERLINK("https://otsuka-europe-crm.veevavault.com/ui/#object/sent_email__v/VBL00000003C075", "SE-001445087")</f>
        <v>SE-001445087</v>
      </c>
      <c r="F7389" s="11"/>
      <c r="G7389" s="12">
        <v>0</v>
      </c>
      <c r="H7389" s="12">
        <v>0</v>
      </c>
      <c r="I7389" s="12">
        <v>0</v>
      </c>
      <c r="J7389" s="11"/>
      <c r="K7389" s="12">
        <v>0</v>
      </c>
      <c r="L738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89" s="10" t="str">
        <f>HYPERLINK("mailto:oriballo@crm.otsuka-europe.com", "oriballo@crm.otsuka-europe.com")</f>
        <v>oriballo@crm.otsuka-europe.com</v>
      </c>
      <c r="N7389" s="13">
        <v>46227.519849537035</v>
      </c>
      <c r="O7389" s="14" t="str">
        <f>HYPERLINK("https://otsuka-europe-crm.veevavault.com/ui/#object/email_activity__v/V8C00000004D289", "EN-002108621")</f>
        <v>EN-002108621</v>
      </c>
    </row>
    <row r="7390" spans="1:15" ht="16" x14ac:dyDescent="0.2">
      <c r="A7390" s="18" t="str">
        <f>HYPERLINK("https://otsuka-europe-crm.veevavault.com/ui/#object/account__v/V4TZ04ASGBCISMC", "CARLOS FERNANDO NOVILLO SARMIENTO")</f>
        <v>CARLOS FERNANDO NOVILLO SARMIENTO</v>
      </c>
      <c r="B7390" s="18" t="str">
        <f>HYPERLINK("https://otsuka-europe-crm.veevavault.com/ui/#object/vcountry__v/VENZ000004SONF5", "ES")</f>
        <v>ES</v>
      </c>
      <c r="C7390" s="20" t="s">
        <v>39</v>
      </c>
      <c r="D739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90" s="22" t="str">
        <f>HYPERLINK("https://otsuka-europe-crm.veevavault.com/ui/#object/sent_email__v/VBL00000003C076", "SE-001445088")</f>
        <v>SE-001445088</v>
      </c>
      <c r="F7390" s="25">
        <v>46227.560162037036</v>
      </c>
      <c r="G7390" s="24">
        <v>1</v>
      </c>
      <c r="H7390" s="24">
        <v>2</v>
      </c>
      <c r="I7390" s="24">
        <v>0</v>
      </c>
      <c r="J7390" s="23"/>
      <c r="K7390" s="24">
        <v>0</v>
      </c>
      <c r="L739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90" s="22" t="str">
        <f>HYPERLINK("mailto:oriballo@crm.otsuka-europe.com", "oriballo@crm.otsuka-europe.com")</f>
        <v>oriballo@crm.otsuka-europe.com</v>
      </c>
      <c r="N7390" s="25">
        <v>46227.519849537035</v>
      </c>
      <c r="O7390" s="14" t="str">
        <f>HYPERLINK("https://otsuka-europe-crm.veevavault.com/ui/#object/email_activity__v/V8C00000004D305", "EN-002108639")</f>
        <v>EN-002108639</v>
      </c>
    </row>
    <row r="7391" spans="1:15" ht="16" x14ac:dyDescent="0.2">
      <c r="A7391" s="26"/>
      <c r="B7391" s="26"/>
      <c r="C7391" s="26"/>
      <c r="D7391" s="26"/>
      <c r="E7391" s="26"/>
      <c r="F7391" s="26"/>
      <c r="G7391" s="26"/>
      <c r="H7391" s="26"/>
      <c r="I7391" s="26"/>
      <c r="J7391" s="26"/>
      <c r="K7391" s="26"/>
      <c r="L7391" s="26"/>
      <c r="M7391" s="26"/>
      <c r="N7391" s="26"/>
      <c r="O7391" s="14" t="str">
        <f>HYPERLINK("https://otsuka-europe-crm.veevavault.com/ui/#object/email_activity__v/V8C00000004D365", "EN-002108778")</f>
        <v>EN-002108778</v>
      </c>
    </row>
    <row r="7392" spans="1:15" ht="16" x14ac:dyDescent="0.2">
      <c r="A7392" s="26"/>
      <c r="B7392" s="26"/>
      <c r="C7392" s="26"/>
      <c r="D7392" s="26"/>
      <c r="E7392" s="26"/>
      <c r="F7392" s="26"/>
      <c r="G7392" s="26"/>
      <c r="H7392" s="26"/>
      <c r="I7392" s="26"/>
      <c r="J7392" s="26"/>
      <c r="K7392" s="26"/>
      <c r="L7392" s="26"/>
      <c r="M7392" s="26"/>
      <c r="N7392" s="26"/>
      <c r="O7392" s="14" t="str">
        <f>HYPERLINK("https://otsuka-europe-crm.veevavault.com/ui/#object/email_activity__v/V8C00000004D490", "EN-002109061")</f>
        <v>EN-002109061</v>
      </c>
    </row>
    <row r="7393" spans="1:15" ht="16" x14ac:dyDescent="0.2">
      <c r="A7393" s="19"/>
      <c r="B7393" s="19"/>
      <c r="C7393" s="19"/>
      <c r="D7393" s="19"/>
      <c r="E7393" s="19"/>
      <c r="F7393" s="19"/>
      <c r="G7393" s="19"/>
      <c r="H7393" s="19"/>
      <c r="I7393" s="19"/>
      <c r="J7393" s="19"/>
      <c r="K7393" s="19"/>
      <c r="L7393" s="19"/>
      <c r="M7393" s="19"/>
      <c r="N7393" s="19"/>
      <c r="O7393" s="14" t="str">
        <f>HYPERLINK("https://otsuka-europe-crm.veevavault.com/ui/#object/email_activity__v/V8C00000004E195", "EN-002108777")</f>
        <v>EN-002108777</v>
      </c>
    </row>
    <row r="7394" spans="1:15" ht="64" x14ac:dyDescent="0.2">
      <c r="A7394" s="7" t="str">
        <f>HYPERLINK("https://otsuka-europe-crm.veevavault.com/ui/#object/account__v/V4TZ06G6O71UQQO", "BLANCA VILLACORTA LINAZA")</f>
        <v>BLANCA VILLACORTA LINAZA</v>
      </c>
      <c r="B7394" s="7" t="str">
        <f>HYPERLINK("https://otsuka-europe-crm.veevavault.com/ui/#object/vcountry__v/VENZ000004SONF5", "ES")</f>
        <v>ES</v>
      </c>
      <c r="C7394" s="8" t="s">
        <v>39</v>
      </c>
      <c r="D739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94" s="10" t="str">
        <f>HYPERLINK("https://otsuka-europe-crm.veevavault.com/ui/#object/sent_email__v/VBL00000003C077", "SE-001445089")</f>
        <v>SE-001445089</v>
      </c>
      <c r="F7394" s="11"/>
      <c r="G7394" s="12">
        <v>0</v>
      </c>
      <c r="H7394" s="12">
        <v>0</v>
      </c>
      <c r="I7394" s="12">
        <v>0</v>
      </c>
      <c r="J7394" s="11"/>
      <c r="K7394" s="12">
        <v>0</v>
      </c>
      <c r="L739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94" s="10" t="str">
        <f>HYPERLINK("mailto:oriballo@crm.otsuka-europe.com", "oriballo@crm.otsuka-europe.com")</f>
        <v>oriballo@crm.otsuka-europe.com</v>
      </c>
      <c r="N7394" s="13">
        <v>46227.519849537035</v>
      </c>
      <c r="O7394" s="14" t="str">
        <f>HYPERLINK("https://otsuka-europe-crm.veevavault.com/ui/#object/email_activity__v/V8C00000004D295", "EN-002108627")</f>
        <v>EN-002108627</v>
      </c>
    </row>
    <row r="7395" spans="1:15" ht="16" x14ac:dyDescent="0.2">
      <c r="A7395" s="18" t="str">
        <f>HYPERLINK("https://otsuka-europe-crm.veevavault.com/ui/#object/account__v/V4TZ06G6O71T77P", "MARIA TERESA MORA MORA")</f>
        <v>MARIA TERESA MORA MORA</v>
      </c>
      <c r="B7395" s="18" t="str">
        <f>HYPERLINK("https://otsuka-europe-crm.veevavault.com/ui/#object/vcountry__v/VENZ000004SONF5", "ES")</f>
        <v>ES</v>
      </c>
      <c r="C7395" s="20" t="s">
        <v>39</v>
      </c>
      <c r="D739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95" s="22" t="str">
        <f>HYPERLINK("https://otsuka-europe-crm.veevavault.com/ui/#object/sent_email__v/VBL00000003C078", "SE-001445090")</f>
        <v>SE-001445090</v>
      </c>
      <c r="F7395" s="25">
        <v>46227.641284722224</v>
      </c>
      <c r="G7395" s="24">
        <v>1</v>
      </c>
      <c r="H7395" s="24">
        <v>2</v>
      </c>
      <c r="I7395" s="24">
        <v>0</v>
      </c>
      <c r="J7395" s="23"/>
      <c r="K7395" s="24">
        <v>0</v>
      </c>
      <c r="L739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95" s="22" t="str">
        <f>HYPERLINK("mailto:oriballo@crm.otsuka-europe.com", "oriballo@crm.otsuka-europe.com")</f>
        <v>oriballo@crm.otsuka-europe.com</v>
      </c>
      <c r="N7395" s="25">
        <v>46227.519849537035</v>
      </c>
      <c r="O7395" s="14" t="str">
        <f>HYPERLINK("https://otsuka-europe-crm.veevavault.com/ui/#object/email_activity__v/V8C00000004D294", "EN-002108626")</f>
        <v>EN-002108626</v>
      </c>
    </row>
    <row r="7396" spans="1:15" ht="16" x14ac:dyDescent="0.2">
      <c r="A7396" s="26"/>
      <c r="B7396" s="26"/>
      <c r="C7396" s="26"/>
      <c r="D7396" s="26"/>
      <c r="E7396" s="26"/>
      <c r="F7396" s="26"/>
      <c r="G7396" s="26"/>
      <c r="H7396" s="26"/>
      <c r="I7396" s="26"/>
      <c r="J7396" s="26"/>
      <c r="K7396" s="26"/>
      <c r="L7396" s="26"/>
      <c r="M7396" s="26"/>
      <c r="N7396" s="26"/>
      <c r="O7396" s="14" t="str">
        <f>HYPERLINK("https://otsuka-europe-crm.veevavault.com/ui/#object/email_activity__v/V8C00000004D393", "EN-002108846")</f>
        <v>EN-002108846</v>
      </c>
    </row>
    <row r="7397" spans="1:15" ht="16" x14ac:dyDescent="0.2">
      <c r="A7397" s="19"/>
      <c r="B7397" s="19"/>
      <c r="C7397" s="19"/>
      <c r="D7397" s="19"/>
      <c r="E7397" s="19"/>
      <c r="F7397" s="19"/>
      <c r="G7397" s="19"/>
      <c r="H7397" s="19"/>
      <c r="I7397" s="19"/>
      <c r="J7397" s="19"/>
      <c r="K7397" s="19"/>
      <c r="L7397" s="19"/>
      <c r="M7397" s="19"/>
      <c r="N7397" s="19"/>
      <c r="O7397" s="14" t="str">
        <f>HYPERLINK("https://otsuka-europe-crm.veevavault.com/ui/#object/email_activity__v/V8C00000004D394", "EN-002108847")</f>
        <v>EN-002108847</v>
      </c>
    </row>
    <row r="7398" spans="1:15" ht="64" x14ac:dyDescent="0.2">
      <c r="A7398" s="7" t="str">
        <f>HYPERLINK("https://otsuka-europe-crm.veevavault.com/ui/#object/account__v/V4TZ06G6O71TCI0", "JULIA TORRADO MASERO")</f>
        <v>JULIA TORRADO MASERO</v>
      </c>
      <c r="B7398" s="7" t="str">
        <f>HYPERLINK("https://otsuka-europe-crm.veevavault.com/ui/#object/vcountry__v/VENZ000004SONF5", "ES")</f>
        <v>ES</v>
      </c>
      <c r="C7398" s="8" t="s">
        <v>39</v>
      </c>
      <c r="D739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98" s="10" t="str">
        <f>HYPERLINK("https://otsuka-europe-crm.veevavault.com/ui/#object/sent_email__v/VBL00000003C079", "SE-001445091")</f>
        <v>SE-001445091</v>
      </c>
      <c r="F7398" s="11"/>
      <c r="G7398" s="12">
        <v>0</v>
      </c>
      <c r="H7398" s="12">
        <v>0</v>
      </c>
      <c r="I7398" s="12">
        <v>0</v>
      </c>
      <c r="J7398" s="11"/>
      <c r="K7398" s="12">
        <v>0</v>
      </c>
      <c r="L739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98" s="10" t="str">
        <f>HYPERLINK("mailto:oriballo@crm.otsuka-europe.com", "oriballo@crm.otsuka-europe.com")</f>
        <v>oriballo@crm.otsuka-europe.com</v>
      </c>
      <c r="N7398" s="13">
        <v>46227.519849537035</v>
      </c>
      <c r="O7398" s="14" t="str">
        <f>HYPERLINK("https://otsuka-europe-crm.veevavault.com/ui/#object/email_activity__v/V8C00000004D280", "EN-002108612")</f>
        <v>EN-002108612</v>
      </c>
    </row>
    <row r="7399" spans="1:15" ht="64" x14ac:dyDescent="0.2">
      <c r="A7399" s="7" t="str">
        <f>HYPERLINK("https://otsuka-europe-crm.veevavault.com/ui/#object/account__v/V4TZ06G6O71T99K", "VANESSA ARROYO TALAVERA")</f>
        <v>VANESSA ARROYO TALAVERA</v>
      </c>
      <c r="B7399" s="7" t="str">
        <f>HYPERLINK("https://otsuka-europe-crm.veevavault.com/ui/#object/vcountry__v/VENZ000004SONF5", "ES")</f>
        <v>ES</v>
      </c>
      <c r="C7399" s="8" t="s">
        <v>39</v>
      </c>
      <c r="D739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399" s="10" t="str">
        <f>HYPERLINK("https://otsuka-europe-crm.veevavault.com/ui/#object/sent_email__v/VBL00000003C080", "SE-001445092")</f>
        <v>SE-001445092</v>
      </c>
      <c r="F7399" s="11"/>
      <c r="G7399" s="12">
        <v>0</v>
      </c>
      <c r="H7399" s="12">
        <v>0</v>
      </c>
      <c r="I7399" s="12">
        <v>0</v>
      </c>
      <c r="J7399" s="11"/>
      <c r="K7399" s="12">
        <v>0</v>
      </c>
      <c r="L739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399" s="10" t="str">
        <f>HYPERLINK("mailto:oriballo@crm.otsuka-europe.com", "oriballo@crm.otsuka-europe.com")</f>
        <v>oriballo@crm.otsuka-europe.com</v>
      </c>
      <c r="N7399" s="13">
        <v>46227.519849537035</v>
      </c>
      <c r="O7399" s="14" t="str">
        <f>HYPERLINK("https://otsuka-europe-crm.veevavault.com/ui/#object/email_activity__v/V8C00000004D284", "EN-002108616")</f>
        <v>EN-002108616</v>
      </c>
    </row>
    <row r="7400" spans="1:15" ht="16" x14ac:dyDescent="0.2">
      <c r="A7400" s="18" t="str">
        <f>HYPERLINK("https://otsuka-europe-crm.veevavault.com/ui/#object/account__v/V4TZ06G6O71T7LF", "CELIA LOPEZ APERADOR")</f>
        <v>CELIA LOPEZ APERADOR</v>
      </c>
      <c r="B7400" s="18" t="str">
        <f>HYPERLINK("https://otsuka-europe-crm.veevavault.com/ui/#object/vcountry__v/VENZ000004SONF5", "ES")</f>
        <v>ES</v>
      </c>
      <c r="C7400" s="20" t="s">
        <v>39</v>
      </c>
      <c r="D740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00" s="22" t="str">
        <f>HYPERLINK("https://otsuka-europe-crm.veevavault.com/ui/#object/sent_email__v/VBL00000003C081", "SE-001445093")</f>
        <v>SE-001445093</v>
      </c>
      <c r="F7400" s="23"/>
      <c r="G7400" s="24">
        <v>0</v>
      </c>
      <c r="H7400" s="24">
        <v>0</v>
      </c>
      <c r="I7400" s="24">
        <v>0</v>
      </c>
      <c r="J7400" s="23"/>
      <c r="K7400" s="24">
        <v>0</v>
      </c>
      <c r="L740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00" s="22" t="str">
        <f>HYPERLINK("mailto:oriballo@crm.otsuka-europe.com", "oriballo@crm.otsuka-europe.com")</f>
        <v>oriballo@crm.otsuka-europe.com</v>
      </c>
      <c r="N7400" s="25">
        <v>46227.519849537035</v>
      </c>
      <c r="O7400" s="14" t="str">
        <f>HYPERLINK("https://otsuka-europe-crm.veevavault.com/ui/#object/email_activity__v/V8C00000004D269", "EN-002108601")</f>
        <v>EN-002108601</v>
      </c>
    </row>
    <row r="7401" spans="1:15" ht="16" x14ac:dyDescent="0.2">
      <c r="A7401" s="19"/>
      <c r="B7401" s="19"/>
      <c r="C7401" s="19"/>
      <c r="D7401" s="19"/>
      <c r="E7401" s="19"/>
      <c r="F7401" s="19"/>
      <c r="G7401" s="19"/>
      <c r="H7401" s="19"/>
      <c r="I7401" s="19"/>
      <c r="J7401" s="19"/>
      <c r="K7401" s="19"/>
      <c r="L7401" s="19"/>
      <c r="M7401" s="19"/>
      <c r="N7401" s="19"/>
      <c r="O7401" s="14" t="str">
        <f>HYPERLINK("https://otsuka-europe-crm.veevavault.com/ui/#object/email_activity__v/V8C00000004E335", "EN-002109019")</f>
        <v>EN-002109019</v>
      </c>
    </row>
    <row r="7402" spans="1:15" ht="64" x14ac:dyDescent="0.2">
      <c r="A7402" s="7" t="str">
        <f>HYPERLINK("https://otsuka-europe-crm.veevavault.com/ui/#object/account__v/V4TZ025E832EAYS", "MARIA INMACULADA GOMEZ COUÑAGO")</f>
        <v>MARIA INMACULADA GOMEZ COUÑAGO</v>
      </c>
      <c r="B7402" s="7" t="str">
        <f>HYPERLINK("https://otsuka-europe-crm.veevavault.com/ui/#object/vcountry__v/VENZ000004SONF5", "ES")</f>
        <v>ES</v>
      </c>
      <c r="C7402" s="8" t="s">
        <v>39</v>
      </c>
      <c r="D7402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02" s="10" t="str">
        <f>HYPERLINK("https://otsuka-europe-crm.veevavault.com/ui/#object/sent_email__v/VBL00000003C082", "SE-001445094")</f>
        <v>SE-001445094</v>
      </c>
      <c r="F7402" s="11"/>
      <c r="G7402" s="12">
        <v>0</v>
      </c>
      <c r="H7402" s="12">
        <v>0</v>
      </c>
      <c r="I7402" s="12">
        <v>0</v>
      </c>
      <c r="J7402" s="11"/>
      <c r="K7402" s="12">
        <v>0</v>
      </c>
      <c r="L7402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02" s="10" t="str">
        <f>HYPERLINK("mailto:oriballo@crm.otsuka-europe.com", "oriballo@crm.otsuka-europe.com")</f>
        <v>oriballo@crm.otsuka-europe.com</v>
      </c>
      <c r="N7402" s="13">
        <v>46227.519849537035</v>
      </c>
      <c r="O7402" s="14" t="str">
        <f>HYPERLINK("https://otsuka-europe-crm.veevavault.com/ui/#object/email_activity__v/V8C00000004D282", "EN-002108614")</f>
        <v>EN-002108614</v>
      </c>
    </row>
    <row r="7403" spans="1:15" ht="16" x14ac:dyDescent="0.2">
      <c r="A7403" s="18" t="str">
        <f>HYPERLINK("https://otsuka-europe-crm.veevavault.com/ui/#object/account__v/V4TZ06G6O71T8U5", "LUIS ALBERTO VIGARA SANCHEZ")</f>
        <v>LUIS ALBERTO VIGARA SANCHEZ</v>
      </c>
      <c r="B7403" s="18" t="str">
        <f>HYPERLINK("https://otsuka-europe-crm.veevavault.com/ui/#object/vcountry__v/VENZ000004SONF5", "ES")</f>
        <v>ES</v>
      </c>
      <c r="C7403" s="20" t="s">
        <v>39</v>
      </c>
      <c r="D740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03" s="22" t="str">
        <f>HYPERLINK("https://otsuka-europe-crm.veevavault.com/ui/#object/sent_email__v/VBL00000003C083", "SE-001445095")</f>
        <v>SE-001445095</v>
      </c>
      <c r="F7403" s="23"/>
      <c r="G7403" s="24">
        <v>0</v>
      </c>
      <c r="H7403" s="24">
        <v>0</v>
      </c>
      <c r="I7403" s="24">
        <v>0</v>
      </c>
      <c r="J7403" s="23"/>
      <c r="K7403" s="24">
        <v>0</v>
      </c>
      <c r="L740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03" s="22" t="str">
        <f>HYPERLINK("mailto:oriballo@crm.otsuka-europe.com", "oriballo@crm.otsuka-europe.com")</f>
        <v>oriballo@crm.otsuka-europe.com</v>
      </c>
      <c r="N7403" s="25">
        <v>46227.519849537035</v>
      </c>
      <c r="O7403" s="14" t="str">
        <f>HYPERLINK("https://otsuka-europe-crm.veevavault.com/ui/#object/email_activity__v/V8C00000004D437", "EN-002108957")</f>
        <v>EN-002108957</v>
      </c>
    </row>
    <row r="7404" spans="1:15" ht="16" x14ac:dyDescent="0.2">
      <c r="A7404" s="19"/>
      <c r="B7404" s="19"/>
      <c r="C7404" s="19"/>
      <c r="D7404" s="19"/>
      <c r="E7404" s="19"/>
      <c r="F7404" s="19"/>
      <c r="G7404" s="19"/>
      <c r="H7404" s="19"/>
      <c r="I7404" s="19"/>
      <c r="J7404" s="19"/>
      <c r="K7404" s="19"/>
      <c r="L7404" s="19"/>
      <c r="M7404" s="19"/>
      <c r="N7404" s="19"/>
      <c r="O7404" s="14" t="str">
        <f>HYPERLINK("https://otsuka-europe-crm.veevavault.com/ui/#object/email_activity__v/V8C00000004E072", "EN-002108543")</f>
        <v>EN-002108543</v>
      </c>
    </row>
    <row r="7405" spans="1:15" ht="16" x14ac:dyDescent="0.2">
      <c r="A7405" s="18" t="str">
        <f>HYPERLINK("https://otsuka-europe-crm.veevavault.com/ui/#object/account__v/V4TZ06G6O71T7GV", "MARIO ESPINOSA HERNANDEZ")</f>
        <v>MARIO ESPINOSA HERNANDEZ</v>
      </c>
      <c r="B7405" s="18" t="str">
        <f>HYPERLINK("https://otsuka-europe-crm.veevavault.com/ui/#object/vcountry__v/VENZ000004SONF5", "ES")</f>
        <v>ES</v>
      </c>
      <c r="C7405" s="20" t="s">
        <v>39</v>
      </c>
      <c r="D740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05" s="22" t="str">
        <f>HYPERLINK("https://otsuka-europe-crm.veevavault.com/ui/#object/sent_email__v/VBL00000003C084", "SE-001445096")</f>
        <v>SE-001445096</v>
      </c>
      <c r="F7405" s="25">
        <v>46227.520231481481</v>
      </c>
      <c r="G7405" s="24">
        <v>1</v>
      </c>
      <c r="H7405" s="24">
        <v>2</v>
      </c>
      <c r="I7405" s="24">
        <v>0</v>
      </c>
      <c r="J7405" s="23"/>
      <c r="K7405" s="24">
        <v>0</v>
      </c>
      <c r="L740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05" s="22" t="str">
        <f>HYPERLINK("mailto:oriballo@crm.otsuka-europe.com", "oriballo@crm.otsuka-europe.com")</f>
        <v>oriballo@crm.otsuka-europe.com</v>
      </c>
      <c r="N7405" s="25">
        <v>46227.519849537035</v>
      </c>
      <c r="O7405" s="14" t="str">
        <f>HYPERLINK("https://otsuka-europe-crm.veevavault.com/ui/#object/email_activity__v/V8C00000004D328", "EN-002108668")</f>
        <v>EN-002108668</v>
      </c>
    </row>
    <row r="7406" spans="1:15" ht="16" x14ac:dyDescent="0.2">
      <c r="A7406" s="26"/>
      <c r="B7406" s="26"/>
      <c r="C7406" s="26"/>
      <c r="D7406" s="26"/>
      <c r="E7406" s="26"/>
      <c r="F7406" s="26"/>
      <c r="G7406" s="26"/>
      <c r="H7406" s="26"/>
      <c r="I7406" s="26"/>
      <c r="J7406" s="26"/>
      <c r="K7406" s="26"/>
      <c r="L7406" s="26"/>
      <c r="M7406" s="26"/>
      <c r="N7406" s="26"/>
      <c r="O7406" s="14" t="str">
        <f>HYPERLINK("https://otsuka-europe-crm.veevavault.com/ui/#object/email_activity__v/V8C00000004E090", "EN-002108562")</f>
        <v>EN-002108562</v>
      </c>
    </row>
    <row r="7407" spans="1:15" ht="16" x14ac:dyDescent="0.2">
      <c r="A7407" s="19"/>
      <c r="B7407" s="19"/>
      <c r="C7407" s="19"/>
      <c r="D7407" s="19"/>
      <c r="E7407" s="19"/>
      <c r="F7407" s="19"/>
      <c r="G7407" s="19"/>
      <c r="H7407" s="19"/>
      <c r="I7407" s="19"/>
      <c r="J7407" s="19"/>
      <c r="K7407" s="19"/>
      <c r="L7407" s="19"/>
      <c r="M7407" s="19"/>
      <c r="N7407" s="19"/>
      <c r="O7407" s="14" t="str">
        <f>HYPERLINK("https://otsuka-europe-crm.veevavault.com/ui/#object/email_activity__v/V8C00000004E122", "EN-002108664")</f>
        <v>EN-002108664</v>
      </c>
    </row>
    <row r="7408" spans="1:15" ht="16" x14ac:dyDescent="0.2">
      <c r="A7408" s="18" t="str">
        <f>HYPERLINK("https://otsuka-europe-crm.veevavault.com/ui/#object/account__v/V4TZ06G6O71T9DV", "VIRGINIA CABELLO CHAVES")</f>
        <v>VIRGINIA CABELLO CHAVES</v>
      </c>
      <c r="B7408" s="18" t="str">
        <f>HYPERLINK("https://otsuka-europe-crm.veevavault.com/ui/#object/vcountry__v/VENZ000004SONF5", "ES")</f>
        <v>ES</v>
      </c>
      <c r="C7408" s="20" t="s">
        <v>39</v>
      </c>
      <c r="D7408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08" s="22" t="str">
        <f>HYPERLINK("https://otsuka-europe-crm.veevavault.com/ui/#object/sent_email__v/VBL00000003C085", "SE-001445097")</f>
        <v>SE-001445097</v>
      </c>
      <c r="F7408" s="25">
        <v>46227.529988425929</v>
      </c>
      <c r="G7408" s="24">
        <v>1</v>
      </c>
      <c r="H7408" s="24">
        <v>1</v>
      </c>
      <c r="I7408" s="24">
        <v>0</v>
      </c>
      <c r="J7408" s="23"/>
      <c r="K7408" s="24">
        <v>0</v>
      </c>
      <c r="L7408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08" s="22" t="str">
        <f>HYPERLINK("mailto:oriballo@crm.otsuka-europe.com", "oriballo@crm.otsuka-europe.com")</f>
        <v>oriballo@crm.otsuka-europe.com</v>
      </c>
      <c r="N7408" s="25">
        <v>46227.519849537035</v>
      </c>
      <c r="O7408" s="14" t="str">
        <f>HYPERLINK("https://otsuka-europe-crm.veevavault.com/ui/#object/email_activity__v/V8C00000004D299", "EN-002108633")</f>
        <v>EN-002108633</v>
      </c>
    </row>
    <row r="7409" spans="1:15" ht="16" x14ac:dyDescent="0.2">
      <c r="A7409" s="19"/>
      <c r="B7409" s="19"/>
      <c r="C7409" s="19"/>
      <c r="D7409" s="19"/>
      <c r="E7409" s="19"/>
      <c r="F7409" s="19"/>
      <c r="G7409" s="19"/>
      <c r="H7409" s="19"/>
      <c r="I7409" s="19"/>
      <c r="J7409" s="19"/>
      <c r="K7409" s="19"/>
      <c r="L7409" s="19"/>
      <c r="M7409" s="19"/>
      <c r="N7409" s="19"/>
      <c r="O7409" s="14" t="str">
        <f>HYPERLINK("https://otsuka-europe-crm.veevavault.com/ui/#object/email_activity__v/V8C00000004E137", "EN-002108689")</f>
        <v>EN-002108689</v>
      </c>
    </row>
    <row r="7410" spans="1:15" ht="16" x14ac:dyDescent="0.2">
      <c r="A7410" s="18" t="str">
        <f>HYPERLINK("https://otsuka-europe-crm.veevavault.com/ui/#object/account__v/V4TZ04ASG9RI69S", "ALBA TEMPRADO COLLADO")</f>
        <v>ALBA TEMPRADO COLLADO</v>
      </c>
      <c r="B7410" s="18" t="str">
        <f>HYPERLINK("https://otsuka-europe-crm.veevavault.com/ui/#object/vcountry__v/VENZ000004SONF5", "ES")</f>
        <v>ES</v>
      </c>
      <c r="C7410" s="20" t="s">
        <v>39</v>
      </c>
      <c r="D741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10" s="22" t="str">
        <f>HYPERLINK("https://otsuka-europe-crm.veevavault.com/ui/#object/sent_email__v/VBL00000003C086", "SE-001445098")</f>
        <v>SE-001445098</v>
      </c>
      <c r="F7410" s="23"/>
      <c r="G7410" s="24">
        <v>0</v>
      </c>
      <c r="H7410" s="24">
        <v>0</v>
      </c>
      <c r="I7410" s="24">
        <v>0</v>
      </c>
      <c r="J7410" s="23"/>
      <c r="K7410" s="24">
        <v>0</v>
      </c>
      <c r="L741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10" s="22" t="str">
        <f>HYPERLINK("mailto:oriballo@crm.otsuka-europe.com", "oriballo@crm.otsuka-europe.com")</f>
        <v>oriballo@crm.otsuka-europe.com</v>
      </c>
      <c r="N7410" s="25">
        <v>46227.519849537035</v>
      </c>
      <c r="O7410" s="14" t="str">
        <f>HYPERLINK("https://otsuka-europe-crm.veevavault.com/ui/#object/email_activity__v/V8C00000004D293", "EN-002108625")</f>
        <v>EN-002108625</v>
      </c>
    </row>
    <row r="7411" spans="1:15" ht="16" x14ac:dyDescent="0.2">
      <c r="A7411" s="19"/>
      <c r="B7411" s="19"/>
      <c r="C7411" s="19"/>
      <c r="D7411" s="19"/>
      <c r="E7411" s="19"/>
      <c r="F7411" s="19"/>
      <c r="G7411" s="19"/>
      <c r="H7411" s="19"/>
      <c r="I7411" s="19"/>
      <c r="J7411" s="19"/>
      <c r="K7411" s="19"/>
      <c r="L7411" s="19"/>
      <c r="M7411" s="19"/>
      <c r="N7411" s="19"/>
      <c r="O7411" s="14" t="str">
        <f>HYPERLINK("https://otsuka-europe-crm.veevavault.com/ui/#object/email_activity__v/V8C00000004D528", "EN-002109141")</f>
        <v>EN-002109141</v>
      </c>
    </row>
    <row r="7412" spans="1:15" ht="16" x14ac:dyDescent="0.2">
      <c r="A7412" s="18" t="str">
        <f>HYPERLINK("https://otsuka-europe-crm.veevavault.com/ui/#object/account__v/V4TZ04ASGFHJW1Z", "AGUEDA LOPEZ DE LA TORRE MOLINA")</f>
        <v>AGUEDA LOPEZ DE LA TORRE MOLINA</v>
      </c>
      <c r="B7412" s="18" t="str">
        <f>HYPERLINK("https://otsuka-europe-crm.veevavault.com/ui/#object/vcountry__v/VENZ000004SONF5", "ES")</f>
        <v>ES</v>
      </c>
      <c r="C7412" s="20" t="s">
        <v>39</v>
      </c>
      <c r="D741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12" s="22" t="str">
        <f>HYPERLINK("https://otsuka-europe-crm.veevavault.com/ui/#object/sent_email__v/VBL00000003C087", "SE-001445099")</f>
        <v>SE-001445099</v>
      </c>
      <c r="F7412" s="23"/>
      <c r="G7412" s="24">
        <v>0</v>
      </c>
      <c r="H7412" s="24">
        <v>0</v>
      </c>
      <c r="I7412" s="24">
        <v>0</v>
      </c>
      <c r="J7412" s="23"/>
      <c r="K7412" s="24">
        <v>0</v>
      </c>
      <c r="L741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12" s="22" t="str">
        <f>HYPERLINK("mailto:oriballo@crm.otsuka-europe.com", "oriballo@crm.otsuka-europe.com")</f>
        <v>oriballo@crm.otsuka-europe.com</v>
      </c>
      <c r="N7412" s="25">
        <v>46227.519849537035</v>
      </c>
      <c r="O7412" s="14" t="str">
        <f>HYPERLINK("https://otsuka-europe-crm.veevavault.com/ui/#object/email_activity__v/V8C00000004E093", "EN-002108565")</f>
        <v>EN-002108565</v>
      </c>
    </row>
    <row r="7413" spans="1:15" ht="16" x14ac:dyDescent="0.2">
      <c r="A7413" s="19"/>
      <c r="B7413" s="19"/>
      <c r="C7413" s="19"/>
      <c r="D7413" s="19"/>
      <c r="E7413" s="19"/>
      <c r="F7413" s="19"/>
      <c r="G7413" s="19"/>
      <c r="H7413" s="19"/>
      <c r="I7413" s="19"/>
      <c r="J7413" s="19"/>
      <c r="K7413" s="19"/>
      <c r="L7413" s="19"/>
      <c r="M7413" s="19"/>
      <c r="N7413" s="19"/>
      <c r="O7413" s="14" t="str">
        <f>HYPERLINK("https://otsuka-europe-crm.veevavault.com/ui/#object/email_activity__v/V8C00000004E303", "EN-002108960")</f>
        <v>EN-002108960</v>
      </c>
    </row>
    <row r="7414" spans="1:15" ht="64" x14ac:dyDescent="0.2">
      <c r="A7414" s="7" t="str">
        <f>HYPERLINK("https://otsuka-europe-crm.veevavault.com/ui/#object/account__v/V4TZ06G6O71TC64", "ISIS CEREZO ARIAS")</f>
        <v>ISIS CEREZO ARIAS</v>
      </c>
      <c r="B7414" s="7" t="str">
        <f>HYPERLINK("https://otsuka-europe-crm.veevavault.com/ui/#object/vcountry__v/VENZ000004SONF5", "ES")</f>
        <v>ES</v>
      </c>
      <c r="C7414" s="8" t="s">
        <v>39</v>
      </c>
      <c r="D741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14" s="10" t="str">
        <f>HYPERLINK("https://otsuka-europe-crm.veevavault.com/ui/#object/sent_email__v/VBL00000003C088", "SE-001445100")</f>
        <v>SE-001445100</v>
      </c>
      <c r="F7414" s="11"/>
      <c r="G7414" s="12">
        <v>0</v>
      </c>
      <c r="H7414" s="12">
        <v>0</v>
      </c>
      <c r="I7414" s="12">
        <v>0</v>
      </c>
      <c r="J7414" s="11"/>
      <c r="K7414" s="12">
        <v>0</v>
      </c>
      <c r="L741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14" s="10" t="str">
        <f>HYPERLINK("mailto:oriballo@crm.otsuka-europe.com", "oriballo@crm.otsuka-europe.com")</f>
        <v>oriballo@crm.otsuka-europe.com</v>
      </c>
      <c r="N7414" s="13">
        <v>46227.519849537035</v>
      </c>
      <c r="O7414" s="14" t="str">
        <f>HYPERLINK("https://otsuka-europe-crm.veevavault.com/ui/#object/email_activity__v/V8C00000004D286", "EN-002108618")</f>
        <v>EN-002108618</v>
      </c>
    </row>
    <row r="7415" spans="1:15" ht="16" x14ac:dyDescent="0.2">
      <c r="A7415" s="18" t="str">
        <f>HYPERLINK("https://otsuka-europe-crm.veevavault.com/ui/#object/account__v/V4TZ06G6O71TK38", "CRISTINA ANDRADES GOMEZ")</f>
        <v>CRISTINA ANDRADES GOMEZ</v>
      </c>
      <c r="B7415" s="18" t="str">
        <f>HYPERLINK("https://otsuka-europe-crm.veevavault.com/ui/#object/vcountry__v/VENZ000004SONF5", "ES")</f>
        <v>ES</v>
      </c>
      <c r="C7415" s="20" t="s">
        <v>39</v>
      </c>
      <c r="D741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15" s="22" t="str">
        <f>HYPERLINK("https://otsuka-europe-crm.veevavault.com/ui/#object/sent_email__v/VBL00000003C089", "SE-001445101")</f>
        <v>SE-001445101</v>
      </c>
      <c r="F7415" s="25">
        <v>46227.52239583333</v>
      </c>
      <c r="G7415" s="24">
        <v>1</v>
      </c>
      <c r="H7415" s="24">
        <v>1</v>
      </c>
      <c r="I7415" s="24">
        <v>0</v>
      </c>
      <c r="J7415" s="23"/>
      <c r="K7415" s="24">
        <v>0</v>
      </c>
      <c r="L741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15" s="22" t="str">
        <f>HYPERLINK("mailto:oriballo@crm.otsuka-europe.com", "oriballo@crm.otsuka-europe.com")</f>
        <v>oriballo@crm.otsuka-europe.com</v>
      </c>
      <c r="N7415" s="25">
        <v>46227.519849537035</v>
      </c>
      <c r="O7415" s="14" t="str">
        <f>HYPERLINK("https://otsuka-europe-crm.veevavault.com/ui/#object/email_activity__v/V8C00000004E071", "EN-002108542")</f>
        <v>EN-002108542</v>
      </c>
    </row>
    <row r="7416" spans="1:15" ht="16" x14ac:dyDescent="0.2">
      <c r="A7416" s="19"/>
      <c r="B7416" s="19"/>
      <c r="C7416" s="19"/>
      <c r="D7416" s="19"/>
      <c r="E7416" s="19"/>
      <c r="F7416" s="19"/>
      <c r="G7416" s="19"/>
      <c r="H7416" s="19"/>
      <c r="I7416" s="19"/>
      <c r="J7416" s="19"/>
      <c r="K7416" s="19"/>
      <c r="L7416" s="19"/>
      <c r="M7416" s="19"/>
      <c r="N7416" s="19"/>
      <c r="O7416" s="14" t="str">
        <f>HYPERLINK("https://otsuka-europe-crm.veevavault.com/ui/#object/email_activity__v/V8C00000004E131", "EN-002108681")</f>
        <v>EN-002108681</v>
      </c>
    </row>
    <row r="7417" spans="1:15" ht="16" x14ac:dyDescent="0.2">
      <c r="A7417" s="18" t="str">
        <f>HYPERLINK("https://otsuka-europe-crm.veevavault.com/ui/#object/account__v/V4TZ06G6O71T805", "MELISSA CINTRA CABRERA")</f>
        <v>MELISSA CINTRA CABRERA</v>
      </c>
      <c r="B7417" s="18" t="str">
        <f>HYPERLINK("https://otsuka-europe-crm.veevavault.com/ui/#object/vcountry__v/VENZ000004SONF5", "ES")</f>
        <v>ES</v>
      </c>
      <c r="C7417" s="20" t="s">
        <v>39</v>
      </c>
      <c r="D741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17" s="22" t="str">
        <f>HYPERLINK("https://otsuka-europe-crm.veevavault.com/ui/#object/sent_email__v/VBL00000003C090", "SE-001445102")</f>
        <v>SE-001445102</v>
      </c>
      <c r="F7417" s="25">
        <v>46230.673067129632</v>
      </c>
      <c r="G7417" s="24">
        <v>1</v>
      </c>
      <c r="H7417" s="24">
        <v>5</v>
      </c>
      <c r="I7417" s="24">
        <v>0</v>
      </c>
      <c r="J7417" s="23"/>
      <c r="K7417" s="24">
        <v>0</v>
      </c>
      <c r="L741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17" s="22" t="str">
        <f>HYPERLINK("mailto:oriballo@crm.otsuka-europe.com", "oriballo@crm.otsuka-europe.com")</f>
        <v>oriballo@crm.otsuka-europe.com</v>
      </c>
      <c r="N7417" s="25">
        <v>46227.519849537035</v>
      </c>
      <c r="O7417" s="14" t="str">
        <f>HYPERLINK("https://otsuka-europe-crm.veevavault.com/ui/#object/email_activity__v/V8C00000004D298", "EN-002108632")</f>
        <v>EN-002108632</v>
      </c>
    </row>
    <row r="7418" spans="1:15" ht="16" x14ac:dyDescent="0.2">
      <c r="A7418" s="26"/>
      <c r="B7418" s="26"/>
      <c r="C7418" s="26"/>
      <c r="D7418" s="26"/>
      <c r="E7418" s="26"/>
      <c r="F7418" s="26"/>
      <c r="G7418" s="26"/>
      <c r="H7418" s="26"/>
      <c r="I7418" s="26"/>
      <c r="J7418" s="26"/>
      <c r="K7418" s="26"/>
      <c r="L7418" s="26"/>
      <c r="M7418" s="26"/>
      <c r="N7418" s="26"/>
      <c r="O7418" s="14" t="str">
        <f>HYPERLINK("https://otsuka-europe-crm.veevavault.com/ui/#object/email_activity__v/V8C00000004D513", "EN-002109116")</f>
        <v>EN-002109116</v>
      </c>
    </row>
    <row r="7419" spans="1:15" ht="16" x14ac:dyDescent="0.2">
      <c r="A7419" s="26"/>
      <c r="B7419" s="26"/>
      <c r="C7419" s="26"/>
      <c r="D7419" s="26"/>
      <c r="E7419" s="26"/>
      <c r="F7419" s="26"/>
      <c r="G7419" s="26"/>
      <c r="H7419" s="26"/>
      <c r="I7419" s="26"/>
      <c r="J7419" s="26"/>
      <c r="K7419" s="26"/>
      <c r="L7419" s="26"/>
      <c r="M7419" s="26"/>
      <c r="N7419" s="26"/>
      <c r="O7419" s="14" t="str">
        <f>HYPERLINK("https://otsuka-europe-crm.veevavault.com/ui/#object/email_activity__v/V8C00000004E138", "EN-002108690")</f>
        <v>EN-002108690</v>
      </c>
    </row>
    <row r="7420" spans="1:15" ht="16" x14ac:dyDescent="0.2">
      <c r="A7420" s="26"/>
      <c r="B7420" s="26"/>
      <c r="C7420" s="26"/>
      <c r="D7420" s="26"/>
      <c r="E7420" s="26"/>
      <c r="F7420" s="26"/>
      <c r="G7420" s="26"/>
      <c r="H7420" s="26"/>
      <c r="I7420" s="26"/>
      <c r="J7420" s="26"/>
      <c r="K7420" s="26"/>
      <c r="L7420" s="26"/>
      <c r="M7420" s="26"/>
      <c r="N7420" s="26"/>
      <c r="O7420" s="14" t="str">
        <f>HYPERLINK("https://otsuka-europe-crm.veevavault.com/ui/#object/email_activity__v/V8C00000004E139", "EN-002108691")</f>
        <v>EN-002108691</v>
      </c>
    </row>
    <row r="7421" spans="1:15" ht="16" x14ac:dyDescent="0.2">
      <c r="A7421" s="26"/>
      <c r="B7421" s="26"/>
      <c r="C7421" s="26"/>
      <c r="D7421" s="26"/>
      <c r="E7421" s="26"/>
      <c r="F7421" s="26"/>
      <c r="G7421" s="26"/>
      <c r="H7421" s="26"/>
      <c r="I7421" s="26"/>
      <c r="J7421" s="26"/>
      <c r="K7421" s="26"/>
      <c r="L7421" s="26"/>
      <c r="M7421" s="26"/>
      <c r="N7421" s="26"/>
      <c r="O7421" s="14" t="str">
        <f>HYPERLINK("https://otsuka-europe-crm.veevavault.com/ui/#object/email_activity__v/V8C00000004E140", "EN-002108692")</f>
        <v>EN-002108692</v>
      </c>
    </row>
    <row r="7422" spans="1:15" ht="16" x14ac:dyDescent="0.2">
      <c r="A7422" s="19"/>
      <c r="B7422" s="19"/>
      <c r="C7422" s="19"/>
      <c r="D7422" s="19"/>
      <c r="E7422" s="19"/>
      <c r="F7422" s="19"/>
      <c r="G7422" s="19"/>
      <c r="H7422" s="19"/>
      <c r="I7422" s="19"/>
      <c r="J7422" s="19"/>
      <c r="K7422" s="19"/>
      <c r="L7422" s="19"/>
      <c r="M7422" s="19"/>
      <c r="N7422" s="19"/>
      <c r="O7422" s="14" t="str">
        <f>HYPERLINK("https://otsuka-europe-crm.veevavault.com/ui/#object/email_activity__v/V8C00000004E261", "EN-002108891")</f>
        <v>EN-002108891</v>
      </c>
    </row>
    <row r="7423" spans="1:15" ht="16" x14ac:dyDescent="0.2">
      <c r="A7423" s="18" t="str">
        <f>HYPERLINK("https://otsuka-europe-crm.veevavault.com/ui/#object/account__v/V4TZ025E85NH5TU", "IGNACIO JESUS LORENZO FERRIS")</f>
        <v>IGNACIO JESUS LORENZO FERRIS</v>
      </c>
      <c r="B7423" s="18" t="str">
        <f>HYPERLINK("https://otsuka-europe-crm.veevavault.com/ui/#object/vcountry__v/VENZ000004SONF5", "ES")</f>
        <v>ES</v>
      </c>
      <c r="C7423" s="20" t="s">
        <v>39</v>
      </c>
      <c r="D742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23" s="22" t="str">
        <f>HYPERLINK("https://otsuka-europe-crm.veevavault.com/ui/#object/sent_email__v/VBL00000003C091", "SE-001445103")</f>
        <v>SE-001445103</v>
      </c>
      <c r="F7423" s="25">
        <v>46227.519942129627</v>
      </c>
      <c r="G7423" s="24">
        <v>1</v>
      </c>
      <c r="H7423" s="24">
        <v>1</v>
      </c>
      <c r="I7423" s="24">
        <v>0</v>
      </c>
      <c r="J7423" s="23"/>
      <c r="K7423" s="24">
        <v>0</v>
      </c>
      <c r="L742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23" s="22" t="str">
        <f>HYPERLINK("mailto:oriballo@crm.otsuka-europe.com", "oriballo@crm.otsuka-europe.com")</f>
        <v>oriballo@crm.otsuka-europe.com</v>
      </c>
      <c r="N7423" s="25">
        <v>46227.519849537035</v>
      </c>
      <c r="O7423" s="14" t="str">
        <f>HYPERLINK("https://otsuka-europe-crm.veevavault.com/ui/#object/email_activity__v/V8C00000004D271", "EN-002108603")</f>
        <v>EN-002108603</v>
      </c>
    </row>
    <row r="7424" spans="1:15" ht="16" x14ac:dyDescent="0.2">
      <c r="A7424" s="26"/>
      <c r="B7424" s="26"/>
      <c r="C7424" s="26"/>
      <c r="D7424" s="26"/>
      <c r="E7424" s="26"/>
      <c r="F7424" s="26"/>
      <c r="G7424" s="26"/>
      <c r="H7424" s="26"/>
      <c r="I7424" s="26"/>
      <c r="J7424" s="26"/>
      <c r="K7424" s="26"/>
      <c r="L7424" s="26"/>
      <c r="M7424" s="26"/>
      <c r="N7424" s="26"/>
      <c r="O7424" s="14" t="str">
        <f>HYPERLINK("https://otsuka-europe-crm.veevavault.com/ui/#object/email_activity__v/V8C00000004D322", "EN-002108661")</f>
        <v>EN-002108661</v>
      </c>
    </row>
    <row r="7425" spans="1:15" ht="16" x14ac:dyDescent="0.2">
      <c r="A7425" s="19"/>
      <c r="B7425" s="19"/>
      <c r="C7425" s="19"/>
      <c r="D7425" s="19"/>
      <c r="E7425" s="19"/>
      <c r="F7425" s="19"/>
      <c r="G7425" s="19"/>
      <c r="H7425" s="19"/>
      <c r="I7425" s="19"/>
      <c r="J7425" s="19"/>
      <c r="K7425" s="19"/>
      <c r="L7425" s="19"/>
      <c r="M7425" s="19"/>
      <c r="N7425" s="19"/>
      <c r="O7425" s="14" t="str">
        <f>HYPERLINK("https://otsuka-europe-crm.veevavault.com/ui/#object/email_activity__v/V8C00000004E332", "EN-002109014")</f>
        <v>EN-002109014</v>
      </c>
    </row>
    <row r="7426" spans="1:15" ht="16" x14ac:dyDescent="0.2">
      <c r="A7426" s="18" t="str">
        <f>HYPERLINK("https://otsuka-europe-crm.veevavault.com/ui/#object/account__v/V4TZ06G6O8S71VN", "JAVIER BURGOS MARTIN")</f>
        <v>JAVIER BURGOS MARTIN</v>
      </c>
      <c r="B7426" s="18" t="str">
        <f>HYPERLINK("https://otsuka-europe-crm.veevavault.com/ui/#object/vcountry__v/VENZ000004SONF5", "ES")</f>
        <v>ES</v>
      </c>
      <c r="C7426" s="20" t="s">
        <v>39</v>
      </c>
      <c r="D742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26" s="22" t="str">
        <f>HYPERLINK("https://otsuka-europe-crm.veevavault.com/ui/#object/sent_email__v/VBL00000003C092", "SE-001445104")</f>
        <v>SE-001445104</v>
      </c>
      <c r="F7426" s="25">
        <v>46227.519953703704</v>
      </c>
      <c r="G7426" s="24">
        <v>1</v>
      </c>
      <c r="H7426" s="24">
        <v>1</v>
      </c>
      <c r="I7426" s="24">
        <v>0</v>
      </c>
      <c r="J7426" s="23"/>
      <c r="K7426" s="24">
        <v>0</v>
      </c>
      <c r="L742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26" s="22" t="str">
        <f>HYPERLINK("mailto:oriballo@crm.otsuka-europe.com", "oriballo@crm.otsuka-europe.com")</f>
        <v>oriballo@crm.otsuka-europe.com</v>
      </c>
      <c r="N7426" s="25">
        <v>46227.519849537035</v>
      </c>
      <c r="O7426" s="14" t="str">
        <f>HYPERLINK("https://otsuka-europe-crm.veevavault.com/ui/#object/email_activity__v/V8C00000004D323", "EN-002108662")</f>
        <v>EN-002108662</v>
      </c>
    </row>
    <row r="7427" spans="1:15" ht="16" x14ac:dyDescent="0.2">
      <c r="A7427" s="26"/>
      <c r="B7427" s="26"/>
      <c r="C7427" s="26"/>
      <c r="D7427" s="26"/>
      <c r="E7427" s="26"/>
      <c r="F7427" s="26"/>
      <c r="G7427" s="26"/>
      <c r="H7427" s="26"/>
      <c r="I7427" s="26"/>
      <c r="J7427" s="26"/>
      <c r="K7427" s="26"/>
      <c r="L7427" s="26"/>
      <c r="M7427" s="26"/>
      <c r="N7427" s="26"/>
      <c r="O7427" s="14" t="str">
        <f>HYPERLINK("https://otsuka-europe-crm.veevavault.com/ui/#object/email_activity__v/V8C00000004D415", "EN-002108897")</f>
        <v>EN-002108897</v>
      </c>
    </row>
    <row r="7428" spans="1:15" ht="16" x14ac:dyDescent="0.2">
      <c r="A7428" s="19"/>
      <c r="B7428" s="19"/>
      <c r="C7428" s="19"/>
      <c r="D7428" s="19"/>
      <c r="E7428" s="19"/>
      <c r="F7428" s="19"/>
      <c r="G7428" s="19"/>
      <c r="H7428" s="19"/>
      <c r="I7428" s="19"/>
      <c r="J7428" s="19"/>
      <c r="K7428" s="19"/>
      <c r="L7428" s="19"/>
      <c r="M7428" s="19"/>
      <c r="N7428" s="19"/>
      <c r="O7428" s="14" t="str">
        <f>HYPERLINK("https://otsuka-europe-crm.veevavault.com/ui/#object/email_activity__v/V8C00000004E083", "EN-002108555")</f>
        <v>EN-002108555</v>
      </c>
    </row>
    <row r="7429" spans="1:15" ht="64" x14ac:dyDescent="0.2">
      <c r="A7429" s="7" t="str">
        <f>HYPERLINK("https://otsuka-europe-crm.veevavault.com/ui/#object/account__v/V4TZ06G6O71T8ET", "ELENA MORENO MENDEZ")</f>
        <v>ELENA MORENO MENDEZ</v>
      </c>
      <c r="B7429" s="7" t="str">
        <f>HYPERLINK("https://otsuka-europe-crm.veevavault.com/ui/#object/vcountry__v/VENZ000004SONF5", "ES")</f>
        <v>ES</v>
      </c>
      <c r="C7429" s="8" t="s">
        <v>39</v>
      </c>
      <c r="D742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29" s="10" t="str">
        <f>HYPERLINK("https://otsuka-europe-crm.veevavault.com/ui/#object/sent_email__v/VBL00000003C093", "SE-001445105")</f>
        <v>SE-001445105</v>
      </c>
      <c r="F7429" s="11"/>
      <c r="G7429" s="12">
        <v>0</v>
      </c>
      <c r="H7429" s="12">
        <v>0</v>
      </c>
      <c r="I7429" s="12">
        <v>0</v>
      </c>
      <c r="J7429" s="11"/>
      <c r="K7429" s="12">
        <v>0</v>
      </c>
      <c r="L742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29" s="10" t="str">
        <f>HYPERLINK("mailto:oriballo@crm.otsuka-europe.com", "oriballo@crm.otsuka-europe.com")</f>
        <v>oriballo@crm.otsuka-europe.com</v>
      </c>
      <c r="N7429" s="13">
        <v>46227.519849537035</v>
      </c>
      <c r="O7429" s="14" t="str">
        <f>HYPERLINK("https://otsuka-europe-crm.veevavault.com/ui/#object/email_activity__v/V8C00000004D304", "EN-002108638")</f>
        <v>EN-002108638</v>
      </c>
    </row>
    <row r="7430" spans="1:15" ht="64" x14ac:dyDescent="0.2">
      <c r="A7430" s="7" t="str">
        <f>HYPERLINK("https://otsuka-europe-crm.veevavault.com/ui/#object/account__v/V4TZ04ASG8N1VK9", "MARIA CARMEN ALARCON GARCELAN")</f>
        <v>MARIA CARMEN ALARCON GARCELAN</v>
      </c>
      <c r="B7430" s="7" t="str">
        <f>HYPERLINK("https://otsuka-europe-crm.veevavault.com/ui/#object/vcountry__v/VENZ000004SONF5", "ES")</f>
        <v>ES</v>
      </c>
      <c r="C7430" s="8" t="s">
        <v>39</v>
      </c>
      <c r="D743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0" s="10" t="str">
        <f>HYPERLINK("https://otsuka-europe-crm.veevavault.com/ui/#object/sent_email__v/VBL00000003C094", "SE-001445106")</f>
        <v>SE-001445106</v>
      </c>
      <c r="F7430" s="11"/>
      <c r="G7430" s="12">
        <v>0</v>
      </c>
      <c r="H7430" s="12">
        <v>0</v>
      </c>
      <c r="I7430" s="12">
        <v>0</v>
      </c>
      <c r="J7430" s="11"/>
      <c r="K7430" s="12">
        <v>0</v>
      </c>
      <c r="L743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0" s="10" t="str">
        <f>HYPERLINK("mailto:oriballo@crm.otsuka-europe.com", "oriballo@crm.otsuka-europe.com")</f>
        <v>oriballo@crm.otsuka-europe.com</v>
      </c>
      <c r="N7430" s="13">
        <v>46227.519849537035</v>
      </c>
      <c r="O7430" s="14" t="str">
        <f>HYPERLINK("https://otsuka-europe-crm.veevavault.com/ui/#object/email_activity__v/V8C00000004E085", "EN-002108557")</f>
        <v>EN-002108557</v>
      </c>
    </row>
    <row r="7431" spans="1:15" ht="64" x14ac:dyDescent="0.2">
      <c r="A7431" s="7" t="str">
        <f>HYPERLINK("https://otsuka-europe-crm.veevavault.com/ui/#object/account__v/V4TZ06G6O71TBRQ", "CESAR REMON RODRIGUEZ")</f>
        <v>CESAR REMON RODRIGUEZ</v>
      </c>
      <c r="B7431" s="7" t="str">
        <f>HYPERLINK("https://otsuka-europe-crm.veevavault.com/ui/#object/vcountry__v/VENZ000004SONF5", "ES")</f>
        <v>ES</v>
      </c>
      <c r="C7431" s="8" t="s">
        <v>39</v>
      </c>
      <c r="D743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1" s="10" t="str">
        <f>HYPERLINK("https://otsuka-europe-crm.veevavault.com/ui/#object/sent_email__v/VBL00000003C095", "SE-001445107")</f>
        <v>SE-001445107</v>
      </c>
      <c r="F7431" s="11"/>
      <c r="G7431" s="12">
        <v>0</v>
      </c>
      <c r="H7431" s="12">
        <v>0</v>
      </c>
      <c r="I7431" s="12">
        <v>0</v>
      </c>
      <c r="J7431" s="11"/>
      <c r="K7431" s="12">
        <v>0</v>
      </c>
      <c r="L743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1" s="10" t="str">
        <f>HYPERLINK("mailto:oriballo@crm.otsuka-europe.com", "oriballo@crm.otsuka-europe.com")</f>
        <v>oriballo@crm.otsuka-europe.com</v>
      </c>
      <c r="N7431" s="13">
        <v>46227.519571759258</v>
      </c>
      <c r="O7431" s="14" t="str">
        <f>HYPERLINK("https://otsuka-europe-crm.veevavault.com/ui/#object/email_activity__v/V8C00000004D249", "EN-002108532")</f>
        <v>EN-002108532</v>
      </c>
    </row>
    <row r="7432" spans="1:15" ht="16" x14ac:dyDescent="0.2">
      <c r="A7432" s="18" t="str">
        <f>HYPERLINK("https://otsuka-europe-crm.veevavault.com/ui/#object/account__v/V4TZ025E87FYSEB", "CARLOS EDUARDO MARTINEZ ALDANA")</f>
        <v>CARLOS EDUARDO MARTINEZ ALDANA</v>
      </c>
      <c r="B7432" s="18" t="str">
        <f>HYPERLINK("https://otsuka-europe-crm.veevavault.com/ui/#object/vcountry__v/VENZ000004SONF5", "ES")</f>
        <v>ES</v>
      </c>
      <c r="C7432" s="20" t="s">
        <v>39</v>
      </c>
      <c r="D743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2" s="22" t="str">
        <f>HYPERLINK("https://otsuka-europe-crm.veevavault.com/ui/#object/sent_email__v/VBL00000003C096", "SE-001445108")</f>
        <v>SE-001445108</v>
      </c>
      <c r="F7432" s="25">
        <v>46227.832453703704</v>
      </c>
      <c r="G7432" s="24">
        <v>1</v>
      </c>
      <c r="H7432" s="24">
        <v>1</v>
      </c>
      <c r="I7432" s="24">
        <v>0</v>
      </c>
      <c r="J7432" s="23"/>
      <c r="K7432" s="24">
        <v>0</v>
      </c>
      <c r="L743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2" s="22" t="str">
        <f>HYPERLINK("mailto:oriballo@crm.otsuka-europe.com", "oriballo@crm.otsuka-europe.com")</f>
        <v>oriballo@crm.otsuka-europe.com</v>
      </c>
      <c r="N7432" s="25">
        <v>46227.519849537035</v>
      </c>
      <c r="O7432" s="14" t="str">
        <f>HYPERLINK("https://otsuka-europe-crm.veevavault.com/ui/#object/email_activity__v/V8C00000004E097", "EN-002108569")</f>
        <v>EN-002108569</v>
      </c>
    </row>
    <row r="7433" spans="1:15" ht="16" x14ac:dyDescent="0.2">
      <c r="A7433" s="19"/>
      <c r="B7433" s="19"/>
      <c r="C7433" s="19"/>
      <c r="D7433" s="19"/>
      <c r="E7433" s="19"/>
      <c r="F7433" s="19"/>
      <c r="G7433" s="19"/>
      <c r="H7433" s="19"/>
      <c r="I7433" s="19"/>
      <c r="J7433" s="19"/>
      <c r="K7433" s="19"/>
      <c r="L7433" s="19"/>
      <c r="M7433" s="19"/>
      <c r="N7433" s="19"/>
      <c r="O7433" s="14" t="str">
        <f>HYPERLINK("https://otsuka-europe-crm.veevavault.com/ui/#object/email_activity__v/V8C00000004E284", "EN-002108927")</f>
        <v>EN-002108927</v>
      </c>
    </row>
    <row r="7434" spans="1:15" ht="16" x14ac:dyDescent="0.2">
      <c r="A7434" s="18" t="str">
        <f>HYPERLINK("https://otsuka-europe-crm.veevavault.com/ui/#object/account__v/V4TZ06G6O71T75A", "BALDOMERO ROMERO CANCHO")</f>
        <v>BALDOMERO ROMERO CANCHO</v>
      </c>
      <c r="B7434" s="18" t="str">
        <f>HYPERLINK("https://otsuka-europe-crm.veevavault.com/ui/#object/vcountry__v/VENZ000004SONF5", "ES")</f>
        <v>ES</v>
      </c>
      <c r="C7434" s="20" t="s">
        <v>39</v>
      </c>
      <c r="D743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4" s="22" t="str">
        <f>HYPERLINK("https://otsuka-europe-crm.veevavault.com/ui/#object/sent_email__v/VBL00000003C097", "SE-001445109")</f>
        <v>SE-001445109</v>
      </c>
      <c r="F7434" s="23"/>
      <c r="G7434" s="24">
        <v>0</v>
      </c>
      <c r="H7434" s="24">
        <v>0</v>
      </c>
      <c r="I7434" s="24">
        <v>0</v>
      </c>
      <c r="J7434" s="23"/>
      <c r="K7434" s="24">
        <v>0</v>
      </c>
      <c r="L743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4" s="22" t="str">
        <f>HYPERLINK("mailto:oriballo@crm.otsuka-europe.com", "oriballo@crm.otsuka-europe.com")</f>
        <v>oriballo@crm.otsuka-europe.com</v>
      </c>
      <c r="N7434" s="25">
        <v>46227.519571759258</v>
      </c>
      <c r="O7434" s="14" t="str">
        <f>HYPERLINK("https://otsuka-europe-crm.veevavault.com/ui/#object/email_activity__v/V8C00000004E066", "EN-002108537")</f>
        <v>EN-002108537</v>
      </c>
    </row>
    <row r="7435" spans="1:15" ht="16" x14ac:dyDescent="0.2">
      <c r="A7435" s="19"/>
      <c r="B7435" s="19"/>
      <c r="C7435" s="19"/>
      <c r="D7435" s="19"/>
      <c r="E7435" s="19"/>
      <c r="F7435" s="19"/>
      <c r="G7435" s="19"/>
      <c r="H7435" s="19"/>
      <c r="I7435" s="19"/>
      <c r="J7435" s="19"/>
      <c r="K7435" s="19"/>
      <c r="L7435" s="19"/>
      <c r="M7435" s="19"/>
      <c r="N7435" s="19"/>
      <c r="O7435" s="14" t="str">
        <f>HYPERLINK("https://otsuka-europe-crm.veevavault.com/ui/#object/email_activity__v/V8C00000004H124", "EN-002111168")</f>
        <v>EN-002111168</v>
      </c>
    </row>
    <row r="7436" spans="1:15" ht="64" x14ac:dyDescent="0.2">
      <c r="A7436" s="7" t="str">
        <f>HYPERLINK("https://otsuka-europe-crm.veevavault.com/ui/#object/account__v/V4TZ06G6O8S6TCB", "NURIA ARESTE FOSALBA")</f>
        <v>NURIA ARESTE FOSALBA</v>
      </c>
      <c r="B7436" s="7" t="str">
        <f>HYPERLINK("https://otsuka-europe-crm.veevavault.com/ui/#object/vcountry__v/VENZ000004SONF5", "ES")</f>
        <v>ES</v>
      </c>
      <c r="C7436" s="8" t="s">
        <v>39</v>
      </c>
      <c r="D7436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6" s="10" t="str">
        <f>HYPERLINK("https://otsuka-europe-crm.veevavault.com/ui/#object/sent_email__v/VBL00000003C098", "SE-001445110")</f>
        <v>SE-001445110</v>
      </c>
      <c r="F7436" s="11"/>
      <c r="G7436" s="12">
        <v>0</v>
      </c>
      <c r="H7436" s="12">
        <v>0</v>
      </c>
      <c r="I7436" s="12">
        <v>0</v>
      </c>
      <c r="J7436" s="11"/>
      <c r="K7436" s="12">
        <v>0</v>
      </c>
      <c r="L7436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6" s="10" t="str">
        <f>HYPERLINK("mailto:oriballo@crm.otsuka-europe.com", "oriballo@crm.otsuka-europe.com")</f>
        <v>oriballo@crm.otsuka-europe.com</v>
      </c>
      <c r="N7436" s="13">
        <v>46227.519571759258</v>
      </c>
      <c r="O7436" s="14" t="str">
        <f>HYPERLINK("https://otsuka-europe-crm.veevavault.com/ui/#object/email_activity__v/V8C00000004E067", "EN-002108538")</f>
        <v>EN-002108538</v>
      </c>
    </row>
    <row r="7437" spans="1:15" ht="16" x14ac:dyDescent="0.2">
      <c r="A7437" s="18" t="str">
        <f>HYPERLINK("https://otsuka-europe-crm.veevavault.com/ui/#object/account__v/V4TZ06G6O71T9GF", "PAULA BATALHA CAETANO")</f>
        <v>PAULA BATALHA CAETANO</v>
      </c>
      <c r="B7437" s="18" t="str">
        <f>HYPERLINK("https://otsuka-europe-crm.veevavault.com/ui/#object/vcountry__v/VENZ000004SONF5", "ES")</f>
        <v>ES</v>
      </c>
      <c r="C7437" s="20" t="s">
        <v>39</v>
      </c>
      <c r="D743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7" s="22" t="str">
        <f>HYPERLINK("https://otsuka-europe-crm.veevavault.com/ui/#object/sent_email__v/VBL00000003C099", "SE-001445111")</f>
        <v>SE-001445111</v>
      </c>
      <c r="F7437" s="23"/>
      <c r="G7437" s="24">
        <v>0</v>
      </c>
      <c r="H7437" s="24">
        <v>0</v>
      </c>
      <c r="I7437" s="24">
        <v>0</v>
      </c>
      <c r="J7437" s="23"/>
      <c r="K7437" s="24">
        <v>0</v>
      </c>
      <c r="L743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7" s="22" t="str">
        <f>HYPERLINK("mailto:oriballo@crm.otsuka-europe.com", "oriballo@crm.otsuka-europe.com")</f>
        <v>oriballo@crm.otsuka-europe.com</v>
      </c>
      <c r="N7437" s="25">
        <v>46227.519849537035</v>
      </c>
      <c r="O7437" s="14" t="str">
        <f>HYPERLINK("https://otsuka-europe-crm.veevavault.com/ui/#object/email_activity__v/V8C00000004D434", "EN-002108951")</f>
        <v>EN-002108951</v>
      </c>
    </row>
    <row r="7438" spans="1:15" ht="16" x14ac:dyDescent="0.2">
      <c r="A7438" s="19"/>
      <c r="B7438" s="19"/>
      <c r="C7438" s="19"/>
      <c r="D7438" s="19"/>
      <c r="E7438" s="19"/>
      <c r="F7438" s="19"/>
      <c r="G7438" s="19"/>
      <c r="H7438" s="19"/>
      <c r="I7438" s="19"/>
      <c r="J7438" s="19"/>
      <c r="K7438" s="19"/>
      <c r="L7438" s="19"/>
      <c r="M7438" s="19"/>
      <c r="N7438" s="19"/>
      <c r="O7438" s="14" t="str">
        <f>HYPERLINK("https://otsuka-europe-crm.veevavault.com/ui/#object/email_activity__v/V8C00000004E088", "EN-002108560")</f>
        <v>EN-002108560</v>
      </c>
    </row>
    <row r="7439" spans="1:15" ht="16" x14ac:dyDescent="0.2">
      <c r="A7439" s="18" t="str">
        <f>HYPERLINK("https://otsuka-europe-crm.veevavault.com/ui/#object/account__v/V4TZ06G6O71TCKU", "JUAN VILLA RINCON")</f>
        <v>JUAN VILLA RINCON</v>
      </c>
      <c r="B7439" s="18" t="str">
        <f>HYPERLINK("https://otsuka-europe-crm.veevavault.com/ui/#object/vcountry__v/VENZ000004SONF5", "ES")</f>
        <v>ES</v>
      </c>
      <c r="C7439" s="20" t="s">
        <v>39</v>
      </c>
      <c r="D743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39" s="22" t="str">
        <f>HYPERLINK("https://otsuka-europe-crm.veevavault.com/ui/#object/sent_email__v/VBL00000003C100", "SE-001445112")</f>
        <v>SE-001445112</v>
      </c>
      <c r="F7439" s="23"/>
      <c r="G7439" s="24">
        <v>0</v>
      </c>
      <c r="H7439" s="24">
        <v>0</v>
      </c>
      <c r="I7439" s="24">
        <v>0</v>
      </c>
      <c r="J7439" s="23"/>
      <c r="K7439" s="24">
        <v>0</v>
      </c>
      <c r="L743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39" s="22" t="str">
        <f>HYPERLINK("mailto:oriballo@crm.otsuka-europe.com", "oriballo@crm.otsuka-europe.com")</f>
        <v>oriballo@crm.otsuka-europe.com</v>
      </c>
      <c r="N7439" s="25">
        <v>46227.519849537035</v>
      </c>
      <c r="O7439" s="14" t="str">
        <f>HYPERLINK("https://otsuka-europe-crm.veevavault.com/ui/#object/email_activity__v/V8C00000004D262", "EN-002108593")</f>
        <v>EN-002108593</v>
      </c>
    </row>
    <row r="7440" spans="1:15" ht="16" x14ac:dyDescent="0.2">
      <c r="A7440" s="19"/>
      <c r="B7440" s="19"/>
      <c r="C7440" s="19"/>
      <c r="D7440" s="19"/>
      <c r="E7440" s="19"/>
      <c r="F7440" s="19"/>
      <c r="G7440" s="19"/>
      <c r="H7440" s="19"/>
      <c r="I7440" s="19"/>
      <c r="J7440" s="19"/>
      <c r="K7440" s="19"/>
      <c r="L7440" s="19"/>
      <c r="M7440" s="19"/>
      <c r="N7440" s="19"/>
      <c r="O7440" s="14" t="str">
        <f>HYPERLINK("https://otsuka-europe-crm.veevavault.com/ui/#object/email_activity__v/V8C00000004E132", "EN-002108682")</f>
        <v>EN-002108682</v>
      </c>
    </row>
    <row r="7441" spans="1:15" ht="16" x14ac:dyDescent="0.2">
      <c r="A7441" s="18" t="str">
        <f>HYPERLINK("https://otsuka-europe-crm.veevavault.com/ui/#object/account__v/V4TZ04ASGB04V46", "EVA VAZQUEZ LEO")</f>
        <v>EVA VAZQUEZ LEO</v>
      </c>
      <c r="B7441" s="18" t="str">
        <f>HYPERLINK("https://otsuka-europe-crm.veevavault.com/ui/#object/vcountry__v/VENZ000004SONF5", "ES")</f>
        <v>ES</v>
      </c>
      <c r="C7441" s="20" t="s">
        <v>39</v>
      </c>
      <c r="D7441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41" s="22" t="str">
        <f>HYPERLINK("https://otsuka-europe-crm.veevavault.com/ui/#object/sent_email__v/VBL00000003C101", "SE-001445113")</f>
        <v>SE-001445113</v>
      </c>
      <c r="F7441" s="25">
        <v>46227.519965277781</v>
      </c>
      <c r="G7441" s="24">
        <v>1</v>
      </c>
      <c r="H7441" s="24">
        <v>1</v>
      </c>
      <c r="I7441" s="24">
        <v>0</v>
      </c>
      <c r="J7441" s="23"/>
      <c r="K7441" s="24">
        <v>0</v>
      </c>
      <c r="L7441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41" s="22" t="str">
        <f>HYPERLINK("mailto:oriballo@crm.otsuka-europe.com", "oriballo@crm.otsuka-europe.com")</f>
        <v>oriballo@crm.otsuka-europe.com</v>
      </c>
      <c r="N7441" s="25">
        <v>46227.519849537035</v>
      </c>
      <c r="O7441" s="14" t="str">
        <f>HYPERLINK("https://otsuka-europe-crm.veevavault.com/ui/#object/email_activity__v/V8C00000004E073", "EN-002108544")</f>
        <v>EN-002108544</v>
      </c>
    </row>
    <row r="7442" spans="1:15" ht="16" x14ac:dyDescent="0.2">
      <c r="A7442" s="19"/>
      <c r="B7442" s="19"/>
      <c r="C7442" s="19"/>
      <c r="D7442" s="19"/>
      <c r="E7442" s="19"/>
      <c r="F7442" s="19"/>
      <c r="G7442" s="19"/>
      <c r="H7442" s="19"/>
      <c r="I7442" s="19"/>
      <c r="J7442" s="19"/>
      <c r="K7442" s="19"/>
      <c r="L7442" s="19"/>
      <c r="M7442" s="19"/>
      <c r="N7442" s="19"/>
      <c r="O7442" s="14" t="str">
        <f>HYPERLINK("https://otsuka-europe-crm.veevavault.com/ui/#object/email_activity__v/V8C00000004E114", "EN-002108598")</f>
        <v>EN-002108598</v>
      </c>
    </row>
    <row r="7443" spans="1:15" ht="64" x14ac:dyDescent="0.2">
      <c r="A7443" s="7" t="str">
        <f>HYPERLINK("https://otsuka-europe-crm.veevavault.com/ui/#object/account__v/V4TZ06G6O71T8U6", "FLORENTINO VILLANEGO FERNANDEZ")</f>
        <v>FLORENTINO VILLANEGO FERNANDEZ</v>
      </c>
      <c r="B7443" s="7" t="str">
        <f>HYPERLINK("https://otsuka-europe-crm.veevavault.com/ui/#object/vcountry__v/VENZ000004SONF5", "ES")</f>
        <v>ES</v>
      </c>
      <c r="C7443" s="8" t="s">
        <v>39</v>
      </c>
      <c r="D7443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43" s="10" t="str">
        <f>HYPERLINK("https://otsuka-europe-crm.veevavault.com/ui/#object/sent_email__v/VBL00000003C102", "SE-001445114")</f>
        <v>SE-001445114</v>
      </c>
      <c r="F7443" s="11"/>
      <c r="G7443" s="12">
        <v>0</v>
      </c>
      <c r="H7443" s="12">
        <v>0</v>
      </c>
      <c r="I7443" s="12">
        <v>0</v>
      </c>
      <c r="J7443" s="11"/>
      <c r="K7443" s="12">
        <v>0</v>
      </c>
      <c r="L7443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43" s="10" t="str">
        <f>HYPERLINK("mailto:oriballo@crm.otsuka-europe.com", "oriballo@crm.otsuka-europe.com")</f>
        <v>oriballo@crm.otsuka-europe.com</v>
      </c>
      <c r="N7443" s="13">
        <v>46227.519849537035</v>
      </c>
      <c r="O7443" s="14" t="str">
        <f>HYPERLINK("https://otsuka-europe-crm.veevavault.com/ui/#object/email_activity__v/V8C00000004D279", "EN-002108611")</f>
        <v>EN-002108611</v>
      </c>
    </row>
    <row r="7444" spans="1:15" ht="16" x14ac:dyDescent="0.2">
      <c r="A7444" s="18" t="str">
        <f>HYPERLINK("https://otsuka-europe-crm.veevavault.com/ui/#object/account__v/V4TZ025E85GDT32", "PETRA MARIA GONZALEZ CASTILLO")</f>
        <v>PETRA MARIA GONZALEZ CASTILLO</v>
      </c>
      <c r="B7444" s="18" t="str">
        <f>HYPERLINK("https://otsuka-europe-crm.veevavault.com/ui/#object/vcountry__v/VENZ000004SONF5", "ES")</f>
        <v>ES</v>
      </c>
      <c r="C7444" s="20" t="s">
        <v>39</v>
      </c>
      <c r="D7444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44" s="22" t="str">
        <f>HYPERLINK("https://otsuka-europe-crm.veevavault.com/ui/#object/sent_email__v/VBL00000003C103", "SE-001445115")</f>
        <v>SE-001445115</v>
      </c>
      <c r="F7444" s="23"/>
      <c r="G7444" s="24">
        <v>0</v>
      </c>
      <c r="H7444" s="24">
        <v>0</v>
      </c>
      <c r="I7444" s="24">
        <v>0</v>
      </c>
      <c r="J7444" s="23"/>
      <c r="K7444" s="24">
        <v>0</v>
      </c>
      <c r="L7444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44" s="22" t="str">
        <f>HYPERLINK("mailto:oriballo@crm.otsuka-europe.com", "oriballo@crm.otsuka-europe.com")</f>
        <v>oriballo@crm.otsuka-europe.com</v>
      </c>
      <c r="N7444" s="25">
        <v>46227.519849537035</v>
      </c>
      <c r="O7444" s="14" t="str">
        <f>HYPERLINK("https://otsuka-europe-crm.veevavault.com/ui/#object/email_activity__v/V8C00000004D258", "EN-002108589")</f>
        <v>EN-002108589</v>
      </c>
    </row>
    <row r="7445" spans="1:15" ht="16" x14ac:dyDescent="0.2">
      <c r="A7445" s="19"/>
      <c r="B7445" s="19"/>
      <c r="C7445" s="19"/>
      <c r="D7445" s="19"/>
      <c r="E7445" s="19"/>
      <c r="F7445" s="19"/>
      <c r="G7445" s="19"/>
      <c r="H7445" s="19"/>
      <c r="I7445" s="19"/>
      <c r="J7445" s="19"/>
      <c r="K7445" s="19"/>
      <c r="L7445" s="19"/>
      <c r="M7445" s="19"/>
      <c r="N7445" s="19"/>
      <c r="O7445" s="14" t="str">
        <f>HYPERLINK("https://otsuka-europe-crm.veevavault.com/ui/#object/email_activity__v/V8C00000004E314", "EN-002108981")</f>
        <v>EN-002108981</v>
      </c>
    </row>
    <row r="7446" spans="1:15" ht="16" x14ac:dyDescent="0.2">
      <c r="A7446" s="18" t="str">
        <f>HYPERLINK("https://otsuka-europe-crm.veevavault.com/ui/#object/account__v/V4TZ06G6O71TAKI", "FATIMA CAZALLA CADENAS")</f>
        <v>FATIMA CAZALLA CADENAS</v>
      </c>
      <c r="B7446" s="18" t="str">
        <f>HYPERLINK("https://otsuka-europe-crm.veevavault.com/ui/#object/vcountry__v/VENZ000004SONF5", "ES")</f>
        <v>ES</v>
      </c>
      <c r="C7446" s="20" t="s">
        <v>39</v>
      </c>
      <c r="D7446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46" s="22" t="str">
        <f>HYPERLINK("https://otsuka-europe-crm.veevavault.com/ui/#object/sent_email__v/VBL00000003C104", "SE-001445116")</f>
        <v>SE-001445116</v>
      </c>
      <c r="F7446" s="25">
        <v>46228.541747685187</v>
      </c>
      <c r="G7446" s="24">
        <v>1</v>
      </c>
      <c r="H7446" s="24">
        <v>1</v>
      </c>
      <c r="I7446" s="24">
        <v>1</v>
      </c>
      <c r="J7446" s="25">
        <v>46228.542129629626</v>
      </c>
      <c r="K7446" s="24">
        <v>1</v>
      </c>
      <c r="L7446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46" s="22" t="str">
        <f>HYPERLINK("mailto:oriballo@crm.otsuka-europe.com", "oriballo@crm.otsuka-europe.com")</f>
        <v>oriballo@crm.otsuka-europe.com</v>
      </c>
      <c r="N7446" s="25">
        <v>46227.519907407404</v>
      </c>
      <c r="O7446" s="14" t="str">
        <f>HYPERLINK("https://otsuka-europe-crm.veevavault.com/ui/#object/email_activity__v/V8C00000004D315", "EN-002108649")</f>
        <v>EN-002108649</v>
      </c>
    </row>
    <row r="7447" spans="1:15" ht="16" x14ac:dyDescent="0.2">
      <c r="A7447" s="26"/>
      <c r="B7447" s="26"/>
      <c r="C7447" s="26"/>
      <c r="D7447" s="26"/>
      <c r="E7447" s="26"/>
      <c r="F7447" s="26"/>
      <c r="G7447" s="26"/>
      <c r="H7447" s="26"/>
      <c r="I7447" s="26"/>
      <c r="J7447" s="26"/>
      <c r="K7447" s="26"/>
      <c r="L7447" s="26"/>
      <c r="M7447" s="26"/>
      <c r="N7447" s="26"/>
      <c r="O7447" s="14" t="str">
        <f>HYPERLINK("https://otsuka-europe-crm.veevavault.com/ui/#object/email_activity__v/V8C00000004D450", "EN-002108984")</f>
        <v>EN-002108984</v>
      </c>
    </row>
    <row r="7448" spans="1:15" ht="16" x14ac:dyDescent="0.2">
      <c r="A7448" s="19"/>
      <c r="B7448" s="19"/>
      <c r="C7448" s="19"/>
      <c r="D7448" s="19"/>
      <c r="E7448" s="19"/>
      <c r="F7448" s="19"/>
      <c r="G7448" s="19"/>
      <c r="H7448" s="19"/>
      <c r="I7448" s="19"/>
      <c r="J7448" s="19"/>
      <c r="K7448" s="19"/>
      <c r="L7448" s="19"/>
      <c r="M7448" s="19"/>
      <c r="N7448" s="19"/>
      <c r="O7448" s="14" t="str">
        <f>HYPERLINK("https://otsuka-europe-crm.veevavault.com/ui/#object/email_activity__v/V8C00000004E316", "EN-002108983")</f>
        <v>EN-002108983</v>
      </c>
    </row>
    <row r="7449" spans="1:15" ht="64" x14ac:dyDescent="0.2">
      <c r="A7449" s="7" t="str">
        <f>HYPERLINK("https://otsuka-europe-crm.veevavault.com/ui/#object/account__v/V4TZ04ASGE7OCII", "RODRIGO ELIU GOMEZ JIMENEZ")</f>
        <v>RODRIGO ELIU GOMEZ JIMENEZ</v>
      </c>
      <c r="B7449" s="7" t="str">
        <f>HYPERLINK("https://otsuka-europe-crm.veevavault.com/ui/#object/vcountry__v/VENZ000004SONF5", "ES")</f>
        <v>ES</v>
      </c>
      <c r="C7449" s="8" t="s">
        <v>39</v>
      </c>
      <c r="D744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49" s="10" t="str">
        <f>HYPERLINK("https://otsuka-europe-crm.veevavault.com/ui/#object/sent_email__v/VBL00000003C105", "SE-001445117")</f>
        <v>SE-001445117</v>
      </c>
      <c r="F7449" s="11"/>
      <c r="G7449" s="12">
        <v>0</v>
      </c>
      <c r="H7449" s="12">
        <v>0</v>
      </c>
      <c r="I7449" s="12">
        <v>0</v>
      </c>
      <c r="J7449" s="11"/>
      <c r="K7449" s="12">
        <v>0</v>
      </c>
      <c r="L744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49" s="10" t="str">
        <f>HYPERLINK("mailto:oriballo@crm.otsuka-europe.com", "oriballo@crm.otsuka-europe.com")</f>
        <v>oriballo@crm.otsuka-europe.com</v>
      </c>
      <c r="N7449" s="13">
        <v>46227.519849537035</v>
      </c>
      <c r="O7449" s="14" t="str">
        <f>HYPERLINK("https://otsuka-europe-crm.veevavault.com/ui/#object/email_activity__v/V8C00000004D266", "EN-002108597")</f>
        <v>EN-002108597</v>
      </c>
    </row>
    <row r="7450" spans="1:15" ht="16" x14ac:dyDescent="0.2">
      <c r="A7450" s="18" t="str">
        <f>HYPERLINK("https://otsuka-europe-crm.veevavault.com/ui/#object/account__v/V4TZ06G6O71TANI", "ALFONSO LARA RUIZ")</f>
        <v>ALFONSO LARA RUIZ</v>
      </c>
      <c r="B7450" s="18" t="str">
        <f>HYPERLINK("https://otsuka-europe-crm.veevavault.com/ui/#object/vcountry__v/VENZ000004SONF5", "ES")</f>
        <v>ES</v>
      </c>
      <c r="C7450" s="20" t="s">
        <v>39</v>
      </c>
      <c r="D7450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50" s="22" t="str">
        <f>HYPERLINK("https://otsuka-europe-crm.veevavault.com/ui/#object/sent_email__v/VBL00000003C106", "SE-001445118")</f>
        <v>SE-001445118</v>
      </c>
      <c r="F7450" s="25">
        <v>46234.753888888888</v>
      </c>
      <c r="G7450" s="24">
        <v>1</v>
      </c>
      <c r="H7450" s="24">
        <v>2</v>
      </c>
      <c r="I7450" s="24">
        <v>0</v>
      </c>
      <c r="J7450" s="23"/>
      <c r="K7450" s="24">
        <v>0</v>
      </c>
      <c r="L7450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50" s="22" t="str">
        <f>HYPERLINK("mailto:oriballo@crm.otsuka-europe.com", "oriballo@crm.otsuka-europe.com")</f>
        <v>oriballo@crm.otsuka-europe.com</v>
      </c>
      <c r="N7450" s="25">
        <v>46227.519849537035</v>
      </c>
      <c r="O7450" s="14" t="str">
        <f>HYPERLINK("https://otsuka-europe-crm.veevavault.com/ui/#object/email_activity__v/V8C00000004D265", "EN-002108596")</f>
        <v>EN-002108596</v>
      </c>
    </row>
    <row r="7451" spans="1:15" ht="16" x14ac:dyDescent="0.2">
      <c r="A7451" s="26"/>
      <c r="B7451" s="26"/>
      <c r="C7451" s="26"/>
      <c r="D7451" s="26"/>
      <c r="E7451" s="26"/>
      <c r="F7451" s="26"/>
      <c r="G7451" s="26"/>
      <c r="H7451" s="26"/>
      <c r="I7451" s="26"/>
      <c r="J7451" s="26"/>
      <c r="K7451" s="26"/>
      <c r="L7451" s="26"/>
      <c r="M7451" s="26"/>
      <c r="N7451" s="26"/>
      <c r="O7451" s="14" t="str">
        <f>HYPERLINK("https://otsuka-europe-crm.veevavault.com/ui/#object/email_activity__v/V8C00000004D368", "EN-002108789")</f>
        <v>EN-002108789</v>
      </c>
    </row>
    <row r="7452" spans="1:15" ht="16" x14ac:dyDescent="0.2">
      <c r="A7452" s="19"/>
      <c r="B7452" s="19"/>
      <c r="C7452" s="19"/>
      <c r="D7452" s="19"/>
      <c r="E7452" s="19"/>
      <c r="F7452" s="19"/>
      <c r="G7452" s="19"/>
      <c r="H7452" s="19"/>
      <c r="I7452" s="19"/>
      <c r="J7452" s="19"/>
      <c r="K7452" s="19"/>
      <c r="L7452" s="19"/>
      <c r="M7452" s="19"/>
      <c r="N7452" s="19"/>
      <c r="O7452" s="14" t="str">
        <f>HYPERLINK("https://otsuka-europe-crm.veevavault.com/ui/#object/email_activity__v/V8C00000004F461", "EN-002110868")</f>
        <v>EN-002110868</v>
      </c>
    </row>
    <row r="7453" spans="1:15" ht="16" x14ac:dyDescent="0.2">
      <c r="A7453" s="18" t="str">
        <f>HYPERLINK("https://otsuka-europe-crm.veevavault.com/ui/#object/account__v/V4TZ06G6O71TBGN", "RAQUEL OJEDA LOPEZ")</f>
        <v>RAQUEL OJEDA LOPEZ</v>
      </c>
      <c r="B7453" s="18" t="str">
        <f>HYPERLINK("https://otsuka-europe-crm.veevavault.com/ui/#object/vcountry__v/VENZ000004SONF5", "ES")</f>
        <v>ES</v>
      </c>
      <c r="C7453" s="20" t="s">
        <v>39</v>
      </c>
      <c r="D7453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53" s="22" t="str">
        <f>HYPERLINK("https://otsuka-europe-crm.veevavault.com/ui/#object/sent_email__v/VBL00000003C107", "SE-001445119")</f>
        <v>SE-001445119</v>
      </c>
      <c r="F7453" s="25">
        <v>46227.640150462961</v>
      </c>
      <c r="G7453" s="24">
        <v>1</v>
      </c>
      <c r="H7453" s="24">
        <v>1</v>
      </c>
      <c r="I7453" s="24">
        <v>0</v>
      </c>
      <c r="J7453" s="23"/>
      <c r="K7453" s="24">
        <v>0</v>
      </c>
      <c r="L7453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53" s="22" t="str">
        <f>HYPERLINK("mailto:oriballo@crm.otsuka-europe.com", "oriballo@crm.otsuka-europe.com")</f>
        <v>oriballo@crm.otsuka-europe.com</v>
      </c>
      <c r="N7453" s="25">
        <v>46227.519849537035</v>
      </c>
      <c r="O7453" s="14" t="str">
        <f>HYPERLINK("https://otsuka-europe-crm.veevavault.com/ui/#object/email_activity__v/V8C00000004D302", "EN-002108636")</f>
        <v>EN-002108636</v>
      </c>
    </row>
    <row r="7454" spans="1:15" ht="16" x14ac:dyDescent="0.2">
      <c r="A7454" s="19"/>
      <c r="B7454" s="19"/>
      <c r="C7454" s="19"/>
      <c r="D7454" s="19"/>
      <c r="E7454" s="19"/>
      <c r="F7454" s="19"/>
      <c r="G7454" s="19"/>
      <c r="H7454" s="19"/>
      <c r="I7454" s="19"/>
      <c r="J7454" s="19"/>
      <c r="K7454" s="19"/>
      <c r="L7454" s="19"/>
      <c r="M7454" s="19"/>
      <c r="N7454" s="19"/>
      <c r="O7454" s="14" t="str">
        <f>HYPERLINK("https://otsuka-europe-crm.veevavault.com/ui/#object/email_activity__v/V8C00000004E235", "EN-002108844")</f>
        <v>EN-002108844</v>
      </c>
    </row>
    <row r="7455" spans="1:15" ht="16" x14ac:dyDescent="0.2">
      <c r="A7455" s="18" t="str">
        <f>HYPERLINK("https://otsuka-europe-crm.veevavault.com/ui/#object/account__v/V4TZ04ASG7A7QXA", "ALICIA LUNA AGUILERA")</f>
        <v>ALICIA LUNA AGUILERA</v>
      </c>
      <c r="B7455" s="18" t="str">
        <f>HYPERLINK("https://otsuka-europe-crm.veevavault.com/ui/#object/vcountry__v/VENZ000004SONF5", "ES")</f>
        <v>ES</v>
      </c>
      <c r="C7455" s="20" t="s">
        <v>39</v>
      </c>
      <c r="D745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55" s="22" t="str">
        <f>HYPERLINK("https://otsuka-europe-crm.veevavault.com/ui/#object/sent_email__v/VBL00000003C108", "SE-001445120")</f>
        <v>SE-001445120</v>
      </c>
      <c r="F7455" s="25">
        <v>46227.61519675926</v>
      </c>
      <c r="G7455" s="24">
        <v>1</v>
      </c>
      <c r="H7455" s="24">
        <v>1</v>
      </c>
      <c r="I7455" s="24">
        <v>0</v>
      </c>
      <c r="J7455" s="23"/>
      <c r="K7455" s="24">
        <v>0</v>
      </c>
      <c r="L745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55" s="22" t="str">
        <f>HYPERLINK("mailto:oriballo@crm.otsuka-europe.com", "oriballo@crm.otsuka-europe.com")</f>
        <v>oriballo@crm.otsuka-europe.com</v>
      </c>
      <c r="N7455" s="25">
        <v>46227.519849537035</v>
      </c>
      <c r="O7455" s="14" t="str">
        <f>HYPERLINK("https://otsuka-europe-crm.veevavault.com/ui/#object/email_activity__v/V8C00000004D301", "EN-002108635")</f>
        <v>EN-002108635</v>
      </c>
    </row>
    <row r="7456" spans="1:15" ht="16" x14ac:dyDescent="0.2">
      <c r="A7456" s="19"/>
      <c r="B7456" s="19"/>
      <c r="C7456" s="19"/>
      <c r="D7456" s="19"/>
      <c r="E7456" s="19"/>
      <c r="F7456" s="19"/>
      <c r="G7456" s="19"/>
      <c r="H7456" s="19"/>
      <c r="I7456" s="19"/>
      <c r="J7456" s="19"/>
      <c r="K7456" s="19"/>
      <c r="L7456" s="19"/>
      <c r="M7456" s="19"/>
      <c r="N7456" s="19"/>
      <c r="O7456" s="14" t="str">
        <f>HYPERLINK("https://otsuka-europe-crm.veevavault.com/ui/#object/email_activity__v/V8C00000004E225", "EN-002108826")</f>
        <v>EN-002108826</v>
      </c>
    </row>
    <row r="7457" spans="1:15" ht="16" x14ac:dyDescent="0.2">
      <c r="A7457" s="18" t="str">
        <f>HYPERLINK("https://otsuka-europe-crm.veevavault.com/ui/#object/account__v/V4TZ06G6O71TAIY", "ROBERTO HOLGADO SALADO")</f>
        <v>ROBERTO HOLGADO SALADO</v>
      </c>
      <c r="B7457" s="18" t="str">
        <f>HYPERLINK("https://otsuka-europe-crm.veevavault.com/ui/#object/vcountry__v/VENZ000004SONF5", "ES")</f>
        <v>ES</v>
      </c>
      <c r="C7457" s="20" t="s">
        <v>39</v>
      </c>
      <c r="D745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57" s="22" t="str">
        <f>HYPERLINK("https://otsuka-europe-crm.veevavault.com/ui/#object/sent_email__v/VBL00000003C109", "SE-001445121")</f>
        <v>SE-001445121</v>
      </c>
      <c r="F7457" s="23"/>
      <c r="G7457" s="24">
        <v>0</v>
      </c>
      <c r="H7457" s="24">
        <v>0</v>
      </c>
      <c r="I7457" s="24">
        <v>0</v>
      </c>
      <c r="J7457" s="23"/>
      <c r="K7457" s="24">
        <v>0</v>
      </c>
      <c r="L745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57" s="22" t="str">
        <f>HYPERLINK("mailto:oriballo@crm.otsuka-europe.com", "oriballo@crm.otsuka-europe.com")</f>
        <v>oriballo@crm.otsuka-europe.com</v>
      </c>
      <c r="N7457" s="25">
        <v>46227.519884259258</v>
      </c>
      <c r="O7457" s="14" t="str">
        <f>HYPERLINK("https://otsuka-europe-crm.veevavault.com/ui/#object/email_activity__v/V8C00000004D379", "EN-002108814")</f>
        <v>EN-002108814</v>
      </c>
    </row>
    <row r="7458" spans="1:15" ht="16" x14ac:dyDescent="0.2">
      <c r="A7458" s="19"/>
      <c r="B7458" s="19"/>
      <c r="C7458" s="19"/>
      <c r="D7458" s="19"/>
      <c r="E7458" s="19"/>
      <c r="F7458" s="19"/>
      <c r="G7458" s="19"/>
      <c r="H7458" s="19"/>
      <c r="I7458" s="19"/>
      <c r="J7458" s="19"/>
      <c r="K7458" s="19"/>
      <c r="L7458" s="19"/>
      <c r="M7458" s="19"/>
      <c r="N7458" s="19"/>
      <c r="O7458" s="14" t="str">
        <f>HYPERLINK("https://otsuka-europe-crm.veevavault.com/ui/#object/email_activity__v/V8C00000004E120", "EN-002108654")</f>
        <v>EN-002108654</v>
      </c>
    </row>
    <row r="7459" spans="1:15" ht="16" x14ac:dyDescent="0.2">
      <c r="A7459" s="18" t="str">
        <f>HYPERLINK("https://otsuka-europe-crm.veevavault.com/ui/#object/account__v/V4TZ06G6O71T8FU", "ALVARO FERNANDEZ GARCIA")</f>
        <v>ALVARO FERNANDEZ GARCIA</v>
      </c>
      <c r="B7459" s="18" t="str">
        <f>HYPERLINK("https://otsuka-europe-crm.veevavault.com/ui/#object/vcountry__v/VENZ000004SONF5", "ES")</f>
        <v>ES</v>
      </c>
      <c r="C7459" s="20" t="s">
        <v>39</v>
      </c>
      <c r="D745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59" s="22" t="str">
        <f>HYPERLINK("https://otsuka-europe-crm.veevavault.com/ui/#object/sent_email__v/VBL00000003C110", "SE-001445122")</f>
        <v>SE-001445122</v>
      </c>
      <c r="F7459" s="23"/>
      <c r="G7459" s="24">
        <v>0</v>
      </c>
      <c r="H7459" s="24">
        <v>0</v>
      </c>
      <c r="I7459" s="24">
        <v>0</v>
      </c>
      <c r="J7459" s="23"/>
      <c r="K7459" s="24">
        <v>0</v>
      </c>
      <c r="L745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59" s="22" t="str">
        <f>HYPERLINK("mailto:oriballo@crm.otsuka-europe.com", "oriballo@crm.otsuka-europe.com")</f>
        <v>oriballo@crm.otsuka-europe.com</v>
      </c>
      <c r="N7459" s="25">
        <v>46227.519849537035</v>
      </c>
      <c r="O7459" s="14" t="str">
        <f>HYPERLINK("https://otsuka-europe-crm.veevavault.com/ui/#object/email_activity__v/V8C00000004E102", "EN-002108574")</f>
        <v>EN-002108574</v>
      </c>
    </row>
    <row r="7460" spans="1:15" ht="16" x14ac:dyDescent="0.2">
      <c r="A7460" s="19"/>
      <c r="B7460" s="19"/>
      <c r="C7460" s="19"/>
      <c r="D7460" s="19"/>
      <c r="E7460" s="19"/>
      <c r="F7460" s="19"/>
      <c r="G7460" s="19"/>
      <c r="H7460" s="19"/>
      <c r="I7460" s="19"/>
      <c r="J7460" s="19"/>
      <c r="K7460" s="19"/>
      <c r="L7460" s="19"/>
      <c r="M7460" s="19"/>
      <c r="N7460" s="19"/>
      <c r="O7460" s="14" t="str">
        <f>HYPERLINK("https://otsuka-europe-crm.veevavault.com/ui/#object/email_activity__v/V8C00000004E251", "EN-002108875")</f>
        <v>EN-002108875</v>
      </c>
    </row>
    <row r="7461" spans="1:15" ht="64" x14ac:dyDescent="0.2">
      <c r="A7461" s="7" t="str">
        <f>HYPERLINK("https://otsuka-europe-crm.veevavault.com/ui/#object/account__v/V4TZ06G6O71T786", "JOHN JAIRO GOMEZ PEREZ")</f>
        <v>JOHN JAIRO GOMEZ PEREZ</v>
      </c>
      <c r="B7461" s="7" t="str">
        <f>HYPERLINK("https://otsuka-europe-crm.veevavault.com/ui/#object/vcountry__v/VENZ000004SONF5", "ES")</f>
        <v>ES</v>
      </c>
      <c r="C7461" s="8" t="s">
        <v>39</v>
      </c>
      <c r="D746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61" s="10" t="str">
        <f>HYPERLINK("https://otsuka-europe-crm.veevavault.com/ui/#object/sent_email__v/VBL00000003C111", "SE-001445123")</f>
        <v>SE-001445123</v>
      </c>
      <c r="F7461" s="11"/>
      <c r="G7461" s="12">
        <v>0</v>
      </c>
      <c r="H7461" s="12">
        <v>0</v>
      </c>
      <c r="I7461" s="12">
        <v>0</v>
      </c>
      <c r="J7461" s="11"/>
      <c r="K7461" s="12">
        <v>0</v>
      </c>
      <c r="L746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61" s="10" t="str">
        <f>HYPERLINK("mailto:oriballo@crm.otsuka-europe.com", "oriballo@crm.otsuka-europe.com")</f>
        <v>oriballo@crm.otsuka-europe.com</v>
      </c>
      <c r="N7461" s="13">
        <v>46227.519849537035</v>
      </c>
      <c r="O7461" s="14" t="str">
        <f>HYPERLINK("https://otsuka-europe-crm.veevavault.com/ui/#object/email_activity__v/V8C00000004E100", "EN-002108572")</f>
        <v>EN-002108572</v>
      </c>
    </row>
    <row r="7462" spans="1:15" ht="16" x14ac:dyDescent="0.2">
      <c r="A7462" s="18" t="str">
        <f>HYPERLINK("https://otsuka-europe-crm.veevavault.com/ui/#object/account__v/V4TZ06G6O71T9YL", "ANA GARCIA GARCIA-DONCEL")</f>
        <v>ANA GARCIA GARCIA-DONCEL</v>
      </c>
      <c r="B7462" s="18" t="str">
        <f>HYPERLINK("https://otsuka-europe-crm.veevavault.com/ui/#object/vcountry__v/VENZ000004SONF5", "ES")</f>
        <v>ES</v>
      </c>
      <c r="C7462" s="20" t="s">
        <v>39</v>
      </c>
      <c r="D746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62" s="22" t="str">
        <f>HYPERLINK("https://otsuka-europe-crm.veevavault.com/ui/#object/sent_email__v/VBL00000003C112", "SE-001445124")</f>
        <v>SE-001445124</v>
      </c>
      <c r="F7462" s="25">
        <v>46227.6565625</v>
      </c>
      <c r="G7462" s="24">
        <v>1</v>
      </c>
      <c r="H7462" s="24">
        <v>1</v>
      </c>
      <c r="I7462" s="24">
        <v>0</v>
      </c>
      <c r="J7462" s="23"/>
      <c r="K7462" s="24">
        <v>0</v>
      </c>
      <c r="L746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62" s="22" t="str">
        <f>HYPERLINK("mailto:oriballo@crm.otsuka-europe.com", "oriballo@crm.otsuka-europe.com")</f>
        <v>oriballo@crm.otsuka-europe.com</v>
      </c>
      <c r="N7462" s="25">
        <v>46227.519849537035</v>
      </c>
      <c r="O7462" s="14" t="str">
        <f>HYPERLINK("https://otsuka-europe-crm.veevavault.com/ui/#object/email_activity__v/V8C00000004D311", "EN-002108645")</f>
        <v>EN-002108645</v>
      </c>
    </row>
    <row r="7463" spans="1:15" ht="16" x14ac:dyDescent="0.2">
      <c r="A7463" s="19"/>
      <c r="B7463" s="19"/>
      <c r="C7463" s="19"/>
      <c r="D7463" s="19"/>
      <c r="E7463" s="19"/>
      <c r="F7463" s="19"/>
      <c r="G7463" s="19"/>
      <c r="H7463" s="19"/>
      <c r="I7463" s="19"/>
      <c r="J7463" s="19"/>
      <c r="K7463" s="19"/>
      <c r="L7463" s="19"/>
      <c r="M7463" s="19"/>
      <c r="N7463" s="19"/>
      <c r="O7463" s="14" t="str">
        <f>HYPERLINK("https://otsuka-europe-crm.veevavault.com/ui/#object/email_activity__v/V8C00000004E239", "EN-002108854")</f>
        <v>EN-002108854</v>
      </c>
    </row>
    <row r="7464" spans="1:15" ht="64" x14ac:dyDescent="0.2">
      <c r="A7464" s="7" t="str">
        <f>HYPERLINK("https://otsuka-europe-crm.veevavault.com/ui/#object/account__v/V4TZ06G6O71TB8N", "MANUEL RAMOS DIAZ")</f>
        <v>MANUEL RAMOS DIAZ</v>
      </c>
      <c r="B7464" s="7" t="str">
        <f>HYPERLINK("https://otsuka-europe-crm.veevavault.com/ui/#object/vcountry__v/VENZ000004SONF5", "ES")</f>
        <v>ES</v>
      </c>
      <c r="C7464" s="8" t="s">
        <v>39</v>
      </c>
      <c r="D746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64" s="10" t="str">
        <f>HYPERLINK("https://otsuka-europe-crm.veevavault.com/ui/#object/sent_email__v/VBL00000003C113", "SE-001445125")</f>
        <v>SE-001445125</v>
      </c>
      <c r="F7464" s="11"/>
      <c r="G7464" s="12">
        <v>0</v>
      </c>
      <c r="H7464" s="12">
        <v>0</v>
      </c>
      <c r="I7464" s="12">
        <v>0</v>
      </c>
      <c r="J7464" s="11"/>
      <c r="K7464" s="12">
        <v>0</v>
      </c>
      <c r="L746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64" s="10" t="str">
        <f>HYPERLINK("mailto:oriballo@crm.otsuka-europe.com", "oriballo@crm.otsuka-europe.com")</f>
        <v>oriballo@crm.otsuka-europe.com</v>
      </c>
      <c r="N7464" s="13">
        <v>46227.519884259258</v>
      </c>
      <c r="O7464" s="14" t="str">
        <f>HYPERLINK("https://otsuka-europe-crm.veevavault.com/ui/#object/email_activity__v/V8C00000004E121", "EN-002108655")</f>
        <v>EN-002108655</v>
      </c>
    </row>
    <row r="7465" spans="1:15" ht="16" x14ac:dyDescent="0.2">
      <c r="A7465" s="18" t="str">
        <f>HYPERLINK("https://otsuka-europe-crm.veevavault.com/ui/#object/account__v/V4TZ06G6O71TBEN", "MACARENA NARANJO ARELLANO")</f>
        <v>MACARENA NARANJO ARELLANO</v>
      </c>
      <c r="B7465" s="18" t="str">
        <f>HYPERLINK("https://otsuka-europe-crm.veevavault.com/ui/#object/vcountry__v/VENZ000004SONF5", "ES")</f>
        <v>ES</v>
      </c>
      <c r="C7465" s="20" t="s">
        <v>39</v>
      </c>
      <c r="D746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65" s="22" t="str">
        <f>HYPERLINK("https://otsuka-europe-crm.veevavault.com/ui/#object/sent_email__v/VBL00000003C114", "SE-001445126")</f>
        <v>SE-001445126</v>
      </c>
      <c r="F7465" s="23"/>
      <c r="G7465" s="24">
        <v>0</v>
      </c>
      <c r="H7465" s="24">
        <v>0</v>
      </c>
      <c r="I7465" s="24">
        <v>0</v>
      </c>
      <c r="J7465" s="23"/>
      <c r="K7465" s="24">
        <v>0</v>
      </c>
      <c r="L746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65" s="22" t="str">
        <f>HYPERLINK("mailto:oriballo@crm.otsuka-europe.com", "oriballo@crm.otsuka-europe.com")</f>
        <v>oriballo@crm.otsuka-europe.com</v>
      </c>
      <c r="N7465" s="25">
        <v>46227.519884259258</v>
      </c>
      <c r="O7465" s="14" t="str">
        <f>HYPERLINK("https://otsuka-europe-crm.veevavault.com/ui/#object/email_activity__v/V8C00000004D429", "EN-002108940")</f>
        <v>EN-002108940</v>
      </c>
    </row>
    <row r="7466" spans="1:15" ht="16" x14ac:dyDescent="0.2">
      <c r="A7466" s="19"/>
      <c r="B7466" s="19"/>
      <c r="C7466" s="19"/>
      <c r="D7466" s="19"/>
      <c r="E7466" s="19"/>
      <c r="F7466" s="19"/>
      <c r="G7466" s="19"/>
      <c r="H7466" s="19"/>
      <c r="I7466" s="19"/>
      <c r="J7466" s="19"/>
      <c r="K7466" s="19"/>
      <c r="L7466" s="19"/>
      <c r="M7466" s="19"/>
      <c r="N7466" s="19"/>
      <c r="O7466" s="14" t="str">
        <f>HYPERLINK("https://otsuka-europe-crm.veevavault.com/ui/#object/email_activity__v/V8C00000004E119", "EN-002108653")</f>
        <v>EN-002108653</v>
      </c>
    </row>
    <row r="7467" spans="1:15" ht="16" x14ac:dyDescent="0.2">
      <c r="A7467" s="18" t="str">
        <f>HYPERLINK("https://otsuka-europe-crm.veevavault.com/ui/#object/account__v/V4TZ06G6O71T8RU", "MARINA ALMENARA TEJEDERAS")</f>
        <v>MARINA ALMENARA TEJEDERAS</v>
      </c>
      <c r="B7467" s="18" t="str">
        <f>HYPERLINK("https://otsuka-europe-crm.veevavault.com/ui/#object/vcountry__v/VENZ000004SONF5", "ES")</f>
        <v>ES</v>
      </c>
      <c r="C7467" s="20" t="s">
        <v>39</v>
      </c>
      <c r="D7467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67" s="22" t="str">
        <f>HYPERLINK("https://otsuka-europe-crm.veevavault.com/ui/#object/sent_email__v/VBL00000003C115", "SE-001445127")</f>
        <v>SE-001445127</v>
      </c>
      <c r="F7467" s="23"/>
      <c r="G7467" s="24">
        <v>0</v>
      </c>
      <c r="H7467" s="24">
        <v>0</v>
      </c>
      <c r="I7467" s="24">
        <v>0</v>
      </c>
      <c r="J7467" s="23"/>
      <c r="K7467" s="24">
        <v>0</v>
      </c>
      <c r="L7467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67" s="22" t="str">
        <f>HYPERLINK("mailto:oriballo@crm.otsuka-europe.com", "oriballo@crm.otsuka-europe.com")</f>
        <v>oriballo@crm.otsuka-europe.com</v>
      </c>
      <c r="N7467" s="25">
        <v>46227.519907407404</v>
      </c>
      <c r="O7467" s="14" t="str">
        <f>HYPERLINK("https://otsuka-europe-crm.veevavault.com/ui/#object/email_activity__v/V8C00000004D318", "EN-002108657")</f>
        <v>EN-002108657</v>
      </c>
    </row>
    <row r="7468" spans="1:15" ht="16" x14ac:dyDescent="0.2">
      <c r="A7468" s="19"/>
      <c r="B7468" s="19"/>
      <c r="C7468" s="19"/>
      <c r="D7468" s="19"/>
      <c r="E7468" s="19"/>
      <c r="F7468" s="19"/>
      <c r="G7468" s="19"/>
      <c r="H7468" s="19"/>
      <c r="I7468" s="19"/>
      <c r="J7468" s="19"/>
      <c r="K7468" s="19"/>
      <c r="L7468" s="19"/>
      <c r="M7468" s="19"/>
      <c r="N7468" s="19"/>
      <c r="O7468" s="14" t="str">
        <f>HYPERLINK("https://otsuka-europe-crm.veevavault.com/ui/#object/email_activity__v/V8C00000004D477", "EN-002109035")</f>
        <v>EN-002109035</v>
      </c>
    </row>
    <row r="7469" spans="1:15" ht="16" x14ac:dyDescent="0.2">
      <c r="A7469" s="18" t="str">
        <f>HYPERLINK("https://otsuka-europe-crm.veevavault.com/ui/#object/account__v/V4TZ06G6O71T9ES", "SERGIO BARROSO HERNANDEZ")</f>
        <v>SERGIO BARROSO HERNANDEZ</v>
      </c>
      <c r="B7469" s="18" t="str">
        <f>HYPERLINK("https://otsuka-europe-crm.veevavault.com/ui/#object/vcountry__v/VENZ000004SONF5", "ES")</f>
        <v>ES</v>
      </c>
      <c r="C7469" s="20" t="s">
        <v>39</v>
      </c>
      <c r="D7469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69" s="22" t="str">
        <f>HYPERLINK("https://otsuka-europe-crm.veevavault.com/ui/#object/sent_email__v/VBL00000003C116", "SE-001445128")</f>
        <v>SE-001445128</v>
      </c>
      <c r="F7469" s="25">
        <v>46227.533680555556</v>
      </c>
      <c r="G7469" s="24">
        <v>1</v>
      </c>
      <c r="H7469" s="24">
        <v>1</v>
      </c>
      <c r="I7469" s="24">
        <v>1</v>
      </c>
      <c r="J7469" s="25">
        <v>46227.534490740742</v>
      </c>
      <c r="K7469" s="24">
        <v>1</v>
      </c>
      <c r="L7469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69" s="22" t="str">
        <f>HYPERLINK("mailto:oriballo@crm.otsuka-europe.com", "oriballo@crm.otsuka-europe.com")</f>
        <v>oriballo@crm.otsuka-europe.com</v>
      </c>
      <c r="N7469" s="25">
        <v>46227.519849537035</v>
      </c>
      <c r="O7469" s="14" t="str">
        <f>HYPERLINK("https://otsuka-europe-crm.veevavault.com/ui/#object/email_activity__v/V8C00000004D336", "EN-002108698")</f>
        <v>EN-002108698</v>
      </c>
    </row>
    <row r="7470" spans="1:15" ht="16" x14ac:dyDescent="0.2">
      <c r="A7470" s="26"/>
      <c r="B7470" s="26"/>
      <c r="C7470" s="26"/>
      <c r="D7470" s="26"/>
      <c r="E7470" s="26"/>
      <c r="F7470" s="26"/>
      <c r="G7470" s="26"/>
      <c r="H7470" s="26"/>
      <c r="I7470" s="26"/>
      <c r="J7470" s="26"/>
      <c r="K7470" s="26"/>
      <c r="L7470" s="26"/>
      <c r="M7470" s="26"/>
      <c r="N7470" s="26"/>
      <c r="O7470" s="14" t="str">
        <f>HYPERLINK("https://otsuka-europe-crm.veevavault.com/ui/#object/email_activity__v/V8C00000004E096", "EN-002108568")</f>
        <v>EN-002108568</v>
      </c>
    </row>
    <row r="7471" spans="1:15" ht="16" x14ac:dyDescent="0.2">
      <c r="A7471" s="19"/>
      <c r="B7471" s="19"/>
      <c r="C7471" s="19"/>
      <c r="D7471" s="19"/>
      <c r="E7471" s="19"/>
      <c r="F7471" s="19"/>
      <c r="G7471" s="19"/>
      <c r="H7471" s="19"/>
      <c r="I7471" s="19"/>
      <c r="J7471" s="19"/>
      <c r="K7471" s="19"/>
      <c r="L7471" s="19"/>
      <c r="M7471" s="19"/>
      <c r="N7471" s="19"/>
      <c r="O7471" s="14" t="str">
        <f>HYPERLINK("https://otsuka-europe-crm.veevavault.com/ui/#object/email_activity__v/V8C00000004E144", "EN-002108697")</f>
        <v>EN-002108697</v>
      </c>
    </row>
    <row r="7472" spans="1:15" ht="16" x14ac:dyDescent="0.2">
      <c r="A7472" s="18" t="str">
        <f>HYPERLINK("https://otsuka-europe-crm.veevavault.com/ui/#object/account__v/V4TZ06G6O71TCEM", "FERNANDO VALLEJO CARRION")</f>
        <v>FERNANDO VALLEJO CARRION</v>
      </c>
      <c r="B7472" s="18" t="str">
        <f>HYPERLINK("https://otsuka-europe-crm.veevavault.com/ui/#object/vcountry__v/VENZ000004SONF5", "ES")</f>
        <v>ES</v>
      </c>
      <c r="C7472" s="20" t="s">
        <v>39</v>
      </c>
      <c r="D747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72" s="22" t="str">
        <f>HYPERLINK("https://otsuka-europe-crm.veevavault.com/ui/#object/sent_email__v/VBL00000003C117", "SE-001445129")</f>
        <v>SE-001445129</v>
      </c>
      <c r="F7472" s="25">
        <v>46227.583425925928</v>
      </c>
      <c r="G7472" s="24">
        <v>1</v>
      </c>
      <c r="H7472" s="24">
        <v>1</v>
      </c>
      <c r="I7472" s="24">
        <v>0</v>
      </c>
      <c r="J7472" s="23"/>
      <c r="K7472" s="24">
        <v>0</v>
      </c>
      <c r="L747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72" s="22" t="str">
        <f>HYPERLINK("mailto:oriballo@crm.otsuka-europe.com", "oriballo@crm.otsuka-europe.com")</f>
        <v>oriballo@crm.otsuka-europe.com</v>
      </c>
      <c r="N7472" s="25">
        <v>46227.519849537035</v>
      </c>
      <c r="O7472" s="14" t="str">
        <f>HYPERLINK("https://otsuka-europe-crm.veevavault.com/ui/#object/email_activity__v/V8C00000004D281", "EN-002108613")</f>
        <v>EN-002108613</v>
      </c>
    </row>
    <row r="7473" spans="1:15" ht="16" x14ac:dyDescent="0.2">
      <c r="A7473" s="19"/>
      <c r="B7473" s="19"/>
      <c r="C7473" s="19"/>
      <c r="D7473" s="19"/>
      <c r="E7473" s="19"/>
      <c r="F7473" s="19"/>
      <c r="G7473" s="19"/>
      <c r="H7473" s="19"/>
      <c r="I7473" s="19"/>
      <c r="J7473" s="19"/>
      <c r="K7473" s="19"/>
      <c r="L7473" s="19"/>
      <c r="M7473" s="19"/>
      <c r="N7473" s="19"/>
      <c r="O7473" s="14" t="str">
        <f>HYPERLINK("https://otsuka-europe-crm.veevavault.com/ui/#object/email_activity__v/V8C00000004D374", "EN-002108806")</f>
        <v>EN-002108806</v>
      </c>
    </row>
    <row r="7474" spans="1:15" ht="64" x14ac:dyDescent="0.2">
      <c r="A7474" s="7" t="str">
        <f>HYPERLINK("https://otsuka-europe-crm.veevavault.com/ui/#object/account__v/V4TZ04ASGECAMA1", "ARSHDEEP SINGH SINGH")</f>
        <v>ARSHDEEP SINGH SINGH</v>
      </c>
      <c r="B7474" s="7" t="str">
        <f>HYPERLINK("https://otsuka-europe-crm.veevavault.com/ui/#object/vcountry__v/VENZ000004SONF5", "ES")</f>
        <v>ES</v>
      </c>
      <c r="C7474" s="8" t="s">
        <v>39</v>
      </c>
      <c r="D747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74" s="10" t="str">
        <f>HYPERLINK("https://otsuka-europe-crm.veevavault.com/ui/#object/sent_email__v/VBL00000003C118", "SE-001445130")</f>
        <v>SE-001445130</v>
      </c>
      <c r="F7474" s="11"/>
      <c r="G7474" s="12">
        <v>0</v>
      </c>
      <c r="H7474" s="12">
        <v>0</v>
      </c>
      <c r="I7474" s="12">
        <v>0</v>
      </c>
      <c r="J7474" s="11"/>
      <c r="K7474" s="12">
        <v>0</v>
      </c>
      <c r="L747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74" s="10" t="str">
        <f>HYPERLINK("mailto:oriballo@crm.otsuka-europe.com", "oriballo@crm.otsuka-europe.com")</f>
        <v>oriballo@crm.otsuka-europe.com</v>
      </c>
      <c r="N7474" s="13">
        <v>46227.519849537035</v>
      </c>
      <c r="O7474" s="14" t="str">
        <f>HYPERLINK("https://otsuka-europe-crm.veevavault.com/ui/#object/email_activity__v/V8C00000004E115", "EN-002108630")</f>
        <v>EN-002108630</v>
      </c>
    </row>
    <row r="7475" spans="1:15" ht="16" x14ac:dyDescent="0.2">
      <c r="A7475" s="18" t="str">
        <f>HYPERLINK("https://otsuka-europe-crm.veevavault.com/ui/#object/account__v/V4TZ06G6OCET3FR", "ALVARO ALVAREZ LOPEZ")</f>
        <v>ALVARO ALVAREZ LOPEZ</v>
      </c>
      <c r="B7475" s="18" t="str">
        <f>HYPERLINK("https://otsuka-europe-crm.veevavault.com/ui/#object/vcountry__v/VENZ000004SONF5", "ES")</f>
        <v>ES</v>
      </c>
      <c r="C7475" s="20" t="s">
        <v>39</v>
      </c>
      <c r="D7475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75" s="22" t="str">
        <f>HYPERLINK("https://otsuka-europe-crm.veevavault.com/ui/#object/sent_email__v/VBL00000003C119", "SE-001445131")</f>
        <v>SE-001445131</v>
      </c>
      <c r="F7475" s="25">
        <v>46227.541689814818</v>
      </c>
      <c r="G7475" s="24">
        <v>1</v>
      </c>
      <c r="H7475" s="24">
        <v>2</v>
      </c>
      <c r="I7475" s="24">
        <v>0</v>
      </c>
      <c r="J7475" s="23"/>
      <c r="K7475" s="24">
        <v>0</v>
      </c>
      <c r="L7475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75" s="22" t="str">
        <f>HYPERLINK("mailto:oriballo@crm.otsuka-europe.com", "oriballo@crm.otsuka-europe.com")</f>
        <v>oriballo@crm.otsuka-europe.com</v>
      </c>
      <c r="N7475" s="25">
        <v>46227.519849537035</v>
      </c>
      <c r="O7475" s="14" t="str">
        <f>HYPERLINK("https://otsuka-europe-crm.veevavault.com/ui/#object/email_activity__v/V8C00000004D342", "EN-002108726")</f>
        <v>EN-002108726</v>
      </c>
    </row>
    <row r="7476" spans="1:15" ht="16" x14ac:dyDescent="0.2">
      <c r="A7476" s="26"/>
      <c r="B7476" s="26"/>
      <c r="C7476" s="26"/>
      <c r="D7476" s="26"/>
      <c r="E7476" s="26"/>
      <c r="F7476" s="26"/>
      <c r="G7476" s="26"/>
      <c r="H7476" s="26"/>
      <c r="I7476" s="26"/>
      <c r="J7476" s="26"/>
      <c r="K7476" s="26"/>
      <c r="L7476" s="26"/>
      <c r="M7476" s="26"/>
      <c r="N7476" s="26"/>
      <c r="O7476" s="14" t="str">
        <f>HYPERLINK("https://otsuka-europe-crm.veevavault.com/ui/#object/email_activity__v/V8C00000004E069", "EN-002108540")</f>
        <v>EN-002108540</v>
      </c>
    </row>
    <row r="7477" spans="1:15" ht="16" x14ac:dyDescent="0.2">
      <c r="A7477" s="19"/>
      <c r="B7477" s="19"/>
      <c r="C7477" s="19"/>
      <c r="D7477" s="19"/>
      <c r="E7477" s="19"/>
      <c r="F7477" s="19"/>
      <c r="G7477" s="19"/>
      <c r="H7477" s="19"/>
      <c r="I7477" s="19"/>
      <c r="J7477" s="19"/>
      <c r="K7477" s="19"/>
      <c r="L7477" s="19"/>
      <c r="M7477" s="19"/>
      <c r="N7477" s="19"/>
      <c r="O7477" s="14" t="str">
        <f>HYPERLINK("https://otsuka-europe-crm.veevavault.com/ui/#object/email_activity__v/V8C00000004E167", "EN-002108727")</f>
        <v>EN-002108727</v>
      </c>
    </row>
    <row r="7478" spans="1:15" ht="64" x14ac:dyDescent="0.2">
      <c r="A7478" s="7" t="str">
        <f>HYPERLINK("https://otsuka-europe-crm.veevavault.com/ui/#object/account__v/V4TZ025E83FFI0I", "CAROLINA ISABEL MOVILLA ECHEVERRI")</f>
        <v>CAROLINA ISABEL MOVILLA ECHEVERRI</v>
      </c>
      <c r="B7478" s="7" t="str">
        <f>HYPERLINK("https://otsuka-europe-crm.veevavault.com/ui/#object/vcountry__v/VENZ000004SONF5", "ES")</f>
        <v>ES</v>
      </c>
      <c r="C7478" s="8" t="s">
        <v>39</v>
      </c>
      <c r="D7478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78" s="10" t="str">
        <f>HYPERLINK("https://otsuka-europe-crm.veevavault.com/ui/#object/sent_email__v/VBL00000003C120", "SE-001445132")</f>
        <v>SE-001445132</v>
      </c>
      <c r="F7478" s="11"/>
      <c r="G7478" s="12">
        <v>0</v>
      </c>
      <c r="H7478" s="12">
        <v>0</v>
      </c>
      <c r="I7478" s="12">
        <v>0</v>
      </c>
      <c r="J7478" s="11"/>
      <c r="K7478" s="12">
        <v>0</v>
      </c>
      <c r="L7478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78" s="10" t="str">
        <f>HYPERLINK("mailto:oriballo@crm.otsuka-europe.com", "oriballo@crm.otsuka-europe.com")</f>
        <v>oriballo@crm.otsuka-europe.com</v>
      </c>
      <c r="N7478" s="13">
        <v>46227.519849537035</v>
      </c>
      <c r="O7478" s="14" t="str">
        <f>HYPERLINK("https://otsuka-europe-crm.veevavault.com/ui/#object/email_activity__v/V8C00000004E110", "EN-002108582")</f>
        <v>EN-002108582</v>
      </c>
    </row>
    <row r="7479" spans="1:15" ht="64" x14ac:dyDescent="0.2">
      <c r="A7479" s="7" t="str">
        <f>HYPERLINK("https://otsuka-europe-crm.veevavault.com/ui/#object/account__v/V4TZ06G6O71T7R9", "MARIA VICTORIA PENDON RUIZ DE MIER")</f>
        <v>MARIA VICTORIA PENDON RUIZ DE MIER</v>
      </c>
      <c r="B7479" s="7" t="str">
        <f>HYPERLINK("https://otsuka-europe-crm.veevavault.com/ui/#object/vcountry__v/VENZ000004SONF5", "ES")</f>
        <v>ES</v>
      </c>
      <c r="C7479" s="8" t="s">
        <v>39</v>
      </c>
      <c r="D7479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79" s="10" t="str">
        <f>HYPERLINK("https://otsuka-europe-crm.veevavault.com/ui/#object/sent_email__v/VBL00000003C121", "SE-001445133")</f>
        <v>SE-001445133</v>
      </c>
      <c r="F7479" s="11"/>
      <c r="G7479" s="12">
        <v>0</v>
      </c>
      <c r="H7479" s="12">
        <v>0</v>
      </c>
      <c r="I7479" s="12">
        <v>0</v>
      </c>
      <c r="J7479" s="11"/>
      <c r="K7479" s="12">
        <v>0</v>
      </c>
      <c r="L7479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79" s="10" t="str">
        <f>HYPERLINK("mailto:oriballo@crm.otsuka-europe.com", "oriballo@crm.otsuka-europe.com")</f>
        <v>oriballo@crm.otsuka-europe.com</v>
      </c>
      <c r="N7479" s="13">
        <v>46227.519849537035</v>
      </c>
      <c r="O7479" s="14" t="str">
        <f>HYPERLINK("https://otsuka-europe-crm.veevavault.com/ui/#object/email_activity__v/V8C00000004E116", "EN-002108631")</f>
        <v>EN-002108631</v>
      </c>
    </row>
    <row r="7480" spans="1:15" ht="64" x14ac:dyDescent="0.2">
      <c r="A7480" s="7" t="str">
        <f>HYPERLINK("https://otsuka-europe-crm.veevavault.com/ui/#object/account__v/V4TZ06G6O71T94S", "MARIA PAZ ALCAIDE LARA")</f>
        <v>MARIA PAZ ALCAIDE LARA</v>
      </c>
      <c r="B7480" s="7" t="str">
        <f>HYPERLINK("https://otsuka-europe-crm.veevavault.com/ui/#object/vcountry__v/VENZ000004SONF5", "ES")</f>
        <v>ES</v>
      </c>
      <c r="C7480" s="8" t="s">
        <v>39</v>
      </c>
      <c r="D7480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80" s="10" t="str">
        <f>HYPERLINK("https://otsuka-europe-crm.veevavault.com/ui/#object/sent_email__v/VBL00000003C122", "SE-001445134")</f>
        <v>SE-001445134</v>
      </c>
      <c r="F7480" s="11"/>
      <c r="G7480" s="12">
        <v>0</v>
      </c>
      <c r="H7480" s="12">
        <v>0</v>
      </c>
      <c r="I7480" s="12">
        <v>0</v>
      </c>
      <c r="J7480" s="11"/>
      <c r="K7480" s="12">
        <v>0</v>
      </c>
      <c r="L7480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80" s="10" t="str">
        <f>HYPERLINK("mailto:oriballo@crm.otsuka-europe.com", "oriballo@crm.otsuka-europe.com")</f>
        <v>oriballo@crm.otsuka-europe.com</v>
      </c>
      <c r="N7480" s="13">
        <v>46227.519849537035</v>
      </c>
      <c r="O7480" s="14" t="str">
        <f>HYPERLINK("https://otsuka-europe-crm.veevavault.com/ui/#object/email_activity__v/V8C00000004D275", "EN-002108607")</f>
        <v>EN-002108607</v>
      </c>
    </row>
    <row r="7481" spans="1:15" ht="64" x14ac:dyDescent="0.2">
      <c r="A7481" s="7" t="str">
        <f>HYPERLINK("https://otsuka-europe-crm.veevavault.com/ui/#object/account__v/V4TZ06G6O71T7BN", "RAMIRO PALMA BARRIO")</f>
        <v>RAMIRO PALMA BARRIO</v>
      </c>
      <c r="B7481" s="7" t="str">
        <f>HYPERLINK("https://otsuka-europe-crm.veevavault.com/ui/#object/vcountry__v/VENZ000004SONF5", "ES")</f>
        <v>ES</v>
      </c>
      <c r="C7481" s="8" t="s">
        <v>39</v>
      </c>
      <c r="D7481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81" s="10" t="str">
        <f>HYPERLINK("https://otsuka-europe-crm.veevavault.com/ui/#object/sent_email__v/VBL00000003C123", "SE-001445135")</f>
        <v>SE-001445135</v>
      </c>
      <c r="F7481" s="11"/>
      <c r="G7481" s="12">
        <v>0</v>
      </c>
      <c r="H7481" s="12">
        <v>0</v>
      </c>
      <c r="I7481" s="12">
        <v>0</v>
      </c>
      <c r="J7481" s="11"/>
      <c r="K7481" s="12">
        <v>0</v>
      </c>
      <c r="L7481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81" s="10" t="str">
        <f>HYPERLINK("mailto:oriballo@crm.otsuka-europe.com", "oriballo@crm.otsuka-europe.com")</f>
        <v>oriballo@crm.otsuka-europe.com</v>
      </c>
      <c r="N7481" s="13">
        <v>46227.519849537035</v>
      </c>
      <c r="O7481" s="14" t="str">
        <f>HYPERLINK("https://otsuka-europe-crm.veevavault.com/ui/#object/email_activity__v/V8C00000004D287", "EN-002108619")</f>
        <v>EN-002108619</v>
      </c>
    </row>
    <row r="7482" spans="1:15" ht="16" x14ac:dyDescent="0.2">
      <c r="A7482" s="18" t="str">
        <f>HYPERLINK("https://otsuka-europe-crm.veevavault.com/ui/#object/account__v/V4TZ06G6O71TASS", "MARIA LOPEZ ANDREU")</f>
        <v>MARIA LOPEZ ANDREU</v>
      </c>
      <c r="B7482" s="18" t="str">
        <f>HYPERLINK("https://otsuka-europe-crm.veevavault.com/ui/#object/vcountry__v/VENZ000004SONF5", "ES")</f>
        <v>ES</v>
      </c>
      <c r="C7482" s="20" t="s">
        <v>39</v>
      </c>
      <c r="D7482" s="21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82" s="22" t="str">
        <f>HYPERLINK("https://otsuka-europe-crm.veevavault.com/ui/#object/sent_email__v/VBL00000003C124", "SE-001445136")</f>
        <v>SE-001445136</v>
      </c>
      <c r="F7482" s="25">
        <v>46227.574050925927</v>
      </c>
      <c r="G7482" s="24">
        <v>1</v>
      </c>
      <c r="H7482" s="24">
        <v>1</v>
      </c>
      <c r="I7482" s="24">
        <v>0</v>
      </c>
      <c r="J7482" s="23"/>
      <c r="K7482" s="24">
        <v>0</v>
      </c>
      <c r="L7482" s="22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82" s="22" t="str">
        <f>HYPERLINK("mailto:oriballo@crm.otsuka-europe.com", "oriballo@crm.otsuka-europe.com")</f>
        <v>oriballo@crm.otsuka-europe.com</v>
      </c>
      <c r="N7482" s="25">
        <v>46227.519849537035</v>
      </c>
      <c r="O7482" s="14" t="str">
        <f>HYPERLINK("https://otsuka-europe-crm.veevavault.com/ui/#object/email_activity__v/V8C00000004D297", "EN-002108629")</f>
        <v>EN-002108629</v>
      </c>
    </row>
    <row r="7483" spans="1:15" ht="16" x14ac:dyDescent="0.2">
      <c r="A7483" s="19"/>
      <c r="B7483" s="19"/>
      <c r="C7483" s="19"/>
      <c r="D7483" s="19"/>
      <c r="E7483" s="19"/>
      <c r="F7483" s="19"/>
      <c r="G7483" s="19"/>
      <c r="H7483" s="19"/>
      <c r="I7483" s="19"/>
      <c r="J7483" s="19"/>
      <c r="K7483" s="19"/>
      <c r="L7483" s="19"/>
      <c r="M7483" s="19"/>
      <c r="N7483" s="19"/>
      <c r="O7483" s="14" t="str">
        <f>HYPERLINK("https://otsuka-europe-crm.veevavault.com/ui/#object/email_activity__v/V8C00000004E212", "EN-002108802")</f>
        <v>EN-002108802</v>
      </c>
    </row>
    <row r="7484" spans="1:15" ht="64" x14ac:dyDescent="0.2">
      <c r="A7484" s="7" t="str">
        <f>HYPERLINK("https://otsuka-europe-crm.veevavault.com/ui/#object/account__v/V4TZ06G6O71TC1B", "MERCEDES SALGUEIRA LAZO")</f>
        <v>MERCEDES SALGUEIRA LAZO</v>
      </c>
      <c r="B7484" s="7" t="str">
        <f>HYPERLINK("https://otsuka-europe-crm.veevavault.com/ui/#object/vcountry__v/VENZ000004SONF5", "ES")</f>
        <v>ES</v>
      </c>
      <c r="C7484" s="8" t="s">
        <v>39</v>
      </c>
      <c r="D7484" s="9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E7484" s="10" t="str">
        <f>HYPERLINK("https://otsuka-europe-crm.veevavault.com/ui/#object/sent_email__v/VBL00000003C125", "SE-001445137")</f>
        <v>SE-001445137</v>
      </c>
      <c r="F7484" s="11"/>
      <c r="G7484" s="12">
        <v>0</v>
      </c>
      <c r="H7484" s="12">
        <v>0</v>
      </c>
      <c r="I7484" s="12">
        <v>0</v>
      </c>
      <c r="J7484" s="11"/>
      <c r="K7484" s="12">
        <v>0</v>
      </c>
      <c r="L7484" s="10" t="str">
        <f>HYPERLINK("https://otsuka-europe-crm.veevavault.com/ui/#object/approved_document__v/V5O00000001T003", "LUP - VAE Webinar “Lupkynis▼ en la práctica clínica real: más allá de la respuesta renal” - Nefro")</f>
        <v>LUP - VAE Webinar “Lupkynis▼ en la práctica clínica real: más allá de la respuesta renal” - Nefro</v>
      </c>
      <c r="M7484" s="10" t="str">
        <f>HYPERLINK("mailto:oriballo@crm.otsuka-europe.com", "oriballo@crm.otsuka-europe.com")</f>
        <v>oriballo@crm.otsuka-europe.com</v>
      </c>
      <c r="N7484" s="13">
        <v>46227.519849537035</v>
      </c>
      <c r="O7484" s="14" t="str">
        <f>HYPERLINK("https://otsuka-europe-crm.veevavault.com/ui/#object/email_activity__v/V8C00000004D273", "EN-002108605")</f>
        <v>EN-002108605</v>
      </c>
    </row>
    <row r="7485" spans="1:15" ht="16" x14ac:dyDescent="0.2">
      <c r="A7485" s="18" t="str">
        <f>HYPERLINK("https://otsuka-europe-crm.veevavault.com/ui/#object/account__v/V4T00000002J012", "CARLO JOVANE")</f>
        <v>CARLO JOVANE</v>
      </c>
      <c r="B7485" s="18" t="str">
        <f>HYPERLINK("https://otsuka-europe-crm.veevavault.com/ui/#object/vcountry__v/VENZ000004SONFQ", "IT")</f>
        <v>IT</v>
      </c>
      <c r="C7485" s="20" t="s">
        <v>42</v>
      </c>
      <c r="D7485" s="21" t="str">
        <f>HYPERLINK("https://otsuka-europe-crm.veevavault.com/ui/#object/approved_document__v/V5OZ06G6O6RG2EV", "IT Veeva Privacy Notice Email")</f>
        <v>IT Veeva Privacy Notice Email</v>
      </c>
      <c r="E7485" s="22" t="str">
        <f>HYPERLINK("https://otsuka-europe-crm.veevavault.com/ui/#object/sent_email__v/VBL00000003B194", "SE-001445138")</f>
        <v>SE-001445138</v>
      </c>
      <c r="F7485" s="25">
        <v>46231.38958333333</v>
      </c>
      <c r="G7485" s="24">
        <v>1</v>
      </c>
      <c r="H7485" s="24">
        <v>5</v>
      </c>
      <c r="I7485" s="24">
        <v>0</v>
      </c>
      <c r="J7485" s="23"/>
      <c r="K7485" s="24">
        <v>0</v>
      </c>
      <c r="L7485" s="22" t="str">
        <f>HYPERLINK("https://otsuka-europe-crm.veevavault.com/ui/#object/approved_document__v/V5OZ06G6O6RG2EV", "IT Veeva Privacy Notice Email")</f>
        <v>IT Veeva Privacy Notice Email</v>
      </c>
      <c r="M7485" s="22" t="str">
        <f>HYPERLINK("mailto:marco.aldrigo@crm.otsuka-europe.com", "marco.aldrigo@crm.otsuka-europe.com")</f>
        <v>marco.aldrigo@crm.otsuka-europe.com</v>
      </c>
      <c r="N7485" s="25">
        <v>46227.535428240742</v>
      </c>
      <c r="O7485" s="14" t="str">
        <f>HYPERLINK("https://otsuka-europe-crm.veevavault.com/ui/#object/email_activity__v/V8C00000004D414", "EN-002108896")</f>
        <v>EN-002108896</v>
      </c>
    </row>
    <row r="7486" spans="1:15" ht="16" x14ac:dyDescent="0.2">
      <c r="A7486" s="26"/>
      <c r="B7486" s="26"/>
      <c r="C7486" s="26"/>
      <c r="D7486" s="26"/>
      <c r="E7486" s="26"/>
      <c r="F7486" s="26"/>
      <c r="G7486" s="26"/>
      <c r="H7486" s="26"/>
      <c r="I7486" s="26"/>
      <c r="J7486" s="26"/>
      <c r="K7486" s="26"/>
      <c r="L7486" s="26"/>
      <c r="M7486" s="26"/>
      <c r="N7486" s="26"/>
      <c r="O7486" s="14" t="str">
        <f>HYPERLINK("https://otsuka-europe-crm.veevavault.com/ui/#object/email_activity__v/V8C00000004E145", "EN-002108699")</f>
        <v>EN-002108699</v>
      </c>
    </row>
    <row r="7487" spans="1:15" ht="16" x14ac:dyDescent="0.2">
      <c r="A7487" s="26"/>
      <c r="B7487" s="26"/>
      <c r="C7487" s="26"/>
      <c r="D7487" s="26"/>
      <c r="E7487" s="26"/>
      <c r="F7487" s="26"/>
      <c r="G7487" s="26"/>
      <c r="H7487" s="26"/>
      <c r="I7487" s="26"/>
      <c r="J7487" s="26"/>
      <c r="K7487" s="26"/>
      <c r="L7487" s="26"/>
      <c r="M7487" s="26"/>
      <c r="N7487" s="26"/>
      <c r="O7487" s="14" t="str">
        <f>HYPERLINK("https://otsuka-europe-crm.veevavault.com/ui/#object/email_activity__v/V8C00000004E263", "EN-002108894")</f>
        <v>EN-002108894</v>
      </c>
    </row>
    <row r="7488" spans="1:15" ht="16" x14ac:dyDescent="0.2">
      <c r="A7488" s="26"/>
      <c r="B7488" s="26"/>
      <c r="C7488" s="26"/>
      <c r="D7488" s="26"/>
      <c r="E7488" s="26"/>
      <c r="F7488" s="26"/>
      <c r="G7488" s="26"/>
      <c r="H7488" s="26"/>
      <c r="I7488" s="26"/>
      <c r="J7488" s="26"/>
      <c r="K7488" s="26"/>
      <c r="L7488" s="26"/>
      <c r="M7488" s="26"/>
      <c r="N7488" s="26"/>
      <c r="O7488" s="14" t="str">
        <f>HYPERLINK("https://otsuka-europe-crm.veevavault.com/ui/#object/email_activity__v/V8C00000004E264", "EN-002108895")</f>
        <v>EN-002108895</v>
      </c>
    </row>
    <row r="7489" spans="1:15" ht="16" x14ac:dyDescent="0.2">
      <c r="A7489" s="26"/>
      <c r="B7489" s="26"/>
      <c r="C7489" s="26"/>
      <c r="D7489" s="26"/>
      <c r="E7489" s="26"/>
      <c r="F7489" s="26"/>
      <c r="G7489" s="26"/>
      <c r="H7489" s="26"/>
      <c r="I7489" s="26"/>
      <c r="J7489" s="26"/>
      <c r="K7489" s="26"/>
      <c r="L7489" s="26"/>
      <c r="M7489" s="26"/>
      <c r="N7489" s="26"/>
      <c r="O7489" s="14" t="str">
        <f>HYPERLINK("https://otsuka-europe-crm.veevavault.com/ui/#object/email_activity__v/V8C00000004E410", "EN-002109165")</f>
        <v>EN-002109165</v>
      </c>
    </row>
    <row r="7490" spans="1:15" ht="16" x14ac:dyDescent="0.2">
      <c r="A7490" s="19"/>
      <c r="B7490" s="19"/>
      <c r="C7490" s="19"/>
      <c r="D7490" s="19"/>
      <c r="E7490" s="19"/>
      <c r="F7490" s="19"/>
      <c r="G7490" s="19"/>
      <c r="H7490" s="19"/>
      <c r="I7490" s="19"/>
      <c r="J7490" s="19"/>
      <c r="K7490" s="19"/>
      <c r="L7490" s="19"/>
      <c r="M7490" s="19"/>
      <c r="N7490" s="19"/>
      <c r="O7490" s="14" t="str">
        <f>HYPERLINK("https://otsuka-europe-crm.veevavault.com/ui/#object/email_activity__v/V8C00000004E413", "EN-002109168")</f>
        <v>EN-002109168</v>
      </c>
    </row>
    <row r="7491" spans="1:15" ht="16" x14ac:dyDescent="0.2">
      <c r="A7491" s="18" t="str">
        <f>HYPERLINK("https://otsuka-europe-crm.veevavault.com/ui/#object/account__v/V4TZ06G6OC6MCUM", "LAURA ARRU")</f>
        <v>LAURA ARRU</v>
      </c>
      <c r="B7491" s="18" t="str">
        <f>HYPERLINK("https://otsuka-europe-crm.veevavault.com/ui/#object/vcountry__v/VENZ000004SONFQ", "IT")</f>
        <v>IT</v>
      </c>
      <c r="C7491" s="20" t="s">
        <v>42</v>
      </c>
      <c r="D7491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491" s="22" t="str">
        <f>HYPERLINK("https://otsuka-europe-crm.veevavault.com/ui/#object/sent_email__v/VBL00000003C126", "SE-001445139")</f>
        <v>SE-001445139</v>
      </c>
      <c r="F7491" s="25">
        <v>46227.536550925928</v>
      </c>
      <c r="G7491" s="24">
        <v>1</v>
      </c>
      <c r="H7491" s="24">
        <v>1</v>
      </c>
      <c r="I7491" s="24">
        <v>0</v>
      </c>
      <c r="J7491" s="23"/>
      <c r="K7491" s="24">
        <v>0</v>
      </c>
      <c r="L7491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491" s="22" t="str">
        <f>HYPERLINK("mailto:laura.mallia@crm.otsuka-europe.com", "laura.mallia@crm.otsuka-europe.com")</f>
        <v>laura.mallia@crm.otsuka-europe.com</v>
      </c>
      <c r="N7491" s="25">
        <v>46227.536435185182</v>
      </c>
      <c r="O7491" s="14" t="str">
        <f>HYPERLINK("https://otsuka-europe-crm.veevavault.com/ui/#object/email_activity__v/V8C00000004E149", "EN-002108703")</f>
        <v>EN-002108703</v>
      </c>
    </row>
    <row r="7492" spans="1:15" ht="16" x14ac:dyDescent="0.2">
      <c r="A7492" s="19"/>
      <c r="B7492" s="19"/>
      <c r="C7492" s="19"/>
      <c r="D7492" s="19"/>
      <c r="E7492" s="19"/>
      <c r="F7492" s="19"/>
      <c r="G7492" s="19"/>
      <c r="H7492" s="19"/>
      <c r="I7492" s="19"/>
      <c r="J7492" s="19"/>
      <c r="K7492" s="19"/>
      <c r="L7492" s="19"/>
      <c r="M7492" s="19"/>
      <c r="N7492" s="19"/>
      <c r="O7492" s="14" t="str">
        <f>HYPERLINK("https://otsuka-europe-crm.veevavault.com/ui/#object/email_activity__v/V8C00000004E150", "EN-002108704")</f>
        <v>EN-002108704</v>
      </c>
    </row>
    <row r="7493" spans="1:15" ht="48" x14ac:dyDescent="0.2">
      <c r="A7493" s="7" t="str">
        <f>HYPERLINK("https://otsuka-europe-crm.veevavault.com/ui/#object/account__v/V4TZ025E86VRJFR", "LETIZIA MARIA AFFATICATI")</f>
        <v>LETIZIA MARIA AFFATICATI</v>
      </c>
      <c r="B7493" s="7" t="str">
        <f>HYPERLINK("https://otsuka-europe-crm.veevavault.com/ui/#object/vcountry__v/VENZ000004SONFQ", "IT")</f>
        <v>IT</v>
      </c>
      <c r="C7493" s="8" t="s">
        <v>42</v>
      </c>
      <c r="D7493" s="9" t="str">
        <f>HYPERLINK("https://otsuka-europe-crm.veevavault.com/ui/#object/approved_document__v/V5OZ025E82UFNWM", "ABILIFY 960720_Branded_AE Fagiolini_IT-AM2-2500131")</f>
        <v>ABILIFY 960720_Branded_AE Fagiolini_IT-AM2-2500131</v>
      </c>
      <c r="E7493" s="10" t="str">
        <f>HYPERLINK("https://otsuka-europe-crm.veevavault.com/ui/#object/sent_email__v/VBL00000003C127", "SE-001445140")</f>
        <v>SE-001445140</v>
      </c>
      <c r="F7493" s="11"/>
      <c r="G7493" s="12">
        <v>0</v>
      </c>
      <c r="H7493" s="12">
        <v>0</v>
      </c>
      <c r="I7493" s="12">
        <v>0</v>
      </c>
      <c r="J7493" s="11"/>
      <c r="K7493" s="12">
        <v>0</v>
      </c>
      <c r="L7493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493" s="10" t="str">
        <f>HYPERLINK("mailto:laura.mallia@crm.otsuka-europe.com", "laura.mallia@crm.otsuka-europe.com")</f>
        <v>laura.mallia@crm.otsuka-europe.com</v>
      </c>
      <c r="N7493" s="13">
        <v>46227.536805555559</v>
      </c>
      <c r="O7493" s="14" t="str">
        <f>HYPERLINK("https://otsuka-europe-crm.veevavault.com/ui/#object/email_activity__v/V8C00000004E152", "EN-002108706")</f>
        <v>EN-002108706</v>
      </c>
    </row>
    <row r="7494" spans="1:15" ht="48" x14ac:dyDescent="0.2">
      <c r="A7494" s="7" t="str">
        <f>HYPERLINK("https://otsuka-europe-crm.veevavault.com/ui/#object/account__v/V4TZ06G6O71SBZ9", "KATIA PRATO")</f>
        <v>KATIA PRATO</v>
      </c>
      <c r="B7494" s="7" t="str">
        <f>HYPERLINK("https://otsuka-europe-crm.veevavault.com/ui/#object/vcountry__v/VENZ000004SONFQ", "IT")</f>
        <v>IT</v>
      </c>
      <c r="C7494" s="8" t="s">
        <v>42</v>
      </c>
      <c r="D7494" s="9" t="str">
        <f>HYPERLINK("https://otsuka-europe-crm.veevavault.com/ui/#object/approved_document__v/V5OZ025E82UFNWM", "ABILIFY 960720_Branded_AE Fagiolini_IT-AM2-2500131")</f>
        <v>ABILIFY 960720_Branded_AE Fagiolini_IT-AM2-2500131</v>
      </c>
      <c r="E7494" s="10" t="str">
        <f>HYPERLINK("https://otsuka-europe-crm.veevavault.com/ui/#object/sent_email__v/VBL00000003B195", "SE-001445141")</f>
        <v>SE-001445141</v>
      </c>
      <c r="F7494" s="11"/>
      <c r="G7494" s="12">
        <v>0</v>
      </c>
      <c r="H7494" s="12">
        <v>0</v>
      </c>
      <c r="I7494" s="12">
        <v>0</v>
      </c>
      <c r="J7494" s="11"/>
      <c r="K7494" s="12">
        <v>0</v>
      </c>
      <c r="L7494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494" s="10" t="str">
        <f>HYPERLINK("mailto:laura.mallia@crm.otsuka-europe.com", "laura.mallia@crm.otsuka-europe.com")</f>
        <v>laura.mallia@crm.otsuka-europe.com</v>
      </c>
      <c r="N7494" s="13">
        <v>46227.53765046296</v>
      </c>
      <c r="O7494" s="14" t="str">
        <f>HYPERLINK("https://otsuka-europe-crm.veevavault.com/ui/#object/email_activity__v/V8C00000004E157", "EN-002108711")</f>
        <v>EN-002108711</v>
      </c>
    </row>
    <row r="7495" spans="1:15" ht="48" x14ac:dyDescent="0.2">
      <c r="A7495" s="7" t="str">
        <f>HYPERLINK("https://otsuka-europe-crm.veevavault.com/ui/#object/account__v/V4TZ06G6O71SBZ9", "KATIA PRATO")</f>
        <v>KATIA PRATO</v>
      </c>
      <c r="B7495" s="7" t="str">
        <f>HYPERLINK("https://otsuka-europe-crm.veevavault.com/ui/#object/vcountry__v/VENZ000004SONFQ", "IT")</f>
        <v>IT</v>
      </c>
      <c r="C7495" s="8" t="s">
        <v>42</v>
      </c>
      <c r="D7495" s="9" t="str">
        <f>HYPERLINK("https://otsuka-europe-crm.veevavault.com/ui/#object/approved_document__v/V5OZ025E82UFNWM", "ABILIFY 960720_Branded_AE Fagiolini_IT-AM2-2500131")</f>
        <v>ABILIFY 960720_Branded_AE Fagiolini_IT-AM2-2500131</v>
      </c>
      <c r="E7495" s="10" t="str">
        <f>HYPERLINK("https://otsuka-europe-crm.veevavault.com/ui/#object/sent_email__v/VBL00000003C128", "SE-001445142")</f>
        <v>SE-001445142</v>
      </c>
      <c r="F7495" s="11"/>
      <c r="G7495" s="12">
        <v>0</v>
      </c>
      <c r="H7495" s="12">
        <v>0</v>
      </c>
      <c r="I7495" s="12">
        <v>0</v>
      </c>
      <c r="J7495" s="11"/>
      <c r="K7495" s="12">
        <v>0</v>
      </c>
      <c r="L7495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495" s="10" t="str">
        <f>HYPERLINK("mailto:laura.mallia@crm.otsuka-europe.com", "laura.mallia@crm.otsuka-europe.com")</f>
        <v>laura.mallia@crm.otsuka-europe.com</v>
      </c>
      <c r="N7495" s="13">
        <v>46227.537997685184</v>
      </c>
      <c r="O7495" s="14" t="str">
        <f>HYPERLINK("https://otsuka-europe-crm.veevavault.com/ui/#object/email_activity__v/V8C00000004E159", "EN-002108713")</f>
        <v>EN-002108713</v>
      </c>
    </row>
    <row r="7496" spans="1:15" ht="48" x14ac:dyDescent="0.2">
      <c r="A7496" s="7" t="str">
        <f>HYPERLINK("https://otsuka-europe-crm.veevavault.com/ui/#object/account__v/V4TZ06G6O71TFUX", "PAOLA COLOMBO")</f>
        <v>PAOLA COLOMBO</v>
      </c>
      <c r="B7496" s="7" t="str">
        <f>HYPERLINK("https://otsuka-europe-crm.veevavault.com/ui/#object/vcountry__v/VENZ000004SONFQ", "IT")</f>
        <v>IT</v>
      </c>
      <c r="C7496" s="8" t="s">
        <v>42</v>
      </c>
      <c r="D7496" s="9" t="str">
        <f>HYPERLINK("https://otsuka-europe-crm.veevavault.com/ui/#object/approved_document__v/V5OZ025E82UFNWM", "ABILIFY 960720_Branded_AE Fagiolini_IT-AM2-2500131")</f>
        <v>ABILIFY 960720_Branded_AE Fagiolini_IT-AM2-2500131</v>
      </c>
      <c r="E7496" s="10" t="str">
        <f>HYPERLINK("https://otsuka-europe-crm.veevavault.com/ui/#object/sent_email__v/VBL00000003B196", "SE-001445143")</f>
        <v>SE-001445143</v>
      </c>
      <c r="F7496" s="11"/>
      <c r="G7496" s="12">
        <v>0</v>
      </c>
      <c r="H7496" s="12">
        <v>0</v>
      </c>
      <c r="I7496" s="12">
        <v>0</v>
      </c>
      <c r="J7496" s="11"/>
      <c r="K7496" s="12">
        <v>0</v>
      </c>
      <c r="L7496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496" s="10" t="str">
        <f>HYPERLINK("mailto:laura.mallia@crm.otsuka-europe.com", "laura.mallia@crm.otsuka-europe.com")</f>
        <v>laura.mallia@crm.otsuka-europe.com</v>
      </c>
      <c r="N7496" s="13">
        <v>46227.538344907407</v>
      </c>
      <c r="O7496" s="14" t="str">
        <f>HYPERLINK("https://otsuka-europe-crm.veevavault.com/ui/#object/email_activity__v/V8C00000004E160", "EN-002108714")</f>
        <v>EN-002108714</v>
      </c>
    </row>
    <row r="7497" spans="1:15" ht="16" x14ac:dyDescent="0.2">
      <c r="A7497" s="18" t="str">
        <f>HYPERLINK("https://otsuka-europe-crm.veevavault.com/ui/#object/account__v/V4TZ025E83XZTI6", "GESSICA GUERRERA")</f>
        <v>GESSICA GUERRERA</v>
      </c>
      <c r="B7497" s="18" t="str">
        <f>HYPERLINK("https://otsuka-europe-crm.veevavault.com/ui/#object/vcountry__v/VENZ000004SONFQ", "IT")</f>
        <v>IT</v>
      </c>
      <c r="C7497" s="20" t="s">
        <v>42</v>
      </c>
      <c r="D7497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497" s="22" t="str">
        <f>HYPERLINK("https://otsuka-europe-crm.veevavault.com/ui/#object/sent_email__v/VBL00000003C129", "SE-001445144")</f>
        <v>SE-001445144</v>
      </c>
      <c r="F7497" s="25">
        <v>46227.538981481484</v>
      </c>
      <c r="G7497" s="24">
        <v>1</v>
      </c>
      <c r="H7497" s="24">
        <v>1</v>
      </c>
      <c r="I7497" s="24">
        <v>0</v>
      </c>
      <c r="J7497" s="23"/>
      <c r="K7497" s="24">
        <v>0</v>
      </c>
      <c r="L7497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497" s="22" t="str">
        <f>HYPERLINK("mailto:laura.mallia@crm.otsuka-europe.com", "laura.mallia@crm.otsuka-europe.com")</f>
        <v>laura.mallia@crm.otsuka-europe.com</v>
      </c>
      <c r="N7497" s="25">
        <v>46227.538865740738</v>
      </c>
      <c r="O7497" s="14" t="str">
        <f>HYPERLINK("https://otsuka-europe-crm.veevavault.com/ui/#object/email_activity__v/V8C00000004D337", "EN-002108716")</f>
        <v>EN-002108716</v>
      </c>
    </row>
    <row r="7498" spans="1:15" ht="16" x14ac:dyDescent="0.2">
      <c r="A7498" s="19"/>
      <c r="B7498" s="19"/>
      <c r="C7498" s="19"/>
      <c r="D7498" s="19"/>
      <c r="E7498" s="19"/>
      <c r="F7498" s="19"/>
      <c r="G7498" s="19"/>
      <c r="H7498" s="19"/>
      <c r="I7498" s="19"/>
      <c r="J7498" s="19"/>
      <c r="K7498" s="19"/>
      <c r="L7498" s="19"/>
      <c r="M7498" s="19"/>
      <c r="N7498" s="19"/>
      <c r="O7498" s="14" t="str">
        <f>HYPERLINK("https://otsuka-europe-crm.veevavault.com/ui/#object/email_activity__v/V8C00000004E162", "EN-002108717")</f>
        <v>EN-002108717</v>
      </c>
    </row>
    <row r="7499" spans="1:15" ht="16" x14ac:dyDescent="0.2">
      <c r="A7499" s="18" t="str">
        <f>HYPERLINK("https://otsuka-europe-crm.veevavault.com/ui/#object/account__v/V4TZ025E83JMWVE", "PRASAD NUWANTHA WISIDAGAMAGE DON")</f>
        <v>PRASAD NUWANTHA WISIDAGAMAGE DON</v>
      </c>
      <c r="B7499" s="18" t="str">
        <f>HYPERLINK("https://otsuka-europe-crm.veevavault.com/ui/#object/vcountry__v/VENZ000004SONFQ", "IT")</f>
        <v>IT</v>
      </c>
      <c r="C7499" s="20" t="s">
        <v>42</v>
      </c>
      <c r="D7499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499" s="22" t="str">
        <f>HYPERLINK("https://otsuka-europe-crm.veevavault.com/ui/#object/sent_email__v/VBL00000003B197", "SE-001445145")</f>
        <v>SE-001445145</v>
      </c>
      <c r="F7499" s="25">
        <v>46227.539363425924</v>
      </c>
      <c r="G7499" s="24">
        <v>1</v>
      </c>
      <c r="H7499" s="24">
        <v>1</v>
      </c>
      <c r="I7499" s="24">
        <v>0</v>
      </c>
      <c r="J7499" s="23"/>
      <c r="K7499" s="24">
        <v>0</v>
      </c>
      <c r="L7499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499" s="22" t="str">
        <f>HYPERLINK("mailto:laura.mallia@crm.otsuka-europe.com", "laura.mallia@crm.otsuka-europe.com")</f>
        <v>laura.mallia@crm.otsuka-europe.com</v>
      </c>
      <c r="N7499" s="25">
        <v>46227.539247685185</v>
      </c>
      <c r="O7499" s="14" t="str">
        <f>HYPERLINK("https://otsuka-europe-crm.veevavault.com/ui/#object/email_activity__v/V8C00000004E164", "EN-002108719")</f>
        <v>EN-002108719</v>
      </c>
    </row>
    <row r="7500" spans="1:15" ht="16" x14ac:dyDescent="0.2">
      <c r="A7500" s="19"/>
      <c r="B7500" s="19"/>
      <c r="C7500" s="19"/>
      <c r="D7500" s="19"/>
      <c r="E7500" s="19"/>
      <c r="F7500" s="19"/>
      <c r="G7500" s="19"/>
      <c r="H7500" s="19"/>
      <c r="I7500" s="19"/>
      <c r="J7500" s="19"/>
      <c r="K7500" s="19"/>
      <c r="L7500" s="19"/>
      <c r="M7500" s="19"/>
      <c r="N7500" s="19"/>
      <c r="O7500" s="14" t="str">
        <f>HYPERLINK("https://otsuka-europe-crm.veevavault.com/ui/#object/email_activity__v/V8C00000004E165", "EN-002108720")</f>
        <v>EN-002108720</v>
      </c>
    </row>
    <row r="7501" spans="1:15" ht="48" x14ac:dyDescent="0.2">
      <c r="A7501" s="7" t="str">
        <f>HYPERLINK("https://otsuka-europe-crm.veevavault.com/ui/#object/account__v/V4TZ025E858R5YV", "PIETRO MORELLO")</f>
        <v>PIETRO MORELLO</v>
      </c>
      <c r="B7501" s="7" t="str">
        <f t="shared" ref="B7501:B7507" si="273">HYPERLINK("https://otsuka-europe-crm.veevavault.com/ui/#object/vcountry__v/VENZ000004SONFQ", "IT")</f>
        <v>IT</v>
      </c>
      <c r="C7501" s="8" t="s">
        <v>42</v>
      </c>
      <c r="D7501" s="9" t="str">
        <f t="shared" ref="D7501:D7507" si="274">HYPERLINK("https://otsuka-europe-crm.veevavault.com/ui/#object/approved_document__v/V5OZ025E82UFNWM", "ABILIFY 960720_Branded_AE Fagiolini_IT-AM2-2500131")</f>
        <v>ABILIFY 960720_Branded_AE Fagiolini_IT-AM2-2500131</v>
      </c>
      <c r="E7501" s="10" t="str">
        <f>HYPERLINK("https://otsuka-europe-crm.veevavault.com/ui/#object/sent_email__v/VBL00000003C130", "SE-001445146")</f>
        <v>SE-001445146</v>
      </c>
      <c r="F7501" s="11"/>
      <c r="G7501" s="12">
        <v>0</v>
      </c>
      <c r="H7501" s="12">
        <v>0</v>
      </c>
      <c r="I7501" s="12">
        <v>0</v>
      </c>
      <c r="J7501" s="11"/>
      <c r="K7501" s="12">
        <v>0</v>
      </c>
      <c r="L7501" s="10" t="str">
        <f t="shared" ref="L7501:L7507" si="275">HYPERLINK("https://otsuka-europe-crm.veevavault.com/ui/#object/approved_document__v/V5OZ025E82UFNWM", "ABILIFY 960720_Branded_AE Fagiolini_IT-AM2-2500131")</f>
        <v>ABILIFY 960720_Branded_AE Fagiolini_IT-AM2-2500131</v>
      </c>
      <c r="M7501" s="10" t="str">
        <f t="shared" ref="M7501:M7507" si="276">HYPERLINK("mailto:laura.mallia@crm.otsuka-europe.com", "laura.mallia@crm.otsuka-europe.com")</f>
        <v>laura.mallia@crm.otsuka-europe.com</v>
      </c>
      <c r="N7501" s="13">
        <v>46227.539560185185</v>
      </c>
      <c r="O7501" s="14" t="str">
        <f>HYPERLINK("https://otsuka-europe-crm.veevavault.com/ui/#object/email_activity__v/V8C00000004E166", "EN-002108721")</f>
        <v>EN-002108721</v>
      </c>
    </row>
    <row r="7502" spans="1:15" ht="48" x14ac:dyDescent="0.2">
      <c r="A7502" s="7" t="str">
        <f>HYPERLINK("https://otsuka-europe-crm.veevavault.com/ui/#object/account__v/V4TZ06G6O71SBIE", "LUCA MICHELETTI")</f>
        <v>LUCA MICHELETTI</v>
      </c>
      <c r="B7502" s="7" t="str">
        <f t="shared" si="273"/>
        <v>IT</v>
      </c>
      <c r="C7502" s="8" t="s">
        <v>42</v>
      </c>
      <c r="D7502" s="9" t="str">
        <f t="shared" si="274"/>
        <v>ABILIFY 960720_Branded_AE Fagiolini_IT-AM2-2500131</v>
      </c>
      <c r="E7502" s="10" t="str">
        <f>HYPERLINK("https://otsuka-europe-crm.veevavault.com/ui/#object/sent_email__v/VBL00000003B198", "SE-001445147")</f>
        <v>SE-001445147</v>
      </c>
      <c r="F7502" s="11"/>
      <c r="G7502" s="12">
        <v>0</v>
      </c>
      <c r="H7502" s="12">
        <v>0</v>
      </c>
      <c r="I7502" s="12">
        <v>0</v>
      </c>
      <c r="J7502" s="11"/>
      <c r="K7502" s="12">
        <v>0</v>
      </c>
      <c r="L7502" s="10" t="str">
        <f t="shared" si="275"/>
        <v>ABILIFY 960720_Branded_AE Fagiolini_IT-AM2-2500131</v>
      </c>
      <c r="M7502" s="10" t="str">
        <f t="shared" si="276"/>
        <v>laura.mallia@crm.otsuka-europe.com</v>
      </c>
      <c r="N7502" s="13">
        <v>46227.54042824074</v>
      </c>
      <c r="O7502" s="14" t="str">
        <f>HYPERLINK("https://otsuka-europe-crm.veevavault.com/ui/#object/email_activity__v/V8C00000004D338", "EN-002108722")</f>
        <v>EN-002108722</v>
      </c>
    </row>
    <row r="7503" spans="1:15" ht="48" x14ac:dyDescent="0.2">
      <c r="A7503" s="7" t="str">
        <f>HYPERLINK("https://otsuka-europe-crm.veevavault.com/ui/#object/account__v/V4TZ025E83MR6WX", "LUCA PRESTIFILIPPO")</f>
        <v>LUCA PRESTIFILIPPO</v>
      </c>
      <c r="B7503" s="7" t="str">
        <f t="shared" si="273"/>
        <v>IT</v>
      </c>
      <c r="C7503" s="8" t="s">
        <v>42</v>
      </c>
      <c r="D7503" s="9" t="str">
        <f t="shared" si="274"/>
        <v>ABILIFY 960720_Branded_AE Fagiolini_IT-AM2-2500131</v>
      </c>
      <c r="E7503" s="10" t="str">
        <f>HYPERLINK("https://otsuka-europe-crm.veevavault.com/ui/#object/sent_email__v/VBL00000003B199", "SE-001445148")</f>
        <v>SE-001445148</v>
      </c>
      <c r="F7503" s="11"/>
      <c r="G7503" s="12">
        <v>0</v>
      </c>
      <c r="H7503" s="12">
        <v>0</v>
      </c>
      <c r="I7503" s="12">
        <v>0</v>
      </c>
      <c r="J7503" s="11"/>
      <c r="K7503" s="12">
        <v>0</v>
      </c>
      <c r="L7503" s="10" t="str">
        <f t="shared" si="275"/>
        <v>ABILIFY 960720_Branded_AE Fagiolini_IT-AM2-2500131</v>
      </c>
      <c r="M7503" s="10" t="str">
        <f t="shared" si="276"/>
        <v>laura.mallia@crm.otsuka-europe.com</v>
      </c>
      <c r="N7503" s="13">
        <v>46227.540636574071</v>
      </c>
      <c r="O7503" s="14" t="str">
        <f>HYPERLINK("https://otsuka-europe-crm.veevavault.com/ui/#object/email_activity__v/V8C00000004D339", "EN-002108723")</f>
        <v>EN-002108723</v>
      </c>
    </row>
    <row r="7504" spans="1:15" ht="48" x14ac:dyDescent="0.2">
      <c r="A7504" s="7" t="str">
        <f>HYPERLINK("https://otsuka-europe-crm.veevavault.com/ui/#object/account__v/V4TZ06G6O71S9T1", "ALESSIA GOFFREDI")</f>
        <v>ALESSIA GOFFREDI</v>
      </c>
      <c r="B7504" s="7" t="str">
        <f t="shared" si="273"/>
        <v>IT</v>
      </c>
      <c r="C7504" s="8" t="s">
        <v>42</v>
      </c>
      <c r="D7504" s="9" t="str">
        <f t="shared" si="274"/>
        <v>ABILIFY 960720_Branded_AE Fagiolini_IT-AM2-2500131</v>
      </c>
      <c r="E7504" s="10" t="str">
        <f>HYPERLINK("https://otsuka-europe-crm.veevavault.com/ui/#object/sent_email__v/VBL00000003C131", "SE-001445149")</f>
        <v>SE-001445149</v>
      </c>
      <c r="F7504" s="11"/>
      <c r="G7504" s="12">
        <v>0</v>
      </c>
      <c r="H7504" s="12">
        <v>0</v>
      </c>
      <c r="I7504" s="12">
        <v>0</v>
      </c>
      <c r="J7504" s="11"/>
      <c r="K7504" s="12">
        <v>0</v>
      </c>
      <c r="L7504" s="10" t="str">
        <f t="shared" si="275"/>
        <v>ABILIFY 960720_Branded_AE Fagiolini_IT-AM2-2500131</v>
      </c>
      <c r="M7504" s="10" t="str">
        <f t="shared" si="276"/>
        <v>laura.mallia@crm.otsuka-europe.com</v>
      </c>
      <c r="N7504" s="13">
        <v>46227.540995370371</v>
      </c>
      <c r="O7504" s="14" t="str">
        <f>HYPERLINK("https://otsuka-europe-crm.veevavault.com/ui/#object/email_activity__v/V8C00000004D340", "EN-002108724")</f>
        <v>EN-002108724</v>
      </c>
    </row>
    <row r="7505" spans="1:15" ht="48" x14ac:dyDescent="0.2">
      <c r="A7505" s="7" t="str">
        <f>HYPERLINK("https://otsuka-europe-crm.veevavault.com/ui/#object/account__v/V4TZ06G6O71SBSA", "MONICA PETRACHI")</f>
        <v>MONICA PETRACHI</v>
      </c>
      <c r="B7505" s="7" t="str">
        <f t="shared" si="273"/>
        <v>IT</v>
      </c>
      <c r="C7505" s="8" t="s">
        <v>42</v>
      </c>
      <c r="D7505" s="9" t="str">
        <f t="shared" si="274"/>
        <v>ABILIFY 960720_Branded_AE Fagiolini_IT-AM2-2500131</v>
      </c>
      <c r="E7505" s="10" t="str">
        <f>HYPERLINK("https://otsuka-europe-crm.veevavault.com/ui/#object/sent_email__v/VBL00000003C132", "SE-001445150")</f>
        <v>SE-001445150</v>
      </c>
      <c r="F7505" s="11"/>
      <c r="G7505" s="12">
        <v>0</v>
      </c>
      <c r="H7505" s="12">
        <v>0</v>
      </c>
      <c r="I7505" s="12">
        <v>0</v>
      </c>
      <c r="J7505" s="11"/>
      <c r="K7505" s="12">
        <v>0</v>
      </c>
      <c r="L7505" s="10" t="str">
        <f t="shared" si="275"/>
        <v>ABILIFY 960720_Branded_AE Fagiolini_IT-AM2-2500131</v>
      </c>
      <c r="M7505" s="10" t="str">
        <f t="shared" si="276"/>
        <v>laura.mallia@crm.otsuka-europe.com</v>
      </c>
      <c r="N7505" s="13">
        <v>46227.541504629633</v>
      </c>
      <c r="O7505" s="14" t="str">
        <f>HYPERLINK("https://otsuka-europe-crm.veevavault.com/ui/#object/email_activity__v/V8C00000004D341", "EN-002108725")</f>
        <v>EN-002108725</v>
      </c>
    </row>
    <row r="7506" spans="1:15" ht="48" x14ac:dyDescent="0.2">
      <c r="A7506" s="7" t="str">
        <f>HYPERLINK("https://otsuka-europe-crm.veevavault.com/ui/#object/account__v/V4TZ025E87SQIOR", "FEDERICA SCALIA")</f>
        <v>FEDERICA SCALIA</v>
      </c>
      <c r="B7506" s="7" t="str">
        <f t="shared" si="273"/>
        <v>IT</v>
      </c>
      <c r="C7506" s="8" t="s">
        <v>42</v>
      </c>
      <c r="D7506" s="9" t="str">
        <f t="shared" si="274"/>
        <v>ABILIFY 960720_Branded_AE Fagiolini_IT-AM2-2500131</v>
      </c>
      <c r="E7506" s="10" t="str">
        <f>HYPERLINK("https://otsuka-europe-crm.veevavault.com/ui/#object/sent_email__v/VBL00000003B200", "SE-001445151")</f>
        <v>SE-001445151</v>
      </c>
      <c r="F7506" s="11"/>
      <c r="G7506" s="12">
        <v>0</v>
      </c>
      <c r="H7506" s="12">
        <v>0</v>
      </c>
      <c r="I7506" s="12">
        <v>0</v>
      </c>
      <c r="J7506" s="11"/>
      <c r="K7506" s="12">
        <v>0</v>
      </c>
      <c r="L7506" s="10" t="str">
        <f t="shared" si="275"/>
        <v>ABILIFY 960720_Branded_AE Fagiolini_IT-AM2-2500131</v>
      </c>
      <c r="M7506" s="10" t="str">
        <f t="shared" si="276"/>
        <v>laura.mallia@crm.otsuka-europe.com</v>
      </c>
      <c r="N7506" s="13">
        <v>46227.541990740741</v>
      </c>
      <c r="O7506" s="14" t="str">
        <f>HYPERLINK("https://otsuka-europe-crm.veevavault.com/ui/#object/email_activity__v/V8C00000004E168", "EN-002108728")</f>
        <v>EN-002108728</v>
      </c>
    </row>
    <row r="7507" spans="1:15" ht="16" x14ac:dyDescent="0.2">
      <c r="A7507" s="18" t="str">
        <f>HYPERLINK("https://otsuka-europe-crm.veevavault.com/ui/#object/account__v/V4TZ04ASGAV85MH", "GIOVANNA ADELE MARIA VALVASSORI BOLGE'")</f>
        <v>GIOVANNA ADELE MARIA VALVASSORI BOLGE'</v>
      </c>
      <c r="B7507" s="18" t="str">
        <f t="shared" si="273"/>
        <v>IT</v>
      </c>
      <c r="C7507" s="20" t="s">
        <v>42</v>
      </c>
      <c r="D7507" s="21" t="str">
        <f t="shared" si="274"/>
        <v>ABILIFY 960720_Branded_AE Fagiolini_IT-AM2-2500131</v>
      </c>
      <c r="E7507" s="22" t="str">
        <f>HYPERLINK("https://otsuka-europe-crm.veevavault.com/ui/#object/sent_email__v/VBL00000003B201", "SE-001445152")</f>
        <v>SE-001445152</v>
      </c>
      <c r="F7507" s="25">
        <v>46230.693541666667</v>
      </c>
      <c r="G7507" s="24">
        <v>1</v>
      </c>
      <c r="H7507" s="24">
        <v>1</v>
      </c>
      <c r="I7507" s="24">
        <v>0</v>
      </c>
      <c r="J7507" s="23"/>
      <c r="K7507" s="24">
        <v>0</v>
      </c>
      <c r="L7507" s="22" t="str">
        <f t="shared" si="275"/>
        <v>ABILIFY 960720_Branded_AE Fagiolini_IT-AM2-2500131</v>
      </c>
      <c r="M7507" s="22" t="str">
        <f t="shared" si="276"/>
        <v>laura.mallia@crm.otsuka-europe.com</v>
      </c>
      <c r="N7507" s="25">
        <v>46227.542337962965</v>
      </c>
      <c r="O7507" s="14" t="str">
        <f>HYPERLINK("https://otsuka-europe-crm.veevavault.com/ui/#object/email_activity__v/V8C00000004D343", "EN-002108729")</f>
        <v>EN-002108729</v>
      </c>
    </row>
    <row r="7508" spans="1:15" ht="16" x14ac:dyDescent="0.2">
      <c r="A7508" s="19"/>
      <c r="B7508" s="19"/>
      <c r="C7508" s="19"/>
      <c r="D7508" s="19"/>
      <c r="E7508" s="19"/>
      <c r="F7508" s="19"/>
      <c r="G7508" s="19"/>
      <c r="H7508" s="19"/>
      <c r="I7508" s="19"/>
      <c r="J7508" s="19"/>
      <c r="K7508" s="19"/>
      <c r="L7508" s="19"/>
      <c r="M7508" s="19"/>
      <c r="N7508" s="19"/>
      <c r="O7508" s="14" t="str">
        <f>HYPERLINK("https://otsuka-europe-crm.veevavault.com/ui/#object/email_activity__v/V8C00000004E386", "EN-002109117")</f>
        <v>EN-002109117</v>
      </c>
    </row>
    <row r="7509" spans="1:15" ht="48" x14ac:dyDescent="0.2">
      <c r="A7509" s="7" t="str">
        <f>HYPERLINK("https://otsuka-europe-crm.veevavault.com/ui/#object/account__v/V4TZ06G6O71SA2F", "ANTONELLA BARLOCCO")</f>
        <v>ANTONELLA BARLOCCO</v>
      </c>
      <c r="B7509" s="7" t="str">
        <f t="shared" ref="B7509:B7518" si="277">HYPERLINK("https://otsuka-europe-crm.veevavault.com/ui/#object/vcountry__v/VENZ000004SONFQ", "IT")</f>
        <v>IT</v>
      </c>
      <c r="C7509" s="8" t="s">
        <v>42</v>
      </c>
      <c r="D7509" s="9" t="str">
        <f t="shared" ref="D7509:D7518" si="278">HYPERLINK("https://otsuka-europe-crm.veevavault.com/ui/#object/approved_document__v/V5OZ025E82UFNWM", "ABILIFY 960720_Branded_AE Fagiolini_IT-AM2-2500131")</f>
        <v>ABILIFY 960720_Branded_AE Fagiolini_IT-AM2-2500131</v>
      </c>
      <c r="E7509" s="10" t="str">
        <f>HYPERLINK("https://otsuka-europe-crm.veevavault.com/ui/#object/sent_email__v/VBL00000003B202", "SE-001445153")</f>
        <v>SE-001445153</v>
      </c>
      <c r="F7509" s="11"/>
      <c r="G7509" s="12">
        <v>0</v>
      </c>
      <c r="H7509" s="12">
        <v>0</v>
      </c>
      <c r="I7509" s="12">
        <v>0</v>
      </c>
      <c r="J7509" s="11"/>
      <c r="K7509" s="12">
        <v>0</v>
      </c>
      <c r="L7509" s="10" t="str">
        <f t="shared" ref="L7509:L7518" si="279">HYPERLINK("https://otsuka-europe-crm.veevavault.com/ui/#object/approved_document__v/V5OZ025E82UFNWM", "ABILIFY 960720_Branded_AE Fagiolini_IT-AM2-2500131")</f>
        <v>ABILIFY 960720_Branded_AE Fagiolini_IT-AM2-2500131</v>
      </c>
      <c r="M7509" s="10" t="str">
        <f t="shared" ref="M7509:M7518" si="280">HYPERLINK("mailto:laura.mallia@crm.otsuka-europe.com", "laura.mallia@crm.otsuka-europe.com")</f>
        <v>laura.mallia@crm.otsuka-europe.com</v>
      </c>
      <c r="N7509" s="13">
        <v>46227.542731481481</v>
      </c>
      <c r="O7509" s="14" t="str">
        <f>HYPERLINK("https://otsuka-europe-crm.veevavault.com/ui/#object/email_activity__v/V8C00000004E170", "EN-002108731")</f>
        <v>EN-002108731</v>
      </c>
    </row>
    <row r="7510" spans="1:15" ht="48" x14ac:dyDescent="0.2">
      <c r="A7510" s="7" t="str">
        <f>HYPERLINK("https://otsuka-europe-crm.veevavault.com/ui/#object/account__v/V4TZ06G6O7VSRR3", "MADDALENA LA PLACA")</f>
        <v>MADDALENA LA PLACA</v>
      </c>
      <c r="B7510" s="7" t="str">
        <f t="shared" si="277"/>
        <v>IT</v>
      </c>
      <c r="C7510" s="8" t="s">
        <v>42</v>
      </c>
      <c r="D7510" s="9" t="str">
        <f t="shared" si="278"/>
        <v>ABILIFY 960720_Branded_AE Fagiolini_IT-AM2-2500131</v>
      </c>
      <c r="E7510" s="10" t="str">
        <f>HYPERLINK("https://otsuka-europe-crm.veevavault.com/ui/#object/sent_email__v/VBL00000003B203", "SE-001445154")</f>
        <v>SE-001445154</v>
      </c>
      <c r="F7510" s="11"/>
      <c r="G7510" s="12">
        <v>0</v>
      </c>
      <c r="H7510" s="12">
        <v>0</v>
      </c>
      <c r="I7510" s="12">
        <v>0</v>
      </c>
      <c r="J7510" s="11"/>
      <c r="K7510" s="12">
        <v>0</v>
      </c>
      <c r="L7510" s="10" t="str">
        <f t="shared" si="279"/>
        <v>ABILIFY 960720_Branded_AE Fagiolini_IT-AM2-2500131</v>
      </c>
      <c r="M7510" s="10" t="str">
        <f t="shared" si="280"/>
        <v>laura.mallia@crm.otsuka-europe.com</v>
      </c>
      <c r="N7510" s="13">
        <v>46227.543402777781</v>
      </c>
      <c r="O7510" s="14" t="str">
        <f>HYPERLINK("https://otsuka-europe-crm.veevavault.com/ui/#object/email_activity__v/V8C00000004E172", "EN-002108734")</f>
        <v>EN-002108734</v>
      </c>
    </row>
    <row r="7511" spans="1:15" ht="48" x14ac:dyDescent="0.2">
      <c r="A7511" s="7" t="str">
        <f>HYPERLINK("https://otsuka-europe-crm.veevavault.com/ui/#object/account__v/V4T00000000O034", "CARLO BOMMARTINI")</f>
        <v>CARLO BOMMARTINI</v>
      </c>
      <c r="B7511" s="7" t="str">
        <f t="shared" si="277"/>
        <v>IT</v>
      </c>
      <c r="C7511" s="8" t="s">
        <v>42</v>
      </c>
      <c r="D7511" s="9" t="str">
        <f t="shared" si="278"/>
        <v>ABILIFY 960720_Branded_AE Fagiolini_IT-AM2-2500131</v>
      </c>
      <c r="E7511" s="10" t="str">
        <f>HYPERLINK("https://otsuka-europe-crm.veevavault.com/ui/#object/sent_email__v/VBL00000003C133", "SE-001445155")</f>
        <v>SE-001445155</v>
      </c>
      <c r="F7511" s="11"/>
      <c r="G7511" s="12">
        <v>0</v>
      </c>
      <c r="H7511" s="12">
        <v>0</v>
      </c>
      <c r="I7511" s="12">
        <v>0</v>
      </c>
      <c r="J7511" s="11"/>
      <c r="K7511" s="12">
        <v>0</v>
      </c>
      <c r="L7511" s="10" t="str">
        <f t="shared" si="279"/>
        <v>ABILIFY 960720_Branded_AE Fagiolini_IT-AM2-2500131</v>
      </c>
      <c r="M7511" s="10" t="str">
        <f t="shared" si="280"/>
        <v>laura.mallia@crm.otsuka-europe.com</v>
      </c>
      <c r="N7511" s="13">
        <v>46227.543923611112</v>
      </c>
      <c r="O7511" s="14" t="str">
        <f>HYPERLINK("https://otsuka-europe-crm.veevavault.com/ui/#object/email_activity__v/V8C00000004E173", "EN-002108735")</f>
        <v>EN-002108735</v>
      </c>
    </row>
    <row r="7512" spans="1:15" ht="48" x14ac:dyDescent="0.2">
      <c r="A7512" s="7" t="str">
        <f>HYPERLINK("https://otsuka-europe-crm.veevavault.com/ui/#object/account__v/V4TZ025E86CGV99", "GIADA LAURIA")</f>
        <v>GIADA LAURIA</v>
      </c>
      <c r="B7512" s="7" t="str">
        <f t="shared" si="277"/>
        <v>IT</v>
      </c>
      <c r="C7512" s="8" t="s">
        <v>42</v>
      </c>
      <c r="D7512" s="9" t="str">
        <f t="shared" si="278"/>
        <v>ABILIFY 960720_Branded_AE Fagiolini_IT-AM2-2500131</v>
      </c>
      <c r="E7512" s="10" t="str">
        <f>HYPERLINK("https://otsuka-europe-crm.veevavault.com/ui/#object/sent_email__v/VBL00000003B204", "SE-001445156")</f>
        <v>SE-001445156</v>
      </c>
      <c r="F7512" s="11"/>
      <c r="G7512" s="12">
        <v>0</v>
      </c>
      <c r="H7512" s="12">
        <v>0</v>
      </c>
      <c r="I7512" s="12">
        <v>0</v>
      </c>
      <c r="J7512" s="11"/>
      <c r="K7512" s="12">
        <v>0</v>
      </c>
      <c r="L7512" s="10" t="str">
        <f t="shared" si="279"/>
        <v>ABILIFY 960720_Branded_AE Fagiolini_IT-AM2-2500131</v>
      </c>
      <c r="M7512" s="10" t="str">
        <f t="shared" si="280"/>
        <v>laura.mallia@crm.otsuka-europe.com</v>
      </c>
      <c r="N7512" s="13">
        <v>46227.544606481482</v>
      </c>
      <c r="O7512" s="14" t="str">
        <f>HYPERLINK("https://otsuka-europe-crm.veevavault.com/ui/#object/email_activity__v/V8C00000004E175", "EN-002108737")</f>
        <v>EN-002108737</v>
      </c>
    </row>
    <row r="7513" spans="1:15" ht="48" x14ac:dyDescent="0.2">
      <c r="A7513" s="7" t="str">
        <f>HYPERLINK("https://otsuka-europe-crm.veevavault.com/ui/#object/account__v/V4TZ025E83HRD2M", "MARCO MORREALE")</f>
        <v>MARCO MORREALE</v>
      </c>
      <c r="B7513" s="7" t="str">
        <f t="shared" si="277"/>
        <v>IT</v>
      </c>
      <c r="C7513" s="8" t="s">
        <v>42</v>
      </c>
      <c r="D7513" s="9" t="str">
        <f t="shared" si="278"/>
        <v>ABILIFY 960720_Branded_AE Fagiolini_IT-AM2-2500131</v>
      </c>
      <c r="E7513" s="10" t="str">
        <f>HYPERLINK("https://otsuka-europe-crm.veevavault.com/ui/#object/sent_email__v/VBL00000003C134", "SE-001445157")</f>
        <v>SE-001445157</v>
      </c>
      <c r="F7513" s="11"/>
      <c r="G7513" s="12">
        <v>0</v>
      </c>
      <c r="H7513" s="12">
        <v>0</v>
      </c>
      <c r="I7513" s="12">
        <v>0</v>
      </c>
      <c r="J7513" s="11"/>
      <c r="K7513" s="12">
        <v>0</v>
      </c>
      <c r="L7513" s="10" t="str">
        <f t="shared" si="279"/>
        <v>ABILIFY 960720_Branded_AE Fagiolini_IT-AM2-2500131</v>
      </c>
      <c r="M7513" s="10" t="str">
        <f t="shared" si="280"/>
        <v>laura.mallia@crm.otsuka-europe.com</v>
      </c>
      <c r="N7513" s="13">
        <v>46227.545312499999</v>
      </c>
      <c r="O7513" s="14" t="str">
        <f>HYPERLINK("https://otsuka-europe-crm.veevavault.com/ui/#object/email_activity__v/V8C00000004E176", "EN-002108738")</f>
        <v>EN-002108738</v>
      </c>
    </row>
    <row r="7514" spans="1:15" ht="48" x14ac:dyDescent="0.2">
      <c r="A7514" s="7" t="str">
        <f>HYPERLINK("https://otsuka-europe-crm.veevavault.com/ui/#object/account__v/V4T000000015125", "CARLO BASSETTI")</f>
        <v>CARLO BASSETTI</v>
      </c>
      <c r="B7514" s="7" t="str">
        <f t="shared" si="277"/>
        <v>IT</v>
      </c>
      <c r="C7514" s="8" t="s">
        <v>42</v>
      </c>
      <c r="D7514" s="9" t="str">
        <f t="shared" si="278"/>
        <v>ABILIFY 960720_Branded_AE Fagiolini_IT-AM2-2500131</v>
      </c>
      <c r="E7514" s="10" t="str">
        <f>HYPERLINK("https://otsuka-europe-crm.veevavault.com/ui/#object/sent_email__v/VBL00000003B205", "SE-001445158")</f>
        <v>SE-001445158</v>
      </c>
      <c r="F7514" s="11"/>
      <c r="G7514" s="12">
        <v>0</v>
      </c>
      <c r="H7514" s="12">
        <v>0</v>
      </c>
      <c r="I7514" s="12">
        <v>0</v>
      </c>
      <c r="J7514" s="11"/>
      <c r="K7514" s="12">
        <v>0</v>
      </c>
      <c r="L7514" s="10" t="str">
        <f t="shared" si="279"/>
        <v>ABILIFY 960720_Branded_AE Fagiolini_IT-AM2-2500131</v>
      </c>
      <c r="M7514" s="10" t="str">
        <f t="shared" si="280"/>
        <v>laura.mallia@crm.otsuka-europe.com</v>
      </c>
      <c r="N7514" s="13">
        <v>46227.545856481483</v>
      </c>
      <c r="O7514" s="14" t="str">
        <f>HYPERLINK("https://otsuka-europe-crm.veevavault.com/ui/#object/email_activity__v/V8C00000004E178", "EN-002108741")</f>
        <v>EN-002108741</v>
      </c>
    </row>
    <row r="7515" spans="1:15" ht="48" x14ac:dyDescent="0.2">
      <c r="A7515" s="7" t="str">
        <f>HYPERLINK("https://otsuka-europe-crm.veevavault.com/ui/#object/account__v/V4T000000015125", "CARLO BASSETTI")</f>
        <v>CARLO BASSETTI</v>
      </c>
      <c r="B7515" s="7" t="str">
        <f t="shared" si="277"/>
        <v>IT</v>
      </c>
      <c r="C7515" s="8" t="s">
        <v>42</v>
      </c>
      <c r="D7515" s="9" t="str">
        <f t="shared" si="278"/>
        <v>ABILIFY 960720_Branded_AE Fagiolini_IT-AM2-2500131</v>
      </c>
      <c r="E7515" s="10" t="str">
        <f>HYPERLINK("https://otsuka-europe-crm.veevavault.com/ui/#object/sent_email__v/VBL00000003B206", "SE-001445159")</f>
        <v>SE-001445159</v>
      </c>
      <c r="F7515" s="11"/>
      <c r="G7515" s="12">
        <v>0</v>
      </c>
      <c r="H7515" s="12">
        <v>0</v>
      </c>
      <c r="I7515" s="12">
        <v>0</v>
      </c>
      <c r="J7515" s="11"/>
      <c r="K7515" s="12">
        <v>0</v>
      </c>
      <c r="L7515" s="10" t="str">
        <f t="shared" si="279"/>
        <v>ABILIFY 960720_Branded_AE Fagiolini_IT-AM2-2500131</v>
      </c>
      <c r="M7515" s="10" t="str">
        <f t="shared" si="280"/>
        <v>laura.mallia@crm.otsuka-europe.com</v>
      </c>
      <c r="N7515" s="13">
        <v>46227.546377314815</v>
      </c>
      <c r="O7515" s="14" t="str">
        <f>HYPERLINK("https://otsuka-europe-crm.veevavault.com/ui/#object/email_activity__v/V8C00000004E181", "EN-002108745")</f>
        <v>EN-002108745</v>
      </c>
    </row>
    <row r="7516" spans="1:15" ht="48" x14ac:dyDescent="0.2">
      <c r="A7516" s="7" t="str">
        <f>HYPERLINK("https://otsuka-europe-crm.veevavault.com/ui/#object/account__v/V4TZ025E85ANDU0", "VICTOR ATTILIO CAMPAGNA")</f>
        <v>VICTOR ATTILIO CAMPAGNA</v>
      </c>
      <c r="B7516" s="7" t="str">
        <f t="shared" si="277"/>
        <v>IT</v>
      </c>
      <c r="C7516" s="8" t="s">
        <v>42</v>
      </c>
      <c r="D7516" s="9" t="str">
        <f t="shared" si="278"/>
        <v>ABILIFY 960720_Branded_AE Fagiolini_IT-AM2-2500131</v>
      </c>
      <c r="E7516" s="10" t="str">
        <f>HYPERLINK("https://otsuka-europe-crm.veevavault.com/ui/#object/sent_email__v/VBL00000003C135", "SE-001445160")</f>
        <v>SE-001445160</v>
      </c>
      <c r="F7516" s="11"/>
      <c r="G7516" s="12">
        <v>0</v>
      </c>
      <c r="H7516" s="12">
        <v>0</v>
      </c>
      <c r="I7516" s="12">
        <v>0</v>
      </c>
      <c r="J7516" s="11"/>
      <c r="K7516" s="12">
        <v>0</v>
      </c>
      <c r="L7516" s="10" t="str">
        <f t="shared" si="279"/>
        <v>ABILIFY 960720_Branded_AE Fagiolini_IT-AM2-2500131</v>
      </c>
      <c r="M7516" s="10" t="str">
        <f t="shared" si="280"/>
        <v>laura.mallia@crm.otsuka-europe.com</v>
      </c>
      <c r="N7516" s="13">
        <v>46227.547037037039</v>
      </c>
      <c r="O7516" s="14" t="str">
        <f>HYPERLINK("https://otsuka-europe-crm.veevavault.com/ui/#object/email_activity__v/V8C00000004E183", "EN-002108748")</f>
        <v>EN-002108748</v>
      </c>
    </row>
    <row r="7517" spans="1:15" ht="48" x14ac:dyDescent="0.2">
      <c r="A7517" s="7" t="str">
        <f>HYPERLINK("https://otsuka-europe-crm.veevavault.com/ui/#object/account__v/V4TZ025E83HGJ6K", "MARCO GAZZOLA")</f>
        <v>MARCO GAZZOLA</v>
      </c>
      <c r="B7517" s="7" t="str">
        <f t="shared" si="277"/>
        <v>IT</v>
      </c>
      <c r="C7517" s="8" t="s">
        <v>42</v>
      </c>
      <c r="D7517" s="9" t="str">
        <f t="shared" si="278"/>
        <v>ABILIFY 960720_Branded_AE Fagiolini_IT-AM2-2500131</v>
      </c>
      <c r="E7517" s="10" t="str">
        <f>HYPERLINK("https://otsuka-europe-crm.veevavault.com/ui/#object/sent_email__v/VBL00000003C136", "SE-001445161")</f>
        <v>SE-001445161</v>
      </c>
      <c r="F7517" s="11"/>
      <c r="G7517" s="12">
        <v>0</v>
      </c>
      <c r="H7517" s="12">
        <v>0</v>
      </c>
      <c r="I7517" s="12">
        <v>0</v>
      </c>
      <c r="J7517" s="11"/>
      <c r="K7517" s="12">
        <v>0</v>
      </c>
      <c r="L7517" s="10" t="str">
        <f t="shared" si="279"/>
        <v>ABILIFY 960720_Branded_AE Fagiolini_IT-AM2-2500131</v>
      </c>
      <c r="M7517" s="10" t="str">
        <f t="shared" si="280"/>
        <v>laura.mallia@crm.otsuka-europe.com</v>
      </c>
      <c r="N7517" s="13">
        <v>46227.547384259262</v>
      </c>
      <c r="O7517" s="14" t="str">
        <f>HYPERLINK("https://otsuka-europe-crm.veevavault.com/ui/#object/email_activity__v/V8C00000004E184", "EN-002108749")</f>
        <v>EN-002108749</v>
      </c>
    </row>
    <row r="7518" spans="1:15" ht="16" x14ac:dyDescent="0.2">
      <c r="A7518" s="18" t="str">
        <f>HYPERLINK("https://otsuka-europe-crm.veevavault.com/ui/#object/account__v/V4TZ06G6O71SCRM", "DANIELE ZANELLO")</f>
        <v>DANIELE ZANELLO</v>
      </c>
      <c r="B7518" s="18" t="str">
        <f t="shared" si="277"/>
        <v>IT</v>
      </c>
      <c r="C7518" s="20" t="s">
        <v>42</v>
      </c>
      <c r="D7518" s="21" t="str">
        <f t="shared" si="278"/>
        <v>ABILIFY 960720_Branded_AE Fagiolini_IT-AM2-2500131</v>
      </c>
      <c r="E7518" s="22" t="str">
        <f>HYPERLINK("https://otsuka-europe-crm.veevavault.com/ui/#object/sent_email__v/VBL00000003C137", "SE-001445162")</f>
        <v>SE-001445162</v>
      </c>
      <c r="F7518" s="23"/>
      <c r="G7518" s="24">
        <v>0</v>
      </c>
      <c r="H7518" s="24">
        <v>0</v>
      </c>
      <c r="I7518" s="24">
        <v>0</v>
      </c>
      <c r="J7518" s="23"/>
      <c r="K7518" s="24">
        <v>0</v>
      </c>
      <c r="L7518" s="22" t="str">
        <f t="shared" si="279"/>
        <v>ABILIFY 960720_Branded_AE Fagiolini_IT-AM2-2500131</v>
      </c>
      <c r="M7518" s="22" t="str">
        <f t="shared" si="280"/>
        <v>laura.mallia@crm.otsuka-europe.com</v>
      </c>
      <c r="N7518" s="25">
        <v>46227.54791666667</v>
      </c>
      <c r="O7518" s="14" t="str">
        <f>HYPERLINK("https://otsuka-europe-crm.veevavault.com/ui/#object/email_activity__v/V8C00000004E185", "EN-002108750")</f>
        <v>EN-002108750</v>
      </c>
    </row>
    <row r="7519" spans="1:15" ht="16" x14ac:dyDescent="0.2">
      <c r="A7519" s="19"/>
      <c r="B7519" s="19"/>
      <c r="C7519" s="19"/>
      <c r="D7519" s="19"/>
      <c r="E7519" s="19"/>
      <c r="F7519" s="19"/>
      <c r="G7519" s="19"/>
      <c r="H7519" s="19"/>
      <c r="I7519" s="19"/>
      <c r="J7519" s="19"/>
      <c r="K7519" s="19"/>
      <c r="L7519" s="19"/>
      <c r="M7519" s="19"/>
      <c r="N7519" s="19"/>
      <c r="O7519" s="14" t="str">
        <f>HYPERLINK("https://otsuka-europe-crm.veevavault.com/ui/#object/email_activity__v/V8C00000004E265", "EN-002108898")</f>
        <v>EN-002108898</v>
      </c>
    </row>
    <row r="7520" spans="1:15" ht="16" x14ac:dyDescent="0.2">
      <c r="A7520" s="18" t="str">
        <f>HYPERLINK("https://otsuka-europe-crm.veevavault.com/ui/#object/account__v/V4TZ06G6O71SCRM", "DANIELE ZANELLO")</f>
        <v>DANIELE ZANELLO</v>
      </c>
      <c r="B7520" s="18" t="str">
        <f>HYPERLINK("https://otsuka-europe-crm.veevavault.com/ui/#object/vcountry__v/VENZ000004SONFQ", "IT")</f>
        <v>IT</v>
      </c>
      <c r="C7520" s="20" t="s">
        <v>42</v>
      </c>
      <c r="D7520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520" s="22" t="str">
        <f>HYPERLINK("https://otsuka-europe-crm.veevavault.com/ui/#object/sent_email__v/VBL00000003B207", "SE-001445163")</f>
        <v>SE-001445163</v>
      </c>
      <c r="F7520" s="23"/>
      <c r="G7520" s="24">
        <v>0</v>
      </c>
      <c r="H7520" s="24">
        <v>0</v>
      </c>
      <c r="I7520" s="24">
        <v>0</v>
      </c>
      <c r="J7520" s="23"/>
      <c r="K7520" s="24">
        <v>0</v>
      </c>
      <c r="L7520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520" s="22" t="str">
        <f>HYPERLINK("mailto:laura.mallia@crm.otsuka-europe.com", "laura.mallia@crm.otsuka-europe.com")</f>
        <v>laura.mallia@crm.otsuka-europe.com</v>
      </c>
      <c r="N7520" s="25">
        <v>46227.548055555555</v>
      </c>
      <c r="O7520" s="14" t="str">
        <f>HYPERLINK("https://otsuka-europe-crm.veevavault.com/ui/#object/email_activity__v/V8C00000004D451", "EN-002108985")</f>
        <v>EN-002108985</v>
      </c>
    </row>
    <row r="7521" spans="1:15" ht="16" x14ac:dyDescent="0.2">
      <c r="A7521" s="19"/>
      <c r="B7521" s="19"/>
      <c r="C7521" s="19"/>
      <c r="D7521" s="19"/>
      <c r="E7521" s="19"/>
      <c r="F7521" s="19"/>
      <c r="G7521" s="19"/>
      <c r="H7521" s="19"/>
      <c r="I7521" s="19"/>
      <c r="J7521" s="19"/>
      <c r="K7521" s="19"/>
      <c r="L7521" s="19"/>
      <c r="M7521" s="19"/>
      <c r="N7521" s="19"/>
      <c r="O7521" s="14" t="str">
        <f>HYPERLINK("https://otsuka-europe-crm.veevavault.com/ui/#object/email_activity__v/V8C00000004E186", "EN-002108751")</f>
        <v>EN-002108751</v>
      </c>
    </row>
    <row r="7522" spans="1:15" ht="16" x14ac:dyDescent="0.2">
      <c r="A7522" s="18" t="str">
        <f>HYPERLINK("https://otsuka-europe-crm.veevavault.com/ui/#object/account__v/V4T000000004042", "ALDO DE PIETRA")</f>
        <v>ALDO DE PIETRA</v>
      </c>
      <c r="B7522" s="18" t="str">
        <f>HYPERLINK("https://otsuka-europe-crm.veevavault.com/ui/#object/vcountry__v/VENZ000004SONFQ", "IT")</f>
        <v>IT</v>
      </c>
      <c r="C7522" s="20" t="s">
        <v>42</v>
      </c>
      <c r="D7522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522" s="22" t="str">
        <f>HYPERLINK("https://otsuka-europe-crm.veevavault.com/ui/#object/sent_email__v/VBL00000003B208", "SE-001445164")</f>
        <v>SE-001445164</v>
      </c>
      <c r="F7522" s="25">
        <v>46227.673819444448</v>
      </c>
      <c r="G7522" s="24">
        <v>1</v>
      </c>
      <c r="H7522" s="24">
        <v>1</v>
      </c>
      <c r="I7522" s="24">
        <v>1</v>
      </c>
      <c r="J7522" s="25">
        <v>46227.67391203704</v>
      </c>
      <c r="K7522" s="24">
        <v>2</v>
      </c>
      <c r="L7522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522" s="22" t="str">
        <f>HYPERLINK("mailto:laura.mallia@crm.otsuka-europe.com", "laura.mallia@crm.otsuka-europe.com")</f>
        <v>laura.mallia@crm.otsuka-europe.com</v>
      </c>
      <c r="N7522" s="25">
        <v>46227.548807870371</v>
      </c>
      <c r="O7522" s="14" t="str">
        <f>HYPERLINK("https://otsuka-europe-crm.veevavault.com/ui/#object/email_activity__v/V8C00000004E187", "EN-002108752")</f>
        <v>EN-002108752</v>
      </c>
    </row>
    <row r="7523" spans="1:15" ht="16" x14ac:dyDescent="0.2">
      <c r="A7523" s="26"/>
      <c r="B7523" s="26"/>
      <c r="C7523" s="26"/>
      <c r="D7523" s="26"/>
      <c r="E7523" s="26"/>
      <c r="F7523" s="26"/>
      <c r="G7523" s="26"/>
      <c r="H7523" s="26"/>
      <c r="I7523" s="26"/>
      <c r="J7523" s="26"/>
      <c r="K7523" s="26"/>
      <c r="L7523" s="26"/>
      <c r="M7523" s="26"/>
      <c r="N7523" s="26"/>
      <c r="O7523" s="14" t="str">
        <f>HYPERLINK("https://otsuka-europe-crm.veevavault.com/ui/#object/email_activity__v/V8C00000004E247", "EN-002108870")</f>
        <v>EN-002108870</v>
      </c>
    </row>
    <row r="7524" spans="1:15" ht="16" x14ac:dyDescent="0.2">
      <c r="A7524" s="26"/>
      <c r="B7524" s="26"/>
      <c r="C7524" s="26"/>
      <c r="D7524" s="26"/>
      <c r="E7524" s="26"/>
      <c r="F7524" s="26"/>
      <c r="G7524" s="26"/>
      <c r="H7524" s="26"/>
      <c r="I7524" s="26"/>
      <c r="J7524" s="26"/>
      <c r="K7524" s="26"/>
      <c r="L7524" s="26"/>
      <c r="M7524" s="26"/>
      <c r="N7524" s="26"/>
      <c r="O7524" s="14" t="str">
        <f>HYPERLINK("https://otsuka-europe-crm.veevavault.com/ui/#object/email_activity__v/V8C00000004E248", "EN-002108869")</f>
        <v>EN-002108869</v>
      </c>
    </row>
    <row r="7525" spans="1:15" ht="16" x14ac:dyDescent="0.2">
      <c r="A7525" s="19"/>
      <c r="B7525" s="19"/>
      <c r="C7525" s="19"/>
      <c r="D7525" s="19"/>
      <c r="E7525" s="19"/>
      <c r="F7525" s="19"/>
      <c r="G7525" s="19"/>
      <c r="H7525" s="19"/>
      <c r="I7525" s="19"/>
      <c r="J7525" s="19"/>
      <c r="K7525" s="19"/>
      <c r="L7525" s="19"/>
      <c r="M7525" s="19"/>
      <c r="N7525" s="19"/>
      <c r="O7525" s="14" t="str">
        <f>HYPERLINK("https://otsuka-europe-crm.veevavault.com/ui/#object/email_activity__v/V8C00000004E249", "EN-002108871")</f>
        <v>EN-002108871</v>
      </c>
    </row>
    <row r="7526" spans="1:15" ht="48" x14ac:dyDescent="0.2">
      <c r="A7526" s="7" t="str">
        <f>HYPERLINK("https://otsuka-europe-crm.veevavault.com/ui/#object/account__v/V4TZ025E83HE5DL", "PIERLUCA GUZZI")</f>
        <v>PIERLUCA GUZZI</v>
      </c>
      <c r="B7526" s="7" t="str">
        <f>HYPERLINK("https://otsuka-europe-crm.veevavault.com/ui/#object/vcountry__v/VENZ000004SONFQ", "IT")</f>
        <v>IT</v>
      </c>
      <c r="C7526" s="8" t="s">
        <v>42</v>
      </c>
      <c r="D7526" s="9" t="str">
        <f>HYPERLINK("https://otsuka-europe-crm.veevavault.com/ui/#object/approved_document__v/V5OZ025E82UFNWM", "ABILIFY 960720_Branded_AE Fagiolini_IT-AM2-2500131")</f>
        <v>ABILIFY 960720_Branded_AE Fagiolini_IT-AM2-2500131</v>
      </c>
      <c r="E7526" s="10" t="str">
        <f>HYPERLINK("https://otsuka-europe-crm.veevavault.com/ui/#object/sent_email__v/VBL00000003C138", "SE-001445165")</f>
        <v>SE-001445165</v>
      </c>
      <c r="F7526" s="11"/>
      <c r="G7526" s="12">
        <v>0</v>
      </c>
      <c r="H7526" s="12">
        <v>0</v>
      </c>
      <c r="I7526" s="12">
        <v>0</v>
      </c>
      <c r="J7526" s="11"/>
      <c r="K7526" s="12">
        <v>0</v>
      </c>
      <c r="L7526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526" s="10" t="str">
        <f>HYPERLINK("mailto:laura.mallia@crm.otsuka-europe.com", "laura.mallia@crm.otsuka-europe.com")</f>
        <v>laura.mallia@crm.otsuka-europe.com</v>
      </c>
      <c r="N7526" s="13">
        <v>46227.550023148149</v>
      </c>
      <c r="O7526" s="14" t="str">
        <f>HYPERLINK("https://otsuka-europe-crm.veevavault.com/ui/#object/email_activity__v/V8C00000004E190", "EN-002108756")</f>
        <v>EN-002108756</v>
      </c>
    </row>
    <row r="7527" spans="1:15" ht="48" x14ac:dyDescent="0.2">
      <c r="A7527" s="7" t="str">
        <f>HYPERLINK("https://otsuka-europe-crm.veevavault.com/ui/#object/account__v/V4TZ06G6O71S9RH", "CLAUDIA CUMERLATO MELTER")</f>
        <v>CLAUDIA CUMERLATO MELTER</v>
      </c>
      <c r="B7527" s="7" t="str">
        <f>HYPERLINK("https://otsuka-europe-crm.veevavault.com/ui/#object/vcountry__v/VENZ000004SONFQ", "IT")</f>
        <v>IT</v>
      </c>
      <c r="C7527" s="8" t="s">
        <v>42</v>
      </c>
      <c r="D7527" s="9" t="str">
        <f>HYPERLINK("https://otsuka-europe-crm.veevavault.com/ui/#object/approved_document__v/V5OZ025E82UFNWM", "ABILIFY 960720_Branded_AE Fagiolini_IT-AM2-2500131")</f>
        <v>ABILIFY 960720_Branded_AE Fagiolini_IT-AM2-2500131</v>
      </c>
      <c r="E7527" s="10" t="str">
        <f>HYPERLINK("https://otsuka-europe-crm.veevavault.com/ui/#object/sent_email__v/VBL00000003C139", "SE-001445166")</f>
        <v>SE-001445166</v>
      </c>
      <c r="F7527" s="11"/>
      <c r="G7527" s="12">
        <v>0</v>
      </c>
      <c r="H7527" s="12">
        <v>0</v>
      </c>
      <c r="I7527" s="12">
        <v>0</v>
      </c>
      <c r="J7527" s="11"/>
      <c r="K7527" s="12">
        <v>0</v>
      </c>
      <c r="L7527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527" s="10" t="str">
        <f>HYPERLINK("mailto:laura.mallia@crm.otsuka-europe.com", "laura.mallia@crm.otsuka-europe.com")</f>
        <v>laura.mallia@crm.otsuka-europe.com</v>
      </c>
      <c r="N7527" s="13">
        <v>46227.550208333334</v>
      </c>
      <c r="O7527" s="14" t="str">
        <f>HYPERLINK("https://otsuka-europe-crm.veevavault.com/ui/#object/email_activity__v/V8C00000004D349", "EN-002108757")</f>
        <v>EN-002108757</v>
      </c>
    </row>
    <row r="7528" spans="1:15" ht="16" x14ac:dyDescent="0.2">
      <c r="A7528" s="18" t="str">
        <f>HYPERLINK("https://otsuka-europe-crm.veevavault.com/ui/#object/account__v/V4T00000000E013", "MARCO BROCCIA")</f>
        <v>MARCO BROCCIA</v>
      </c>
      <c r="B7528" s="18" t="str">
        <f>HYPERLINK("https://otsuka-europe-crm.veevavault.com/ui/#object/vcountry__v/VENZ000004SONFQ", "IT")</f>
        <v>IT</v>
      </c>
      <c r="C7528" s="20" t="s">
        <v>42</v>
      </c>
      <c r="D7528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528" s="22" t="str">
        <f>HYPERLINK("https://otsuka-europe-crm.veevavault.com/ui/#object/sent_email__v/VBL00000003B209", "SE-001445167")</f>
        <v>SE-001445167</v>
      </c>
      <c r="F7528" s="25">
        <v>46227.69059027778</v>
      </c>
      <c r="G7528" s="24">
        <v>1</v>
      </c>
      <c r="H7528" s="24">
        <v>2</v>
      </c>
      <c r="I7528" s="24">
        <v>1</v>
      </c>
      <c r="J7528" s="25">
        <v>46227.552256944444</v>
      </c>
      <c r="K7528" s="24">
        <v>1</v>
      </c>
      <c r="L7528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528" s="22" t="str">
        <f>HYPERLINK("mailto:laura.mallia@crm.otsuka-europe.com", "laura.mallia@crm.otsuka-europe.com")</f>
        <v>laura.mallia@crm.otsuka-europe.com</v>
      </c>
      <c r="N7528" s="25">
        <v>46227.551736111112</v>
      </c>
      <c r="O7528" s="14" t="str">
        <f>HYPERLINK("https://otsuka-europe-crm.veevavault.com/ui/#object/email_activity__v/V8C00000004D351", "EN-002108759")</f>
        <v>EN-002108759</v>
      </c>
    </row>
    <row r="7529" spans="1:15" ht="16" x14ac:dyDescent="0.2">
      <c r="A7529" s="26"/>
      <c r="B7529" s="26"/>
      <c r="C7529" s="26"/>
      <c r="D7529" s="26"/>
      <c r="E7529" s="26"/>
      <c r="F7529" s="26"/>
      <c r="G7529" s="26"/>
      <c r="H7529" s="26"/>
      <c r="I7529" s="26"/>
      <c r="J7529" s="26"/>
      <c r="K7529" s="26"/>
      <c r="L7529" s="26"/>
      <c r="M7529" s="26"/>
      <c r="N7529" s="26"/>
      <c r="O7529" s="14" t="str">
        <f>HYPERLINK("https://otsuka-europe-crm.veevavault.com/ui/#object/email_activity__v/V8C00000004D352", "EN-002108760")</f>
        <v>EN-002108760</v>
      </c>
    </row>
    <row r="7530" spans="1:15" ht="16" x14ac:dyDescent="0.2">
      <c r="A7530" s="26"/>
      <c r="B7530" s="26"/>
      <c r="C7530" s="26"/>
      <c r="D7530" s="26"/>
      <c r="E7530" s="26"/>
      <c r="F7530" s="26"/>
      <c r="G7530" s="26"/>
      <c r="H7530" s="26"/>
      <c r="I7530" s="26"/>
      <c r="J7530" s="26"/>
      <c r="K7530" s="26"/>
      <c r="L7530" s="26"/>
      <c r="M7530" s="26"/>
      <c r="N7530" s="26"/>
      <c r="O7530" s="14" t="str">
        <f>HYPERLINK("https://otsuka-europe-crm.veevavault.com/ui/#object/email_activity__v/V8C00000004D353", "EN-002108761")</f>
        <v>EN-002108761</v>
      </c>
    </row>
    <row r="7531" spans="1:15" ht="16" x14ac:dyDescent="0.2">
      <c r="A7531" s="26"/>
      <c r="B7531" s="26"/>
      <c r="C7531" s="26"/>
      <c r="D7531" s="26"/>
      <c r="E7531" s="26"/>
      <c r="F7531" s="26"/>
      <c r="G7531" s="26"/>
      <c r="H7531" s="26"/>
      <c r="I7531" s="26"/>
      <c r="J7531" s="26"/>
      <c r="K7531" s="26"/>
      <c r="L7531" s="26"/>
      <c r="M7531" s="26"/>
      <c r="N7531" s="26"/>
      <c r="O7531" s="14" t="str">
        <f>HYPERLINK("https://otsuka-europe-crm.veevavault.com/ui/#object/email_activity__v/V8C00000004D407", "EN-002108876")</f>
        <v>EN-002108876</v>
      </c>
    </row>
    <row r="7532" spans="1:15" ht="16" x14ac:dyDescent="0.2">
      <c r="A7532" s="19"/>
      <c r="B7532" s="19"/>
      <c r="C7532" s="19"/>
      <c r="D7532" s="19"/>
      <c r="E7532" s="19"/>
      <c r="F7532" s="19"/>
      <c r="G7532" s="19"/>
      <c r="H7532" s="19"/>
      <c r="I7532" s="19"/>
      <c r="J7532" s="19"/>
      <c r="K7532" s="19"/>
      <c r="L7532" s="19"/>
      <c r="M7532" s="19"/>
      <c r="N7532" s="19"/>
      <c r="O7532" s="14" t="str">
        <f>HYPERLINK("https://otsuka-europe-crm.veevavault.com/ui/#object/email_activity__v/V8C00000004E218", "EN-002108815")</f>
        <v>EN-002108815</v>
      </c>
    </row>
    <row r="7533" spans="1:15" ht="48" x14ac:dyDescent="0.2">
      <c r="A7533" s="7" t="str">
        <f>HYPERLINK("https://otsuka-europe-crm.veevavault.com/ui/#object/account__v/V4TZ025E88ZS3N4", "LETIZIA GIANFELICE")</f>
        <v>LETIZIA GIANFELICE</v>
      </c>
      <c r="B7533" s="7" t="str">
        <f>HYPERLINK("https://otsuka-europe-crm.veevavault.com/ui/#object/vcountry__v/VENZ000004SONFQ", "IT")</f>
        <v>IT</v>
      </c>
      <c r="C7533" s="8" t="s">
        <v>42</v>
      </c>
      <c r="D7533" s="9" t="str">
        <f>HYPERLINK("https://otsuka-europe-crm.veevavault.com/ui/#object/approved_document__v/V5OZ025E82UFNWM", "ABILIFY 960720_Branded_AE Fagiolini_IT-AM2-2500131")</f>
        <v>ABILIFY 960720_Branded_AE Fagiolini_IT-AM2-2500131</v>
      </c>
      <c r="E7533" s="10" t="str">
        <f>HYPERLINK("https://otsuka-europe-crm.veevavault.com/ui/#object/sent_email__v/VBL00000003C140", "SE-001445168")</f>
        <v>SE-001445168</v>
      </c>
      <c r="F7533" s="11"/>
      <c r="G7533" s="12">
        <v>0</v>
      </c>
      <c r="H7533" s="12">
        <v>0</v>
      </c>
      <c r="I7533" s="12">
        <v>0</v>
      </c>
      <c r="J7533" s="11"/>
      <c r="K7533" s="12">
        <v>0</v>
      </c>
      <c r="L7533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533" s="10" t="str">
        <f>HYPERLINK("mailto:laura.mallia@crm.otsuka-europe.com", "laura.mallia@crm.otsuka-europe.com")</f>
        <v>laura.mallia@crm.otsuka-europe.com</v>
      </c>
      <c r="N7533" s="13">
        <v>46227.55228009259</v>
      </c>
      <c r="O7533" s="14" t="str">
        <f>HYPERLINK("https://otsuka-europe-crm.veevavault.com/ui/#object/email_activity__v/V8C00000004E191", "EN-002108762")</f>
        <v>EN-002108762</v>
      </c>
    </row>
    <row r="7534" spans="1:15" ht="48" x14ac:dyDescent="0.2">
      <c r="A7534" s="7" t="str">
        <f>HYPERLINK("https://otsuka-europe-crm.veevavault.com/ui/#object/account__v/V4TZ025E83WEOY2", "MARTA CASTIGLIONI")</f>
        <v>MARTA CASTIGLIONI</v>
      </c>
      <c r="B7534" s="7" t="str">
        <f>HYPERLINK("https://otsuka-europe-crm.veevavault.com/ui/#object/vcountry__v/VENZ000004SONFQ", "IT")</f>
        <v>IT</v>
      </c>
      <c r="C7534" s="8" t="s">
        <v>42</v>
      </c>
      <c r="D7534" s="9" t="str">
        <f>HYPERLINK("https://otsuka-europe-crm.veevavault.com/ui/#object/approved_document__v/V5OZ025E82UFNWM", "ABILIFY 960720_Branded_AE Fagiolini_IT-AM2-2500131")</f>
        <v>ABILIFY 960720_Branded_AE Fagiolini_IT-AM2-2500131</v>
      </c>
      <c r="E7534" s="10" t="str">
        <f>HYPERLINK("https://otsuka-europe-crm.veevavault.com/ui/#object/sent_email__v/VBL00000003C141", "SE-001445169")</f>
        <v>SE-001445169</v>
      </c>
      <c r="F7534" s="11"/>
      <c r="G7534" s="12">
        <v>0</v>
      </c>
      <c r="H7534" s="12">
        <v>0</v>
      </c>
      <c r="I7534" s="12">
        <v>0</v>
      </c>
      <c r="J7534" s="11"/>
      <c r="K7534" s="12">
        <v>0</v>
      </c>
      <c r="L7534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534" s="10" t="str">
        <f>HYPERLINK("mailto:laura.mallia@crm.otsuka-europe.com", "laura.mallia@crm.otsuka-europe.com")</f>
        <v>laura.mallia@crm.otsuka-europe.com</v>
      </c>
      <c r="N7534" s="13">
        <v>46227.555231481485</v>
      </c>
      <c r="O7534" s="14" t="str">
        <f>HYPERLINK("https://otsuka-europe-crm.veevavault.com/ui/#object/email_activity__v/V8C00000004D354", "EN-002108764")</f>
        <v>EN-002108764</v>
      </c>
    </row>
    <row r="7535" spans="1:15" ht="16" x14ac:dyDescent="0.2">
      <c r="A7535" s="18" t="str">
        <f>HYPERLINK("https://otsuka-europe-crm.veevavault.com/ui/#object/account__v/V4T000000017506", "CLIZIA ANGELICA LONATI")</f>
        <v>CLIZIA ANGELICA LONATI</v>
      </c>
      <c r="B7535" s="18" t="str">
        <f>HYPERLINK("https://otsuka-europe-crm.veevavault.com/ui/#object/vcountry__v/VENZ000004SONFQ", "IT")</f>
        <v>IT</v>
      </c>
      <c r="C7535" s="20" t="s">
        <v>42</v>
      </c>
      <c r="D7535" s="21" t="str">
        <f>HYPERLINK("https://otsuka-europe-crm.veevavault.com/ui/#object/approved_document__v/V5OZ025E82UFNWM", "ABILIFY 960720_Branded_AE Fagiolini_IT-AM2-2500131")</f>
        <v>ABILIFY 960720_Branded_AE Fagiolini_IT-AM2-2500131</v>
      </c>
      <c r="E7535" s="22" t="str">
        <f>HYPERLINK("https://otsuka-europe-crm.veevavault.com/ui/#object/sent_email__v/VBL00000003B210", "SE-001445170")</f>
        <v>SE-001445170</v>
      </c>
      <c r="F7535" s="25">
        <v>46227.691874999997</v>
      </c>
      <c r="G7535" s="24">
        <v>1</v>
      </c>
      <c r="H7535" s="24">
        <v>4</v>
      </c>
      <c r="I7535" s="24">
        <v>0</v>
      </c>
      <c r="J7535" s="23"/>
      <c r="K7535" s="24">
        <v>0</v>
      </c>
      <c r="L7535" s="22" t="str">
        <f>HYPERLINK("https://otsuka-europe-crm.veevavault.com/ui/#object/approved_document__v/V5OZ025E82UFNWM", "ABILIFY 960720_Branded_AE Fagiolini_IT-AM2-2500131")</f>
        <v>ABILIFY 960720_Branded_AE Fagiolini_IT-AM2-2500131</v>
      </c>
      <c r="M7535" s="22" t="str">
        <f>HYPERLINK("mailto:laura.mallia@crm.otsuka-europe.com", "laura.mallia@crm.otsuka-europe.com")</f>
        <v>laura.mallia@crm.otsuka-europe.com</v>
      </c>
      <c r="N7535" s="25">
        <v>46227.555578703701</v>
      </c>
      <c r="O7535" s="14" t="str">
        <f>HYPERLINK("https://otsuka-europe-crm.veevavault.com/ui/#object/email_activity__v/V8C00000004D355", "EN-002108765")</f>
        <v>EN-002108765</v>
      </c>
    </row>
    <row r="7536" spans="1:15" ht="16" x14ac:dyDescent="0.2">
      <c r="A7536" s="26"/>
      <c r="B7536" s="26"/>
      <c r="C7536" s="26"/>
      <c r="D7536" s="26"/>
      <c r="E7536" s="26"/>
      <c r="F7536" s="26"/>
      <c r="G7536" s="26"/>
      <c r="H7536" s="26"/>
      <c r="I7536" s="26"/>
      <c r="J7536" s="26"/>
      <c r="K7536" s="26"/>
      <c r="L7536" s="26"/>
      <c r="M7536" s="26"/>
      <c r="N7536" s="26"/>
      <c r="O7536" s="14" t="str">
        <f>HYPERLINK("https://otsuka-europe-crm.veevavault.com/ui/#object/email_activity__v/V8C00000004E252", "EN-002108877")</f>
        <v>EN-002108877</v>
      </c>
    </row>
    <row r="7537" spans="1:15" ht="16" x14ac:dyDescent="0.2">
      <c r="A7537" s="26"/>
      <c r="B7537" s="26"/>
      <c r="C7537" s="26"/>
      <c r="D7537" s="26"/>
      <c r="E7537" s="26"/>
      <c r="F7537" s="26"/>
      <c r="G7537" s="26"/>
      <c r="H7537" s="26"/>
      <c r="I7537" s="26"/>
      <c r="J7537" s="26"/>
      <c r="K7537" s="26"/>
      <c r="L7537" s="26"/>
      <c r="M7537" s="26"/>
      <c r="N7537" s="26"/>
      <c r="O7537" s="14" t="str">
        <f>HYPERLINK("https://otsuka-europe-crm.veevavault.com/ui/#object/email_activity__v/V8C00000004E253", "EN-002108878")</f>
        <v>EN-002108878</v>
      </c>
    </row>
    <row r="7538" spans="1:15" ht="16" x14ac:dyDescent="0.2">
      <c r="A7538" s="26"/>
      <c r="B7538" s="26"/>
      <c r="C7538" s="26"/>
      <c r="D7538" s="26"/>
      <c r="E7538" s="26"/>
      <c r="F7538" s="26"/>
      <c r="G7538" s="26"/>
      <c r="H7538" s="26"/>
      <c r="I7538" s="26"/>
      <c r="J7538" s="26"/>
      <c r="K7538" s="26"/>
      <c r="L7538" s="26"/>
      <c r="M7538" s="26"/>
      <c r="N7538" s="26"/>
      <c r="O7538" s="14" t="str">
        <f>HYPERLINK("https://otsuka-europe-crm.veevavault.com/ui/#object/email_activity__v/V8C00000004E254", "EN-002108879")</f>
        <v>EN-002108879</v>
      </c>
    </row>
    <row r="7539" spans="1:15" ht="16" x14ac:dyDescent="0.2">
      <c r="A7539" s="19"/>
      <c r="B7539" s="19"/>
      <c r="C7539" s="19"/>
      <c r="D7539" s="19"/>
      <c r="E7539" s="19"/>
      <c r="F7539" s="19"/>
      <c r="G7539" s="19"/>
      <c r="H7539" s="19"/>
      <c r="I7539" s="19"/>
      <c r="J7539" s="19"/>
      <c r="K7539" s="19"/>
      <c r="L7539" s="19"/>
      <c r="M7539" s="19"/>
      <c r="N7539" s="19"/>
      <c r="O7539" s="14" t="str">
        <f>HYPERLINK("https://otsuka-europe-crm.veevavault.com/ui/#object/email_activity__v/V8C00000004E255", "EN-002108880")</f>
        <v>EN-002108880</v>
      </c>
    </row>
    <row r="7540" spans="1:15" ht="48" x14ac:dyDescent="0.2">
      <c r="A7540" s="7" t="str">
        <f>HYPERLINK("https://otsuka-europe-crm.veevavault.com/ui/#object/account__v/V4T00000000Z079", "FRANCESCA SERIO")</f>
        <v>FRANCESCA SERIO</v>
      </c>
      <c r="B7540" s="7" t="str">
        <f>HYPERLINK("https://otsuka-europe-crm.veevavault.com/ui/#object/vcountry__v/VENZ000004SONFQ", "IT")</f>
        <v>IT</v>
      </c>
      <c r="C7540" s="8" t="s">
        <v>42</v>
      </c>
      <c r="D7540" s="9" t="str">
        <f>HYPERLINK("https://otsuka-europe-crm.veevavault.com/ui/#object/approved_document__v/V5OZ025E82UFNWM", "ABILIFY 960720_Branded_AE Fagiolini_IT-AM2-2500131")</f>
        <v>ABILIFY 960720_Branded_AE Fagiolini_IT-AM2-2500131</v>
      </c>
      <c r="E7540" s="10" t="str">
        <f>HYPERLINK("https://otsuka-europe-crm.veevavault.com/ui/#object/sent_email__v/VBL00000003C142", "SE-001445171")</f>
        <v>SE-001445171</v>
      </c>
      <c r="F7540" s="11"/>
      <c r="G7540" s="12">
        <v>0</v>
      </c>
      <c r="H7540" s="12">
        <v>0</v>
      </c>
      <c r="I7540" s="12">
        <v>0</v>
      </c>
      <c r="J7540" s="11"/>
      <c r="K7540" s="12">
        <v>0</v>
      </c>
      <c r="L7540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540" s="10" t="str">
        <f>HYPERLINK("mailto:laura.mallia@crm.otsuka-europe.com", "laura.mallia@crm.otsuka-europe.com")</f>
        <v>laura.mallia@crm.otsuka-europe.com</v>
      </c>
      <c r="N7540" s="13">
        <v>46227.556284722225</v>
      </c>
      <c r="O7540" s="14" t="str">
        <f>HYPERLINK("https://otsuka-europe-crm.veevavault.com/ui/#object/email_activity__v/V8C00000004D357", "EN-002108767")</f>
        <v>EN-002108767</v>
      </c>
    </row>
    <row r="7541" spans="1:15" ht="48" x14ac:dyDescent="0.2">
      <c r="A7541" s="7" t="str">
        <f>HYPERLINK("https://otsuka-europe-crm.veevavault.com/ui/#object/account__v/V4TZ06G6O71SB7I", "LISA LAVATELLI")</f>
        <v>LISA LAVATELLI</v>
      </c>
      <c r="B7541" s="7" t="str">
        <f>HYPERLINK("https://otsuka-europe-crm.veevavault.com/ui/#object/vcountry__v/VENZ000004SONFQ", "IT")</f>
        <v>IT</v>
      </c>
      <c r="C7541" s="8" t="s">
        <v>42</v>
      </c>
      <c r="D7541" s="9" t="str">
        <f>HYPERLINK("https://otsuka-europe-crm.veevavault.com/ui/#object/approved_document__v/V5OZ025E82UFNWM", "ABILIFY 960720_Branded_AE Fagiolini_IT-AM2-2500131")</f>
        <v>ABILIFY 960720_Branded_AE Fagiolini_IT-AM2-2500131</v>
      </c>
      <c r="E7541" s="10" t="str">
        <f>HYPERLINK("https://otsuka-europe-crm.veevavault.com/ui/#object/sent_email__v/VBL00000003B211", "SE-001445172")</f>
        <v>SE-001445172</v>
      </c>
      <c r="F7541" s="11"/>
      <c r="G7541" s="12">
        <v>0</v>
      </c>
      <c r="H7541" s="12">
        <v>0</v>
      </c>
      <c r="I7541" s="12">
        <v>0</v>
      </c>
      <c r="J7541" s="11"/>
      <c r="K7541" s="12">
        <v>0</v>
      </c>
      <c r="L7541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541" s="10" t="str">
        <f>HYPERLINK("mailto:laura.mallia@crm.otsuka-europe.com", "laura.mallia@crm.otsuka-europe.com")</f>
        <v>laura.mallia@crm.otsuka-europe.com</v>
      </c>
      <c r="N7541" s="13">
        <v>46227.556608796294</v>
      </c>
      <c r="O7541" s="14" t="str">
        <f>HYPERLINK("https://otsuka-europe-crm.veevavault.com/ui/#object/email_activity__v/V8C00000004D361", "EN-002108771")</f>
        <v>EN-002108771</v>
      </c>
    </row>
    <row r="7542" spans="1:15" ht="16" x14ac:dyDescent="0.2">
      <c r="A7542" s="18" t="str">
        <f>HYPERLINK("https://otsuka-europe-crm.veevavault.com/ui/#object/account__v/V4TZ00000634YEZ", "Dietrich Gläser")</f>
        <v>Dietrich Gläser</v>
      </c>
      <c r="B7542" s="18" t="str">
        <f>HYPERLINK("https://otsuka-europe-crm.veevavault.com/ui/#object/vcountry__v/VENZ000004SONFP", "DE")</f>
        <v>DE</v>
      </c>
      <c r="C7542" s="20" t="s">
        <v>43</v>
      </c>
      <c r="D7542" s="21" t="str">
        <f>HYPERLINK("https://otsuka-europe-crm.veevavault.com/ui/#object/approved_document__v/V5O00000001W001", "INA VAE DE – Zulassung INAQOVI Venetoclax")</f>
        <v>INA VAE DE – Zulassung INAQOVI Venetoclax</v>
      </c>
      <c r="E7542" s="22" t="str">
        <f>HYPERLINK("https://otsuka-europe-crm.veevavault.com/ui/#object/sent_email__v/VBL00000003B212", "SE-001445173")</f>
        <v>SE-001445173</v>
      </c>
      <c r="F7542" s="25">
        <v>46227.566689814812</v>
      </c>
      <c r="G7542" s="24">
        <v>1</v>
      </c>
      <c r="H7542" s="24">
        <v>1</v>
      </c>
      <c r="I7542" s="24">
        <v>1</v>
      </c>
      <c r="J7542" s="25">
        <v>46227.567013888889</v>
      </c>
      <c r="K7542" s="24">
        <v>3</v>
      </c>
      <c r="L7542" s="22" t="str">
        <f>HYPERLINK("https://otsuka-europe-crm.veevavault.com/ui/#object/approved_document__v/V5O00000001W001", "INA VAE DE – Zulassung INAQOVI Venetoclax")</f>
        <v>INA VAE DE – Zulassung INAQOVI Venetoclax</v>
      </c>
      <c r="M7542" s="22" t="str">
        <f>HYPERLINK("mailto:awinter@crm.otsuka-europe.com", "awinter@crm.otsuka-europe.com")</f>
        <v>awinter@crm.otsuka-europe.com</v>
      </c>
      <c r="N7542" s="25">
        <v>46227.559259259258</v>
      </c>
      <c r="O7542" s="14" t="str">
        <f>HYPERLINK("https://otsuka-europe-crm.veevavault.com/ui/#object/email_activity__v/V8C00000004D370", "EN-002108796")</f>
        <v>EN-002108796</v>
      </c>
    </row>
    <row r="7543" spans="1:15" ht="16" x14ac:dyDescent="0.2">
      <c r="A7543" s="26"/>
      <c r="B7543" s="26"/>
      <c r="C7543" s="26"/>
      <c r="D7543" s="26"/>
      <c r="E7543" s="26"/>
      <c r="F7543" s="26"/>
      <c r="G7543" s="26"/>
      <c r="H7543" s="26"/>
      <c r="I7543" s="26"/>
      <c r="J7543" s="26"/>
      <c r="K7543" s="26"/>
      <c r="L7543" s="26"/>
      <c r="M7543" s="26"/>
      <c r="N7543" s="26"/>
      <c r="O7543" s="14" t="str">
        <f>HYPERLINK("https://otsuka-europe-crm.veevavault.com/ui/#object/email_activity__v/V8C00000004E206", "EN-002108793")</f>
        <v>EN-002108793</v>
      </c>
    </row>
    <row r="7544" spans="1:15" ht="16" x14ac:dyDescent="0.2">
      <c r="A7544" s="26"/>
      <c r="B7544" s="26"/>
      <c r="C7544" s="26"/>
      <c r="D7544" s="26"/>
      <c r="E7544" s="26"/>
      <c r="F7544" s="26"/>
      <c r="G7544" s="26"/>
      <c r="H7544" s="26"/>
      <c r="I7544" s="26"/>
      <c r="J7544" s="26"/>
      <c r="K7544" s="26"/>
      <c r="L7544" s="26"/>
      <c r="M7544" s="26"/>
      <c r="N7544" s="26"/>
      <c r="O7544" s="14" t="str">
        <f>HYPERLINK("https://otsuka-europe-crm.veevavault.com/ui/#object/email_activity__v/V8C00000004E207", "EN-002108795")</f>
        <v>EN-002108795</v>
      </c>
    </row>
    <row r="7545" spans="1:15" ht="16" x14ac:dyDescent="0.2">
      <c r="A7545" s="26"/>
      <c r="B7545" s="26"/>
      <c r="C7545" s="26"/>
      <c r="D7545" s="26"/>
      <c r="E7545" s="26"/>
      <c r="F7545" s="26"/>
      <c r="G7545" s="26"/>
      <c r="H7545" s="26"/>
      <c r="I7545" s="26"/>
      <c r="J7545" s="26"/>
      <c r="K7545" s="26"/>
      <c r="L7545" s="26"/>
      <c r="M7545" s="26"/>
      <c r="N7545" s="26"/>
      <c r="O7545" s="14" t="str">
        <f>HYPERLINK("https://otsuka-europe-crm.veevavault.com/ui/#object/email_activity__v/V8C00000004E208", "EN-002108794")</f>
        <v>EN-002108794</v>
      </c>
    </row>
    <row r="7546" spans="1:15" ht="16" x14ac:dyDescent="0.2">
      <c r="A7546" s="19"/>
      <c r="B7546" s="19"/>
      <c r="C7546" s="19"/>
      <c r="D7546" s="19"/>
      <c r="E7546" s="19"/>
      <c r="F7546" s="19"/>
      <c r="G7546" s="19"/>
      <c r="H7546" s="19"/>
      <c r="I7546" s="19"/>
      <c r="J7546" s="19"/>
      <c r="K7546" s="19"/>
      <c r="L7546" s="19"/>
      <c r="M7546" s="19"/>
      <c r="N7546" s="19"/>
      <c r="O7546" s="14" t="str">
        <f>HYPERLINK("https://otsuka-europe-crm.veevavault.com/ui/#object/email_activity__v/V8C00000004E209", "EN-002108797")</f>
        <v>EN-002108797</v>
      </c>
    </row>
    <row r="7547" spans="1:15" ht="32" x14ac:dyDescent="0.2">
      <c r="A7547" s="7" t="str">
        <f>HYPERLINK("https://otsuka-europe-crm.veevavault.com/ui/#object/account__v/V4TZ00000634VTQ", "Philipp Hemmati")</f>
        <v>Philipp Hemmati</v>
      </c>
      <c r="B7547" s="7" t="str">
        <f>HYPERLINK("https://otsuka-europe-crm.veevavault.com/ui/#object/vcountry__v/VENZ000004SONFP", "DE")</f>
        <v>DE</v>
      </c>
      <c r="C7547" s="8" t="s">
        <v>43</v>
      </c>
      <c r="D7547" s="9" t="str">
        <f>HYPERLINK("https://otsuka-europe-crm.veevavault.com/ui/#object/approved_document__v/V5O00000001W001", "INA VAE DE – Zulassung INAQOVI Venetoclax")</f>
        <v>INA VAE DE – Zulassung INAQOVI Venetoclax</v>
      </c>
      <c r="E7547" s="10" t="str">
        <f>HYPERLINK("https://otsuka-europe-crm.veevavault.com/ui/#object/sent_email__v/VBL00000003B213", "SE-001445174")</f>
        <v>SE-001445174</v>
      </c>
      <c r="F7547" s="11"/>
      <c r="G7547" s="12">
        <v>0</v>
      </c>
      <c r="H7547" s="12">
        <v>0</v>
      </c>
      <c r="I7547" s="12">
        <v>0</v>
      </c>
      <c r="J7547" s="11"/>
      <c r="K7547" s="12">
        <v>0</v>
      </c>
      <c r="L7547" s="10" t="str">
        <f>HYPERLINK("https://otsuka-europe-crm.veevavault.com/ui/#object/approved_document__v/V5O00000001W001", "INA VAE DE – Zulassung INAQOVI Venetoclax")</f>
        <v>INA VAE DE – Zulassung INAQOVI Venetoclax</v>
      </c>
      <c r="M7547" s="10" t="str">
        <f>HYPERLINK("mailto:awinter@crm.otsuka-europe.com", "awinter@crm.otsuka-europe.com")</f>
        <v>awinter@crm.otsuka-europe.com</v>
      </c>
      <c r="N7547" s="13">
        <v>46227.559259259258</v>
      </c>
      <c r="O7547" s="14" t="str">
        <f>HYPERLINK("https://otsuka-europe-crm.veevavault.com/ui/#object/email_activity__v/V8C00000004E194", "EN-002108776")</f>
        <v>EN-002108776</v>
      </c>
    </row>
    <row r="7548" spans="1:15" ht="32" x14ac:dyDescent="0.2">
      <c r="A7548" s="7" t="str">
        <f>HYPERLINK("https://otsuka-europe-crm.veevavault.com/ui/#object/account__v/V4TZ06G6OBI6AU6", "Dennis Nonnenberg")</f>
        <v>Dennis Nonnenberg</v>
      </c>
      <c r="B7548" s="7" t="str">
        <f>HYPERLINK("https://otsuka-europe-crm.veevavault.com/ui/#object/vcountry__v/VENZ000004SONFP", "DE")</f>
        <v>DE</v>
      </c>
      <c r="C7548" s="8" t="s">
        <v>43</v>
      </c>
      <c r="D7548" s="9" t="str">
        <f>HYPERLINK("https://otsuka-europe-crm.veevavault.com/ui/#object/approved_document__v/V5O00000001W001", "INA VAE DE – Zulassung INAQOVI Venetoclax")</f>
        <v>INA VAE DE – Zulassung INAQOVI Venetoclax</v>
      </c>
      <c r="E7548" s="10" t="str">
        <f>HYPERLINK("https://otsuka-europe-crm.veevavault.com/ui/#object/sent_email__v/VBL00000003C143", "SE-001445175")</f>
        <v>SE-001445175</v>
      </c>
      <c r="F7548" s="11"/>
      <c r="G7548" s="12">
        <v>0</v>
      </c>
      <c r="H7548" s="12">
        <v>0</v>
      </c>
      <c r="I7548" s="12">
        <v>0</v>
      </c>
      <c r="J7548" s="11"/>
      <c r="K7548" s="12">
        <v>0</v>
      </c>
      <c r="L7548" s="10" t="str">
        <f>HYPERLINK("https://otsuka-europe-crm.veevavault.com/ui/#object/approved_document__v/V5O00000001W001", "INA VAE DE – Zulassung INAQOVI Venetoclax")</f>
        <v>INA VAE DE – Zulassung INAQOVI Venetoclax</v>
      </c>
      <c r="M7548" s="10" t="str">
        <f>HYPERLINK("mailto:awinter@crm.otsuka-europe.com", "awinter@crm.otsuka-europe.com")</f>
        <v>awinter@crm.otsuka-europe.com</v>
      </c>
      <c r="N7548" s="13">
        <v>46227.566030092596</v>
      </c>
      <c r="O7548" s="14" t="str">
        <f>HYPERLINK("https://otsuka-europe-crm.veevavault.com/ui/#object/email_activity__v/V8C00000004D369", "EN-002108792")</f>
        <v>EN-002108792</v>
      </c>
    </row>
    <row r="7549" spans="1:15" ht="32" x14ac:dyDescent="0.2">
      <c r="A7549" s="7" t="str">
        <f>HYPERLINK("https://otsuka-europe-crm.veevavault.com/ui/#object/account__v/V4TZ00000634YV2", "Thomas Schmidt")</f>
        <v>Thomas Schmidt</v>
      </c>
      <c r="B7549" s="7" t="str">
        <f>HYPERLINK("https://otsuka-europe-crm.veevavault.com/ui/#object/vcountry__v/VENZ000004SONFP", "DE")</f>
        <v>DE</v>
      </c>
      <c r="C7549" s="8" t="s">
        <v>43</v>
      </c>
      <c r="D7549" s="9" t="str">
        <f>HYPERLINK("https://otsuka-europe-crm.veevavault.com/ui/#object/approved_document__v/V5O00000001W001", "INA VAE DE – Zulassung INAQOVI Venetoclax")</f>
        <v>INA VAE DE – Zulassung INAQOVI Venetoclax</v>
      </c>
      <c r="E7549" s="10" t="str">
        <f>HYPERLINK("https://otsuka-europe-crm.veevavault.com/ui/#object/sent_email__v/VBL00000003C144", "SE-001445176")</f>
        <v>SE-001445176</v>
      </c>
      <c r="F7549" s="11"/>
      <c r="G7549" s="12">
        <v>0</v>
      </c>
      <c r="H7549" s="12">
        <v>0</v>
      </c>
      <c r="I7549" s="12">
        <v>0</v>
      </c>
      <c r="J7549" s="11"/>
      <c r="K7549" s="12">
        <v>0</v>
      </c>
      <c r="L7549" s="10" t="str">
        <f>HYPERLINK("https://otsuka-europe-crm.veevavault.com/ui/#object/approved_document__v/V5O00000001W001", "INA VAE DE – Zulassung INAQOVI Venetoclax")</f>
        <v>INA VAE DE – Zulassung INAQOVI Venetoclax</v>
      </c>
      <c r="M7549" s="10" t="str">
        <f>HYPERLINK("mailto:awinter@crm.otsuka-europe.com", "awinter@crm.otsuka-europe.com")</f>
        <v>awinter@crm.otsuka-europe.com</v>
      </c>
      <c r="N7549" s="13">
        <v>46227.568124999998</v>
      </c>
      <c r="O7549" s="14" t="str">
        <f>HYPERLINK("https://otsuka-europe-crm.veevavault.com/ui/#object/email_activity__v/V8C00000004E210", "EN-002108798")</f>
        <v>EN-002108798</v>
      </c>
    </row>
    <row r="7550" spans="1:15" ht="32" x14ac:dyDescent="0.2">
      <c r="A7550" s="7" t="str">
        <f>HYPERLINK("https://otsuka-europe-crm.veevavault.com/ui/#object/account__v/V4TZ06G6OBI6C9M", "Andrzej Wojciechowski")</f>
        <v>Andrzej Wojciechowski</v>
      </c>
      <c r="B7550" s="7" t="str">
        <f>HYPERLINK("https://otsuka-europe-crm.veevavault.com/ui/#object/vcountry__v/VENZ000004SONFP", "DE")</f>
        <v>DE</v>
      </c>
      <c r="C7550" s="8" t="s">
        <v>43</v>
      </c>
      <c r="D7550" s="9" t="str">
        <f>HYPERLINK("https://otsuka-europe-crm.veevavault.com/ui/#object/approved_document__v/V5O00000001W001", "INA VAE DE – Zulassung INAQOVI Venetoclax")</f>
        <v>INA VAE DE – Zulassung INAQOVI Venetoclax</v>
      </c>
      <c r="E7550" s="10" t="str">
        <f>HYPERLINK("https://otsuka-europe-crm.veevavault.com/ui/#object/sent_email__v/VBL00000003B214", "SE-001445177")</f>
        <v>SE-001445177</v>
      </c>
      <c r="F7550" s="11"/>
      <c r="G7550" s="12">
        <v>0</v>
      </c>
      <c r="H7550" s="12">
        <v>0</v>
      </c>
      <c r="I7550" s="12">
        <v>0</v>
      </c>
      <c r="J7550" s="11"/>
      <c r="K7550" s="12">
        <v>0</v>
      </c>
      <c r="L7550" s="10" t="str">
        <f>HYPERLINK("https://otsuka-europe-crm.veevavault.com/ui/#object/approved_document__v/V5O00000001W001", "INA VAE DE – Zulassung INAQOVI Venetoclax")</f>
        <v>INA VAE DE – Zulassung INAQOVI Venetoclax</v>
      </c>
      <c r="M7550" s="10" t="str">
        <f>HYPERLINK("mailto:awinter@crm.otsuka-europe.com", "awinter@crm.otsuka-europe.com")</f>
        <v>awinter@crm.otsuka-europe.com</v>
      </c>
      <c r="N7550" s="13">
        <v>46227.569166666668</v>
      </c>
      <c r="O7550" s="14" t="str">
        <f>HYPERLINK("https://otsuka-europe-crm.veevavault.com/ui/#object/email_activity__v/V8C00000004D372", "EN-002108800")</f>
        <v>EN-002108800</v>
      </c>
    </row>
    <row r="7551" spans="1:15" ht="32" x14ac:dyDescent="0.2">
      <c r="A7551" s="7" t="str">
        <f>HYPERLINK("https://otsuka-europe-crm.veevavault.com/ui/#object/account__v/V4T00000002J014", "OSCAR SOTORRA ELIAS")</f>
        <v>OSCAR SOTORRA ELIAS</v>
      </c>
      <c r="B7551" s="7" t="str">
        <f>HYPERLINK("https://otsuka-europe-crm.veevavault.com/ui/#object/vcountry__v/VENZ000004SONF5", "ES")</f>
        <v>ES</v>
      </c>
      <c r="C7551" s="8" t="s">
        <v>39</v>
      </c>
      <c r="D7551" s="9" t="str">
        <f>HYPERLINK("https://otsuka-europe-crm.veevavault.com/ui/#object/approved_document__v/V5OZ06G6O6RFL1P", "ES Veeva Privacy Notice Email")</f>
        <v>ES Veeva Privacy Notice Email</v>
      </c>
      <c r="E7551" s="10" t="str">
        <f>HYPERLINK("https://otsuka-europe-crm.veevavault.com/ui/#object/sent_email__v/VBL00000003B215", "SE-001445178")</f>
        <v>SE-001445178</v>
      </c>
      <c r="F7551" s="11"/>
      <c r="G7551" s="12">
        <v>0</v>
      </c>
      <c r="H7551" s="12">
        <v>0</v>
      </c>
      <c r="I7551" s="12">
        <v>0</v>
      </c>
      <c r="J7551" s="11"/>
      <c r="K7551" s="12">
        <v>0</v>
      </c>
      <c r="L7551" s="10" t="str">
        <f>HYPERLINK("https://otsuka-europe-crm.veevavault.com/ui/#object/approved_document__v/V5OZ06G6O6RFL1P", "ES Veeva Privacy Notice Email")</f>
        <v>ES Veeva Privacy Notice Email</v>
      </c>
      <c r="M7551" s="10" t="str">
        <f>HYPERLINK("mailto:barroyo@crm.otsuka-europe.com", "barroyo@crm.otsuka-europe.com")</f>
        <v>barroyo@crm.otsuka-europe.com</v>
      </c>
      <c r="N7551" s="13">
        <v>46227.729432870372</v>
      </c>
      <c r="O7551" s="14" t="str">
        <f>HYPERLINK("https://otsuka-europe-crm.veevavault.com/ui/#object/email_activity__v/V8C00000004E268", "EN-002108901")</f>
        <v>EN-002108901</v>
      </c>
    </row>
    <row r="7552" spans="1:15" ht="32" x14ac:dyDescent="0.2">
      <c r="A7552" s="7" t="str">
        <f>HYPERLINK("https://otsuka-europe-crm.veevavault.com/ui/#object/account__v/V4T00000002J014", "OSCAR SOTORRA ELIAS")</f>
        <v>OSCAR SOTORRA ELIAS</v>
      </c>
      <c r="B7552" s="7" t="str">
        <f>HYPERLINK("https://otsuka-europe-crm.veevavault.com/ui/#object/vcountry__v/VENZ000004SONF5", "ES")</f>
        <v>ES</v>
      </c>
      <c r="C7552" s="8" t="s">
        <v>39</v>
      </c>
      <c r="D7552" s="9" t="str">
        <f>HYPERLINK("https://otsuka-europe-crm.veevavault.com/ui/#object/approved_document__v/V5O00000000D100", "Spain - Consent Email 1 Aug 25")</f>
        <v>Spain - Consent Email 1 Aug 25</v>
      </c>
      <c r="E7552" s="10" t="str">
        <f>HYPERLINK("https://otsuka-europe-crm.veevavault.com/ui/#object/sent_email__v/VBL00000003B216", "SE-001445179")</f>
        <v>SE-001445179</v>
      </c>
      <c r="F7552" s="11"/>
      <c r="G7552" s="12">
        <v>0</v>
      </c>
      <c r="H7552" s="12">
        <v>0</v>
      </c>
      <c r="I7552" s="12">
        <v>0</v>
      </c>
      <c r="J7552" s="11"/>
      <c r="K7552" s="12">
        <v>0</v>
      </c>
      <c r="L7552" s="10" t="str">
        <f>HYPERLINK("https://otsuka-europe-crm.veevavault.com/ui/#object/approved_document__v/V5O00000000D100", "Spain - Consent Email 1 Aug 25")</f>
        <v>Spain - Consent Email 1 Aug 25</v>
      </c>
      <c r="M7552" s="10" t="str">
        <f>HYPERLINK("mailto:barroyo@crm.otsuka-europe.com", "barroyo@crm.otsuka-europe.com")</f>
        <v>barroyo@crm.otsuka-europe.com</v>
      </c>
      <c r="N7552" s="13">
        <v>46227.730474537035</v>
      </c>
      <c r="O7552" s="14" t="str">
        <f>HYPERLINK("https://otsuka-europe-crm.veevavault.com/ui/#object/email_activity__v/V8C00000004D416", "EN-002108903")</f>
        <v>EN-002108903</v>
      </c>
    </row>
    <row r="7553" spans="1:15" ht="32" x14ac:dyDescent="0.2">
      <c r="A7553" s="7" t="str">
        <f>HYPERLINK("https://otsuka-europe-crm.veevavault.com/ui/#object/account__v/V4T00000002J014", "OSCAR SOTORRA ELIAS")</f>
        <v>OSCAR SOTORRA ELIAS</v>
      </c>
      <c r="B7553" s="7" t="str">
        <f>HYPERLINK("https://otsuka-europe-crm.veevavault.com/ui/#object/vcountry__v/VENZ000004SONF5", "ES")</f>
        <v>ES</v>
      </c>
      <c r="C7553" s="8" t="s">
        <v>39</v>
      </c>
      <c r="D7553" s="9" t="str">
        <f>HYPERLINK("https://otsuka-europe-crm.veevavault.com/ui/#object/approved_document__v/V5OZ04ASG4FWKA7", "Reuniones Online Consent - 2")</f>
        <v>Reuniones Online Consent - 2</v>
      </c>
      <c r="E7553" s="10" t="str">
        <f>HYPERLINK("https://otsuka-europe-crm.veevavault.com/ui/#object/sent_email__v/VBL00000003B217", "SE-001445180")</f>
        <v>SE-001445180</v>
      </c>
      <c r="F7553" s="11"/>
      <c r="G7553" s="12">
        <v>0</v>
      </c>
      <c r="H7553" s="12">
        <v>0</v>
      </c>
      <c r="I7553" s="12">
        <v>0</v>
      </c>
      <c r="J7553" s="11"/>
      <c r="K7553" s="12">
        <v>0</v>
      </c>
      <c r="L7553" s="10" t="str">
        <f>HYPERLINK("https://otsuka-europe-crm.veevavault.com/ui/#object/approved_document__v/V5OZ04ASG4FWKA7", "Reuniones Online Consent - 2")</f>
        <v>Reuniones Online Consent - 2</v>
      </c>
      <c r="M7553" s="10" t="str">
        <f>HYPERLINK("mailto:barroyo@crm.otsuka-europe.com", "barroyo@crm.otsuka-europe.com")</f>
        <v>barroyo@crm.otsuka-europe.com</v>
      </c>
      <c r="N7553" s="13">
        <v>46227.730497685188</v>
      </c>
      <c r="O7553" s="14" t="str">
        <f>HYPERLINK("https://otsuka-europe-crm.veevavault.com/ui/#object/email_activity__v/V8C00000004E269", "EN-002108902")</f>
        <v>EN-002108902</v>
      </c>
    </row>
    <row r="7554" spans="1:15" ht="16" x14ac:dyDescent="0.2">
      <c r="A7554" s="18" t="str">
        <f>HYPERLINK("https://otsuka-europe-crm.veevavault.com/ui/#object/account__v/V4T00000002J014", "OSCAR SOTORRA ELIAS")</f>
        <v>OSCAR SOTORRA ELIAS</v>
      </c>
      <c r="B7554" s="18" t="str">
        <f>HYPERLINK("https://otsuka-europe-crm.veevavault.com/ui/#object/vcountry__v/VENZ000004SONF5", "ES")</f>
        <v>ES</v>
      </c>
      <c r="C7554" s="20" t="s">
        <v>39</v>
      </c>
      <c r="D7554" s="21" t="str">
        <f>HYPERLINK("https://otsuka-europe-crm.veevavault.com/ui/#object/approved_document__v/V5OZ04ASG4FWKA9", "Documento Autorizaciขn Centro Empleador")</f>
        <v>Documento Autorizaciขn Centro Empleador</v>
      </c>
      <c r="E7554" s="22" t="str">
        <f>HYPERLINK("https://otsuka-europe-crm.veevavault.com/ui/#object/sent_email__v/VBL00000003B218", "SE-001445181")</f>
        <v>SE-001445181</v>
      </c>
      <c r="F7554" s="25">
        <v>46229.650381944448</v>
      </c>
      <c r="G7554" s="24">
        <v>1</v>
      </c>
      <c r="H7554" s="24">
        <v>1</v>
      </c>
      <c r="I7554" s="24">
        <v>0</v>
      </c>
      <c r="J7554" s="23"/>
      <c r="K7554" s="24">
        <v>0</v>
      </c>
      <c r="L7554" s="22" t="str">
        <f>HYPERLINK("https://otsuka-europe-crm.veevavault.com/ui/#object/approved_document__v/V5OZ04ASG4FWKA9", "Documento Autorizaciขn Centro Empleador")</f>
        <v>Documento Autorizaciขn Centro Empleador</v>
      </c>
      <c r="M7554" s="22" t="str">
        <f>HYPERLINK("mailto:barroyo@crm.otsuka-europe.com", "barroyo@crm.otsuka-europe.com")</f>
        <v>barroyo@crm.otsuka-europe.com</v>
      </c>
      <c r="N7554" s="25">
        <v>46227.730497685188</v>
      </c>
      <c r="O7554" s="14" t="str">
        <f>HYPERLINK("https://otsuka-europe-crm.veevavault.com/ui/#object/email_activity__v/V8C00000004D480", "EN-002109040")</f>
        <v>EN-002109040</v>
      </c>
    </row>
    <row r="7555" spans="1:15" ht="16" x14ac:dyDescent="0.2">
      <c r="A7555" s="19"/>
      <c r="B7555" s="19"/>
      <c r="C7555" s="19"/>
      <c r="D7555" s="19"/>
      <c r="E7555" s="19"/>
      <c r="F7555" s="19"/>
      <c r="G7555" s="19"/>
      <c r="H7555" s="19"/>
      <c r="I7555" s="19"/>
      <c r="J7555" s="19"/>
      <c r="K7555" s="19"/>
      <c r="L7555" s="19"/>
      <c r="M7555" s="19"/>
      <c r="N7555" s="19"/>
      <c r="O7555" s="14" t="str">
        <f>HYPERLINK("https://otsuka-europe-crm.veevavault.com/ui/#object/email_activity__v/V8C00000004E270", "EN-002108904")</f>
        <v>EN-002108904</v>
      </c>
    </row>
    <row r="7556" spans="1:15" ht="32" x14ac:dyDescent="0.2">
      <c r="A7556" s="7" t="str">
        <f>HYPERLINK("https://otsuka-europe-crm.veevavault.com/ui/#object/account__v/V4TZ06G6O71TFY8", "DANIELA RADIGHIERI")</f>
        <v>DANIELA RADIGHIERI</v>
      </c>
      <c r="B7556" s="7" t="str">
        <f>HYPERLINK("https://otsuka-europe-crm.veevavault.com/ui/#object/vcountry__v/VENZ000004SONFQ", "IT")</f>
        <v>IT</v>
      </c>
      <c r="C7556" s="8" t="s">
        <v>42</v>
      </c>
      <c r="D7556" s="9" t="str">
        <f>HYPERLINK("https://otsuka-europe-crm.veevavault.com/ui/#object/approved_document__v/V5O00000001Y003", "RXULTI_AE Consensus Fagiolini_IT-RXU-2500037")</f>
        <v>RXULTI_AE Consensus Fagiolini_IT-RXU-2500037</v>
      </c>
      <c r="E7556" s="10" t="str">
        <f>HYPERLINK("https://otsuka-europe-crm.veevavault.com/ui/#object/sent_email__v/VBL00000003B219", "SE-001445182")</f>
        <v>SE-001445182</v>
      </c>
      <c r="F7556" s="11"/>
      <c r="G7556" s="12">
        <v>0</v>
      </c>
      <c r="H7556" s="12">
        <v>0</v>
      </c>
      <c r="I7556" s="12">
        <v>0</v>
      </c>
      <c r="J7556" s="11"/>
      <c r="K7556" s="12">
        <v>0</v>
      </c>
      <c r="L7556" s="10" t="str">
        <f>HYPERLINK("https://otsuka-europe-crm.veevavault.com/ui/#object/approved_document__v/V5O00000001Y003", "RXULTI_AE Consensus Fagiolini_IT-RXU-2500037")</f>
        <v>RXULTI_AE Consensus Fagiolini_IT-RXU-2500037</v>
      </c>
      <c r="M7556" s="10" t="str">
        <f>HYPERLINK("mailto:annalisa.barozzini@crm.otsuka-europe.com", "annalisa.barozzini@crm.otsuka-europe.com")</f>
        <v>annalisa.barozzini@crm.otsuka-europe.com</v>
      </c>
      <c r="N7556" s="13">
        <v>46229.914189814815</v>
      </c>
      <c r="O7556" s="14" t="str">
        <f>HYPERLINK("https://otsuka-europe-crm.veevavault.com/ui/#object/email_activity__v/V8C00000004E350", "EN-002109055")</f>
        <v>EN-002109055</v>
      </c>
    </row>
    <row r="7557" spans="1:15" ht="16" x14ac:dyDescent="0.2">
      <c r="A7557" s="18" t="str">
        <f>HYPERLINK("https://otsuka-europe-crm.veevavault.com/ui/#object/account__v/V4TZ06G6O71SA8V", "MARCO BIANCHINI")</f>
        <v>MARCO BIANCHINI</v>
      </c>
      <c r="B7557" s="18" t="str">
        <f>HYPERLINK("https://otsuka-europe-crm.veevavault.com/ui/#object/vcountry__v/VENZ000004SONFQ", "IT")</f>
        <v>IT</v>
      </c>
      <c r="C7557" s="20" t="s">
        <v>42</v>
      </c>
      <c r="D7557" s="21" t="str">
        <f>HYPERLINK("https://otsuka-europe-crm.veevavault.com/ui/#object/approved_document__v/V5O00000001Y003", "RXULTI_AE Consensus Fagiolini_IT-RXU-2500037")</f>
        <v>RXULTI_AE Consensus Fagiolini_IT-RXU-2500037</v>
      </c>
      <c r="E7557" s="22" t="str">
        <f>HYPERLINK("https://otsuka-europe-crm.veevavault.com/ui/#object/sent_email__v/VBL00000003B220", "SE-001445183")</f>
        <v>SE-001445183</v>
      </c>
      <c r="F7557" s="25">
        <v>46231.727256944447</v>
      </c>
      <c r="G7557" s="24">
        <v>1</v>
      </c>
      <c r="H7557" s="24">
        <v>2</v>
      </c>
      <c r="I7557" s="24">
        <v>0</v>
      </c>
      <c r="J7557" s="23"/>
      <c r="K7557" s="24">
        <v>0</v>
      </c>
      <c r="L7557" s="22" t="str">
        <f>HYPERLINK("https://otsuka-europe-crm.veevavault.com/ui/#object/approved_document__v/V5O00000001Y003", "RXULTI_AE Consensus Fagiolini_IT-RXU-2500037")</f>
        <v>RXULTI_AE Consensus Fagiolini_IT-RXU-2500037</v>
      </c>
      <c r="M7557" s="22" t="str">
        <f>HYPERLINK("mailto:annalisa.barozzini@crm.otsuka-europe.com", "annalisa.barozzini@crm.otsuka-europe.com")</f>
        <v>annalisa.barozzini@crm.otsuka-europe.com</v>
      </c>
      <c r="N7557" s="25">
        <v>46229.914618055554</v>
      </c>
      <c r="O7557" s="14" t="str">
        <f>HYPERLINK("https://otsuka-europe-crm.veevavault.com/ui/#object/email_activity__v/V8C00000004D530", "EN-002109143")</f>
        <v>EN-002109143</v>
      </c>
    </row>
    <row r="7558" spans="1:15" ht="16" x14ac:dyDescent="0.2">
      <c r="A7558" s="26"/>
      <c r="B7558" s="26"/>
      <c r="C7558" s="26"/>
      <c r="D7558" s="26"/>
      <c r="E7558" s="26"/>
      <c r="F7558" s="26"/>
      <c r="G7558" s="26"/>
      <c r="H7558" s="26"/>
      <c r="I7558" s="26"/>
      <c r="J7558" s="26"/>
      <c r="K7558" s="26"/>
      <c r="L7558" s="26"/>
      <c r="M7558" s="26"/>
      <c r="N7558" s="26"/>
      <c r="O7558" s="14" t="str">
        <f>HYPERLINK("https://otsuka-europe-crm.veevavault.com/ui/#object/email_activity__v/V8C00000004E351", "EN-002109056")</f>
        <v>EN-002109056</v>
      </c>
    </row>
    <row r="7559" spans="1:15" ht="16" x14ac:dyDescent="0.2">
      <c r="A7559" s="19"/>
      <c r="B7559" s="19"/>
      <c r="C7559" s="19"/>
      <c r="D7559" s="19"/>
      <c r="E7559" s="19"/>
      <c r="F7559" s="19"/>
      <c r="G7559" s="19"/>
      <c r="H7559" s="19"/>
      <c r="I7559" s="19"/>
      <c r="J7559" s="19"/>
      <c r="K7559" s="19"/>
      <c r="L7559" s="19"/>
      <c r="M7559" s="19"/>
      <c r="N7559" s="19"/>
      <c r="O7559" s="14" t="str">
        <f>HYPERLINK("https://otsuka-europe-crm.veevavault.com/ui/#object/email_activity__v/V8C00000004E571", "EN-002109479")</f>
        <v>EN-002109479</v>
      </c>
    </row>
    <row r="7560" spans="1:15" ht="32" x14ac:dyDescent="0.2">
      <c r="A7560" s="7" t="str">
        <f>HYPERLINK("https://otsuka-europe-crm.veevavault.com/ui/#object/account__v/V4T00000002F017", "MANUELA IGLESIAS MOSQUERA")</f>
        <v>MANUELA IGLESIAS MOSQUERA</v>
      </c>
      <c r="B7560" s="7" t="str">
        <f>HYPERLINK("https://otsuka-europe-crm.veevavault.com/ui/#object/vcountry__v/VENZ000004SONF5", "ES")</f>
        <v>ES</v>
      </c>
      <c r="C7560" s="8" t="s">
        <v>39</v>
      </c>
      <c r="D7560" s="9" t="str">
        <f>HYPERLINK("https://otsuka-europe-crm.veevavault.com/ui/#object/approved_document__v/V5OZ06G6O6RFL1P", "ES Veeva Privacy Notice Email")</f>
        <v>ES Veeva Privacy Notice Email</v>
      </c>
      <c r="E7560" s="10" t="str">
        <f>HYPERLINK("https://otsuka-europe-crm.veevavault.com/ui/#object/sent_email__v/VBL00000003C145", "SE-001445184")</f>
        <v>SE-001445184</v>
      </c>
      <c r="F7560" s="11"/>
      <c r="G7560" s="12">
        <v>0</v>
      </c>
      <c r="H7560" s="12">
        <v>0</v>
      </c>
      <c r="I7560" s="12">
        <v>0</v>
      </c>
      <c r="J7560" s="11"/>
      <c r="K7560" s="12">
        <v>0</v>
      </c>
      <c r="L7560" s="10" t="str">
        <f>HYPERLINK("https://otsuka-europe-crm.veevavault.com/ui/#object/approved_document__v/V5OZ06G6O6RFL1P", "ES Veeva Privacy Notice Email")</f>
        <v>ES Veeva Privacy Notice Email</v>
      </c>
      <c r="M7560" s="10" t="str">
        <f>HYPERLINK("mailto:malonso@crm.otsuka-europe.com", "malonso@crm.otsuka-europe.com")</f>
        <v>malonso@crm.otsuka-europe.com</v>
      </c>
      <c r="N7560" s="13">
        <v>46230.340636574074</v>
      </c>
      <c r="O7560" s="14" t="str">
        <f>HYPERLINK("https://otsuka-europe-crm.veevavault.com/ui/#object/email_activity__v/V8C00000004D491", "EN-002109071")</f>
        <v>EN-002109071</v>
      </c>
    </row>
    <row r="7561" spans="1:15" ht="32" x14ac:dyDescent="0.2">
      <c r="A7561" s="7" t="str">
        <f>HYPERLINK("https://otsuka-europe-crm.veevavault.com/ui/#object/account__v/V4TZ0000062PBT8", "Petar Kolarov")</f>
        <v>Petar Kolarov</v>
      </c>
      <c r="B7561" s="7" t="str">
        <f>HYPERLINK("https://otsuka-europe-crm.veevavault.com/ui/#object/vcountry__v/VENZ000004SONFK", "GB")</f>
        <v>GB</v>
      </c>
      <c r="C7561" s="8" t="s">
        <v>41</v>
      </c>
      <c r="D7561" s="9" t="str">
        <f>HYPERLINK("https://otsuka-europe-crm.veevavault.com/ui/#object/approved_document__v/V5O00000001V001", "LDM DR P2P Invite 12-Nov-26 v2 [digital]")</f>
        <v>LDM DR P2P Invite 12-Nov-26 v2 [digital]</v>
      </c>
      <c r="E7561" s="10" t="str">
        <f>HYPERLINK("https://otsuka-europe-crm.veevavault.com/ui/#object/sent_email__v/VBL00000003C146", "SE-001445185")</f>
        <v>SE-001445185</v>
      </c>
      <c r="F7561" s="11"/>
      <c r="G7561" s="12">
        <v>0</v>
      </c>
      <c r="H7561" s="12">
        <v>0</v>
      </c>
      <c r="I7561" s="12">
        <v>0</v>
      </c>
      <c r="J7561" s="11"/>
      <c r="K7561" s="12">
        <v>0</v>
      </c>
      <c r="L7561" s="10" t="str">
        <f>HYPERLINK("https://otsuka-europe-crm.veevavault.com/ui/#object/approved_document__v/V5O00000001V001", "LDM DR P2P Invite 12-Nov-26 v2 [digital]")</f>
        <v>LDM DR P2P Invite 12-Nov-26 v2 [digital]</v>
      </c>
      <c r="M7561" s="10" t="str">
        <f>HYPERLINK("mailto:draval@crm.otsuka-europe.com", "draval@crm.otsuka-europe.com")</f>
        <v>draval@crm.otsuka-europe.com</v>
      </c>
      <c r="N7561" s="13">
        <v>46230.347939814812</v>
      </c>
      <c r="O7561" s="14" t="str">
        <f>HYPERLINK("https://otsuka-europe-crm.veevavault.com/ui/#object/email_activity__v/V8C00000004E364", "EN-002109073")</f>
        <v>EN-002109073</v>
      </c>
    </row>
    <row r="7562" spans="1:15" ht="16" x14ac:dyDescent="0.2">
      <c r="A7562" s="18" t="str">
        <f>HYPERLINK("https://otsuka-europe-crm.veevavault.com/ui/#object/account__v/V4T00000002I030", "Obaid Ullah")</f>
        <v>Obaid Ullah</v>
      </c>
      <c r="B7562" s="18" t="str">
        <f>HYPERLINK("https://otsuka-europe-crm.veevavault.com/ui/#object/vcountry__v/VENZ000004SONFK", "GB")</f>
        <v>GB</v>
      </c>
      <c r="C7562" s="20" t="s">
        <v>41</v>
      </c>
      <c r="D7562" s="21" t="str">
        <f>HYPERLINK("https://otsuka-europe-crm.veevavault.com/ui/#object/approved_document__v/V5OZ025E82PXJSL", "Otsuka Privacy Notice - UK (v2)")</f>
        <v>Otsuka Privacy Notice - UK (v2)</v>
      </c>
      <c r="E7562" s="22" t="str">
        <f>HYPERLINK("https://otsuka-europe-crm.veevavault.com/ui/#object/sent_email__v/VBL00000003B221", "SE-001445186")</f>
        <v>SE-001445186</v>
      </c>
      <c r="F7562" s="25">
        <v>46230.376203703701</v>
      </c>
      <c r="G7562" s="24">
        <v>1</v>
      </c>
      <c r="H7562" s="24">
        <v>1</v>
      </c>
      <c r="I7562" s="24">
        <v>0</v>
      </c>
      <c r="J7562" s="23"/>
      <c r="K7562" s="24">
        <v>0</v>
      </c>
      <c r="L7562" s="22" t="str">
        <f>HYPERLINK("https://otsuka-europe-crm.veevavault.com/ui/#object/approved_document__v/V5OZ025E82PXJSL", "Otsuka Privacy Notice - UK (v2)")</f>
        <v>Otsuka Privacy Notice - UK (v2)</v>
      </c>
      <c r="M7562" s="22" t="str">
        <f>HYPERLINK("mailto:medwards@crm.otsuka-europe.com", "medwards@crm.otsuka-europe.com")</f>
        <v>medwards@crm.otsuka-europe.com</v>
      </c>
      <c r="N7562" s="25">
        <v>46230.37605324074</v>
      </c>
      <c r="O7562" s="14" t="str">
        <f>HYPERLINK("https://otsuka-europe-crm.veevavault.com/ui/#object/email_activity__v/V8C00000004E366", "EN-002109077")</f>
        <v>EN-002109077</v>
      </c>
    </row>
    <row r="7563" spans="1:15" ht="16" x14ac:dyDescent="0.2">
      <c r="A7563" s="19"/>
      <c r="B7563" s="19"/>
      <c r="C7563" s="19"/>
      <c r="D7563" s="19"/>
      <c r="E7563" s="19"/>
      <c r="F7563" s="19"/>
      <c r="G7563" s="19"/>
      <c r="H7563" s="19"/>
      <c r="I7563" s="19"/>
      <c r="J7563" s="19"/>
      <c r="K7563" s="19"/>
      <c r="L7563" s="19"/>
      <c r="M7563" s="19"/>
      <c r="N7563" s="19"/>
      <c r="O7563" s="14" t="str">
        <f>HYPERLINK("https://otsuka-europe-crm.veevavault.com/ui/#object/email_activity__v/V8C00000004E367", "EN-002109078")</f>
        <v>EN-002109078</v>
      </c>
    </row>
    <row r="7564" spans="1:15" ht="16" x14ac:dyDescent="0.2">
      <c r="A7564" s="18" t="str">
        <f>HYPERLINK("https://otsuka-europe-crm.veevavault.com/ui/#object/account__v/V4T00000002I031", "Ibrahim Ali")</f>
        <v>Ibrahim Ali</v>
      </c>
      <c r="B7564" s="18" t="str">
        <f>HYPERLINK("https://otsuka-europe-crm.veevavault.com/ui/#object/vcountry__v/VENZ000004SONFK", "GB")</f>
        <v>GB</v>
      </c>
      <c r="C7564" s="20" t="s">
        <v>41</v>
      </c>
      <c r="D7564" s="21" t="str">
        <f>HYPERLINK("https://otsuka-europe-crm.veevavault.com/ui/#object/approved_document__v/V5OZ025E82PXJSL", "Otsuka Privacy Notice - UK (v2)")</f>
        <v>Otsuka Privacy Notice - UK (v2)</v>
      </c>
      <c r="E7564" s="22" t="str">
        <f>HYPERLINK("https://otsuka-europe-crm.veevavault.com/ui/#object/sent_email__v/VBL00000003C147", "SE-001445187")</f>
        <v>SE-001445187</v>
      </c>
      <c r="F7564" s="25">
        <v>46230.380914351852</v>
      </c>
      <c r="G7564" s="24">
        <v>1</v>
      </c>
      <c r="H7564" s="24">
        <v>1</v>
      </c>
      <c r="I7564" s="24">
        <v>0</v>
      </c>
      <c r="J7564" s="23"/>
      <c r="K7564" s="24">
        <v>0</v>
      </c>
      <c r="L7564" s="22" t="str">
        <f>HYPERLINK("https://otsuka-europe-crm.veevavault.com/ui/#object/approved_document__v/V5OZ025E82PXJSL", "Otsuka Privacy Notice - UK (v2)")</f>
        <v>Otsuka Privacy Notice - UK (v2)</v>
      </c>
      <c r="M7564" s="22" t="str">
        <f>HYPERLINK("mailto:medwards@crm.otsuka-europe.com", "medwards@crm.otsuka-europe.com")</f>
        <v>medwards@crm.otsuka-europe.com</v>
      </c>
      <c r="N7564" s="25">
        <v>46230.380844907406</v>
      </c>
      <c r="O7564" s="14" t="str">
        <f>HYPERLINK("https://otsuka-europe-crm.veevavault.com/ui/#object/email_activity__v/V8C00000004D494", "EN-002109079")</f>
        <v>EN-002109079</v>
      </c>
    </row>
    <row r="7565" spans="1:15" ht="16" x14ac:dyDescent="0.2">
      <c r="A7565" s="19"/>
      <c r="B7565" s="19"/>
      <c r="C7565" s="19"/>
      <c r="D7565" s="19"/>
      <c r="E7565" s="19"/>
      <c r="F7565" s="19"/>
      <c r="G7565" s="19"/>
      <c r="H7565" s="19"/>
      <c r="I7565" s="19"/>
      <c r="J7565" s="19"/>
      <c r="K7565" s="19"/>
      <c r="L7565" s="19"/>
      <c r="M7565" s="19"/>
      <c r="N7565" s="19"/>
      <c r="O7565" s="14" t="str">
        <f>HYPERLINK("https://otsuka-europe-crm.veevavault.com/ui/#object/email_activity__v/V8C00000004D495", "EN-002109080")</f>
        <v>EN-002109080</v>
      </c>
    </row>
    <row r="7566" spans="1:15" ht="16" x14ac:dyDescent="0.2">
      <c r="A7566" s="18" t="str">
        <f>HYPERLINK("https://otsuka-europe-crm.veevavault.com/ui/#object/account__v/V4TZ04ASG95TAW8", "CATALINA BLANES MORELL")</f>
        <v>CATALINA BLANES MORELL</v>
      </c>
      <c r="B7566" s="18" t="str">
        <f>HYPERLINK("https://otsuka-europe-crm.veevavault.com/ui/#object/vcountry__v/VENZ000004SONF5", "ES")</f>
        <v>ES</v>
      </c>
      <c r="C7566" s="20" t="s">
        <v>39</v>
      </c>
      <c r="D7566" s="21" t="str">
        <f>HYPERLINK("https://otsuka-europe-crm.veevavault.com/ui/#object/approved_document__v/V5OZ04ASG4FWKA9", "Documento Autorizaciขn Centro Empleador")</f>
        <v>Documento Autorizaciขn Centro Empleador</v>
      </c>
      <c r="E7566" s="22" t="str">
        <f>HYPERLINK("https://otsuka-europe-crm.veevavault.com/ui/#object/sent_email__v/VBL00000003B222", "SE-001445188")</f>
        <v>SE-001445188</v>
      </c>
      <c r="F7566" s="25">
        <v>46230.445613425924</v>
      </c>
      <c r="G7566" s="24">
        <v>1</v>
      </c>
      <c r="H7566" s="24">
        <v>1</v>
      </c>
      <c r="I7566" s="24">
        <v>1</v>
      </c>
      <c r="J7566" s="25">
        <v>46230.445613425924</v>
      </c>
      <c r="K7566" s="24">
        <v>1</v>
      </c>
      <c r="L7566" s="22" t="str">
        <f>HYPERLINK("https://otsuka-europe-crm.veevavault.com/ui/#object/approved_document__v/V5OZ04ASG4FWKA9", "Documento Autorizaciขn Centro Empleador")</f>
        <v>Documento Autorizaciขn Centro Empleador</v>
      </c>
      <c r="M7566" s="22" t="str">
        <f>HYPERLINK("mailto:oestevez@crm.otsuka-europe.com", "oestevez@crm.otsuka-europe.com")</f>
        <v>oestevez@crm.otsuka-europe.com</v>
      </c>
      <c r="N7566" s="25">
        <v>46230.381527777776</v>
      </c>
      <c r="O7566" s="14" t="str">
        <f>HYPERLINK("https://otsuka-europe-crm.veevavault.com/ui/#object/email_activity__v/V8C00000004D496", "EN-002109081")</f>
        <v>EN-002109081</v>
      </c>
    </row>
    <row r="7567" spans="1:15" ht="16" x14ac:dyDescent="0.2">
      <c r="A7567" s="26"/>
      <c r="B7567" s="26"/>
      <c r="C7567" s="26"/>
      <c r="D7567" s="26"/>
      <c r="E7567" s="26"/>
      <c r="F7567" s="26"/>
      <c r="G7567" s="26"/>
      <c r="H7567" s="26"/>
      <c r="I7567" s="26"/>
      <c r="J7567" s="26"/>
      <c r="K7567" s="26"/>
      <c r="L7567" s="26"/>
      <c r="M7567" s="26"/>
      <c r="N7567" s="26"/>
      <c r="O7567" s="14" t="str">
        <f>HYPERLINK("https://otsuka-europe-crm.veevavault.com/ui/#object/email_activity__v/V8C00000004E370", "EN-002109092")</f>
        <v>EN-002109092</v>
      </c>
    </row>
    <row r="7568" spans="1:15" ht="16" x14ac:dyDescent="0.2">
      <c r="A7568" s="19"/>
      <c r="B7568" s="19"/>
      <c r="C7568" s="19"/>
      <c r="D7568" s="19"/>
      <c r="E7568" s="19"/>
      <c r="F7568" s="19"/>
      <c r="G7568" s="19"/>
      <c r="H7568" s="19"/>
      <c r="I7568" s="19"/>
      <c r="J7568" s="19"/>
      <c r="K7568" s="19"/>
      <c r="L7568" s="19"/>
      <c r="M7568" s="19"/>
      <c r="N7568" s="19"/>
      <c r="O7568" s="14" t="str">
        <f>HYPERLINK("https://otsuka-europe-crm.veevavault.com/ui/#object/email_activity__v/V8C00000004E371", "EN-002109091")</f>
        <v>EN-002109091</v>
      </c>
    </row>
    <row r="7569" spans="1:15" ht="16" x14ac:dyDescent="0.2">
      <c r="A7569" s="18" t="str">
        <f>HYPERLINK("https://otsuka-europe-crm.veevavault.com/ui/#object/account__v/V4T00000002J021", "Mustafa Sevinc")</f>
        <v>Mustafa Sevinc</v>
      </c>
      <c r="B7569" s="18" t="str">
        <f>HYPERLINK("https://otsuka-europe-crm.veevavault.com/ui/#object/vcountry__v/VENZ000004SONFK", "GB")</f>
        <v>GB</v>
      </c>
      <c r="C7569" s="20" t="s">
        <v>41</v>
      </c>
      <c r="D7569" s="21" t="str">
        <f>HYPERLINK("https://otsuka-europe-crm.veevavault.com/ui/#object/approved_document__v/V5OZ025E82PXJSL", "Otsuka Privacy Notice - UK (v2)")</f>
        <v>Otsuka Privacy Notice - UK (v2)</v>
      </c>
      <c r="E7569" s="22" t="str">
        <f>HYPERLINK("https://otsuka-europe-crm.veevavault.com/ui/#object/sent_email__v/VBL00000003B223", "SE-001445189")</f>
        <v>SE-001445189</v>
      </c>
      <c r="F7569" s="25">
        <v>46230.394224537034</v>
      </c>
      <c r="G7569" s="24">
        <v>1</v>
      </c>
      <c r="H7569" s="24">
        <v>1</v>
      </c>
      <c r="I7569" s="24">
        <v>0</v>
      </c>
      <c r="J7569" s="23"/>
      <c r="K7569" s="24">
        <v>0</v>
      </c>
      <c r="L7569" s="22" t="str">
        <f>HYPERLINK("https://otsuka-europe-crm.veevavault.com/ui/#object/approved_document__v/V5OZ025E82PXJSL", "Otsuka Privacy Notice - UK (v2)")</f>
        <v>Otsuka Privacy Notice - UK (v2)</v>
      </c>
      <c r="M7569" s="22" t="str">
        <f>HYPERLINK("mailto:medwards@crm.otsuka-europe.com", "medwards@crm.otsuka-europe.com")</f>
        <v>medwards@crm.otsuka-europe.com</v>
      </c>
      <c r="N7569" s="25">
        <v>46230.394143518519</v>
      </c>
      <c r="O7569" s="14" t="str">
        <f>HYPERLINK("https://otsuka-europe-crm.veevavault.com/ui/#object/email_activity__v/V8C00000004D498", "EN-002109083")</f>
        <v>EN-002109083</v>
      </c>
    </row>
    <row r="7570" spans="1:15" ht="16" x14ac:dyDescent="0.2">
      <c r="A7570" s="19"/>
      <c r="B7570" s="19"/>
      <c r="C7570" s="19"/>
      <c r="D7570" s="19"/>
      <c r="E7570" s="19"/>
      <c r="F7570" s="19"/>
      <c r="G7570" s="19"/>
      <c r="H7570" s="19"/>
      <c r="I7570" s="19"/>
      <c r="J7570" s="19"/>
      <c r="K7570" s="19"/>
      <c r="L7570" s="19"/>
      <c r="M7570" s="19"/>
      <c r="N7570" s="19"/>
      <c r="O7570" s="14" t="str">
        <f>HYPERLINK("https://otsuka-europe-crm.veevavault.com/ui/#object/email_activity__v/V8C00000004D499", "EN-002109084")</f>
        <v>EN-002109084</v>
      </c>
    </row>
    <row r="7571" spans="1:15" ht="16" x14ac:dyDescent="0.2">
      <c r="A7571" s="18" t="str">
        <f>HYPERLINK("https://otsuka-europe-crm.veevavault.com/ui/#object/account__v/V4T00000002J022", "Saif Al-Chalabi")</f>
        <v>Saif Al-Chalabi</v>
      </c>
      <c r="B7571" s="18" t="str">
        <f>HYPERLINK("https://otsuka-europe-crm.veevavault.com/ui/#object/vcountry__v/VENZ000004SONFK", "GB")</f>
        <v>GB</v>
      </c>
      <c r="C7571" s="20" t="s">
        <v>41</v>
      </c>
      <c r="D7571" s="21" t="str">
        <f>HYPERLINK("https://otsuka-europe-crm.veevavault.com/ui/#object/approved_document__v/V5OZ025E82PXJSL", "Otsuka Privacy Notice - UK (v2)")</f>
        <v>Otsuka Privacy Notice - UK (v2)</v>
      </c>
      <c r="E7571" s="22" t="str">
        <f>HYPERLINK("https://otsuka-europe-crm.veevavault.com/ui/#object/sent_email__v/VBL00000003C148", "SE-001445190")</f>
        <v>SE-001445190</v>
      </c>
      <c r="F7571" s="25">
        <v>46230.404675925929</v>
      </c>
      <c r="G7571" s="24">
        <v>1</v>
      </c>
      <c r="H7571" s="24">
        <v>1</v>
      </c>
      <c r="I7571" s="24">
        <v>0</v>
      </c>
      <c r="J7571" s="23"/>
      <c r="K7571" s="24">
        <v>0</v>
      </c>
      <c r="L7571" s="22" t="str">
        <f>HYPERLINK("https://otsuka-europe-crm.veevavault.com/ui/#object/approved_document__v/V5OZ025E82PXJSL", "Otsuka Privacy Notice - UK (v2)")</f>
        <v>Otsuka Privacy Notice - UK (v2)</v>
      </c>
      <c r="M7571" s="22" t="str">
        <f>HYPERLINK("mailto:medwards@crm.otsuka-europe.com", "medwards@crm.otsuka-europe.com")</f>
        <v>medwards@crm.otsuka-europe.com</v>
      </c>
      <c r="N7571" s="25">
        <v>46230.404594907406</v>
      </c>
      <c r="O7571" s="14" t="str">
        <f>HYPERLINK("https://otsuka-europe-crm.veevavault.com/ui/#object/email_activity__v/V8C00000004D500", "EN-002109086")</f>
        <v>EN-002109086</v>
      </c>
    </row>
    <row r="7572" spans="1:15" ht="16" x14ac:dyDescent="0.2">
      <c r="A7572" s="19"/>
      <c r="B7572" s="19"/>
      <c r="C7572" s="19"/>
      <c r="D7572" s="19"/>
      <c r="E7572" s="19"/>
      <c r="F7572" s="19"/>
      <c r="G7572" s="19"/>
      <c r="H7572" s="19"/>
      <c r="I7572" s="19"/>
      <c r="J7572" s="19"/>
      <c r="K7572" s="19"/>
      <c r="L7572" s="19"/>
      <c r="M7572" s="19"/>
      <c r="N7572" s="19"/>
      <c r="O7572" s="14" t="str">
        <f>HYPERLINK("https://otsuka-europe-crm.veevavault.com/ui/#object/email_activity__v/V8C00000004D501", "EN-002109087")</f>
        <v>EN-002109087</v>
      </c>
    </row>
    <row r="7573" spans="1:15" ht="48" x14ac:dyDescent="0.2">
      <c r="A7573" s="7" t="str">
        <f>HYPERLINK("https://otsuka-europe-crm.veevavault.com/ui/#object/account__v/V4TZ06G6O71SB0C", "SABRINA CARUSO")</f>
        <v>SABRINA CARUSO</v>
      </c>
      <c r="B7573" s="7" t="str">
        <f>HYPERLINK("https://otsuka-europe-crm.veevavault.com/ui/#object/vcountry__v/VENZ000004SONFQ", "IT")</f>
        <v>IT</v>
      </c>
      <c r="C7573" s="8" t="s">
        <v>42</v>
      </c>
      <c r="D7573" s="9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7573" s="10" t="str">
        <f>HYPERLINK("https://otsuka-europe-crm.veevavault.com/ui/#object/sent_email__v/VBL00000003B224", "SE-001445191")</f>
        <v>SE-001445191</v>
      </c>
      <c r="F7573" s="11"/>
      <c r="G7573" s="12">
        <v>0</v>
      </c>
      <c r="H7573" s="12">
        <v>0</v>
      </c>
      <c r="I7573" s="12">
        <v>0</v>
      </c>
      <c r="J7573" s="11"/>
      <c r="K7573" s="12">
        <v>0</v>
      </c>
      <c r="L7573" s="10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7573" s="10" t="str">
        <f>HYPERLINK("mailto:marco.aldrigo@crm.otsuka-europe.com", "marco.aldrigo@crm.otsuka-europe.com")</f>
        <v>marco.aldrigo@crm.otsuka-europe.com</v>
      </c>
      <c r="N7573" s="13">
        <v>46230.499386574076</v>
      </c>
      <c r="O7573" s="14" t="str">
        <f>HYPERLINK("https://otsuka-europe-crm.veevavault.com/ui/#object/email_activity__v/V8C00000004E376", "EN-002109099")</f>
        <v>EN-002109099</v>
      </c>
    </row>
    <row r="7574" spans="1:15" ht="48" x14ac:dyDescent="0.2">
      <c r="A7574" s="7" t="str">
        <f>HYPERLINK("https://otsuka-europe-crm.veevavault.com/ui/#object/account__v/V4TZ025E83BB74H", "ALESSANDRA MUTTI")</f>
        <v>ALESSANDRA MUTTI</v>
      </c>
      <c r="B7574" s="7" t="str">
        <f>HYPERLINK("https://otsuka-europe-crm.veevavault.com/ui/#object/vcountry__v/VENZ000004SONFQ", "IT")</f>
        <v>IT</v>
      </c>
      <c r="C7574" s="8" t="s">
        <v>42</v>
      </c>
      <c r="D7574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7574" s="10" t="str">
        <f>HYPERLINK("https://otsuka-europe-crm.veevavault.com/ui/#object/sent_email__v/VBL00000003C149", "SE-001445192")</f>
        <v>SE-001445192</v>
      </c>
      <c r="F7574" s="11"/>
      <c r="G7574" s="12">
        <v>0</v>
      </c>
      <c r="H7574" s="12">
        <v>0</v>
      </c>
      <c r="I7574" s="12">
        <v>0</v>
      </c>
      <c r="J7574" s="11"/>
      <c r="K7574" s="12">
        <v>0</v>
      </c>
      <c r="L7574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7574" s="10" t="str">
        <f>HYPERLINK("mailto:marco.aldrigo@crm.otsuka-europe.com", "marco.aldrigo@crm.otsuka-europe.com")</f>
        <v>marco.aldrigo@crm.otsuka-europe.com</v>
      </c>
      <c r="N7574" s="13">
        <v>46230.553287037037</v>
      </c>
      <c r="O7574" s="14" t="str">
        <f>HYPERLINK("https://otsuka-europe-crm.veevavault.com/ui/#object/email_activity__v/V8C00000004E381", "EN-002109104")</f>
        <v>EN-002109104</v>
      </c>
    </row>
    <row r="7575" spans="1:15" ht="16" x14ac:dyDescent="0.2">
      <c r="A7575" s="18" t="str">
        <f>HYPERLINK("https://otsuka-europe-crm.veevavault.com/ui/#object/account__v/V4TZ06G6O71TD5W", "MANUEL CASTELLANOS TEJERO")</f>
        <v>MANUEL CASTELLANOS TEJERO</v>
      </c>
      <c r="B7575" s="18" t="str">
        <f>HYPERLINK("https://otsuka-europe-crm.veevavault.com/ui/#object/vcountry__v/VENZ000004SONF5", "ES")</f>
        <v>ES</v>
      </c>
      <c r="C7575" s="20" t="s">
        <v>39</v>
      </c>
      <c r="D7575" s="21" t="str">
        <f>HYPERLINK("https://otsuka-europe-crm.veevavault.com/ui/#object/approved_document__v/V5O000000001002", "AM2M - ENFERMERÍA - Guía preguntas pacientes")</f>
        <v>AM2M - ENFERMERÍA - Guía preguntas pacientes</v>
      </c>
      <c r="E7575" s="22" t="str">
        <f>HYPERLINK("https://otsuka-europe-crm.veevavault.com/ui/#object/sent_email__v/VBL00000003B225", "SE-001445193")</f>
        <v>SE-001445193</v>
      </c>
      <c r="F7575" s="25">
        <v>46238.512384259258</v>
      </c>
      <c r="G7575" s="24">
        <v>1</v>
      </c>
      <c r="H7575" s="24">
        <v>1</v>
      </c>
      <c r="I7575" s="24">
        <v>1</v>
      </c>
      <c r="J7575" s="25">
        <v>46238.512384259258</v>
      </c>
      <c r="K7575" s="24">
        <v>1</v>
      </c>
      <c r="L7575" s="22" t="str">
        <f>HYPERLINK("https://otsuka-europe-crm.veevavault.com/ui/#object/approved_document__v/V5O000000001002", "AM2M - ENFERMERÍA - Guía preguntas pacientes")</f>
        <v>AM2M - ENFERMERÍA - Guía preguntas pacientes</v>
      </c>
      <c r="M7575" s="22" t="str">
        <f>HYPERLINK("mailto:cvila@crm.otsuka-europe.com", "cvila@crm.otsuka-europe.com")</f>
        <v>cvila@crm.otsuka-europe.com</v>
      </c>
      <c r="N7575" s="25">
        <v>46230.706261574072</v>
      </c>
      <c r="O7575" s="14" t="str">
        <f>HYPERLINK("https://otsuka-europe-crm.veevavault.com/ui/#object/email_activity__v/V8C00000004E387", "EN-002109118")</f>
        <v>EN-002109118</v>
      </c>
    </row>
    <row r="7576" spans="1:15" ht="16" x14ac:dyDescent="0.2">
      <c r="A7576" s="26"/>
      <c r="B7576" s="26"/>
      <c r="C7576" s="26"/>
      <c r="D7576" s="26"/>
      <c r="E7576" s="26"/>
      <c r="F7576" s="26"/>
      <c r="G7576" s="26"/>
      <c r="H7576" s="26"/>
      <c r="I7576" s="26"/>
      <c r="J7576" s="26"/>
      <c r="K7576" s="26"/>
      <c r="L7576" s="26"/>
      <c r="M7576" s="26"/>
      <c r="N7576" s="26"/>
      <c r="O7576" s="14" t="str">
        <f>HYPERLINK("https://otsuka-europe-crm.veevavault.com/ui/#object/email_activity__v/V8C00000004I231", "EN-002111482")</f>
        <v>EN-002111482</v>
      </c>
    </row>
    <row r="7577" spans="1:15" ht="16" x14ac:dyDescent="0.2">
      <c r="A7577" s="26"/>
      <c r="B7577" s="26"/>
      <c r="C7577" s="26"/>
      <c r="D7577" s="26"/>
      <c r="E7577" s="26"/>
      <c r="F7577" s="26"/>
      <c r="G7577" s="26"/>
      <c r="H7577" s="26"/>
      <c r="I7577" s="26"/>
      <c r="J7577" s="26"/>
      <c r="K7577" s="26"/>
      <c r="L7577" s="26"/>
      <c r="M7577" s="26"/>
      <c r="N7577" s="26"/>
      <c r="O7577" s="14" t="str">
        <f>HYPERLINK("https://otsuka-europe-crm.veevavault.com/ui/#object/email_activity__v/V8C00000004I232", "EN-002111481")</f>
        <v>EN-002111481</v>
      </c>
    </row>
    <row r="7578" spans="1:15" ht="16" x14ac:dyDescent="0.2">
      <c r="A7578" s="19"/>
      <c r="B7578" s="19"/>
      <c r="C7578" s="19"/>
      <c r="D7578" s="19"/>
      <c r="E7578" s="19"/>
      <c r="F7578" s="19"/>
      <c r="G7578" s="19"/>
      <c r="H7578" s="19"/>
      <c r="I7578" s="19"/>
      <c r="J7578" s="19"/>
      <c r="K7578" s="19"/>
      <c r="L7578" s="19"/>
      <c r="M7578" s="19"/>
      <c r="N7578" s="19"/>
      <c r="O7578" s="14" t="str">
        <f>HYPERLINK("https://otsuka-europe-crm.veevavault.com/ui/#object/email_activity__v/V8C00000004I238", "EN-002111497")</f>
        <v>EN-002111497</v>
      </c>
    </row>
    <row r="7579" spans="1:15" ht="48" x14ac:dyDescent="0.2">
      <c r="A7579" s="7" t="str">
        <f>HYPERLINK("https://otsuka-europe-crm.veevavault.com/ui/#object/account__v/V4TZ06G6O71TD5W", "MANUEL CASTELLANOS TEJERO")</f>
        <v>MANUEL CASTELLANOS TEJERO</v>
      </c>
      <c r="B7579" s="7" t="str">
        <f>HYPERLINK("https://otsuka-europe-crm.veevavault.com/ui/#object/vcountry__v/VENZ000004SONF5", "ES")</f>
        <v>ES</v>
      </c>
      <c r="C7579" s="8" t="s">
        <v>39</v>
      </c>
      <c r="D7579" s="9" t="str">
        <f>HYPERLINK("https://otsuka-europe-crm.veevavault.com/ui/#object/approved_document__v/V5OZ025E82GCBPH", "AM2M - ENFERMERÍA - ¿Sabes cómo se administra Abilify Maintena 960 mg?")</f>
        <v>AM2M - ENFERMERÍA - ¿Sabes cómo se administra Abilify Maintena 960 mg?</v>
      </c>
      <c r="E7579" s="10" t="str">
        <f>HYPERLINK("https://otsuka-europe-crm.veevavault.com/ui/#object/sent_email__v/VBL00000003B226", "SE-001445194")</f>
        <v>SE-001445194</v>
      </c>
      <c r="F7579" s="11"/>
      <c r="G7579" s="12">
        <v>0</v>
      </c>
      <c r="H7579" s="12">
        <v>0</v>
      </c>
      <c r="I7579" s="12">
        <v>0</v>
      </c>
      <c r="J7579" s="11"/>
      <c r="K7579" s="12">
        <v>0</v>
      </c>
      <c r="L7579" s="10" t="str">
        <f>HYPERLINK("https://otsuka-europe-crm.veevavault.com/ui/#object/approved_document__v/V5OZ025E82GCBPH", "AM2M - ENFERMERÍA - ¿Sabes cómo se administra Abilify Maintena 960 mg?")</f>
        <v>AM2M - ENFERMERÍA - ¿Sabes cómo se administra Abilify Maintena 960 mg?</v>
      </c>
      <c r="M7579" s="10" t="str">
        <f>HYPERLINK("mailto:cvila@crm.otsuka-europe.com", "cvila@crm.otsuka-europe.com")</f>
        <v>cvila@crm.otsuka-europe.com</v>
      </c>
      <c r="N7579" s="13">
        <v>46230.706238425926</v>
      </c>
      <c r="O7579" s="14" t="str">
        <f>HYPERLINK("https://otsuka-europe-crm.veevavault.com/ui/#object/email_activity__v/V8C00000004E391", "EN-002109122")</f>
        <v>EN-002109122</v>
      </c>
    </row>
    <row r="7580" spans="1:15" ht="32" x14ac:dyDescent="0.2">
      <c r="A7580" s="7" t="str">
        <f>HYPERLINK("https://otsuka-europe-crm.veevavault.com/ui/#object/account__v/V4TZ06G6O71TD5W", "MANUEL CASTELLANOS TEJERO")</f>
        <v>MANUEL CASTELLANOS TEJERO</v>
      </c>
      <c r="B7580" s="7" t="str">
        <f>HYPERLINK("https://otsuka-europe-crm.veevavault.com/ui/#object/vcountry__v/VENZ000004SONF5", "ES")</f>
        <v>ES</v>
      </c>
      <c r="C7580" s="8" t="s">
        <v>39</v>
      </c>
      <c r="D7580" s="9" t="str">
        <f>HYPERLINK("https://otsuka-europe-crm.veevavault.com/ui/#object/approved_document__v/V5OZ025E82KALMD", "AM2M - video cómo administrar ENFERMERÍA")</f>
        <v>AM2M - video cómo administrar ENFERMERÍA</v>
      </c>
      <c r="E7580" s="10" t="str">
        <f>HYPERLINK("https://otsuka-europe-crm.veevavault.com/ui/#object/sent_email__v/VBL00000003B227", "SE-001445195")</f>
        <v>SE-001445195</v>
      </c>
      <c r="F7580" s="11"/>
      <c r="G7580" s="12">
        <v>0</v>
      </c>
      <c r="H7580" s="12">
        <v>0</v>
      </c>
      <c r="I7580" s="12">
        <v>0</v>
      </c>
      <c r="J7580" s="11"/>
      <c r="K7580" s="12">
        <v>0</v>
      </c>
      <c r="L7580" s="10" t="str">
        <f>HYPERLINK("https://otsuka-europe-crm.veevavault.com/ui/#object/approved_document__v/V5OZ025E82KALMD", "AM2M - video cómo administrar ENFERMERÍA")</f>
        <v>AM2M - video cómo administrar ENFERMERÍA</v>
      </c>
      <c r="M7580" s="10" t="str">
        <f>HYPERLINK("mailto:cvila@crm.otsuka-europe.com", "cvila@crm.otsuka-europe.com")</f>
        <v>cvila@crm.otsuka-europe.com</v>
      </c>
      <c r="N7580" s="13">
        <v>46230.706250000003</v>
      </c>
      <c r="O7580" s="14" t="str">
        <f>HYPERLINK("https://otsuka-europe-crm.veevavault.com/ui/#object/email_activity__v/V8C00000004E388", "EN-002109119")</f>
        <v>EN-002109119</v>
      </c>
    </row>
    <row r="7581" spans="1:15" ht="32" x14ac:dyDescent="0.2">
      <c r="A7581" s="7" t="str">
        <f>HYPERLINK("https://otsuka-europe-crm.veevavault.com/ui/#object/account__v/V4TZ06G6O71TD5W", "MANUEL CASTELLANOS TEJERO")</f>
        <v>MANUEL CASTELLANOS TEJERO</v>
      </c>
      <c r="B7581" s="7" t="str">
        <f>HYPERLINK("https://otsuka-europe-crm.veevavault.com/ui/#object/vcountry__v/VENZ000004SONF5", "ES")</f>
        <v>ES</v>
      </c>
      <c r="C7581" s="8" t="s">
        <v>39</v>
      </c>
      <c r="D7581" s="9" t="str">
        <f>HYPERLINK("https://otsuka-europe-crm.veevavault.com/ui/#object/approved_document__v/V5OZ025E82TP0C5", "ENFERMERÍA - Guía de Manejo Psicoterapéutico")</f>
        <v>ENFERMERÍA - Guía de Manejo Psicoterapéutico</v>
      </c>
      <c r="E7581" s="10" t="str">
        <f>HYPERLINK("https://otsuka-europe-crm.veevavault.com/ui/#object/sent_email__v/VBL00000003B228", "SE-001445196")</f>
        <v>SE-001445196</v>
      </c>
      <c r="F7581" s="11"/>
      <c r="G7581" s="12">
        <v>0</v>
      </c>
      <c r="H7581" s="12">
        <v>0</v>
      </c>
      <c r="I7581" s="12">
        <v>0</v>
      </c>
      <c r="J7581" s="11"/>
      <c r="K7581" s="12">
        <v>0</v>
      </c>
      <c r="L7581" s="10" t="str">
        <f>HYPERLINK("https://otsuka-europe-crm.veevavault.com/ui/#object/approved_document__v/V5OZ025E82TP0C5", "ENFERMERÍA - Guía de Manejo Psicoterapéutico")</f>
        <v>ENFERMERÍA - Guía de Manejo Psicoterapéutico</v>
      </c>
      <c r="M7581" s="10" t="str">
        <f>HYPERLINK("mailto:cvila@crm.otsuka-europe.com", "cvila@crm.otsuka-europe.com")</f>
        <v>cvila@crm.otsuka-europe.com</v>
      </c>
      <c r="N7581" s="13">
        <v>46230.706238425926</v>
      </c>
      <c r="O7581" s="14" t="str">
        <f>HYPERLINK("https://otsuka-europe-crm.veevavault.com/ui/#object/email_activity__v/V8C00000004E390", "EN-002109121")</f>
        <v>EN-002109121</v>
      </c>
    </row>
    <row r="7582" spans="1:15" ht="16" x14ac:dyDescent="0.2">
      <c r="A7582" s="18" t="str">
        <f>HYPERLINK("https://otsuka-europe-crm.veevavault.com/ui/#object/account__v/V4TZ06G6O71TD5W", "MANUEL CASTELLANOS TEJERO")</f>
        <v>MANUEL CASTELLANOS TEJERO</v>
      </c>
      <c r="B7582" s="18" t="str">
        <f>HYPERLINK("https://otsuka-europe-crm.veevavault.com/ui/#object/vcountry__v/VENZ000004SONF5", "ES")</f>
        <v>ES</v>
      </c>
      <c r="C7582" s="20" t="s">
        <v>39</v>
      </c>
      <c r="D7582" s="21" t="str">
        <f>HYPERLINK("https://otsuka-europe-crm.veevavault.com/ui/#object/approved_document__v/V5O00000000R011", "AM2M - ENFERMERÍA - Guía manejo práctico AM2M")</f>
        <v>AM2M - ENFERMERÍA - Guía manejo práctico AM2M</v>
      </c>
      <c r="E7582" s="22" t="str">
        <f>HYPERLINK("https://otsuka-europe-crm.veevavault.com/ui/#object/sent_email__v/VBL00000003B229", "SE-001445197")</f>
        <v>SE-001445197</v>
      </c>
      <c r="F7582" s="25">
        <v>46238.512071759258</v>
      </c>
      <c r="G7582" s="24">
        <v>1</v>
      </c>
      <c r="H7582" s="24">
        <v>1</v>
      </c>
      <c r="I7582" s="24">
        <v>1</v>
      </c>
      <c r="J7582" s="25">
        <v>46238.512071759258</v>
      </c>
      <c r="K7582" s="24">
        <v>1</v>
      </c>
      <c r="L7582" s="22" t="str">
        <f>HYPERLINK("https://otsuka-europe-crm.veevavault.com/ui/#object/approved_document__v/V5O00000000R011", "AM2M - ENFERMERÍA - Guía manejo práctico AM2M")</f>
        <v>AM2M - ENFERMERÍA - Guía manejo práctico AM2M</v>
      </c>
      <c r="M7582" s="22" t="str">
        <f>HYPERLINK("mailto:cvila@crm.otsuka-europe.com", "cvila@crm.otsuka-europe.com")</f>
        <v>cvila@crm.otsuka-europe.com</v>
      </c>
      <c r="N7582" s="25">
        <v>46230.706284722219</v>
      </c>
      <c r="O7582" s="14" t="str">
        <f>HYPERLINK("https://otsuka-europe-crm.veevavault.com/ui/#object/email_activity__v/V8C00000004E389", "EN-002109120")</f>
        <v>EN-002109120</v>
      </c>
    </row>
    <row r="7583" spans="1:15" ht="16" x14ac:dyDescent="0.2">
      <c r="A7583" s="26"/>
      <c r="B7583" s="26"/>
      <c r="C7583" s="26"/>
      <c r="D7583" s="26"/>
      <c r="E7583" s="26"/>
      <c r="F7583" s="26"/>
      <c r="G7583" s="26"/>
      <c r="H7583" s="26"/>
      <c r="I7583" s="26"/>
      <c r="J7583" s="26"/>
      <c r="K7583" s="26"/>
      <c r="L7583" s="26"/>
      <c r="M7583" s="26"/>
      <c r="N7583" s="26"/>
      <c r="O7583" s="14" t="str">
        <f>HYPERLINK("https://otsuka-europe-crm.veevavault.com/ui/#object/email_activity__v/V8C00000004I229", "EN-002111480")</f>
        <v>EN-002111480</v>
      </c>
    </row>
    <row r="7584" spans="1:15" ht="16" x14ac:dyDescent="0.2">
      <c r="A7584" s="26"/>
      <c r="B7584" s="26"/>
      <c r="C7584" s="26"/>
      <c r="D7584" s="26"/>
      <c r="E7584" s="26"/>
      <c r="F7584" s="26"/>
      <c r="G7584" s="26"/>
      <c r="H7584" s="26"/>
      <c r="I7584" s="26"/>
      <c r="J7584" s="26"/>
      <c r="K7584" s="26"/>
      <c r="L7584" s="26"/>
      <c r="M7584" s="26"/>
      <c r="N7584" s="26"/>
      <c r="O7584" s="14" t="str">
        <f>HYPERLINK("https://otsuka-europe-crm.veevavault.com/ui/#object/email_activity__v/V8C00000004I230", "EN-002111479")</f>
        <v>EN-002111479</v>
      </c>
    </row>
    <row r="7585" spans="1:15" ht="16" x14ac:dyDescent="0.2">
      <c r="A7585" s="19"/>
      <c r="B7585" s="19"/>
      <c r="C7585" s="19"/>
      <c r="D7585" s="19"/>
      <c r="E7585" s="19"/>
      <c r="F7585" s="19"/>
      <c r="G7585" s="19"/>
      <c r="H7585" s="19"/>
      <c r="I7585" s="19"/>
      <c r="J7585" s="19"/>
      <c r="K7585" s="19"/>
      <c r="L7585" s="19"/>
      <c r="M7585" s="19"/>
      <c r="N7585" s="19"/>
      <c r="O7585" s="14" t="str">
        <f>HYPERLINK("https://otsuka-europe-crm.veevavault.com/ui/#object/email_activity__v/V8C00000004I239", "EN-002111498")</f>
        <v>EN-002111498</v>
      </c>
    </row>
    <row r="7586" spans="1:15" ht="16" x14ac:dyDescent="0.2">
      <c r="A7586" s="18" t="str">
        <f>HYPERLINK("https://otsuka-europe-crm.veevavault.com/ui/#object/account__v/V4TZ06G6O8IO482", "PATRICIA SANCHEZ DIEZ")</f>
        <v>PATRICIA SANCHEZ DIEZ</v>
      </c>
      <c r="B7586" s="18" t="str">
        <f>HYPERLINK("https://otsuka-europe-crm.veevavault.com/ui/#object/vcountry__v/VENZ000004SONF5", "ES")</f>
        <v>ES</v>
      </c>
      <c r="C7586" s="20" t="s">
        <v>39</v>
      </c>
      <c r="D7586" s="21" t="str">
        <f>HYPERLINK("https://otsuka-europe-crm.veevavault.com/ui/#object/approved_document__v/V5OZ04ASG4FWKA9", "Documento Autorizaciขn Centro Empleador")</f>
        <v>Documento Autorizaciขn Centro Empleador</v>
      </c>
      <c r="E7586" s="22" t="str">
        <f>HYPERLINK("https://otsuka-europe-crm.veevavault.com/ui/#object/sent_email__v/VBL00000003B230", "SE-001445198")</f>
        <v>SE-001445198</v>
      </c>
      <c r="F7586" s="25">
        <v>46230.80945601852</v>
      </c>
      <c r="G7586" s="24">
        <v>1</v>
      </c>
      <c r="H7586" s="24">
        <v>1</v>
      </c>
      <c r="I7586" s="24">
        <v>1</v>
      </c>
      <c r="J7586" s="25">
        <v>46230.809756944444</v>
      </c>
      <c r="K7586" s="24">
        <v>2</v>
      </c>
      <c r="L7586" s="22" t="str">
        <f>HYPERLINK("https://otsuka-europe-crm.veevavault.com/ui/#object/approved_document__v/V5OZ04ASG4FWKA9", "Documento Autorizaciขn Centro Empleador")</f>
        <v>Documento Autorizaciขn Centro Empleador</v>
      </c>
      <c r="M7586" s="22" t="str">
        <f>HYPERLINK("mailto:oestevez@crm.otsuka-europe.com", "oestevez@crm.otsuka-europe.com")</f>
        <v>oestevez@crm.otsuka-europe.com</v>
      </c>
      <c r="N7586" s="25">
        <v>46230.807511574072</v>
      </c>
      <c r="O7586" s="14" t="str">
        <f>HYPERLINK("https://otsuka-europe-crm.veevavault.com/ui/#object/email_activity__v/V8C00000004D523", "EN-002109135")</f>
        <v>EN-002109135</v>
      </c>
    </row>
    <row r="7587" spans="1:15" ht="16" x14ac:dyDescent="0.2">
      <c r="A7587" s="26"/>
      <c r="B7587" s="26"/>
      <c r="C7587" s="26"/>
      <c r="D7587" s="26"/>
      <c r="E7587" s="26"/>
      <c r="F7587" s="26"/>
      <c r="G7587" s="26"/>
      <c r="H7587" s="26"/>
      <c r="I7587" s="26"/>
      <c r="J7587" s="26"/>
      <c r="K7587" s="26"/>
      <c r="L7587" s="26"/>
      <c r="M7587" s="26"/>
      <c r="N7587" s="26"/>
      <c r="O7587" s="14" t="str">
        <f>HYPERLINK("https://otsuka-europe-crm.veevavault.com/ui/#object/email_activity__v/V8C00000004D524", "EN-002109136")</f>
        <v>EN-002109136</v>
      </c>
    </row>
    <row r="7588" spans="1:15" ht="16" x14ac:dyDescent="0.2">
      <c r="A7588" s="26"/>
      <c r="B7588" s="26"/>
      <c r="C7588" s="26"/>
      <c r="D7588" s="26"/>
      <c r="E7588" s="26"/>
      <c r="F7588" s="26"/>
      <c r="G7588" s="26"/>
      <c r="H7588" s="26"/>
      <c r="I7588" s="26"/>
      <c r="J7588" s="26"/>
      <c r="K7588" s="26"/>
      <c r="L7588" s="26"/>
      <c r="M7588" s="26"/>
      <c r="N7588" s="26"/>
      <c r="O7588" s="14" t="str">
        <f>HYPERLINK("https://otsuka-europe-crm.veevavault.com/ui/#object/email_activity__v/V8C00000004D525", "EN-002109137")</f>
        <v>EN-002109137</v>
      </c>
    </row>
    <row r="7589" spans="1:15" ht="16" x14ac:dyDescent="0.2">
      <c r="A7589" s="26"/>
      <c r="B7589" s="26"/>
      <c r="C7589" s="26"/>
      <c r="D7589" s="26"/>
      <c r="E7589" s="26"/>
      <c r="F7589" s="26"/>
      <c r="G7589" s="26"/>
      <c r="H7589" s="26"/>
      <c r="I7589" s="26"/>
      <c r="J7589" s="26"/>
      <c r="K7589" s="26"/>
      <c r="L7589" s="26"/>
      <c r="M7589" s="26"/>
      <c r="N7589" s="26"/>
      <c r="O7589" s="14" t="str">
        <f>HYPERLINK("https://otsuka-europe-crm.veevavault.com/ui/#object/email_activity__v/V8C00000004D526", "EN-002109138")</f>
        <v>EN-002109138</v>
      </c>
    </row>
    <row r="7590" spans="1:15" ht="16" x14ac:dyDescent="0.2">
      <c r="A7590" s="19"/>
      <c r="B7590" s="19"/>
      <c r="C7590" s="19"/>
      <c r="D7590" s="19"/>
      <c r="E7590" s="19"/>
      <c r="F7590" s="19"/>
      <c r="G7590" s="19"/>
      <c r="H7590" s="19"/>
      <c r="I7590" s="19"/>
      <c r="J7590" s="19"/>
      <c r="K7590" s="19"/>
      <c r="L7590" s="19"/>
      <c r="M7590" s="19"/>
      <c r="N7590" s="19"/>
      <c r="O7590" s="14" t="str">
        <f>HYPERLINK("https://otsuka-europe-crm.veevavault.com/ui/#object/email_activity__v/V8C00000004E398", "EN-002109146")</f>
        <v>EN-002109146</v>
      </c>
    </row>
    <row r="7591" spans="1:15" ht="16" x14ac:dyDescent="0.2">
      <c r="A7591" s="18" t="str">
        <f>HYPERLINK("https://otsuka-europe-crm.veevavault.com/ui/#object/account__v/V4TZ025E87BCMIK", "MARIA GARCIA VALLEJO")</f>
        <v>MARIA GARCIA VALLEJO</v>
      </c>
      <c r="B7591" s="18" t="str">
        <f>HYPERLINK("https://otsuka-europe-crm.veevavault.com/ui/#object/vcountry__v/VENZ000004SONF5", "ES")</f>
        <v>ES</v>
      </c>
      <c r="C7591" s="20" t="s">
        <v>39</v>
      </c>
      <c r="D7591" s="21" t="str">
        <f>HYPERLINK("https://otsuka-europe-crm.veevavault.com/ui/#object/approved_document__v/V5OZ025E82U16X1", "LUP - Poster Deep Response - nefro")</f>
        <v>LUP - Poster Deep Response - nefro</v>
      </c>
      <c r="E7591" s="22" t="str">
        <f>HYPERLINK("https://otsuka-europe-crm.veevavault.com/ui/#object/sent_email__v/VBL00000003C150", "SE-001445199")</f>
        <v>SE-001445199</v>
      </c>
      <c r="F7591" s="25">
        <v>46231.41233796296</v>
      </c>
      <c r="G7591" s="24">
        <v>1</v>
      </c>
      <c r="H7591" s="24">
        <v>1</v>
      </c>
      <c r="I7591" s="24">
        <v>0</v>
      </c>
      <c r="J7591" s="23"/>
      <c r="K7591" s="24">
        <v>0</v>
      </c>
      <c r="L7591" s="22" t="str">
        <f>HYPERLINK("https://otsuka-europe-crm.veevavault.com/ui/#object/approved_document__v/V5OZ025E82U16X1", "LUP - Poster Deep Response - nefro")</f>
        <v>LUP - Poster Deep Response - nefro</v>
      </c>
      <c r="M7591" s="22" t="str">
        <f>HYPERLINK("mailto:cmaroto@crm.otsuka-europe.com", "cmaroto@crm.otsuka-europe.com")</f>
        <v>cmaroto@crm.otsuka-europe.com</v>
      </c>
      <c r="N7591" s="25">
        <v>46231.412210648145</v>
      </c>
      <c r="O7591" s="14" t="str">
        <f>HYPERLINK("https://otsuka-europe-crm.veevavault.com/ui/#object/email_activity__v/V8C00000004D557", "EN-002109205")</f>
        <v>EN-002109205</v>
      </c>
    </row>
    <row r="7592" spans="1:15" ht="16" x14ac:dyDescent="0.2">
      <c r="A7592" s="19"/>
      <c r="B7592" s="19"/>
      <c r="C7592" s="19"/>
      <c r="D7592" s="19"/>
      <c r="E7592" s="19"/>
      <c r="F7592" s="19"/>
      <c r="G7592" s="19"/>
      <c r="H7592" s="19"/>
      <c r="I7592" s="19"/>
      <c r="J7592" s="19"/>
      <c r="K7592" s="19"/>
      <c r="L7592" s="19"/>
      <c r="M7592" s="19"/>
      <c r="N7592" s="19"/>
      <c r="O7592" s="14" t="str">
        <f>HYPERLINK("https://otsuka-europe-crm.veevavault.com/ui/#object/email_activity__v/V8C00000004D591", "EN-002109274")</f>
        <v>EN-002109274</v>
      </c>
    </row>
    <row r="7593" spans="1:15" ht="32" x14ac:dyDescent="0.2">
      <c r="A7593" s="7" t="str">
        <f>HYPERLINK("https://otsuka-europe-crm.veevavault.com/ui/#object/account__v/V4TZ025E877E0SQ", "CRISTINA FERNANDA MOROCHO PINDO")</f>
        <v>CRISTINA FERNANDA MOROCHO PINDO</v>
      </c>
      <c r="B7593" s="7" t="str">
        <f>HYPERLINK("https://otsuka-europe-crm.veevavault.com/ui/#object/vcountry__v/VENZ000004SONF5", "ES")</f>
        <v>ES</v>
      </c>
      <c r="C7593" s="8" t="s">
        <v>39</v>
      </c>
      <c r="D7593" s="9" t="str">
        <f>HYPERLINK("https://otsuka-europe-crm.veevavault.com/ui/#object/approved_document__v/V5OZ025E82U16X1", "LUP - Poster Deep Response - nefro")</f>
        <v>LUP - Poster Deep Response - nefro</v>
      </c>
      <c r="E7593" s="10" t="str">
        <f>HYPERLINK("https://otsuka-europe-crm.veevavault.com/ui/#object/sent_email__v/VBL00000003C151", "SE-001445200")</f>
        <v>SE-001445200</v>
      </c>
      <c r="F7593" s="11"/>
      <c r="G7593" s="12">
        <v>0</v>
      </c>
      <c r="H7593" s="12">
        <v>0</v>
      </c>
      <c r="I7593" s="12">
        <v>0</v>
      </c>
      <c r="J7593" s="11"/>
      <c r="K7593" s="12">
        <v>0</v>
      </c>
      <c r="L7593" s="10" t="str">
        <f>HYPERLINK("https://otsuka-europe-crm.veevavault.com/ui/#object/approved_document__v/V5OZ025E82U16X1", "LUP - Poster Deep Response - nefro")</f>
        <v>LUP - Poster Deep Response - nefro</v>
      </c>
      <c r="M7593" s="10" t="str">
        <f>HYPERLINK("mailto:cmaroto@crm.otsuka-europe.com", "cmaroto@crm.otsuka-europe.com")</f>
        <v>cmaroto@crm.otsuka-europe.com</v>
      </c>
      <c r="N7593" s="13">
        <v>46231.412210648145</v>
      </c>
      <c r="O7593" s="14" t="str">
        <f>HYPERLINK("https://otsuka-europe-crm.veevavault.com/ui/#object/email_activity__v/V8C00000004D573", "EN-002109231")</f>
        <v>EN-002109231</v>
      </c>
    </row>
    <row r="7594" spans="1:15" ht="16" x14ac:dyDescent="0.2">
      <c r="A7594" s="18" t="str">
        <f>HYPERLINK("https://otsuka-europe-crm.veevavault.com/ui/#object/account__v/V4TZ06G6O71UQRP", "IRENE MARTIN CAPON")</f>
        <v>IRENE MARTIN CAPON</v>
      </c>
      <c r="B7594" s="18" t="str">
        <f>HYPERLINK("https://otsuka-europe-crm.veevavault.com/ui/#object/vcountry__v/VENZ000004SONF5", "ES")</f>
        <v>ES</v>
      </c>
      <c r="C7594" s="20" t="s">
        <v>39</v>
      </c>
      <c r="D7594" s="21" t="str">
        <f>HYPERLINK("https://otsuka-europe-crm.veevavault.com/ui/#object/approved_document__v/V5OZ025E82U16X1", "LUP - Poster Deep Response - nefro")</f>
        <v>LUP - Poster Deep Response - nefro</v>
      </c>
      <c r="E7594" s="22" t="str">
        <f>HYPERLINK("https://otsuka-europe-crm.veevavault.com/ui/#object/sent_email__v/VBL00000003C152", "SE-001445201")</f>
        <v>SE-001445201</v>
      </c>
      <c r="F7594" s="23"/>
      <c r="G7594" s="24">
        <v>0</v>
      </c>
      <c r="H7594" s="24">
        <v>0</v>
      </c>
      <c r="I7594" s="24">
        <v>0</v>
      </c>
      <c r="J7594" s="23"/>
      <c r="K7594" s="24">
        <v>0</v>
      </c>
      <c r="L7594" s="22" t="str">
        <f>HYPERLINK("https://otsuka-europe-crm.veevavault.com/ui/#object/approved_document__v/V5OZ025E82U16X1", "LUP - Poster Deep Response - nefro")</f>
        <v>LUP - Poster Deep Response - nefro</v>
      </c>
      <c r="M7594" s="22" t="str">
        <f>HYPERLINK("mailto:cmaroto@crm.otsuka-europe.com", "cmaroto@crm.otsuka-europe.com")</f>
        <v>cmaroto@crm.otsuka-europe.com</v>
      </c>
      <c r="N7594" s="25">
        <v>46231.412210648145</v>
      </c>
      <c r="O7594" s="14" t="str">
        <f>HYPERLINK("https://otsuka-europe-crm.veevavault.com/ui/#object/email_activity__v/V8C00000004E443", "EN-002109236")</f>
        <v>EN-002109236</v>
      </c>
    </row>
    <row r="7595" spans="1:15" ht="16" x14ac:dyDescent="0.2">
      <c r="A7595" s="26"/>
      <c r="B7595" s="26"/>
      <c r="C7595" s="26"/>
      <c r="D7595" s="26"/>
      <c r="E7595" s="26"/>
      <c r="F7595" s="26"/>
      <c r="G7595" s="26"/>
      <c r="H7595" s="26"/>
      <c r="I7595" s="26"/>
      <c r="J7595" s="26"/>
      <c r="K7595" s="26"/>
      <c r="L7595" s="26"/>
      <c r="M7595" s="26"/>
      <c r="N7595" s="26"/>
      <c r="O7595" s="14" t="str">
        <f>HYPERLINK("https://otsuka-europe-crm.veevavault.com/ui/#object/email_activity__v/V8C00000004E581", "EN-002109498")</f>
        <v>EN-002109498</v>
      </c>
    </row>
    <row r="7596" spans="1:15" ht="16" x14ac:dyDescent="0.2">
      <c r="A7596" s="19"/>
      <c r="B7596" s="19"/>
      <c r="C7596" s="19"/>
      <c r="D7596" s="19"/>
      <c r="E7596" s="19"/>
      <c r="F7596" s="19"/>
      <c r="G7596" s="19"/>
      <c r="H7596" s="19"/>
      <c r="I7596" s="19"/>
      <c r="J7596" s="19"/>
      <c r="K7596" s="19"/>
      <c r="L7596" s="19"/>
      <c r="M7596" s="19"/>
      <c r="N7596" s="19"/>
      <c r="O7596" s="14" t="str">
        <f>HYPERLINK("https://otsuka-europe-crm.veevavault.com/ui/#object/email_activity__v/V8C00000004E709", "EN-002109705")</f>
        <v>EN-002109705</v>
      </c>
    </row>
    <row r="7597" spans="1:15" ht="16" x14ac:dyDescent="0.2">
      <c r="A7597" s="18" t="str">
        <f>HYPERLINK("https://otsuka-europe-crm.veevavault.com/ui/#object/account__v/V4TZ04ASG8DPFKI", "ELENA PASCUAL PAJARES")</f>
        <v>ELENA PASCUAL PAJARES</v>
      </c>
      <c r="B7597" s="18" t="str">
        <f>HYPERLINK("https://otsuka-europe-crm.veevavault.com/ui/#object/vcountry__v/VENZ000004SONF5", "ES")</f>
        <v>ES</v>
      </c>
      <c r="C7597" s="20" t="s">
        <v>39</v>
      </c>
      <c r="D7597" s="21" t="str">
        <f>HYPERLINK("https://otsuka-europe-crm.veevavault.com/ui/#object/approved_document__v/V5OZ025E82U16X1", "LUP - Poster Deep Response - nefro")</f>
        <v>LUP - Poster Deep Response - nefro</v>
      </c>
      <c r="E7597" s="22" t="str">
        <f>HYPERLINK("https://otsuka-europe-crm.veevavault.com/ui/#object/sent_email__v/VBL00000003C153", "SE-001445202")</f>
        <v>SE-001445202</v>
      </c>
      <c r="F7597" s="25">
        <v>46231.479363425926</v>
      </c>
      <c r="G7597" s="24">
        <v>1</v>
      </c>
      <c r="H7597" s="24">
        <v>1</v>
      </c>
      <c r="I7597" s="24">
        <v>0</v>
      </c>
      <c r="J7597" s="23"/>
      <c r="K7597" s="24">
        <v>0</v>
      </c>
      <c r="L7597" s="22" t="str">
        <f>HYPERLINK("https://otsuka-europe-crm.veevavault.com/ui/#object/approved_document__v/V5OZ025E82U16X1", "LUP - Poster Deep Response - nefro")</f>
        <v>LUP - Poster Deep Response - nefro</v>
      </c>
      <c r="M7597" s="22" t="str">
        <f>HYPERLINK("mailto:cmaroto@crm.otsuka-europe.com", "cmaroto@crm.otsuka-europe.com")</f>
        <v>cmaroto@crm.otsuka-europe.com</v>
      </c>
      <c r="N7597" s="25">
        <v>46231.412210648145</v>
      </c>
      <c r="O7597" s="14" t="str">
        <f>HYPERLINK("https://otsuka-europe-crm.veevavault.com/ui/#object/email_activity__v/V8C00000004D556", "EN-002109204")</f>
        <v>EN-002109204</v>
      </c>
    </row>
    <row r="7598" spans="1:15" ht="16" x14ac:dyDescent="0.2">
      <c r="A7598" s="19"/>
      <c r="B7598" s="19"/>
      <c r="C7598" s="19"/>
      <c r="D7598" s="19"/>
      <c r="E7598" s="19"/>
      <c r="F7598" s="19"/>
      <c r="G7598" s="19"/>
      <c r="H7598" s="19"/>
      <c r="I7598" s="19"/>
      <c r="J7598" s="19"/>
      <c r="K7598" s="19"/>
      <c r="L7598" s="19"/>
      <c r="M7598" s="19"/>
      <c r="N7598" s="19"/>
      <c r="O7598" s="14" t="str">
        <f>HYPERLINK("https://otsuka-europe-crm.veevavault.com/ui/#object/email_activity__v/V8C00000004E529", "EN-002109397")</f>
        <v>EN-002109397</v>
      </c>
    </row>
    <row r="7599" spans="1:15" ht="16" x14ac:dyDescent="0.2">
      <c r="A7599" s="18" t="str">
        <f>HYPERLINK("https://otsuka-europe-crm.veevavault.com/ui/#object/account__v/V4TZ06G6O71T7R2", "SILVIA MARGARITA PILATAXI QUINGA")</f>
        <v>SILVIA MARGARITA PILATAXI QUINGA</v>
      </c>
      <c r="B7599" s="18" t="str">
        <f>HYPERLINK("https://otsuka-europe-crm.veevavault.com/ui/#object/vcountry__v/VENZ000004SONF5", "ES")</f>
        <v>ES</v>
      </c>
      <c r="C7599" s="20" t="s">
        <v>39</v>
      </c>
      <c r="D7599" s="21" t="str">
        <f>HYPERLINK("https://otsuka-europe-crm.veevavault.com/ui/#object/approved_document__v/V5OZ025E82U16X1", "LUP - Poster Deep Response - nefro")</f>
        <v>LUP - Poster Deep Response - nefro</v>
      </c>
      <c r="E7599" s="22" t="str">
        <f>HYPERLINK("https://otsuka-europe-crm.veevavault.com/ui/#object/sent_email__v/VBL00000003C154", "SE-001445203")</f>
        <v>SE-001445203</v>
      </c>
      <c r="F7599" s="25">
        <v>46231.432453703703</v>
      </c>
      <c r="G7599" s="24">
        <v>1</v>
      </c>
      <c r="H7599" s="24">
        <v>1</v>
      </c>
      <c r="I7599" s="24">
        <v>0</v>
      </c>
      <c r="J7599" s="23"/>
      <c r="K7599" s="24">
        <v>0</v>
      </c>
      <c r="L7599" s="22" t="str">
        <f>HYPERLINK("https://otsuka-europe-crm.veevavault.com/ui/#object/approved_document__v/V5OZ025E82U16X1", "LUP - Poster Deep Response - nefro")</f>
        <v>LUP - Poster Deep Response - nefro</v>
      </c>
      <c r="M7599" s="22" t="str">
        <f>HYPERLINK("mailto:cmaroto@crm.otsuka-europe.com", "cmaroto@crm.otsuka-europe.com")</f>
        <v>cmaroto@crm.otsuka-europe.com</v>
      </c>
      <c r="N7599" s="25">
        <v>46231.412210648145</v>
      </c>
      <c r="O7599" s="14" t="str">
        <f>HYPERLINK("https://otsuka-europe-crm.veevavault.com/ui/#object/email_activity__v/V8C00000004D579", "EN-002109242")</f>
        <v>EN-002109242</v>
      </c>
    </row>
    <row r="7600" spans="1:15" ht="16" x14ac:dyDescent="0.2">
      <c r="A7600" s="26"/>
      <c r="B7600" s="26"/>
      <c r="C7600" s="26"/>
      <c r="D7600" s="26"/>
      <c r="E7600" s="26"/>
      <c r="F7600" s="26"/>
      <c r="G7600" s="26"/>
      <c r="H7600" s="26"/>
      <c r="I7600" s="26"/>
      <c r="J7600" s="26"/>
      <c r="K7600" s="26"/>
      <c r="L7600" s="26"/>
      <c r="M7600" s="26"/>
      <c r="N7600" s="26"/>
      <c r="O7600" s="14" t="str">
        <f>HYPERLINK("https://otsuka-europe-crm.veevavault.com/ui/#object/email_activity__v/V8C00000004E507", "EN-002109358")</f>
        <v>EN-002109358</v>
      </c>
    </row>
    <row r="7601" spans="1:15" ht="16" x14ac:dyDescent="0.2">
      <c r="A7601" s="19"/>
      <c r="B7601" s="19"/>
      <c r="C7601" s="19"/>
      <c r="D7601" s="19"/>
      <c r="E7601" s="19"/>
      <c r="F7601" s="19"/>
      <c r="G7601" s="19"/>
      <c r="H7601" s="19"/>
      <c r="I7601" s="19"/>
      <c r="J7601" s="19"/>
      <c r="K7601" s="19"/>
      <c r="L7601" s="19"/>
      <c r="M7601" s="19"/>
      <c r="N7601" s="19"/>
      <c r="O7601" s="14" t="str">
        <f>HYPERLINK("https://otsuka-europe-crm.veevavault.com/ui/#object/email_activity__v/V8C00000004I008", "EN-002111003")</f>
        <v>EN-002111003</v>
      </c>
    </row>
    <row r="7602" spans="1:15" ht="16" x14ac:dyDescent="0.2">
      <c r="A7602" s="18" t="str">
        <f>HYPERLINK("https://otsuka-europe-crm.veevavault.com/ui/#object/account__v/V4TZ06G6O71TB9P", "ENRIQUE MORALES RUIZ")</f>
        <v>ENRIQUE MORALES RUIZ</v>
      </c>
      <c r="B7602" s="18" t="str">
        <f>HYPERLINK("https://otsuka-europe-crm.veevavault.com/ui/#object/vcountry__v/VENZ000004SONF5", "ES")</f>
        <v>ES</v>
      </c>
      <c r="C7602" s="20" t="s">
        <v>39</v>
      </c>
      <c r="D7602" s="21" t="str">
        <f>HYPERLINK("https://otsuka-europe-crm.veevavault.com/ui/#object/approved_document__v/V5OZ025E82U16X1", "LUP - Poster Deep Response - nefro")</f>
        <v>LUP - Poster Deep Response - nefro</v>
      </c>
      <c r="E7602" s="22" t="str">
        <f>HYPERLINK("https://otsuka-europe-crm.veevavault.com/ui/#object/sent_email__v/VBL00000003C155", "SE-001445204")</f>
        <v>SE-001445204</v>
      </c>
      <c r="F7602" s="25">
        <v>46231.415370370371</v>
      </c>
      <c r="G7602" s="24">
        <v>1</v>
      </c>
      <c r="H7602" s="24">
        <v>1</v>
      </c>
      <c r="I7602" s="24">
        <v>1</v>
      </c>
      <c r="J7602" s="25">
        <v>46231.415370370371</v>
      </c>
      <c r="K7602" s="24">
        <v>1</v>
      </c>
      <c r="L7602" s="22" t="str">
        <f>HYPERLINK("https://otsuka-europe-crm.veevavault.com/ui/#object/approved_document__v/V5OZ025E82U16X1", "LUP - Poster Deep Response - nefro")</f>
        <v>LUP - Poster Deep Response - nefro</v>
      </c>
      <c r="M7602" s="22" t="str">
        <f>HYPERLINK("mailto:cmaroto@crm.otsuka-europe.com", "cmaroto@crm.otsuka-europe.com")</f>
        <v>cmaroto@crm.otsuka-europe.com</v>
      </c>
      <c r="N7602" s="25">
        <v>46231.412210648145</v>
      </c>
      <c r="O7602" s="14" t="str">
        <f>HYPERLINK("https://otsuka-europe-crm.veevavault.com/ui/#object/email_activity__v/V8C00000004D620", "EN-002109342")</f>
        <v>EN-002109342</v>
      </c>
    </row>
    <row r="7603" spans="1:15" ht="16" x14ac:dyDescent="0.2">
      <c r="A7603" s="26"/>
      <c r="B7603" s="26"/>
      <c r="C7603" s="26"/>
      <c r="D7603" s="26"/>
      <c r="E7603" s="26"/>
      <c r="F7603" s="26"/>
      <c r="G7603" s="26"/>
      <c r="H7603" s="26"/>
      <c r="I7603" s="26"/>
      <c r="J7603" s="26"/>
      <c r="K7603" s="26"/>
      <c r="L7603" s="26"/>
      <c r="M7603" s="26"/>
      <c r="N7603" s="26"/>
      <c r="O7603" s="14" t="str">
        <f>HYPERLINK("https://otsuka-europe-crm.veevavault.com/ui/#object/email_activity__v/V8C00000004D621", "EN-002109341")</f>
        <v>EN-002109341</v>
      </c>
    </row>
    <row r="7604" spans="1:15" ht="16" x14ac:dyDescent="0.2">
      <c r="A7604" s="26"/>
      <c r="B7604" s="26"/>
      <c r="C7604" s="26"/>
      <c r="D7604" s="26"/>
      <c r="E7604" s="26"/>
      <c r="F7604" s="26"/>
      <c r="G7604" s="26"/>
      <c r="H7604" s="26"/>
      <c r="I7604" s="26"/>
      <c r="J7604" s="26"/>
      <c r="K7604" s="26"/>
      <c r="L7604" s="26"/>
      <c r="M7604" s="26"/>
      <c r="N7604" s="26"/>
      <c r="O7604" s="14" t="str">
        <f>HYPERLINK("https://otsuka-europe-crm.veevavault.com/ui/#object/email_activity__v/V8C00000004D628", "EN-002109350")</f>
        <v>EN-002109350</v>
      </c>
    </row>
    <row r="7605" spans="1:15" ht="16" x14ac:dyDescent="0.2">
      <c r="A7605" s="19"/>
      <c r="B7605" s="19"/>
      <c r="C7605" s="19"/>
      <c r="D7605" s="19"/>
      <c r="E7605" s="19"/>
      <c r="F7605" s="19"/>
      <c r="G7605" s="19"/>
      <c r="H7605" s="19"/>
      <c r="I7605" s="19"/>
      <c r="J7605" s="19"/>
      <c r="K7605" s="19"/>
      <c r="L7605" s="19"/>
      <c r="M7605" s="19"/>
      <c r="N7605" s="19"/>
      <c r="O7605" s="14" t="str">
        <f>HYPERLINK("https://otsuka-europe-crm.veevavault.com/ui/#object/email_activity__v/V8C00000004E437", "EN-002109212")</f>
        <v>EN-002109212</v>
      </c>
    </row>
    <row r="7606" spans="1:15" ht="16" x14ac:dyDescent="0.2">
      <c r="A7606" s="18" t="str">
        <f>HYPERLINK("https://otsuka-europe-crm.veevavault.com/ui/#object/account__v/V4TZ04ASGDZZQ81", "CELIA GONZALEZ GARCIA")</f>
        <v>CELIA GONZALEZ GARCIA</v>
      </c>
      <c r="B7606" s="18" t="str">
        <f>HYPERLINK("https://otsuka-europe-crm.veevavault.com/ui/#object/vcountry__v/VENZ000004SONF5", "ES")</f>
        <v>ES</v>
      </c>
      <c r="C7606" s="20" t="s">
        <v>39</v>
      </c>
      <c r="D7606" s="21" t="str">
        <f>HYPERLINK("https://otsuka-europe-crm.veevavault.com/ui/#object/approved_document__v/V5OZ025E82U16X1", "LUP - Poster Deep Response - nefro")</f>
        <v>LUP - Poster Deep Response - nefro</v>
      </c>
      <c r="E7606" s="22" t="str">
        <f>HYPERLINK("https://otsuka-europe-crm.veevavault.com/ui/#object/sent_email__v/VBL00000003C156", "SE-001445205")</f>
        <v>SE-001445205</v>
      </c>
      <c r="F7606" s="25">
        <v>46231.704328703701</v>
      </c>
      <c r="G7606" s="24">
        <v>1</v>
      </c>
      <c r="H7606" s="24">
        <v>1</v>
      </c>
      <c r="I7606" s="24">
        <v>0</v>
      </c>
      <c r="J7606" s="23"/>
      <c r="K7606" s="24">
        <v>0</v>
      </c>
      <c r="L7606" s="22" t="str">
        <f>HYPERLINK("https://otsuka-europe-crm.veevavault.com/ui/#object/approved_document__v/V5OZ025E82U16X1", "LUP - Poster Deep Response - nefro")</f>
        <v>LUP - Poster Deep Response - nefro</v>
      </c>
      <c r="M7606" s="22" t="str">
        <f>HYPERLINK("mailto:cmaroto@crm.otsuka-europe.com", "cmaroto@crm.otsuka-europe.com")</f>
        <v>cmaroto@crm.otsuka-europe.com</v>
      </c>
      <c r="N7606" s="25">
        <v>46231.412210648145</v>
      </c>
      <c r="O7606" s="14" t="str">
        <f>HYPERLINK("https://otsuka-europe-crm.veevavault.com/ui/#object/email_activity__v/V8C00000004D689", "EN-002109475")</f>
        <v>EN-002109475</v>
      </c>
    </row>
    <row r="7607" spans="1:15" ht="16" x14ac:dyDescent="0.2">
      <c r="A7607" s="19"/>
      <c r="B7607" s="19"/>
      <c r="C7607" s="19"/>
      <c r="D7607" s="19"/>
      <c r="E7607" s="19"/>
      <c r="F7607" s="19"/>
      <c r="G7607" s="19"/>
      <c r="H7607" s="19"/>
      <c r="I7607" s="19"/>
      <c r="J7607" s="19"/>
      <c r="K7607" s="19"/>
      <c r="L7607" s="19"/>
      <c r="M7607" s="19"/>
      <c r="N7607" s="19"/>
      <c r="O7607" s="14" t="str">
        <f>HYPERLINK("https://otsuka-europe-crm.veevavault.com/ui/#object/email_activity__v/V8C00000004E447", "EN-002109246")</f>
        <v>EN-002109246</v>
      </c>
    </row>
    <row r="7608" spans="1:15" ht="32" x14ac:dyDescent="0.2">
      <c r="A7608" s="7" t="str">
        <f>HYPERLINK("https://otsuka-europe-crm.veevavault.com/ui/#object/account__v/V4T00000000O005", "SARA PIQUERAS SANCHEZ")</f>
        <v>SARA PIQUERAS SANCHEZ</v>
      </c>
      <c r="B7608" s="7" t="str">
        <f>HYPERLINK("https://otsuka-europe-crm.veevavault.com/ui/#object/vcountry__v/VENZ000004SONF5", "ES")</f>
        <v>ES</v>
      </c>
      <c r="C7608" s="8" t="s">
        <v>39</v>
      </c>
      <c r="D7608" s="9" t="str">
        <f>HYPERLINK("https://otsuka-europe-crm.veevavault.com/ui/#object/approved_document__v/V5OZ025E82U16X1", "LUP - Poster Deep Response - nefro")</f>
        <v>LUP - Poster Deep Response - nefro</v>
      </c>
      <c r="E7608" s="10" t="str">
        <f>HYPERLINK("https://otsuka-europe-crm.veevavault.com/ui/#object/sent_email__v/VBL00000003C157", "SE-001445206")</f>
        <v>SE-001445206</v>
      </c>
      <c r="F7608" s="11"/>
      <c r="G7608" s="12">
        <v>0</v>
      </c>
      <c r="H7608" s="12">
        <v>0</v>
      </c>
      <c r="I7608" s="12">
        <v>0</v>
      </c>
      <c r="J7608" s="11"/>
      <c r="K7608" s="12">
        <v>0</v>
      </c>
      <c r="L7608" s="10" t="str">
        <f>HYPERLINK("https://otsuka-europe-crm.veevavault.com/ui/#object/approved_document__v/V5OZ025E82U16X1", "LUP - Poster Deep Response - nefro")</f>
        <v>LUP - Poster Deep Response - nefro</v>
      </c>
      <c r="M7608" s="10" t="str">
        <f>HYPERLINK("mailto:cmaroto@crm.otsuka-europe.com", "cmaroto@crm.otsuka-europe.com")</f>
        <v>cmaroto@crm.otsuka-europe.com</v>
      </c>
      <c r="N7608" s="13">
        <v>46231.412210648145</v>
      </c>
      <c r="O7608" s="14" t="str">
        <f>HYPERLINK("https://otsuka-europe-crm.veevavault.com/ui/#object/email_activity__v/V8C00000004D586", "EN-002109267")</f>
        <v>EN-002109267</v>
      </c>
    </row>
    <row r="7609" spans="1:15" ht="16" x14ac:dyDescent="0.2">
      <c r="A7609" s="18" t="str">
        <f>HYPERLINK("https://otsuka-europe-crm.veevavault.com/ui/#object/account__v/V4TZ06G6O71URQ7", "XAVIER ENRIQUE GUERRA TORRES")</f>
        <v>XAVIER ENRIQUE GUERRA TORRES</v>
      </c>
      <c r="B7609" s="18" t="str">
        <f>HYPERLINK("https://otsuka-europe-crm.veevavault.com/ui/#object/vcountry__v/VENZ000004SONF5", "ES")</f>
        <v>ES</v>
      </c>
      <c r="C7609" s="20" t="s">
        <v>39</v>
      </c>
      <c r="D7609" s="21" t="str">
        <f>HYPERLINK("https://otsuka-europe-crm.veevavault.com/ui/#object/approved_document__v/V5OZ025E82U16X1", "LUP - Poster Deep Response - nefro")</f>
        <v>LUP - Poster Deep Response - nefro</v>
      </c>
      <c r="E7609" s="22" t="str">
        <f>HYPERLINK("https://otsuka-europe-crm.veevavault.com/ui/#object/sent_email__v/VBL00000003C158", "SE-001445207")</f>
        <v>SE-001445207</v>
      </c>
      <c r="F7609" s="23"/>
      <c r="G7609" s="24">
        <v>0</v>
      </c>
      <c r="H7609" s="24">
        <v>0</v>
      </c>
      <c r="I7609" s="24">
        <v>0</v>
      </c>
      <c r="J7609" s="23"/>
      <c r="K7609" s="24">
        <v>0</v>
      </c>
      <c r="L7609" s="22" t="str">
        <f>HYPERLINK("https://otsuka-europe-crm.veevavault.com/ui/#object/approved_document__v/V5OZ025E82U16X1", "LUP - Poster Deep Response - nefro")</f>
        <v>LUP - Poster Deep Response - nefro</v>
      </c>
      <c r="M7609" s="22" t="str">
        <f>HYPERLINK("mailto:cmaroto@crm.otsuka-europe.com", "cmaroto@crm.otsuka-europe.com")</f>
        <v>cmaroto@crm.otsuka-europe.com</v>
      </c>
      <c r="N7609" s="25">
        <v>46231.412210648145</v>
      </c>
      <c r="O7609" s="14" t="str">
        <f>HYPERLINK("https://otsuka-europe-crm.veevavault.com/ui/#object/email_activity__v/V8C00000004D684", "EN-002109467")</f>
        <v>EN-002109467</v>
      </c>
    </row>
    <row r="7610" spans="1:15" ht="16" x14ac:dyDescent="0.2">
      <c r="A7610" s="19"/>
      <c r="B7610" s="19"/>
      <c r="C7610" s="19"/>
      <c r="D7610" s="19"/>
      <c r="E7610" s="19"/>
      <c r="F7610" s="19"/>
      <c r="G7610" s="19"/>
      <c r="H7610" s="19"/>
      <c r="I7610" s="19"/>
      <c r="J7610" s="19"/>
      <c r="K7610" s="19"/>
      <c r="L7610" s="19"/>
      <c r="M7610" s="19"/>
      <c r="N7610" s="19"/>
      <c r="O7610" s="14" t="str">
        <f>HYPERLINK("https://otsuka-europe-crm.veevavault.com/ui/#object/email_activity__v/V8C00000004E441", "EN-002109234")</f>
        <v>EN-002109234</v>
      </c>
    </row>
    <row r="7611" spans="1:15" ht="16" x14ac:dyDescent="0.2">
      <c r="A7611" s="18" t="str">
        <f>HYPERLINK("https://otsuka-europe-crm.veevavault.com/ui/#object/account__v/V4TZ06G6O71T7IW", "ANGEL MANUEL SEVILLANO PRIETO")</f>
        <v>ANGEL MANUEL SEVILLANO PRIETO</v>
      </c>
      <c r="B7611" s="18" t="str">
        <f>HYPERLINK("https://otsuka-europe-crm.veevavault.com/ui/#object/vcountry__v/VENZ000004SONF5", "ES")</f>
        <v>ES</v>
      </c>
      <c r="C7611" s="20" t="s">
        <v>39</v>
      </c>
      <c r="D7611" s="21" t="str">
        <f>HYPERLINK("https://otsuka-europe-crm.veevavault.com/ui/#object/approved_document__v/V5OZ025E82U16X1", "LUP - Poster Deep Response - nefro")</f>
        <v>LUP - Poster Deep Response - nefro</v>
      </c>
      <c r="E7611" s="22" t="str">
        <f>HYPERLINK("https://otsuka-europe-crm.veevavault.com/ui/#object/sent_email__v/VBL00000003C159", "SE-001445208")</f>
        <v>SE-001445208</v>
      </c>
      <c r="F7611" s="25">
        <v>46234.516747685186</v>
      </c>
      <c r="G7611" s="24">
        <v>1</v>
      </c>
      <c r="H7611" s="24">
        <v>2</v>
      </c>
      <c r="I7611" s="24">
        <v>0</v>
      </c>
      <c r="J7611" s="23"/>
      <c r="K7611" s="24">
        <v>0</v>
      </c>
      <c r="L7611" s="22" t="str">
        <f>HYPERLINK("https://otsuka-europe-crm.veevavault.com/ui/#object/approved_document__v/V5OZ025E82U16X1", "LUP - Poster Deep Response - nefro")</f>
        <v>LUP - Poster Deep Response - nefro</v>
      </c>
      <c r="M7611" s="22" t="str">
        <f>HYPERLINK("mailto:cmaroto@crm.otsuka-europe.com", "cmaroto@crm.otsuka-europe.com")</f>
        <v>cmaroto@crm.otsuka-europe.com</v>
      </c>
      <c r="N7611" s="25">
        <v>46231.412233796298</v>
      </c>
      <c r="O7611" s="14" t="str">
        <f>HYPERLINK("https://otsuka-europe-crm.veevavault.com/ui/#object/email_activity__v/V8C00000004E459", "EN-002109259")</f>
        <v>EN-002109259</v>
      </c>
    </row>
    <row r="7612" spans="1:15" ht="16" x14ac:dyDescent="0.2">
      <c r="A7612" s="26"/>
      <c r="B7612" s="26"/>
      <c r="C7612" s="26"/>
      <c r="D7612" s="26"/>
      <c r="E7612" s="26"/>
      <c r="F7612" s="26"/>
      <c r="G7612" s="26"/>
      <c r="H7612" s="26"/>
      <c r="I7612" s="26"/>
      <c r="J7612" s="26"/>
      <c r="K7612" s="26"/>
      <c r="L7612" s="26"/>
      <c r="M7612" s="26"/>
      <c r="N7612" s="26"/>
      <c r="O7612" s="14" t="str">
        <f>HYPERLINK("https://otsuka-europe-crm.veevavault.com/ui/#object/email_activity__v/V8C00000004G551", "EN-002110718")</f>
        <v>EN-002110718</v>
      </c>
    </row>
    <row r="7613" spans="1:15" ht="16" x14ac:dyDescent="0.2">
      <c r="A7613" s="19"/>
      <c r="B7613" s="19"/>
      <c r="C7613" s="19"/>
      <c r="D7613" s="19"/>
      <c r="E7613" s="19"/>
      <c r="F7613" s="19"/>
      <c r="G7613" s="19"/>
      <c r="H7613" s="19"/>
      <c r="I7613" s="19"/>
      <c r="J7613" s="19"/>
      <c r="K7613" s="19"/>
      <c r="L7613" s="19"/>
      <c r="M7613" s="19"/>
      <c r="N7613" s="19"/>
      <c r="O7613" s="14" t="str">
        <f>HYPERLINK("https://otsuka-europe-crm.veevavault.com/ui/#object/email_activity__v/V8C00000004G552", "EN-002110719")</f>
        <v>EN-002110719</v>
      </c>
    </row>
    <row r="7614" spans="1:15" ht="32" x14ac:dyDescent="0.2">
      <c r="A7614" s="7" t="str">
        <f>HYPERLINK("https://otsuka-europe-crm.veevavault.com/ui/#object/account__v/V4TZ06G6O71T7KM", "TERESA CAVERO ESCRIBANO")</f>
        <v>TERESA CAVERO ESCRIBANO</v>
      </c>
      <c r="B7614" s="7" t="str">
        <f>HYPERLINK("https://otsuka-europe-crm.veevavault.com/ui/#object/vcountry__v/VENZ000004SONF5", "ES")</f>
        <v>ES</v>
      </c>
      <c r="C7614" s="8" t="s">
        <v>39</v>
      </c>
      <c r="D7614" s="9" t="str">
        <f>HYPERLINK("https://otsuka-europe-crm.veevavault.com/ui/#object/approved_document__v/V5OZ025E82U16X1", "LUP - Poster Deep Response - nefro")</f>
        <v>LUP - Poster Deep Response - nefro</v>
      </c>
      <c r="E7614" s="10" t="str">
        <f>HYPERLINK("https://otsuka-europe-crm.veevavault.com/ui/#object/sent_email__v/VBL00000003C160", "SE-001445209")</f>
        <v>SE-001445209</v>
      </c>
      <c r="F7614" s="11"/>
      <c r="G7614" s="12">
        <v>0</v>
      </c>
      <c r="H7614" s="12">
        <v>0</v>
      </c>
      <c r="I7614" s="12">
        <v>0</v>
      </c>
      <c r="J7614" s="11"/>
      <c r="K7614" s="12">
        <v>0</v>
      </c>
      <c r="L7614" s="10" t="str">
        <f>HYPERLINK("https://otsuka-europe-crm.veevavault.com/ui/#object/approved_document__v/V5OZ025E82U16X1", "LUP - Poster Deep Response - nefro")</f>
        <v>LUP - Poster Deep Response - nefro</v>
      </c>
      <c r="M7614" s="10" t="str">
        <f>HYPERLINK("mailto:cmaroto@crm.otsuka-europe.com", "cmaroto@crm.otsuka-europe.com")</f>
        <v>cmaroto@crm.otsuka-europe.com</v>
      </c>
      <c r="N7614" s="13">
        <v>46231.412222222221</v>
      </c>
      <c r="O7614" s="14" t="str">
        <f>HYPERLINK("https://otsuka-europe-crm.veevavault.com/ui/#object/email_activity__v/V8C00000004E457", "EN-002109257")</f>
        <v>EN-002109257</v>
      </c>
    </row>
    <row r="7615" spans="1:15" ht="32" x14ac:dyDescent="0.2">
      <c r="A7615" s="7" t="str">
        <f>HYPERLINK("https://otsuka-europe-crm.veevavault.com/ui/#object/account__v/V4TZ06G6O71T9S3", "BEATRIZ FERNANDEZ FERNANDEZ")</f>
        <v>BEATRIZ FERNANDEZ FERNANDEZ</v>
      </c>
      <c r="B7615" s="7" t="str">
        <f>HYPERLINK("https://otsuka-europe-crm.veevavault.com/ui/#object/vcountry__v/VENZ000004SONF5", "ES")</f>
        <v>ES</v>
      </c>
      <c r="C7615" s="8" t="s">
        <v>39</v>
      </c>
      <c r="D7615" s="9" t="str">
        <f>HYPERLINK("https://otsuka-europe-crm.veevavault.com/ui/#object/approved_document__v/V5OZ025E82U16X1", "LUP - Poster Deep Response - nefro")</f>
        <v>LUP - Poster Deep Response - nefro</v>
      </c>
      <c r="E7615" s="10" t="str">
        <f>HYPERLINK("https://otsuka-europe-crm.veevavault.com/ui/#object/sent_email__v/VBL00000003C161", "SE-001445210")</f>
        <v>SE-001445210</v>
      </c>
      <c r="F7615" s="11"/>
      <c r="G7615" s="12">
        <v>0</v>
      </c>
      <c r="H7615" s="12">
        <v>0</v>
      </c>
      <c r="I7615" s="12">
        <v>0</v>
      </c>
      <c r="J7615" s="11"/>
      <c r="K7615" s="12">
        <v>0</v>
      </c>
      <c r="L7615" s="10" t="str">
        <f>HYPERLINK("https://otsuka-europe-crm.veevavault.com/ui/#object/approved_document__v/V5OZ025E82U16X1", "LUP - Poster Deep Response - nefro")</f>
        <v>LUP - Poster Deep Response - nefro</v>
      </c>
      <c r="M7615" s="10" t="str">
        <f>HYPERLINK("mailto:cmaroto@crm.otsuka-europe.com", "cmaroto@crm.otsuka-europe.com")</f>
        <v>cmaroto@crm.otsuka-europe.com</v>
      </c>
      <c r="N7615" s="13">
        <v>46231.412210648145</v>
      </c>
      <c r="O7615" s="14" t="str">
        <f>HYPERLINK("https://otsuka-europe-crm.veevavault.com/ui/#object/email_activity__v/V8C00000004E435", "EN-002109210")</f>
        <v>EN-002109210</v>
      </c>
    </row>
    <row r="7616" spans="1:15" ht="16" x14ac:dyDescent="0.2">
      <c r="A7616" s="18" t="str">
        <f>HYPERLINK("https://otsuka-europe-crm.veevavault.com/ui/#object/account__v/V4TZ06G6O71TBSU", "BEGOÑA RINCON RUIZ")</f>
        <v>BEGOÑA RINCON RUIZ</v>
      </c>
      <c r="B7616" s="18" t="str">
        <f>HYPERLINK("https://otsuka-europe-crm.veevavault.com/ui/#object/vcountry__v/VENZ000004SONF5", "ES")</f>
        <v>ES</v>
      </c>
      <c r="C7616" s="20" t="s">
        <v>39</v>
      </c>
      <c r="D7616" s="21" t="str">
        <f>HYPERLINK("https://otsuka-europe-crm.veevavault.com/ui/#object/approved_document__v/V5OZ025E82U16X1", "LUP - Poster Deep Response - nefro")</f>
        <v>LUP - Poster Deep Response - nefro</v>
      </c>
      <c r="E7616" s="22" t="str">
        <f>HYPERLINK("https://otsuka-europe-crm.veevavault.com/ui/#object/sent_email__v/VBL00000003C162", "SE-001445211")</f>
        <v>SE-001445211</v>
      </c>
      <c r="F7616" s="23"/>
      <c r="G7616" s="24">
        <v>0</v>
      </c>
      <c r="H7616" s="24">
        <v>0</v>
      </c>
      <c r="I7616" s="24">
        <v>0</v>
      </c>
      <c r="J7616" s="23"/>
      <c r="K7616" s="24">
        <v>0</v>
      </c>
      <c r="L7616" s="22" t="str">
        <f>HYPERLINK("https://otsuka-europe-crm.veevavault.com/ui/#object/approved_document__v/V5OZ025E82U16X1", "LUP - Poster Deep Response - nefro")</f>
        <v>LUP - Poster Deep Response - nefro</v>
      </c>
      <c r="M7616" s="22" t="str">
        <f>HYPERLINK("mailto:cmaroto@crm.otsuka-europe.com", "cmaroto@crm.otsuka-europe.com")</f>
        <v>cmaroto@crm.otsuka-europe.com</v>
      </c>
      <c r="N7616" s="25">
        <v>46231.412210648145</v>
      </c>
      <c r="O7616" s="14" t="str">
        <f>HYPERLINK("https://otsuka-europe-crm.veevavault.com/ui/#object/email_activity__v/V8C00000004D555", "EN-002109203")</f>
        <v>EN-002109203</v>
      </c>
    </row>
    <row r="7617" spans="1:15" ht="16" x14ac:dyDescent="0.2">
      <c r="A7617" s="26"/>
      <c r="B7617" s="26"/>
      <c r="C7617" s="26"/>
      <c r="D7617" s="26"/>
      <c r="E7617" s="26"/>
      <c r="F7617" s="26"/>
      <c r="G7617" s="26"/>
      <c r="H7617" s="26"/>
      <c r="I7617" s="26"/>
      <c r="J7617" s="26"/>
      <c r="K7617" s="26"/>
      <c r="L7617" s="26"/>
      <c r="M7617" s="26"/>
      <c r="N7617" s="26"/>
      <c r="O7617" s="14" t="str">
        <f>HYPERLINK("https://otsuka-europe-crm.veevavault.com/ui/#object/email_activity__v/V8C00000004E584", "EN-002109504")</f>
        <v>EN-002109504</v>
      </c>
    </row>
    <row r="7618" spans="1:15" ht="16" x14ac:dyDescent="0.2">
      <c r="A7618" s="19"/>
      <c r="B7618" s="19"/>
      <c r="C7618" s="19"/>
      <c r="D7618" s="19"/>
      <c r="E7618" s="19"/>
      <c r="F7618" s="19"/>
      <c r="G7618" s="19"/>
      <c r="H7618" s="19"/>
      <c r="I7618" s="19"/>
      <c r="J7618" s="19"/>
      <c r="K7618" s="19"/>
      <c r="L7618" s="19"/>
      <c r="M7618" s="19"/>
      <c r="N7618" s="19"/>
      <c r="O7618" s="14" t="str">
        <f>HYPERLINK("https://otsuka-europe-crm.veevavault.com/ui/#object/email_activity__v/V8C00000004H362", "EN-002111584")</f>
        <v>EN-002111584</v>
      </c>
    </row>
    <row r="7619" spans="1:15" ht="16" x14ac:dyDescent="0.2">
      <c r="A7619" s="18" t="str">
        <f>HYPERLINK("https://otsuka-europe-crm.veevavault.com/ui/#object/account__v/V4TZ06G6O71TC13", "MARTA ROMERO MOLINA")</f>
        <v>MARTA ROMERO MOLINA</v>
      </c>
      <c r="B7619" s="18" t="str">
        <f>HYPERLINK("https://otsuka-europe-crm.veevavault.com/ui/#object/vcountry__v/VENZ000004SONF5", "ES")</f>
        <v>ES</v>
      </c>
      <c r="C7619" s="20" t="s">
        <v>39</v>
      </c>
      <c r="D7619" s="21" t="str">
        <f>HYPERLINK("https://otsuka-europe-crm.veevavault.com/ui/#object/approved_document__v/V5OZ025E82U16X1", "LUP - Poster Deep Response - nefro")</f>
        <v>LUP - Poster Deep Response - nefro</v>
      </c>
      <c r="E7619" s="22" t="str">
        <f>HYPERLINK("https://otsuka-europe-crm.veevavault.com/ui/#object/sent_email__v/VBL00000003C163", "SE-001445212")</f>
        <v>SE-001445212</v>
      </c>
      <c r="F7619" s="23"/>
      <c r="G7619" s="24">
        <v>0</v>
      </c>
      <c r="H7619" s="24">
        <v>0</v>
      </c>
      <c r="I7619" s="24">
        <v>0</v>
      </c>
      <c r="J7619" s="23"/>
      <c r="K7619" s="24">
        <v>0</v>
      </c>
      <c r="L7619" s="22" t="str">
        <f>HYPERLINK("https://otsuka-europe-crm.veevavault.com/ui/#object/approved_document__v/V5OZ025E82U16X1", "LUP - Poster Deep Response - nefro")</f>
        <v>LUP - Poster Deep Response - nefro</v>
      </c>
      <c r="M7619" s="22" t="str">
        <f>HYPERLINK("mailto:cmaroto@crm.otsuka-europe.com", "cmaroto@crm.otsuka-europe.com")</f>
        <v>cmaroto@crm.otsuka-europe.com</v>
      </c>
      <c r="N7619" s="25">
        <v>46231.412210648145</v>
      </c>
      <c r="O7619" s="14" t="str">
        <f>HYPERLINK("https://otsuka-europe-crm.veevavault.com/ui/#object/email_activity__v/V8C00000004D583", "EN-002109264")</f>
        <v>EN-002109264</v>
      </c>
    </row>
    <row r="7620" spans="1:15" ht="16" x14ac:dyDescent="0.2">
      <c r="A7620" s="19"/>
      <c r="B7620" s="19"/>
      <c r="C7620" s="19"/>
      <c r="D7620" s="19"/>
      <c r="E7620" s="19"/>
      <c r="F7620" s="19"/>
      <c r="G7620" s="19"/>
      <c r="H7620" s="19"/>
      <c r="I7620" s="19"/>
      <c r="J7620" s="19"/>
      <c r="K7620" s="19"/>
      <c r="L7620" s="19"/>
      <c r="M7620" s="19"/>
      <c r="N7620" s="19"/>
      <c r="O7620" s="14" t="str">
        <f>HYPERLINK("https://otsuka-europe-crm.veevavault.com/ui/#object/email_activity__v/V8C00000004E501", "EN-002109338")</f>
        <v>EN-002109338</v>
      </c>
    </row>
    <row r="7621" spans="1:15" ht="16" x14ac:dyDescent="0.2">
      <c r="A7621" s="18" t="str">
        <f>HYPERLINK("https://otsuka-europe-crm.veevavault.com/ui/#object/account__v/V4TZ06G6O71T83E", "TANIA LINARES GRAVALOS")</f>
        <v>TANIA LINARES GRAVALOS</v>
      </c>
      <c r="B7621" s="18" t="str">
        <f>HYPERLINK("https://otsuka-europe-crm.veevavault.com/ui/#object/vcountry__v/VENZ000004SONF5", "ES")</f>
        <v>ES</v>
      </c>
      <c r="C7621" s="20" t="s">
        <v>39</v>
      </c>
      <c r="D7621" s="21" t="str">
        <f>HYPERLINK("https://otsuka-europe-crm.veevavault.com/ui/#object/approved_document__v/V5OZ025E82U16X1", "LUP - Poster Deep Response - nefro")</f>
        <v>LUP - Poster Deep Response - nefro</v>
      </c>
      <c r="E7621" s="22" t="str">
        <f>HYPERLINK("https://otsuka-europe-crm.veevavault.com/ui/#object/sent_email__v/VBL00000003C164", "SE-001445213")</f>
        <v>SE-001445213</v>
      </c>
      <c r="F7621" s="25">
        <v>46231.412326388891</v>
      </c>
      <c r="G7621" s="24">
        <v>1</v>
      </c>
      <c r="H7621" s="24">
        <v>1</v>
      </c>
      <c r="I7621" s="24">
        <v>0</v>
      </c>
      <c r="J7621" s="23"/>
      <c r="K7621" s="24">
        <v>0</v>
      </c>
      <c r="L7621" s="22" t="str">
        <f>HYPERLINK("https://otsuka-europe-crm.veevavault.com/ui/#object/approved_document__v/V5OZ025E82U16X1", "LUP - Poster Deep Response - nefro")</f>
        <v>LUP - Poster Deep Response - nefro</v>
      </c>
      <c r="M7621" s="22" t="str">
        <f>HYPERLINK("mailto:cmaroto@crm.otsuka-europe.com", "cmaroto@crm.otsuka-europe.com")</f>
        <v>cmaroto@crm.otsuka-europe.com</v>
      </c>
      <c r="N7621" s="25">
        <v>46231.412210648145</v>
      </c>
      <c r="O7621" s="14" t="str">
        <f>HYPERLINK("https://otsuka-europe-crm.veevavault.com/ui/#object/email_activity__v/V8C00000004D570", "EN-002109228")</f>
        <v>EN-002109228</v>
      </c>
    </row>
    <row r="7622" spans="1:15" ht="16" x14ac:dyDescent="0.2">
      <c r="A7622" s="26"/>
      <c r="B7622" s="26"/>
      <c r="C7622" s="26"/>
      <c r="D7622" s="26"/>
      <c r="E7622" s="26"/>
      <c r="F7622" s="26"/>
      <c r="G7622" s="26"/>
      <c r="H7622" s="26"/>
      <c r="I7622" s="26"/>
      <c r="J7622" s="26"/>
      <c r="K7622" s="26"/>
      <c r="L7622" s="26"/>
      <c r="M7622" s="26"/>
      <c r="N7622" s="26"/>
      <c r="O7622" s="14" t="str">
        <f>HYPERLINK("https://otsuka-europe-crm.veevavault.com/ui/#object/email_activity__v/V8C00000004D587", "EN-002109270")</f>
        <v>EN-002109270</v>
      </c>
    </row>
    <row r="7623" spans="1:15" ht="16" x14ac:dyDescent="0.2">
      <c r="A7623" s="19"/>
      <c r="B7623" s="19"/>
      <c r="C7623" s="19"/>
      <c r="D7623" s="19"/>
      <c r="E7623" s="19"/>
      <c r="F7623" s="19"/>
      <c r="G7623" s="19"/>
      <c r="H7623" s="19"/>
      <c r="I7623" s="19"/>
      <c r="J7623" s="19"/>
      <c r="K7623" s="19"/>
      <c r="L7623" s="19"/>
      <c r="M7623" s="19"/>
      <c r="N7623" s="19"/>
      <c r="O7623" s="14" t="str">
        <f>HYPERLINK("https://otsuka-europe-crm.veevavault.com/ui/#object/email_activity__v/V8C00000004E534", "EN-002109405")</f>
        <v>EN-002109405</v>
      </c>
    </row>
    <row r="7624" spans="1:15" ht="32" x14ac:dyDescent="0.2">
      <c r="A7624" s="7" t="str">
        <f>HYPERLINK("https://otsuka-europe-crm.veevavault.com/ui/#object/account__v/V4TZ06G6O71TBEJ", "ALBERTO ORTIZ ARDUAN")</f>
        <v>ALBERTO ORTIZ ARDUAN</v>
      </c>
      <c r="B7624" s="7" t="str">
        <f t="shared" ref="B7624:B7630" si="281">HYPERLINK("https://otsuka-europe-crm.veevavault.com/ui/#object/vcountry__v/VENZ000004SONF5", "ES")</f>
        <v>ES</v>
      </c>
      <c r="C7624" s="8" t="s">
        <v>39</v>
      </c>
      <c r="D7624" s="9" t="str">
        <f t="shared" ref="D7624:D7630" si="282">HYPERLINK("https://otsuka-europe-crm.veevavault.com/ui/#object/approved_document__v/V5OZ025E82U16X1", "LUP - Poster Deep Response - nefro")</f>
        <v>LUP - Poster Deep Response - nefro</v>
      </c>
      <c r="E7624" s="10" t="str">
        <f>HYPERLINK("https://otsuka-europe-crm.veevavault.com/ui/#object/sent_email__v/VBL00000003C165", "SE-001445214")</f>
        <v>SE-001445214</v>
      </c>
      <c r="F7624" s="11"/>
      <c r="G7624" s="12">
        <v>0</v>
      </c>
      <c r="H7624" s="12">
        <v>0</v>
      </c>
      <c r="I7624" s="12">
        <v>0</v>
      </c>
      <c r="J7624" s="11"/>
      <c r="K7624" s="12">
        <v>0</v>
      </c>
      <c r="L7624" s="10" t="str">
        <f t="shared" ref="L7624:L7630" si="283">HYPERLINK("https://otsuka-europe-crm.veevavault.com/ui/#object/approved_document__v/V5OZ025E82U16X1", "LUP - Poster Deep Response - nefro")</f>
        <v>LUP - Poster Deep Response - nefro</v>
      </c>
      <c r="M7624" s="10" t="str">
        <f t="shared" ref="M7624:M7630" si="284">HYPERLINK("mailto:cmaroto@crm.otsuka-europe.com", "cmaroto@crm.otsuka-europe.com")</f>
        <v>cmaroto@crm.otsuka-europe.com</v>
      </c>
      <c r="N7624" s="13">
        <v>46231.412210648145</v>
      </c>
      <c r="O7624" s="14" t="str">
        <f>HYPERLINK("https://otsuka-europe-crm.veevavault.com/ui/#object/email_activity__v/V8C00000004D580", "EN-002109243")</f>
        <v>EN-002109243</v>
      </c>
    </row>
    <row r="7625" spans="1:15" ht="32" x14ac:dyDescent="0.2">
      <c r="A7625" s="7" t="str">
        <f>HYPERLINK("https://otsuka-europe-crm.veevavault.com/ui/#object/account__v/V4TZ06G6O71T7OL", "VANESSA LOPES MARTIN")</f>
        <v>VANESSA LOPES MARTIN</v>
      </c>
      <c r="B7625" s="7" t="str">
        <f t="shared" si="281"/>
        <v>ES</v>
      </c>
      <c r="C7625" s="8" t="s">
        <v>39</v>
      </c>
      <c r="D7625" s="9" t="str">
        <f t="shared" si="282"/>
        <v>LUP - Poster Deep Response - nefro</v>
      </c>
      <c r="E7625" s="10" t="str">
        <f>HYPERLINK("https://otsuka-europe-crm.veevavault.com/ui/#object/sent_email__v/VBL00000003C166", "SE-001445215")</f>
        <v>SE-001445215</v>
      </c>
      <c r="F7625" s="11"/>
      <c r="G7625" s="12">
        <v>0</v>
      </c>
      <c r="H7625" s="12">
        <v>0</v>
      </c>
      <c r="I7625" s="12">
        <v>0</v>
      </c>
      <c r="J7625" s="11"/>
      <c r="K7625" s="12">
        <v>0</v>
      </c>
      <c r="L7625" s="10" t="str">
        <f t="shared" si="283"/>
        <v>LUP - Poster Deep Response - nefro</v>
      </c>
      <c r="M7625" s="10" t="str">
        <f t="shared" si="284"/>
        <v>cmaroto@crm.otsuka-europe.com</v>
      </c>
      <c r="N7625" s="13">
        <v>46231.412210648145</v>
      </c>
      <c r="O7625" s="14" t="str">
        <f>HYPERLINK("https://otsuka-europe-crm.veevavault.com/ui/#object/email_activity__v/V8C00000004D577", "EN-002109240")</f>
        <v>EN-002109240</v>
      </c>
    </row>
    <row r="7626" spans="1:15" ht="32" x14ac:dyDescent="0.2">
      <c r="A7626" s="7" t="str">
        <f>HYPERLINK("https://otsuka-europe-crm.veevavault.com/ui/#object/account__v/V4TZ06G6O71T8JB", "RAUL FERNANDEZ PRADO")</f>
        <v>RAUL FERNANDEZ PRADO</v>
      </c>
      <c r="B7626" s="7" t="str">
        <f t="shared" si="281"/>
        <v>ES</v>
      </c>
      <c r="C7626" s="8" t="s">
        <v>39</v>
      </c>
      <c r="D7626" s="9" t="str">
        <f t="shared" si="282"/>
        <v>LUP - Poster Deep Response - nefro</v>
      </c>
      <c r="E7626" s="10" t="str">
        <f>HYPERLINK("https://otsuka-europe-crm.veevavault.com/ui/#object/sent_email__v/VBL00000003C167", "SE-001445216")</f>
        <v>SE-001445216</v>
      </c>
      <c r="F7626" s="11"/>
      <c r="G7626" s="12">
        <v>0</v>
      </c>
      <c r="H7626" s="12">
        <v>0</v>
      </c>
      <c r="I7626" s="12">
        <v>0</v>
      </c>
      <c r="J7626" s="11"/>
      <c r="K7626" s="12">
        <v>0</v>
      </c>
      <c r="L7626" s="10" t="str">
        <f t="shared" si="283"/>
        <v>LUP - Poster Deep Response - nefro</v>
      </c>
      <c r="M7626" s="10" t="str">
        <f t="shared" si="284"/>
        <v>cmaroto@crm.otsuka-europe.com</v>
      </c>
      <c r="N7626" s="13">
        <v>46231.412210648145</v>
      </c>
      <c r="O7626" s="14" t="str">
        <f>HYPERLINK("https://otsuka-europe-crm.veevavault.com/ui/#object/email_activity__v/V8C00000004D554", "EN-002109202")</f>
        <v>EN-002109202</v>
      </c>
    </row>
    <row r="7627" spans="1:15" ht="32" x14ac:dyDescent="0.2">
      <c r="A7627" s="7" t="str">
        <f>HYPERLINK("https://otsuka-europe-crm.veevavault.com/ui/#object/account__v/V4TZ06G6O71TPKF", "MARINA GONZALEZ DE RIVERA UTRERA")</f>
        <v>MARINA GONZALEZ DE RIVERA UTRERA</v>
      </c>
      <c r="B7627" s="7" t="str">
        <f t="shared" si="281"/>
        <v>ES</v>
      </c>
      <c r="C7627" s="8" t="s">
        <v>39</v>
      </c>
      <c r="D7627" s="9" t="str">
        <f t="shared" si="282"/>
        <v>LUP - Poster Deep Response - nefro</v>
      </c>
      <c r="E7627" s="10" t="str">
        <f>HYPERLINK("https://otsuka-europe-crm.veevavault.com/ui/#object/sent_email__v/VBL00000003C168", "SE-001445217")</f>
        <v>SE-001445217</v>
      </c>
      <c r="F7627" s="11"/>
      <c r="G7627" s="12">
        <v>0</v>
      </c>
      <c r="H7627" s="12">
        <v>0</v>
      </c>
      <c r="I7627" s="12">
        <v>0</v>
      </c>
      <c r="J7627" s="11"/>
      <c r="K7627" s="12">
        <v>0</v>
      </c>
      <c r="L7627" s="10" t="str">
        <f t="shared" si="283"/>
        <v>LUP - Poster Deep Response - nefro</v>
      </c>
      <c r="M7627" s="10" t="str">
        <f t="shared" si="284"/>
        <v>cmaroto@crm.otsuka-europe.com</v>
      </c>
      <c r="N7627" s="13">
        <v>46231.412210648145</v>
      </c>
      <c r="O7627" s="14" t="str">
        <f>HYPERLINK("https://otsuka-europe-crm.veevavault.com/ui/#object/email_activity__v/V8C00000004D571", "EN-002109229")</f>
        <v>EN-002109229</v>
      </c>
    </row>
    <row r="7628" spans="1:15" ht="32" x14ac:dyDescent="0.2">
      <c r="A7628" s="7" t="str">
        <f>HYPERLINK("https://otsuka-europe-crm.veevavault.com/ui/#object/account__v/V4TZ06G6O71TAXX", "ALBERTO MARTINEZ CALERO")</f>
        <v>ALBERTO MARTINEZ CALERO</v>
      </c>
      <c r="B7628" s="7" t="str">
        <f t="shared" si="281"/>
        <v>ES</v>
      </c>
      <c r="C7628" s="8" t="s">
        <v>39</v>
      </c>
      <c r="D7628" s="9" t="str">
        <f t="shared" si="282"/>
        <v>LUP - Poster Deep Response - nefro</v>
      </c>
      <c r="E7628" s="10" t="str">
        <f>HYPERLINK("https://otsuka-europe-crm.veevavault.com/ui/#object/sent_email__v/VBL00000003C169", "SE-001445218")</f>
        <v>SE-001445218</v>
      </c>
      <c r="F7628" s="11"/>
      <c r="G7628" s="12">
        <v>0</v>
      </c>
      <c r="H7628" s="12">
        <v>0</v>
      </c>
      <c r="I7628" s="12">
        <v>0</v>
      </c>
      <c r="J7628" s="11"/>
      <c r="K7628" s="12">
        <v>0</v>
      </c>
      <c r="L7628" s="10" t="str">
        <f t="shared" si="283"/>
        <v>LUP - Poster Deep Response - nefro</v>
      </c>
      <c r="M7628" s="10" t="str">
        <f t="shared" si="284"/>
        <v>cmaroto@crm.otsuka-europe.com</v>
      </c>
      <c r="N7628" s="13">
        <v>46231.412210648145</v>
      </c>
      <c r="O7628" s="14" t="str">
        <f>HYPERLINK("https://otsuka-europe-crm.veevavault.com/ui/#object/email_activity__v/V8C00000004D575", "EN-002109233")</f>
        <v>EN-002109233</v>
      </c>
    </row>
    <row r="7629" spans="1:15" ht="32" x14ac:dyDescent="0.2">
      <c r="A7629" s="7" t="str">
        <f>HYPERLINK("https://otsuka-europe-crm.veevavault.com/ui/#object/account__v/V4T000000022068", "JESUS ANGEL HERNANDEZ VAQUERO")</f>
        <v>JESUS ANGEL HERNANDEZ VAQUERO</v>
      </c>
      <c r="B7629" s="7" t="str">
        <f t="shared" si="281"/>
        <v>ES</v>
      </c>
      <c r="C7629" s="8" t="s">
        <v>39</v>
      </c>
      <c r="D7629" s="9" t="str">
        <f t="shared" si="282"/>
        <v>LUP - Poster Deep Response - nefro</v>
      </c>
      <c r="E7629" s="10" t="str">
        <f>HYPERLINK("https://otsuka-europe-crm.veevavault.com/ui/#object/sent_email__v/VBL00000003C170", "SE-001445219")</f>
        <v>SE-001445219</v>
      </c>
      <c r="F7629" s="11"/>
      <c r="G7629" s="12">
        <v>0</v>
      </c>
      <c r="H7629" s="12">
        <v>0</v>
      </c>
      <c r="I7629" s="12">
        <v>0</v>
      </c>
      <c r="J7629" s="11"/>
      <c r="K7629" s="12">
        <v>0</v>
      </c>
      <c r="L7629" s="10" t="str">
        <f t="shared" si="283"/>
        <v>LUP - Poster Deep Response - nefro</v>
      </c>
      <c r="M7629" s="10" t="str">
        <f t="shared" si="284"/>
        <v>cmaroto@crm.otsuka-europe.com</v>
      </c>
      <c r="N7629" s="13">
        <v>46231.41202546296</v>
      </c>
      <c r="O7629" s="14" t="str">
        <f>HYPERLINK("https://otsuka-europe-crm.veevavault.com/ui/#object/email_activity__v/V8C00000004E420", "EN-002109184")</f>
        <v>EN-002109184</v>
      </c>
    </row>
    <row r="7630" spans="1:15" ht="16" x14ac:dyDescent="0.2">
      <c r="A7630" s="18" t="str">
        <f>HYPERLINK("https://otsuka-europe-crm.veevavault.com/ui/#object/account__v/V4TZ06G6O71T7H6", "JOSE CARLOS DE LA FLOR MERINO")</f>
        <v>JOSE CARLOS DE LA FLOR MERINO</v>
      </c>
      <c r="B7630" s="18" t="str">
        <f t="shared" si="281"/>
        <v>ES</v>
      </c>
      <c r="C7630" s="20" t="s">
        <v>39</v>
      </c>
      <c r="D7630" s="21" t="str">
        <f t="shared" si="282"/>
        <v>LUP - Poster Deep Response - nefro</v>
      </c>
      <c r="E7630" s="22" t="str">
        <f>HYPERLINK("https://otsuka-europe-crm.veevavault.com/ui/#object/sent_email__v/VBL00000003C171", "SE-001445220")</f>
        <v>SE-001445220</v>
      </c>
      <c r="F7630" s="25">
        <v>46231.423958333333</v>
      </c>
      <c r="G7630" s="24">
        <v>1</v>
      </c>
      <c r="H7630" s="24">
        <v>1</v>
      </c>
      <c r="I7630" s="24">
        <v>0</v>
      </c>
      <c r="J7630" s="23"/>
      <c r="K7630" s="24">
        <v>0</v>
      </c>
      <c r="L7630" s="22" t="str">
        <f t="shared" si="283"/>
        <v>LUP - Poster Deep Response - nefro</v>
      </c>
      <c r="M7630" s="22" t="str">
        <f t="shared" si="284"/>
        <v>cmaroto@crm.otsuka-europe.com</v>
      </c>
      <c r="N7630" s="25">
        <v>46231.41202546296</v>
      </c>
      <c r="O7630" s="14" t="str">
        <f>HYPERLINK("https://otsuka-europe-crm.veevavault.com/ui/#object/email_activity__v/V8C00000004E429", "EN-002109199")</f>
        <v>EN-002109199</v>
      </c>
    </row>
    <row r="7631" spans="1:15" ht="16" x14ac:dyDescent="0.2">
      <c r="A7631" s="19"/>
      <c r="B7631" s="19"/>
      <c r="C7631" s="19"/>
      <c r="D7631" s="19"/>
      <c r="E7631" s="19"/>
      <c r="F7631" s="19"/>
      <c r="G7631" s="19"/>
      <c r="H7631" s="19"/>
      <c r="I7631" s="19"/>
      <c r="J7631" s="19"/>
      <c r="K7631" s="19"/>
      <c r="L7631" s="19"/>
      <c r="M7631" s="19"/>
      <c r="N7631" s="19"/>
      <c r="O7631" s="14" t="str">
        <f>HYPERLINK("https://otsuka-europe-crm.veevavault.com/ui/#object/email_activity__v/V8C00000004E505", "EN-002109352")</f>
        <v>EN-002109352</v>
      </c>
    </row>
    <row r="7632" spans="1:15" ht="32" x14ac:dyDescent="0.2">
      <c r="A7632" s="7" t="str">
        <f>HYPERLINK("https://otsuka-europe-crm.veevavault.com/ui/#object/account__v/V4TZ06G6O71TA00", "REBECA GARCIA AGUDO")</f>
        <v>REBECA GARCIA AGUDO</v>
      </c>
      <c r="B7632" s="7" t="str">
        <f>HYPERLINK("https://otsuka-europe-crm.veevavault.com/ui/#object/vcountry__v/VENZ000004SONF5", "ES")</f>
        <v>ES</v>
      </c>
      <c r="C7632" s="8" t="s">
        <v>39</v>
      </c>
      <c r="D7632" s="9" t="str">
        <f>HYPERLINK("https://otsuka-europe-crm.veevavault.com/ui/#object/approved_document__v/V5OZ025E82U16X1", "LUP - Poster Deep Response - nefro")</f>
        <v>LUP - Poster Deep Response - nefro</v>
      </c>
      <c r="E7632" s="10" t="str">
        <f>HYPERLINK("https://otsuka-europe-crm.veevavault.com/ui/#object/sent_email__v/VBL00000003C172", "SE-001445221")</f>
        <v>SE-001445221</v>
      </c>
      <c r="F7632" s="11"/>
      <c r="G7632" s="12">
        <v>0</v>
      </c>
      <c r="H7632" s="12">
        <v>0</v>
      </c>
      <c r="I7632" s="12">
        <v>0</v>
      </c>
      <c r="J7632" s="11"/>
      <c r="K7632" s="12">
        <v>0</v>
      </c>
      <c r="L7632" s="10" t="str">
        <f>HYPERLINK("https://otsuka-europe-crm.veevavault.com/ui/#object/approved_document__v/V5OZ025E82U16X1", "LUP - Poster Deep Response - nefro")</f>
        <v>LUP - Poster Deep Response - nefro</v>
      </c>
      <c r="M7632" s="10" t="str">
        <f>HYPERLINK("mailto:cmaroto@crm.otsuka-europe.com", "cmaroto@crm.otsuka-europe.com")</f>
        <v>cmaroto@crm.otsuka-europe.com</v>
      </c>
      <c r="N7632" s="13">
        <v>46231.41202546296</v>
      </c>
      <c r="O7632" s="14" t="str">
        <f>HYPERLINK("https://otsuka-europe-crm.veevavault.com/ui/#object/email_activity__v/V8C00000004E419", "EN-002109183")</f>
        <v>EN-002109183</v>
      </c>
    </row>
    <row r="7633" spans="1:15" ht="32" x14ac:dyDescent="0.2">
      <c r="A7633" s="7" t="str">
        <f>HYPERLINK("https://otsuka-europe-crm.veevavault.com/ui/#object/account__v/V4TZ025E87BCMIJ", "FERNANDO CABALLERO CEBRIAN")</f>
        <v>FERNANDO CABALLERO CEBRIAN</v>
      </c>
      <c r="B7633" s="7" t="str">
        <f>HYPERLINK("https://otsuka-europe-crm.veevavault.com/ui/#object/vcountry__v/VENZ000004SONF5", "ES")</f>
        <v>ES</v>
      </c>
      <c r="C7633" s="8" t="s">
        <v>39</v>
      </c>
      <c r="D7633" s="9" t="str">
        <f>HYPERLINK("https://otsuka-europe-crm.veevavault.com/ui/#object/approved_document__v/V5OZ025E82U16X1", "LUP - Poster Deep Response - nefro")</f>
        <v>LUP - Poster Deep Response - nefro</v>
      </c>
      <c r="E7633" s="10" t="str">
        <f>HYPERLINK("https://otsuka-europe-crm.veevavault.com/ui/#object/sent_email__v/VBL00000003C173", "SE-001445222")</f>
        <v>SE-001445222</v>
      </c>
      <c r="F7633" s="11"/>
      <c r="G7633" s="12">
        <v>0</v>
      </c>
      <c r="H7633" s="12">
        <v>0</v>
      </c>
      <c r="I7633" s="12">
        <v>0</v>
      </c>
      <c r="J7633" s="11"/>
      <c r="K7633" s="12">
        <v>0</v>
      </c>
      <c r="L7633" s="10" t="str">
        <f>HYPERLINK("https://otsuka-europe-crm.veevavault.com/ui/#object/approved_document__v/V5OZ025E82U16X1", "LUP - Poster Deep Response - nefro")</f>
        <v>LUP - Poster Deep Response - nefro</v>
      </c>
      <c r="M7633" s="10" t="str">
        <f>HYPERLINK("mailto:cmaroto@crm.otsuka-europe.com", "cmaroto@crm.otsuka-europe.com")</f>
        <v>cmaroto@crm.otsuka-europe.com</v>
      </c>
      <c r="N7633" s="13">
        <v>46231.41202546296</v>
      </c>
      <c r="O7633" s="14" t="str">
        <f>HYPERLINK("https://otsuka-europe-crm.veevavault.com/ui/#object/email_activity__v/V8C00000004E423", "EN-002109187")</f>
        <v>EN-002109187</v>
      </c>
    </row>
    <row r="7634" spans="1:15" ht="32" x14ac:dyDescent="0.2">
      <c r="A7634" s="7" t="str">
        <f>HYPERLINK("https://otsuka-europe-crm.veevavault.com/ui/#object/account__v/V4TZ025E87RZHUJ", "DANNAH MICHELLE LOPEZ CAMPOS")</f>
        <v>DANNAH MICHELLE LOPEZ CAMPOS</v>
      </c>
      <c r="B7634" s="7" t="str">
        <f>HYPERLINK("https://otsuka-europe-crm.veevavault.com/ui/#object/vcountry__v/VENZ000004SONF5", "ES")</f>
        <v>ES</v>
      </c>
      <c r="C7634" s="8" t="s">
        <v>39</v>
      </c>
      <c r="D7634" s="9" t="str">
        <f>HYPERLINK("https://otsuka-europe-crm.veevavault.com/ui/#object/approved_document__v/V5OZ025E82U16X1", "LUP - Poster Deep Response - nefro")</f>
        <v>LUP - Poster Deep Response - nefro</v>
      </c>
      <c r="E7634" s="10" t="str">
        <f>HYPERLINK("https://otsuka-europe-crm.veevavault.com/ui/#object/sent_email__v/VBL00000003C174", "SE-001445223")</f>
        <v>SE-001445223</v>
      </c>
      <c r="F7634" s="11"/>
      <c r="G7634" s="12">
        <v>0</v>
      </c>
      <c r="H7634" s="12">
        <v>0</v>
      </c>
      <c r="I7634" s="12">
        <v>0</v>
      </c>
      <c r="J7634" s="11"/>
      <c r="K7634" s="12">
        <v>0</v>
      </c>
      <c r="L7634" s="10" t="str">
        <f>HYPERLINK("https://otsuka-europe-crm.veevavault.com/ui/#object/approved_document__v/V5OZ025E82U16X1", "LUP - Poster Deep Response - nefro")</f>
        <v>LUP - Poster Deep Response - nefro</v>
      </c>
      <c r="M7634" s="10" t="str">
        <f>HYPERLINK("mailto:cmaroto@crm.otsuka-europe.com", "cmaroto@crm.otsuka-europe.com")</f>
        <v>cmaroto@crm.otsuka-europe.com</v>
      </c>
      <c r="N7634" s="13">
        <v>46231.41202546296</v>
      </c>
      <c r="O7634" s="14" t="str">
        <f>HYPERLINK("https://otsuka-europe-crm.veevavault.com/ui/#object/email_activity__v/V8C00000004E430", "EN-002109200")</f>
        <v>EN-002109200</v>
      </c>
    </row>
    <row r="7635" spans="1:15" ht="16" x14ac:dyDescent="0.2">
      <c r="A7635" s="18" t="str">
        <f>HYPERLINK("https://otsuka-europe-crm.veevavault.com/ui/#object/account__v/V4TZ025E86KZUHQ", "JOSE RUIZ-CABELLO SUBIELA")</f>
        <v>JOSE RUIZ-CABELLO SUBIELA</v>
      </c>
      <c r="B7635" s="18" t="str">
        <f>HYPERLINK("https://otsuka-europe-crm.veevavault.com/ui/#object/vcountry__v/VENZ000004SONF5", "ES")</f>
        <v>ES</v>
      </c>
      <c r="C7635" s="20" t="s">
        <v>39</v>
      </c>
      <c r="D7635" s="21" t="str">
        <f>HYPERLINK("https://otsuka-europe-crm.veevavault.com/ui/#object/approved_document__v/V5OZ025E82U16X1", "LUP - Poster Deep Response - nefro")</f>
        <v>LUP - Poster Deep Response - nefro</v>
      </c>
      <c r="E7635" s="22" t="str">
        <f>HYPERLINK("https://otsuka-europe-crm.veevavault.com/ui/#object/sent_email__v/VBL00000003C175", "SE-001445224")</f>
        <v>SE-001445224</v>
      </c>
      <c r="F7635" s="23"/>
      <c r="G7635" s="24">
        <v>0</v>
      </c>
      <c r="H7635" s="24">
        <v>0</v>
      </c>
      <c r="I7635" s="24">
        <v>0</v>
      </c>
      <c r="J7635" s="23"/>
      <c r="K7635" s="24">
        <v>0</v>
      </c>
      <c r="L7635" s="22" t="str">
        <f>HYPERLINK("https://otsuka-europe-crm.veevavault.com/ui/#object/approved_document__v/V5OZ025E82U16X1", "LUP - Poster Deep Response - nefro")</f>
        <v>LUP - Poster Deep Response - nefro</v>
      </c>
      <c r="M7635" s="22" t="str">
        <f>HYPERLINK("mailto:cmaroto@crm.otsuka-europe.com", "cmaroto@crm.otsuka-europe.com")</f>
        <v>cmaroto@crm.otsuka-europe.com</v>
      </c>
      <c r="N7635" s="25">
        <v>46231.41202546296</v>
      </c>
      <c r="O7635" s="14" t="str">
        <f>HYPERLINK("https://otsuka-europe-crm.veevavault.com/ui/#object/email_activity__v/V8C00000004E418", "EN-002109182")</f>
        <v>EN-002109182</v>
      </c>
    </row>
    <row r="7636" spans="1:15" ht="16" x14ac:dyDescent="0.2">
      <c r="A7636" s="26"/>
      <c r="B7636" s="26"/>
      <c r="C7636" s="26"/>
      <c r="D7636" s="26"/>
      <c r="E7636" s="26"/>
      <c r="F7636" s="26"/>
      <c r="G7636" s="26"/>
      <c r="H7636" s="26"/>
      <c r="I7636" s="26"/>
      <c r="J7636" s="26"/>
      <c r="K7636" s="26"/>
      <c r="L7636" s="26"/>
      <c r="M7636" s="26"/>
      <c r="N7636" s="26"/>
      <c r="O7636" s="14" t="str">
        <f>HYPERLINK("https://otsuka-europe-crm.veevavault.com/ui/#object/email_activity__v/V8C00000004E583", "EN-002109503")</f>
        <v>EN-002109503</v>
      </c>
    </row>
    <row r="7637" spans="1:15" ht="16" x14ac:dyDescent="0.2">
      <c r="A7637" s="19"/>
      <c r="B7637" s="19"/>
      <c r="C7637" s="19"/>
      <c r="D7637" s="19"/>
      <c r="E7637" s="19"/>
      <c r="F7637" s="19"/>
      <c r="G7637" s="19"/>
      <c r="H7637" s="19"/>
      <c r="I7637" s="19"/>
      <c r="J7637" s="19"/>
      <c r="K7637" s="19"/>
      <c r="L7637" s="19"/>
      <c r="M7637" s="19"/>
      <c r="N7637" s="19"/>
      <c r="O7637" s="14" t="str">
        <f>HYPERLINK("https://otsuka-europe-crm.veevavault.com/ui/#object/email_activity__v/V8C00000004H095", "EN-002111108")</f>
        <v>EN-002111108</v>
      </c>
    </row>
    <row r="7638" spans="1:15" ht="16" x14ac:dyDescent="0.2">
      <c r="A7638" s="18" t="str">
        <f>HYPERLINK("https://otsuka-europe-crm.veevavault.com/ui/#object/account__v/V4TZ025E83K6AEA", "PAULA JARA CARO ESPADA")</f>
        <v>PAULA JARA CARO ESPADA</v>
      </c>
      <c r="B7638" s="18" t="str">
        <f>HYPERLINK("https://otsuka-europe-crm.veevavault.com/ui/#object/vcountry__v/VENZ000004SONF5", "ES")</f>
        <v>ES</v>
      </c>
      <c r="C7638" s="20" t="s">
        <v>39</v>
      </c>
      <c r="D7638" s="21" t="str">
        <f>HYPERLINK("https://otsuka-europe-crm.veevavault.com/ui/#object/approved_document__v/V5OZ025E82U16X1", "LUP - Poster Deep Response - nefro")</f>
        <v>LUP - Poster Deep Response - nefro</v>
      </c>
      <c r="E7638" s="22" t="str">
        <f>HYPERLINK("https://otsuka-europe-crm.veevavault.com/ui/#object/sent_email__v/VBL00000003C176", "SE-001445225")</f>
        <v>SE-001445225</v>
      </c>
      <c r="F7638" s="25">
        <v>46231.457511574074</v>
      </c>
      <c r="G7638" s="24">
        <v>1</v>
      </c>
      <c r="H7638" s="24">
        <v>1</v>
      </c>
      <c r="I7638" s="24">
        <v>0</v>
      </c>
      <c r="J7638" s="23"/>
      <c r="K7638" s="24">
        <v>0</v>
      </c>
      <c r="L7638" s="22" t="str">
        <f>HYPERLINK("https://otsuka-europe-crm.veevavault.com/ui/#object/approved_document__v/V5OZ025E82U16X1", "LUP - Poster Deep Response - nefro")</f>
        <v>LUP - Poster Deep Response - nefro</v>
      </c>
      <c r="M7638" s="22" t="str">
        <f>HYPERLINK("mailto:cmaroto@crm.otsuka-europe.com", "cmaroto@crm.otsuka-europe.com")</f>
        <v>cmaroto@crm.otsuka-europe.com</v>
      </c>
      <c r="N7638" s="25">
        <v>46231.412083333336</v>
      </c>
      <c r="O7638" s="14" t="str">
        <f>HYPERLINK("https://otsuka-europe-crm.veevavault.com/ui/#object/email_activity__v/V8C00000004D549", "EN-002109194")</f>
        <v>EN-002109194</v>
      </c>
    </row>
    <row r="7639" spans="1:15" ht="16" x14ac:dyDescent="0.2">
      <c r="A7639" s="26"/>
      <c r="B7639" s="26"/>
      <c r="C7639" s="26"/>
      <c r="D7639" s="26"/>
      <c r="E7639" s="26"/>
      <c r="F7639" s="26"/>
      <c r="G7639" s="26"/>
      <c r="H7639" s="26"/>
      <c r="I7639" s="26"/>
      <c r="J7639" s="26"/>
      <c r="K7639" s="26"/>
      <c r="L7639" s="26"/>
      <c r="M7639" s="26"/>
      <c r="N7639" s="26"/>
      <c r="O7639" s="14" t="str">
        <f>HYPERLINK("https://otsuka-europe-crm.veevavault.com/ui/#object/email_activity__v/V8C00000004D707", "EN-002109512")</f>
        <v>EN-002109512</v>
      </c>
    </row>
    <row r="7640" spans="1:15" ht="16" x14ac:dyDescent="0.2">
      <c r="A7640" s="19"/>
      <c r="B7640" s="19"/>
      <c r="C7640" s="19"/>
      <c r="D7640" s="19"/>
      <c r="E7640" s="19"/>
      <c r="F7640" s="19"/>
      <c r="G7640" s="19"/>
      <c r="H7640" s="19"/>
      <c r="I7640" s="19"/>
      <c r="J7640" s="19"/>
      <c r="K7640" s="19"/>
      <c r="L7640" s="19"/>
      <c r="M7640" s="19"/>
      <c r="N7640" s="19"/>
      <c r="O7640" s="14" t="str">
        <f>HYPERLINK("https://otsuka-europe-crm.veevavault.com/ui/#object/email_activity__v/V8C00000004E512", "EN-002109371")</f>
        <v>EN-002109371</v>
      </c>
    </row>
    <row r="7641" spans="1:15" ht="16" x14ac:dyDescent="0.2">
      <c r="A7641" s="18" t="str">
        <f>HYPERLINK("https://otsuka-europe-crm.veevavault.com/ui/#object/account__v/V4TZ04ASG8DUAM0", "KATHERINE MARIEL PEÑA ORDOÑEZ")</f>
        <v>KATHERINE MARIEL PEÑA ORDOÑEZ</v>
      </c>
      <c r="B7641" s="18" t="str">
        <f>HYPERLINK("https://otsuka-europe-crm.veevavault.com/ui/#object/vcountry__v/VENZ000004SONF5", "ES")</f>
        <v>ES</v>
      </c>
      <c r="C7641" s="20" t="s">
        <v>39</v>
      </c>
      <c r="D7641" s="21" t="str">
        <f>HYPERLINK("https://otsuka-europe-crm.veevavault.com/ui/#object/approved_document__v/V5OZ025E82U16X1", "LUP - Poster Deep Response - nefro")</f>
        <v>LUP - Poster Deep Response - nefro</v>
      </c>
      <c r="E7641" s="22" t="str">
        <f>HYPERLINK("https://otsuka-europe-crm.veevavault.com/ui/#object/sent_email__v/VBL00000003C177", "SE-001445226")</f>
        <v>SE-001445226</v>
      </c>
      <c r="F7641" s="25">
        <v>46231.525636574072</v>
      </c>
      <c r="G7641" s="24">
        <v>1</v>
      </c>
      <c r="H7641" s="24">
        <v>2</v>
      </c>
      <c r="I7641" s="24">
        <v>0</v>
      </c>
      <c r="J7641" s="23"/>
      <c r="K7641" s="24">
        <v>0</v>
      </c>
      <c r="L7641" s="22" t="str">
        <f>HYPERLINK("https://otsuka-europe-crm.veevavault.com/ui/#object/approved_document__v/V5OZ025E82U16X1", "LUP - Poster Deep Response - nefro")</f>
        <v>LUP - Poster Deep Response - nefro</v>
      </c>
      <c r="M7641" s="22" t="str">
        <f>HYPERLINK("mailto:cmaroto@crm.otsuka-europe.com", "cmaroto@crm.otsuka-europe.com")</f>
        <v>cmaroto@crm.otsuka-europe.com</v>
      </c>
      <c r="N7641" s="25">
        <v>46231.412083333336</v>
      </c>
      <c r="O7641" s="14" t="str">
        <f>HYPERLINK("https://otsuka-europe-crm.veevavault.com/ui/#object/email_activity__v/V8C00000004D623", "EN-002109345")</f>
        <v>EN-002109345</v>
      </c>
    </row>
    <row r="7642" spans="1:15" ht="16" x14ac:dyDescent="0.2">
      <c r="A7642" s="26"/>
      <c r="B7642" s="26"/>
      <c r="C7642" s="26"/>
      <c r="D7642" s="26"/>
      <c r="E7642" s="26"/>
      <c r="F7642" s="26"/>
      <c r="G7642" s="26"/>
      <c r="H7642" s="26"/>
      <c r="I7642" s="26"/>
      <c r="J7642" s="26"/>
      <c r="K7642" s="26"/>
      <c r="L7642" s="26"/>
      <c r="M7642" s="26"/>
      <c r="N7642" s="26"/>
      <c r="O7642" s="14" t="str">
        <f>HYPERLINK("https://otsuka-europe-crm.veevavault.com/ui/#object/email_activity__v/V8C00000004D661", "EN-002109422")</f>
        <v>EN-002109422</v>
      </c>
    </row>
    <row r="7643" spans="1:15" ht="16" x14ac:dyDescent="0.2">
      <c r="A7643" s="19"/>
      <c r="B7643" s="19"/>
      <c r="C7643" s="19"/>
      <c r="D7643" s="19"/>
      <c r="E7643" s="19"/>
      <c r="F7643" s="19"/>
      <c r="G7643" s="19"/>
      <c r="H7643" s="19"/>
      <c r="I7643" s="19"/>
      <c r="J7643" s="19"/>
      <c r="K7643" s="19"/>
      <c r="L7643" s="19"/>
      <c r="M7643" s="19"/>
      <c r="N7643" s="19"/>
      <c r="O7643" s="14" t="str">
        <f>HYPERLINK("https://otsuka-europe-crm.veevavault.com/ui/#object/email_activity__v/V8C00000004E421", "EN-002109185")</f>
        <v>EN-002109185</v>
      </c>
    </row>
    <row r="7644" spans="1:15" ht="32" x14ac:dyDescent="0.2">
      <c r="A7644" s="7" t="str">
        <f>HYPERLINK("https://otsuka-europe-crm.veevavault.com/ui/#object/account__v/V4TZ06G6O71TASC", "MARIA ESPERANZA LOPEZ RUBIO")</f>
        <v>MARIA ESPERANZA LOPEZ RUBIO</v>
      </c>
      <c r="B7644" s="7" t="str">
        <f>HYPERLINK("https://otsuka-europe-crm.veevavault.com/ui/#object/vcountry__v/VENZ000004SONF5", "ES")</f>
        <v>ES</v>
      </c>
      <c r="C7644" s="8" t="s">
        <v>39</v>
      </c>
      <c r="D7644" s="9" t="str">
        <f>HYPERLINK("https://otsuka-europe-crm.veevavault.com/ui/#object/approved_document__v/V5OZ025E82U16X1", "LUP - Poster Deep Response - nefro")</f>
        <v>LUP - Poster Deep Response - nefro</v>
      </c>
      <c r="E7644" s="10" t="str">
        <f>HYPERLINK("https://otsuka-europe-crm.veevavault.com/ui/#object/sent_email__v/VBL00000003C178", "SE-001445227")</f>
        <v>SE-001445227</v>
      </c>
      <c r="F7644" s="11"/>
      <c r="G7644" s="12">
        <v>0</v>
      </c>
      <c r="H7644" s="12">
        <v>0</v>
      </c>
      <c r="I7644" s="12">
        <v>0</v>
      </c>
      <c r="J7644" s="11"/>
      <c r="K7644" s="12">
        <v>0</v>
      </c>
      <c r="L7644" s="10" t="str">
        <f>HYPERLINK("https://otsuka-europe-crm.veevavault.com/ui/#object/approved_document__v/V5OZ025E82U16X1", "LUP - Poster Deep Response - nefro")</f>
        <v>LUP - Poster Deep Response - nefro</v>
      </c>
      <c r="M7644" s="10" t="str">
        <f>HYPERLINK("mailto:cmaroto@crm.otsuka-europe.com", "cmaroto@crm.otsuka-europe.com")</f>
        <v>cmaroto@crm.otsuka-europe.com</v>
      </c>
      <c r="N7644" s="13">
        <v>46231.412083333336</v>
      </c>
      <c r="O7644" s="14" t="str">
        <f>HYPERLINK("https://otsuka-europe-crm.veevavault.com/ui/#object/email_activity__v/V8C00000004E426", "EN-002109190")</f>
        <v>EN-002109190</v>
      </c>
    </row>
    <row r="7645" spans="1:15" ht="32" x14ac:dyDescent="0.2">
      <c r="A7645" s="7" t="str">
        <f>HYPERLINK("https://otsuka-europe-crm.veevavault.com/ui/#object/account__v/V4TZ06G6O71T8BN", "BASILIO JESUS CABEZUELO RODRIGUEZ")</f>
        <v>BASILIO JESUS CABEZUELO RODRIGUEZ</v>
      </c>
      <c r="B7645" s="7" t="str">
        <f>HYPERLINK("https://otsuka-europe-crm.veevavault.com/ui/#object/vcountry__v/VENZ000004SONF5", "ES")</f>
        <v>ES</v>
      </c>
      <c r="C7645" s="8" t="s">
        <v>39</v>
      </c>
      <c r="D7645" s="9" t="str">
        <f>HYPERLINK("https://otsuka-europe-crm.veevavault.com/ui/#object/approved_document__v/V5OZ025E82U16X1", "LUP - Poster Deep Response - nefro")</f>
        <v>LUP - Poster Deep Response - nefro</v>
      </c>
      <c r="E7645" s="10" t="str">
        <f>HYPERLINK("https://otsuka-europe-crm.veevavault.com/ui/#object/sent_email__v/VBL00000003C179", "SE-001445228")</f>
        <v>SE-001445228</v>
      </c>
      <c r="F7645" s="11"/>
      <c r="G7645" s="12">
        <v>0</v>
      </c>
      <c r="H7645" s="12">
        <v>0</v>
      </c>
      <c r="I7645" s="12">
        <v>0</v>
      </c>
      <c r="J7645" s="11"/>
      <c r="K7645" s="12">
        <v>0</v>
      </c>
      <c r="L7645" s="10" t="str">
        <f>HYPERLINK("https://otsuka-europe-crm.veevavault.com/ui/#object/approved_document__v/V5OZ025E82U16X1", "LUP - Poster Deep Response - nefro")</f>
        <v>LUP - Poster Deep Response - nefro</v>
      </c>
      <c r="M7645" s="10" t="str">
        <f>HYPERLINK("mailto:cmaroto@crm.otsuka-europe.com", "cmaroto@crm.otsuka-europe.com")</f>
        <v>cmaroto@crm.otsuka-europe.com</v>
      </c>
      <c r="N7645" s="13">
        <v>46231.412083333336</v>
      </c>
      <c r="O7645" s="14" t="str">
        <f>HYPERLINK("https://otsuka-europe-crm.veevavault.com/ui/#object/email_activity__v/V8C00000004D559", "EN-002109217")</f>
        <v>EN-002109217</v>
      </c>
    </row>
    <row r="7646" spans="1:15" ht="16" x14ac:dyDescent="0.2">
      <c r="A7646" s="18" t="str">
        <f>HYPERLINK("https://otsuka-europe-crm.veevavault.com/ui/#object/account__v/V4TZ06G6O71TCI2", "MARTA TORRES GUINEA")</f>
        <v>MARTA TORRES GUINEA</v>
      </c>
      <c r="B7646" s="18" t="str">
        <f>HYPERLINK("https://otsuka-europe-crm.veevavault.com/ui/#object/vcountry__v/VENZ000004SONF5", "ES")</f>
        <v>ES</v>
      </c>
      <c r="C7646" s="20" t="s">
        <v>39</v>
      </c>
      <c r="D7646" s="21" t="str">
        <f>HYPERLINK("https://otsuka-europe-crm.veevavault.com/ui/#object/approved_document__v/V5OZ025E82U16X1", "LUP - Poster Deep Response - nefro")</f>
        <v>LUP - Poster Deep Response - nefro</v>
      </c>
      <c r="E7646" s="22" t="str">
        <f>HYPERLINK("https://otsuka-europe-crm.veevavault.com/ui/#object/sent_email__v/VBL00000003C180", "SE-001445229")</f>
        <v>SE-001445229</v>
      </c>
      <c r="F7646" s="25">
        <v>46231.426736111112</v>
      </c>
      <c r="G7646" s="24">
        <v>1</v>
      </c>
      <c r="H7646" s="24">
        <v>2</v>
      </c>
      <c r="I7646" s="24">
        <v>0</v>
      </c>
      <c r="J7646" s="23"/>
      <c r="K7646" s="24">
        <v>0</v>
      </c>
      <c r="L7646" s="22" t="str">
        <f>HYPERLINK("https://otsuka-europe-crm.veevavault.com/ui/#object/approved_document__v/V5OZ025E82U16X1", "LUP - Poster Deep Response - nefro")</f>
        <v>LUP - Poster Deep Response - nefro</v>
      </c>
      <c r="M7646" s="22" t="str">
        <f>HYPERLINK("mailto:cmaroto@crm.otsuka-europe.com", "cmaroto@crm.otsuka-europe.com")</f>
        <v>cmaroto@crm.otsuka-europe.com</v>
      </c>
      <c r="N7646" s="25">
        <v>46231.412083333336</v>
      </c>
      <c r="O7646" s="14" t="str">
        <f>HYPERLINK("https://otsuka-europe-crm.veevavault.com/ui/#object/email_activity__v/V8C00000004D631", "EN-002109355")</f>
        <v>EN-002109355</v>
      </c>
    </row>
    <row r="7647" spans="1:15" ht="16" x14ac:dyDescent="0.2">
      <c r="A7647" s="26"/>
      <c r="B7647" s="26"/>
      <c r="C7647" s="26"/>
      <c r="D7647" s="26"/>
      <c r="E7647" s="26"/>
      <c r="F7647" s="26"/>
      <c r="G7647" s="26"/>
      <c r="H7647" s="26"/>
      <c r="I7647" s="26"/>
      <c r="J7647" s="26"/>
      <c r="K7647" s="26"/>
      <c r="L7647" s="26"/>
      <c r="M7647" s="26"/>
      <c r="N7647" s="26"/>
      <c r="O7647" s="14" t="str">
        <f>HYPERLINK("https://otsuka-europe-crm.veevavault.com/ui/#object/email_activity__v/V8C00000004D632", "EN-002109356")</f>
        <v>EN-002109356</v>
      </c>
    </row>
    <row r="7648" spans="1:15" ht="16" x14ac:dyDescent="0.2">
      <c r="A7648" s="19"/>
      <c r="B7648" s="19"/>
      <c r="C7648" s="19"/>
      <c r="D7648" s="19"/>
      <c r="E7648" s="19"/>
      <c r="F7648" s="19"/>
      <c r="G7648" s="19"/>
      <c r="H7648" s="19"/>
      <c r="I7648" s="19"/>
      <c r="J7648" s="19"/>
      <c r="K7648" s="19"/>
      <c r="L7648" s="19"/>
      <c r="M7648" s="19"/>
      <c r="N7648" s="19"/>
      <c r="O7648" s="14" t="str">
        <f>HYPERLINK("https://otsuka-europe-crm.veevavault.com/ui/#object/email_activity__v/V8C00000004E440", "EN-002109215")</f>
        <v>EN-002109215</v>
      </c>
    </row>
    <row r="7649" spans="1:15" ht="16" x14ac:dyDescent="0.2">
      <c r="A7649" s="18" t="str">
        <f>HYPERLINK("https://otsuka-europe-crm.veevavault.com/ui/#object/account__v/V4TZ06G6O71T8A5", "AMALIA PERONA CARO")</f>
        <v>AMALIA PERONA CARO</v>
      </c>
      <c r="B7649" s="18" t="str">
        <f>HYPERLINK("https://otsuka-europe-crm.veevavault.com/ui/#object/vcountry__v/VENZ000004SONF5", "ES")</f>
        <v>ES</v>
      </c>
      <c r="C7649" s="20" t="s">
        <v>39</v>
      </c>
      <c r="D7649" s="21" t="str">
        <f>HYPERLINK("https://otsuka-europe-crm.veevavault.com/ui/#object/approved_document__v/V5OZ025E82U16X1", "LUP - Poster Deep Response - nefro")</f>
        <v>LUP - Poster Deep Response - nefro</v>
      </c>
      <c r="E7649" s="22" t="str">
        <f>HYPERLINK("https://otsuka-europe-crm.veevavault.com/ui/#object/sent_email__v/VBL00000003C181", "SE-001445230")</f>
        <v>SE-001445230</v>
      </c>
      <c r="F7649" s="25">
        <v>46231.643460648149</v>
      </c>
      <c r="G7649" s="24">
        <v>1</v>
      </c>
      <c r="H7649" s="24">
        <v>1</v>
      </c>
      <c r="I7649" s="24">
        <v>0</v>
      </c>
      <c r="J7649" s="23"/>
      <c r="K7649" s="24">
        <v>0</v>
      </c>
      <c r="L7649" s="22" t="str">
        <f>HYPERLINK("https://otsuka-europe-crm.veevavault.com/ui/#object/approved_document__v/V5OZ025E82U16X1", "LUP - Poster Deep Response - nefro")</f>
        <v>LUP - Poster Deep Response - nefro</v>
      </c>
      <c r="M7649" s="22" t="str">
        <f>HYPERLINK("mailto:cmaroto@crm.otsuka-europe.com", "cmaroto@crm.otsuka-europe.com")</f>
        <v>cmaroto@crm.otsuka-europe.com</v>
      </c>
      <c r="N7649" s="25">
        <v>46231.412129629629</v>
      </c>
      <c r="O7649" s="14" t="str">
        <f>HYPERLINK("https://otsuka-europe-crm.veevavault.com/ui/#object/email_activity__v/V8C00000004E428", "EN-002109198")</f>
        <v>EN-002109198</v>
      </c>
    </row>
    <row r="7650" spans="1:15" ht="16" x14ac:dyDescent="0.2">
      <c r="A7650" s="19"/>
      <c r="B7650" s="19"/>
      <c r="C7650" s="19"/>
      <c r="D7650" s="19"/>
      <c r="E7650" s="19"/>
      <c r="F7650" s="19"/>
      <c r="G7650" s="19"/>
      <c r="H7650" s="19"/>
      <c r="I7650" s="19"/>
      <c r="J7650" s="19"/>
      <c r="K7650" s="19"/>
      <c r="L7650" s="19"/>
      <c r="M7650" s="19"/>
      <c r="N7650" s="19"/>
      <c r="O7650" s="14" t="str">
        <f>HYPERLINK("https://otsuka-europe-crm.veevavault.com/ui/#object/email_activity__v/V8C00000004E565", "EN-002109465")</f>
        <v>EN-002109465</v>
      </c>
    </row>
    <row r="7651" spans="1:15" ht="32" x14ac:dyDescent="0.2">
      <c r="A7651" s="7" t="str">
        <f>HYPERLINK("https://otsuka-europe-crm.veevavault.com/ui/#object/account__v/V4T00000000P032", "DARIA ABASHEVA")</f>
        <v>DARIA ABASHEVA</v>
      </c>
      <c r="B7651" s="7" t="str">
        <f>HYPERLINK("https://otsuka-europe-crm.veevavault.com/ui/#object/vcountry__v/VENZ000004SONF5", "ES")</f>
        <v>ES</v>
      </c>
      <c r="C7651" s="8" t="s">
        <v>39</v>
      </c>
      <c r="D7651" s="9" t="str">
        <f>HYPERLINK("https://otsuka-europe-crm.veevavault.com/ui/#object/approved_document__v/V5OZ025E82U16X1", "LUP - Poster Deep Response - nefro")</f>
        <v>LUP - Poster Deep Response - nefro</v>
      </c>
      <c r="E7651" s="10" t="str">
        <f>HYPERLINK("https://otsuka-europe-crm.veevavault.com/ui/#object/sent_email__v/VBL00000003C182", "SE-001445231")</f>
        <v>SE-001445231</v>
      </c>
      <c r="F7651" s="11"/>
      <c r="G7651" s="12">
        <v>0</v>
      </c>
      <c r="H7651" s="12">
        <v>0</v>
      </c>
      <c r="I7651" s="12">
        <v>0</v>
      </c>
      <c r="J7651" s="11"/>
      <c r="K7651" s="12">
        <v>0</v>
      </c>
      <c r="L7651" s="10" t="str">
        <f>HYPERLINK("https://otsuka-europe-crm.veevavault.com/ui/#object/approved_document__v/V5OZ025E82U16X1", "LUP - Poster Deep Response - nefro")</f>
        <v>LUP - Poster Deep Response - nefro</v>
      </c>
      <c r="M7651" s="10" t="str">
        <f>HYPERLINK("mailto:cmaroto@crm.otsuka-europe.com", "cmaroto@crm.otsuka-europe.com")</f>
        <v>cmaroto@crm.otsuka-europe.com</v>
      </c>
      <c r="N7651" s="13">
        <v>46231.412083333336</v>
      </c>
      <c r="O7651" s="14" t="str">
        <f>HYPERLINK("https://otsuka-europe-crm.veevavault.com/ui/#object/email_activity__v/V8C00000004E424", "EN-002109188")</f>
        <v>EN-002109188</v>
      </c>
    </row>
    <row r="7652" spans="1:15" ht="16" x14ac:dyDescent="0.2">
      <c r="A7652" s="18" t="str">
        <f>HYPERLINK("https://otsuka-europe-crm.veevavault.com/ui/#object/account__v/V4TZ06G6O71T93A", "FRANCISCO JAVIER AHIJADO HORMIGOS")</f>
        <v>FRANCISCO JAVIER AHIJADO HORMIGOS</v>
      </c>
      <c r="B7652" s="18" t="str">
        <f>HYPERLINK("https://otsuka-europe-crm.veevavault.com/ui/#object/vcountry__v/VENZ000004SONF5", "ES")</f>
        <v>ES</v>
      </c>
      <c r="C7652" s="20" t="s">
        <v>39</v>
      </c>
      <c r="D7652" s="21" t="str">
        <f>HYPERLINK("https://otsuka-europe-crm.veevavault.com/ui/#object/approved_document__v/V5OZ025E82U16X1", "LUP - Poster Deep Response - nefro")</f>
        <v>LUP - Poster Deep Response - nefro</v>
      </c>
      <c r="E7652" s="22" t="str">
        <f>HYPERLINK("https://otsuka-europe-crm.veevavault.com/ui/#object/sent_email__v/VBL00000003C183", "SE-001445232")</f>
        <v>SE-001445232</v>
      </c>
      <c r="F7652" s="23"/>
      <c r="G7652" s="24">
        <v>0</v>
      </c>
      <c r="H7652" s="24">
        <v>0</v>
      </c>
      <c r="I7652" s="24">
        <v>0</v>
      </c>
      <c r="J7652" s="23"/>
      <c r="K7652" s="24">
        <v>0</v>
      </c>
      <c r="L7652" s="22" t="str">
        <f>HYPERLINK("https://otsuka-europe-crm.veevavault.com/ui/#object/approved_document__v/V5OZ025E82U16X1", "LUP - Poster Deep Response - nefro")</f>
        <v>LUP - Poster Deep Response - nefro</v>
      </c>
      <c r="M7652" s="22" t="str">
        <f>HYPERLINK("mailto:cmaroto@crm.otsuka-europe.com", "cmaroto@crm.otsuka-europe.com")</f>
        <v>cmaroto@crm.otsuka-europe.com</v>
      </c>
      <c r="N7652" s="25">
        <v>46231.412083333336</v>
      </c>
      <c r="O7652" s="14" t="str">
        <f>HYPERLINK("https://otsuka-europe-crm.veevavault.com/ui/#object/email_activity__v/V8C00000004D705", "EN-002109507")</f>
        <v>EN-002109507</v>
      </c>
    </row>
    <row r="7653" spans="1:15" ht="16" x14ac:dyDescent="0.2">
      <c r="A7653" s="26"/>
      <c r="B7653" s="26"/>
      <c r="C7653" s="26"/>
      <c r="D7653" s="26"/>
      <c r="E7653" s="26"/>
      <c r="F7653" s="26"/>
      <c r="G7653" s="26"/>
      <c r="H7653" s="26"/>
      <c r="I7653" s="26"/>
      <c r="J7653" s="26"/>
      <c r="K7653" s="26"/>
      <c r="L7653" s="26"/>
      <c r="M7653" s="26"/>
      <c r="N7653" s="26"/>
      <c r="O7653" s="14" t="str">
        <f>HYPERLINK("https://otsuka-europe-crm.veevavault.com/ui/#object/email_activity__v/V8C00000004E439", "EN-002109214")</f>
        <v>EN-002109214</v>
      </c>
    </row>
    <row r="7654" spans="1:15" ht="16" x14ac:dyDescent="0.2">
      <c r="A7654" s="19"/>
      <c r="B7654" s="19"/>
      <c r="C7654" s="19"/>
      <c r="D7654" s="19"/>
      <c r="E7654" s="19"/>
      <c r="F7654" s="19"/>
      <c r="G7654" s="19"/>
      <c r="H7654" s="19"/>
      <c r="I7654" s="19"/>
      <c r="J7654" s="19"/>
      <c r="K7654" s="19"/>
      <c r="L7654" s="19"/>
      <c r="M7654" s="19"/>
      <c r="N7654" s="19"/>
      <c r="O7654" s="14" t="str">
        <f>HYPERLINK("https://otsuka-europe-crm.veevavault.com/ui/#object/email_activity__v/V8C00000004E568", "EN-002109473")</f>
        <v>EN-002109473</v>
      </c>
    </row>
    <row r="7655" spans="1:15" ht="16" x14ac:dyDescent="0.2">
      <c r="A7655" s="18" t="str">
        <f>HYPERLINK("https://otsuka-europe-crm.veevavault.com/ui/#object/account__v/V4TZ04ASG6ZSX9E", "PABLO ALEJANDRO SARDUY CORONADO")</f>
        <v>PABLO ALEJANDRO SARDUY CORONADO</v>
      </c>
      <c r="B7655" s="18" t="str">
        <f>HYPERLINK("https://otsuka-europe-crm.veevavault.com/ui/#object/vcountry__v/VENZ000004SONF5", "ES")</f>
        <v>ES</v>
      </c>
      <c r="C7655" s="20" t="s">
        <v>39</v>
      </c>
      <c r="D7655" s="21" t="str">
        <f>HYPERLINK("https://otsuka-europe-crm.veevavault.com/ui/#object/approved_document__v/V5OZ025E82U16X1", "LUP - Poster Deep Response - nefro")</f>
        <v>LUP - Poster Deep Response - nefro</v>
      </c>
      <c r="E7655" s="22" t="str">
        <f>HYPERLINK("https://otsuka-europe-crm.veevavault.com/ui/#object/sent_email__v/VBL00000003C184", "SE-001445233")</f>
        <v>SE-001445233</v>
      </c>
      <c r="F7655" s="25">
        <v>46231.443611111114</v>
      </c>
      <c r="G7655" s="24">
        <v>1</v>
      </c>
      <c r="H7655" s="24">
        <v>2</v>
      </c>
      <c r="I7655" s="24">
        <v>0</v>
      </c>
      <c r="J7655" s="23"/>
      <c r="K7655" s="24">
        <v>0</v>
      </c>
      <c r="L7655" s="22" t="str">
        <f>HYPERLINK("https://otsuka-europe-crm.veevavault.com/ui/#object/approved_document__v/V5OZ025E82U16X1", "LUP - Poster Deep Response - nefro")</f>
        <v>LUP - Poster Deep Response - nefro</v>
      </c>
      <c r="M7655" s="22" t="str">
        <f>HYPERLINK("mailto:cmaroto@crm.otsuka-europe.com", "cmaroto@crm.otsuka-europe.com")</f>
        <v>cmaroto@crm.otsuka-europe.com</v>
      </c>
      <c r="N7655" s="25">
        <v>46231.412083333336</v>
      </c>
      <c r="O7655" s="14" t="str">
        <f>HYPERLINK("https://otsuka-europe-crm.veevavault.com/ui/#object/email_activity__v/V8C00000004D551", "EN-002109196")</f>
        <v>EN-002109196</v>
      </c>
    </row>
    <row r="7656" spans="1:15" ht="16" x14ac:dyDescent="0.2">
      <c r="A7656" s="26"/>
      <c r="B7656" s="26"/>
      <c r="C7656" s="26"/>
      <c r="D7656" s="26"/>
      <c r="E7656" s="26"/>
      <c r="F7656" s="26"/>
      <c r="G7656" s="26"/>
      <c r="H7656" s="26"/>
      <c r="I7656" s="26"/>
      <c r="J7656" s="26"/>
      <c r="K7656" s="26"/>
      <c r="L7656" s="26"/>
      <c r="M7656" s="26"/>
      <c r="N7656" s="26"/>
      <c r="O7656" s="14" t="str">
        <f>HYPERLINK("https://otsuka-europe-crm.veevavault.com/ui/#object/email_activity__v/V8C00000004D635", "EN-002109363")</f>
        <v>EN-002109363</v>
      </c>
    </row>
    <row r="7657" spans="1:15" ht="16" x14ac:dyDescent="0.2">
      <c r="A7657" s="19"/>
      <c r="B7657" s="19"/>
      <c r="C7657" s="19"/>
      <c r="D7657" s="19"/>
      <c r="E7657" s="19"/>
      <c r="F7657" s="19"/>
      <c r="G7657" s="19"/>
      <c r="H7657" s="19"/>
      <c r="I7657" s="19"/>
      <c r="J7657" s="19"/>
      <c r="K7657" s="19"/>
      <c r="L7657" s="19"/>
      <c r="M7657" s="19"/>
      <c r="N7657" s="19"/>
      <c r="O7657" s="14" t="str">
        <f>HYPERLINK("https://otsuka-europe-crm.veevavault.com/ui/#object/email_activity__v/V8C00000004D636", "EN-002109364")</f>
        <v>EN-002109364</v>
      </c>
    </row>
    <row r="7658" spans="1:15" ht="16" x14ac:dyDescent="0.2">
      <c r="A7658" s="18" t="str">
        <f>HYPERLINK("https://otsuka-europe-crm.veevavault.com/ui/#object/account__v/V4TZ04ASGABW98D", "ALEJANDRO AVELLO ESCRIBANO")</f>
        <v>ALEJANDRO AVELLO ESCRIBANO</v>
      </c>
      <c r="B7658" s="18" t="str">
        <f>HYPERLINK("https://otsuka-europe-crm.veevavault.com/ui/#object/vcountry__v/VENZ000004SONF5", "ES")</f>
        <v>ES</v>
      </c>
      <c r="C7658" s="20" t="s">
        <v>39</v>
      </c>
      <c r="D7658" s="21" t="str">
        <f>HYPERLINK("https://otsuka-europe-crm.veevavault.com/ui/#object/approved_document__v/V5OZ025E82U16X1", "LUP - Poster Deep Response - nefro")</f>
        <v>LUP - Poster Deep Response - nefro</v>
      </c>
      <c r="E7658" s="22" t="str">
        <f>HYPERLINK("https://otsuka-europe-crm.veevavault.com/ui/#object/sent_email__v/VBL00000003C185", "SE-001445234")</f>
        <v>SE-001445234</v>
      </c>
      <c r="F7658" s="25">
        <v>46231.415578703702</v>
      </c>
      <c r="G7658" s="24">
        <v>1</v>
      </c>
      <c r="H7658" s="24">
        <v>2</v>
      </c>
      <c r="I7658" s="24">
        <v>0</v>
      </c>
      <c r="J7658" s="23"/>
      <c r="K7658" s="24">
        <v>0</v>
      </c>
      <c r="L7658" s="22" t="str">
        <f>HYPERLINK("https://otsuka-europe-crm.veevavault.com/ui/#object/approved_document__v/V5OZ025E82U16X1", "LUP - Poster Deep Response - nefro")</f>
        <v>LUP - Poster Deep Response - nefro</v>
      </c>
      <c r="M7658" s="22" t="str">
        <f>HYPERLINK("mailto:cmaroto@crm.otsuka-europe.com", "cmaroto@crm.otsuka-europe.com")</f>
        <v>cmaroto@crm.otsuka-europe.com</v>
      </c>
      <c r="N7658" s="25">
        <v>46231.412083333336</v>
      </c>
      <c r="O7658" s="14" t="str">
        <f>HYPERLINK("https://otsuka-europe-crm.veevavault.com/ui/#object/email_activity__v/V8C00000004D560", "EN-002109218")</f>
        <v>EN-002109218</v>
      </c>
    </row>
    <row r="7659" spans="1:15" ht="16" x14ac:dyDescent="0.2">
      <c r="A7659" s="26"/>
      <c r="B7659" s="26"/>
      <c r="C7659" s="26"/>
      <c r="D7659" s="26"/>
      <c r="E7659" s="26"/>
      <c r="F7659" s="26"/>
      <c r="G7659" s="26"/>
      <c r="H7659" s="26"/>
      <c r="I7659" s="26"/>
      <c r="J7659" s="26"/>
      <c r="K7659" s="26"/>
      <c r="L7659" s="26"/>
      <c r="M7659" s="26"/>
      <c r="N7659" s="26"/>
      <c r="O7659" s="14" t="str">
        <f>HYPERLINK("https://otsuka-europe-crm.veevavault.com/ui/#object/email_activity__v/V8C00000004D622", "EN-002109344")</f>
        <v>EN-002109344</v>
      </c>
    </row>
    <row r="7660" spans="1:15" ht="16" x14ac:dyDescent="0.2">
      <c r="A7660" s="19"/>
      <c r="B7660" s="19"/>
      <c r="C7660" s="19"/>
      <c r="D7660" s="19"/>
      <c r="E7660" s="19"/>
      <c r="F7660" s="19"/>
      <c r="G7660" s="19"/>
      <c r="H7660" s="19"/>
      <c r="I7660" s="19"/>
      <c r="J7660" s="19"/>
      <c r="K7660" s="19"/>
      <c r="L7660" s="19"/>
      <c r="M7660" s="19"/>
      <c r="N7660" s="19"/>
      <c r="O7660" s="14" t="str">
        <f>HYPERLINK("https://otsuka-europe-crm.veevavault.com/ui/#object/email_activity__v/V8C00000004E504", "EN-002109343")</f>
        <v>EN-002109343</v>
      </c>
    </row>
    <row r="7661" spans="1:15" ht="16" x14ac:dyDescent="0.2">
      <c r="A7661" s="18" t="str">
        <f>HYPERLINK("https://otsuka-europe-crm.veevavault.com/ui/#object/account__v/V4TZ06G6O71TBUD", "DABAIBA REGIDOR RODRIGUEZ")</f>
        <v>DABAIBA REGIDOR RODRIGUEZ</v>
      </c>
      <c r="B7661" s="18" t="str">
        <f>HYPERLINK("https://otsuka-europe-crm.veevavault.com/ui/#object/vcountry__v/VENZ000004SONF5", "ES")</f>
        <v>ES</v>
      </c>
      <c r="C7661" s="20" t="s">
        <v>39</v>
      </c>
      <c r="D7661" s="21" t="str">
        <f>HYPERLINK("https://otsuka-europe-crm.veevavault.com/ui/#object/approved_document__v/V5OZ025E82U16X1", "LUP - Poster Deep Response - nefro")</f>
        <v>LUP - Poster Deep Response - nefro</v>
      </c>
      <c r="E7661" s="22" t="str">
        <f>HYPERLINK("https://otsuka-europe-crm.veevavault.com/ui/#object/sent_email__v/VBL00000003C186", "SE-001445235")</f>
        <v>SE-001445235</v>
      </c>
      <c r="F7661" s="23"/>
      <c r="G7661" s="24">
        <v>0</v>
      </c>
      <c r="H7661" s="24">
        <v>0</v>
      </c>
      <c r="I7661" s="24">
        <v>0</v>
      </c>
      <c r="J7661" s="23"/>
      <c r="K7661" s="24">
        <v>0</v>
      </c>
      <c r="L7661" s="22" t="str">
        <f>HYPERLINK("https://otsuka-europe-crm.veevavault.com/ui/#object/approved_document__v/V5OZ025E82U16X1", "LUP - Poster Deep Response - nefro")</f>
        <v>LUP - Poster Deep Response - nefro</v>
      </c>
      <c r="M7661" s="22" t="str">
        <f>HYPERLINK("mailto:cmaroto@crm.otsuka-europe.com", "cmaroto@crm.otsuka-europe.com")</f>
        <v>cmaroto@crm.otsuka-europe.com</v>
      </c>
      <c r="N7661" s="25">
        <v>46231.412083333336</v>
      </c>
      <c r="O7661" s="14" t="str">
        <f>HYPERLINK("https://otsuka-europe-crm.veevavault.com/ui/#object/email_activity__v/V8C00000004D558", "EN-002109216")</f>
        <v>EN-002109216</v>
      </c>
    </row>
    <row r="7662" spans="1:15" ht="16" x14ac:dyDescent="0.2">
      <c r="A7662" s="19"/>
      <c r="B7662" s="19"/>
      <c r="C7662" s="19"/>
      <c r="D7662" s="19"/>
      <c r="E7662" s="19"/>
      <c r="F7662" s="19"/>
      <c r="G7662" s="19"/>
      <c r="H7662" s="19"/>
      <c r="I7662" s="19"/>
      <c r="J7662" s="19"/>
      <c r="K7662" s="19"/>
      <c r="L7662" s="19"/>
      <c r="M7662" s="19"/>
      <c r="N7662" s="19"/>
      <c r="O7662" s="14" t="str">
        <f>HYPERLINK("https://otsuka-europe-crm.veevavault.com/ui/#object/email_activity__v/V8C00000004G004", "EN-002109793")</f>
        <v>EN-002109793</v>
      </c>
    </row>
    <row r="7663" spans="1:15" ht="32" x14ac:dyDescent="0.2">
      <c r="A7663" s="7" t="str">
        <f>HYPERLINK("https://otsuka-europe-crm.veevavault.com/ui/#object/account__v/V4TZ025E88Z0MTT", "JOSE JULIAN SEGURA DE LA MORENA")</f>
        <v>JOSE JULIAN SEGURA DE LA MORENA</v>
      </c>
      <c r="B7663" s="7" t="str">
        <f>HYPERLINK("https://otsuka-europe-crm.veevavault.com/ui/#object/vcountry__v/VENZ000004SONF5", "ES")</f>
        <v>ES</v>
      </c>
      <c r="C7663" s="8" t="s">
        <v>39</v>
      </c>
      <c r="D7663" s="9" t="str">
        <f>HYPERLINK("https://otsuka-europe-crm.veevavault.com/ui/#object/approved_document__v/V5OZ025E82U16X1", "LUP - Poster Deep Response - nefro")</f>
        <v>LUP - Poster Deep Response - nefro</v>
      </c>
      <c r="E7663" s="10" t="str">
        <f>HYPERLINK("https://otsuka-europe-crm.veevavault.com/ui/#object/sent_email__v/VBL00000003C187", "SE-001445236")</f>
        <v>SE-001445236</v>
      </c>
      <c r="F7663" s="11"/>
      <c r="G7663" s="12">
        <v>0</v>
      </c>
      <c r="H7663" s="12">
        <v>0</v>
      </c>
      <c r="I7663" s="12">
        <v>0</v>
      </c>
      <c r="J7663" s="11"/>
      <c r="K7663" s="12">
        <v>0</v>
      </c>
      <c r="L7663" s="10" t="str">
        <f>HYPERLINK("https://otsuka-europe-crm.veevavault.com/ui/#object/approved_document__v/V5OZ025E82U16X1", "LUP - Poster Deep Response - nefro")</f>
        <v>LUP - Poster Deep Response - nefro</v>
      </c>
      <c r="M7663" s="10" t="str">
        <f>HYPERLINK("mailto:cmaroto@crm.otsuka-europe.com", "cmaroto@crm.otsuka-europe.com")</f>
        <v>cmaroto@crm.otsuka-europe.com</v>
      </c>
      <c r="N7663" s="13">
        <v>46231.412210648145</v>
      </c>
      <c r="O7663" s="14" t="str">
        <f>HYPERLINK("https://otsuka-europe-crm.veevavault.com/ui/#object/email_activity__v/V8C00000004E445", "EN-002109238")</f>
        <v>EN-002109238</v>
      </c>
    </row>
    <row r="7664" spans="1:15" ht="32" x14ac:dyDescent="0.2">
      <c r="A7664" s="7" t="str">
        <f>HYPERLINK("https://otsuka-europe-crm.veevavault.com/ui/#object/account__v/V4TZ06G6O71UQSB", "ELENA GOMA GARCES")</f>
        <v>ELENA GOMA GARCES</v>
      </c>
      <c r="B7664" s="7" t="str">
        <f>HYPERLINK("https://otsuka-europe-crm.veevavault.com/ui/#object/vcountry__v/VENZ000004SONF5", "ES")</f>
        <v>ES</v>
      </c>
      <c r="C7664" s="8" t="s">
        <v>39</v>
      </c>
      <c r="D7664" s="9" t="str">
        <f>HYPERLINK("https://otsuka-europe-crm.veevavault.com/ui/#object/approved_document__v/V5OZ025E82U16X1", "LUP - Poster Deep Response - nefro")</f>
        <v>LUP - Poster Deep Response - nefro</v>
      </c>
      <c r="E7664" s="10" t="str">
        <f>HYPERLINK("https://otsuka-europe-crm.veevavault.com/ui/#object/sent_email__v/VBL00000003C188", "SE-001445237")</f>
        <v>SE-001445237</v>
      </c>
      <c r="F7664" s="11"/>
      <c r="G7664" s="12">
        <v>0</v>
      </c>
      <c r="H7664" s="12">
        <v>0</v>
      </c>
      <c r="I7664" s="12">
        <v>0</v>
      </c>
      <c r="J7664" s="11"/>
      <c r="K7664" s="12">
        <v>0</v>
      </c>
      <c r="L7664" s="10" t="str">
        <f>HYPERLINK("https://otsuka-europe-crm.veevavault.com/ui/#object/approved_document__v/V5OZ025E82U16X1", "LUP - Poster Deep Response - nefro")</f>
        <v>LUP - Poster Deep Response - nefro</v>
      </c>
      <c r="M7664" s="10" t="str">
        <f>HYPERLINK("mailto:cmaroto@crm.otsuka-europe.com", "cmaroto@crm.otsuka-europe.com")</f>
        <v>cmaroto@crm.otsuka-europe.com</v>
      </c>
      <c r="N7664" s="13">
        <v>46231.412210648145</v>
      </c>
      <c r="O7664" s="14" t="str">
        <f>HYPERLINK("https://otsuka-europe-crm.veevavault.com/ui/#object/email_activity__v/V8C00000004D572", "EN-002109230")</f>
        <v>EN-002109230</v>
      </c>
    </row>
    <row r="7665" spans="1:15" ht="32" x14ac:dyDescent="0.2">
      <c r="A7665" s="7" t="str">
        <f>HYPERLINK("https://otsuka-europe-crm.veevavault.com/ui/#object/account__v/V4TZ04ASG7RXEVQ", "MARIA SOLEDAD PIZARRO SANCHEZ")</f>
        <v>MARIA SOLEDAD PIZARRO SANCHEZ</v>
      </c>
      <c r="B7665" s="7" t="str">
        <f>HYPERLINK("https://otsuka-europe-crm.veevavault.com/ui/#object/vcountry__v/VENZ000004SONF5", "ES")</f>
        <v>ES</v>
      </c>
      <c r="C7665" s="8" t="s">
        <v>39</v>
      </c>
      <c r="D7665" s="9" t="str">
        <f>HYPERLINK("https://otsuka-europe-crm.veevavault.com/ui/#object/approved_document__v/V5OZ025E82U16X1", "LUP - Poster Deep Response - nefro")</f>
        <v>LUP - Poster Deep Response - nefro</v>
      </c>
      <c r="E7665" s="10" t="str">
        <f>HYPERLINK("https://otsuka-europe-crm.veevavault.com/ui/#object/sent_email__v/VBL00000003C189", "SE-001445238")</f>
        <v>SE-001445238</v>
      </c>
      <c r="F7665" s="11"/>
      <c r="G7665" s="12">
        <v>0</v>
      </c>
      <c r="H7665" s="12">
        <v>0</v>
      </c>
      <c r="I7665" s="12">
        <v>0</v>
      </c>
      <c r="J7665" s="11"/>
      <c r="K7665" s="12">
        <v>0</v>
      </c>
      <c r="L7665" s="10" t="str">
        <f>HYPERLINK("https://otsuka-europe-crm.veevavault.com/ui/#object/approved_document__v/V5OZ025E82U16X1", "LUP - Poster Deep Response - nefro")</f>
        <v>LUP - Poster Deep Response - nefro</v>
      </c>
      <c r="M7665" s="10" t="str">
        <f>HYPERLINK("mailto:cmaroto@crm.otsuka-europe.com", "cmaroto@crm.otsuka-europe.com")</f>
        <v>cmaroto@crm.otsuka-europe.com</v>
      </c>
      <c r="N7665" s="13">
        <v>46231.412210648145</v>
      </c>
      <c r="O7665" s="14" t="str">
        <f>HYPERLINK("https://otsuka-europe-crm.veevavault.com/ui/#object/email_activity__v/V8C00000004D584", "EN-002109265")</f>
        <v>EN-002109265</v>
      </c>
    </row>
    <row r="7666" spans="1:15" ht="16" x14ac:dyDescent="0.2">
      <c r="A7666" s="18" t="str">
        <f>HYPERLINK("https://otsuka-europe-crm.veevavault.com/ui/#object/account__v/V4TZ06G6O71TCAB", "SERAFIN TALLON LOBO")</f>
        <v>SERAFIN TALLON LOBO</v>
      </c>
      <c r="B7666" s="18" t="str">
        <f>HYPERLINK("https://otsuka-europe-crm.veevavault.com/ui/#object/vcountry__v/VENZ000004SONF5", "ES")</f>
        <v>ES</v>
      </c>
      <c r="C7666" s="20" t="s">
        <v>39</v>
      </c>
      <c r="D7666" s="21" t="str">
        <f>HYPERLINK("https://otsuka-europe-crm.veevavault.com/ui/#object/approved_document__v/V5OZ025E82U16X1", "LUP - Poster Deep Response - nefro")</f>
        <v>LUP - Poster Deep Response - nefro</v>
      </c>
      <c r="E7666" s="22" t="str">
        <f>HYPERLINK("https://otsuka-europe-crm.veevavault.com/ui/#object/sent_email__v/VBL00000003C190", "SE-001445239")</f>
        <v>SE-001445239</v>
      </c>
      <c r="F7666" s="25">
        <v>46232.248761574076</v>
      </c>
      <c r="G7666" s="24">
        <v>1</v>
      </c>
      <c r="H7666" s="24">
        <v>1</v>
      </c>
      <c r="I7666" s="24">
        <v>0</v>
      </c>
      <c r="J7666" s="23"/>
      <c r="K7666" s="24">
        <v>0</v>
      </c>
      <c r="L7666" s="22" t="str">
        <f>HYPERLINK("https://otsuka-europe-crm.veevavault.com/ui/#object/approved_document__v/V5OZ025E82U16X1", "LUP - Poster Deep Response - nefro")</f>
        <v>LUP - Poster Deep Response - nefro</v>
      </c>
      <c r="M7666" s="22" t="str">
        <f>HYPERLINK("mailto:cmaroto@crm.otsuka-europe.com", "cmaroto@crm.otsuka-europe.com")</f>
        <v>cmaroto@crm.otsuka-europe.com</v>
      </c>
      <c r="N7666" s="25">
        <v>46231.412210648145</v>
      </c>
      <c r="O7666" s="14" t="str">
        <f>HYPERLINK("https://otsuka-europe-crm.veevavault.com/ui/#object/email_activity__v/V8C00000004E451", "EN-002109250")</f>
        <v>EN-002109250</v>
      </c>
    </row>
    <row r="7667" spans="1:15" ht="16" x14ac:dyDescent="0.2">
      <c r="A7667" s="19"/>
      <c r="B7667" s="19"/>
      <c r="C7667" s="19"/>
      <c r="D7667" s="19"/>
      <c r="E7667" s="19"/>
      <c r="F7667" s="19"/>
      <c r="G7667" s="19"/>
      <c r="H7667" s="19"/>
      <c r="I7667" s="19"/>
      <c r="J7667" s="19"/>
      <c r="K7667" s="19"/>
      <c r="L7667" s="19"/>
      <c r="M7667" s="19"/>
      <c r="N7667" s="19"/>
      <c r="O7667" s="14" t="str">
        <f>HYPERLINK("https://otsuka-europe-crm.veevavault.com/ui/#object/email_activity__v/V8C00000004E594", "EN-002109523")</f>
        <v>EN-002109523</v>
      </c>
    </row>
    <row r="7668" spans="1:15" ht="32" x14ac:dyDescent="0.2">
      <c r="A7668" s="7" t="str">
        <f>HYPERLINK("https://otsuka-europe-crm.veevavault.com/ui/#object/account__v/V4TZ06G6O7VSDUO", "ESMERALDA CASTILLO RODRIGUEZ")</f>
        <v>ESMERALDA CASTILLO RODRIGUEZ</v>
      </c>
      <c r="B7668" s="7" t="str">
        <f>HYPERLINK("https://otsuka-europe-crm.veevavault.com/ui/#object/vcountry__v/VENZ000004SONF5", "ES")</f>
        <v>ES</v>
      </c>
      <c r="C7668" s="8" t="s">
        <v>39</v>
      </c>
      <c r="D7668" s="9" t="str">
        <f>HYPERLINK("https://otsuka-europe-crm.veevavault.com/ui/#object/approved_document__v/V5OZ025E82U16X1", "LUP - Poster Deep Response - nefro")</f>
        <v>LUP - Poster Deep Response - nefro</v>
      </c>
      <c r="E7668" s="10" t="str">
        <f>HYPERLINK("https://otsuka-europe-crm.veevavault.com/ui/#object/sent_email__v/VBL00000003C191", "SE-001445240")</f>
        <v>SE-001445240</v>
      </c>
      <c r="F7668" s="11"/>
      <c r="G7668" s="12">
        <v>0</v>
      </c>
      <c r="H7668" s="12">
        <v>0</v>
      </c>
      <c r="I7668" s="12">
        <v>0</v>
      </c>
      <c r="J7668" s="11"/>
      <c r="K7668" s="12">
        <v>0</v>
      </c>
      <c r="L7668" s="10" t="str">
        <f>HYPERLINK("https://otsuka-europe-crm.veevavault.com/ui/#object/approved_document__v/V5OZ025E82U16X1", "LUP - Poster Deep Response - nefro")</f>
        <v>LUP - Poster Deep Response - nefro</v>
      </c>
      <c r="M7668" s="10" t="str">
        <f>HYPERLINK("mailto:cmaroto@crm.otsuka-europe.com", "cmaroto@crm.otsuka-europe.com")</f>
        <v>cmaroto@crm.otsuka-europe.com</v>
      </c>
      <c r="N7668" s="13">
        <v>46231.412210648145</v>
      </c>
      <c r="O7668" s="14" t="str">
        <f>HYPERLINK("https://otsuka-europe-crm.veevavault.com/ui/#object/email_activity__v/V8C00000004E432", "EN-002109207")</f>
        <v>EN-002109207</v>
      </c>
    </row>
    <row r="7669" spans="1:15" ht="32" x14ac:dyDescent="0.2">
      <c r="A7669" s="7" t="str">
        <f>HYPERLINK("https://otsuka-europe-crm.veevavault.com/ui/#object/account__v/V4T00000001U111", "PATRICIA TORRES MARTINEZ")</f>
        <v>PATRICIA TORRES MARTINEZ</v>
      </c>
      <c r="B7669" s="7" t="str">
        <f>HYPERLINK("https://otsuka-europe-crm.veevavault.com/ui/#object/vcountry__v/VENZ000004SONF5", "ES")</f>
        <v>ES</v>
      </c>
      <c r="C7669" s="8" t="s">
        <v>39</v>
      </c>
      <c r="D7669" s="9" t="str">
        <f>HYPERLINK("https://otsuka-europe-crm.veevavault.com/ui/#object/approved_document__v/V5OZ025E82U16X1", "LUP - Poster Deep Response - nefro")</f>
        <v>LUP - Poster Deep Response - nefro</v>
      </c>
      <c r="E7669" s="10" t="str">
        <f>HYPERLINK("https://otsuka-europe-crm.veevavault.com/ui/#object/sent_email__v/VBL00000003C192", "SE-001445241")</f>
        <v>SE-001445241</v>
      </c>
      <c r="F7669" s="11"/>
      <c r="G7669" s="12">
        <v>0</v>
      </c>
      <c r="H7669" s="12">
        <v>0</v>
      </c>
      <c r="I7669" s="12">
        <v>0</v>
      </c>
      <c r="J7669" s="11"/>
      <c r="K7669" s="12">
        <v>0</v>
      </c>
      <c r="L7669" s="10" t="str">
        <f>HYPERLINK("https://otsuka-europe-crm.veevavault.com/ui/#object/approved_document__v/V5OZ025E82U16X1", "LUP - Poster Deep Response - nefro")</f>
        <v>LUP - Poster Deep Response - nefro</v>
      </c>
      <c r="M7669" s="10" t="str">
        <f>HYPERLINK("mailto:cmaroto@crm.otsuka-europe.com", "cmaroto@crm.otsuka-europe.com")</f>
        <v>cmaroto@crm.otsuka-europe.com</v>
      </c>
      <c r="N7669" s="13">
        <v>46231.412210648145</v>
      </c>
      <c r="O7669" s="14" t="str">
        <f>HYPERLINK("https://otsuka-europe-crm.veevavault.com/ui/#object/email_activity__v/V8C00000004E433", "EN-002109208")</f>
        <v>EN-002109208</v>
      </c>
    </row>
    <row r="7670" spans="1:15" ht="16" x14ac:dyDescent="0.2">
      <c r="A7670" s="18" t="str">
        <f>HYPERLINK("https://otsuka-europe-crm.veevavault.com/ui/#object/account__v/V4TZ06G6O71TA4R", "RAQUEL DE GRACIA NUÑEZ")</f>
        <v>RAQUEL DE GRACIA NUÑEZ</v>
      </c>
      <c r="B7670" s="18" t="str">
        <f>HYPERLINK("https://otsuka-europe-crm.veevavault.com/ui/#object/vcountry__v/VENZ000004SONF5", "ES")</f>
        <v>ES</v>
      </c>
      <c r="C7670" s="20" t="s">
        <v>39</v>
      </c>
      <c r="D7670" s="21" t="str">
        <f>HYPERLINK("https://otsuka-europe-crm.veevavault.com/ui/#object/approved_document__v/V5OZ025E82U16X1", "LUP - Poster Deep Response - nefro")</f>
        <v>LUP - Poster Deep Response - nefro</v>
      </c>
      <c r="E7670" s="22" t="str">
        <f>HYPERLINK("https://otsuka-europe-crm.veevavault.com/ui/#object/sent_email__v/VBL00000003C193", "SE-001445242")</f>
        <v>SE-001445242</v>
      </c>
      <c r="F7670" s="25">
        <v>46231.466435185182</v>
      </c>
      <c r="G7670" s="24">
        <v>1</v>
      </c>
      <c r="H7670" s="24">
        <v>1</v>
      </c>
      <c r="I7670" s="24">
        <v>0</v>
      </c>
      <c r="J7670" s="23"/>
      <c r="K7670" s="24">
        <v>0</v>
      </c>
      <c r="L7670" s="22" t="str">
        <f>HYPERLINK("https://otsuka-europe-crm.veevavault.com/ui/#object/approved_document__v/V5OZ025E82U16X1", "LUP - Poster Deep Response - nefro")</f>
        <v>LUP - Poster Deep Response - nefro</v>
      </c>
      <c r="M7670" s="22" t="str">
        <f>HYPERLINK("mailto:cmaroto@crm.otsuka-europe.com", "cmaroto@crm.otsuka-europe.com")</f>
        <v>cmaroto@crm.otsuka-europe.com</v>
      </c>
      <c r="N7670" s="25">
        <v>46231.412210648145</v>
      </c>
      <c r="O7670" s="14" t="str">
        <f>HYPERLINK("https://otsuka-europe-crm.veevavault.com/ui/#object/email_activity__v/V8C00000004E464", "EN-002109268")</f>
        <v>EN-002109268</v>
      </c>
    </row>
    <row r="7671" spans="1:15" ht="16" x14ac:dyDescent="0.2">
      <c r="A7671" s="19"/>
      <c r="B7671" s="19"/>
      <c r="C7671" s="19"/>
      <c r="D7671" s="19"/>
      <c r="E7671" s="19"/>
      <c r="F7671" s="19"/>
      <c r="G7671" s="19"/>
      <c r="H7671" s="19"/>
      <c r="I7671" s="19"/>
      <c r="J7671" s="19"/>
      <c r="K7671" s="19"/>
      <c r="L7671" s="19"/>
      <c r="M7671" s="19"/>
      <c r="N7671" s="19"/>
      <c r="O7671" s="14" t="str">
        <f>HYPERLINK("https://otsuka-europe-crm.veevavault.com/ui/#object/email_activity__v/V8C00000004E521", "EN-002109384")</f>
        <v>EN-002109384</v>
      </c>
    </row>
    <row r="7672" spans="1:15" ht="16" x14ac:dyDescent="0.2">
      <c r="A7672" s="18" t="str">
        <f>HYPERLINK("https://otsuka-europe-crm.veevavault.com/ui/#object/account__v/V4TZ06G6O71T8FX", "LAURA MARIA CUETO BRAVO")</f>
        <v>LAURA MARIA CUETO BRAVO</v>
      </c>
      <c r="B7672" s="18" t="str">
        <f>HYPERLINK("https://otsuka-europe-crm.veevavault.com/ui/#object/vcountry__v/VENZ000004SONF5", "ES")</f>
        <v>ES</v>
      </c>
      <c r="C7672" s="20" t="s">
        <v>39</v>
      </c>
      <c r="D7672" s="21" t="str">
        <f>HYPERLINK("https://otsuka-europe-crm.veevavault.com/ui/#object/approved_document__v/V5OZ025E82U16X1", "LUP - Poster Deep Response - nefro")</f>
        <v>LUP - Poster Deep Response - nefro</v>
      </c>
      <c r="E7672" s="22" t="str">
        <f>HYPERLINK("https://otsuka-europe-crm.veevavault.com/ui/#object/sent_email__v/VBL00000003C194", "SE-001445243")</f>
        <v>SE-001445243</v>
      </c>
      <c r="F7672" s="25">
        <v>46231.41233796296</v>
      </c>
      <c r="G7672" s="24">
        <v>1</v>
      </c>
      <c r="H7672" s="24">
        <v>1</v>
      </c>
      <c r="I7672" s="24">
        <v>0</v>
      </c>
      <c r="J7672" s="23"/>
      <c r="K7672" s="24">
        <v>0</v>
      </c>
      <c r="L7672" s="22" t="str">
        <f>HYPERLINK("https://otsuka-europe-crm.veevavault.com/ui/#object/approved_document__v/V5OZ025E82U16X1", "LUP - Poster Deep Response - nefro")</f>
        <v>LUP - Poster Deep Response - nefro</v>
      </c>
      <c r="M7672" s="22" t="str">
        <f>HYPERLINK("mailto:cmaroto@crm.otsuka-europe.com", "cmaroto@crm.otsuka-europe.com")</f>
        <v>cmaroto@crm.otsuka-europe.com</v>
      </c>
      <c r="N7672" s="25">
        <v>46231.412210648145</v>
      </c>
      <c r="O7672" s="14" t="str">
        <f>HYPERLINK("https://otsuka-europe-crm.veevavault.com/ui/#object/email_activity__v/V8C00000004D590", "EN-002109273")</f>
        <v>EN-002109273</v>
      </c>
    </row>
    <row r="7673" spans="1:15" ht="16" x14ac:dyDescent="0.2">
      <c r="A7673" s="19"/>
      <c r="B7673" s="19"/>
      <c r="C7673" s="19"/>
      <c r="D7673" s="19"/>
      <c r="E7673" s="19"/>
      <c r="F7673" s="19"/>
      <c r="G7673" s="19"/>
      <c r="H7673" s="19"/>
      <c r="I7673" s="19"/>
      <c r="J7673" s="19"/>
      <c r="K7673" s="19"/>
      <c r="L7673" s="19"/>
      <c r="M7673" s="19"/>
      <c r="N7673" s="19"/>
      <c r="O7673" s="14" t="str">
        <f>HYPERLINK("https://otsuka-europe-crm.veevavault.com/ui/#object/email_activity__v/V8C00000004E450", "EN-002109249")</f>
        <v>EN-002109249</v>
      </c>
    </row>
    <row r="7674" spans="1:15" ht="32" x14ac:dyDescent="0.2">
      <c r="A7674" s="7" t="str">
        <f>HYPERLINK("https://otsuka-europe-crm.veevavault.com/ui/#object/account__v/V4TZ06G6O71T7BJ", "EMILSI TRINIDAD PEREZ")</f>
        <v>EMILSI TRINIDAD PEREZ</v>
      </c>
      <c r="B7674" s="7" t="str">
        <f>HYPERLINK("https://otsuka-europe-crm.veevavault.com/ui/#object/vcountry__v/VENZ000004SONF5", "ES")</f>
        <v>ES</v>
      </c>
      <c r="C7674" s="8" t="s">
        <v>39</v>
      </c>
      <c r="D7674" s="9" t="str">
        <f>HYPERLINK("https://otsuka-europe-crm.veevavault.com/ui/#object/approved_document__v/V5OZ025E82U16X1", "LUP - Poster Deep Response - nefro")</f>
        <v>LUP - Poster Deep Response - nefro</v>
      </c>
      <c r="E7674" s="10" t="str">
        <f>HYPERLINK("https://otsuka-europe-crm.veevavault.com/ui/#object/sent_email__v/VBL00000003C195", "SE-001445244")</f>
        <v>SE-001445244</v>
      </c>
      <c r="F7674" s="11"/>
      <c r="G7674" s="12">
        <v>0</v>
      </c>
      <c r="H7674" s="12">
        <v>0</v>
      </c>
      <c r="I7674" s="12">
        <v>0</v>
      </c>
      <c r="J7674" s="11"/>
      <c r="K7674" s="12">
        <v>0</v>
      </c>
      <c r="L7674" s="10" t="str">
        <f>HYPERLINK("https://otsuka-europe-crm.veevavault.com/ui/#object/approved_document__v/V5OZ025E82U16X1", "LUP - Poster Deep Response - nefro")</f>
        <v>LUP - Poster Deep Response - nefro</v>
      </c>
      <c r="M7674" s="10" t="str">
        <f>HYPERLINK("mailto:cmaroto@crm.otsuka-europe.com", "cmaroto@crm.otsuka-europe.com")</f>
        <v>cmaroto@crm.otsuka-europe.com</v>
      </c>
      <c r="N7674" s="13">
        <v>46231.412210648145</v>
      </c>
      <c r="O7674" s="14" t="str">
        <f>HYPERLINK("https://otsuka-europe-crm.veevavault.com/ui/#object/email_activity__v/V8C00000004E444", "EN-002109237")</f>
        <v>EN-002109237</v>
      </c>
    </row>
    <row r="7675" spans="1:15" ht="32" x14ac:dyDescent="0.2">
      <c r="A7675" s="7" t="str">
        <f>HYPERLINK("https://otsuka-europe-crm.veevavault.com/ui/#object/account__v/V4TZ04ASG703S9Z", "AGUSTIN ORTEGA CERRATO")</f>
        <v>AGUSTIN ORTEGA CERRATO</v>
      </c>
      <c r="B7675" s="7" t="str">
        <f>HYPERLINK("https://otsuka-europe-crm.veevavault.com/ui/#object/vcountry__v/VENZ000004SONF5", "ES")</f>
        <v>ES</v>
      </c>
      <c r="C7675" s="8" t="s">
        <v>39</v>
      </c>
      <c r="D7675" s="9" t="str">
        <f>HYPERLINK("https://otsuka-europe-crm.veevavault.com/ui/#object/approved_document__v/V5OZ025E82U16X1", "LUP - Poster Deep Response - nefro")</f>
        <v>LUP - Poster Deep Response - nefro</v>
      </c>
      <c r="E7675" s="10" t="str">
        <f>HYPERLINK("https://otsuka-europe-crm.veevavault.com/ui/#object/sent_email__v/VBL00000003C196", "SE-001445245")</f>
        <v>SE-001445245</v>
      </c>
      <c r="F7675" s="11"/>
      <c r="G7675" s="12">
        <v>0</v>
      </c>
      <c r="H7675" s="12">
        <v>0</v>
      </c>
      <c r="I7675" s="12">
        <v>0</v>
      </c>
      <c r="J7675" s="11"/>
      <c r="K7675" s="12">
        <v>0</v>
      </c>
      <c r="L7675" s="10" t="str">
        <f>HYPERLINK("https://otsuka-europe-crm.veevavault.com/ui/#object/approved_document__v/V5OZ025E82U16X1", "LUP - Poster Deep Response - nefro")</f>
        <v>LUP - Poster Deep Response - nefro</v>
      </c>
      <c r="M7675" s="10" t="str">
        <f>HYPERLINK("mailto:cmaroto@crm.otsuka-europe.com", "cmaroto@crm.otsuka-europe.com")</f>
        <v>cmaroto@crm.otsuka-europe.com</v>
      </c>
      <c r="N7675" s="13">
        <v>46231.412210648145</v>
      </c>
      <c r="O7675" s="14" t="str">
        <f>HYPERLINK("https://otsuka-europe-crm.veevavault.com/ui/#object/email_activity__v/V8C00000004E446", "EN-002109245")</f>
        <v>EN-002109245</v>
      </c>
    </row>
    <row r="7676" spans="1:15" ht="16" x14ac:dyDescent="0.2">
      <c r="A7676" s="18" t="str">
        <f>HYPERLINK("https://otsuka-europe-crm.veevavault.com/ui/#object/account__v/V4TZ06G6O71URT9", "BEATRIZ SUALDEA PEÑA")</f>
        <v>BEATRIZ SUALDEA PEÑA</v>
      </c>
      <c r="B7676" s="18" t="str">
        <f>HYPERLINK("https://otsuka-europe-crm.veevavault.com/ui/#object/vcountry__v/VENZ000004SONF5", "ES")</f>
        <v>ES</v>
      </c>
      <c r="C7676" s="20" t="s">
        <v>39</v>
      </c>
      <c r="D7676" s="21" t="str">
        <f>HYPERLINK("https://otsuka-europe-crm.veevavault.com/ui/#object/approved_document__v/V5OZ025E82U16X1", "LUP - Poster Deep Response - nefro")</f>
        <v>LUP - Poster Deep Response - nefro</v>
      </c>
      <c r="E7676" s="22" t="str">
        <f>HYPERLINK("https://otsuka-europe-crm.veevavault.com/ui/#object/sent_email__v/VBL00000003C197", "SE-001445246")</f>
        <v>SE-001445246</v>
      </c>
      <c r="F7676" s="25">
        <v>46231.790567129632</v>
      </c>
      <c r="G7676" s="24">
        <v>1</v>
      </c>
      <c r="H7676" s="24">
        <v>6</v>
      </c>
      <c r="I7676" s="24">
        <v>0</v>
      </c>
      <c r="J7676" s="23"/>
      <c r="K7676" s="24">
        <v>0</v>
      </c>
      <c r="L7676" s="22" t="str">
        <f>HYPERLINK("https://otsuka-europe-crm.veevavault.com/ui/#object/approved_document__v/V5OZ025E82U16X1", "LUP - Poster Deep Response - nefro")</f>
        <v>LUP - Poster Deep Response - nefro</v>
      </c>
      <c r="M7676" s="22" t="str">
        <f>HYPERLINK("mailto:cmaroto@crm.otsuka-europe.com", "cmaroto@crm.otsuka-europe.com")</f>
        <v>cmaroto@crm.otsuka-europe.com</v>
      </c>
      <c r="N7676" s="25">
        <v>46231.412210648145</v>
      </c>
      <c r="O7676" s="14" t="str">
        <f>HYPERLINK("https://otsuka-europe-crm.veevavault.com/ui/#object/email_activity__v/V8C00000004D578", "EN-002109241")</f>
        <v>EN-002109241</v>
      </c>
    </row>
    <row r="7677" spans="1:15" ht="16" x14ac:dyDescent="0.2">
      <c r="A7677" s="26"/>
      <c r="B7677" s="26"/>
      <c r="C7677" s="26"/>
      <c r="D7677" s="26"/>
      <c r="E7677" s="26"/>
      <c r="F7677" s="26"/>
      <c r="G7677" s="26"/>
      <c r="H7677" s="26"/>
      <c r="I7677" s="26"/>
      <c r="J7677" s="26"/>
      <c r="K7677" s="26"/>
      <c r="L7677" s="26"/>
      <c r="M7677" s="26"/>
      <c r="N7677" s="26"/>
      <c r="O7677" s="14" t="str">
        <f>HYPERLINK("https://otsuka-europe-crm.veevavault.com/ui/#object/email_activity__v/V8C00000004D669", "EN-002109438")</f>
        <v>EN-002109438</v>
      </c>
    </row>
    <row r="7678" spans="1:15" ht="16" x14ac:dyDescent="0.2">
      <c r="A7678" s="26"/>
      <c r="B7678" s="26"/>
      <c r="C7678" s="26"/>
      <c r="D7678" s="26"/>
      <c r="E7678" s="26"/>
      <c r="F7678" s="26"/>
      <c r="G7678" s="26"/>
      <c r="H7678" s="26"/>
      <c r="I7678" s="26"/>
      <c r="J7678" s="26"/>
      <c r="K7678" s="26"/>
      <c r="L7678" s="26"/>
      <c r="M7678" s="26"/>
      <c r="N7678" s="26"/>
      <c r="O7678" s="14" t="str">
        <f>HYPERLINK("https://otsuka-europe-crm.veevavault.com/ui/#object/email_activity__v/V8C00000004D696", "EN-002109494")</f>
        <v>EN-002109494</v>
      </c>
    </row>
    <row r="7679" spans="1:15" ht="16" x14ac:dyDescent="0.2">
      <c r="A7679" s="26"/>
      <c r="B7679" s="26"/>
      <c r="C7679" s="26"/>
      <c r="D7679" s="26"/>
      <c r="E7679" s="26"/>
      <c r="F7679" s="26"/>
      <c r="G7679" s="26"/>
      <c r="H7679" s="26"/>
      <c r="I7679" s="26"/>
      <c r="J7679" s="26"/>
      <c r="K7679" s="26"/>
      <c r="L7679" s="26"/>
      <c r="M7679" s="26"/>
      <c r="N7679" s="26"/>
      <c r="O7679" s="14" t="str">
        <f>HYPERLINK("https://otsuka-europe-crm.veevavault.com/ui/#object/email_activity__v/V8C00000004D697", "EN-002109495")</f>
        <v>EN-002109495</v>
      </c>
    </row>
    <row r="7680" spans="1:15" ht="16" x14ac:dyDescent="0.2">
      <c r="A7680" s="26"/>
      <c r="B7680" s="26"/>
      <c r="C7680" s="26"/>
      <c r="D7680" s="26"/>
      <c r="E7680" s="26"/>
      <c r="F7680" s="26"/>
      <c r="G7680" s="26"/>
      <c r="H7680" s="26"/>
      <c r="I7680" s="26"/>
      <c r="J7680" s="26"/>
      <c r="K7680" s="26"/>
      <c r="L7680" s="26"/>
      <c r="M7680" s="26"/>
      <c r="N7680" s="26"/>
      <c r="O7680" s="14" t="str">
        <f>HYPERLINK("https://otsuka-europe-crm.veevavault.com/ui/#object/email_activity__v/V8C00000004D698", "EN-002109496")</f>
        <v>EN-002109496</v>
      </c>
    </row>
    <row r="7681" spans="1:15" ht="16" x14ac:dyDescent="0.2">
      <c r="A7681" s="26"/>
      <c r="B7681" s="26"/>
      <c r="C7681" s="26"/>
      <c r="D7681" s="26"/>
      <c r="E7681" s="26"/>
      <c r="F7681" s="26"/>
      <c r="G7681" s="26"/>
      <c r="H7681" s="26"/>
      <c r="I7681" s="26"/>
      <c r="J7681" s="26"/>
      <c r="K7681" s="26"/>
      <c r="L7681" s="26"/>
      <c r="M7681" s="26"/>
      <c r="N7681" s="26"/>
      <c r="O7681" s="14" t="str">
        <f>HYPERLINK("https://otsuka-europe-crm.veevavault.com/ui/#object/email_activity__v/V8C00000004D699", "EN-002109497")</f>
        <v>EN-002109497</v>
      </c>
    </row>
    <row r="7682" spans="1:15" ht="16" x14ac:dyDescent="0.2">
      <c r="A7682" s="19"/>
      <c r="B7682" s="19"/>
      <c r="C7682" s="19"/>
      <c r="D7682" s="19"/>
      <c r="E7682" s="19"/>
      <c r="F7682" s="19"/>
      <c r="G7682" s="19"/>
      <c r="H7682" s="19"/>
      <c r="I7682" s="19"/>
      <c r="J7682" s="19"/>
      <c r="K7682" s="19"/>
      <c r="L7682" s="19"/>
      <c r="M7682" s="19"/>
      <c r="N7682" s="19"/>
      <c r="O7682" s="14" t="str">
        <f>HYPERLINK("https://otsuka-europe-crm.veevavault.com/ui/#object/email_activity__v/V8C00000004E497", "EN-002109332")</f>
        <v>EN-002109332</v>
      </c>
    </row>
    <row r="7683" spans="1:15" ht="16" x14ac:dyDescent="0.2">
      <c r="A7683" s="18" t="str">
        <f>HYPERLINK("https://otsuka-europe-crm.veevavault.com/ui/#object/account__v/V4TZ025E85UHUA1", "LUCIA CRIADO BELLIDO")</f>
        <v>LUCIA CRIADO BELLIDO</v>
      </c>
      <c r="B7683" s="18" t="str">
        <f>HYPERLINK("https://otsuka-europe-crm.veevavault.com/ui/#object/vcountry__v/VENZ000004SONF5", "ES")</f>
        <v>ES</v>
      </c>
      <c r="C7683" s="20" t="s">
        <v>39</v>
      </c>
      <c r="D7683" s="21" t="str">
        <f>HYPERLINK("https://otsuka-europe-crm.veevavault.com/ui/#object/approved_document__v/V5OZ025E82U16X1", "LUP - Poster Deep Response - nefro")</f>
        <v>LUP - Poster Deep Response - nefro</v>
      </c>
      <c r="E7683" s="22" t="str">
        <f>HYPERLINK("https://otsuka-europe-crm.veevavault.com/ui/#object/sent_email__v/VBL00000003C198", "SE-001445247")</f>
        <v>SE-001445247</v>
      </c>
      <c r="F7683" s="25">
        <v>46232.387187499997</v>
      </c>
      <c r="G7683" s="24">
        <v>1</v>
      </c>
      <c r="H7683" s="24">
        <v>4</v>
      </c>
      <c r="I7683" s="24">
        <v>0</v>
      </c>
      <c r="J7683" s="23"/>
      <c r="K7683" s="24">
        <v>0</v>
      </c>
      <c r="L7683" s="22" t="str">
        <f>HYPERLINK("https://otsuka-europe-crm.veevavault.com/ui/#object/approved_document__v/V5OZ025E82U16X1", "LUP - Poster Deep Response - nefro")</f>
        <v>LUP - Poster Deep Response - nefro</v>
      </c>
      <c r="M7683" s="22" t="str">
        <f>HYPERLINK("mailto:cmaroto@crm.otsuka-europe.com", "cmaroto@crm.otsuka-europe.com")</f>
        <v>cmaroto@crm.otsuka-europe.com</v>
      </c>
      <c r="N7683" s="25">
        <v>46231.412210648145</v>
      </c>
      <c r="O7683" s="14" t="str">
        <f>HYPERLINK("https://otsuka-europe-crm.veevavault.com/ui/#object/email_activity__v/V8C00000004D574", "EN-002109232")</f>
        <v>EN-002109232</v>
      </c>
    </row>
    <row r="7684" spans="1:15" ht="16" x14ac:dyDescent="0.2">
      <c r="A7684" s="26"/>
      <c r="B7684" s="26"/>
      <c r="C7684" s="26"/>
      <c r="D7684" s="26"/>
      <c r="E7684" s="26"/>
      <c r="F7684" s="26"/>
      <c r="G7684" s="26"/>
      <c r="H7684" s="26"/>
      <c r="I7684" s="26"/>
      <c r="J7684" s="26"/>
      <c r="K7684" s="26"/>
      <c r="L7684" s="26"/>
      <c r="M7684" s="26"/>
      <c r="N7684" s="26"/>
      <c r="O7684" s="14" t="str">
        <f>HYPERLINK("https://otsuka-europe-crm.veevavault.com/ui/#object/email_activity__v/V8C00000004D682", "EN-002109464")</f>
        <v>EN-002109464</v>
      </c>
    </row>
    <row r="7685" spans="1:15" ht="16" x14ac:dyDescent="0.2">
      <c r="A7685" s="26"/>
      <c r="B7685" s="26"/>
      <c r="C7685" s="26"/>
      <c r="D7685" s="26"/>
      <c r="E7685" s="26"/>
      <c r="F7685" s="26"/>
      <c r="G7685" s="26"/>
      <c r="H7685" s="26"/>
      <c r="I7685" s="26"/>
      <c r="J7685" s="26"/>
      <c r="K7685" s="26"/>
      <c r="L7685" s="26"/>
      <c r="M7685" s="26"/>
      <c r="N7685" s="26"/>
      <c r="O7685" s="14" t="str">
        <f>HYPERLINK("https://otsuka-europe-crm.veevavault.com/ui/#object/email_activity__v/V8C00000004D713", "EN-002109527")</f>
        <v>EN-002109527</v>
      </c>
    </row>
    <row r="7686" spans="1:15" ht="16" x14ac:dyDescent="0.2">
      <c r="A7686" s="26"/>
      <c r="B7686" s="26"/>
      <c r="C7686" s="26"/>
      <c r="D7686" s="26"/>
      <c r="E7686" s="26"/>
      <c r="F7686" s="26"/>
      <c r="G7686" s="26"/>
      <c r="H7686" s="26"/>
      <c r="I7686" s="26"/>
      <c r="J7686" s="26"/>
      <c r="K7686" s="26"/>
      <c r="L7686" s="26"/>
      <c r="M7686" s="26"/>
      <c r="N7686" s="26"/>
      <c r="O7686" s="14" t="str">
        <f>HYPERLINK("https://otsuka-europe-crm.veevavault.com/ui/#object/email_activity__v/V8C00000004D714", "EN-002109530")</f>
        <v>EN-002109530</v>
      </c>
    </row>
    <row r="7687" spans="1:15" ht="16" x14ac:dyDescent="0.2">
      <c r="A7687" s="19"/>
      <c r="B7687" s="19"/>
      <c r="C7687" s="19"/>
      <c r="D7687" s="19"/>
      <c r="E7687" s="19"/>
      <c r="F7687" s="19"/>
      <c r="G7687" s="19"/>
      <c r="H7687" s="19"/>
      <c r="I7687" s="19"/>
      <c r="J7687" s="19"/>
      <c r="K7687" s="19"/>
      <c r="L7687" s="19"/>
      <c r="M7687" s="19"/>
      <c r="N7687" s="19"/>
      <c r="O7687" s="14" t="str">
        <f>HYPERLINK("https://otsuka-europe-crm.veevavault.com/ui/#object/email_activity__v/V8C00000004D717", "EN-002109536")</f>
        <v>EN-002109536</v>
      </c>
    </row>
    <row r="7688" spans="1:15" ht="16" x14ac:dyDescent="0.2">
      <c r="A7688" s="18" t="str">
        <f>HYPERLINK("https://otsuka-europe-crm.veevavault.com/ui/#object/account__v/V4TZ06G6O71TC7U", "MARIA DOLORES SANCHEZ DE LA NIETA GARCIA")</f>
        <v>MARIA DOLORES SANCHEZ DE LA NIETA GARCIA</v>
      </c>
      <c r="B7688" s="18" t="str">
        <f>HYPERLINK("https://otsuka-europe-crm.veevavault.com/ui/#object/vcountry__v/VENZ000004SONF5", "ES")</f>
        <v>ES</v>
      </c>
      <c r="C7688" s="20" t="s">
        <v>39</v>
      </c>
      <c r="D7688" s="21" t="str">
        <f>HYPERLINK("https://otsuka-europe-crm.veevavault.com/ui/#object/approved_document__v/V5OZ025E82U16X1", "LUP - Poster Deep Response - nefro")</f>
        <v>LUP - Poster Deep Response - nefro</v>
      </c>
      <c r="E7688" s="22" t="str">
        <f>HYPERLINK("https://otsuka-europe-crm.veevavault.com/ui/#object/sent_email__v/VBL00000003C199", "SE-001445248")</f>
        <v>SE-001445248</v>
      </c>
      <c r="F7688" s="23"/>
      <c r="G7688" s="24">
        <v>0</v>
      </c>
      <c r="H7688" s="24">
        <v>0</v>
      </c>
      <c r="I7688" s="24">
        <v>0</v>
      </c>
      <c r="J7688" s="23"/>
      <c r="K7688" s="24">
        <v>0</v>
      </c>
      <c r="L7688" s="22" t="str">
        <f>HYPERLINK("https://otsuka-europe-crm.veevavault.com/ui/#object/approved_document__v/V5OZ025E82U16X1", "LUP - Poster Deep Response - nefro")</f>
        <v>LUP - Poster Deep Response - nefro</v>
      </c>
      <c r="M7688" s="22" t="str">
        <f>HYPERLINK("mailto:cmaroto@crm.otsuka-europe.com", "cmaroto@crm.otsuka-europe.com")</f>
        <v>cmaroto@crm.otsuka-europe.com</v>
      </c>
      <c r="N7688" s="25">
        <v>46231.412210648145</v>
      </c>
      <c r="O7688" s="14" t="str">
        <f>HYPERLINK("https://otsuka-europe-crm.veevavault.com/ui/#object/email_activity__v/V8C00000004D681", "EN-002109463")</f>
        <v>EN-002109463</v>
      </c>
    </row>
    <row r="7689" spans="1:15" ht="16" x14ac:dyDescent="0.2">
      <c r="A7689" s="19"/>
      <c r="B7689" s="19"/>
      <c r="C7689" s="19"/>
      <c r="D7689" s="19"/>
      <c r="E7689" s="19"/>
      <c r="F7689" s="19"/>
      <c r="G7689" s="19"/>
      <c r="H7689" s="19"/>
      <c r="I7689" s="19"/>
      <c r="J7689" s="19"/>
      <c r="K7689" s="19"/>
      <c r="L7689" s="19"/>
      <c r="M7689" s="19"/>
      <c r="N7689" s="19"/>
      <c r="O7689" s="14" t="str">
        <f>HYPERLINK("https://otsuka-europe-crm.veevavault.com/ui/#object/email_activity__v/V8C00000004E442", "EN-002109235")</f>
        <v>EN-002109235</v>
      </c>
    </row>
    <row r="7690" spans="1:15" ht="32" x14ac:dyDescent="0.2">
      <c r="A7690" s="7" t="str">
        <f>HYPERLINK("https://otsuka-europe-crm.veevavault.com/ui/#object/account__v/V4TZ06G6O71TAA6", "MARIA LUISA ILLESCAS FERNANDEZ-BERMEJO")</f>
        <v>MARIA LUISA ILLESCAS FERNANDEZ-BERMEJO</v>
      </c>
      <c r="B7690" s="7" t="str">
        <f>HYPERLINK("https://otsuka-europe-crm.veevavault.com/ui/#object/vcountry__v/VENZ000004SONF5", "ES")</f>
        <v>ES</v>
      </c>
      <c r="C7690" s="8" t="s">
        <v>39</v>
      </c>
      <c r="D7690" s="9" t="str">
        <f>HYPERLINK("https://otsuka-europe-crm.veevavault.com/ui/#object/approved_document__v/V5OZ025E82U16X1", "LUP - Poster Deep Response - nefro")</f>
        <v>LUP - Poster Deep Response - nefro</v>
      </c>
      <c r="E7690" s="10" t="str">
        <f>HYPERLINK("https://otsuka-europe-crm.veevavault.com/ui/#object/sent_email__v/VBL00000003C200", "SE-001445249")</f>
        <v>SE-001445249</v>
      </c>
      <c r="F7690" s="11"/>
      <c r="G7690" s="12">
        <v>0</v>
      </c>
      <c r="H7690" s="12">
        <v>0</v>
      </c>
      <c r="I7690" s="12">
        <v>0</v>
      </c>
      <c r="J7690" s="11"/>
      <c r="K7690" s="12">
        <v>0</v>
      </c>
      <c r="L7690" s="10" t="str">
        <f>HYPERLINK("https://otsuka-europe-crm.veevavault.com/ui/#object/approved_document__v/V5OZ025E82U16X1", "LUP - Poster Deep Response - nefro")</f>
        <v>LUP - Poster Deep Response - nefro</v>
      </c>
      <c r="M7690" s="10" t="str">
        <f>HYPERLINK("mailto:cmaroto@crm.otsuka-europe.com", "cmaroto@crm.otsuka-europe.com")</f>
        <v>cmaroto@crm.otsuka-europe.com</v>
      </c>
      <c r="N7690" s="13">
        <v>46231.412210648145</v>
      </c>
      <c r="O7690" s="14" t="str">
        <f>HYPERLINK("https://otsuka-europe-crm.veevavault.com/ui/#object/email_activity__v/V8C00000004D581", "EN-002109244")</f>
        <v>EN-002109244</v>
      </c>
    </row>
    <row r="7691" spans="1:15" ht="16" x14ac:dyDescent="0.2">
      <c r="A7691" s="18" t="str">
        <f>HYPERLINK("https://otsuka-europe-crm.veevavault.com/ui/#object/account__v/V4TZ06G6O71T8P5", "ELENA BURGOS GARCIA")</f>
        <v>ELENA BURGOS GARCIA</v>
      </c>
      <c r="B7691" s="18" t="str">
        <f>HYPERLINK("https://otsuka-europe-crm.veevavault.com/ui/#object/vcountry__v/VENZ000004SONF5", "ES")</f>
        <v>ES</v>
      </c>
      <c r="C7691" s="20" t="s">
        <v>39</v>
      </c>
      <c r="D7691" s="21" t="str">
        <f>HYPERLINK("https://otsuka-europe-crm.veevavault.com/ui/#object/approved_document__v/V5OZ025E82U16X1", "LUP - Poster Deep Response - nefro")</f>
        <v>LUP - Poster Deep Response - nefro</v>
      </c>
      <c r="E7691" s="22" t="str">
        <f>HYPERLINK("https://otsuka-europe-crm.veevavault.com/ui/#object/sent_email__v/VBL00000003C201", "SE-001445250")</f>
        <v>SE-001445250</v>
      </c>
      <c r="F7691" s="25">
        <v>46231.415358796294</v>
      </c>
      <c r="G7691" s="24">
        <v>1</v>
      </c>
      <c r="H7691" s="24">
        <v>1</v>
      </c>
      <c r="I7691" s="24">
        <v>0</v>
      </c>
      <c r="J7691" s="23"/>
      <c r="K7691" s="24">
        <v>0</v>
      </c>
      <c r="L7691" s="22" t="str">
        <f>HYPERLINK("https://otsuka-europe-crm.veevavault.com/ui/#object/approved_document__v/V5OZ025E82U16X1", "LUP - Poster Deep Response - nefro")</f>
        <v>LUP - Poster Deep Response - nefro</v>
      </c>
      <c r="M7691" s="22" t="str">
        <f>HYPERLINK("mailto:cmaroto@crm.otsuka-europe.com", "cmaroto@crm.otsuka-europe.com")</f>
        <v>cmaroto@crm.otsuka-europe.com</v>
      </c>
      <c r="N7691" s="25">
        <v>46231.412210648145</v>
      </c>
      <c r="O7691" s="14" t="str">
        <f>HYPERLINK("https://otsuka-europe-crm.veevavault.com/ui/#object/email_activity__v/V8C00000004D564", "EN-002109222")</f>
        <v>EN-002109222</v>
      </c>
    </row>
    <row r="7692" spans="1:15" ht="16" x14ac:dyDescent="0.2">
      <c r="A7692" s="19"/>
      <c r="B7692" s="19"/>
      <c r="C7692" s="19"/>
      <c r="D7692" s="19"/>
      <c r="E7692" s="19"/>
      <c r="F7692" s="19"/>
      <c r="G7692" s="19"/>
      <c r="H7692" s="19"/>
      <c r="I7692" s="19"/>
      <c r="J7692" s="19"/>
      <c r="K7692" s="19"/>
      <c r="L7692" s="19"/>
      <c r="M7692" s="19"/>
      <c r="N7692" s="19"/>
      <c r="O7692" s="14" t="str">
        <f>HYPERLINK("https://otsuka-europe-crm.veevavault.com/ui/#object/email_activity__v/V8C00000004E503", "EN-002109340")</f>
        <v>EN-002109340</v>
      </c>
    </row>
    <row r="7693" spans="1:15" ht="16" x14ac:dyDescent="0.2">
      <c r="A7693" s="18" t="str">
        <f>HYPERLINK("https://otsuka-europe-crm.veevavault.com/ui/#object/account__v/V4TZ06G6O71TCML", "MARIA CARMEN VOZMEDIANO POYATOS")</f>
        <v>MARIA CARMEN VOZMEDIANO POYATOS</v>
      </c>
      <c r="B7693" s="18" t="str">
        <f>HYPERLINK("https://otsuka-europe-crm.veevavault.com/ui/#object/vcountry__v/VENZ000004SONF5", "ES")</f>
        <v>ES</v>
      </c>
      <c r="C7693" s="20" t="s">
        <v>39</v>
      </c>
      <c r="D7693" s="21" t="str">
        <f>HYPERLINK("https://otsuka-europe-crm.veevavault.com/ui/#object/approved_document__v/V5OZ025E82U16X1", "LUP - Poster Deep Response - nefro")</f>
        <v>LUP - Poster Deep Response - nefro</v>
      </c>
      <c r="E7693" s="22" t="str">
        <f>HYPERLINK("https://otsuka-europe-crm.veevavault.com/ui/#object/sent_email__v/VBL00000003C202", "SE-001445251")</f>
        <v>SE-001445251</v>
      </c>
      <c r="F7693" s="25">
        <v>46231.457708333335</v>
      </c>
      <c r="G7693" s="24">
        <v>1</v>
      </c>
      <c r="H7693" s="24">
        <v>1</v>
      </c>
      <c r="I7693" s="24">
        <v>0</v>
      </c>
      <c r="J7693" s="23"/>
      <c r="K7693" s="24">
        <v>0</v>
      </c>
      <c r="L7693" s="22" t="str">
        <f>HYPERLINK("https://otsuka-europe-crm.veevavault.com/ui/#object/approved_document__v/V5OZ025E82U16X1", "LUP - Poster Deep Response - nefro")</f>
        <v>LUP - Poster Deep Response - nefro</v>
      </c>
      <c r="M7693" s="22" t="str">
        <f>HYPERLINK("mailto:cmaroto@crm.otsuka-europe.com", "cmaroto@crm.otsuka-europe.com")</f>
        <v>cmaroto@crm.otsuka-europe.com</v>
      </c>
      <c r="N7693" s="25">
        <v>46231.412210648145</v>
      </c>
      <c r="O7693" s="14" t="str">
        <f>HYPERLINK("https://otsuka-europe-crm.veevavault.com/ui/#object/email_activity__v/V8C00000004E431", "EN-002109206")</f>
        <v>EN-002109206</v>
      </c>
    </row>
    <row r="7694" spans="1:15" ht="16" x14ac:dyDescent="0.2">
      <c r="A7694" s="19"/>
      <c r="B7694" s="19"/>
      <c r="C7694" s="19"/>
      <c r="D7694" s="19"/>
      <c r="E7694" s="19"/>
      <c r="F7694" s="19"/>
      <c r="G7694" s="19"/>
      <c r="H7694" s="19"/>
      <c r="I7694" s="19"/>
      <c r="J7694" s="19"/>
      <c r="K7694" s="19"/>
      <c r="L7694" s="19"/>
      <c r="M7694" s="19"/>
      <c r="N7694" s="19"/>
      <c r="O7694" s="14" t="str">
        <f>HYPERLINK("https://otsuka-europe-crm.veevavault.com/ui/#object/email_activity__v/V8C00000004E513", "EN-002109372")</f>
        <v>EN-002109372</v>
      </c>
    </row>
    <row r="7695" spans="1:15" ht="32" x14ac:dyDescent="0.2">
      <c r="A7695" s="7" t="str">
        <f>HYPERLINK("https://otsuka-europe-crm.veevavault.com/ui/#object/account__v/V4TZ06G6O71T8VG", "SOL MARIA CARRIAZO JULIO")</f>
        <v>SOL MARIA CARRIAZO JULIO</v>
      </c>
      <c r="B7695" s="7" t="str">
        <f>HYPERLINK("https://otsuka-europe-crm.veevavault.com/ui/#object/vcountry__v/VENZ000004SONF5", "ES")</f>
        <v>ES</v>
      </c>
      <c r="C7695" s="8" t="s">
        <v>39</v>
      </c>
      <c r="D7695" s="9" t="str">
        <f>HYPERLINK("https://otsuka-europe-crm.veevavault.com/ui/#object/approved_document__v/V5OZ025E82U16X1", "LUP - Poster Deep Response - nefro")</f>
        <v>LUP - Poster Deep Response - nefro</v>
      </c>
      <c r="E7695" s="10" t="str">
        <f>HYPERLINK("https://otsuka-europe-crm.veevavault.com/ui/#object/sent_email__v/VBL00000003C203", "SE-001445252")</f>
        <v>SE-001445252</v>
      </c>
      <c r="F7695" s="11"/>
      <c r="G7695" s="12">
        <v>0</v>
      </c>
      <c r="H7695" s="12">
        <v>0</v>
      </c>
      <c r="I7695" s="12">
        <v>0</v>
      </c>
      <c r="J7695" s="11"/>
      <c r="K7695" s="12">
        <v>0</v>
      </c>
      <c r="L7695" s="10" t="str">
        <f>HYPERLINK("https://otsuka-europe-crm.veevavault.com/ui/#object/approved_document__v/V5OZ025E82U16X1", "LUP - Poster Deep Response - nefro")</f>
        <v>LUP - Poster Deep Response - nefro</v>
      </c>
      <c r="M7695" s="10" t="str">
        <f>HYPERLINK("mailto:cmaroto@crm.otsuka-europe.com", "cmaroto@crm.otsuka-europe.com")</f>
        <v>cmaroto@crm.otsuka-europe.com</v>
      </c>
      <c r="N7695" s="13">
        <v>46231.412210648145</v>
      </c>
      <c r="O7695" s="14" t="str">
        <f>HYPERLINK("https://otsuka-europe-crm.veevavault.com/ui/#object/email_activity__v/V8C00000004D569", "EN-002109227")</f>
        <v>EN-002109227</v>
      </c>
    </row>
    <row r="7696" spans="1:15" ht="16" x14ac:dyDescent="0.2">
      <c r="A7696" s="18" t="str">
        <f>HYPERLINK("https://otsuka-europe-crm.veevavault.com/ui/#object/account__v/V4TZ04ASGB4SM6C", "MERCEDES MARTINEZ DIAZ")</f>
        <v>MERCEDES MARTINEZ DIAZ</v>
      </c>
      <c r="B7696" s="18" t="str">
        <f>HYPERLINK("https://otsuka-europe-crm.veevavault.com/ui/#object/vcountry__v/VENZ000004SONF5", "ES")</f>
        <v>ES</v>
      </c>
      <c r="C7696" s="20" t="s">
        <v>39</v>
      </c>
      <c r="D7696" s="21" t="str">
        <f>HYPERLINK("https://otsuka-europe-crm.veevavault.com/ui/#object/approved_document__v/V5OZ025E82U16X1", "LUP - Poster Deep Response - nefro")</f>
        <v>LUP - Poster Deep Response - nefro</v>
      </c>
      <c r="E7696" s="22" t="str">
        <f>HYPERLINK("https://otsuka-europe-crm.veevavault.com/ui/#object/sent_email__v/VBL00000003C204", "SE-001445253")</f>
        <v>SE-001445253</v>
      </c>
      <c r="F7696" s="25">
        <v>46231.533680555556</v>
      </c>
      <c r="G7696" s="24">
        <v>1</v>
      </c>
      <c r="H7696" s="24">
        <v>1</v>
      </c>
      <c r="I7696" s="24">
        <v>0</v>
      </c>
      <c r="J7696" s="23"/>
      <c r="K7696" s="24">
        <v>0</v>
      </c>
      <c r="L7696" s="22" t="str">
        <f>HYPERLINK("https://otsuka-europe-crm.veevavault.com/ui/#object/approved_document__v/V5OZ025E82U16X1", "LUP - Poster Deep Response - nefro")</f>
        <v>LUP - Poster Deep Response - nefro</v>
      </c>
      <c r="M7696" s="22" t="str">
        <f>HYPERLINK("mailto:cmaroto@crm.otsuka-europe.com", "cmaroto@crm.otsuka-europe.com")</f>
        <v>cmaroto@crm.otsuka-europe.com</v>
      </c>
      <c r="N7696" s="25">
        <v>46231.412210648145</v>
      </c>
      <c r="O7696" s="14" t="str">
        <f>HYPERLINK("https://otsuka-europe-crm.veevavault.com/ui/#object/email_activity__v/V8C00000004D568", "EN-002109226")</f>
        <v>EN-002109226</v>
      </c>
    </row>
    <row r="7697" spans="1:15" ht="16" x14ac:dyDescent="0.2">
      <c r="A7697" s="19"/>
      <c r="B7697" s="19"/>
      <c r="C7697" s="19"/>
      <c r="D7697" s="19"/>
      <c r="E7697" s="19"/>
      <c r="F7697" s="19"/>
      <c r="G7697" s="19"/>
      <c r="H7697" s="19"/>
      <c r="I7697" s="19"/>
      <c r="J7697" s="19"/>
      <c r="K7697" s="19"/>
      <c r="L7697" s="19"/>
      <c r="M7697" s="19"/>
      <c r="N7697" s="19"/>
      <c r="O7697" s="14" t="str">
        <f>HYPERLINK("https://otsuka-europe-crm.veevavault.com/ui/#object/email_activity__v/V8C00000004D667", "EN-002109428")</f>
        <v>EN-002109428</v>
      </c>
    </row>
    <row r="7698" spans="1:15" ht="32" x14ac:dyDescent="0.2">
      <c r="A7698" s="7" t="str">
        <f>HYPERLINK("https://otsuka-europe-crm.veevavault.com/ui/#object/account__v/V4TZ04ASG7RR4N5", "NATALIA INMACULADA POLANCO FERNANDEZ")</f>
        <v>NATALIA INMACULADA POLANCO FERNANDEZ</v>
      </c>
      <c r="B7698" s="7" t="str">
        <f>HYPERLINK("https://otsuka-europe-crm.veevavault.com/ui/#object/vcountry__v/VENZ000004SONF5", "ES")</f>
        <v>ES</v>
      </c>
      <c r="C7698" s="8" t="s">
        <v>39</v>
      </c>
      <c r="D7698" s="9" t="str">
        <f>HYPERLINK("https://otsuka-europe-crm.veevavault.com/ui/#object/approved_document__v/V5OZ025E82U16X1", "LUP - Poster Deep Response - nefro")</f>
        <v>LUP - Poster Deep Response - nefro</v>
      </c>
      <c r="E7698" s="10" t="str">
        <f>HYPERLINK("https://otsuka-europe-crm.veevavault.com/ui/#object/sent_email__v/VBL00000003C205", "SE-001445254")</f>
        <v>SE-001445254</v>
      </c>
      <c r="F7698" s="11"/>
      <c r="G7698" s="12">
        <v>0</v>
      </c>
      <c r="H7698" s="12">
        <v>0</v>
      </c>
      <c r="I7698" s="12">
        <v>0</v>
      </c>
      <c r="J7698" s="11"/>
      <c r="K7698" s="12">
        <v>0</v>
      </c>
      <c r="L7698" s="10" t="str">
        <f>HYPERLINK("https://otsuka-europe-crm.veevavault.com/ui/#object/approved_document__v/V5OZ025E82U16X1", "LUP - Poster Deep Response - nefro")</f>
        <v>LUP - Poster Deep Response - nefro</v>
      </c>
      <c r="M7698" s="10" t="str">
        <f>HYPERLINK("mailto:cmaroto@crm.otsuka-europe.com", "cmaroto@crm.otsuka-europe.com")</f>
        <v>cmaroto@crm.otsuka-europe.com</v>
      </c>
      <c r="N7698" s="13">
        <v>46231.412210648145</v>
      </c>
      <c r="O7698" s="14" t="str">
        <f>HYPERLINK("https://otsuka-europe-crm.veevavault.com/ui/#object/email_activity__v/V8C00000004E434", "EN-002109209")</f>
        <v>EN-002109209</v>
      </c>
    </row>
    <row r="7699" spans="1:15" ht="32" x14ac:dyDescent="0.2">
      <c r="A7699" s="7" t="str">
        <f>HYPERLINK("https://otsuka-europe-crm.veevavault.com/ui/#object/account__v/V4TZ06G6O71T8BL", "MAITE PADRON ROMERO")</f>
        <v>MAITE PADRON ROMERO</v>
      </c>
      <c r="B7699" s="7" t="str">
        <f>HYPERLINK("https://otsuka-europe-crm.veevavault.com/ui/#object/vcountry__v/VENZ000004SONF5", "ES")</f>
        <v>ES</v>
      </c>
      <c r="C7699" s="8" t="s">
        <v>39</v>
      </c>
      <c r="D7699" s="9" t="str">
        <f>HYPERLINK("https://otsuka-europe-crm.veevavault.com/ui/#object/approved_document__v/V5OZ025E82U16X1", "LUP - Poster Deep Response - nefro")</f>
        <v>LUP - Poster Deep Response - nefro</v>
      </c>
      <c r="E7699" s="10" t="str">
        <f>HYPERLINK("https://otsuka-europe-crm.veevavault.com/ui/#object/sent_email__v/VBL00000003C206", "SE-001445255")</f>
        <v>SE-001445255</v>
      </c>
      <c r="F7699" s="11"/>
      <c r="G7699" s="12">
        <v>0</v>
      </c>
      <c r="H7699" s="12">
        <v>0</v>
      </c>
      <c r="I7699" s="12">
        <v>0</v>
      </c>
      <c r="J7699" s="11"/>
      <c r="K7699" s="12">
        <v>0</v>
      </c>
      <c r="L7699" s="10" t="str">
        <f>HYPERLINK("https://otsuka-europe-crm.veevavault.com/ui/#object/approved_document__v/V5OZ025E82U16X1", "LUP - Poster Deep Response - nefro")</f>
        <v>LUP - Poster Deep Response - nefro</v>
      </c>
      <c r="M7699" s="10" t="str">
        <f>HYPERLINK("mailto:cmaroto@crm.otsuka-europe.com", "cmaroto@crm.otsuka-europe.com")</f>
        <v>cmaroto@crm.otsuka-europe.com</v>
      </c>
      <c r="N7699" s="13">
        <v>46231.412210648145</v>
      </c>
      <c r="O7699" s="14" t="str">
        <f>HYPERLINK("https://otsuka-europe-crm.veevavault.com/ui/#object/email_activity__v/V8C00000004E448", "EN-002109247")</f>
        <v>EN-002109247</v>
      </c>
    </row>
    <row r="7700" spans="1:15" ht="16" x14ac:dyDescent="0.2">
      <c r="A7700" s="18" t="str">
        <f>HYPERLINK("https://otsuka-europe-crm.veevavault.com/ui/#object/account__v/V4TZ06G6O71T8XF", "MARIA CARMEN HERNAIZ VALENCIA")</f>
        <v>MARIA CARMEN HERNAIZ VALENCIA</v>
      </c>
      <c r="B7700" s="18" t="str">
        <f>HYPERLINK("https://otsuka-europe-crm.veevavault.com/ui/#object/vcountry__v/VENZ000004SONF5", "ES")</f>
        <v>ES</v>
      </c>
      <c r="C7700" s="20" t="s">
        <v>39</v>
      </c>
      <c r="D7700" s="21" t="str">
        <f>HYPERLINK("https://otsuka-europe-crm.veevavault.com/ui/#object/approved_document__v/V5OZ025E82U16X1", "LUP - Poster Deep Response - nefro")</f>
        <v>LUP - Poster Deep Response - nefro</v>
      </c>
      <c r="E7700" s="22" t="str">
        <f>HYPERLINK("https://otsuka-europe-crm.veevavault.com/ui/#object/sent_email__v/VBL00000003C207", "SE-001445256")</f>
        <v>SE-001445256</v>
      </c>
      <c r="F7700" s="25">
        <v>46232.190474537034</v>
      </c>
      <c r="G7700" s="24">
        <v>1</v>
      </c>
      <c r="H7700" s="24">
        <v>1</v>
      </c>
      <c r="I7700" s="24">
        <v>0</v>
      </c>
      <c r="J7700" s="23"/>
      <c r="K7700" s="24">
        <v>0</v>
      </c>
      <c r="L7700" s="22" t="str">
        <f>HYPERLINK("https://otsuka-europe-crm.veevavault.com/ui/#object/approved_document__v/V5OZ025E82U16X1", "LUP - Poster Deep Response - nefro")</f>
        <v>LUP - Poster Deep Response - nefro</v>
      </c>
      <c r="M7700" s="22" t="str">
        <f>HYPERLINK("mailto:cmaroto@crm.otsuka-europe.com", "cmaroto@crm.otsuka-europe.com")</f>
        <v>cmaroto@crm.otsuka-europe.com</v>
      </c>
      <c r="N7700" s="25">
        <v>46231.412210648145</v>
      </c>
      <c r="O7700" s="14" t="str">
        <f>HYPERLINK("https://otsuka-europe-crm.veevavault.com/ui/#object/email_activity__v/V8C00000004D566", "EN-002109224")</f>
        <v>EN-002109224</v>
      </c>
    </row>
    <row r="7701" spans="1:15" ht="16" x14ac:dyDescent="0.2">
      <c r="A7701" s="26"/>
      <c r="B7701" s="26"/>
      <c r="C7701" s="26"/>
      <c r="D7701" s="26"/>
      <c r="E7701" s="26"/>
      <c r="F7701" s="26"/>
      <c r="G7701" s="26"/>
      <c r="H7701" s="26"/>
      <c r="I7701" s="26"/>
      <c r="J7701" s="26"/>
      <c r="K7701" s="26"/>
      <c r="L7701" s="26"/>
      <c r="M7701" s="26"/>
      <c r="N7701" s="26"/>
      <c r="O7701" s="14" t="str">
        <f>HYPERLINK("https://otsuka-europe-crm.veevavault.com/ui/#object/email_activity__v/V8C00000004D711", "EN-002109522")</f>
        <v>EN-002109522</v>
      </c>
    </row>
    <row r="7702" spans="1:15" ht="16" x14ac:dyDescent="0.2">
      <c r="A7702" s="19"/>
      <c r="B7702" s="19"/>
      <c r="C7702" s="19"/>
      <c r="D7702" s="19"/>
      <c r="E7702" s="19"/>
      <c r="F7702" s="19"/>
      <c r="G7702" s="19"/>
      <c r="H7702" s="19"/>
      <c r="I7702" s="19"/>
      <c r="J7702" s="19"/>
      <c r="K7702" s="19"/>
      <c r="L7702" s="19"/>
      <c r="M7702" s="19"/>
      <c r="N7702" s="19"/>
      <c r="O7702" s="14" t="str">
        <f>HYPERLINK("https://otsuka-europe-crm.veevavault.com/ui/#object/email_activity__v/V8C00000004E634", "EN-002109591")</f>
        <v>EN-002109591</v>
      </c>
    </row>
    <row r="7703" spans="1:15" ht="32" x14ac:dyDescent="0.2">
      <c r="A7703" s="7" t="str">
        <f>HYPERLINK("https://otsuka-europe-crm.veevavault.com/ui/#object/account__v/V4T00000000M060", "JOSE GARCIA CASANOVA")</f>
        <v>JOSE GARCIA CASANOVA</v>
      </c>
      <c r="B7703" s="7" t="str">
        <f>HYPERLINK("https://otsuka-europe-crm.veevavault.com/ui/#object/vcountry__v/VENZ000004SONF5", "ES")</f>
        <v>ES</v>
      </c>
      <c r="C7703" s="8" t="s">
        <v>39</v>
      </c>
      <c r="D7703" s="9" t="str">
        <f>HYPERLINK("https://otsuka-europe-crm.veevavault.com/ui/#object/approved_document__v/V5OZ025E82U16X1", "LUP - Poster Deep Response - nefro")</f>
        <v>LUP - Poster Deep Response - nefro</v>
      </c>
      <c r="E7703" s="10" t="str">
        <f>HYPERLINK("https://otsuka-europe-crm.veevavault.com/ui/#object/sent_email__v/VBL00000003C208", "SE-001445257")</f>
        <v>SE-001445257</v>
      </c>
      <c r="F7703" s="11"/>
      <c r="G7703" s="12">
        <v>0</v>
      </c>
      <c r="H7703" s="12">
        <v>0</v>
      </c>
      <c r="I7703" s="12">
        <v>0</v>
      </c>
      <c r="J7703" s="11"/>
      <c r="K7703" s="12">
        <v>0</v>
      </c>
      <c r="L7703" s="10" t="str">
        <f>HYPERLINK("https://otsuka-europe-crm.veevavault.com/ui/#object/approved_document__v/V5OZ025E82U16X1", "LUP - Poster Deep Response - nefro")</f>
        <v>LUP - Poster Deep Response - nefro</v>
      </c>
      <c r="M7703" s="10" t="str">
        <f>HYPERLINK("mailto:cmaroto@crm.otsuka-europe.com", "cmaroto@crm.otsuka-europe.com")</f>
        <v>cmaroto@crm.otsuka-europe.com</v>
      </c>
      <c r="N7703" s="13">
        <v>46231.412210648145</v>
      </c>
      <c r="O7703" s="14" t="str">
        <f>HYPERLINK("https://otsuka-europe-crm.veevavault.com/ui/#object/email_activity__v/V8C00000004D567", "EN-002109225")</f>
        <v>EN-002109225</v>
      </c>
    </row>
    <row r="7704" spans="1:15" ht="32" x14ac:dyDescent="0.2">
      <c r="A7704" s="7" t="str">
        <f>HYPERLINK("https://otsuka-europe-crm.veevavault.com/ui/#object/account__v/V4TZ025E86CHJPX", "ROCIO GONZALEZ CANO")</f>
        <v>ROCIO GONZALEZ CANO</v>
      </c>
      <c r="B7704" s="7" t="str">
        <f>HYPERLINK("https://otsuka-europe-crm.veevavault.com/ui/#object/vcountry__v/VENZ000004SONF5", "ES")</f>
        <v>ES</v>
      </c>
      <c r="C7704" s="8" t="s">
        <v>39</v>
      </c>
      <c r="D7704" s="9" t="str">
        <f>HYPERLINK("https://otsuka-europe-crm.veevavault.com/ui/#object/approved_document__v/V5OZ025E82U16X1", "LUP - Poster Deep Response - nefro")</f>
        <v>LUP - Poster Deep Response - nefro</v>
      </c>
      <c r="E7704" s="10" t="str">
        <f>HYPERLINK("https://otsuka-europe-crm.veevavault.com/ui/#object/sent_email__v/VBL00000003C209", "SE-001445258")</f>
        <v>SE-001445258</v>
      </c>
      <c r="F7704" s="11"/>
      <c r="G7704" s="12">
        <v>0</v>
      </c>
      <c r="H7704" s="12">
        <v>0</v>
      </c>
      <c r="I7704" s="12">
        <v>0</v>
      </c>
      <c r="J7704" s="11"/>
      <c r="K7704" s="12">
        <v>0</v>
      </c>
      <c r="L7704" s="10" t="str">
        <f>HYPERLINK("https://otsuka-europe-crm.veevavault.com/ui/#object/approved_document__v/V5OZ025E82U16X1", "LUP - Poster Deep Response - nefro")</f>
        <v>LUP - Poster Deep Response - nefro</v>
      </c>
      <c r="M7704" s="10" t="str">
        <f>HYPERLINK("mailto:cmaroto@crm.otsuka-europe.com", "cmaroto@crm.otsuka-europe.com")</f>
        <v>cmaroto@crm.otsuka-europe.com</v>
      </c>
      <c r="N7704" s="13">
        <v>46231.412210648145</v>
      </c>
      <c r="O7704" s="14" t="str">
        <f>HYPERLINK("https://otsuka-europe-crm.veevavault.com/ui/#object/email_activity__v/V8C00000004E465", "EN-002109269")</f>
        <v>EN-002109269</v>
      </c>
    </row>
    <row r="7705" spans="1:15" ht="32" x14ac:dyDescent="0.2">
      <c r="A7705" s="7" t="str">
        <f>HYPERLINK("https://otsuka-europe-crm.veevavault.com/ui/#object/account__v/V4TZ025E86X262D", "FRANCISCO JOSE VIGUERAS RUIZ")</f>
        <v>FRANCISCO JOSE VIGUERAS RUIZ</v>
      </c>
      <c r="B7705" s="7" t="str">
        <f>HYPERLINK("https://otsuka-europe-crm.veevavault.com/ui/#object/vcountry__v/VENZ000004SONF5", "ES")</f>
        <v>ES</v>
      </c>
      <c r="C7705" s="8" t="s">
        <v>39</v>
      </c>
      <c r="D7705" s="9" t="str">
        <f>HYPERLINK("https://otsuka-europe-crm.veevavault.com/ui/#object/approved_document__v/V5OZ025E82U16X1", "LUP - Poster Deep Response - nefro")</f>
        <v>LUP - Poster Deep Response - nefro</v>
      </c>
      <c r="E7705" s="10" t="str">
        <f>HYPERLINK("https://otsuka-europe-crm.veevavault.com/ui/#object/sent_email__v/VBL00000003C210", "SE-001445259")</f>
        <v>SE-001445259</v>
      </c>
      <c r="F7705" s="11"/>
      <c r="G7705" s="12">
        <v>0</v>
      </c>
      <c r="H7705" s="12">
        <v>0</v>
      </c>
      <c r="I7705" s="12">
        <v>0</v>
      </c>
      <c r="J7705" s="11"/>
      <c r="K7705" s="12">
        <v>0</v>
      </c>
      <c r="L7705" s="10" t="str">
        <f>HYPERLINK("https://otsuka-europe-crm.veevavault.com/ui/#object/approved_document__v/V5OZ025E82U16X1", "LUP - Poster Deep Response - nefro")</f>
        <v>LUP - Poster Deep Response - nefro</v>
      </c>
      <c r="M7705" s="10" t="str">
        <f>HYPERLINK("mailto:cmaroto@crm.otsuka-europe.com", "cmaroto@crm.otsuka-europe.com")</f>
        <v>cmaroto@crm.otsuka-europe.com</v>
      </c>
      <c r="N7705" s="13">
        <v>46231.412083333336</v>
      </c>
      <c r="O7705" s="14" t="str">
        <f>HYPERLINK("https://otsuka-europe-crm.veevavault.com/ui/#object/email_activity__v/V8C00000004D552", "EN-002109197")</f>
        <v>EN-002109197</v>
      </c>
    </row>
    <row r="7706" spans="1:15" ht="32" x14ac:dyDescent="0.2">
      <c r="A7706" s="7" t="str">
        <f>HYPERLINK("https://otsuka-europe-crm.veevavault.com/ui/#object/account__v/V4TZ025E87RZI8G", "MARIA CIORDIA LIZARRAGA")</f>
        <v>MARIA CIORDIA LIZARRAGA</v>
      </c>
      <c r="B7706" s="7" t="str">
        <f>HYPERLINK("https://otsuka-europe-crm.veevavault.com/ui/#object/vcountry__v/VENZ000004SONF5", "ES")</f>
        <v>ES</v>
      </c>
      <c r="C7706" s="8" t="s">
        <v>39</v>
      </c>
      <c r="D7706" s="9" t="str">
        <f>HYPERLINK("https://otsuka-europe-crm.veevavault.com/ui/#object/approved_document__v/V5OZ025E82U16X1", "LUP - Poster Deep Response - nefro")</f>
        <v>LUP - Poster Deep Response - nefro</v>
      </c>
      <c r="E7706" s="10" t="str">
        <f>HYPERLINK("https://otsuka-europe-crm.veevavault.com/ui/#object/sent_email__v/VBL00000003C211", "SE-001445260")</f>
        <v>SE-001445260</v>
      </c>
      <c r="F7706" s="11"/>
      <c r="G7706" s="12">
        <v>0</v>
      </c>
      <c r="H7706" s="12">
        <v>0</v>
      </c>
      <c r="I7706" s="12">
        <v>0</v>
      </c>
      <c r="J7706" s="11"/>
      <c r="K7706" s="12">
        <v>0</v>
      </c>
      <c r="L7706" s="10" t="str">
        <f>HYPERLINK("https://otsuka-europe-crm.veevavault.com/ui/#object/approved_document__v/V5OZ025E82U16X1", "LUP - Poster Deep Response - nefro")</f>
        <v>LUP - Poster Deep Response - nefro</v>
      </c>
      <c r="M7706" s="10" t="str">
        <f>HYPERLINK("mailto:cmaroto@crm.otsuka-europe.com", "cmaroto@crm.otsuka-europe.com")</f>
        <v>cmaroto@crm.otsuka-europe.com</v>
      </c>
      <c r="N7706" s="13">
        <v>46231.412083333336</v>
      </c>
      <c r="O7706" s="14" t="str">
        <f>HYPERLINK("https://otsuka-europe-crm.veevavault.com/ui/#object/email_activity__v/V8C00000004E422", "EN-002109186")</f>
        <v>EN-002109186</v>
      </c>
    </row>
    <row r="7707" spans="1:15" ht="16" x14ac:dyDescent="0.2">
      <c r="A7707" s="18" t="str">
        <f>HYPERLINK("https://otsuka-europe-crm.veevavault.com/ui/#object/account__v/V4TZ06G6O71T7R1", "CRISTINA HERRAIZ CORREDOR")</f>
        <v>CRISTINA HERRAIZ CORREDOR</v>
      </c>
      <c r="B7707" s="18" t="str">
        <f>HYPERLINK("https://otsuka-europe-crm.veevavault.com/ui/#object/vcountry__v/VENZ000004SONF5", "ES")</f>
        <v>ES</v>
      </c>
      <c r="C7707" s="20" t="s">
        <v>39</v>
      </c>
      <c r="D7707" s="21" t="str">
        <f>HYPERLINK("https://otsuka-europe-crm.veevavault.com/ui/#object/approved_document__v/V5OZ025E82U16X1", "LUP - Poster Deep Response - nefro")</f>
        <v>LUP - Poster Deep Response - nefro</v>
      </c>
      <c r="E7707" s="22" t="str">
        <f>HYPERLINK("https://otsuka-europe-crm.veevavault.com/ui/#object/sent_email__v/VBL00000003C212", "SE-001445261")</f>
        <v>SE-001445261</v>
      </c>
      <c r="F7707" s="23"/>
      <c r="G7707" s="24">
        <v>0</v>
      </c>
      <c r="H7707" s="24">
        <v>0</v>
      </c>
      <c r="I7707" s="24">
        <v>0</v>
      </c>
      <c r="J7707" s="23"/>
      <c r="K7707" s="24">
        <v>0</v>
      </c>
      <c r="L7707" s="22" t="str">
        <f>HYPERLINK("https://otsuka-europe-crm.veevavault.com/ui/#object/approved_document__v/V5OZ025E82U16X1", "LUP - Poster Deep Response - nefro")</f>
        <v>LUP - Poster Deep Response - nefro</v>
      </c>
      <c r="M7707" s="22" t="str">
        <f>HYPERLINK("mailto:cmaroto@crm.otsuka-europe.com", "cmaroto@crm.otsuka-europe.com")</f>
        <v>cmaroto@crm.otsuka-europe.com</v>
      </c>
      <c r="N7707" s="25">
        <v>46231.412083333336</v>
      </c>
      <c r="O7707" s="14" t="str">
        <f>HYPERLINK("https://otsuka-europe-crm.veevavault.com/ui/#object/email_activity__v/V8C00000004D553", "EN-002109201")</f>
        <v>EN-002109201</v>
      </c>
    </row>
    <row r="7708" spans="1:15" ht="16" x14ac:dyDescent="0.2">
      <c r="A7708" s="19"/>
      <c r="B7708" s="19"/>
      <c r="C7708" s="19"/>
      <c r="D7708" s="19"/>
      <c r="E7708" s="19"/>
      <c r="F7708" s="19"/>
      <c r="G7708" s="19"/>
      <c r="H7708" s="19"/>
      <c r="I7708" s="19"/>
      <c r="J7708" s="19"/>
      <c r="K7708" s="19"/>
      <c r="L7708" s="19"/>
      <c r="M7708" s="19"/>
      <c r="N7708" s="19"/>
      <c r="O7708" s="14" t="str">
        <f>HYPERLINK("https://otsuka-europe-crm.veevavault.com/ui/#object/email_activity__v/V8C00000004E544", "EN-002109429")</f>
        <v>EN-002109429</v>
      </c>
    </row>
    <row r="7709" spans="1:15" ht="32" x14ac:dyDescent="0.2">
      <c r="A7709" s="7" t="str">
        <f>HYPERLINK("https://otsuka-europe-crm.veevavault.com/ui/#object/account__v/V4T00000000L036", "JOSE GARCIA CANOVAS")</f>
        <v>JOSE GARCIA CANOVAS</v>
      </c>
      <c r="B7709" s="7" t="str">
        <f>HYPERLINK("https://otsuka-europe-crm.veevavault.com/ui/#object/vcountry__v/VENZ000004SONF5", "ES")</f>
        <v>ES</v>
      </c>
      <c r="C7709" s="8" t="s">
        <v>39</v>
      </c>
      <c r="D7709" s="9" t="str">
        <f>HYPERLINK("https://otsuka-europe-crm.veevavault.com/ui/#object/approved_document__v/V5OZ025E82U16X1", "LUP - Poster Deep Response - nefro")</f>
        <v>LUP - Poster Deep Response - nefro</v>
      </c>
      <c r="E7709" s="10" t="str">
        <f>HYPERLINK("https://otsuka-europe-crm.veevavault.com/ui/#object/sent_email__v/VBL00000003C213", "SE-001445262")</f>
        <v>SE-001445262</v>
      </c>
      <c r="F7709" s="11"/>
      <c r="G7709" s="12">
        <v>0</v>
      </c>
      <c r="H7709" s="12">
        <v>0</v>
      </c>
      <c r="I7709" s="12">
        <v>0</v>
      </c>
      <c r="J7709" s="11"/>
      <c r="K7709" s="12">
        <v>0</v>
      </c>
      <c r="L7709" s="10" t="str">
        <f>HYPERLINK("https://otsuka-europe-crm.veevavault.com/ui/#object/approved_document__v/V5OZ025E82U16X1", "LUP - Poster Deep Response - nefro")</f>
        <v>LUP - Poster Deep Response - nefro</v>
      </c>
      <c r="M7709" s="10" t="str">
        <f>HYPERLINK("mailto:cmaroto@crm.otsuka-europe.com", "cmaroto@crm.otsuka-europe.com")</f>
        <v>cmaroto@crm.otsuka-europe.com</v>
      </c>
      <c r="N7709" s="13">
        <v>46231.412083333336</v>
      </c>
      <c r="O7709" s="14" t="str">
        <f>HYPERLINK("https://otsuka-europe-crm.veevavault.com/ui/#object/email_activity__v/V8C00000004D561", "EN-002109219")</f>
        <v>EN-002109219</v>
      </c>
    </row>
    <row r="7710" spans="1:15" ht="32" x14ac:dyDescent="0.2">
      <c r="A7710" s="7" t="str">
        <f>HYPERLINK("https://otsuka-europe-crm.veevavault.com/ui/#object/account__v/V4TZ04ASG7X1EJV", "JESUS MARTIN CENTELLAS")</f>
        <v>JESUS MARTIN CENTELLAS</v>
      </c>
      <c r="B7710" s="7" t="str">
        <f>HYPERLINK("https://otsuka-europe-crm.veevavault.com/ui/#object/vcountry__v/VENZ000004SONF5", "ES")</f>
        <v>ES</v>
      </c>
      <c r="C7710" s="8" t="s">
        <v>39</v>
      </c>
      <c r="D7710" s="9" t="str">
        <f>HYPERLINK("https://otsuka-europe-crm.veevavault.com/ui/#object/approved_document__v/V5OZ025E82U16X1", "LUP - Poster Deep Response - nefro")</f>
        <v>LUP - Poster Deep Response - nefro</v>
      </c>
      <c r="E7710" s="10" t="str">
        <f>HYPERLINK("https://otsuka-europe-crm.veevavault.com/ui/#object/sent_email__v/VBL00000003C214", "SE-001445263")</f>
        <v>SE-001445263</v>
      </c>
      <c r="F7710" s="11"/>
      <c r="G7710" s="12">
        <v>0</v>
      </c>
      <c r="H7710" s="12">
        <v>0</v>
      </c>
      <c r="I7710" s="12">
        <v>0</v>
      </c>
      <c r="J7710" s="11"/>
      <c r="K7710" s="12">
        <v>0</v>
      </c>
      <c r="L7710" s="10" t="str">
        <f>HYPERLINK("https://otsuka-europe-crm.veevavault.com/ui/#object/approved_document__v/V5OZ025E82U16X1", "LUP - Poster Deep Response - nefro")</f>
        <v>LUP - Poster Deep Response - nefro</v>
      </c>
      <c r="M7710" s="10" t="str">
        <f>HYPERLINK("mailto:cmaroto@crm.otsuka-europe.com", "cmaroto@crm.otsuka-europe.com")</f>
        <v>cmaroto@crm.otsuka-europe.com</v>
      </c>
      <c r="N7710" s="13">
        <v>46231.412083333336</v>
      </c>
      <c r="O7710" s="14" t="str">
        <f>HYPERLINK("https://otsuka-europe-crm.veevavault.com/ui/#object/email_activity__v/V8C00000004D547", "EN-002109192")</f>
        <v>EN-002109192</v>
      </c>
    </row>
    <row r="7711" spans="1:15" ht="16" x14ac:dyDescent="0.2">
      <c r="A7711" s="18" t="str">
        <f>HYPERLINK("https://otsuka-europe-crm.veevavault.com/ui/#object/account__v/V4TZ06G6O71T97L", "SARA ANAYA FERNANDEZ")</f>
        <v>SARA ANAYA FERNANDEZ</v>
      </c>
      <c r="B7711" s="18" t="str">
        <f>HYPERLINK("https://otsuka-europe-crm.veevavault.com/ui/#object/vcountry__v/VENZ000004SONF5", "ES")</f>
        <v>ES</v>
      </c>
      <c r="C7711" s="20" t="s">
        <v>39</v>
      </c>
      <c r="D7711" s="21" t="str">
        <f>HYPERLINK("https://otsuka-europe-crm.veevavault.com/ui/#object/approved_document__v/V5OZ025E82U16X1", "LUP - Poster Deep Response - nefro")</f>
        <v>LUP - Poster Deep Response - nefro</v>
      </c>
      <c r="E7711" s="22" t="str">
        <f>HYPERLINK("https://otsuka-europe-crm.veevavault.com/ui/#object/sent_email__v/VBL00000003C215", "SE-001445264")</f>
        <v>SE-001445264</v>
      </c>
      <c r="F7711" s="25">
        <v>46232.480150462965</v>
      </c>
      <c r="G7711" s="24">
        <v>1</v>
      </c>
      <c r="H7711" s="24">
        <v>3</v>
      </c>
      <c r="I7711" s="24">
        <v>0</v>
      </c>
      <c r="J7711" s="23"/>
      <c r="K7711" s="24">
        <v>0</v>
      </c>
      <c r="L7711" s="22" t="str">
        <f>HYPERLINK("https://otsuka-europe-crm.veevavault.com/ui/#object/approved_document__v/V5OZ025E82U16X1", "LUP - Poster Deep Response - nefro")</f>
        <v>LUP - Poster Deep Response - nefro</v>
      </c>
      <c r="M7711" s="22" t="str">
        <f>HYPERLINK("mailto:cmaroto@crm.otsuka-europe.com", "cmaroto@crm.otsuka-europe.com")</f>
        <v>cmaroto@crm.otsuka-europe.com</v>
      </c>
      <c r="N7711" s="25">
        <v>46231.412083333336</v>
      </c>
      <c r="O7711" s="14" t="str">
        <f>HYPERLINK("https://otsuka-europe-crm.veevavault.com/ui/#object/email_activity__v/V8C00000004D548", "EN-002109193")</f>
        <v>EN-002109193</v>
      </c>
    </row>
    <row r="7712" spans="1:15" ht="16" x14ac:dyDescent="0.2">
      <c r="A7712" s="26"/>
      <c r="B7712" s="26"/>
      <c r="C7712" s="26"/>
      <c r="D7712" s="26"/>
      <c r="E7712" s="26"/>
      <c r="F7712" s="26"/>
      <c r="G7712" s="26"/>
      <c r="H7712" s="26"/>
      <c r="I7712" s="26"/>
      <c r="J7712" s="26"/>
      <c r="K7712" s="26"/>
      <c r="L7712" s="26"/>
      <c r="M7712" s="26"/>
      <c r="N7712" s="26"/>
      <c r="O7712" s="14" t="str">
        <f>HYPERLINK("https://otsuka-europe-crm.veevavault.com/ui/#object/email_activity__v/V8C00000004D734", "EN-002109572")</f>
        <v>EN-002109572</v>
      </c>
    </row>
    <row r="7713" spans="1:15" ht="16" x14ac:dyDescent="0.2">
      <c r="A7713" s="26"/>
      <c r="B7713" s="26"/>
      <c r="C7713" s="26"/>
      <c r="D7713" s="26"/>
      <c r="E7713" s="26"/>
      <c r="F7713" s="26"/>
      <c r="G7713" s="26"/>
      <c r="H7713" s="26"/>
      <c r="I7713" s="26"/>
      <c r="J7713" s="26"/>
      <c r="K7713" s="26"/>
      <c r="L7713" s="26"/>
      <c r="M7713" s="26"/>
      <c r="N7713" s="26"/>
      <c r="O7713" s="14" t="str">
        <f>HYPERLINK("https://otsuka-europe-crm.veevavault.com/ui/#object/email_activity__v/V8C00000004D735", "EN-002109573")</f>
        <v>EN-002109573</v>
      </c>
    </row>
    <row r="7714" spans="1:15" ht="16" x14ac:dyDescent="0.2">
      <c r="A7714" s="19"/>
      <c r="B7714" s="19"/>
      <c r="C7714" s="19"/>
      <c r="D7714" s="19"/>
      <c r="E7714" s="19"/>
      <c r="F7714" s="19"/>
      <c r="G7714" s="19"/>
      <c r="H7714" s="19"/>
      <c r="I7714" s="19"/>
      <c r="J7714" s="19"/>
      <c r="K7714" s="19"/>
      <c r="L7714" s="19"/>
      <c r="M7714" s="19"/>
      <c r="N7714" s="19"/>
      <c r="O7714" s="14" t="str">
        <f>HYPERLINK("https://otsuka-europe-crm.veevavault.com/ui/#object/email_activity__v/V8C00000004E620", "EN-002109571")</f>
        <v>EN-002109571</v>
      </c>
    </row>
    <row r="7715" spans="1:15" ht="32" x14ac:dyDescent="0.2">
      <c r="A7715" s="7" t="str">
        <f>HYPERLINK("https://otsuka-europe-crm.veevavault.com/ui/#object/account__v/V4TZ025E82VAUD4", "GLORIA GARCIA CONEJO")</f>
        <v>GLORIA GARCIA CONEJO</v>
      </c>
      <c r="B7715" s="7" t="str">
        <f>HYPERLINK("https://otsuka-europe-crm.veevavault.com/ui/#object/vcountry__v/VENZ000004SONF5", "ES")</f>
        <v>ES</v>
      </c>
      <c r="C7715" s="8" t="s">
        <v>39</v>
      </c>
      <c r="D7715" s="9" t="str">
        <f>HYPERLINK("https://otsuka-europe-crm.veevavault.com/ui/#object/approved_document__v/V5OZ025E82U16X1", "LUP - Poster Deep Response - nefro")</f>
        <v>LUP - Poster Deep Response - nefro</v>
      </c>
      <c r="E7715" s="10" t="str">
        <f>HYPERLINK("https://otsuka-europe-crm.veevavault.com/ui/#object/sent_email__v/VBL00000003C216", "SE-001445265")</f>
        <v>SE-001445265</v>
      </c>
      <c r="F7715" s="11"/>
      <c r="G7715" s="12">
        <v>0</v>
      </c>
      <c r="H7715" s="12">
        <v>0</v>
      </c>
      <c r="I7715" s="12">
        <v>0</v>
      </c>
      <c r="J7715" s="11"/>
      <c r="K7715" s="12">
        <v>0</v>
      </c>
      <c r="L7715" s="10" t="str">
        <f>HYPERLINK("https://otsuka-europe-crm.veevavault.com/ui/#object/approved_document__v/V5OZ025E82U16X1", "LUP - Poster Deep Response - nefro")</f>
        <v>LUP - Poster Deep Response - nefro</v>
      </c>
      <c r="M7715" s="10" t="str">
        <f>HYPERLINK("mailto:cmaroto@crm.otsuka-europe.com", "cmaroto@crm.otsuka-europe.com")</f>
        <v>cmaroto@crm.otsuka-europe.com</v>
      </c>
      <c r="N7715" s="13">
        <v>46231.412083333336</v>
      </c>
      <c r="O7715" s="14" t="str">
        <f>HYPERLINK("https://otsuka-europe-crm.veevavault.com/ui/#object/email_activity__v/V8C00000004E425", "EN-002109189")</f>
        <v>EN-002109189</v>
      </c>
    </row>
    <row r="7716" spans="1:15" ht="16" x14ac:dyDescent="0.2">
      <c r="A7716" s="18" t="str">
        <f>HYPERLINK("https://otsuka-europe-crm.veevavault.com/ui/#object/account__v/V4TZ06G6O71T7D0", "IVAN GILBERTO ARENAS MONCALEANO")</f>
        <v>IVAN GILBERTO ARENAS MONCALEANO</v>
      </c>
      <c r="B7716" s="18" t="str">
        <f>HYPERLINK("https://otsuka-europe-crm.veevavault.com/ui/#object/vcountry__v/VENZ000004SONF5", "ES")</f>
        <v>ES</v>
      </c>
      <c r="C7716" s="20" t="s">
        <v>39</v>
      </c>
      <c r="D7716" s="21" t="str">
        <f>HYPERLINK("https://otsuka-europe-crm.veevavault.com/ui/#object/approved_document__v/V5OZ025E82U16X1", "LUP - Poster Deep Response - nefro")</f>
        <v>LUP - Poster Deep Response - nefro</v>
      </c>
      <c r="E7716" s="22" t="str">
        <f>HYPERLINK("https://otsuka-europe-crm.veevavault.com/ui/#object/sent_email__v/VBL00000003C217", "SE-001445266")</f>
        <v>SE-001445266</v>
      </c>
      <c r="F7716" s="25">
        <v>46231.622025462966</v>
      </c>
      <c r="G7716" s="24">
        <v>1</v>
      </c>
      <c r="H7716" s="24">
        <v>2</v>
      </c>
      <c r="I7716" s="24">
        <v>0</v>
      </c>
      <c r="J7716" s="23"/>
      <c r="K7716" s="24">
        <v>0</v>
      </c>
      <c r="L7716" s="22" t="str">
        <f>HYPERLINK("https://otsuka-europe-crm.veevavault.com/ui/#object/approved_document__v/V5OZ025E82U16X1", "LUP - Poster Deep Response - nefro")</f>
        <v>LUP - Poster Deep Response - nefro</v>
      </c>
      <c r="M7716" s="22" t="str">
        <f>HYPERLINK("mailto:cmaroto@crm.otsuka-europe.com", "cmaroto@crm.otsuka-europe.com")</f>
        <v>cmaroto@crm.otsuka-europe.com</v>
      </c>
      <c r="N7716" s="25">
        <v>46231.412083333336</v>
      </c>
      <c r="O7716" s="14" t="str">
        <f>HYPERLINK("https://otsuka-europe-crm.veevavault.com/ui/#object/email_activity__v/V8C00000004E438", "EN-002109213")</f>
        <v>EN-002109213</v>
      </c>
    </row>
    <row r="7717" spans="1:15" ht="16" x14ac:dyDescent="0.2">
      <c r="A7717" s="26"/>
      <c r="B7717" s="26"/>
      <c r="C7717" s="26"/>
      <c r="D7717" s="26"/>
      <c r="E7717" s="26"/>
      <c r="F7717" s="26"/>
      <c r="G7717" s="26"/>
      <c r="H7717" s="26"/>
      <c r="I7717" s="26"/>
      <c r="J7717" s="26"/>
      <c r="K7717" s="26"/>
      <c r="L7717" s="26"/>
      <c r="M7717" s="26"/>
      <c r="N7717" s="26"/>
      <c r="O7717" s="14" t="str">
        <f>HYPERLINK("https://otsuka-europe-crm.veevavault.com/ui/#object/email_activity__v/V8C00000004E561", "EN-002109458")</f>
        <v>EN-002109458</v>
      </c>
    </row>
    <row r="7718" spans="1:15" ht="16" x14ac:dyDescent="0.2">
      <c r="A7718" s="19"/>
      <c r="B7718" s="19"/>
      <c r="C7718" s="19"/>
      <c r="D7718" s="19"/>
      <c r="E7718" s="19"/>
      <c r="F7718" s="19"/>
      <c r="G7718" s="19"/>
      <c r="H7718" s="19"/>
      <c r="I7718" s="19"/>
      <c r="J7718" s="19"/>
      <c r="K7718" s="19"/>
      <c r="L7718" s="19"/>
      <c r="M7718" s="19"/>
      <c r="N7718" s="19"/>
      <c r="O7718" s="14" t="str">
        <f>HYPERLINK("https://otsuka-europe-crm.veevavault.com/ui/#object/email_activity__v/V8C00000004E562", "EN-002109459")</f>
        <v>EN-002109459</v>
      </c>
    </row>
    <row r="7719" spans="1:15" ht="16" x14ac:dyDescent="0.2">
      <c r="A7719" s="18" t="str">
        <f>HYPERLINK("https://otsuka-europe-crm.veevavault.com/ui/#object/account__v/V4TZ06G6O71T7B4", "MARIA SANCHEZ SANCHEZ")</f>
        <v>MARIA SANCHEZ SANCHEZ</v>
      </c>
      <c r="B7719" s="18" t="str">
        <f>HYPERLINK("https://otsuka-europe-crm.veevavault.com/ui/#object/vcountry__v/VENZ000004SONF5", "ES")</f>
        <v>ES</v>
      </c>
      <c r="C7719" s="20" t="s">
        <v>39</v>
      </c>
      <c r="D7719" s="21" t="str">
        <f>HYPERLINK("https://otsuka-europe-crm.veevavault.com/ui/#object/approved_document__v/V5OZ025E82U16X1", "LUP - Poster Deep Response - nefro")</f>
        <v>LUP - Poster Deep Response - nefro</v>
      </c>
      <c r="E7719" s="22" t="str">
        <f>HYPERLINK("https://otsuka-europe-crm.veevavault.com/ui/#object/sent_email__v/VBL00000003C218", "SE-001445267")</f>
        <v>SE-001445267</v>
      </c>
      <c r="F7719" s="23"/>
      <c r="G7719" s="24">
        <v>0</v>
      </c>
      <c r="H7719" s="24">
        <v>0</v>
      </c>
      <c r="I7719" s="24">
        <v>0</v>
      </c>
      <c r="J7719" s="23"/>
      <c r="K7719" s="24">
        <v>0</v>
      </c>
      <c r="L7719" s="22" t="str">
        <f>HYPERLINK("https://otsuka-europe-crm.veevavault.com/ui/#object/approved_document__v/V5OZ025E82U16X1", "LUP - Poster Deep Response - nefro")</f>
        <v>LUP - Poster Deep Response - nefro</v>
      </c>
      <c r="M7719" s="22" t="str">
        <f>HYPERLINK("mailto:cmaroto@crm.otsuka-europe.com", "cmaroto@crm.otsuka-europe.com")</f>
        <v>cmaroto@crm.otsuka-europe.com</v>
      </c>
      <c r="N7719" s="25">
        <v>46231.412083333336</v>
      </c>
      <c r="O7719" s="14" t="str">
        <f>HYPERLINK("https://otsuka-europe-crm.veevavault.com/ui/#object/email_activity__v/V8C00000004D562", "EN-002109220")</f>
        <v>EN-002109220</v>
      </c>
    </row>
    <row r="7720" spans="1:15" ht="16" x14ac:dyDescent="0.2">
      <c r="A7720" s="26"/>
      <c r="B7720" s="26"/>
      <c r="C7720" s="26"/>
      <c r="D7720" s="26"/>
      <c r="E7720" s="26"/>
      <c r="F7720" s="26"/>
      <c r="G7720" s="26"/>
      <c r="H7720" s="26"/>
      <c r="I7720" s="26"/>
      <c r="J7720" s="26"/>
      <c r="K7720" s="26"/>
      <c r="L7720" s="26"/>
      <c r="M7720" s="26"/>
      <c r="N7720" s="26"/>
      <c r="O7720" s="14" t="str">
        <f>HYPERLINK("https://otsuka-europe-crm.veevavault.com/ui/#object/email_activity__v/V8C00000004D630", "EN-002109353")</f>
        <v>EN-002109353</v>
      </c>
    </row>
    <row r="7721" spans="1:15" ht="16" x14ac:dyDescent="0.2">
      <c r="A7721" s="19"/>
      <c r="B7721" s="19"/>
      <c r="C7721" s="19"/>
      <c r="D7721" s="19"/>
      <c r="E7721" s="19"/>
      <c r="F7721" s="19"/>
      <c r="G7721" s="19"/>
      <c r="H7721" s="19"/>
      <c r="I7721" s="19"/>
      <c r="J7721" s="19"/>
      <c r="K7721" s="19"/>
      <c r="L7721" s="19"/>
      <c r="M7721" s="19"/>
      <c r="N7721" s="19"/>
      <c r="O7721" s="14" t="str">
        <f>HYPERLINK("https://otsuka-europe-crm.veevavault.com/ui/#object/email_activity__v/V8C00000004E506", "EN-002109354")</f>
        <v>EN-002109354</v>
      </c>
    </row>
    <row r="7722" spans="1:15" ht="16" x14ac:dyDescent="0.2">
      <c r="A7722" s="18" t="str">
        <f>HYPERLINK("https://otsuka-europe-crm.veevavault.com/ui/#object/account__v/V4TZ06G6O71TC16", "ANA MARIA ROMERA SEGORBE")</f>
        <v>ANA MARIA ROMERA SEGORBE</v>
      </c>
      <c r="B7722" s="18" t="str">
        <f>HYPERLINK("https://otsuka-europe-crm.veevavault.com/ui/#object/vcountry__v/VENZ000004SONF5", "ES")</f>
        <v>ES</v>
      </c>
      <c r="C7722" s="20" t="s">
        <v>39</v>
      </c>
      <c r="D7722" s="21" t="str">
        <f>HYPERLINK("https://otsuka-europe-crm.veevavault.com/ui/#object/approved_document__v/V5OZ025E82U16X1", "LUP - Poster Deep Response - nefro")</f>
        <v>LUP - Poster Deep Response - nefro</v>
      </c>
      <c r="E7722" s="22" t="str">
        <f>HYPERLINK("https://otsuka-europe-crm.veevavault.com/ui/#object/sent_email__v/VBL00000003C219", "SE-001445268")</f>
        <v>SE-001445268</v>
      </c>
      <c r="F7722" s="23"/>
      <c r="G7722" s="24">
        <v>0</v>
      </c>
      <c r="H7722" s="24">
        <v>0</v>
      </c>
      <c r="I7722" s="24">
        <v>0</v>
      </c>
      <c r="J7722" s="23"/>
      <c r="K7722" s="24">
        <v>0</v>
      </c>
      <c r="L7722" s="22" t="str">
        <f>HYPERLINK("https://otsuka-europe-crm.veevavault.com/ui/#object/approved_document__v/V5OZ025E82U16X1", "LUP - Poster Deep Response - nefro")</f>
        <v>LUP - Poster Deep Response - nefro</v>
      </c>
      <c r="M7722" s="22" t="str">
        <f>HYPERLINK("mailto:cmaroto@crm.otsuka-europe.com", "cmaroto@crm.otsuka-europe.com")</f>
        <v>cmaroto@crm.otsuka-europe.com</v>
      </c>
      <c r="N7722" s="25">
        <v>46231.412083333336</v>
      </c>
      <c r="O7722" s="14" t="str">
        <f>HYPERLINK("https://otsuka-europe-crm.veevavault.com/ui/#object/email_activity__v/V8C00000004E427", "EN-002109191")</f>
        <v>EN-002109191</v>
      </c>
    </row>
    <row r="7723" spans="1:15" ht="16" x14ac:dyDescent="0.2">
      <c r="A7723" s="19"/>
      <c r="B7723" s="19"/>
      <c r="C7723" s="19"/>
      <c r="D7723" s="19"/>
      <c r="E7723" s="19"/>
      <c r="F7723" s="19"/>
      <c r="G7723" s="19"/>
      <c r="H7723" s="19"/>
      <c r="I7723" s="19"/>
      <c r="J7723" s="19"/>
      <c r="K7723" s="19"/>
      <c r="L7723" s="19"/>
      <c r="M7723" s="19"/>
      <c r="N7723" s="19"/>
      <c r="O7723" s="14" t="str">
        <f>HYPERLINK("https://otsuka-europe-crm.veevavault.com/ui/#object/email_activity__v/V8C00000004I100", "EN-002111182")</f>
        <v>EN-002111182</v>
      </c>
    </row>
    <row r="7724" spans="1:15" ht="32" x14ac:dyDescent="0.2">
      <c r="A7724" s="7" t="str">
        <f>HYPERLINK("https://otsuka-europe-crm.veevavault.com/ui/#object/account__v/V4TZ025E85D2CUM", "MICHELLE VANESSA AGUIRRE POLO")</f>
        <v>MICHELLE VANESSA AGUIRRE POLO</v>
      </c>
      <c r="B7724" s="7" t="str">
        <f>HYPERLINK("https://otsuka-europe-crm.veevavault.com/ui/#object/vcountry__v/VENZ000004SONF5", "ES")</f>
        <v>ES</v>
      </c>
      <c r="C7724" s="8" t="s">
        <v>39</v>
      </c>
      <c r="D7724" s="9" t="str">
        <f>HYPERLINK("https://otsuka-europe-crm.veevavault.com/ui/#object/approved_document__v/V5OZ025E82U16X1", "LUP - Poster Deep Response - nefro")</f>
        <v>LUP - Poster Deep Response - nefro</v>
      </c>
      <c r="E7724" s="10" t="str">
        <f>HYPERLINK("https://otsuka-europe-crm.veevavault.com/ui/#object/sent_email__v/VBL00000003C220", "SE-001445269")</f>
        <v>SE-001445269</v>
      </c>
      <c r="F7724" s="11"/>
      <c r="G7724" s="12">
        <v>0</v>
      </c>
      <c r="H7724" s="12">
        <v>0</v>
      </c>
      <c r="I7724" s="12">
        <v>0</v>
      </c>
      <c r="J7724" s="11"/>
      <c r="K7724" s="12">
        <v>0</v>
      </c>
      <c r="L7724" s="10" t="str">
        <f>HYPERLINK("https://otsuka-europe-crm.veevavault.com/ui/#object/approved_document__v/V5OZ025E82U16X1", "LUP - Poster Deep Response - nefro")</f>
        <v>LUP - Poster Deep Response - nefro</v>
      </c>
      <c r="M7724" s="10" t="str">
        <f>HYPERLINK("mailto:cmaroto@crm.otsuka-europe.com", "cmaroto@crm.otsuka-europe.com")</f>
        <v>cmaroto@crm.otsuka-europe.com</v>
      </c>
      <c r="N7724" s="13">
        <v>46231.412210648145</v>
      </c>
      <c r="O7724" s="14" t="str">
        <f>HYPERLINK("https://otsuka-europe-crm.veevavault.com/ui/#object/email_activity__v/V8C00000004D565", "EN-002109223")</f>
        <v>EN-002109223</v>
      </c>
    </row>
    <row r="7725" spans="1:15" ht="16" x14ac:dyDescent="0.2">
      <c r="A7725" s="18" t="str">
        <f>HYPERLINK("https://otsuka-europe-crm.veevavault.com/ui/#object/account__v/V4TZ06G6OA5WQEC", "JULIO PASCUAL SANTOS")</f>
        <v>JULIO PASCUAL SANTOS</v>
      </c>
      <c r="B7725" s="18" t="str">
        <f>HYPERLINK("https://otsuka-europe-crm.veevavault.com/ui/#object/vcountry__v/VENZ000004SONF5", "ES")</f>
        <v>ES</v>
      </c>
      <c r="C7725" s="20" t="s">
        <v>39</v>
      </c>
      <c r="D7725" s="21" t="str">
        <f>HYPERLINK("https://otsuka-europe-crm.veevavault.com/ui/#object/approved_document__v/V5OZ025E82U16X1", "LUP - Poster Deep Response - nefro")</f>
        <v>LUP - Poster Deep Response - nefro</v>
      </c>
      <c r="E7725" s="22" t="str">
        <f>HYPERLINK("https://otsuka-europe-crm.veevavault.com/ui/#object/sent_email__v/VBL00000003C221", "SE-001445270")</f>
        <v>SE-001445270</v>
      </c>
      <c r="F7725" s="23"/>
      <c r="G7725" s="24">
        <v>0</v>
      </c>
      <c r="H7725" s="24">
        <v>0</v>
      </c>
      <c r="I7725" s="24">
        <v>0</v>
      </c>
      <c r="J7725" s="23"/>
      <c r="K7725" s="24">
        <v>0</v>
      </c>
      <c r="L7725" s="22" t="str">
        <f>HYPERLINK("https://otsuka-europe-crm.veevavault.com/ui/#object/approved_document__v/V5OZ025E82U16X1", "LUP - Poster Deep Response - nefro")</f>
        <v>LUP - Poster Deep Response - nefro</v>
      </c>
      <c r="M7725" s="22" t="str">
        <f>HYPERLINK("mailto:cmaroto@crm.otsuka-europe.com", "cmaroto@crm.otsuka-europe.com")</f>
        <v>cmaroto@crm.otsuka-europe.com</v>
      </c>
      <c r="N7725" s="25">
        <v>46231.412222222221</v>
      </c>
      <c r="O7725" s="14" t="str">
        <f>HYPERLINK("https://otsuka-europe-crm.veevavault.com/ui/#object/email_activity__v/V8C00000004D633", "EN-002109357")</f>
        <v>EN-002109357</v>
      </c>
    </row>
    <row r="7726" spans="1:15" ht="16" x14ac:dyDescent="0.2">
      <c r="A7726" s="19"/>
      <c r="B7726" s="19"/>
      <c r="C7726" s="19"/>
      <c r="D7726" s="19"/>
      <c r="E7726" s="19"/>
      <c r="F7726" s="19"/>
      <c r="G7726" s="19"/>
      <c r="H7726" s="19"/>
      <c r="I7726" s="19"/>
      <c r="J7726" s="19"/>
      <c r="K7726" s="19"/>
      <c r="L7726" s="19"/>
      <c r="M7726" s="19"/>
      <c r="N7726" s="19"/>
      <c r="O7726" s="14" t="str">
        <f>HYPERLINK("https://otsuka-europe-crm.veevavault.com/ui/#object/email_activity__v/V8C00000004E455", "EN-002109255")</f>
        <v>EN-002109255</v>
      </c>
    </row>
    <row r="7727" spans="1:15" ht="32" x14ac:dyDescent="0.2">
      <c r="A7727" s="7" t="str">
        <f>HYPERLINK("https://otsuka-europe-crm.veevavault.com/ui/#object/account__v/V4TZ06G6O71T7IG", "MARIBEL MONROY CONDORI")</f>
        <v>MARIBEL MONROY CONDORI</v>
      </c>
      <c r="B7727" s="7" t="str">
        <f>HYPERLINK("https://otsuka-europe-crm.veevavault.com/ui/#object/vcountry__v/VENZ000004SONF5", "ES")</f>
        <v>ES</v>
      </c>
      <c r="C7727" s="8" t="s">
        <v>39</v>
      </c>
      <c r="D7727" s="9" t="str">
        <f>HYPERLINK("https://otsuka-europe-crm.veevavault.com/ui/#object/approved_document__v/V5OZ025E82U16X1", "LUP - Poster Deep Response - nefro")</f>
        <v>LUP - Poster Deep Response - nefro</v>
      </c>
      <c r="E7727" s="10" t="str">
        <f>HYPERLINK("https://otsuka-europe-crm.veevavault.com/ui/#object/sent_email__v/VBL00000003C222", "SE-001445271")</f>
        <v>SE-001445271</v>
      </c>
      <c r="F7727" s="11"/>
      <c r="G7727" s="12">
        <v>0</v>
      </c>
      <c r="H7727" s="12">
        <v>0</v>
      </c>
      <c r="I7727" s="12">
        <v>0</v>
      </c>
      <c r="J7727" s="11"/>
      <c r="K7727" s="12">
        <v>0</v>
      </c>
      <c r="L7727" s="10" t="str">
        <f>HYPERLINK("https://otsuka-europe-crm.veevavault.com/ui/#object/approved_document__v/V5OZ025E82U16X1", "LUP - Poster Deep Response - nefro")</f>
        <v>LUP - Poster Deep Response - nefro</v>
      </c>
      <c r="M7727" s="10" t="str">
        <f>HYPERLINK("mailto:cmaroto@crm.otsuka-europe.com", "cmaroto@crm.otsuka-europe.com")</f>
        <v>cmaroto@crm.otsuka-europe.com</v>
      </c>
      <c r="N7727" s="13">
        <v>46231.412210648145</v>
      </c>
      <c r="O7727" s="14" t="str">
        <f>HYPERLINK("https://otsuka-europe-crm.veevavault.com/ui/#object/email_activity__v/V8C00000004D585", "EN-002109266")</f>
        <v>EN-002109266</v>
      </c>
    </row>
    <row r="7728" spans="1:15" ht="16" x14ac:dyDescent="0.2">
      <c r="A7728" s="18" t="str">
        <f>HYPERLINK("https://otsuka-europe-crm.veevavault.com/ui/#object/account__v/V4TZ06G6O71TBBP", "LUIS JAVIER NIETO IGLESIAS")</f>
        <v>LUIS JAVIER NIETO IGLESIAS</v>
      </c>
      <c r="B7728" s="18" t="str">
        <f>HYPERLINK("https://otsuka-europe-crm.veevavault.com/ui/#object/vcountry__v/VENZ000004SONF5", "ES")</f>
        <v>ES</v>
      </c>
      <c r="C7728" s="20" t="s">
        <v>39</v>
      </c>
      <c r="D7728" s="21" t="str">
        <f>HYPERLINK("https://otsuka-europe-crm.veevavault.com/ui/#object/approved_document__v/V5OZ025E82U16X1", "LUP - Poster Deep Response - nefro")</f>
        <v>LUP - Poster Deep Response - nefro</v>
      </c>
      <c r="E7728" s="22" t="str">
        <f>HYPERLINK("https://otsuka-europe-crm.veevavault.com/ui/#object/sent_email__v/VBL00000003C223", "SE-001445272")</f>
        <v>SE-001445272</v>
      </c>
      <c r="F7728" s="25">
        <v>46231.587812500002</v>
      </c>
      <c r="G7728" s="24">
        <v>1</v>
      </c>
      <c r="H7728" s="24">
        <v>1</v>
      </c>
      <c r="I7728" s="24">
        <v>0</v>
      </c>
      <c r="J7728" s="23"/>
      <c r="K7728" s="24">
        <v>0</v>
      </c>
      <c r="L7728" s="22" t="str">
        <f>HYPERLINK("https://otsuka-europe-crm.veevavault.com/ui/#object/approved_document__v/V5OZ025E82U16X1", "LUP - Poster Deep Response - nefro")</f>
        <v>LUP - Poster Deep Response - nefro</v>
      </c>
      <c r="M7728" s="22" t="str">
        <f>HYPERLINK("mailto:cmaroto@crm.otsuka-europe.com", "cmaroto@crm.otsuka-europe.com")</f>
        <v>cmaroto@crm.otsuka-europe.com</v>
      </c>
      <c r="N7728" s="25">
        <v>46231.412210648145</v>
      </c>
      <c r="O7728" s="14" t="str">
        <f>HYPERLINK("https://otsuka-europe-crm.veevavault.com/ui/#object/email_activity__v/V8C00000004D677", "EN-002109451")</f>
        <v>EN-002109451</v>
      </c>
    </row>
    <row r="7729" spans="1:15" ht="16" x14ac:dyDescent="0.2">
      <c r="A7729" s="19"/>
      <c r="B7729" s="19"/>
      <c r="C7729" s="19"/>
      <c r="D7729" s="19"/>
      <c r="E7729" s="19"/>
      <c r="F7729" s="19"/>
      <c r="G7729" s="19"/>
      <c r="H7729" s="19"/>
      <c r="I7729" s="19"/>
      <c r="J7729" s="19"/>
      <c r="K7729" s="19"/>
      <c r="L7729" s="19"/>
      <c r="M7729" s="19"/>
      <c r="N7729" s="19"/>
      <c r="O7729" s="14" t="str">
        <f>HYPERLINK("https://otsuka-europe-crm.veevavault.com/ui/#object/email_activity__v/V8C00000004E449", "EN-002109248")</f>
        <v>EN-002109248</v>
      </c>
    </row>
    <row r="7730" spans="1:15" ht="16" x14ac:dyDescent="0.2">
      <c r="A7730" s="18" t="str">
        <f>HYPERLINK("https://otsuka-europe-crm.veevavault.com/ui/#object/account__v/V4TZ06G6O71TA5J", "EDUARDO GUTIERREZ MARTINEZ")</f>
        <v>EDUARDO GUTIERREZ MARTINEZ</v>
      </c>
      <c r="B7730" s="18" t="str">
        <f>HYPERLINK("https://otsuka-europe-crm.veevavault.com/ui/#object/vcountry__v/VENZ000004SONF5", "ES")</f>
        <v>ES</v>
      </c>
      <c r="C7730" s="20" t="s">
        <v>39</v>
      </c>
      <c r="D7730" s="21" t="str">
        <f>HYPERLINK("https://otsuka-europe-crm.veevavault.com/ui/#object/approved_document__v/V5OZ025E82U16X1", "LUP - Poster Deep Response - nefro")</f>
        <v>LUP - Poster Deep Response - nefro</v>
      </c>
      <c r="E7730" s="22" t="str">
        <f>HYPERLINK("https://otsuka-europe-crm.veevavault.com/ui/#object/sent_email__v/VBL00000003C224", "SE-001445273")</f>
        <v>SE-001445273</v>
      </c>
      <c r="F7730" s="23"/>
      <c r="G7730" s="24">
        <v>0</v>
      </c>
      <c r="H7730" s="24">
        <v>0</v>
      </c>
      <c r="I7730" s="24">
        <v>0</v>
      </c>
      <c r="J7730" s="23"/>
      <c r="K7730" s="24">
        <v>0</v>
      </c>
      <c r="L7730" s="22" t="str">
        <f>HYPERLINK("https://otsuka-europe-crm.veevavault.com/ui/#object/approved_document__v/V5OZ025E82U16X1", "LUP - Poster Deep Response - nefro")</f>
        <v>LUP - Poster Deep Response - nefro</v>
      </c>
      <c r="M7730" s="22" t="str">
        <f>HYPERLINK("mailto:cmaroto@crm.otsuka-europe.com", "cmaroto@crm.otsuka-europe.com")</f>
        <v>cmaroto@crm.otsuka-europe.com</v>
      </c>
      <c r="N7730" s="25">
        <v>46231.412222222221</v>
      </c>
      <c r="O7730" s="14" t="str">
        <f>HYPERLINK("https://otsuka-europe-crm.veevavault.com/ui/#object/email_activity__v/V8C00000004D624", "EN-002109346")</f>
        <v>EN-002109346</v>
      </c>
    </row>
    <row r="7731" spans="1:15" ht="16" x14ac:dyDescent="0.2">
      <c r="A7731" s="19"/>
      <c r="B7731" s="19"/>
      <c r="C7731" s="19"/>
      <c r="D7731" s="19"/>
      <c r="E7731" s="19"/>
      <c r="F7731" s="19"/>
      <c r="G7731" s="19"/>
      <c r="H7731" s="19"/>
      <c r="I7731" s="19"/>
      <c r="J7731" s="19"/>
      <c r="K7731" s="19"/>
      <c r="L7731" s="19"/>
      <c r="M7731" s="19"/>
      <c r="N7731" s="19"/>
      <c r="O7731" s="14" t="str">
        <f>HYPERLINK("https://otsuka-europe-crm.veevavault.com/ui/#object/email_activity__v/V8C00000004E456", "EN-002109256")</f>
        <v>EN-002109256</v>
      </c>
    </row>
    <row r="7732" spans="1:15" ht="16" x14ac:dyDescent="0.2">
      <c r="A7732" s="18" t="str">
        <f>HYPERLINK("https://otsuka-europe-crm.veevavault.com/ui/#object/account__v/V4T00000001G031", "MARIA LAURA BUCALO MANA")</f>
        <v>MARIA LAURA BUCALO MANA</v>
      </c>
      <c r="B7732" s="18" t="str">
        <f>HYPERLINK("https://otsuka-europe-crm.veevavault.com/ui/#object/vcountry__v/VENZ000004SONF5", "ES")</f>
        <v>ES</v>
      </c>
      <c r="C7732" s="20" t="s">
        <v>39</v>
      </c>
      <c r="D7732" s="21" t="str">
        <f>HYPERLINK("https://otsuka-europe-crm.veevavault.com/ui/#object/approved_document__v/V5OZ025E82U16X1", "LUP - Poster Deep Response - nefro")</f>
        <v>LUP - Poster Deep Response - nefro</v>
      </c>
      <c r="E7732" s="22" t="str">
        <f>HYPERLINK("https://otsuka-europe-crm.veevavault.com/ui/#object/sent_email__v/VBL00000003C225", "SE-001445274")</f>
        <v>SE-001445274</v>
      </c>
      <c r="F7732" s="25">
        <v>46231.517025462963</v>
      </c>
      <c r="G7732" s="24">
        <v>1</v>
      </c>
      <c r="H7732" s="24">
        <v>1</v>
      </c>
      <c r="I7732" s="24">
        <v>0</v>
      </c>
      <c r="J7732" s="23"/>
      <c r="K7732" s="24">
        <v>0</v>
      </c>
      <c r="L7732" s="22" t="str">
        <f>HYPERLINK("https://otsuka-europe-crm.veevavault.com/ui/#object/approved_document__v/V5OZ025E82U16X1", "LUP - Poster Deep Response - nefro")</f>
        <v>LUP - Poster Deep Response - nefro</v>
      </c>
      <c r="M7732" s="22" t="str">
        <f>HYPERLINK("mailto:cmaroto@crm.otsuka-europe.com", "cmaroto@crm.otsuka-europe.com")</f>
        <v>cmaroto@crm.otsuka-europe.com</v>
      </c>
      <c r="N7732" s="25">
        <v>46231.412222222221</v>
      </c>
      <c r="O7732" s="14" t="str">
        <f>HYPERLINK("https://otsuka-europe-crm.veevavault.com/ui/#object/email_activity__v/V8C00000004E458", "EN-002109258")</f>
        <v>EN-002109258</v>
      </c>
    </row>
    <row r="7733" spans="1:15" ht="16" x14ac:dyDescent="0.2">
      <c r="A7733" s="19"/>
      <c r="B7733" s="19"/>
      <c r="C7733" s="19"/>
      <c r="D7733" s="19"/>
      <c r="E7733" s="19"/>
      <c r="F7733" s="19"/>
      <c r="G7733" s="19"/>
      <c r="H7733" s="19"/>
      <c r="I7733" s="19"/>
      <c r="J7733" s="19"/>
      <c r="K7733" s="19"/>
      <c r="L7733" s="19"/>
      <c r="M7733" s="19"/>
      <c r="N7733" s="19"/>
      <c r="O7733" s="14" t="str">
        <f>HYPERLINK("https://otsuka-europe-crm.veevavault.com/ui/#object/email_activity__v/V8C00000004E539", "EN-002109412")</f>
        <v>EN-002109412</v>
      </c>
    </row>
    <row r="7734" spans="1:15" ht="16" x14ac:dyDescent="0.2">
      <c r="A7734" s="18" t="str">
        <f>HYPERLINK("https://otsuka-europe-crm.veevavault.com/ui/#object/account__v/V4TZ04ASGGI64Y1", "ALBERTO CUBAS SANCHEZ-BEATO")</f>
        <v>ALBERTO CUBAS SANCHEZ-BEATO</v>
      </c>
      <c r="B7734" s="18" t="str">
        <f>HYPERLINK("https://otsuka-europe-crm.veevavault.com/ui/#object/vcountry__v/VENZ000004SONF5", "ES")</f>
        <v>ES</v>
      </c>
      <c r="C7734" s="20" t="s">
        <v>39</v>
      </c>
      <c r="D7734" s="21" t="str">
        <f>HYPERLINK("https://otsuka-europe-crm.veevavault.com/ui/#object/approved_document__v/V5OZ025E82U16X1", "LUP - Poster Deep Response - nefro")</f>
        <v>LUP - Poster Deep Response - nefro</v>
      </c>
      <c r="E7734" s="22" t="str">
        <f>HYPERLINK("https://otsuka-europe-crm.veevavault.com/ui/#object/sent_email__v/VBL00000003C226", "SE-001445275")</f>
        <v>SE-001445275</v>
      </c>
      <c r="F7734" s="25">
        <v>46231.413298611114</v>
      </c>
      <c r="G7734" s="24">
        <v>1</v>
      </c>
      <c r="H7734" s="24">
        <v>2</v>
      </c>
      <c r="I7734" s="24">
        <v>0</v>
      </c>
      <c r="J7734" s="23"/>
      <c r="K7734" s="24">
        <v>0</v>
      </c>
      <c r="L7734" s="22" t="str">
        <f>HYPERLINK("https://otsuka-europe-crm.veevavault.com/ui/#object/approved_document__v/V5OZ025E82U16X1", "LUP - Poster Deep Response - nefro")</f>
        <v>LUP - Poster Deep Response - nefro</v>
      </c>
      <c r="M7734" s="22" t="str">
        <f>HYPERLINK("mailto:cmaroto@crm.otsuka-europe.com", "cmaroto@crm.otsuka-europe.com")</f>
        <v>cmaroto@crm.otsuka-europe.com</v>
      </c>
      <c r="N7734" s="25">
        <v>46231.412222222221</v>
      </c>
      <c r="O7734" s="14" t="str">
        <f>HYPERLINK("https://otsuka-europe-crm.veevavault.com/ui/#object/email_activity__v/V8C00000004D617", "EN-002109331")</f>
        <v>EN-002109331</v>
      </c>
    </row>
    <row r="7735" spans="1:15" ht="16" x14ac:dyDescent="0.2">
      <c r="A7735" s="26"/>
      <c r="B7735" s="26"/>
      <c r="C7735" s="26"/>
      <c r="D7735" s="26"/>
      <c r="E7735" s="26"/>
      <c r="F7735" s="26"/>
      <c r="G7735" s="26"/>
      <c r="H7735" s="26"/>
      <c r="I7735" s="26"/>
      <c r="J7735" s="26"/>
      <c r="K7735" s="26"/>
      <c r="L7735" s="26"/>
      <c r="M7735" s="26"/>
      <c r="N7735" s="26"/>
      <c r="O7735" s="14" t="str">
        <f>HYPERLINK("https://otsuka-europe-crm.veevavault.com/ui/#object/email_activity__v/V8C00000004E454", "EN-002109254")</f>
        <v>EN-002109254</v>
      </c>
    </row>
    <row r="7736" spans="1:15" ht="16" x14ac:dyDescent="0.2">
      <c r="A7736" s="19"/>
      <c r="B7736" s="19"/>
      <c r="C7736" s="19"/>
      <c r="D7736" s="19"/>
      <c r="E7736" s="19"/>
      <c r="F7736" s="19"/>
      <c r="G7736" s="19"/>
      <c r="H7736" s="19"/>
      <c r="I7736" s="19"/>
      <c r="J7736" s="19"/>
      <c r="K7736" s="19"/>
      <c r="L7736" s="19"/>
      <c r="M7736" s="19"/>
      <c r="N7736" s="19"/>
      <c r="O7736" s="14" t="str">
        <f>HYPERLINK("https://otsuka-europe-crm.veevavault.com/ui/#object/email_activity__v/V8C00000004E498", "EN-002109333")</f>
        <v>EN-002109333</v>
      </c>
    </row>
    <row r="7737" spans="1:15" ht="32" x14ac:dyDescent="0.2">
      <c r="A7737" s="7" t="str">
        <f>HYPERLINK("https://otsuka-europe-crm.veevavault.com/ui/#object/account__v/V4TZ06G6O71TA5F", "MARIA JOSE GUTIERREZ SANCHEZ")</f>
        <v>MARIA JOSE GUTIERREZ SANCHEZ</v>
      </c>
      <c r="B7737" s="7" t="str">
        <f t="shared" ref="B7737:B7743" si="285">HYPERLINK("https://otsuka-europe-crm.veevavault.com/ui/#object/vcountry__v/VENZ000004SONF5", "ES")</f>
        <v>ES</v>
      </c>
      <c r="C7737" s="8" t="s">
        <v>39</v>
      </c>
      <c r="D7737" s="9" t="str">
        <f>HYPERLINK("https://otsuka-europe-crm.veevavault.com/ui/#object/approved_document__v/V5OZ025E82U16X1", "LUP - Poster Deep Response - nefro")</f>
        <v>LUP - Poster Deep Response - nefro</v>
      </c>
      <c r="E7737" s="10" t="str">
        <f>HYPERLINK("https://otsuka-europe-crm.veevavault.com/ui/#object/sent_email__v/VBL00000003C227", "SE-001445276")</f>
        <v>SE-001445276</v>
      </c>
      <c r="F7737" s="11"/>
      <c r="G7737" s="12">
        <v>0</v>
      </c>
      <c r="H7737" s="12">
        <v>0</v>
      </c>
      <c r="I7737" s="12">
        <v>0</v>
      </c>
      <c r="J7737" s="11"/>
      <c r="K7737" s="12">
        <v>0</v>
      </c>
      <c r="L7737" s="10" t="str">
        <f>HYPERLINK("https://otsuka-europe-crm.veevavault.com/ui/#object/approved_document__v/V5OZ025E82U16X1", "LUP - Poster Deep Response - nefro")</f>
        <v>LUP - Poster Deep Response - nefro</v>
      </c>
      <c r="M7737" s="10" t="str">
        <f t="shared" ref="M7737:M7743" si="286">HYPERLINK("mailto:cmaroto@crm.otsuka-europe.com", "cmaroto@crm.otsuka-europe.com")</f>
        <v>cmaroto@crm.otsuka-europe.com</v>
      </c>
      <c r="N7737" s="13">
        <v>46231.412210648145</v>
      </c>
      <c r="O7737" s="14" t="str">
        <f>HYPERLINK("https://otsuka-europe-crm.veevavault.com/ui/#object/email_activity__v/V8C00000004D563", "EN-002109221")</f>
        <v>EN-002109221</v>
      </c>
    </row>
    <row r="7738" spans="1:15" ht="32" x14ac:dyDescent="0.2">
      <c r="A7738" s="7" t="str">
        <f>HYPERLINK("https://otsuka-europe-crm.veevavault.com/ui/#object/account__v/V4TZ025E87IY5QH", "JULIO FRANCISCO COLINA GARCIA")</f>
        <v>JULIO FRANCISCO COLINA GARCIA</v>
      </c>
      <c r="B7738" s="7" t="str">
        <f t="shared" si="285"/>
        <v>ES</v>
      </c>
      <c r="C7738" s="8" t="s">
        <v>39</v>
      </c>
      <c r="D7738" s="9" t="str">
        <f>HYPERLINK("https://otsuka-europe-crm.veevavault.com/ui/#object/approved_document__v/V5OZ025E82U16X1", "LUP - Poster Deep Response - nefro")</f>
        <v>LUP - Poster Deep Response - nefro</v>
      </c>
      <c r="E7738" s="10" t="str">
        <f>HYPERLINK("https://otsuka-europe-crm.veevavault.com/ui/#object/sent_email__v/VBL00000003C228", "SE-001445277")</f>
        <v>SE-001445277</v>
      </c>
      <c r="F7738" s="11"/>
      <c r="G7738" s="12">
        <v>0</v>
      </c>
      <c r="H7738" s="12">
        <v>0</v>
      </c>
      <c r="I7738" s="12">
        <v>0</v>
      </c>
      <c r="J7738" s="11"/>
      <c r="K7738" s="12">
        <v>0</v>
      </c>
      <c r="L7738" s="10" t="str">
        <f>HYPERLINK("https://otsuka-europe-crm.veevavault.com/ui/#object/approved_document__v/V5OZ025E82U16X1", "LUP - Poster Deep Response - nefro")</f>
        <v>LUP - Poster Deep Response - nefro</v>
      </c>
      <c r="M7738" s="10" t="str">
        <f t="shared" si="286"/>
        <v>cmaroto@crm.otsuka-europe.com</v>
      </c>
      <c r="N7738" s="13">
        <v>46231.412083333336</v>
      </c>
      <c r="O7738" s="14" t="str">
        <f>HYPERLINK("https://otsuka-europe-crm.veevavault.com/ui/#object/email_activity__v/V8C00000004D550", "EN-002109195")</f>
        <v>EN-002109195</v>
      </c>
    </row>
    <row r="7739" spans="1:15" ht="32" x14ac:dyDescent="0.2">
      <c r="A7739" s="7" t="str">
        <f>HYPERLINK("https://otsuka-europe-crm.veevavault.com/ui/#object/account__v/V4TZ06G6O71T7QG", "MARIA VANESSA PEREZ GOMEZ")</f>
        <v>MARIA VANESSA PEREZ GOMEZ</v>
      </c>
      <c r="B7739" s="7" t="str">
        <f t="shared" si="285"/>
        <v>ES</v>
      </c>
      <c r="C7739" s="8" t="s">
        <v>39</v>
      </c>
      <c r="D7739" s="9" t="str">
        <f>HYPERLINK("https://otsuka-europe-crm.veevavault.com/ui/#object/approved_document__v/V5OZ025E82U16X1", "LUP - Poster Deep Response - nefro")</f>
        <v>LUP - Poster Deep Response - nefro</v>
      </c>
      <c r="E7739" s="10" t="str">
        <f>HYPERLINK("https://otsuka-europe-crm.veevavault.com/ui/#object/sent_email__v/VBL00000003C229", "SE-001445278")</f>
        <v>SE-001445278</v>
      </c>
      <c r="F7739" s="11"/>
      <c r="G7739" s="12">
        <v>0</v>
      </c>
      <c r="H7739" s="12">
        <v>0</v>
      </c>
      <c r="I7739" s="12">
        <v>0</v>
      </c>
      <c r="J7739" s="11"/>
      <c r="K7739" s="12">
        <v>0</v>
      </c>
      <c r="L7739" s="10" t="str">
        <f>HYPERLINK("https://otsuka-europe-crm.veevavault.com/ui/#object/approved_document__v/V5OZ025E82U16X1", "LUP - Poster Deep Response - nefro")</f>
        <v>LUP - Poster Deep Response - nefro</v>
      </c>
      <c r="M7739" s="10" t="str">
        <f t="shared" si="286"/>
        <v>cmaroto@crm.otsuka-europe.com</v>
      </c>
      <c r="N7739" s="13">
        <v>46231.412210648145</v>
      </c>
      <c r="O7739" s="14" t="str">
        <f>HYPERLINK("https://otsuka-europe-crm.veevavault.com/ui/#object/email_activity__v/V8C00000004D576", "EN-002109239")</f>
        <v>EN-002109239</v>
      </c>
    </row>
    <row r="7740" spans="1:15" ht="32" x14ac:dyDescent="0.2">
      <c r="A7740" s="7" t="str">
        <f>HYPERLINK("https://otsuka-europe-crm.veevavault.com/ui/#object/account__v/V4TZ06G6O71T9F2", "MARIA DOLORES BARREDA GRANDE")</f>
        <v>MARIA DOLORES BARREDA GRANDE</v>
      </c>
      <c r="B7740" s="7" t="str">
        <f t="shared" si="285"/>
        <v>ES</v>
      </c>
      <c r="C7740" s="8" t="s">
        <v>39</v>
      </c>
      <c r="D7740" s="9" t="str">
        <f>HYPERLINK("https://otsuka-europe-crm.veevavault.com/ui/#object/approved_document__v/V5OZ025E82U16X1", "LUP - Poster Deep Response - nefro")</f>
        <v>LUP - Poster Deep Response - nefro</v>
      </c>
      <c r="E7740" s="10" t="str">
        <f>HYPERLINK("https://otsuka-europe-crm.veevavault.com/ui/#object/sent_email__v/VBL00000003C230", "SE-001445279")</f>
        <v>SE-001445279</v>
      </c>
      <c r="F7740" s="11"/>
      <c r="G7740" s="12">
        <v>0</v>
      </c>
      <c r="H7740" s="12">
        <v>0</v>
      </c>
      <c r="I7740" s="12">
        <v>0</v>
      </c>
      <c r="J7740" s="11"/>
      <c r="K7740" s="12">
        <v>0</v>
      </c>
      <c r="L7740" s="10" t="str">
        <f>HYPERLINK("https://otsuka-europe-crm.veevavault.com/ui/#object/approved_document__v/V5OZ025E82U16X1", "LUP - Poster Deep Response - nefro")</f>
        <v>LUP - Poster Deep Response - nefro</v>
      </c>
      <c r="M7740" s="10" t="str">
        <f t="shared" si="286"/>
        <v>cmaroto@crm.otsuka-europe.com</v>
      </c>
      <c r="N7740" s="13">
        <v>46231.412210648145</v>
      </c>
      <c r="O7740" s="14" t="str">
        <f>HYPERLINK("https://otsuka-europe-crm.veevavault.com/ui/#object/email_activity__v/V8C00000004E436", "EN-002109211")</f>
        <v>EN-002109211</v>
      </c>
    </row>
    <row r="7741" spans="1:15" ht="32" x14ac:dyDescent="0.2">
      <c r="A7741" s="7" t="str">
        <f>HYPERLINK("https://otsuka-europe-crm.veevavault.com/ui/#object/account__v/V4TZ06G6O71TBBD", "GEMMA MARIA MUÑIZ NICOLAS")</f>
        <v>GEMMA MARIA MUÑIZ NICOLAS</v>
      </c>
      <c r="B7741" s="7" t="str">
        <f t="shared" si="285"/>
        <v>ES</v>
      </c>
      <c r="C7741" s="8" t="s">
        <v>39</v>
      </c>
      <c r="D7741" s="9" t="str">
        <f>HYPERLINK("https://otsuka-europe-crm.veevavault.com/ui/#object/approved_document__v/V5OZ025E82U1785", "LUP - Poster Deep Response - reuma")</f>
        <v>LUP - Poster Deep Response - reuma</v>
      </c>
      <c r="E7741" s="10" t="str">
        <f>HYPERLINK("https://otsuka-europe-crm.veevavault.com/ui/#object/sent_email__v/VBL00000003C231", "SE-001445280")</f>
        <v>SE-001445280</v>
      </c>
      <c r="F7741" s="11"/>
      <c r="G7741" s="12">
        <v>0</v>
      </c>
      <c r="H7741" s="12">
        <v>0</v>
      </c>
      <c r="I7741" s="12">
        <v>0</v>
      </c>
      <c r="J7741" s="11"/>
      <c r="K7741" s="12">
        <v>0</v>
      </c>
      <c r="L7741" s="10" t="str">
        <f>HYPERLINK("https://otsuka-europe-crm.veevavault.com/ui/#object/approved_document__v/V5OZ025E82U1785", "LUP - Poster Deep Response - reuma")</f>
        <v>LUP - Poster Deep Response - reuma</v>
      </c>
      <c r="M7741" s="10" t="str">
        <f t="shared" si="286"/>
        <v>cmaroto@crm.otsuka-europe.com</v>
      </c>
      <c r="N7741" s="13">
        <v>46231.412465277775</v>
      </c>
      <c r="O7741" s="14" t="str">
        <f>HYPERLINK("https://otsuka-europe-crm.veevavault.com/ui/#object/email_activity__v/V8C00000004E486", "EN-002109311")</f>
        <v>EN-002109311</v>
      </c>
    </row>
    <row r="7742" spans="1:15" ht="32" x14ac:dyDescent="0.2">
      <c r="A7742" s="7" t="str">
        <f>HYPERLINK("https://otsuka-europe-crm.veevavault.com/ui/#object/account__v/V4TZ025E854GZYW", "JULIO GABRIEL ARIAS MARTINEZ")</f>
        <v>JULIO GABRIEL ARIAS MARTINEZ</v>
      </c>
      <c r="B7742" s="7" t="str">
        <f t="shared" si="285"/>
        <v>ES</v>
      </c>
      <c r="C7742" s="8" t="s">
        <v>39</v>
      </c>
      <c r="D7742" s="9" t="str">
        <f>HYPERLINK("https://otsuka-europe-crm.veevavault.com/ui/#object/approved_document__v/V5OZ025E82U1785", "LUP - Poster Deep Response - reuma")</f>
        <v>LUP - Poster Deep Response - reuma</v>
      </c>
      <c r="E7742" s="10" t="str">
        <f>HYPERLINK("https://otsuka-europe-crm.veevavault.com/ui/#object/sent_email__v/VBL00000003C232", "SE-001445281")</f>
        <v>SE-001445281</v>
      </c>
      <c r="F7742" s="11"/>
      <c r="G7742" s="12">
        <v>0</v>
      </c>
      <c r="H7742" s="12">
        <v>0</v>
      </c>
      <c r="I7742" s="12">
        <v>0</v>
      </c>
      <c r="J7742" s="11"/>
      <c r="K7742" s="12">
        <v>0</v>
      </c>
      <c r="L7742" s="10" t="str">
        <f>HYPERLINK("https://otsuka-europe-crm.veevavault.com/ui/#object/approved_document__v/V5OZ025E82U1785", "LUP - Poster Deep Response - reuma")</f>
        <v>LUP - Poster Deep Response - reuma</v>
      </c>
      <c r="M7742" s="10" t="str">
        <f t="shared" si="286"/>
        <v>cmaroto@crm.otsuka-europe.com</v>
      </c>
      <c r="N7742" s="13">
        <v>46231.412453703706</v>
      </c>
      <c r="O7742" s="14" t="str">
        <f>HYPERLINK("https://otsuka-europe-crm.veevavault.com/ui/#object/email_activity__v/V8C00000004D608", "EN-002109317")</f>
        <v>EN-002109317</v>
      </c>
    </row>
    <row r="7743" spans="1:15" ht="16" x14ac:dyDescent="0.2">
      <c r="A7743" s="18" t="str">
        <f>HYPERLINK("https://otsuka-europe-crm.veevavault.com/ui/#object/account__v/V4TZ025E870865L", "SANDRA SORO MARIN")</f>
        <v>SANDRA SORO MARIN</v>
      </c>
      <c r="B7743" s="18" t="str">
        <f t="shared" si="285"/>
        <v>ES</v>
      </c>
      <c r="C7743" s="20" t="s">
        <v>39</v>
      </c>
      <c r="D7743" s="21" t="str">
        <f>HYPERLINK("https://otsuka-europe-crm.veevavault.com/ui/#object/approved_document__v/V5OZ025E82U1785", "LUP - Poster Deep Response - reuma")</f>
        <v>LUP - Poster Deep Response - reuma</v>
      </c>
      <c r="E7743" s="22" t="str">
        <f>HYPERLINK("https://otsuka-europe-crm.veevavault.com/ui/#object/sent_email__v/VBL00000003C233", "SE-001445282")</f>
        <v>SE-001445282</v>
      </c>
      <c r="F7743" s="23"/>
      <c r="G7743" s="24">
        <v>0</v>
      </c>
      <c r="H7743" s="24">
        <v>0</v>
      </c>
      <c r="I7743" s="24">
        <v>0</v>
      </c>
      <c r="J7743" s="23"/>
      <c r="K7743" s="24">
        <v>0</v>
      </c>
      <c r="L7743" s="22" t="str">
        <f>HYPERLINK("https://otsuka-europe-crm.veevavault.com/ui/#object/approved_document__v/V5OZ025E82U1785", "LUP - Poster Deep Response - reuma")</f>
        <v>LUP - Poster Deep Response - reuma</v>
      </c>
      <c r="M7743" s="22" t="str">
        <f t="shared" si="286"/>
        <v>cmaroto@crm.otsuka-europe.com</v>
      </c>
      <c r="N7743" s="25">
        <v>46231.412453703706</v>
      </c>
      <c r="O7743" s="14" t="str">
        <f>HYPERLINK("https://otsuka-europe-crm.veevavault.com/ui/#object/email_activity__v/V8C00000004E474", "EN-002109293")</f>
        <v>EN-002109293</v>
      </c>
    </row>
    <row r="7744" spans="1:15" ht="16" x14ac:dyDescent="0.2">
      <c r="A7744" s="19"/>
      <c r="B7744" s="19"/>
      <c r="C7744" s="19"/>
      <c r="D7744" s="19"/>
      <c r="E7744" s="19"/>
      <c r="F7744" s="19"/>
      <c r="G7744" s="19"/>
      <c r="H7744" s="19"/>
      <c r="I7744" s="19"/>
      <c r="J7744" s="19"/>
      <c r="K7744" s="19"/>
      <c r="L7744" s="19"/>
      <c r="M7744" s="19"/>
      <c r="N7744" s="19"/>
      <c r="O7744" s="14" t="str">
        <f>HYPERLINK("https://otsuka-europe-crm.veevavault.com/ui/#object/email_activity__v/V8C00000004E606", "EN-002109546")</f>
        <v>EN-002109546</v>
      </c>
    </row>
    <row r="7745" spans="1:15" ht="16" x14ac:dyDescent="0.2">
      <c r="A7745" s="18" t="str">
        <f>HYPERLINK("https://otsuka-europe-crm.veevavault.com/ui/#object/account__v/V4TZ04ASGC4AYQP", "MARIA DOLORES MINGUEZ SANCHEZ")</f>
        <v>MARIA DOLORES MINGUEZ SANCHEZ</v>
      </c>
      <c r="B7745" s="18" t="str">
        <f>HYPERLINK("https://otsuka-europe-crm.veevavault.com/ui/#object/vcountry__v/VENZ000004SONF5", "ES")</f>
        <v>ES</v>
      </c>
      <c r="C7745" s="20" t="s">
        <v>39</v>
      </c>
      <c r="D7745" s="21" t="str">
        <f>HYPERLINK("https://otsuka-europe-crm.veevavault.com/ui/#object/approved_document__v/V5OZ025E82U1785", "LUP - Poster Deep Response - reuma")</f>
        <v>LUP - Poster Deep Response - reuma</v>
      </c>
      <c r="E7745" s="22" t="str">
        <f>HYPERLINK("https://otsuka-europe-crm.veevavault.com/ui/#object/sent_email__v/VBL00000003C234", "SE-001445283")</f>
        <v>SE-001445283</v>
      </c>
      <c r="F7745" s="23"/>
      <c r="G7745" s="24">
        <v>0</v>
      </c>
      <c r="H7745" s="24">
        <v>0</v>
      </c>
      <c r="I7745" s="24">
        <v>0</v>
      </c>
      <c r="J7745" s="23"/>
      <c r="K7745" s="24">
        <v>0</v>
      </c>
      <c r="L7745" s="22" t="str">
        <f>HYPERLINK("https://otsuka-europe-crm.veevavault.com/ui/#object/approved_document__v/V5OZ025E82U1785", "LUP - Poster Deep Response - reuma")</f>
        <v>LUP - Poster Deep Response - reuma</v>
      </c>
      <c r="M7745" s="22" t="str">
        <f>HYPERLINK("mailto:cmaroto@crm.otsuka-europe.com", "cmaroto@crm.otsuka-europe.com")</f>
        <v>cmaroto@crm.otsuka-europe.com</v>
      </c>
      <c r="N7745" s="25">
        <v>46231.412453703706</v>
      </c>
      <c r="O7745" s="14" t="str">
        <f>HYPERLINK("https://otsuka-europe-crm.veevavault.com/ui/#object/email_activity__v/V8C00000004D611", "EN-002109320")</f>
        <v>EN-002109320</v>
      </c>
    </row>
    <row r="7746" spans="1:15" ht="16" x14ac:dyDescent="0.2">
      <c r="A7746" s="19"/>
      <c r="B7746" s="19"/>
      <c r="C7746" s="19"/>
      <c r="D7746" s="19"/>
      <c r="E7746" s="19"/>
      <c r="F7746" s="19"/>
      <c r="G7746" s="19"/>
      <c r="H7746" s="19"/>
      <c r="I7746" s="19"/>
      <c r="J7746" s="19"/>
      <c r="K7746" s="19"/>
      <c r="L7746" s="19"/>
      <c r="M7746" s="19"/>
      <c r="N7746" s="19"/>
      <c r="O7746" s="14" t="str">
        <f>HYPERLINK("https://otsuka-europe-crm.veevavault.com/ui/#object/email_activity__v/V8C00000004E588", "EN-002109513")</f>
        <v>EN-002109513</v>
      </c>
    </row>
    <row r="7747" spans="1:15" ht="16" x14ac:dyDescent="0.2">
      <c r="A7747" s="18" t="str">
        <f>HYPERLINK("https://otsuka-europe-crm.veevavault.com/ui/#object/account__v/V4TZ025E875IE87", "ARANTXA TORRES ROSELLO")</f>
        <v>ARANTXA TORRES ROSELLO</v>
      </c>
      <c r="B7747" s="18" t="str">
        <f>HYPERLINK("https://otsuka-europe-crm.veevavault.com/ui/#object/vcountry__v/VENZ000004SONF5", "ES")</f>
        <v>ES</v>
      </c>
      <c r="C7747" s="20" t="s">
        <v>39</v>
      </c>
      <c r="D7747" s="21" t="str">
        <f>HYPERLINK("https://otsuka-europe-crm.veevavault.com/ui/#object/approved_document__v/V5OZ025E82U1785", "LUP - Poster Deep Response - reuma")</f>
        <v>LUP - Poster Deep Response - reuma</v>
      </c>
      <c r="E7747" s="22" t="str">
        <f>HYPERLINK("https://otsuka-europe-crm.veevavault.com/ui/#object/sent_email__v/VBL00000003C235", "SE-001445284")</f>
        <v>SE-001445284</v>
      </c>
      <c r="F7747" s="25">
        <v>46231.419571759259</v>
      </c>
      <c r="G7747" s="24">
        <v>1</v>
      </c>
      <c r="H7747" s="24">
        <v>3</v>
      </c>
      <c r="I7747" s="24">
        <v>0</v>
      </c>
      <c r="J7747" s="23"/>
      <c r="K7747" s="24">
        <v>0</v>
      </c>
      <c r="L7747" s="22" t="str">
        <f>HYPERLINK("https://otsuka-europe-crm.veevavault.com/ui/#object/approved_document__v/V5OZ025E82U1785", "LUP - Poster Deep Response - reuma")</f>
        <v>LUP - Poster Deep Response - reuma</v>
      </c>
      <c r="M7747" s="22" t="str">
        <f>HYPERLINK("mailto:cmaroto@crm.otsuka-europe.com", "cmaroto@crm.otsuka-europe.com")</f>
        <v>cmaroto@crm.otsuka-europe.com</v>
      </c>
      <c r="N7747" s="25">
        <v>46231.412453703706</v>
      </c>
      <c r="O7747" s="14" t="str">
        <f>HYPERLINK("https://otsuka-europe-crm.veevavault.com/ui/#object/email_activity__v/V8C00000004D618", "EN-002109334")</f>
        <v>EN-002109334</v>
      </c>
    </row>
    <row r="7748" spans="1:15" ht="16" x14ac:dyDescent="0.2">
      <c r="A7748" s="26"/>
      <c r="B7748" s="26"/>
      <c r="C7748" s="26"/>
      <c r="D7748" s="26"/>
      <c r="E7748" s="26"/>
      <c r="F7748" s="26"/>
      <c r="G7748" s="26"/>
      <c r="H7748" s="26"/>
      <c r="I7748" s="26"/>
      <c r="J7748" s="26"/>
      <c r="K7748" s="26"/>
      <c r="L7748" s="26"/>
      <c r="M7748" s="26"/>
      <c r="N7748" s="26"/>
      <c r="O7748" s="14" t="str">
        <f>HYPERLINK("https://otsuka-europe-crm.veevavault.com/ui/#object/email_activity__v/V8C00000004D625", "EN-002109347")</f>
        <v>EN-002109347</v>
      </c>
    </row>
    <row r="7749" spans="1:15" ht="16" x14ac:dyDescent="0.2">
      <c r="A7749" s="26"/>
      <c r="B7749" s="26"/>
      <c r="C7749" s="26"/>
      <c r="D7749" s="26"/>
      <c r="E7749" s="26"/>
      <c r="F7749" s="26"/>
      <c r="G7749" s="26"/>
      <c r="H7749" s="26"/>
      <c r="I7749" s="26"/>
      <c r="J7749" s="26"/>
      <c r="K7749" s="26"/>
      <c r="L7749" s="26"/>
      <c r="M7749" s="26"/>
      <c r="N7749" s="26"/>
      <c r="O7749" s="14" t="str">
        <f>HYPERLINK("https://otsuka-europe-crm.veevavault.com/ui/#object/email_activity__v/V8C00000004D626", "EN-002109348")</f>
        <v>EN-002109348</v>
      </c>
    </row>
    <row r="7750" spans="1:15" ht="16" x14ac:dyDescent="0.2">
      <c r="A7750" s="19"/>
      <c r="B7750" s="19"/>
      <c r="C7750" s="19"/>
      <c r="D7750" s="19"/>
      <c r="E7750" s="19"/>
      <c r="F7750" s="19"/>
      <c r="G7750" s="19"/>
      <c r="H7750" s="19"/>
      <c r="I7750" s="19"/>
      <c r="J7750" s="19"/>
      <c r="K7750" s="19"/>
      <c r="L7750" s="19"/>
      <c r="M7750" s="19"/>
      <c r="N7750" s="19"/>
      <c r="O7750" s="14" t="str">
        <f>HYPERLINK("https://otsuka-europe-crm.veevavault.com/ui/#object/email_activity__v/V8C00000004E493", "EN-002109322")</f>
        <v>EN-002109322</v>
      </c>
    </row>
    <row r="7751" spans="1:15" ht="32" x14ac:dyDescent="0.2">
      <c r="A7751" s="7" t="str">
        <f>HYPERLINK("https://otsuka-europe-crm.veevavault.com/ui/#object/account__v/V4TZ04ASGAPA4S4", "SHEILA RECUERO DIAZ")</f>
        <v>SHEILA RECUERO DIAZ</v>
      </c>
      <c r="B7751" s="7" t="str">
        <f>HYPERLINK("https://otsuka-europe-crm.veevavault.com/ui/#object/vcountry__v/VENZ000004SONF5", "ES")</f>
        <v>ES</v>
      </c>
      <c r="C7751" s="8" t="s">
        <v>39</v>
      </c>
      <c r="D7751" s="9" t="str">
        <f>HYPERLINK("https://otsuka-europe-crm.veevavault.com/ui/#object/approved_document__v/V5OZ025E82U1785", "LUP - Poster Deep Response - reuma")</f>
        <v>LUP - Poster Deep Response - reuma</v>
      </c>
      <c r="E7751" s="10" t="str">
        <f>HYPERLINK("https://otsuka-europe-crm.veevavault.com/ui/#object/sent_email__v/VBL00000003C236", "SE-001445285")</f>
        <v>SE-001445285</v>
      </c>
      <c r="F7751" s="11"/>
      <c r="G7751" s="12">
        <v>0</v>
      </c>
      <c r="H7751" s="12">
        <v>0</v>
      </c>
      <c r="I7751" s="12">
        <v>0</v>
      </c>
      <c r="J7751" s="11"/>
      <c r="K7751" s="12">
        <v>0</v>
      </c>
      <c r="L7751" s="10" t="str">
        <f>HYPERLINK("https://otsuka-europe-crm.veevavault.com/ui/#object/approved_document__v/V5OZ025E82U1785", "LUP - Poster Deep Response - reuma")</f>
        <v>LUP - Poster Deep Response - reuma</v>
      </c>
      <c r="M7751" s="10" t="str">
        <f>HYPERLINK("mailto:cmaroto@crm.otsuka-europe.com", "cmaroto@crm.otsuka-europe.com")</f>
        <v>cmaroto@crm.otsuka-europe.com</v>
      </c>
      <c r="N7751" s="13">
        <v>46231.412453703706</v>
      </c>
      <c r="O7751" s="14" t="str">
        <f>HYPERLINK("https://otsuka-europe-crm.veevavault.com/ui/#object/email_activity__v/V8C00000004E496", "EN-002109325")</f>
        <v>EN-002109325</v>
      </c>
    </row>
    <row r="7752" spans="1:15" ht="16" x14ac:dyDescent="0.2">
      <c r="A7752" s="18" t="str">
        <f>HYPERLINK("https://otsuka-europe-crm.veevavault.com/ui/#object/account__v/V4TZ04ASGGI51MW", "RAUL RUIZ ESTEBAN")</f>
        <v>RAUL RUIZ ESTEBAN</v>
      </c>
      <c r="B7752" s="18" t="str">
        <f>HYPERLINK("https://otsuka-europe-crm.veevavault.com/ui/#object/vcountry__v/VENZ000004SONF5", "ES")</f>
        <v>ES</v>
      </c>
      <c r="C7752" s="20" t="s">
        <v>39</v>
      </c>
      <c r="D7752" s="21" t="str">
        <f>HYPERLINK("https://otsuka-europe-crm.veevavault.com/ui/#object/approved_document__v/V5OZ025E82U1785", "LUP - Poster Deep Response - reuma")</f>
        <v>LUP - Poster Deep Response - reuma</v>
      </c>
      <c r="E7752" s="22" t="str">
        <f>HYPERLINK("https://otsuka-europe-crm.veevavault.com/ui/#object/sent_email__v/VBL00000003C237", "SE-001445286")</f>
        <v>SE-001445286</v>
      </c>
      <c r="F7752" s="23"/>
      <c r="G7752" s="24">
        <v>0</v>
      </c>
      <c r="H7752" s="24">
        <v>0</v>
      </c>
      <c r="I7752" s="24">
        <v>0</v>
      </c>
      <c r="J7752" s="23"/>
      <c r="K7752" s="24">
        <v>0</v>
      </c>
      <c r="L7752" s="22" t="str">
        <f>HYPERLINK("https://otsuka-europe-crm.veevavault.com/ui/#object/approved_document__v/V5OZ025E82U1785", "LUP - Poster Deep Response - reuma")</f>
        <v>LUP - Poster Deep Response - reuma</v>
      </c>
      <c r="M7752" s="22" t="str">
        <f>HYPERLINK("mailto:cmaroto@crm.otsuka-europe.com", "cmaroto@crm.otsuka-europe.com")</f>
        <v>cmaroto@crm.otsuka-europe.com</v>
      </c>
      <c r="N7752" s="25">
        <v>46231.412465277775</v>
      </c>
      <c r="O7752" s="14" t="str">
        <f>HYPERLINK("https://otsuka-europe-crm.veevavault.com/ui/#object/email_activity__v/V8C00000004D619", "EN-002109335")</f>
        <v>EN-002109335</v>
      </c>
    </row>
    <row r="7753" spans="1:15" ht="16" x14ac:dyDescent="0.2">
      <c r="A7753" s="19"/>
      <c r="B7753" s="19"/>
      <c r="C7753" s="19"/>
      <c r="D7753" s="19"/>
      <c r="E7753" s="19"/>
      <c r="F7753" s="19"/>
      <c r="G7753" s="19"/>
      <c r="H7753" s="19"/>
      <c r="I7753" s="19"/>
      <c r="J7753" s="19"/>
      <c r="K7753" s="19"/>
      <c r="L7753" s="19"/>
      <c r="M7753" s="19"/>
      <c r="N7753" s="19"/>
      <c r="O7753" s="14" t="str">
        <f>HYPERLINK("https://otsuka-europe-crm.veevavault.com/ui/#object/email_activity__v/V8C00000004E490", "EN-002109315")</f>
        <v>EN-002109315</v>
      </c>
    </row>
    <row r="7754" spans="1:15" ht="32" x14ac:dyDescent="0.2">
      <c r="A7754" s="7" t="str">
        <f>HYPERLINK("https://otsuka-europe-crm.veevavault.com/ui/#object/account__v/V4TZ04ASGAZN3BD", "MARIA GLORIA GARCIA-CONSUEGRA SANCHEZ-CAMACHO")</f>
        <v>MARIA GLORIA GARCIA-CONSUEGRA SANCHEZ-CAMACHO</v>
      </c>
      <c r="B7754" s="7" t="str">
        <f>HYPERLINK("https://otsuka-europe-crm.veevavault.com/ui/#object/vcountry__v/VENZ000004SONF5", "ES")</f>
        <v>ES</v>
      </c>
      <c r="C7754" s="8" t="s">
        <v>39</v>
      </c>
      <c r="D7754" s="9" t="str">
        <f>HYPERLINK("https://otsuka-europe-crm.veevavault.com/ui/#object/approved_document__v/V5OZ025E82U1785", "LUP - Poster Deep Response - reuma")</f>
        <v>LUP - Poster Deep Response - reuma</v>
      </c>
      <c r="E7754" s="10" t="str">
        <f>HYPERLINK("https://otsuka-europe-crm.veevavault.com/ui/#object/sent_email__v/VBL00000003C238", "SE-001445287")</f>
        <v>SE-001445287</v>
      </c>
      <c r="F7754" s="11"/>
      <c r="G7754" s="12">
        <v>0</v>
      </c>
      <c r="H7754" s="12">
        <v>0</v>
      </c>
      <c r="I7754" s="12">
        <v>0</v>
      </c>
      <c r="J7754" s="11"/>
      <c r="K7754" s="12">
        <v>0</v>
      </c>
      <c r="L7754" s="10" t="str">
        <f>HYPERLINK("https://otsuka-europe-crm.veevavault.com/ui/#object/approved_document__v/V5OZ025E82U1785", "LUP - Poster Deep Response - reuma")</f>
        <v>LUP - Poster Deep Response - reuma</v>
      </c>
      <c r="M7754" s="10" t="str">
        <f>HYPERLINK("mailto:cmaroto@crm.otsuka-europe.com", "cmaroto@crm.otsuka-europe.com")</f>
        <v>cmaroto@crm.otsuka-europe.com</v>
      </c>
      <c r="N7754" s="13">
        <v>46231.412453703706</v>
      </c>
      <c r="O7754" s="14" t="str">
        <f>HYPERLINK("https://otsuka-europe-crm.veevavault.com/ui/#object/email_activity__v/V8C00000004E476", "EN-002109295")</f>
        <v>EN-002109295</v>
      </c>
    </row>
    <row r="7755" spans="1:15" ht="32" x14ac:dyDescent="0.2">
      <c r="A7755" s="7" t="str">
        <f>HYPERLINK("https://otsuka-europe-crm.veevavault.com/ui/#object/account__v/V4TZ04ASG9UGAA5", "MARIA ESTHER RODRIGUEZ ALMARAZ")</f>
        <v>MARIA ESTHER RODRIGUEZ ALMARAZ</v>
      </c>
      <c r="B7755" s="7" t="str">
        <f>HYPERLINK("https://otsuka-europe-crm.veevavault.com/ui/#object/vcountry__v/VENZ000004SONF5", "ES")</f>
        <v>ES</v>
      </c>
      <c r="C7755" s="8" t="s">
        <v>39</v>
      </c>
      <c r="D7755" s="9" t="str">
        <f>HYPERLINK("https://otsuka-europe-crm.veevavault.com/ui/#object/approved_document__v/V5OZ025E82U1785", "LUP - Poster Deep Response - reuma")</f>
        <v>LUP - Poster Deep Response - reuma</v>
      </c>
      <c r="E7755" s="10" t="str">
        <f>HYPERLINK("https://otsuka-europe-crm.veevavault.com/ui/#object/sent_email__v/VBL00000003C239", "SE-001445288")</f>
        <v>SE-001445288</v>
      </c>
      <c r="F7755" s="11"/>
      <c r="G7755" s="12">
        <v>0</v>
      </c>
      <c r="H7755" s="12">
        <v>0</v>
      </c>
      <c r="I7755" s="12">
        <v>0</v>
      </c>
      <c r="J7755" s="11"/>
      <c r="K7755" s="12">
        <v>0</v>
      </c>
      <c r="L7755" s="10" t="str">
        <f>HYPERLINK("https://otsuka-europe-crm.veevavault.com/ui/#object/approved_document__v/V5OZ025E82U1785", "LUP - Poster Deep Response - reuma")</f>
        <v>LUP - Poster Deep Response - reuma</v>
      </c>
      <c r="M7755" s="10" t="str">
        <f>HYPERLINK("mailto:cmaroto@crm.otsuka-europe.com", "cmaroto@crm.otsuka-europe.com")</f>
        <v>cmaroto@crm.otsuka-europe.com</v>
      </c>
      <c r="N7755" s="13">
        <v>46231.412453703706</v>
      </c>
      <c r="O7755" s="14" t="str">
        <f>HYPERLINK("https://otsuka-europe-crm.veevavault.com/ui/#object/email_activity__v/V8C00000004D609", "EN-002109318")</f>
        <v>EN-002109318</v>
      </c>
    </row>
    <row r="7756" spans="1:15" ht="16" x14ac:dyDescent="0.2">
      <c r="A7756" s="18" t="str">
        <f>HYPERLINK("https://otsuka-europe-crm.veevavault.com/ui/#object/account__v/V4TZ025E88RMSAY", "MARIA PILAR IRANZO ALCOLEA")</f>
        <v>MARIA PILAR IRANZO ALCOLEA</v>
      </c>
      <c r="B7756" s="18" t="str">
        <f>HYPERLINK("https://otsuka-europe-crm.veevavault.com/ui/#object/vcountry__v/VENZ000004SONF5", "ES")</f>
        <v>ES</v>
      </c>
      <c r="C7756" s="20" t="s">
        <v>39</v>
      </c>
      <c r="D7756" s="21" t="str">
        <f>HYPERLINK("https://otsuka-europe-crm.veevavault.com/ui/#object/approved_document__v/V5OZ025E82U1785", "LUP - Poster Deep Response - reuma")</f>
        <v>LUP - Poster Deep Response - reuma</v>
      </c>
      <c r="E7756" s="22" t="str">
        <f>HYPERLINK("https://otsuka-europe-crm.veevavault.com/ui/#object/sent_email__v/VBL00000003C240", "SE-001445289")</f>
        <v>SE-001445289</v>
      </c>
      <c r="F7756" s="25">
        <v>46231.648923611108</v>
      </c>
      <c r="G7756" s="24">
        <v>1</v>
      </c>
      <c r="H7756" s="24">
        <v>2</v>
      </c>
      <c r="I7756" s="24">
        <v>0</v>
      </c>
      <c r="J7756" s="23"/>
      <c r="K7756" s="24">
        <v>0</v>
      </c>
      <c r="L7756" s="22" t="str">
        <f>HYPERLINK("https://otsuka-europe-crm.veevavault.com/ui/#object/approved_document__v/V5OZ025E82U1785", "LUP - Poster Deep Response - reuma")</f>
        <v>LUP - Poster Deep Response - reuma</v>
      </c>
      <c r="M7756" s="22" t="str">
        <f>HYPERLINK("mailto:cmaroto@crm.otsuka-europe.com", "cmaroto@crm.otsuka-europe.com")</f>
        <v>cmaroto@crm.otsuka-europe.com</v>
      </c>
      <c r="N7756" s="25">
        <v>46231.412453703706</v>
      </c>
      <c r="O7756" s="14" t="str">
        <f>HYPERLINK("https://otsuka-europe-crm.veevavault.com/ui/#object/email_activity__v/V8C00000004D683", "EN-002109466")</f>
        <v>EN-002109466</v>
      </c>
    </row>
    <row r="7757" spans="1:15" ht="16" x14ac:dyDescent="0.2">
      <c r="A7757" s="26"/>
      <c r="B7757" s="26"/>
      <c r="C7757" s="26"/>
      <c r="D7757" s="26"/>
      <c r="E7757" s="26"/>
      <c r="F7757" s="26"/>
      <c r="G7757" s="26"/>
      <c r="H7757" s="26"/>
      <c r="I7757" s="26"/>
      <c r="J7757" s="26"/>
      <c r="K7757" s="26"/>
      <c r="L7757" s="26"/>
      <c r="M7757" s="26"/>
      <c r="N7757" s="26"/>
      <c r="O7757" s="14" t="str">
        <f>HYPERLINK("https://otsuka-europe-crm.veevavault.com/ui/#object/email_activity__v/V8C00000004E468", "EN-002109287")</f>
        <v>EN-002109287</v>
      </c>
    </row>
    <row r="7758" spans="1:15" ht="16" x14ac:dyDescent="0.2">
      <c r="A7758" s="26"/>
      <c r="B7758" s="26"/>
      <c r="C7758" s="26"/>
      <c r="D7758" s="26"/>
      <c r="E7758" s="26"/>
      <c r="F7758" s="26"/>
      <c r="G7758" s="26"/>
      <c r="H7758" s="26"/>
      <c r="I7758" s="26"/>
      <c r="J7758" s="26"/>
      <c r="K7758" s="26"/>
      <c r="L7758" s="26"/>
      <c r="M7758" s="26"/>
      <c r="N7758" s="26"/>
      <c r="O7758" s="14" t="str">
        <f>HYPERLINK("https://otsuka-europe-crm.veevavault.com/ui/#object/email_activity__v/V8C00000004E520", "EN-002109383")</f>
        <v>EN-002109383</v>
      </c>
    </row>
    <row r="7759" spans="1:15" ht="16" x14ac:dyDescent="0.2">
      <c r="A7759" s="19"/>
      <c r="B7759" s="19"/>
      <c r="C7759" s="19"/>
      <c r="D7759" s="19"/>
      <c r="E7759" s="19"/>
      <c r="F7759" s="19"/>
      <c r="G7759" s="19"/>
      <c r="H7759" s="19"/>
      <c r="I7759" s="19"/>
      <c r="J7759" s="19"/>
      <c r="K7759" s="19"/>
      <c r="L7759" s="19"/>
      <c r="M7759" s="19"/>
      <c r="N7759" s="19"/>
      <c r="O7759" s="14" t="str">
        <f>HYPERLINK("https://otsuka-europe-crm.veevavault.com/ui/#object/email_activity__v/V8C00000004E589", "EN-002109514")</f>
        <v>EN-002109514</v>
      </c>
    </row>
    <row r="7760" spans="1:15" ht="16" x14ac:dyDescent="0.2">
      <c r="A7760" s="18" t="str">
        <f>HYPERLINK("https://otsuka-europe-crm.veevavault.com/ui/#object/account__v/V4TZ04ASGBJNHN6", "MANUEL FERNANDEZ PRADA")</f>
        <v>MANUEL FERNANDEZ PRADA</v>
      </c>
      <c r="B7760" s="18" t="str">
        <f>HYPERLINK("https://otsuka-europe-crm.veevavault.com/ui/#object/vcountry__v/VENZ000004SONF5", "ES")</f>
        <v>ES</v>
      </c>
      <c r="C7760" s="20" t="s">
        <v>39</v>
      </c>
      <c r="D7760" s="21" t="str">
        <f>HYPERLINK("https://otsuka-europe-crm.veevavault.com/ui/#object/approved_document__v/V5OZ025E82U1785", "LUP - Poster Deep Response - reuma")</f>
        <v>LUP - Poster Deep Response - reuma</v>
      </c>
      <c r="E7760" s="22" t="str">
        <f>HYPERLINK("https://otsuka-europe-crm.veevavault.com/ui/#object/sent_email__v/VBL00000003C241", "SE-001445290")</f>
        <v>SE-001445290</v>
      </c>
      <c r="F7760" s="25">
        <v>46235.042592592596</v>
      </c>
      <c r="G7760" s="24">
        <v>1</v>
      </c>
      <c r="H7760" s="24">
        <v>1</v>
      </c>
      <c r="I7760" s="24">
        <v>0</v>
      </c>
      <c r="J7760" s="23"/>
      <c r="K7760" s="24">
        <v>0</v>
      </c>
      <c r="L7760" s="22" t="str">
        <f>HYPERLINK("https://otsuka-europe-crm.veevavault.com/ui/#object/approved_document__v/V5OZ025E82U1785", "LUP - Poster Deep Response - reuma")</f>
        <v>LUP - Poster Deep Response - reuma</v>
      </c>
      <c r="M7760" s="22" t="str">
        <f>HYPERLINK("mailto:cmaroto@crm.otsuka-europe.com", "cmaroto@crm.otsuka-europe.com")</f>
        <v>cmaroto@crm.otsuka-europe.com</v>
      </c>
      <c r="N7760" s="25">
        <v>46231.412499999999</v>
      </c>
      <c r="O7760" s="14" t="str">
        <f>HYPERLINK("https://otsuka-europe-crm.veevavault.com/ui/#object/email_activity__v/V8C00000004E488", "EN-002109313")</f>
        <v>EN-002109313</v>
      </c>
    </row>
    <row r="7761" spans="1:15" ht="16" x14ac:dyDescent="0.2">
      <c r="A7761" s="19"/>
      <c r="B7761" s="19"/>
      <c r="C7761" s="19"/>
      <c r="D7761" s="19"/>
      <c r="E7761" s="19"/>
      <c r="F7761" s="19"/>
      <c r="G7761" s="19"/>
      <c r="H7761" s="19"/>
      <c r="I7761" s="19"/>
      <c r="J7761" s="19"/>
      <c r="K7761" s="19"/>
      <c r="L7761" s="19"/>
      <c r="M7761" s="19"/>
      <c r="N7761" s="19"/>
      <c r="O7761" s="14" t="str">
        <f>HYPERLINK("https://otsuka-europe-crm.veevavault.com/ui/#object/email_activity__v/V8C00000004F500", "EN-002110945")</f>
        <v>EN-002110945</v>
      </c>
    </row>
    <row r="7762" spans="1:15" ht="32" x14ac:dyDescent="0.2">
      <c r="A7762" s="7" t="str">
        <f>HYPERLINK("https://otsuka-europe-crm.veevavault.com/ui/#object/account__v/V4TZ04ASG6ZNUNE", "MONTSERRAT PEREZ PINAR")</f>
        <v>MONTSERRAT PEREZ PINAR</v>
      </c>
      <c r="B7762" s="7" t="str">
        <f>HYPERLINK("https://otsuka-europe-crm.veevavault.com/ui/#object/vcountry__v/VENZ000004SONF5", "ES")</f>
        <v>ES</v>
      </c>
      <c r="C7762" s="8" t="s">
        <v>39</v>
      </c>
      <c r="D7762" s="9" t="str">
        <f>HYPERLINK("https://otsuka-europe-crm.veevavault.com/ui/#object/approved_document__v/V5OZ025E82U1785", "LUP - Poster Deep Response - reuma")</f>
        <v>LUP - Poster Deep Response - reuma</v>
      </c>
      <c r="E7762" s="10" t="str">
        <f>HYPERLINK("https://otsuka-europe-crm.veevavault.com/ui/#object/sent_email__v/VBL00000003C242", "SE-001445291")</f>
        <v>SE-001445291</v>
      </c>
      <c r="F7762" s="11"/>
      <c r="G7762" s="12">
        <v>0</v>
      </c>
      <c r="H7762" s="12">
        <v>0</v>
      </c>
      <c r="I7762" s="12">
        <v>0</v>
      </c>
      <c r="J7762" s="11"/>
      <c r="K7762" s="12">
        <v>0</v>
      </c>
      <c r="L7762" s="10" t="str">
        <f>HYPERLINK("https://otsuka-europe-crm.veevavault.com/ui/#object/approved_document__v/V5OZ025E82U1785", "LUP - Poster Deep Response - reuma")</f>
        <v>LUP - Poster Deep Response - reuma</v>
      </c>
      <c r="M7762" s="10" t="str">
        <f>HYPERLINK("mailto:cmaroto@crm.otsuka-europe.com", "cmaroto@crm.otsuka-europe.com")</f>
        <v>cmaroto@crm.otsuka-europe.com</v>
      </c>
      <c r="N7762" s="13">
        <v>46231.412453703706</v>
      </c>
      <c r="O7762" s="14" t="str">
        <f>HYPERLINK("https://otsuka-europe-crm.veevavault.com/ui/#object/email_activity__v/V8C00000004E492", "EN-002109321")</f>
        <v>EN-002109321</v>
      </c>
    </row>
    <row r="7763" spans="1:15" ht="32" x14ac:dyDescent="0.2">
      <c r="A7763" s="7" t="str">
        <f>HYPERLINK("https://otsuka-europe-crm.veevavault.com/ui/#object/account__v/V4TZ06G6OB46CWI", "FERNANDO LOZANO MORILLO")</f>
        <v>FERNANDO LOZANO MORILLO</v>
      </c>
      <c r="B7763" s="7" t="str">
        <f>HYPERLINK("https://otsuka-europe-crm.veevavault.com/ui/#object/vcountry__v/VENZ000004SONF5", "ES")</f>
        <v>ES</v>
      </c>
      <c r="C7763" s="8" t="s">
        <v>39</v>
      </c>
      <c r="D7763" s="9" t="str">
        <f>HYPERLINK("https://otsuka-europe-crm.veevavault.com/ui/#object/approved_document__v/V5OZ025E82U1785", "LUP - Poster Deep Response - reuma")</f>
        <v>LUP - Poster Deep Response - reuma</v>
      </c>
      <c r="E7763" s="10" t="str">
        <f>HYPERLINK("https://otsuka-europe-crm.veevavault.com/ui/#object/sent_email__v/VBL00000003C243", "SE-001445292")</f>
        <v>SE-001445292</v>
      </c>
      <c r="F7763" s="11"/>
      <c r="G7763" s="12">
        <v>0</v>
      </c>
      <c r="H7763" s="12">
        <v>0</v>
      </c>
      <c r="I7763" s="12">
        <v>0</v>
      </c>
      <c r="J7763" s="11"/>
      <c r="K7763" s="12">
        <v>0</v>
      </c>
      <c r="L7763" s="10" t="str">
        <f>HYPERLINK("https://otsuka-europe-crm.veevavault.com/ui/#object/approved_document__v/V5OZ025E82U1785", "LUP - Poster Deep Response - reuma")</f>
        <v>LUP - Poster Deep Response - reuma</v>
      </c>
      <c r="M7763" s="10" t="str">
        <f>HYPERLINK("mailto:cmaroto@crm.otsuka-europe.com", "cmaroto@crm.otsuka-europe.com")</f>
        <v>cmaroto@crm.otsuka-europe.com</v>
      </c>
      <c r="N7763" s="13">
        <v>46231.412453703706</v>
      </c>
      <c r="O7763" s="14" t="str">
        <f>HYPERLINK("https://otsuka-europe-crm.veevavault.com/ui/#object/email_activity__v/V8C00000004E482", "EN-002109307")</f>
        <v>EN-002109307</v>
      </c>
    </row>
    <row r="7764" spans="1:15" ht="16" x14ac:dyDescent="0.2">
      <c r="A7764" s="18" t="str">
        <f>HYPERLINK("https://otsuka-europe-crm.veevavault.com/ui/#object/account__v/V4TZ06G6O71T7DQ", "LAURA MUÑOZ FERNANDEZ")</f>
        <v>LAURA MUÑOZ FERNANDEZ</v>
      </c>
      <c r="B7764" s="18" t="str">
        <f>HYPERLINK("https://otsuka-europe-crm.veevavault.com/ui/#object/vcountry__v/VENZ000004SONF5", "ES")</f>
        <v>ES</v>
      </c>
      <c r="C7764" s="20" t="s">
        <v>39</v>
      </c>
      <c r="D7764" s="21" t="str">
        <f>HYPERLINK("https://otsuka-europe-crm.veevavault.com/ui/#object/approved_document__v/V5OZ025E82U1785", "LUP - Poster Deep Response - reuma")</f>
        <v>LUP - Poster Deep Response - reuma</v>
      </c>
      <c r="E7764" s="22" t="str">
        <f>HYPERLINK("https://otsuka-europe-crm.veevavault.com/ui/#object/sent_email__v/VBL00000003C244", "SE-001445293")</f>
        <v>SE-001445293</v>
      </c>
      <c r="F7764" s="25">
        <v>46232.087037037039</v>
      </c>
      <c r="G7764" s="24">
        <v>1</v>
      </c>
      <c r="H7764" s="24">
        <v>1</v>
      </c>
      <c r="I7764" s="24">
        <v>0</v>
      </c>
      <c r="J7764" s="23"/>
      <c r="K7764" s="24">
        <v>0</v>
      </c>
      <c r="L7764" s="22" t="str">
        <f>HYPERLINK("https://otsuka-europe-crm.veevavault.com/ui/#object/approved_document__v/V5OZ025E82U1785", "LUP - Poster Deep Response - reuma")</f>
        <v>LUP - Poster Deep Response - reuma</v>
      </c>
      <c r="M7764" s="22" t="str">
        <f>HYPERLINK("mailto:cmaroto@crm.otsuka-europe.com", "cmaroto@crm.otsuka-europe.com")</f>
        <v>cmaroto@crm.otsuka-europe.com</v>
      </c>
      <c r="N7764" s="25">
        <v>46231.412453703706</v>
      </c>
      <c r="O7764" s="14" t="str">
        <f>HYPERLINK("https://otsuka-europe-crm.veevavault.com/ui/#object/email_activity__v/V8C00000004D606", "EN-002109304")</f>
        <v>EN-002109304</v>
      </c>
    </row>
    <row r="7765" spans="1:15" ht="16" x14ac:dyDescent="0.2">
      <c r="A7765" s="19"/>
      <c r="B7765" s="19"/>
      <c r="C7765" s="19"/>
      <c r="D7765" s="19"/>
      <c r="E7765" s="19"/>
      <c r="F7765" s="19"/>
      <c r="G7765" s="19"/>
      <c r="H7765" s="19"/>
      <c r="I7765" s="19"/>
      <c r="J7765" s="19"/>
      <c r="K7765" s="19"/>
      <c r="L7765" s="19"/>
      <c r="M7765" s="19"/>
      <c r="N7765" s="19"/>
      <c r="O7765" s="14" t="str">
        <f>HYPERLINK("https://otsuka-europe-crm.veevavault.com/ui/#object/email_activity__v/V8C00000004D708", "EN-002109515")</f>
        <v>EN-002109515</v>
      </c>
    </row>
    <row r="7766" spans="1:15" ht="16" x14ac:dyDescent="0.2">
      <c r="A7766" s="18" t="str">
        <f>HYPERLINK("https://otsuka-europe-crm.veevavault.com/ui/#object/account__v/V4TZ025E87A4EJA", "ADRIAN GOMEZ GARCIA-CONSUEGRA")</f>
        <v>ADRIAN GOMEZ GARCIA-CONSUEGRA</v>
      </c>
      <c r="B7766" s="18" t="str">
        <f>HYPERLINK("https://otsuka-europe-crm.veevavault.com/ui/#object/vcountry__v/VENZ000004SONF5", "ES")</f>
        <v>ES</v>
      </c>
      <c r="C7766" s="20" t="s">
        <v>39</v>
      </c>
      <c r="D7766" s="21" t="str">
        <f>HYPERLINK("https://otsuka-europe-crm.veevavault.com/ui/#object/approved_document__v/V5OZ025E82U1785", "LUP - Poster Deep Response - reuma")</f>
        <v>LUP - Poster Deep Response - reuma</v>
      </c>
      <c r="E7766" s="22" t="str">
        <f>HYPERLINK("https://otsuka-europe-crm.veevavault.com/ui/#object/sent_email__v/VBL00000003C245", "SE-001445294")</f>
        <v>SE-001445294</v>
      </c>
      <c r="F7766" s="25">
        <v>46232.36173611111</v>
      </c>
      <c r="G7766" s="24">
        <v>1</v>
      </c>
      <c r="H7766" s="24">
        <v>2</v>
      </c>
      <c r="I7766" s="24">
        <v>0</v>
      </c>
      <c r="J7766" s="23"/>
      <c r="K7766" s="24">
        <v>0</v>
      </c>
      <c r="L7766" s="22" t="str">
        <f>HYPERLINK("https://otsuka-europe-crm.veevavault.com/ui/#object/approved_document__v/V5OZ025E82U1785", "LUP - Poster Deep Response - reuma")</f>
        <v>LUP - Poster Deep Response - reuma</v>
      </c>
      <c r="M7766" s="22" t="str">
        <f>HYPERLINK("mailto:cmaroto@crm.otsuka-europe.com", "cmaroto@crm.otsuka-europe.com")</f>
        <v>cmaroto@crm.otsuka-europe.com</v>
      </c>
      <c r="N7766" s="25">
        <v>46231.412453703706</v>
      </c>
      <c r="O7766" s="14" t="str">
        <f>HYPERLINK("https://otsuka-europe-crm.veevavault.com/ui/#object/email_activity__v/V8C00000004D614", "EN-002109328")</f>
        <v>EN-002109328</v>
      </c>
    </row>
    <row r="7767" spans="1:15" ht="16" x14ac:dyDescent="0.2">
      <c r="A7767" s="26"/>
      <c r="B7767" s="26"/>
      <c r="C7767" s="26"/>
      <c r="D7767" s="26"/>
      <c r="E7767" s="26"/>
      <c r="F7767" s="26"/>
      <c r="G7767" s="26"/>
      <c r="H7767" s="26"/>
      <c r="I7767" s="26"/>
      <c r="J7767" s="26"/>
      <c r="K7767" s="26"/>
      <c r="L7767" s="26"/>
      <c r="M7767" s="26"/>
      <c r="N7767" s="26"/>
      <c r="O7767" s="14" t="str">
        <f>HYPERLINK("https://otsuka-europe-crm.veevavault.com/ui/#object/email_activity__v/V8C00000004D715", "EN-002109533")</f>
        <v>EN-002109533</v>
      </c>
    </row>
    <row r="7768" spans="1:15" ht="16" x14ac:dyDescent="0.2">
      <c r="A7768" s="19"/>
      <c r="B7768" s="19"/>
      <c r="C7768" s="19"/>
      <c r="D7768" s="19"/>
      <c r="E7768" s="19"/>
      <c r="F7768" s="19"/>
      <c r="G7768" s="19"/>
      <c r="H7768" s="19"/>
      <c r="I7768" s="19"/>
      <c r="J7768" s="19"/>
      <c r="K7768" s="19"/>
      <c r="L7768" s="19"/>
      <c r="M7768" s="19"/>
      <c r="N7768" s="19"/>
      <c r="O7768" s="14" t="str">
        <f>HYPERLINK("https://otsuka-europe-crm.veevavault.com/ui/#object/email_activity__v/V8C00000004E489", "EN-002109314")</f>
        <v>EN-002109314</v>
      </c>
    </row>
    <row r="7769" spans="1:15" ht="32" x14ac:dyDescent="0.2">
      <c r="A7769" s="7" t="str">
        <f>HYPERLINK("https://otsuka-europe-crm.veevavault.com/ui/#object/account__v/V4TZ06G6O71T7IK", "BORJA DE MIGUEL CAMPO")</f>
        <v>BORJA DE MIGUEL CAMPO</v>
      </c>
      <c r="B7769" s="7" t="str">
        <f>HYPERLINK("https://otsuka-europe-crm.veevavault.com/ui/#object/vcountry__v/VENZ000004SONF5", "ES")</f>
        <v>ES</v>
      </c>
      <c r="C7769" s="8" t="s">
        <v>39</v>
      </c>
      <c r="D7769" s="9" t="str">
        <f>HYPERLINK("https://otsuka-europe-crm.veevavault.com/ui/#object/approved_document__v/V5OZ025E82U1785", "LUP - Poster Deep Response - reuma")</f>
        <v>LUP - Poster Deep Response - reuma</v>
      </c>
      <c r="E7769" s="10" t="str">
        <f>HYPERLINK("https://otsuka-europe-crm.veevavault.com/ui/#object/sent_email__v/VBL00000003C246", "SE-001445295")</f>
        <v>SE-001445295</v>
      </c>
      <c r="F7769" s="11"/>
      <c r="G7769" s="12">
        <v>0</v>
      </c>
      <c r="H7769" s="12">
        <v>0</v>
      </c>
      <c r="I7769" s="12">
        <v>0</v>
      </c>
      <c r="J7769" s="11"/>
      <c r="K7769" s="12">
        <v>0</v>
      </c>
      <c r="L7769" s="10" t="str">
        <f>HYPERLINK("https://otsuka-europe-crm.veevavault.com/ui/#object/approved_document__v/V5OZ025E82U1785", "LUP - Poster Deep Response - reuma")</f>
        <v>LUP - Poster Deep Response - reuma</v>
      </c>
      <c r="M7769" s="10" t="str">
        <f>HYPERLINK("mailto:cmaroto@crm.otsuka-europe.com", "cmaroto@crm.otsuka-europe.com")</f>
        <v>cmaroto@crm.otsuka-europe.com</v>
      </c>
      <c r="N7769" s="13">
        <v>46231.412453703706</v>
      </c>
      <c r="O7769" s="14" t="str">
        <f>HYPERLINK("https://otsuka-europe-crm.veevavault.com/ui/#object/email_activity__v/V8C00000004D605", "EN-002109301")</f>
        <v>EN-002109301</v>
      </c>
    </row>
    <row r="7770" spans="1:15" ht="16" x14ac:dyDescent="0.2">
      <c r="A7770" s="18" t="str">
        <f>HYPERLINK("https://otsuka-europe-crm.veevavault.com/ui/#object/account__v/V4TZ04ASGBNZZE2", "SANDRA GARROTE CORRAL")</f>
        <v>SANDRA GARROTE CORRAL</v>
      </c>
      <c r="B7770" s="18" t="str">
        <f>HYPERLINK("https://otsuka-europe-crm.veevavault.com/ui/#object/vcountry__v/VENZ000004SONF5", "ES")</f>
        <v>ES</v>
      </c>
      <c r="C7770" s="20" t="s">
        <v>39</v>
      </c>
      <c r="D7770" s="21" t="str">
        <f>HYPERLINK("https://otsuka-europe-crm.veevavault.com/ui/#object/approved_document__v/V5OZ025E82U1785", "LUP - Poster Deep Response - reuma")</f>
        <v>LUP - Poster Deep Response - reuma</v>
      </c>
      <c r="E7770" s="22" t="str">
        <f>HYPERLINK("https://otsuka-europe-crm.veevavault.com/ui/#object/sent_email__v/VBL00000003C247", "SE-001445296")</f>
        <v>SE-001445296</v>
      </c>
      <c r="F7770" s="23"/>
      <c r="G7770" s="24">
        <v>0</v>
      </c>
      <c r="H7770" s="24">
        <v>0</v>
      </c>
      <c r="I7770" s="24">
        <v>0</v>
      </c>
      <c r="J7770" s="23"/>
      <c r="K7770" s="24">
        <v>0</v>
      </c>
      <c r="L7770" s="22" t="str">
        <f>HYPERLINK("https://otsuka-europe-crm.veevavault.com/ui/#object/approved_document__v/V5OZ025E82U1785", "LUP - Poster Deep Response - reuma")</f>
        <v>LUP - Poster Deep Response - reuma</v>
      </c>
      <c r="M7770" s="22" t="str">
        <f>HYPERLINK("mailto:cmaroto@crm.otsuka-europe.com", "cmaroto@crm.otsuka-europe.com")</f>
        <v>cmaroto@crm.otsuka-europe.com</v>
      </c>
      <c r="N7770" s="25">
        <v>46231.412453703706</v>
      </c>
      <c r="O7770" s="14" t="str">
        <f>HYPERLINK("https://otsuka-europe-crm.veevavault.com/ui/#object/email_activity__v/V8C00000004E471", "EN-002109290")</f>
        <v>EN-002109290</v>
      </c>
    </row>
    <row r="7771" spans="1:15" ht="16" x14ac:dyDescent="0.2">
      <c r="A7771" s="19"/>
      <c r="B7771" s="19"/>
      <c r="C7771" s="19"/>
      <c r="D7771" s="19"/>
      <c r="E7771" s="19"/>
      <c r="F7771" s="19"/>
      <c r="G7771" s="19"/>
      <c r="H7771" s="19"/>
      <c r="I7771" s="19"/>
      <c r="J7771" s="19"/>
      <c r="K7771" s="19"/>
      <c r="L7771" s="19"/>
      <c r="M7771" s="19"/>
      <c r="N7771" s="19"/>
      <c r="O7771" s="14" t="str">
        <f>HYPERLINK("https://otsuka-europe-crm.veevavault.com/ui/#object/email_activity__v/V8C00000004E563", "EN-002109460")</f>
        <v>EN-002109460</v>
      </c>
    </row>
    <row r="7772" spans="1:15" ht="16" x14ac:dyDescent="0.2">
      <c r="A7772" s="18" t="str">
        <f>HYPERLINK("https://otsuka-europe-crm.veevavault.com/ui/#object/account__v/V4TZ04ASGB4G2XC", "JOSE RAMON LAMUA RIAZUELO")</f>
        <v>JOSE RAMON LAMUA RIAZUELO</v>
      </c>
      <c r="B7772" s="18" t="str">
        <f>HYPERLINK("https://otsuka-europe-crm.veevavault.com/ui/#object/vcountry__v/VENZ000004SONF5", "ES")</f>
        <v>ES</v>
      </c>
      <c r="C7772" s="20" t="s">
        <v>39</v>
      </c>
      <c r="D7772" s="21" t="str">
        <f>HYPERLINK("https://otsuka-europe-crm.veevavault.com/ui/#object/approved_document__v/V5OZ025E82U1785", "LUP - Poster Deep Response - reuma")</f>
        <v>LUP - Poster Deep Response - reuma</v>
      </c>
      <c r="E7772" s="22" t="str">
        <f>HYPERLINK("https://otsuka-europe-crm.veevavault.com/ui/#object/sent_email__v/VBL00000003C248", "SE-001445297")</f>
        <v>SE-001445297</v>
      </c>
      <c r="F7772" s="25">
        <v>46231.989340277774</v>
      </c>
      <c r="G7772" s="24">
        <v>1</v>
      </c>
      <c r="H7772" s="24">
        <v>1</v>
      </c>
      <c r="I7772" s="24">
        <v>0</v>
      </c>
      <c r="J7772" s="23"/>
      <c r="K7772" s="24">
        <v>0</v>
      </c>
      <c r="L7772" s="22" t="str">
        <f>HYPERLINK("https://otsuka-europe-crm.veevavault.com/ui/#object/approved_document__v/V5OZ025E82U1785", "LUP - Poster Deep Response - reuma")</f>
        <v>LUP - Poster Deep Response - reuma</v>
      </c>
      <c r="M7772" s="22" t="str">
        <f>HYPERLINK("mailto:cmaroto@crm.otsuka-europe.com", "cmaroto@crm.otsuka-europe.com")</f>
        <v>cmaroto@crm.otsuka-europe.com</v>
      </c>
      <c r="N7772" s="25">
        <v>46231.412453703706</v>
      </c>
      <c r="O7772" s="14" t="str">
        <f>HYPERLINK("https://otsuka-europe-crm.veevavault.com/ui/#object/email_activity__v/V8C00000004D610", "EN-002109319")</f>
        <v>EN-002109319</v>
      </c>
    </row>
    <row r="7773" spans="1:15" ht="16" x14ac:dyDescent="0.2">
      <c r="A7773" s="19"/>
      <c r="B7773" s="19"/>
      <c r="C7773" s="19"/>
      <c r="D7773" s="19"/>
      <c r="E7773" s="19"/>
      <c r="F7773" s="19"/>
      <c r="G7773" s="19"/>
      <c r="H7773" s="19"/>
      <c r="I7773" s="19"/>
      <c r="J7773" s="19"/>
      <c r="K7773" s="19"/>
      <c r="L7773" s="19"/>
      <c r="M7773" s="19"/>
      <c r="N7773" s="19"/>
      <c r="O7773" s="14" t="str">
        <f>HYPERLINK("https://otsuka-europe-crm.veevavault.com/ui/#object/email_activity__v/V8C00000004E587", "EN-002109510")</f>
        <v>EN-002109510</v>
      </c>
    </row>
    <row r="7774" spans="1:15" ht="16" x14ac:dyDescent="0.2">
      <c r="A7774" s="18" t="str">
        <f>HYPERLINK("https://otsuka-europe-crm.veevavault.com/ui/#object/account__v/V4TZ04ASGBXC939", "LETICIA DEL OLMO PEREZ")</f>
        <v>LETICIA DEL OLMO PEREZ</v>
      </c>
      <c r="B7774" s="18" t="str">
        <f>HYPERLINK("https://otsuka-europe-crm.veevavault.com/ui/#object/vcountry__v/VENZ000004SONF5", "ES")</f>
        <v>ES</v>
      </c>
      <c r="C7774" s="20" t="s">
        <v>39</v>
      </c>
      <c r="D7774" s="21" t="str">
        <f>HYPERLINK("https://otsuka-europe-crm.veevavault.com/ui/#object/approved_document__v/V5OZ025E82U1785", "LUP - Poster Deep Response - reuma")</f>
        <v>LUP - Poster Deep Response - reuma</v>
      </c>
      <c r="E7774" s="22" t="str">
        <f>HYPERLINK("https://otsuka-europe-crm.veevavault.com/ui/#object/sent_email__v/VBL00000003C249", "SE-001445298")</f>
        <v>SE-001445298</v>
      </c>
      <c r="F7774" s="23"/>
      <c r="G7774" s="24">
        <v>0</v>
      </c>
      <c r="H7774" s="24">
        <v>0</v>
      </c>
      <c r="I7774" s="24">
        <v>0</v>
      </c>
      <c r="J7774" s="23"/>
      <c r="K7774" s="24">
        <v>0</v>
      </c>
      <c r="L7774" s="22" t="str">
        <f>HYPERLINK("https://otsuka-europe-crm.veevavault.com/ui/#object/approved_document__v/V5OZ025E82U1785", "LUP - Poster Deep Response - reuma")</f>
        <v>LUP - Poster Deep Response - reuma</v>
      </c>
      <c r="M7774" s="22" t="str">
        <f>HYPERLINK("mailto:cmaroto@crm.otsuka-europe.com", "cmaroto@crm.otsuka-europe.com")</f>
        <v>cmaroto@crm.otsuka-europe.com</v>
      </c>
      <c r="N7774" s="25">
        <v>46231.412453703706</v>
      </c>
      <c r="O7774" s="14" t="str">
        <f>HYPERLINK("https://otsuka-europe-crm.veevavault.com/ui/#object/email_activity__v/V8C00000004D673", "EN-002109446")</f>
        <v>EN-002109446</v>
      </c>
    </row>
    <row r="7775" spans="1:15" ht="16" x14ac:dyDescent="0.2">
      <c r="A7775" s="19"/>
      <c r="B7775" s="19"/>
      <c r="C7775" s="19"/>
      <c r="D7775" s="19"/>
      <c r="E7775" s="19"/>
      <c r="F7775" s="19"/>
      <c r="G7775" s="19"/>
      <c r="H7775" s="19"/>
      <c r="I7775" s="19"/>
      <c r="J7775" s="19"/>
      <c r="K7775" s="19"/>
      <c r="L7775" s="19"/>
      <c r="M7775" s="19"/>
      <c r="N7775" s="19"/>
      <c r="O7775" s="14" t="str">
        <f>HYPERLINK("https://otsuka-europe-crm.veevavault.com/ui/#object/email_activity__v/V8C00000004E475", "EN-002109294")</f>
        <v>EN-002109294</v>
      </c>
    </row>
    <row r="7776" spans="1:15" ht="32" x14ac:dyDescent="0.2">
      <c r="A7776" s="7" t="str">
        <f>HYPERLINK("https://otsuka-europe-crm.veevavault.com/ui/#object/account__v/V4TZ04ASGAOWLBL", "ANGEL MARIA GARCIA APARICIO")</f>
        <v>ANGEL MARIA GARCIA APARICIO</v>
      </c>
      <c r="B7776" s="7" t="str">
        <f>HYPERLINK("https://otsuka-europe-crm.veevavault.com/ui/#object/vcountry__v/VENZ000004SONF5", "ES")</f>
        <v>ES</v>
      </c>
      <c r="C7776" s="8" t="s">
        <v>39</v>
      </c>
      <c r="D7776" s="9" t="str">
        <f>HYPERLINK("https://otsuka-europe-crm.veevavault.com/ui/#object/approved_document__v/V5OZ025E82U1785", "LUP - Poster Deep Response - reuma")</f>
        <v>LUP - Poster Deep Response - reuma</v>
      </c>
      <c r="E7776" s="10" t="str">
        <f>HYPERLINK("https://otsuka-europe-crm.veevavault.com/ui/#object/sent_email__v/VBL00000003C250", "SE-001445299")</f>
        <v>SE-001445299</v>
      </c>
      <c r="F7776" s="11"/>
      <c r="G7776" s="12">
        <v>0</v>
      </c>
      <c r="H7776" s="12">
        <v>0</v>
      </c>
      <c r="I7776" s="12">
        <v>0</v>
      </c>
      <c r="J7776" s="11"/>
      <c r="K7776" s="12">
        <v>0</v>
      </c>
      <c r="L7776" s="10" t="str">
        <f>HYPERLINK("https://otsuka-europe-crm.veevavault.com/ui/#object/approved_document__v/V5OZ025E82U1785", "LUP - Poster Deep Response - reuma")</f>
        <v>LUP - Poster Deep Response - reuma</v>
      </c>
      <c r="M7776" s="10" t="str">
        <f>HYPERLINK("mailto:cmaroto@crm.otsuka-europe.com", "cmaroto@crm.otsuka-europe.com")</f>
        <v>cmaroto@crm.otsuka-europe.com</v>
      </c>
      <c r="N7776" s="13">
        <v>46231.412349537037</v>
      </c>
      <c r="O7776" s="14" t="str">
        <f>HYPERLINK("https://otsuka-europe-crm.veevavault.com/ui/#object/email_activity__v/V8C00000004E462", "EN-002109262")</f>
        <v>EN-002109262</v>
      </c>
    </row>
    <row r="7777" spans="1:15" ht="16" x14ac:dyDescent="0.2">
      <c r="A7777" s="18" t="str">
        <f>HYPERLINK("https://otsuka-europe-crm.veevavault.com/ui/#object/account__v/V4TZ06G6OB46COF", "MIGUEL ANGEL GONZALEZ-GAY MANTECON")</f>
        <v>MIGUEL ANGEL GONZALEZ-GAY MANTECON</v>
      </c>
      <c r="B7777" s="18" t="str">
        <f>HYPERLINK("https://otsuka-europe-crm.veevavault.com/ui/#object/vcountry__v/VENZ000004SONF5", "ES")</f>
        <v>ES</v>
      </c>
      <c r="C7777" s="20" t="s">
        <v>39</v>
      </c>
      <c r="D7777" s="21" t="str">
        <f>HYPERLINK("https://otsuka-europe-crm.veevavault.com/ui/#object/approved_document__v/V5OZ025E82U1785", "LUP - Poster Deep Response - reuma")</f>
        <v>LUP - Poster Deep Response - reuma</v>
      </c>
      <c r="E7777" s="22" t="str">
        <f>HYPERLINK("https://otsuka-europe-crm.veevavault.com/ui/#object/sent_email__v/VBL00000003C251", "SE-001445300")</f>
        <v>SE-001445300</v>
      </c>
      <c r="F7777" s="25">
        <v>46231.447488425925</v>
      </c>
      <c r="G7777" s="24">
        <v>1</v>
      </c>
      <c r="H7777" s="24">
        <v>1</v>
      </c>
      <c r="I7777" s="24">
        <v>0</v>
      </c>
      <c r="J7777" s="23"/>
      <c r="K7777" s="24">
        <v>0</v>
      </c>
      <c r="L7777" s="22" t="str">
        <f>HYPERLINK("https://otsuka-europe-crm.veevavault.com/ui/#object/approved_document__v/V5OZ025E82U1785", "LUP - Poster Deep Response - reuma")</f>
        <v>LUP - Poster Deep Response - reuma</v>
      </c>
      <c r="M7777" s="22" t="str">
        <f>HYPERLINK("mailto:cmaroto@crm.otsuka-europe.com", "cmaroto@crm.otsuka-europe.com")</f>
        <v>cmaroto@crm.otsuka-europe.com</v>
      </c>
      <c r="N7777" s="25">
        <v>46231.412349537037</v>
      </c>
      <c r="O7777" s="14" t="str">
        <f>HYPERLINK("https://otsuka-europe-crm.veevavault.com/ui/#object/email_activity__v/V8C00000004E461", "EN-002109261")</f>
        <v>EN-002109261</v>
      </c>
    </row>
    <row r="7778" spans="1:15" ht="16" x14ac:dyDescent="0.2">
      <c r="A7778" s="19"/>
      <c r="B7778" s="19"/>
      <c r="C7778" s="19"/>
      <c r="D7778" s="19"/>
      <c r="E7778" s="19"/>
      <c r="F7778" s="19"/>
      <c r="G7778" s="19"/>
      <c r="H7778" s="19"/>
      <c r="I7778" s="19"/>
      <c r="J7778" s="19"/>
      <c r="K7778" s="19"/>
      <c r="L7778" s="19"/>
      <c r="M7778" s="19"/>
      <c r="N7778" s="19"/>
      <c r="O7778" s="14" t="str">
        <f>HYPERLINK("https://otsuka-europe-crm.veevavault.com/ui/#object/email_activity__v/V8C00000004E511", "EN-002109365")</f>
        <v>EN-002109365</v>
      </c>
    </row>
    <row r="7779" spans="1:15" ht="16" x14ac:dyDescent="0.2">
      <c r="A7779" s="18" t="str">
        <f>HYPERLINK("https://otsuka-europe-crm.veevavault.com/ui/#object/account__v/V4TZ025E85RTM8I", "MARIA ANGELES BLAZQUEZ CAÑAMERO")</f>
        <v>MARIA ANGELES BLAZQUEZ CAÑAMERO</v>
      </c>
      <c r="B7779" s="18" t="str">
        <f>HYPERLINK("https://otsuka-europe-crm.veevavault.com/ui/#object/vcountry__v/VENZ000004SONF5", "ES")</f>
        <v>ES</v>
      </c>
      <c r="C7779" s="20" t="s">
        <v>39</v>
      </c>
      <c r="D7779" s="21" t="str">
        <f>HYPERLINK("https://otsuka-europe-crm.veevavault.com/ui/#object/approved_document__v/V5OZ025E82U1785", "LUP - Poster Deep Response - reuma")</f>
        <v>LUP - Poster Deep Response - reuma</v>
      </c>
      <c r="E7779" s="22" t="str">
        <f>HYPERLINK("https://otsuka-europe-crm.veevavault.com/ui/#object/sent_email__v/VBL00000003C252", "SE-001445301")</f>
        <v>SE-001445301</v>
      </c>
      <c r="F7779" s="23"/>
      <c r="G7779" s="24">
        <v>0</v>
      </c>
      <c r="H7779" s="24">
        <v>0</v>
      </c>
      <c r="I7779" s="24">
        <v>0</v>
      </c>
      <c r="J7779" s="23"/>
      <c r="K7779" s="24">
        <v>0</v>
      </c>
      <c r="L7779" s="22" t="str">
        <f>HYPERLINK("https://otsuka-europe-crm.veevavault.com/ui/#object/approved_document__v/V5OZ025E82U1785", "LUP - Poster Deep Response - reuma")</f>
        <v>LUP - Poster Deep Response - reuma</v>
      </c>
      <c r="M7779" s="22" t="str">
        <f>HYPERLINK("mailto:cmaroto@crm.otsuka-europe.com", "cmaroto@crm.otsuka-europe.com")</f>
        <v>cmaroto@crm.otsuka-europe.com</v>
      </c>
      <c r="N7779" s="25">
        <v>46231.412314814814</v>
      </c>
      <c r="O7779" s="14" t="str">
        <f>HYPERLINK("https://otsuka-europe-crm.veevavault.com/ui/#object/email_activity__v/V8C00000004D588", "EN-002109271")</f>
        <v>EN-002109271</v>
      </c>
    </row>
    <row r="7780" spans="1:15" ht="16" x14ac:dyDescent="0.2">
      <c r="A7780" s="19"/>
      <c r="B7780" s="19"/>
      <c r="C7780" s="19"/>
      <c r="D7780" s="19"/>
      <c r="E7780" s="19"/>
      <c r="F7780" s="19"/>
      <c r="G7780" s="19"/>
      <c r="H7780" s="19"/>
      <c r="I7780" s="19"/>
      <c r="J7780" s="19"/>
      <c r="K7780" s="19"/>
      <c r="L7780" s="19"/>
      <c r="M7780" s="19"/>
      <c r="N7780" s="19"/>
      <c r="O7780" s="14" t="str">
        <f>HYPERLINK("https://otsuka-europe-crm.veevavault.com/ui/#object/email_activity__v/V8C00000004D687", "EN-002109472")</f>
        <v>EN-002109472</v>
      </c>
    </row>
    <row r="7781" spans="1:15" ht="32" x14ac:dyDescent="0.2">
      <c r="A7781" s="7" t="str">
        <f>HYPERLINK("https://otsuka-europe-crm.veevavault.com/ui/#object/account__v/V4TZ04ASGBCM2W1", "FREDESWINDA ISABEL ROMERO BUENO")</f>
        <v>FREDESWINDA ISABEL ROMERO BUENO</v>
      </c>
      <c r="B7781" s="7" t="str">
        <f>HYPERLINK("https://otsuka-europe-crm.veevavault.com/ui/#object/vcountry__v/VENZ000004SONF5", "ES")</f>
        <v>ES</v>
      </c>
      <c r="C7781" s="8" t="s">
        <v>39</v>
      </c>
      <c r="D7781" s="9" t="str">
        <f>HYPERLINK("https://otsuka-europe-crm.veevavault.com/ui/#object/approved_document__v/V5OZ025E82U1785", "LUP - Poster Deep Response - reuma")</f>
        <v>LUP - Poster Deep Response - reuma</v>
      </c>
      <c r="E7781" s="10" t="str">
        <f>HYPERLINK("https://otsuka-europe-crm.veevavault.com/ui/#object/sent_email__v/VBL00000003C253", "SE-001445302")</f>
        <v>SE-001445302</v>
      </c>
      <c r="F7781" s="11"/>
      <c r="G7781" s="12">
        <v>0</v>
      </c>
      <c r="H7781" s="12">
        <v>0</v>
      </c>
      <c r="I7781" s="12">
        <v>0</v>
      </c>
      <c r="J7781" s="11"/>
      <c r="K7781" s="12">
        <v>0</v>
      </c>
      <c r="L7781" s="10" t="str">
        <f>HYPERLINK("https://otsuka-europe-crm.veevavault.com/ui/#object/approved_document__v/V5OZ025E82U1785", "LUP - Poster Deep Response - reuma")</f>
        <v>LUP - Poster Deep Response - reuma</v>
      </c>
      <c r="M7781" s="10" t="str">
        <f>HYPERLINK("mailto:cmaroto@crm.otsuka-europe.com", "cmaroto@crm.otsuka-europe.com")</f>
        <v>cmaroto@crm.otsuka-europe.com</v>
      </c>
      <c r="N7781" s="13">
        <v>46231.41233796296</v>
      </c>
      <c r="O7781" s="14" t="str">
        <f>HYPERLINK("https://otsuka-europe-crm.veevavault.com/ui/#object/email_activity__v/V8C00000004E467", "EN-002109279")</f>
        <v>EN-002109279</v>
      </c>
    </row>
    <row r="7782" spans="1:15" ht="16" x14ac:dyDescent="0.2">
      <c r="A7782" s="18" t="str">
        <f>HYPERLINK("https://otsuka-europe-crm.veevavault.com/ui/#object/account__v/V4TZ04ASGGI51IQ", "GRISELL ADELICIA STARITA FAJARDO")</f>
        <v>GRISELL ADELICIA STARITA FAJARDO</v>
      </c>
      <c r="B7782" s="18" t="str">
        <f>HYPERLINK("https://otsuka-europe-crm.veevavault.com/ui/#object/vcountry__v/VENZ000004SONF5", "ES")</f>
        <v>ES</v>
      </c>
      <c r="C7782" s="20" t="s">
        <v>39</v>
      </c>
      <c r="D7782" s="21" t="str">
        <f>HYPERLINK("https://otsuka-europe-crm.veevavault.com/ui/#object/approved_document__v/V5OZ025E82U1785", "LUP - Poster Deep Response - reuma")</f>
        <v>LUP - Poster Deep Response - reuma</v>
      </c>
      <c r="E7782" s="22" t="str">
        <f>HYPERLINK("https://otsuka-europe-crm.veevavault.com/ui/#object/sent_email__v/VBL00000003C254", "SE-001445303")</f>
        <v>SE-001445303</v>
      </c>
      <c r="F7782" s="25">
        <v>46231.412453703706</v>
      </c>
      <c r="G7782" s="24">
        <v>1</v>
      </c>
      <c r="H7782" s="24">
        <v>1</v>
      </c>
      <c r="I7782" s="24">
        <v>0</v>
      </c>
      <c r="J7782" s="23"/>
      <c r="K7782" s="24">
        <v>0</v>
      </c>
      <c r="L7782" s="22" t="str">
        <f>HYPERLINK("https://otsuka-europe-crm.veevavault.com/ui/#object/approved_document__v/V5OZ025E82U1785", "LUP - Poster Deep Response - reuma")</f>
        <v>LUP - Poster Deep Response - reuma</v>
      </c>
      <c r="M7782" s="22" t="str">
        <f>HYPERLINK("mailto:cmaroto@crm.otsuka-europe.com", "cmaroto@crm.otsuka-europe.com")</f>
        <v>cmaroto@crm.otsuka-europe.com</v>
      </c>
      <c r="N7782" s="25">
        <v>46231.412349537037</v>
      </c>
      <c r="O7782" s="14" t="str">
        <f>HYPERLINK("https://otsuka-europe-crm.veevavault.com/ui/#object/email_activity__v/V8C00000004D599", "EN-002109284")</f>
        <v>EN-002109284</v>
      </c>
    </row>
    <row r="7783" spans="1:15" ht="16" x14ac:dyDescent="0.2">
      <c r="A7783" s="19"/>
      <c r="B7783" s="19"/>
      <c r="C7783" s="19"/>
      <c r="D7783" s="19"/>
      <c r="E7783" s="19"/>
      <c r="F7783" s="19"/>
      <c r="G7783" s="19"/>
      <c r="H7783" s="19"/>
      <c r="I7783" s="19"/>
      <c r="J7783" s="19"/>
      <c r="K7783" s="19"/>
      <c r="L7783" s="19"/>
      <c r="M7783" s="19"/>
      <c r="N7783" s="19"/>
      <c r="O7783" s="14" t="str">
        <f>HYPERLINK("https://otsuka-europe-crm.veevavault.com/ui/#object/email_activity__v/V8C00000004E463", "EN-002109263")</f>
        <v>EN-002109263</v>
      </c>
    </row>
    <row r="7784" spans="1:15" ht="32" x14ac:dyDescent="0.2">
      <c r="A7784" s="7" t="str">
        <f>HYPERLINK("https://otsuka-europe-crm.veevavault.com/ui/#object/account__v/V4TZ04ASGC46QM4", "LAURA CEBRIAN RUIZ")</f>
        <v>LAURA CEBRIAN RUIZ</v>
      </c>
      <c r="B7784" s="7" t="str">
        <f>HYPERLINK("https://otsuka-europe-crm.veevavault.com/ui/#object/vcountry__v/VENZ000004SONF5", "ES")</f>
        <v>ES</v>
      </c>
      <c r="C7784" s="8" t="s">
        <v>39</v>
      </c>
      <c r="D7784" s="9" t="str">
        <f>HYPERLINK("https://otsuka-europe-crm.veevavault.com/ui/#object/approved_document__v/V5OZ025E82U1785", "LUP - Poster Deep Response - reuma")</f>
        <v>LUP - Poster Deep Response - reuma</v>
      </c>
      <c r="E7784" s="10" t="str">
        <f>HYPERLINK("https://otsuka-europe-crm.veevavault.com/ui/#object/sent_email__v/VBL00000003C255", "SE-001445304")</f>
        <v>SE-001445304</v>
      </c>
      <c r="F7784" s="11"/>
      <c r="G7784" s="12">
        <v>0</v>
      </c>
      <c r="H7784" s="12">
        <v>0</v>
      </c>
      <c r="I7784" s="12">
        <v>0</v>
      </c>
      <c r="J7784" s="11"/>
      <c r="K7784" s="12">
        <v>0</v>
      </c>
      <c r="L7784" s="10" t="str">
        <f>HYPERLINK("https://otsuka-europe-crm.veevavault.com/ui/#object/approved_document__v/V5OZ025E82U1785", "LUP - Poster Deep Response - reuma")</f>
        <v>LUP - Poster Deep Response - reuma</v>
      </c>
      <c r="M7784" s="10" t="str">
        <f>HYPERLINK("mailto:cmaroto@crm.otsuka-europe.com", "cmaroto@crm.otsuka-europe.com")</f>
        <v>cmaroto@crm.otsuka-europe.com</v>
      </c>
      <c r="N7784" s="13">
        <v>46231.412314814814</v>
      </c>
      <c r="O7784" s="14" t="str">
        <f>HYPERLINK("https://otsuka-europe-crm.veevavault.com/ui/#object/email_activity__v/V8C00000004D596", "EN-002109281")</f>
        <v>EN-002109281</v>
      </c>
    </row>
    <row r="7785" spans="1:15" ht="16" x14ac:dyDescent="0.2">
      <c r="A7785" s="18" t="str">
        <f>HYPERLINK("https://otsuka-europe-crm.veevavault.com/ui/#object/account__v/V4TZ04ASG8QA81M", "MARIA JESUS GARCIA VILLANUEVA")</f>
        <v>MARIA JESUS GARCIA VILLANUEVA</v>
      </c>
      <c r="B7785" s="18" t="str">
        <f>HYPERLINK("https://otsuka-europe-crm.veevavault.com/ui/#object/vcountry__v/VENZ000004SONF5", "ES")</f>
        <v>ES</v>
      </c>
      <c r="C7785" s="20" t="s">
        <v>39</v>
      </c>
      <c r="D7785" s="21" t="str">
        <f>HYPERLINK("https://otsuka-europe-crm.veevavault.com/ui/#object/approved_document__v/V5OZ025E82U1785", "LUP - Poster Deep Response - reuma")</f>
        <v>LUP - Poster Deep Response - reuma</v>
      </c>
      <c r="E7785" s="22" t="str">
        <f>HYPERLINK("https://otsuka-europe-crm.veevavault.com/ui/#object/sent_email__v/VBL00000003C256", "SE-001445305")</f>
        <v>SE-001445305</v>
      </c>
      <c r="F7785" s="23"/>
      <c r="G7785" s="24">
        <v>0</v>
      </c>
      <c r="H7785" s="24">
        <v>0</v>
      </c>
      <c r="I7785" s="24">
        <v>0</v>
      </c>
      <c r="J7785" s="23"/>
      <c r="K7785" s="24">
        <v>0</v>
      </c>
      <c r="L7785" s="22" t="str">
        <f>HYPERLINK("https://otsuka-europe-crm.veevavault.com/ui/#object/approved_document__v/V5OZ025E82U1785", "LUP - Poster Deep Response - reuma")</f>
        <v>LUP - Poster Deep Response - reuma</v>
      </c>
      <c r="M7785" s="22" t="str">
        <f>HYPERLINK("mailto:cmaroto@crm.otsuka-europe.com", "cmaroto@crm.otsuka-europe.com")</f>
        <v>cmaroto@crm.otsuka-europe.com</v>
      </c>
      <c r="N7785" s="25">
        <v>46231.412314814814</v>
      </c>
      <c r="O7785" s="14" t="str">
        <f>HYPERLINK("https://otsuka-europe-crm.veevavault.com/ui/#object/email_activity__v/V8C00000004D595", "EN-002109280")</f>
        <v>EN-002109280</v>
      </c>
    </row>
    <row r="7786" spans="1:15" ht="16" x14ac:dyDescent="0.2">
      <c r="A7786" s="26"/>
      <c r="B7786" s="26"/>
      <c r="C7786" s="26"/>
      <c r="D7786" s="26"/>
      <c r="E7786" s="26"/>
      <c r="F7786" s="26"/>
      <c r="G7786" s="26"/>
      <c r="H7786" s="26"/>
      <c r="I7786" s="26"/>
      <c r="J7786" s="26"/>
      <c r="K7786" s="26"/>
      <c r="L7786" s="26"/>
      <c r="M7786" s="26"/>
      <c r="N7786" s="26"/>
      <c r="O7786" s="14" t="str">
        <f>HYPERLINK("https://otsuka-europe-crm.veevavault.com/ui/#object/email_activity__v/V8C00000004D637", "EN-002109366")</f>
        <v>EN-002109366</v>
      </c>
    </row>
    <row r="7787" spans="1:15" ht="16" x14ac:dyDescent="0.2">
      <c r="A7787" s="19"/>
      <c r="B7787" s="19"/>
      <c r="C7787" s="19"/>
      <c r="D7787" s="19"/>
      <c r="E7787" s="19"/>
      <c r="F7787" s="19"/>
      <c r="G7787" s="19"/>
      <c r="H7787" s="19"/>
      <c r="I7787" s="19"/>
      <c r="J7787" s="19"/>
      <c r="K7787" s="19"/>
      <c r="L7787" s="19"/>
      <c r="M7787" s="19"/>
      <c r="N7787" s="19"/>
      <c r="O7787" s="14" t="str">
        <f>HYPERLINK("https://otsuka-europe-crm.veevavault.com/ui/#object/email_activity__v/V8C00000004D678", "EN-002109454")</f>
        <v>EN-002109454</v>
      </c>
    </row>
    <row r="7788" spans="1:15" ht="32" x14ac:dyDescent="0.2">
      <c r="A7788" s="7" t="str">
        <f>HYPERLINK("https://otsuka-europe-crm.veevavault.com/ui/#object/account__v/V4TZ025E876I10M", "MARIA SANCHEZ HERNANDEZ")</f>
        <v>MARIA SANCHEZ HERNANDEZ</v>
      </c>
      <c r="B7788" s="7" t="str">
        <f>HYPERLINK("https://otsuka-europe-crm.veevavault.com/ui/#object/vcountry__v/VENZ000004SONF5", "ES")</f>
        <v>ES</v>
      </c>
      <c r="C7788" s="8" t="s">
        <v>39</v>
      </c>
      <c r="D7788" s="9" t="str">
        <f>HYPERLINK("https://otsuka-europe-crm.veevavault.com/ui/#object/approved_document__v/V5OZ025E82U1785", "LUP - Poster Deep Response - reuma")</f>
        <v>LUP - Poster Deep Response - reuma</v>
      </c>
      <c r="E7788" s="10" t="str">
        <f>HYPERLINK("https://otsuka-europe-crm.veevavault.com/ui/#object/sent_email__v/VBL00000003C257", "SE-001445306")</f>
        <v>SE-001445306</v>
      </c>
      <c r="F7788" s="11"/>
      <c r="G7788" s="12">
        <v>0</v>
      </c>
      <c r="H7788" s="12">
        <v>0</v>
      </c>
      <c r="I7788" s="12">
        <v>0</v>
      </c>
      <c r="J7788" s="11"/>
      <c r="K7788" s="12">
        <v>0</v>
      </c>
      <c r="L7788" s="10" t="str">
        <f>HYPERLINK("https://otsuka-europe-crm.veevavault.com/ui/#object/approved_document__v/V5OZ025E82U1785", "LUP - Poster Deep Response - reuma")</f>
        <v>LUP - Poster Deep Response - reuma</v>
      </c>
      <c r="M7788" s="10" t="str">
        <f>HYPERLINK("mailto:cmaroto@crm.otsuka-europe.com", "cmaroto@crm.otsuka-europe.com")</f>
        <v>cmaroto@crm.otsuka-europe.com</v>
      </c>
      <c r="N7788" s="13">
        <v>46231.41233796296</v>
      </c>
      <c r="O7788" s="14" t="str">
        <f>HYPERLINK("https://otsuka-europe-crm.veevavault.com/ui/#object/email_activity__v/V8C00000004E460", "EN-002109260")</f>
        <v>EN-002109260</v>
      </c>
    </row>
    <row r="7789" spans="1:15" ht="32" x14ac:dyDescent="0.2">
      <c r="A7789" s="7" t="str">
        <f>HYPERLINK("https://otsuka-europe-crm.veevavault.com/ui/#object/account__v/V4TZ025E82Y4CR9", "NOELIA GARCIA CASTAÑEDA")</f>
        <v>NOELIA GARCIA CASTAÑEDA</v>
      </c>
      <c r="B7789" s="7" t="str">
        <f>HYPERLINK("https://otsuka-europe-crm.veevavault.com/ui/#object/vcountry__v/VENZ000004SONF5", "ES")</f>
        <v>ES</v>
      </c>
      <c r="C7789" s="8" t="s">
        <v>39</v>
      </c>
      <c r="D7789" s="9" t="str">
        <f>HYPERLINK("https://otsuka-europe-crm.veevavault.com/ui/#object/approved_document__v/V5OZ025E82U1785", "LUP - Poster Deep Response - reuma")</f>
        <v>LUP - Poster Deep Response - reuma</v>
      </c>
      <c r="E7789" s="10" t="str">
        <f>HYPERLINK("https://otsuka-europe-crm.veevavault.com/ui/#object/sent_email__v/VBL00000003C258", "SE-001445307")</f>
        <v>SE-001445307</v>
      </c>
      <c r="F7789" s="11"/>
      <c r="G7789" s="12">
        <v>0</v>
      </c>
      <c r="H7789" s="12">
        <v>0</v>
      </c>
      <c r="I7789" s="12">
        <v>0</v>
      </c>
      <c r="J7789" s="11"/>
      <c r="K7789" s="12">
        <v>0</v>
      </c>
      <c r="L7789" s="10" t="str">
        <f>HYPERLINK("https://otsuka-europe-crm.veevavault.com/ui/#object/approved_document__v/V5OZ025E82U1785", "LUP - Poster Deep Response - reuma")</f>
        <v>LUP - Poster Deep Response - reuma</v>
      </c>
      <c r="M7789" s="10" t="str">
        <f>HYPERLINK("mailto:cmaroto@crm.otsuka-europe.com", "cmaroto@crm.otsuka-europe.com")</f>
        <v>cmaroto@crm.otsuka-europe.com</v>
      </c>
      <c r="N7789" s="13">
        <v>46231.412314814814</v>
      </c>
      <c r="O7789" s="14" t="str">
        <f>HYPERLINK("https://otsuka-europe-crm.veevavault.com/ui/#object/email_activity__v/V8C00000004D598", "EN-002109283")</f>
        <v>EN-002109283</v>
      </c>
    </row>
    <row r="7790" spans="1:15" ht="16" x14ac:dyDescent="0.2">
      <c r="A7790" s="18" t="str">
        <f>HYPERLINK("https://otsuka-europe-crm.veevavault.com/ui/#object/account__v/V4TZ04ASGABZ38V", "SIMON ANGEL SANCHEZ FERNANDEZ")</f>
        <v>SIMON ANGEL SANCHEZ FERNANDEZ</v>
      </c>
      <c r="B7790" s="18" t="str">
        <f>HYPERLINK("https://otsuka-europe-crm.veevavault.com/ui/#object/vcountry__v/VENZ000004SONF5", "ES")</f>
        <v>ES</v>
      </c>
      <c r="C7790" s="20" t="s">
        <v>39</v>
      </c>
      <c r="D7790" s="21" t="str">
        <f>HYPERLINK("https://otsuka-europe-crm.veevavault.com/ui/#object/approved_document__v/V5OZ025E82U1785", "LUP - Poster Deep Response - reuma")</f>
        <v>LUP - Poster Deep Response - reuma</v>
      </c>
      <c r="E7790" s="22" t="str">
        <f>HYPERLINK("https://otsuka-europe-crm.veevavault.com/ui/#object/sent_email__v/VBL00000003C259", "SE-001445308")</f>
        <v>SE-001445308</v>
      </c>
      <c r="F7790" s="25">
        <v>46231.568148148152</v>
      </c>
      <c r="G7790" s="24">
        <v>1</v>
      </c>
      <c r="H7790" s="24">
        <v>1</v>
      </c>
      <c r="I7790" s="24">
        <v>0</v>
      </c>
      <c r="J7790" s="23"/>
      <c r="K7790" s="24">
        <v>0</v>
      </c>
      <c r="L7790" s="22" t="str">
        <f>HYPERLINK("https://otsuka-europe-crm.veevavault.com/ui/#object/approved_document__v/V5OZ025E82U1785", "LUP - Poster Deep Response - reuma")</f>
        <v>LUP - Poster Deep Response - reuma</v>
      </c>
      <c r="M7790" s="22" t="str">
        <f>HYPERLINK("mailto:cmaroto@crm.otsuka-europe.com", "cmaroto@crm.otsuka-europe.com")</f>
        <v>cmaroto@crm.otsuka-europe.com</v>
      </c>
      <c r="N7790" s="25">
        <v>46231.412314814814</v>
      </c>
      <c r="O7790" s="14" t="str">
        <f>HYPERLINK("https://otsuka-europe-crm.veevavault.com/ui/#object/email_activity__v/V8C00000004D597", "EN-002109282")</f>
        <v>EN-002109282</v>
      </c>
    </row>
    <row r="7791" spans="1:15" ht="16" x14ac:dyDescent="0.2">
      <c r="A7791" s="19"/>
      <c r="B7791" s="19"/>
      <c r="C7791" s="19"/>
      <c r="D7791" s="19"/>
      <c r="E7791" s="19"/>
      <c r="F7791" s="19"/>
      <c r="G7791" s="19"/>
      <c r="H7791" s="19"/>
      <c r="I7791" s="19"/>
      <c r="J7791" s="19"/>
      <c r="K7791" s="19"/>
      <c r="L7791" s="19"/>
      <c r="M7791" s="19"/>
      <c r="N7791" s="19"/>
      <c r="O7791" s="14" t="str">
        <f>HYPERLINK("https://otsuka-europe-crm.veevavault.com/ui/#object/email_activity__v/V8C00000004D671", "EN-002109442")</f>
        <v>EN-002109442</v>
      </c>
    </row>
    <row r="7792" spans="1:15" ht="32" x14ac:dyDescent="0.2">
      <c r="A7792" s="7" t="str">
        <f>HYPERLINK("https://otsuka-europe-crm.veevavault.com/ui/#object/account__v/V4TZ04ASGC47POP", "MARCOS PAULINO HUERTAS")</f>
        <v>MARCOS PAULINO HUERTAS</v>
      </c>
      <c r="B7792" s="7" t="str">
        <f>HYPERLINK("https://otsuka-europe-crm.veevavault.com/ui/#object/vcountry__v/VENZ000004SONF5", "ES")</f>
        <v>ES</v>
      </c>
      <c r="C7792" s="8" t="s">
        <v>39</v>
      </c>
      <c r="D7792" s="9" t="str">
        <f>HYPERLINK("https://otsuka-europe-crm.veevavault.com/ui/#object/approved_document__v/V5OZ025E82U1785", "LUP - Poster Deep Response - reuma")</f>
        <v>LUP - Poster Deep Response - reuma</v>
      </c>
      <c r="E7792" s="10" t="str">
        <f>HYPERLINK("https://otsuka-europe-crm.veevavault.com/ui/#object/sent_email__v/VBL00000003C260", "SE-001445309")</f>
        <v>SE-001445309</v>
      </c>
      <c r="F7792" s="11"/>
      <c r="G7792" s="12">
        <v>0</v>
      </c>
      <c r="H7792" s="12">
        <v>0</v>
      </c>
      <c r="I7792" s="12">
        <v>0</v>
      </c>
      <c r="J7792" s="11"/>
      <c r="K7792" s="12">
        <v>0</v>
      </c>
      <c r="L7792" s="10" t="str">
        <f>HYPERLINK("https://otsuka-europe-crm.veevavault.com/ui/#object/approved_document__v/V5OZ025E82U1785", "LUP - Poster Deep Response - reuma")</f>
        <v>LUP - Poster Deep Response - reuma</v>
      </c>
      <c r="M7792" s="10" t="str">
        <f>HYPERLINK("mailto:cmaroto@crm.otsuka-europe.com", "cmaroto@crm.otsuka-europe.com")</f>
        <v>cmaroto@crm.otsuka-europe.com</v>
      </c>
      <c r="N7792" s="13">
        <v>46231.41233796296</v>
      </c>
      <c r="O7792" s="14" t="str">
        <f>HYPERLINK("https://otsuka-europe-crm.veevavault.com/ui/#object/email_activity__v/V8C00000004D594", "EN-002109277")</f>
        <v>EN-002109277</v>
      </c>
    </row>
    <row r="7793" spans="1:15" ht="32" x14ac:dyDescent="0.2">
      <c r="A7793" s="7" t="str">
        <f>HYPERLINK("https://otsuka-europe-crm.veevavault.com/ui/#object/account__v/V4TZ025E85BF3XI", "MARIA CARMEN DE LA CRUZ TAPIADOR")</f>
        <v>MARIA CARMEN DE LA CRUZ TAPIADOR</v>
      </c>
      <c r="B7793" s="7" t="str">
        <f>HYPERLINK("https://otsuka-europe-crm.veevavault.com/ui/#object/vcountry__v/VENZ000004SONF5", "ES")</f>
        <v>ES</v>
      </c>
      <c r="C7793" s="8" t="s">
        <v>39</v>
      </c>
      <c r="D7793" s="9" t="str">
        <f>HYPERLINK("https://otsuka-europe-crm.veevavault.com/ui/#object/approved_document__v/V5OZ025E82U1785", "LUP - Poster Deep Response - reuma")</f>
        <v>LUP - Poster Deep Response - reuma</v>
      </c>
      <c r="E7793" s="10" t="str">
        <f>HYPERLINK("https://otsuka-europe-crm.veevavault.com/ui/#object/sent_email__v/VBL00000003C261", "SE-001445310")</f>
        <v>SE-001445310</v>
      </c>
      <c r="F7793" s="11"/>
      <c r="G7793" s="12">
        <v>0</v>
      </c>
      <c r="H7793" s="12">
        <v>0</v>
      </c>
      <c r="I7793" s="12">
        <v>0</v>
      </c>
      <c r="J7793" s="11"/>
      <c r="K7793" s="12">
        <v>0</v>
      </c>
      <c r="L7793" s="10" t="str">
        <f>HYPERLINK("https://otsuka-europe-crm.veevavault.com/ui/#object/approved_document__v/V5OZ025E82U1785", "LUP - Poster Deep Response - reuma")</f>
        <v>LUP - Poster Deep Response - reuma</v>
      </c>
      <c r="M7793" s="10" t="str">
        <f>HYPERLINK("mailto:cmaroto@crm.otsuka-europe.com", "cmaroto@crm.otsuka-europe.com")</f>
        <v>cmaroto@crm.otsuka-europe.com</v>
      </c>
      <c r="N7793" s="13">
        <v>46231.41233796296</v>
      </c>
      <c r="O7793" s="14" t="str">
        <f>HYPERLINK("https://otsuka-europe-crm.veevavault.com/ui/#object/email_activity__v/V8C00000004E466", "EN-002109278")</f>
        <v>EN-002109278</v>
      </c>
    </row>
    <row r="7794" spans="1:15" ht="16" x14ac:dyDescent="0.2">
      <c r="A7794" s="18" t="str">
        <f>HYPERLINK("https://otsuka-europe-crm.veevavault.com/ui/#object/account__v/V4TZ04ASG9RG6AY", "RAUL MARIA VEIGA CABELLO")</f>
        <v>RAUL MARIA VEIGA CABELLO</v>
      </c>
      <c r="B7794" s="18" t="str">
        <f>HYPERLINK("https://otsuka-europe-crm.veevavault.com/ui/#object/vcountry__v/VENZ000004SONF5", "ES")</f>
        <v>ES</v>
      </c>
      <c r="C7794" s="20" t="s">
        <v>39</v>
      </c>
      <c r="D7794" s="21" t="str">
        <f>HYPERLINK("https://otsuka-europe-crm.veevavault.com/ui/#object/approved_document__v/V5OZ025E82U1785", "LUP - Poster Deep Response - reuma")</f>
        <v>LUP - Poster Deep Response - reuma</v>
      </c>
      <c r="E7794" s="22" t="str">
        <f>HYPERLINK("https://otsuka-europe-crm.veevavault.com/ui/#object/sent_email__v/VBL00000003C262", "SE-001445311")</f>
        <v>SE-001445311</v>
      </c>
      <c r="F7794" s="25">
        <v>46231.478217592594</v>
      </c>
      <c r="G7794" s="24">
        <v>1</v>
      </c>
      <c r="H7794" s="24">
        <v>1</v>
      </c>
      <c r="I7794" s="24">
        <v>0</v>
      </c>
      <c r="J7794" s="23"/>
      <c r="K7794" s="24">
        <v>0</v>
      </c>
      <c r="L7794" s="22" t="str">
        <f>HYPERLINK("https://otsuka-europe-crm.veevavault.com/ui/#object/approved_document__v/V5OZ025E82U1785", "LUP - Poster Deep Response - reuma")</f>
        <v>LUP - Poster Deep Response - reuma</v>
      </c>
      <c r="M7794" s="22" t="str">
        <f>HYPERLINK("mailto:cmaroto@crm.otsuka-europe.com", "cmaroto@crm.otsuka-europe.com")</f>
        <v>cmaroto@crm.otsuka-europe.com</v>
      </c>
      <c r="N7794" s="25">
        <v>46231.41233796296</v>
      </c>
      <c r="O7794" s="14" t="str">
        <f>HYPERLINK("https://otsuka-europe-crm.veevavault.com/ui/#object/email_activity__v/V8C00000004D700", "EN-002109500")</f>
        <v>EN-002109500</v>
      </c>
    </row>
    <row r="7795" spans="1:15" ht="16" x14ac:dyDescent="0.2">
      <c r="A7795" s="26"/>
      <c r="B7795" s="26"/>
      <c r="C7795" s="26"/>
      <c r="D7795" s="26"/>
      <c r="E7795" s="26"/>
      <c r="F7795" s="26"/>
      <c r="G7795" s="26"/>
      <c r="H7795" s="26"/>
      <c r="I7795" s="26"/>
      <c r="J7795" s="26"/>
      <c r="K7795" s="26"/>
      <c r="L7795" s="26"/>
      <c r="M7795" s="26"/>
      <c r="N7795" s="26"/>
      <c r="O7795" s="14" t="str">
        <f>HYPERLINK("https://otsuka-europe-crm.veevavault.com/ui/#object/email_activity__v/V8C00000004E452", "EN-002109251")</f>
        <v>EN-002109251</v>
      </c>
    </row>
    <row r="7796" spans="1:15" ht="16" x14ac:dyDescent="0.2">
      <c r="A7796" s="19"/>
      <c r="B7796" s="19"/>
      <c r="C7796" s="19"/>
      <c r="D7796" s="19"/>
      <c r="E7796" s="19"/>
      <c r="F7796" s="19"/>
      <c r="G7796" s="19"/>
      <c r="H7796" s="19"/>
      <c r="I7796" s="19"/>
      <c r="J7796" s="19"/>
      <c r="K7796" s="19"/>
      <c r="L7796" s="19"/>
      <c r="M7796" s="19"/>
      <c r="N7796" s="19"/>
      <c r="O7796" s="14" t="str">
        <f>HYPERLINK("https://otsuka-europe-crm.veevavault.com/ui/#object/email_activity__v/V8C00000004E528", "EN-002109396")</f>
        <v>EN-002109396</v>
      </c>
    </row>
    <row r="7797" spans="1:15" ht="32" x14ac:dyDescent="0.2">
      <c r="A7797" s="7" t="str">
        <f>HYPERLINK("https://otsuka-europe-crm.veevavault.com/ui/#object/account__v/V4TZ025E85BHGUT", "JESSICA BEATRIZ POLO Y LA BORDA CHUMPITAZ")</f>
        <v>JESSICA BEATRIZ POLO Y LA BORDA CHUMPITAZ</v>
      </c>
      <c r="B7797" s="7" t="str">
        <f>HYPERLINK("https://otsuka-europe-crm.veevavault.com/ui/#object/vcountry__v/VENZ000004SONF5", "ES")</f>
        <v>ES</v>
      </c>
      <c r="C7797" s="8" t="s">
        <v>39</v>
      </c>
      <c r="D7797" s="9" t="str">
        <f>HYPERLINK("https://otsuka-europe-crm.veevavault.com/ui/#object/approved_document__v/V5OZ025E82U1785", "LUP - Poster Deep Response - reuma")</f>
        <v>LUP - Poster Deep Response - reuma</v>
      </c>
      <c r="E7797" s="10" t="str">
        <f>HYPERLINK("https://otsuka-europe-crm.veevavault.com/ui/#object/sent_email__v/VBL00000003C263", "SE-001445312")</f>
        <v>SE-001445312</v>
      </c>
      <c r="F7797" s="11"/>
      <c r="G7797" s="12">
        <v>0</v>
      </c>
      <c r="H7797" s="12">
        <v>0</v>
      </c>
      <c r="I7797" s="12">
        <v>0</v>
      </c>
      <c r="J7797" s="11"/>
      <c r="K7797" s="12">
        <v>0</v>
      </c>
      <c r="L7797" s="10" t="str">
        <f>HYPERLINK("https://otsuka-europe-crm.veevavault.com/ui/#object/approved_document__v/V5OZ025E82U1785", "LUP - Poster Deep Response - reuma")</f>
        <v>LUP - Poster Deep Response - reuma</v>
      </c>
      <c r="M7797" s="10" t="str">
        <f>HYPERLINK("mailto:cmaroto@crm.otsuka-europe.com", "cmaroto@crm.otsuka-europe.com")</f>
        <v>cmaroto@crm.otsuka-europe.com</v>
      </c>
      <c r="N7797" s="13">
        <v>46231.41233796296</v>
      </c>
      <c r="O7797" s="14" t="str">
        <f>HYPERLINK("https://otsuka-europe-crm.veevavault.com/ui/#object/email_activity__v/V8C00000004D592", "EN-002109275")</f>
        <v>EN-002109275</v>
      </c>
    </row>
    <row r="7798" spans="1:15" ht="32" x14ac:dyDescent="0.2">
      <c r="A7798" s="7" t="str">
        <f>HYPERLINK("https://otsuka-europe-crm.veevavault.com/ui/#object/account__v/V4TZ04ASGBXC96O", "GEMA RUIZ BONILLA")</f>
        <v>GEMA RUIZ BONILLA</v>
      </c>
      <c r="B7798" s="7" t="str">
        <f>HYPERLINK("https://otsuka-europe-crm.veevavault.com/ui/#object/vcountry__v/VENZ000004SONF5", "ES")</f>
        <v>ES</v>
      </c>
      <c r="C7798" s="8" t="s">
        <v>39</v>
      </c>
      <c r="D7798" s="9" t="str">
        <f>HYPERLINK("https://otsuka-europe-crm.veevavault.com/ui/#object/approved_document__v/V5OZ025E82U1785", "LUP - Poster Deep Response - reuma")</f>
        <v>LUP - Poster Deep Response - reuma</v>
      </c>
      <c r="E7798" s="10" t="str">
        <f>HYPERLINK("https://otsuka-europe-crm.veevavault.com/ui/#object/sent_email__v/VBL00000003C264", "SE-001445313")</f>
        <v>SE-001445313</v>
      </c>
      <c r="F7798" s="11"/>
      <c r="G7798" s="12">
        <v>0</v>
      </c>
      <c r="H7798" s="12">
        <v>0</v>
      </c>
      <c r="I7798" s="12">
        <v>0</v>
      </c>
      <c r="J7798" s="11"/>
      <c r="K7798" s="12">
        <v>0</v>
      </c>
      <c r="L7798" s="10" t="str">
        <f>HYPERLINK("https://otsuka-europe-crm.veevavault.com/ui/#object/approved_document__v/V5OZ025E82U1785", "LUP - Poster Deep Response - reuma")</f>
        <v>LUP - Poster Deep Response - reuma</v>
      </c>
      <c r="M7798" s="10" t="str">
        <f>HYPERLINK("mailto:cmaroto@crm.otsuka-europe.com", "cmaroto@crm.otsuka-europe.com")</f>
        <v>cmaroto@crm.otsuka-europe.com</v>
      </c>
      <c r="N7798" s="13">
        <v>46231.412453703706</v>
      </c>
      <c r="O7798" s="14" t="str">
        <f>HYPERLINK("https://otsuka-europe-crm.veevavault.com/ui/#object/email_activity__v/V8C00000004D615", "EN-002109329")</f>
        <v>EN-002109329</v>
      </c>
    </row>
    <row r="7799" spans="1:15" ht="16" x14ac:dyDescent="0.2">
      <c r="A7799" s="18" t="str">
        <f>HYPERLINK("https://otsuka-europe-crm.veevavault.com/ui/#object/account__v/V4TZ025E87IYB7P", "PABLO NAVARRO PALOMO")</f>
        <v>PABLO NAVARRO PALOMO</v>
      </c>
      <c r="B7799" s="18" t="str">
        <f>HYPERLINK("https://otsuka-europe-crm.veevavault.com/ui/#object/vcountry__v/VENZ000004SONF5", "ES")</f>
        <v>ES</v>
      </c>
      <c r="C7799" s="20" t="s">
        <v>39</v>
      </c>
      <c r="D7799" s="21" t="str">
        <f>HYPERLINK("https://otsuka-europe-crm.veevavault.com/ui/#object/approved_document__v/V5OZ025E82U1785", "LUP - Poster Deep Response - reuma")</f>
        <v>LUP - Poster Deep Response - reuma</v>
      </c>
      <c r="E7799" s="22" t="str">
        <f>HYPERLINK("https://otsuka-europe-crm.veevavault.com/ui/#object/sent_email__v/VBL00000003C265", "SE-001445314")</f>
        <v>SE-001445314</v>
      </c>
      <c r="F7799" s="23"/>
      <c r="G7799" s="24">
        <v>0</v>
      </c>
      <c r="H7799" s="24">
        <v>0</v>
      </c>
      <c r="I7799" s="24">
        <v>0</v>
      </c>
      <c r="J7799" s="23"/>
      <c r="K7799" s="24">
        <v>0</v>
      </c>
      <c r="L7799" s="22" t="str">
        <f>HYPERLINK("https://otsuka-europe-crm.veevavault.com/ui/#object/approved_document__v/V5OZ025E82U1785", "LUP - Poster Deep Response - reuma")</f>
        <v>LUP - Poster Deep Response - reuma</v>
      </c>
      <c r="M7799" s="22" t="str">
        <f>HYPERLINK("mailto:cmaroto@crm.otsuka-europe.com", "cmaroto@crm.otsuka-europe.com")</f>
        <v>cmaroto@crm.otsuka-europe.com</v>
      </c>
      <c r="N7799" s="25">
        <v>46231.412453703706</v>
      </c>
      <c r="O7799" s="14" t="str">
        <f>HYPERLINK("https://otsuka-europe-crm.veevavault.com/ui/#object/email_activity__v/V8C00000004E470", "EN-002109289")</f>
        <v>EN-002109289</v>
      </c>
    </row>
    <row r="7800" spans="1:15" ht="16" x14ac:dyDescent="0.2">
      <c r="A7800" s="19"/>
      <c r="B7800" s="19"/>
      <c r="C7800" s="19"/>
      <c r="D7800" s="19"/>
      <c r="E7800" s="19"/>
      <c r="F7800" s="19"/>
      <c r="G7800" s="19"/>
      <c r="H7800" s="19"/>
      <c r="I7800" s="19"/>
      <c r="J7800" s="19"/>
      <c r="K7800" s="19"/>
      <c r="L7800" s="19"/>
      <c r="M7800" s="19"/>
      <c r="N7800" s="19"/>
      <c r="O7800" s="14" t="str">
        <f>HYPERLINK("https://otsuka-europe-crm.veevavault.com/ui/#object/email_activity__v/V8C00000004F007", "EN-002109799")</f>
        <v>EN-002109799</v>
      </c>
    </row>
    <row r="7801" spans="1:15" ht="32" x14ac:dyDescent="0.2">
      <c r="A7801" s="7" t="str">
        <f>HYPERLINK("https://otsuka-europe-crm.veevavault.com/ui/#object/account__v/V4TZ04ASGBXC915", "NATIVIDAD CARO FERNANDEZ")</f>
        <v>NATIVIDAD CARO FERNANDEZ</v>
      </c>
      <c r="B7801" s="7" t="str">
        <f>HYPERLINK("https://otsuka-europe-crm.veevavault.com/ui/#object/vcountry__v/VENZ000004SONF5", "ES")</f>
        <v>ES</v>
      </c>
      <c r="C7801" s="8" t="s">
        <v>39</v>
      </c>
      <c r="D7801" s="9" t="str">
        <f>HYPERLINK("https://otsuka-europe-crm.veevavault.com/ui/#object/approved_document__v/V5OZ025E82U1785", "LUP - Poster Deep Response - reuma")</f>
        <v>LUP - Poster Deep Response - reuma</v>
      </c>
      <c r="E7801" s="10" t="str">
        <f>HYPERLINK("https://otsuka-europe-crm.veevavault.com/ui/#object/sent_email__v/VBL00000003C266", "SE-001445315")</f>
        <v>SE-001445315</v>
      </c>
      <c r="F7801" s="11"/>
      <c r="G7801" s="12">
        <v>0</v>
      </c>
      <c r="H7801" s="12">
        <v>0</v>
      </c>
      <c r="I7801" s="12">
        <v>0</v>
      </c>
      <c r="J7801" s="11"/>
      <c r="K7801" s="12">
        <v>0</v>
      </c>
      <c r="L7801" s="10" t="str">
        <f>HYPERLINK("https://otsuka-europe-crm.veevavault.com/ui/#object/approved_document__v/V5OZ025E82U1785", "LUP - Poster Deep Response - reuma")</f>
        <v>LUP - Poster Deep Response - reuma</v>
      </c>
      <c r="M7801" s="10" t="str">
        <f>HYPERLINK("mailto:cmaroto@crm.otsuka-europe.com", "cmaroto@crm.otsuka-europe.com")</f>
        <v>cmaroto@crm.otsuka-europe.com</v>
      </c>
      <c r="N7801" s="13">
        <v>46231.412453703706</v>
      </c>
      <c r="O7801" s="14" t="str">
        <f>HYPERLINK("https://otsuka-europe-crm.veevavault.com/ui/#object/email_activity__v/V8C00000004D603", "EN-002109299")</f>
        <v>EN-002109299</v>
      </c>
    </row>
    <row r="7802" spans="1:15" ht="16" x14ac:dyDescent="0.2">
      <c r="A7802" s="18" t="str">
        <f>HYPERLINK("https://otsuka-europe-crm.veevavault.com/ui/#object/account__v/V4TZ04ASGAZN3BE", "ENRIQUE JUDEZ NAVARRO")</f>
        <v>ENRIQUE JUDEZ NAVARRO</v>
      </c>
      <c r="B7802" s="18" t="str">
        <f>HYPERLINK("https://otsuka-europe-crm.veevavault.com/ui/#object/vcountry__v/VENZ000004SONF5", "ES")</f>
        <v>ES</v>
      </c>
      <c r="C7802" s="20" t="s">
        <v>39</v>
      </c>
      <c r="D7802" s="21" t="str">
        <f>HYPERLINK("https://otsuka-europe-crm.veevavault.com/ui/#object/approved_document__v/V5OZ025E82U1785", "LUP - Poster Deep Response - reuma")</f>
        <v>LUP - Poster Deep Response - reuma</v>
      </c>
      <c r="E7802" s="22" t="str">
        <f>HYPERLINK("https://otsuka-europe-crm.veevavault.com/ui/#object/sent_email__v/VBL00000003C267", "SE-001445316")</f>
        <v>SE-001445316</v>
      </c>
      <c r="F7802" s="23"/>
      <c r="G7802" s="24">
        <v>0</v>
      </c>
      <c r="H7802" s="24">
        <v>0</v>
      </c>
      <c r="I7802" s="24">
        <v>0</v>
      </c>
      <c r="J7802" s="23"/>
      <c r="K7802" s="24">
        <v>0</v>
      </c>
      <c r="L7802" s="22" t="str">
        <f>HYPERLINK("https://otsuka-europe-crm.veevavault.com/ui/#object/approved_document__v/V5OZ025E82U1785", "LUP - Poster Deep Response - reuma")</f>
        <v>LUP - Poster Deep Response - reuma</v>
      </c>
      <c r="M7802" s="22" t="str">
        <f>HYPERLINK("mailto:cmaroto@crm.otsuka-europe.com", "cmaroto@crm.otsuka-europe.com")</f>
        <v>cmaroto@crm.otsuka-europe.com</v>
      </c>
      <c r="N7802" s="25">
        <v>46231.412465277775</v>
      </c>
      <c r="O7802" s="14" t="str">
        <f>HYPERLINK("https://otsuka-europe-crm.veevavault.com/ui/#object/email_activity__v/V8C00000004E485", "EN-002109310")</f>
        <v>EN-002109310</v>
      </c>
    </row>
    <row r="7803" spans="1:15" ht="16" x14ac:dyDescent="0.2">
      <c r="A7803" s="19"/>
      <c r="B7803" s="19"/>
      <c r="C7803" s="19"/>
      <c r="D7803" s="19"/>
      <c r="E7803" s="19"/>
      <c r="F7803" s="19"/>
      <c r="G7803" s="19"/>
      <c r="H7803" s="19"/>
      <c r="I7803" s="19"/>
      <c r="J7803" s="19"/>
      <c r="K7803" s="19"/>
      <c r="L7803" s="19"/>
      <c r="M7803" s="19"/>
      <c r="N7803" s="19"/>
      <c r="O7803" s="14" t="str">
        <f>HYPERLINK("https://otsuka-europe-crm.veevavault.com/ui/#object/email_activity__v/V8C00000004E579", "EN-002109490")</f>
        <v>EN-002109490</v>
      </c>
    </row>
    <row r="7804" spans="1:15" ht="32" x14ac:dyDescent="0.2">
      <c r="A7804" s="7" t="str">
        <f>HYPERLINK("https://otsuka-europe-crm.veevavault.com/ui/#object/account__v/V4TZ06G6OABA1KI", "OLGA INMACULADA SANCHEZ PERNAUTE")</f>
        <v>OLGA INMACULADA SANCHEZ PERNAUTE</v>
      </c>
      <c r="B7804" s="7" t="str">
        <f t="shared" ref="B7804:B7809" si="287">HYPERLINK("https://otsuka-europe-crm.veevavault.com/ui/#object/vcountry__v/VENZ000004SONF5", "ES")</f>
        <v>ES</v>
      </c>
      <c r="C7804" s="8" t="s">
        <v>39</v>
      </c>
      <c r="D7804" s="9" t="str">
        <f t="shared" ref="D7804:D7809" si="288">HYPERLINK("https://otsuka-europe-crm.veevavault.com/ui/#object/approved_document__v/V5OZ025E82U1785", "LUP - Poster Deep Response - reuma")</f>
        <v>LUP - Poster Deep Response - reuma</v>
      </c>
      <c r="E7804" s="10" t="str">
        <f>HYPERLINK("https://otsuka-europe-crm.veevavault.com/ui/#object/sent_email__v/VBL00000003C268", "SE-001445317")</f>
        <v>SE-001445317</v>
      </c>
      <c r="F7804" s="11"/>
      <c r="G7804" s="12">
        <v>0</v>
      </c>
      <c r="H7804" s="12">
        <v>0</v>
      </c>
      <c r="I7804" s="12">
        <v>0</v>
      </c>
      <c r="J7804" s="11"/>
      <c r="K7804" s="12">
        <v>0</v>
      </c>
      <c r="L7804" s="10" t="str">
        <f t="shared" ref="L7804:L7809" si="289">HYPERLINK("https://otsuka-europe-crm.veevavault.com/ui/#object/approved_document__v/V5OZ025E82U1785", "LUP - Poster Deep Response - reuma")</f>
        <v>LUP - Poster Deep Response - reuma</v>
      </c>
      <c r="M7804" s="10" t="str">
        <f t="shared" ref="M7804:M7809" si="290">HYPERLINK("mailto:cmaroto@crm.otsuka-europe.com", "cmaroto@crm.otsuka-europe.com")</f>
        <v>cmaroto@crm.otsuka-europe.com</v>
      </c>
      <c r="N7804" s="13">
        <v>46231.41233796296</v>
      </c>
      <c r="O7804" s="14" t="str">
        <f>HYPERLINK("https://otsuka-europe-crm.veevavault.com/ui/#object/email_activity__v/V8C00000004D593", "EN-002109276")</f>
        <v>EN-002109276</v>
      </c>
    </row>
    <row r="7805" spans="1:15" ht="32" x14ac:dyDescent="0.2">
      <c r="A7805" s="7" t="str">
        <f>HYPERLINK("https://otsuka-europe-crm.veevavault.com/ui/#object/account__v/V4TZ06G6O8L3APA", "FRANCISCO JAVIER RODELES MELERO")</f>
        <v>FRANCISCO JAVIER RODELES MELERO</v>
      </c>
      <c r="B7805" s="7" t="str">
        <f t="shared" si="287"/>
        <v>ES</v>
      </c>
      <c r="C7805" s="8" t="s">
        <v>39</v>
      </c>
      <c r="D7805" s="9" t="str">
        <f t="shared" si="288"/>
        <v>LUP - Poster Deep Response - reuma</v>
      </c>
      <c r="E7805" s="10" t="str">
        <f>HYPERLINK("https://otsuka-europe-crm.veevavault.com/ui/#object/sent_email__v/VBL00000003C269", "SE-001445318")</f>
        <v>SE-001445318</v>
      </c>
      <c r="F7805" s="11"/>
      <c r="G7805" s="12">
        <v>0</v>
      </c>
      <c r="H7805" s="12">
        <v>0</v>
      </c>
      <c r="I7805" s="12">
        <v>0</v>
      </c>
      <c r="J7805" s="11"/>
      <c r="K7805" s="12">
        <v>0</v>
      </c>
      <c r="L7805" s="10" t="str">
        <f t="shared" si="289"/>
        <v>LUP - Poster Deep Response - reuma</v>
      </c>
      <c r="M7805" s="10" t="str">
        <f t="shared" si="290"/>
        <v>cmaroto@crm.otsuka-europe.com</v>
      </c>
      <c r="N7805" s="13">
        <v>46231.41233796296</v>
      </c>
      <c r="O7805" s="14" t="str">
        <f>HYPERLINK("https://otsuka-europe-crm.veevavault.com/ui/#object/email_activity__v/V8C00000004E453", "EN-002109252")</f>
        <v>EN-002109252</v>
      </c>
    </row>
    <row r="7806" spans="1:15" ht="32" x14ac:dyDescent="0.2">
      <c r="A7806" s="7" t="str">
        <f>HYPERLINK("https://otsuka-europe-crm.veevavault.com/ui/#object/account__v/V4TZ04ASGBXHPOP", "MARIA ISABEL LABIANO BASTERO")</f>
        <v>MARIA ISABEL LABIANO BASTERO</v>
      </c>
      <c r="B7806" s="7" t="str">
        <f t="shared" si="287"/>
        <v>ES</v>
      </c>
      <c r="C7806" s="8" t="s">
        <v>39</v>
      </c>
      <c r="D7806" s="9" t="str">
        <f t="shared" si="288"/>
        <v>LUP - Poster Deep Response - reuma</v>
      </c>
      <c r="E7806" s="10" t="str">
        <f>HYPERLINK("https://otsuka-europe-crm.veevavault.com/ui/#object/sent_email__v/VBL00000003C270", "SE-001445319")</f>
        <v>SE-001445319</v>
      </c>
      <c r="F7806" s="11"/>
      <c r="G7806" s="12">
        <v>0</v>
      </c>
      <c r="H7806" s="12">
        <v>0</v>
      </c>
      <c r="I7806" s="12">
        <v>0</v>
      </c>
      <c r="J7806" s="11"/>
      <c r="K7806" s="12">
        <v>0</v>
      </c>
      <c r="L7806" s="10" t="str">
        <f t="shared" si="289"/>
        <v>LUP - Poster Deep Response - reuma</v>
      </c>
      <c r="M7806" s="10" t="str">
        <f t="shared" si="290"/>
        <v>cmaroto@crm.otsuka-europe.com</v>
      </c>
      <c r="N7806" s="13">
        <v>46231.412453703706</v>
      </c>
      <c r="O7806" s="14" t="str">
        <f>HYPERLINK("https://otsuka-europe-crm.veevavault.com/ui/#object/email_activity__v/V8C00000004D613", "EN-002109327")</f>
        <v>EN-002109327</v>
      </c>
    </row>
    <row r="7807" spans="1:15" ht="32" x14ac:dyDescent="0.2">
      <c r="A7807" s="7" t="str">
        <f>HYPERLINK("https://otsuka-europe-crm.veevavault.com/ui/#object/account__v/V4TZ04ASGBXC95A", "SILVIA MONTES GARCIA")</f>
        <v>SILVIA MONTES GARCIA</v>
      </c>
      <c r="B7807" s="7" t="str">
        <f t="shared" si="287"/>
        <v>ES</v>
      </c>
      <c r="C7807" s="8" t="s">
        <v>39</v>
      </c>
      <c r="D7807" s="9" t="str">
        <f t="shared" si="288"/>
        <v>LUP - Poster Deep Response - reuma</v>
      </c>
      <c r="E7807" s="10" t="str">
        <f>HYPERLINK("https://otsuka-europe-crm.veevavault.com/ui/#object/sent_email__v/VBL00000003C271", "SE-001445320")</f>
        <v>SE-001445320</v>
      </c>
      <c r="F7807" s="11"/>
      <c r="G7807" s="12">
        <v>0</v>
      </c>
      <c r="H7807" s="12">
        <v>0</v>
      </c>
      <c r="I7807" s="12">
        <v>0</v>
      </c>
      <c r="J7807" s="11"/>
      <c r="K7807" s="12">
        <v>0</v>
      </c>
      <c r="L7807" s="10" t="str">
        <f t="shared" si="289"/>
        <v>LUP - Poster Deep Response - reuma</v>
      </c>
      <c r="M7807" s="10" t="str">
        <f t="shared" si="290"/>
        <v>cmaroto@crm.otsuka-europe.com</v>
      </c>
      <c r="N7807" s="13">
        <v>46231.412453703706</v>
      </c>
      <c r="O7807" s="14" t="str">
        <f>HYPERLINK("https://otsuka-europe-crm.veevavault.com/ui/#object/email_activity__v/V8C00000004D602", "EN-002109298")</f>
        <v>EN-002109298</v>
      </c>
    </row>
    <row r="7808" spans="1:15" ht="32" x14ac:dyDescent="0.2">
      <c r="A7808" s="7" t="str">
        <f>HYPERLINK("https://otsuka-europe-crm.veevavault.com/ui/#object/account__v/V4TZ025E82XIINC", "EVA REVUELTA EVRARD")</f>
        <v>EVA REVUELTA EVRARD</v>
      </c>
      <c r="B7808" s="7" t="str">
        <f t="shared" si="287"/>
        <v>ES</v>
      </c>
      <c r="C7808" s="8" t="s">
        <v>39</v>
      </c>
      <c r="D7808" s="9" t="str">
        <f t="shared" si="288"/>
        <v>LUP - Poster Deep Response - reuma</v>
      </c>
      <c r="E7808" s="10" t="str">
        <f>HYPERLINK("https://otsuka-europe-crm.veevavault.com/ui/#object/sent_email__v/VBL00000003C272", "SE-001445321")</f>
        <v>SE-001445321</v>
      </c>
      <c r="F7808" s="11"/>
      <c r="G7808" s="12">
        <v>0</v>
      </c>
      <c r="H7808" s="12">
        <v>0</v>
      </c>
      <c r="I7808" s="12">
        <v>0</v>
      </c>
      <c r="J7808" s="11"/>
      <c r="K7808" s="12">
        <v>0</v>
      </c>
      <c r="L7808" s="10" t="str">
        <f t="shared" si="289"/>
        <v>LUP - Poster Deep Response - reuma</v>
      </c>
      <c r="M7808" s="10" t="str">
        <f t="shared" si="290"/>
        <v>cmaroto@crm.otsuka-europe.com</v>
      </c>
      <c r="N7808" s="13">
        <v>46231.412453703706</v>
      </c>
      <c r="O7808" s="14" t="str">
        <f>HYPERLINK("https://otsuka-europe-crm.veevavault.com/ui/#object/email_activity__v/V8C00000004D607", "EN-002109305")</f>
        <v>EN-002109305</v>
      </c>
    </row>
    <row r="7809" spans="1:15" ht="16" x14ac:dyDescent="0.2">
      <c r="A7809" s="18" t="str">
        <f>HYPERLINK("https://otsuka-europe-crm.veevavault.com/ui/#object/account__v/V4TZ04ASGABWN5R", "ANTIA ASUNCION GARCIA FERNANDEZ")</f>
        <v>ANTIA ASUNCION GARCIA FERNANDEZ</v>
      </c>
      <c r="B7809" s="18" t="str">
        <f t="shared" si="287"/>
        <v>ES</v>
      </c>
      <c r="C7809" s="20" t="s">
        <v>39</v>
      </c>
      <c r="D7809" s="21" t="str">
        <f t="shared" si="288"/>
        <v>LUP - Poster Deep Response - reuma</v>
      </c>
      <c r="E7809" s="22" t="str">
        <f>HYPERLINK("https://otsuka-europe-crm.veevavault.com/ui/#object/sent_email__v/VBL00000003C273", "SE-001445322")</f>
        <v>SE-001445322</v>
      </c>
      <c r="F7809" s="25">
        <v>46231.465520833335</v>
      </c>
      <c r="G7809" s="24">
        <v>1</v>
      </c>
      <c r="H7809" s="24">
        <v>2</v>
      </c>
      <c r="I7809" s="24">
        <v>0</v>
      </c>
      <c r="J7809" s="23"/>
      <c r="K7809" s="24">
        <v>0</v>
      </c>
      <c r="L7809" s="22" t="str">
        <f t="shared" si="289"/>
        <v>LUP - Poster Deep Response - reuma</v>
      </c>
      <c r="M7809" s="22" t="str">
        <f t="shared" si="290"/>
        <v>cmaroto@crm.otsuka-europe.com</v>
      </c>
      <c r="N7809" s="25">
        <v>46231.412465277775</v>
      </c>
      <c r="O7809" s="14" t="str">
        <f>HYPERLINK("https://otsuka-europe-crm.veevavault.com/ui/#object/email_activity__v/V8C00000004E479", "EN-002109302")</f>
        <v>EN-002109302</v>
      </c>
    </row>
    <row r="7810" spans="1:15" ht="16" x14ac:dyDescent="0.2">
      <c r="A7810" s="26"/>
      <c r="B7810" s="26"/>
      <c r="C7810" s="26"/>
      <c r="D7810" s="26"/>
      <c r="E7810" s="26"/>
      <c r="F7810" s="26"/>
      <c r="G7810" s="26"/>
      <c r="H7810" s="26"/>
      <c r="I7810" s="26"/>
      <c r="J7810" s="26"/>
      <c r="K7810" s="26"/>
      <c r="L7810" s="26"/>
      <c r="M7810" s="26"/>
      <c r="N7810" s="26"/>
      <c r="O7810" s="14" t="str">
        <f>HYPERLINK("https://otsuka-europe-crm.veevavault.com/ui/#object/email_activity__v/V8C00000004E487", "EN-002109312")</f>
        <v>EN-002109312</v>
      </c>
    </row>
    <row r="7811" spans="1:15" ht="16" x14ac:dyDescent="0.2">
      <c r="A7811" s="19"/>
      <c r="B7811" s="19"/>
      <c r="C7811" s="19"/>
      <c r="D7811" s="19"/>
      <c r="E7811" s="19"/>
      <c r="F7811" s="19"/>
      <c r="G7811" s="19"/>
      <c r="H7811" s="19"/>
      <c r="I7811" s="19"/>
      <c r="J7811" s="19"/>
      <c r="K7811" s="19"/>
      <c r="L7811" s="19"/>
      <c r="M7811" s="19"/>
      <c r="N7811" s="19"/>
      <c r="O7811" s="14" t="str">
        <f>HYPERLINK("https://otsuka-europe-crm.veevavault.com/ui/#object/email_activity__v/V8C00000004E519", "EN-002109382")</f>
        <v>EN-002109382</v>
      </c>
    </row>
    <row r="7812" spans="1:15" ht="16" x14ac:dyDescent="0.2">
      <c r="A7812" s="18" t="str">
        <f>HYPERLINK("https://otsuka-europe-crm.veevavault.com/ui/#object/account__v/V4TZ06G6O71T8M0", "MARCOS SANCHEZ FERNANDEZ")</f>
        <v>MARCOS SANCHEZ FERNANDEZ</v>
      </c>
      <c r="B7812" s="18" t="str">
        <f>HYPERLINK("https://otsuka-europe-crm.veevavault.com/ui/#object/vcountry__v/VENZ000004SONF5", "ES")</f>
        <v>ES</v>
      </c>
      <c r="C7812" s="20" t="s">
        <v>39</v>
      </c>
      <c r="D7812" s="21" t="str">
        <f>HYPERLINK("https://otsuka-europe-crm.veevavault.com/ui/#object/approved_document__v/V5OZ025E82U1785", "LUP - Poster Deep Response - reuma")</f>
        <v>LUP - Poster Deep Response - reuma</v>
      </c>
      <c r="E7812" s="22" t="str">
        <f>HYPERLINK("https://otsuka-europe-crm.veevavault.com/ui/#object/sent_email__v/VBL00000003C274", "SE-001445323")</f>
        <v>SE-001445323</v>
      </c>
      <c r="F7812" s="25">
        <v>46231.439386574071</v>
      </c>
      <c r="G7812" s="24">
        <v>1</v>
      </c>
      <c r="H7812" s="24">
        <v>2</v>
      </c>
      <c r="I7812" s="24">
        <v>0</v>
      </c>
      <c r="J7812" s="23"/>
      <c r="K7812" s="24">
        <v>0</v>
      </c>
      <c r="L7812" s="22" t="str">
        <f>HYPERLINK("https://otsuka-europe-crm.veevavault.com/ui/#object/approved_document__v/V5OZ025E82U1785", "LUP - Poster Deep Response - reuma")</f>
        <v>LUP - Poster Deep Response - reuma</v>
      </c>
      <c r="M7812" s="22" t="str">
        <f>HYPERLINK("mailto:cmaroto@crm.otsuka-europe.com", "cmaroto@crm.otsuka-europe.com")</f>
        <v>cmaroto@crm.otsuka-europe.com</v>
      </c>
      <c r="N7812" s="25">
        <v>46231.412465277775</v>
      </c>
      <c r="O7812" s="14" t="str">
        <f>HYPERLINK("https://otsuka-europe-crm.veevavault.com/ui/#object/email_activity__v/V8C00000004E491", "EN-002109316")</f>
        <v>EN-002109316</v>
      </c>
    </row>
    <row r="7813" spans="1:15" ht="16" x14ac:dyDescent="0.2">
      <c r="A7813" s="26"/>
      <c r="B7813" s="26"/>
      <c r="C7813" s="26"/>
      <c r="D7813" s="26"/>
      <c r="E7813" s="26"/>
      <c r="F7813" s="26"/>
      <c r="G7813" s="26"/>
      <c r="H7813" s="26"/>
      <c r="I7813" s="26"/>
      <c r="J7813" s="26"/>
      <c r="K7813" s="26"/>
      <c r="L7813" s="26"/>
      <c r="M7813" s="26"/>
      <c r="N7813" s="26"/>
      <c r="O7813" s="14" t="str">
        <f>HYPERLINK("https://otsuka-europe-crm.veevavault.com/ui/#object/email_activity__v/V8C00000004E502", "EN-002109339")</f>
        <v>EN-002109339</v>
      </c>
    </row>
    <row r="7814" spans="1:15" ht="16" x14ac:dyDescent="0.2">
      <c r="A7814" s="19"/>
      <c r="B7814" s="19"/>
      <c r="C7814" s="19"/>
      <c r="D7814" s="19"/>
      <c r="E7814" s="19"/>
      <c r="F7814" s="19"/>
      <c r="G7814" s="19"/>
      <c r="H7814" s="19"/>
      <c r="I7814" s="19"/>
      <c r="J7814" s="19"/>
      <c r="K7814" s="19"/>
      <c r="L7814" s="19"/>
      <c r="M7814" s="19"/>
      <c r="N7814" s="19"/>
      <c r="O7814" s="14" t="str">
        <f>HYPERLINK("https://otsuka-europe-crm.veevavault.com/ui/#object/email_activity__v/V8C00000004E510", "EN-002109362")</f>
        <v>EN-002109362</v>
      </c>
    </row>
    <row r="7815" spans="1:15" ht="16" x14ac:dyDescent="0.2">
      <c r="A7815" s="18" t="str">
        <f>HYPERLINK("https://otsuka-europe-crm.veevavault.com/ui/#object/account__v/V4TZ025E82XR34V", "DAVID CASTRO CORREDOR")</f>
        <v>DAVID CASTRO CORREDOR</v>
      </c>
      <c r="B7815" s="18" t="str">
        <f>HYPERLINK("https://otsuka-europe-crm.veevavault.com/ui/#object/vcountry__v/VENZ000004SONF5", "ES")</f>
        <v>ES</v>
      </c>
      <c r="C7815" s="20" t="s">
        <v>39</v>
      </c>
      <c r="D7815" s="21" t="str">
        <f>HYPERLINK("https://otsuka-europe-crm.veevavault.com/ui/#object/approved_document__v/V5OZ025E82U1785", "LUP - Poster Deep Response - reuma")</f>
        <v>LUP - Poster Deep Response - reuma</v>
      </c>
      <c r="E7815" s="22" t="str">
        <f>HYPERLINK("https://otsuka-europe-crm.veevavault.com/ui/#object/sent_email__v/VBL00000003C275", "SE-001445324")</f>
        <v>SE-001445324</v>
      </c>
      <c r="F7815" s="23"/>
      <c r="G7815" s="24">
        <v>0</v>
      </c>
      <c r="H7815" s="24">
        <v>0</v>
      </c>
      <c r="I7815" s="24">
        <v>0</v>
      </c>
      <c r="J7815" s="23"/>
      <c r="K7815" s="24">
        <v>0</v>
      </c>
      <c r="L7815" s="22" t="str">
        <f>HYPERLINK("https://otsuka-europe-crm.veevavault.com/ui/#object/approved_document__v/V5OZ025E82U1785", "LUP - Poster Deep Response - reuma")</f>
        <v>LUP - Poster Deep Response - reuma</v>
      </c>
      <c r="M7815" s="22" t="str">
        <f>HYPERLINK("mailto:cmaroto@crm.otsuka-europe.com", "cmaroto@crm.otsuka-europe.com")</f>
        <v>cmaroto@crm.otsuka-europe.com</v>
      </c>
      <c r="N7815" s="25">
        <v>46231.412453703706</v>
      </c>
      <c r="O7815" s="14" t="str">
        <f>HYPERLINK("https://otsuka-europe-crm.veevavault.com/ui/#object/email_activity__v/V8C00000004D601", "EN-002109286")</f>
        <v>EN-002109286</v>
      </c>
    </row>
    <row r="7816" spans="1:15" ht="16" x14ac:dyDescent="0.2">
      <c r="A7816" s="26"/>
      <c r="B7816" s="26"/>
      <c r="C7816" s="26"/>
      <c r="D7816" s="26"/>
      <c r="E7816" s="26"/>
      <c r="F7816" s="26"/>
      <c r="G7816" s="26"/>
      <c r="H7816" s="26"/>
      <c r="I7816" s="26"/>
      <c r="J7816" s="26"/>
      <c r="K7816" s="26"/>
      <c r="L7816" s="26"/>
      <c r="M7816" s="26"/>
      <c r="N7816" s="26"/>
      <c r="O7816" s="14" t="str">
        <f>HYPERLINK("https://otsuka-europe-crm.veevavault.com/ui/#object/email_activity__v/V8C00000004D634", "EN-002109359")</f>
        <v>EN-002109359</v>
      </c>
    </row>
    <row r="7817" spans="1:15" ht="16" x14ac:dyDescent="0.2">
      <c r="A7817" s="19"/>
      <c r="B7817" s="19"/>
      <c r="C7817" s="19"/>
      <c r="D7817" s="19"/>
      <c r="E7817" s="19"/>
      <c r="F7817" s="19"/>
      <c r="G7817" s="19"/>
      <c r="H7817" s="19"/>
      <c r="I7817" s="19"/>
      <c r="J7817" s="19"/>
      <c r="K7817" s="19"/>
      <c r="L7817" s="19"/>
      <c r="M7817" s="19"/>
      <c r="N7817" s="19"/>
      <c r="O7817" s="14" t="str">
        <f>HYPERLINK("https://otsuka-europe-crm.veevavault.com/ui/#object/email_activity__v/V8C00000004D663", "EN-002109424")</f>
        <v>EN-002109424</v>
      </c>
    </row>
    <row r="7818" spans="1:15" ht="32" x14ac:dyDescent="0.2">
      <c r="A7818" s="7" t="str">
        <f>HYPERLINK("https://otsuka-europe-crm.veevavault.com/ui/#object/account__v/V4TZ04ASGE05KZ6", "MARCO AURELIO RAMIREZ HUARANGA")</f>
        <v>MARCO AURELIO RAMIREZ HUARANGA</v>
      </c>
      <c r="B7818" s="7" t="str">
        <f t="shared" ref="B7818:B7823" si="291">HYPERLINK("https://otsuka-europe-crm.veevavault.com/ui/#object/vcountry__v/VENZ000004SONF5", "ES")</f>
        <v>ES</v>
      </c>
      <c r="C7818" s="8" t="s">
        <v>39</v>
      </c>
      <c r="D7818" s="9" t="str">
        <f t="shared" ref="D7818:D7823" si="292">HYPERLINK("https://otsuka-europe-crm.veevavault.com/ui/#object/approved_document__v/V5OZ025E82U1785", "LUP - Poster Deep Response - reuma")</f>
        <v>LUP - Poster Deep Response - reuma</v>
      </c>
      <c r="E7818" s="10" t="str">
        <f>HYPERLINK("https://otsuka-europe-crm.veevavault.com/ui/#object/sent_email__v/VBL00000003C276", "SE-001445325")</f>
        <v>SE-001445325</v>
      </c>
      <c r="F7818" s="11"/>
      <c r="G7818" s="12">
        <v>0</v>
      </c>
      <c r="H7818" s="12">
        <v>0</v>
      </c>
      <c r="I7818" s="12">
        <v>0</v>
      </c>
      <c r="J7818" s="11"/>
      <c r="K7818" s="12">
        <v>0</v>
      </c>
      <c r="L7818" s="10" t="str">
        <f t="shared" ref="L7818:L7823" si="293">HYPERLINK("https://otsuka-europe-crm.veevavault.com/ui/#object/approved_document__v/V5OZ025E82U1785", "LUP - Poster Deep Response - reuma")</f>
        <v>LUP - Poster Deep Response - reuma</v>
      </c>
      <c r="M7818" s="10" t="str">
        <f t="shared" ref="M7818:M7823" si="294">HYPERLINK("mailto:cmaroto@crm.otsuka-europe.com", "cmaroto@crm.otsuka-europe.com")</f>
        <v>cmaroto@crm.otsuka-europe.com</v>
      </c>
      <c r="N7818" s="13">
        <v>46231.412453703706</v>
      </c>
      <c r="O7818" s="14" t="str">
        <f>HYPERLINK("https://otsuka-europe-crm.veevavault.com/ui/#object/email_activity__v/V8C00000004E478", "EN-002109297")</f>
        <v>EN-002109297</v>
      </c>
    </row>
    <row r="7819" spans="1:15" ht="32" x14ac:dyDescent="0.2">
      <c r="A7819" s="7" t="str">
        <f>HYPERLINK("https://otsuka-europe-crm.veevavault.com/ui/#object/account__v/V4TZ04ASGABZ2VC", "ADELA ALIA JIMENEZ")</f>
        <v>ADELA ALIA JIMENEZ</v>
      </c>
      <c r="B7819" s="7" t="str">
        <f t="shared" si="291"/>
        <v>ES</v>
      </c>
      <c r="C7819" s="8" t="s">
        <v>39</v>
      </c>
      <c r="D7819" s="9" t="str">
        <f t="shared" si="292"/>
        <v>LUP - Poster Deep Response - reuma</v>
      </c>
      <c r="E7819" s="10" t="str">
        <f>HYPERLINK("https://otsuka-europe-crm.veevavault.com/ui/#object/sent_email__v/VBL00000003C277", "SE-001445326")</f>
        <v>SE-001445326</v>
      </c>
      <c r="F7819" s="11"/>
      <c r="G7819" s="12">
        <v>0</v>
      </c>
      <c r="H7819" s="12">
        <v>0</v>
      </c>
      <c r="I7819" s="12">
        <v>0</v>
      </c>
      <c r="J7819" s="11"/>
      <c r="K7819" s="12">
        <v>0</v>
      </c>
      <c r="L7819" s="10" t="str">
        <f t="shared" si="293"/>
        <v>LUP - Poster Deep Response - reuma</v>
      </c>
      <c r="M7819" s="10" t="str">
        <f t="shared" si="294"/>
        <v>cmaroto@crm.otsuka-europe.com</v>
      </c>
      <c r="N7819" s="13">
        <v>46231.412453703706</v>
      </c>
      <c r="O7819" s="14" t="str">
        <f>HYPERLINK("https://otsuka-europe-crm.veevavault.com/ui/#object/email_activity__v/V8C00000004D616", "EN-002109330")</f>
        <v>EN-002109330</v>
      </c>
    </row>
    <row r="7820" spans="1:15" ht="32" x14ac:dyDescent="0.2">
      <c r="A7820" s="7" t="str">
        <f>HYPERLINK("https://otsuka-europe-crm.veevavault.com/ui/#object/account__v/V4TZ04ASGC4AYQQ", "VERONICA SALAS MANZANEDO")</f>
        <v>VERONICA SALAS MANZANEDO</v>
      </c>
      <c r="B7820" s="7" t="str">
        <f t="shared" si="291"/>
        <v>ES</v>
      </c>
      <c r="C7820" s="8" t="s">
        <v>39</v>
      </c>
      <c r="D7820" s="9" t="str">
        <f t="shared" si="292"/>
        <v>LUP - Poster Deep Response - reuma</v>
      </c>
      <c r="E7820" s="10" t="str">
        <f>HYPERLINK("https://otsuka-europe-crm.veevavault.com/ui/#object/sent_email__v/VBL00000003C278", "SE-001445327")</f>
        <v>SE-001445327</v>
      </c>
      <c r="F7820" s="11"/>
      <c r="G7820" s="12">
        <v>0</v>
      </c>
      <c r="H7820" s="12">
        <v>0</v>
      </c>
      <c r="I7820" s="12">
        <v>0</v>
      </c>
      <c r="J7820" s="11"/>
      <c r="K7820" s="12">
        <v>0</v>
      </c>
      <c r="L7820" s="10" t="str">
        <f t="shared" si="293"/>
        <v>LUP - Poster Deep Response - reuma</v>
      </c>
      <c r="M7820" s="10" t="str">
        <f t="shared" si="294"/>
        <v>cmaroto@crm.otsuka-europe.com</v>
      </c>
      <c r="N7820" s="13">
        <v>46231.412453703706</v>
      </c>
      <c r="O7820" s="14" t="str">
        <f>HYPERLINK("https://otsuka-europe-crm.veevavault.com/ui/#object/email_activity__v/V8C00000004D600", "EN-002109285")</f>
        <v>EN-002109285</v>
      </c>
    </row>
    <row r="7821" spans="1:15" ht="32" x14ac:dyDescent="0.2">
      <c r="A7821" s="7" t="str">
        <f>HYPERLINK("https://otsuka-europe-crm.veevavault.com/ui/#object/account__v/V4TZ06G6OB46CMI", "MARIA GALINDO IZQUIERDO")</f>
        <v>MARIA GALINDO IZQUIERDO</v>
      </c>
      <c r="B7821" s="7" t="str">
        <f t="shared" si="291"/>
        <v>ES</v>
      </c>
      <c r="C7821" s="8" t="s">
        <v>39</v>
      </c>
      <c r="D7821" s="9" t="str">
        <f t="shared" si="292"/>
        <v>LUP - Poster Deep Response - reuma</v>
      </c>
      <c r="E7821" s="10" t="str">
        <f>HYPERLINK("https://otsuka-europe-crm.veevavault.com/ui/#object/sent_email__v/VBL00000003C279", "SE-001445328")</f>
        <v>SE-001445328</v>
      </c>
      <c r="F7821" s="11"/>
      <c r="G7821" s="12">
        <v>0</v>
      </c>
      <c r="H7821" s="12">
        <v>0</v>
      </c>
      <c r="I7821" s="12">
        <v>0</v>
      </c>
      <c r="J7821" s="11"/>
      <c r="K7821" s="12">
        <v>0</v>
      </c>
      <c r="L7821" s="10" t="str">
        <f t="shared" si="293"/>
        <v>LUP - Poster Deep Response - reuma</v>
      </c>
      <c r="M7821" s="10" t="str">
        <f t="shared" si="294"/>
        <v>cmaroto@crm.otsuka-europe.com</v>
      </c>
      <c r="N7821" s="13">
        <v>46231.412453703706</v>
      </c>
      <c r="O7821" s="14" t="str">
        <f>HYPERLINK("https://otsuka-europe-crm.veevavault.com/ui/#object/email_activity__v/V8C00000004E484", "EN-002109309")</f>
        <v>EN-002109309</v>
      </c>
    </row>
    <row r="7822" spans="1:15" ht="32" x14ac:dyDescent="0.2">
      <c r="A7822" s="7" t="str">
        <f>HYPERLINK("https://otsuka-europe-crm.veevavault.com/ui/#object/account__v/V4TZ04ASGAZN38W", "JOSE LUIS RODRIGUEZ GARCIA")</f>
        <v>JOSE LUIS RODRIGUEZ GARCIA</v>
      </c>
      <c r="B7822" s="7" t="str">
        <f t="shared" si="291"/>
        <v>ES</v>
      </c>
      <c r="C7822" s="8" t="s">
        <v>39</v>
      </c>
      <c r="D7822" s="9" t="str">
        <f t="shared" si="292"/>
        <v>LUP - Poster Deep Response - reuma</v>
      </c>
      <c r="E7822" s="10" t="str">
        <f>HYPERLINK("https://otsuka-europe-crm.veevavault.com/ui/#object/sent_email__v/VBL00000003C280", "SE-001445329")</f>
        <v>SE-001445329</v>
      </c>
      <c r="F7822" s="11"/>
      <c r="G7822" s="12">
        <v>0</v>
      </c>
      <c r="H7822" s="12">
        <v>0</v>
      </c>
      <c r="I7822" s="12">
        <v>0</v>
      </c>
      <c r="J7822" s="11"/>
      <c r="K7822" s="12">
        <v>0</v>
      </c>
      <c r="L7822" s="10" t="str">
        <f t="shared" si="293"/>
        <v>LUP - Poster Deep Response - reuma</v>
      </c>
      <c r="M7822" s="10" t="str">
        <f t="shared" si="294"/>
        <v>cmaroto@crm.otsuka-europe.com</v>
      </c>
      <c r="N7822" s="13">
        <v>46231.412453703706</v>
      </c>
      <c r="O7822" s="14" t="str">
        <f>HYPERLINK("https://otsuka-europe-crm.veevavault.com/ui/#object/email_activity__v/V8C00000004E472", "EN-002109291")</f>
        <v>EN-002109291</v>
      </c>
    </row>
    <row r="7823" spans="1:15" ht="16" x14ac:dyDescent="0.2">
      <c r="A7823" s="18" t="str">
        <f>HYPERLINK("https://otsuka-europe-crm.veevavault.com/ui/#object/account__v/V4T00000001P117", "ANA MARIA RUIZ BEJERANO")</f>
        <v>ANA MARIA RUIZ BEJERANO</v>
      </c>
      <c r="B7823" s="18" t="str">
        <f t="shared" si="291"/>
        <v>ES</v>
      </c>
      <c r="C7823" s="20" t="s">
        <v>39</v>
      </c>
      <c r="D7823" s="21" t="str">
        <f t="shared" si="292"/>
        <v>LUP - Poster Deep Response - reuma</v>
      </c>
      <c r="E7823" s="22" t="str">
        <f>HYPERLINK("https://otsuka-europe-crm.veevavault.com/ui/#object/sent_email__v/VBL00000003C281", "SE-001445330")</f>
        <v>SE-001445330</v>
      </c>
      <c r="F7823" s="25">
        <v>46231.412557870368</v>
      </c>
      <c r="G7823" s="24">
        <v>1</v>
      </c>
      <c r="H7823" s="24">
        <v>1</v>
      </c>
      <c r="I7823" s="24">
        <v>0</v>
      </c>
      <c r="J7823" s="23"/>
      <c r="K7823" s="24">
        <v>0</v>
      </c>
      <c r="L7823" s="22" t="str">
        <f t="shared" si="293"/>
        <v>LUP - Poster Deep Response - reuma</v>
      </c>
      <c r="M7823" s="22" t="str">
        <f t="shared" si="294"/>
        <v>cmaroto@crm.otsuka-europe.com</v>
      </c>
      <c r="N7823" s="25">
        <v>46231.412453703706</v>
      </c>
      <c r="O7823" s="14" t="str">
        <f>HYPERLINK("https://otsuka-europe-crm.veevavault.com/ui/#object/email_activity__v/V8C00000004E480", "EN-002109303")</f>
        <v>EN-002109303</v>
      </c>
    </row>
    <row r="7824" spans="1:15" ht="16" x14ac:dyDescent="0.2">
      <c r="A7824" s="19"/>
      <c r="B7824" s="19"/>
      <c r="C7824" s="19"/>
      <c r="D7824" s="19"/>
      <c r="E7824" s="19"/>
      <c r="F7824" s="19"/>
      <c r="G7824" s="19"/>
      <c r="H7824" s="19"/>
      <c r="I7824" s="19"/>
      <c r="J7824" s="19"/>
      <c r="K7824" s="19"/>
      <c r="L7824" s="19"/>
      <c r="M7824" s="19"/>
      <c r="N7824" s="19"/>
      <c r="O7824" s="14" t="str">
        <f>HYPERLINK("https://otsuka-europe-crm.veevavault.com/ui/#object/email_activity__v/V8C00000004E495", "EN-002109324")</f>
        <v>EN-002109324</v>
      </c>
    </row>
    <row r="7825" spans="1:15" ht="16" x14ac:dyDescent="0.2">
      <c r="A7825" s="18" t="str">
        <f>HYPERLINK("https://otsuka-europe-crm.veevavault.com/ui/#object/account__v/V4TZ04ASGAPA4M6", "JUAN ANTONIO MARTINEZ LOPEZ")</f>
        <v>JUAN ANTONIO MARTINEZ LOPEZ</v>
      </c>
      <c r="B7825" s="18" t="str">
        <f>HYPERLINK("https://otsuka-europe-crm.veevavault.com/ui/#object/vcountry__v/VENZ000004SONF5", "ES")</f>
        <v>ES</v>
      </c>
      <c r="C7825" s="20" t="s">
        <v>39</v>
      </c>
      <c r="D7825" s="21" t="str">
        <f>HYPERLINK("https://otsuka-europe-crm.veevavault.com/ui/#object/approved_document__v/V5OZ025E82U1785", "LUP - Poster Deep Response - reuma")</f>
        <v>LUP - Poster Deep Response - reuma</v>
      </c>
      <c r="E7825" s="22" t="str">
        <f>HYPERLINK("https://otsuka-europe-crm.veevavault.com/ui/#object/sent_email__v/VBL00000003C282", "SE-001445331")</f>
        <v>SE-001445331</v>
      </c>
      <c r="F7825" s="25">
        <v>46231.437407407408</v>
      </c>
      <c r="G7825" s="24">
        <v>1</v>
      </c>
      <c r="H7825" s="24">
        <v>2</v>
      </c>
      <c r="I7825" s="24">
        <v>0</v>
      </c>
      <c r="J7825" s="23"/>
      <c r="K7825" s="24">
        <v>0</v>
      </c>
      <c r="L7825" s="22" t="str">
        <f>HYPERLINK("https://otsuka-europe-crm.veevavault.com/ui/#object/approved_document__v/V5OZ025E82U1785", "LUP - Poster Deep Response - reuma")</f>
        <v>LUP - Poster Deep Response - reuma</v>
      </c>
      <c r="M7825" s="22" t="str">
        <f>HYPERLINK("mailto:cmaroto@crm.otsuka-europe.com", "cmaroto@crm.otsuka-europe.com")</f>
        <v>cmaroto@crm.otsuka-europe.com</v>
      </c>
      <c r="N7825" s="25">
        <v>46231.412453703706</v>
      </c>
      <c r="O7825" s="14" t="str">
        <f>HYPERLINK("https://otsuka-europe-crm.veevavault.com/ui/#object/email_activity__v/V8C00000004D674", "EN-002109447")</f>
        <v>EN-002109447</v>
      </c>
    </row>
    <row r="7826" spans="1:15" ht="16" x14ac:dyDescent="0.2">
      <c r="A7826" s="26"/>
      <c r="B7826" s="26"/>
      <c r="C7826" s="26"/>
      <c r="D7826" s="26"/>
      <c r="E7826" s="26"/>
      <c r="F7826" s="26"/>
      <c r="G7826" s="26"/>
      <c r="H7826" s="26"/>
      <c r="I7826" s="26"/>
      <c r="J7826" s="26"/>
      <c r="K7826" s="26"/>
      <c r="L7826" s="26"/>
      <c r="M7826" s="26"/>
      <c r="N7826" s="26"/>
      <c r="O7826" s="14" t="str">
        <f>HYPERLINK("https://otsuka-europe-crm.veevavault.com/ui/#object/email_activity__v/V8C00000004E481", "EN-002109306")</f>
        <v>EN-002109306</v>
      </c>
    </row>
    <row r="7827" spans="1:15" ht="16" x14ac:dyDescent="0.2">
      <c r="A7827" s="26"/>
      <c r="B7827" s="26"/>
      <c r="C7827" s="26"/>
      <c r="D7827" s="26"/>
      <c r="E7827" s="26"/>
      <c r="F7827" s="26"/>
      <c r="G7827" s="26"/>
      <c r="H7827" s="26"/>
      <c r="I7827" s="26"/>
      <c r="J7827" s="26"/>
      <c r="K7827" s="26"/>
      <c r="L7827" s="26"/>
      <c r="M7827" s="26"/>
      <c r="N7827" s="26"/>
      <c r="O7827" s="14" t="str">
        <f>HYPERLINK("https://otsuka-europe-crm.veevavault.com/ui/#object/email_activity__v/V8C00000004E508", "EN-002109360")</f>
        <v>EN-002109360</v>
      </c>
    </row>
    <row r="7828" spans="1:15" ht="16" x14ac:dyDescent="0.2">
      <c r="A7828" s="19"/>
      <c r="B7828" s="19"/>
      <c r="C7828" s="19"/>
      <c r="D7828" s="19"/>
      <c r="E7828" s="19"/>
      <c r="F7828" s="19"/>
      <c r="G7828" s="19"/>
      <c r="H7828" s="19"/>
      <c r="I7828" s="19"/>
      <c r="J7828" s="19"/>
      <c r="K7828" s="19"/>
      <c r="L7828" s="19"/>
      <c r="M7828" s="19"/>
      <c r="N7828" s="19"/>
      <c r="O7828" s="14" t="str">
        <f>HYPERLINK("https://otsuka-europe-crm.veevavault.com/ui/#object/email_activity__v/V8C00000004E509", "EN-002109361")</f>
        <v>EN-002109361</v>
      </c>
    </row>
    <row r="7829" spans="1:15" ht="32" x14ac:dyDescent="0.2">
      <c r="A7829" s="7" t="str">
        <f>HYPERLINK("https://otsuka-europe-crm.veevavault.com/ui/#object/account__v/V4TZ025E87FYSDP", "TERESA BLAZQUEZ SANCHEZ")</f>
        <v>TERESA BLAZQUEZ SANCHEZ</v>
      </c>
      <c r="B7829" s="7" t="str">
        <f>HYPERLINK("https://otsuka-europe-crm.veevavault.com/ui/#object/vcountry__v/VENZ000004SONF5", "ES")</f>
        <v>ES</v>
      </c>
      <c r="C7829" s="8" t="s">
        <v>39</v>
      </c>
      <c r="D7829" s="9" t="str">
        <f>HYPERLINK("https://otsuka-europe-crm.veevavault.com/ui/#object/approved_document__v/V5OZ025E82U1785", "LUP - Poster Deep Response - reuma")</f>
        <v>LUP - Poster Deep Response - reuma</v>
      </c>
      <c r="E7829" s="10" t="str">
        <f>HYPERLINK("https://otsuka-europe-crm.veevavault.com/ui/#object/sent_email__v/VBL00000003C283", "SE-001445332")</f>
        <v>SE-001445332</v>
      </c>
      <c r="F7829" s="11"/>
      <c r="G7829" s="12">
        <v>0</v>
      </c>
      <c r="H7829" s="12">
        <v>0</v>
      </c>
      <c r="I7829" s="12">
        <v>0</v>
      </c>
      <c r="J7829" s="11"/>
      <c r="K7829" s="12">
        <v>0</v>
      </c>
      <c r="L7829" s="10" t="str">
        <f>HYPERLINK("https://otsuka-europe-crm.veevavault.com/ui/#object/approved_document__v/V5OZ025E82U1785", "LUP - Poster Deep Response - reuma")</f>
        <v>LUP - Poster Deep Response - reuma</v>
      </c>
      <c r="M7829" s="10" t="str">
        <f>HYPERLINK("mailto:cmaroto@crm.otsuka-europe.com", "cmaroto@crm.otsuka-europe.com")</f>
        <v>cmaroto@crm.otsuka-europe.com</v>
      </c>
      <c r="N7829" s="13">
        <v>46231.412453703706</v>
      </c>
      <c r="O7829" s="14" t="str">
        <f>HYPERLINK("https://otsuka-europe-crm.veevavault.com/ui/#object/email_activity__v/V8C00000004E473", "EN-002109292")</f>
        <v>EN-002109292</v>
      </c>
    </row>
    <row r="7830" spans="1:15" ht="32" x14ac:dyDescent="0.2">
      <c r="A7830" s="7" t="str">
        <f>HYPERLINK("https://otsuka-europe-crm.veevavault.com/ui/#object/account__v/V4TZ04ASGABWALZ", "ELENA HERAS RECUERO")</f>
        <v>ELENA HERAS RECUERO</v>
      </c>
      <c r="B7830" s="7" t="str">
        <f>HYPERLINK("https://otsuka-europe-crm.veevavault.com/ui/#object/vcountry__v/VENZ000004SONF5", "ES")</f>
        <v>ES</v>
      </c>
      <c r="C7830" s="8" t="s">
        <v>39</v>
      </c>
      <c r="D7830" s="9" t="str">
        <f>HYPERLINK("https://otsuka-europe-crm.veevavault.com/ui/#object/approved_document__v/V5OZ025E82U1785", "LUP - Poster Deep Response - reuma")</f>
        <v>LUP - Poster Deep Response - reuma</v>
      </c>
      <c r="E7830" s="10" t="str">
        <f>HYPERLINK("https://otsuka-europe-crm.veevavault.com/ui/#object/sent_email__v/VBL00000003C284", "SE-001445333")</f>
        <v>SE-001445333</v>
      </c>
      <c r="F7830" s="11"/>
      <c r="G7830" s="12">
        <v>0</v>
      </c>
      <c r="H7830" s="12">
        <v>0</v>
      </c>
      <c r="I7830" s="12">
        <v>0</v>
      </c>
      <c r="J7830" s="11"/>
      <c r="K7830" s="12">
        <v>0</v>
      </c>
      <c r="L7830" s="10" t="str">
        <f>HYPERLINK("https://otsuka-europe-crm.veevavault.com/ui/#object/approved_document__v/V5OZ025E82U1785", "LUP - Poster Deep Response - reuma")</f>
        <v>LUP - Poster Deep Response - reuma</v>
      </c>
      <c r="M7830" s="10" t="str">
        <f>HYPERLINK("mailto:cmaroto@crm.otsuka-europe.com", "cmaroto@crm.otsuka-europe.com")</f>
        <v>cmaroto@crm.otsuka-europe.com</v>
      </c>
      <c r="N7830" s="13">
        <v>46231.412453703706</v>
      </c>
      <c r="O7830" s="14" t="str">
        <f>HYPERLINK("https://otsuka-europe-crm.veevavault.com/ui/#object/email_activity__v/V8C00000004D604", "EN-002109300")</f>
        <v>EN-002109300</v>
      </c>
    </row>
    <row r="7831" spans="1:15" ht="32" x14ac:dyDescent="0.2">
      <c r="A7831" s="7" t="str">
        <f>HYPERLINK("https://otsuka-europe-crm.veevavault.com/ui/#object/account__v/V4TZ04ASG6ZZNTW", "CARMEN MARIA OLMEDA BRULL")</f>
        <v>CARMEN MARIA OLMEDA BRULL</v>
      </c>
      <c r="B7831" s="7" t="str">
        <f>HYPERLINK("https://otsuka-europe-crm.veevavault.com/ui/#object/vcountry__v/VENZ000004SONF5", "ES")</f>
        <v>ES</v>
      </c>
      <c r="C7831" s="8" t="s">
        <v>39</v>
      </c>
      <c r="D7831" s="9" t="str">
        <f>HYPERLINK("https://otsuka-europe-crm.veevavault.com/ui/#object/approved_document__v/V5OZ025E82U1785", "LUP - Poster Deep Response - reuma")</f>
        <v>LUP - Poster Deep Response - reuma</v>
      </c>
      <c r="E7831" s="10" t="str">
        <f>HYPERLINK("https://otsuka-europe-crm.veevavault.com/ui/#object/sent_email__v/VBL00000003C285", "SE-001445334")</f>
        <v>SE-001445334</v>
      </c>
      <c r="F7831" s="11"/>
      <c r="G7831" s="12">
        <v>0</v>
      </c>
      <c r="H7831" s="12">
        <v>0</v>
      </c>
      <c r="I7831" s="12">
        <v>0</v>
      </c>
      <c r="J7831" s="11"/>
      <c r="K7831" s="12">
        <v>0</v>
      </c>
      <c r="L7831" s="10" t="str">
        <f>HYPERLINK("https://otsuka-europe-crm.veevavault.com/ui/#object/approved_document__v/V5OZ025E82U1785", "LUP - Poster Deep Response - reuma")</f>
        <v>LUP - Poster Deep Response - reuma</v>
      </c>
      <c r="M7831" s="10" t="str">
        <f>HYPERLINK("mailto:cmaroto@crm.otsuka-europe.com", "cmaroto@crm.otsuka-europe.com")</f>
        <v>cmaroto@crm.otsuka-europe.com</v>
      </c>
      <c r="N7831" s="13">
        <v>46231.412453703706</v>
      </c>
      <c r="O7831" s="14" t="str">
        <f>HYPERLINK("https://otsuka-europe-crm.veevavault.com/ui/#object/email_activity__v/V8C00000004D612", "EN-002109326")</f>
        <v>EN-002109326</v>
      </c>
    </row>
    <row r="7832" spans="1:15" ht="16" x14ac:dyDescent="0.2">
      <c r="A7832" s="18" t="str">
        <f>HYPERLINK("https://otsuka-europe-crm.veevavault.com/ui/#object/account__v/V4TZ06G6OBIL6W5", "JOSE ANTONIO CARRASCO FERNANDEZ")</f>
        <v>JOSE ANTONIO CARRASCO FERNANDEZ</v>
      </c>
      <c r="B7832" s="18" t="str">
        <f>HYPERLINK("https://otsuka-europe-crm.veevavault.com/ui/#object/vcountry__v/VENZ000004SONF5", "ES")</f>
        <v>ES</v>
      </c>
      <c r="C7832" s="20" t="s">
        <v>39</v>
      </c>
      <c r="D7832" s="21" t="str">
        <f>HYPERLINK("https://otsuka-europe-crm.veevavault.com/ui/#object/approved_document__v/V5OZ025E82U1785", "LUP - Poster Deep Response - reuma")</f>
        <v>LUP - Poster Deep Response - reuma</v>
      </c>
      <c r="E7832" s="22" t="str">
        <f>HYPERLINK("https://otsuka-europe-crm.veevavault.com/ui/#object/sent_email__v/VBL00000003C286", "SE-001445335")</f>
        <v>SE-001445335</v>
      </c>
      <c r="F7832" s="23"/>
      <c r="G7832" s="24">
        <v>0</v>
      </c>
      <c r="H7832" s="24">
        <v>0</v>
      </c>
      <c r="I7832" s="24">
        <v>0</v>
      </c>
      <c r="J7832" s="23"/>
      <c r="K7832" s="24">
        <v>0</v>
      </c>
      <c r="L7832" s="22" t="str">
        <f>HYPERLINK("https://otsuka-europe-crm.veevavault.com/ui/#object/approved_document__v/V5OZ025E82U1785", "LUP - Poster Deep Response - reuma")</f>
        <v>LUP - Poster Deep Response - reuma</v>
      </c>
      <c r="M7832" s="22" t="str">
        <f>HYPERLINK("mailto:cmaroto@crm.otsuka-europe.com", "cmaroto@crm.otsuka-europe.com")</f>
        <v>cmaroto@crm.otsuka-europe.com</v>
      </c>
      <c r="N7832" s="25">
        <v>46231.412453703706</v>
      </c>
      <c r="O7832" s="14" t="str">
        <f>HYPERLINK("https://otsuka-europe-crm.veevavault.com/ui/#object/email_activity__v/V8C00000004D709", "EN-002109516")</f>
        <v>EN-002109516</v>
      </c>
    </row>
    <row r="7833" spans="1:15" ht="16" x14ac:dyDescent="0.2">
      <c r="A7833" s="19"/>
      <c r="B7833" s="19"/>
      <c r="C7833" s="19"/>
      <c r="D7833" s="19"/>
      <c r="E7833" s="19"/>
      <c r="F7833" s="19"/>
      <c r="G7833" s="19"/>
      <c r="H7833" s="19"/>
      <c r="I7833" s="19"/>
      <c r="J7833" s="19"/>
      <c r="K7833" s="19"/>
      <c r="L7833" s="19"/>
      <c r="M7833" s="19"/>
      <c r="N7833" s="19"/>
      <c r="O7833" s="14" t="str">
        <f>HYPERLINK("https://otsuka-europe-crm.veevavault.com/ui/#object/email_activity__v/V8C00000004E469", "EN-002109288")</f>
        <v>EN-002109288</v>
      </c>
    </row>
    <row r="7834" spans="1:15" ht="16" x14ac:dyDescent="0.2">
      <c r="A7834" s="18" t="str">
        <f>HYPERLINK("https://otsuka-europe-crm.veevavault.com/ui/#object/account__v/V4TZ04ASG6ZU1O6", "ANDRES GONZALEZ GARCIA")</f>
        <v>ANDRES GONZALEZ GARCIA</v>
      </c>
      <c r="B7834" s="18" t="str">
        <f>HYPERLINK("https://otsuka-europe-crm.veevavault.com/ui/#object/vcountry__v/VENZ000004SONF5", "ES")</f>
        <v>ES</v>
      </c>
      <c r="C7834" s="20" t="s">
        <v>39</v>
      </c>
      <c r="D7834" s="21" t="str">
        <f>HYPERLINK("https://otsuka-europe-crm.veevavault.com/ui/#object/approved_document__v/V5OZ025E82U1785", "LUP - Poster Deep Response - reuma")</f>
        <v>LUP - Poster Deep Response - reuma</v>
      </c>
      <c r="E7834" s="22" t="str">
        <f>HYPERLINK("https://otsuka-europe-crm.veevavault.com/ui/#object/sent_email__v/VBL00000003C287", "SE-001445336")</f>
        <v>SE-001445336</v>
      </c>
      <c r="F7834" s="25">
        <v>46231.458356481482</v>
      </c>
      <c r="G7834" s="24">
        <v>1</v>
      </c>
      <c r="H7834" s="24">
        <v>3</v>
      </c>
      <c r="I7834" s="24">
        <v>0</v>
      </c>
      <c r="J7834" s="23"/>
      <c r="K7834" s="24">
        <v>0</v>
      </c>
      <c r="L7834" s="22" t="str">
        <f>HYPERLINK("https://otsuka-europe-crm.veevavault.com/ui/#object/approved_document__v/V5OZ025E82U1785", "LUP - Poster Deep Response - reuma")</f>
        <v>LUP - Poster Deep Response - reuma</v>
      </c>
      <c r="M7834" s="22" t="str">
        <f>HYPERLINK("mailto:cmaroto@crm.otsuka-europe.com", "cmaroto@crm.otsuka-europe.com")</f>
        <v>cmaroto@crm.otsuka-europe.com</v>
      </c>
      <c r="N7834" s="25">
        <v>46231.412453703706</v>
      </c>
      <c r="O7834" s="14" t="str">
        <f>HYPERLINK("https://otsuka-europe-crm.veevavault.com/ui/#object/email_activity__v/V8C00000004E483", "EN-002109308")</f>
        <v>EN-002109308</v>
      </c>
    </row>
    <row r="7835" spans="1:15" ht="16" x14ac:dyDescent="0.2">
      <c r="A7835" s="26"/>
      <c r="B7835" s="26"/>
      <c r="C7835" s="26"/>
      <c r="D7835" s="26"/>
      <c r="E7835" s="26"/>
      <c r="F7835" s="26"/>
      <c r="G7835" s="26"/>
      <c r="H7835" s="26"/>
      <c r="I7835" s="26"/>
      <c r="J7835" s="26"/>
      <c r="K7835" s="26"/>
      <c r="L7835" s="26"/>
      <c r="M7835" s="26"/>
      <c r="N7835" s="26"/>
      <c r="O7835" s="14" t="str">
        <f>HYPERLINK("https://otsuka-europe-crm.veevavault.com/ui/#object/email_activity__v/V8C00000004E514", "EN-002109373")</f>
        <v>EN-002109373</v>
      </c>
    </row>
    <row r="7836" spans="1:15" ht="16" x14ac:dyDescent="0.2">
      <c r="A7836" s="26"/>
      <c r="B7836" s="26"/>
      <c r="C7836" s="26"/>
      <c r="D7836" s="26"/>
      <c r="E7836" s="26"/>
      <c r="F7836" s="26"/>
      <c r="G7836" s="26"/>
      <c r="H7836" s="26"/>
      <c r="I7836" s="26"/>
      <c r="J7836" s="26"/>
      <c r="K7836" s="26"/>
      <c r="L7836" s="26"/>
      <c r="M7836" s="26"/>
      <c r="N7836" s="26"/>
      <c r="O7836" s="14" t="str">
        <f>HYPERLINK("https://otsuka-europe-crm.veevavault.com/ui/#object/email_activity__v/V8C00000004E515", "EN-002109374")</f>
        <v>EN-002109374</v>
      </c>
    </row>
    <row r="7837" spans="1:15" ht="16" x14ac:dyDescent="0.2">
      <c r="A7837" s="19"/>
      <c r="B7837" s="19"/>
      <c r="C7837" s="19"/>
      <c r="D7837" s="19"/>
      <c r="E7837" s="19"/>
      <c r="F7837" s="19"/>
      <c r="G7837" s="19"/>
      <c r="H7837" s="19"/>
      <c r="I7837" s="19"/>
      <c r="J7837" s="19"/>
      <c r="K7837" s="19"/>
      <c r="L7837" s="19"/>
      <c r="M7837" s="19"/>
      <c r="N7837" s="19"/>
      <c r="O7837" s="14" t="str">
        <f>HYPERLINK("https://otsuka-europe-crm.veevavault.com/ui/#object/email_activity__v/V8C00000004E516", "EN-002109375")</f>
        <v>EN-002109375</v>
      </c>
    </row>
    <row r="7838" spans="1:15" ht="16" x14ac:dyDescent="0.2">
      <c r="A7838" s="18" t="str">
        <f>HYPERLINK("https://otsuka-europe-crm.veevavault.com/ui/#object/account__v/V4TZ06G6O9RD45V", "ISMAEL CALERO PANIAGUA")</f>
        <v>ISMAEL CALERO PANIAGUA</v>
      </c>
      <c r="B7838" s="18" t="str">
        <f>HYPERLINK("https://otsuka-europe-crm.veevavault.com/ui/#object/vcountry__v/VENZ000004SONF5", "ES")</f>
        <v>ES</v>
      </c>
      <c r="C7838" s="20" t="s">
        <v>39</v>
      </c>
      <c r="D7838" s="21" t="str">
        <f>HYPERLINK("https://otsuka-europe-crm.veevavault.com/ui/#object/approved_document__v/V5OZ025E82U1785", "LUP - Poster Deep Response - reuma")</f>
        <v>LUP - Poster Deep Response - reuma</v>
      </c>
      <c r="E7838" s="22" t="str">
        <f>HYPERLINK("https://otsuka-europe-crm.veevavault.com/ui/#object/sent_email__v/VBL00000003C288", "SE-001445337")</f>
        <v>SE-001445337</v>
      </c>
      <c r="F7838" s="25">
        <v>46233.329236111109</v>
      </c>
      <c r="G7838" s="24">
        <v>1</v>
      </c>
      <c r="H7838" s="24">
        <v>1</v>
      </c>
      <c r="I7838" s="24">
        <v>0</v>
      </c>
      <c r="J7838" s="23"/>
      <c r="K7838" s="24">
        <v>0</v>
      </c>
      <c r="L7838" s="22" t="str">
        <f>HYPERLINK("https://otsuka-europe-crm.veevavault.com/ui/#object/approved_document__v/V5OZ025E82U1785", "LUP - Poster Deep Response - reuma")</f>
        <v>LUP - Poster Deep Response - reuma</v>
      </c>
      <c r="M7838" s="22" t="str">
        <f>HYPERLINK("mailto:cmaroto@crm.otsuka-europe.com", "cmaroto@crm.otsuka-europe.com")</f>
        <v>cmaroto@crm.otsuka-europe.com</v>
      </c>
      <c r="N7838" s="25">
        <v>46231.412453703706</v>
      </c>
      <c r="O7838" s="14" t="str">
        <f>HYPERLINK("https://otsuka-europe-crm.veevavault.com/ui/#object/email_activity__v/V8C00000004D758", "EN-002109619")</f>
        <v>EN-002109619</v>
      </c>
    </row>
    <row r="7839" spans="1:15" ht="16" x14ac:dyDescent="0.2">
      <c r="A7839" s="19"/>
      <c r="B7839" s="19"/>
      <c r="C7839" s="19"/>
      <c r="D7839" s="19"/>
      <c r="E7839" s="19"/>
      <c r="F7839" s="19"/>
      <c r="G7839" s="19"/>
      <c r="H7839" s="19"/>
      <c r="I7839" s="19"/>
      <c r="J7839" s="19"/>
      <c r="K7839" s="19"/>
      <c r="L7839" s="19"/>
      <c r="M7839" s="19"/>
      <c r="N7839" s="19"/>
      <c r="O7839" s="14" t="str">
        <f>HYPERLINK("https://otsuka-europe-crm.veevavault.com/ui/#object/email_activity__v/V8C00000004E477", "EN-002109296")</f>
        <v>EN-002109296</v>
      </c>
    </row>
    <row r="7840" spans="1:15" ht="16" x14ac:dyDescent="0.2">
      <c r="A7840" s="18" t="str">
        <f>HYPERLINK("https://otsuka-europe-crm.veevavault.com/ui/#object/account__v/V4TZ04ASGBJNHN5", "MARIA LUISA BRIS OCHAITA")</f>
        <v>MARIA LUISA BRIS OCHAITA</v>
      </c>
      <c r="B7840" s="18" t="str">
        <f>HYPERLINK("https://otsuka-europe-crm.veevavault.com/ui/#object/vcountry__v/VENZ000004SONF5", "ES")</f>
        <v>ES</v>
      </c>
      <c r="C7840" s="20" t="s">
        <v>39</v>
      </c>
      <c r="D7840" s="21" t="str">
        <f>HYPERLINK("https://otsuka-europe-crm.veevavault.com/ui/#object/approved_document__v/V5OZ025E82U1785", "LUP - Poster Deep Response - reuma")</f>
        <v>LUP - Poster Deep Response - reuma</v>
      </c>
      <c r="E7840" s="22" t="str">
        <f>HYPERLINK("https://otsuka-europe-crm.veevavault.com/ui/#object/sent_email__v/VBL00000003C289", "SE-001445338")</f>
        <v>SE-001445338</v>
      </c>
      <c r="F7840" s="23"/>
      <c r="G7840" s="24">
        <v>0</v>
      </c>
      <c r="H7840" s="24">
        <v>0</v>
      </c>
      <c r="I7840" s="24">
        <v>0</v>
      </c>
      <c r="J7840" s="23"/>
      <c r="K7840" s="24">
        <v>0</v>
      </c>
      <c r="L7840" s="22" t="str">
        <f>HYPERLINK("https://otsuka-europe-crm.veevavault.com/ui/#object/approved_document__v/V5OZ025E82U1785", "LUP - Poster Deep Response - reuma")</f>
        <v>LUP - Poster Deep Response - reuma</v>
      </c>
      <c r="M7840" s="22" t="str">
        <f>HYPERLINK("mailto:cmaroto@crm.otsuka-europe.com", "cmaroto@crm.otsuka-europe.com")</f>
        <v>cmaroto@crm.otsuka-europe.com</v>
      </c>
      <c r="N7840" s="25">
        <v>46231.412453703706</v>
      </c>
      <c r="O7840" s="14" t="str">
        <f>HYPERLINK("https://otsuka-europe-crm.veevavault.com/ui/#object/email_activity__v/V8C00000004E494", "EN-002109323")</f>
        <v>EN-002109323</v>
      </c>
    </row>
    <row r="7841" spans="1:15" ht="16" x14ac:dyDescent="0.2">
      <c r="A7841" s="19"/>
      <c r="B7841" s="19"/>
      <c r="C7841" s="19"/>
      <c r="D7841" s="19"/>
      <c r="E7841" s="19"/>
      <c r="F7841" s="19"/>
      <c r="G7841" s="19"/>
      <c r="H7841" s="19"/>
      <c r="I7841" s="19"/>
      <c r="J7841" s="19"/>
      <c r="K7841" s="19"/>
      <c r="L7841" s="19"/>
      <c r="M7841" s="19"/>
      <c r="N7841" s="19"/>
      <c r="O7841" s="14" t="str">
        <f>HYPERLINK("https://otsuka-europe-crm.veevavault.com/ui/#object/email_activity__v/V8C00000004I186", "EN-002111389")</f>
        <v>EN-002111389</v>
      </c>
    </row>
    <row r="7842" spans="1:15" ht="32" x14ac:dyDescent="0.2">
      <c r="A7842" s="7" t="str">
        <f>HYPERLINK("https://otsuka-europe-crm.veevavault.com/ui/#object/account__v/V4TZ025E82XHWTD", "JOAQUIN ANINO FERNANDEZ")</f>
        <v>JOAQUIN ANINO FERNANDEZ</v>
      </c>
      <c r="B7842" s="7" t="str">
        <f>HYPERLINK("https://otsuka-europe-crm.veevavault.com/ui/#object/vcountry__v/VENZ000004SONF5", "ES")</f>
        <v>ES</v>
      </c>
      <c r="C7842" s="8" t="s">
        <v>39</v>
      </c>
      <c r="D7842" s="9" t="str">
        <f>HYPERLINK("https://otsuka-europe-crm.veevavault.com/ui/#object/approved_document__v/V5OZ025E82U1785", "LUP - Poster Deep Response - reuma")</f>
        <v>LUP - Poster Deep Response - reuma</v>
      </c>
      <c r="E7842" s="10" t="str">
        <f>HYPERLINK("https://otsuka-europe-crm.veevavault.com/ui/#object/sent_email__v/VBL00000003C290", "SE-001445339")</f>
        <v>SE-001445339</v>
      </c>
      <c r="F7842" s="11"/>
      <c r="G7842" s="12">
        <v>0</v>
      </c>
      <c r="H7842" s="12">
        <v>0</v>
      </c>
      <c r="I7842" s="12">
        <v>0</v>
      </c>
      <c r="J7842" s="11"/>
      <c r="K7842" s="12">
        <v>0</v>
      </c>
      <c r="L7842" s="10" t="str">
        <f>HYPERLINK("https://otsuka-europe-crm.veevavault.com/ui/#object/approved_document__v/V5OZ025E82U1785", "LUP - Poster Deep Response - reuma")</f>
        <v>LUP - Poster Deep Response - reuma</v>
      </c>
      <c r="M7842" s="10" t="str">
        <f>HYPERLINK("mailto:cmaroto@crm.otsuka-europe.com", "cmaroto@crm.otsuka-europe.com")</f>
        <v>cmaroto@crm.otsuka-europe.com</v>
      </c>
      <c r="N7842" s="13">
        <v>46231.412314814814</v>
      </c>
      <c r="O7842" s="14" t="str">
        <f>HYPERLINK("https://otsuka-europe-crm.veevavault.com/ui/#object/email_activity__v/V8C00000004D589", "EN-002109272")</f>
        <v>EN-002109272</v>
      </c>
    </row>
    <row r="7843" spans="1:15" ht="32" x14ac:dyDescent="0.2">
      <c r="A7843" s="7" t="str">
        <f>HYPERLINK("https://otsuka-europe-crm.veevavault.com/ui/#object/account__v/V4TZ04ASGBXHPOA", "NURIA AVILES MENDEZ")</f>
        <v>NURIA AVILES MENDEZ</v>
      </c>
      <c r="B7843" s="7" t="str">
        <f>HYPERLINK("https://otsuka-europe-crm.veevavault.com/ui/#object/vcountry__v/VENZ000004SONF5", "ES")</f>
        <v>ES</v>
      </c>
      <c r="C7843" s="8" t="s">
        <v>39</v>
      </c>
      <c r="D7843" s="9" t="str">
        <f>HYPERLINK("https://otsuka-europe-crm.veevavault.com/ui/#object/approved_document__v/V5OZ025E82U1785", "LUP - Poster Deep Response - reuma")</f>
        <v>LUP - Poster Deep Response - reuma</v>
      </c>
      <c r="E7843" s="10" t="str">
        <f>HYPERLINK("https://otsuka-europe-crm.veevavault.com/ui/#object/sent_email__v/VBL00000003C291", "SE-001445340")</f>
        <v>SE-001445340</v>
      </c>
      <c r="F7843" s="11"/>
      <c r="G7843" s="12">
        <v>0</v>
      </c>
      <c r="H7843" s="12">
        <v>0</v>
      </c>
      <c r="I7843" s="12">
        <v>0</v>
      </c>
      <c r="J7843" s="11"/>
      <c r="K7843" s="12">
        <v>0</v>
      </c>
      <c r="L7843" s="10" t="str">
        <f>HYPERLINK("https://otsuka-europe-crm.veevavault.com/ui/#object/approved_document__v/V5OZ025E82U1785", "LUP - Poster Deep Response - reuma")</f>
        <v>LUP - Poster Deep Response - reuma</v>
      </c>
      <c r="M7843" s="10" t="str">
        <f>HYPERLINK("mailto:cmaroto@crm.otsuka-europe.com", "cmaroto@crm.otsuka-europe.com")</f>
        <v>cmaroto@crm.otsuka-europe.com</v>
      </c>
      <c r="N7843" s="13">
        <v>46231.412314814814</v>
      </c>
      <c r="O7843" s="14" t="str">
        <f>HYPERLINK("https://otsuka-europe-crm.veevavault.com/ui/#object/email_activity__v/V8C00000004D582", "EN-002109253")</f>
        <v>EN-002109253</v>
      </c>
    </row>
    <row r="7844" spans="1:15" ht="16" x14ac:dyDescent="0.2">
      <c r="A7844" s="18" t="str">
        <f>HYPERLINK("https://otsuka-europe-crm.veevavault.com/ui/#object/account__v/V4TZ025E88KM1UJ", "Yasrat Bakare")</f>
        <v>Yasrat Bakare</v>
      </c>
      <c r="B7844" s="18" t="str">
        <f>HYPERLINK("https://otsuka-europe-crm.veevavault.com/ui/#object/vcountry__v/VENZ000004SONFK", "GB")</f>
        <v>GB</v>
      </c>
      <c r="C7844" s="20" t="s">
        <v>41</v>
      </c>
      <c r="D7844" s="21" t="str">
        <f>HYPERLINK("https://otsuka-europe-crm.veevavault.com/ui/#object/approved_document__v/V5O00000001V001", "LDM DR P2P Invite 12-Nov-26 v2 [digital]")</f>
        <v>LDM DR P2P Invite 12-Nov-26 v2 [digital]</v>
      </c>
      <c r="E7844" s="22" t="str">
        <f>HYPERLINK("https://otsuka-europe-crm.veevavault.com/ui/#object/sent_email__v/VBL00000003B231", "SE-001445341")</f>
        <v>SE-001445341</v>
      </c>
      <c r="F7844" s="25">
        <v>46231.46056712963</v>
      </c>
      <c r="G7844" s="24">
        <v>1</v>
      </c>
      <c r="H7844" s="24">
        <v>2</v>
      </c>
      <c r="I7844" s="24">
        <v>0</v>
      </c>
      <c r="J7844" s="23"/>
      <c r="K7844" s="24">
        <v>0</v>
      </c>
      <c r="L7844" s="22" t="str">
        <f>HYPERLINK("https://otsuka-europe-crm.veevavault.com/ui/#object/approved_document__v/V5O00000001V001", "LDM DR P2P Invite 12-Nov-26 v2 [digital]")</f>
        <v>LDM DR P2P Invite 12-Nov-26 v2 [digital]</v>
      </c>
      <c r="M7844" s="22" t="str">
        <f>HYPERLINK("mailto:draval@crm.otsuka-europe.com", "draval@crm.otsuka-europe.com")</f>
        <v>draval@crm.otsuka-europe.com</v>
      </c>
      <c r="N7844" s="25">
        <v>46231.422569444447</v>
      </c>
      <c r="O7844" s="14" t="str">
        <f>HYPERLINK("https://otsuka-europe-crm.veevavault.com/ui/#object/email_activity__v/V8C00000004D627", "EN-002109349")</f>
        <v>EN-002109349</v>
      </c>
    </row>
    <row r="7845" spans="1:15" ht="16" x14ac:dyDescent="0.2">
      <c r="A7845" s="26"/>
      <c r="B7845" s="26"/>
      <c r="C7845" s="26"/>
      <c r="D7845" s="26"/>
      <c r="E7845" s="26"/>
      <c r="F7845" s="26"/>
      <c r="G7845" s="26"/>
      <c r="H7845" s="26"/>
      <c r="I7845" s="26"/>
      <c r="J7845" s="26"/>
      <c r="K7845" s="26"/>
      <c r="L7845" s="26"/>
      <c r="M7845" s="26"/>
      <c r="N7845" s="26"/>
      <c r="O7845" s="14" t="str">
        <f>HYPERLINK("https://otsuka-europe-crm.veevavault.com/ui/#object/email_activity__v/V8C00000004E517", "EN-002109376")</f>
        <v>EN-002109376</v>
      </c>
    </row>
    <row r="7846" spans="1:15" ht="16" x14ac:dyDescent="0.2">
      <c r="A7846" s="19"/>
      <c r="B7846" s="19"/>
      <c r="C7846" s="19"/>
      <c r="D7846" s="19"/>
      <c r="E7846" s="19"/>
      <c r="F7846" s="19"/>
      <c r="G7846" s="19"/>
      <c r="H7846" s="19"/>
      <c r="I7846" s="19"/>
      <c r="J7846" s="19"/>
      <c r="K7846" s="19"/>
      <c r="L7846" s="19"/>
      <c r="M7846" s="19"/>
      <c r="N7846" s="19"/>
      <c r="O7846" s="14" t="str">
        <f>HYPERLINK("https://otsuka-europe-crm.veevavault.com/ui/#object/email_activity__v/V8C00000004E518", "EN-002109377")</f>
        <v>EN-002109377</v>
      </c>
    </row>
    <row r="7847" spans="1:15" ht="32" x14ac:dyDescent="0.2">
      <c r="A7847" s="7" t="str">
        <f>HYPERLINK("https://otsuka-europe-crm.veevavault.com/ui/#object/account__v/V4T00000002I044", "MARIA CARMEN LUCENA ARJONA")</f>
        <v>MARIA CARMEN LUCENA ARJONA</v>
      </c>
      <c r="B7847" s="7" t="str">
        <f>HYPERLINK("https://otsuka-europe-crm.veevavault.com/ui/#object/vcountry__v/VENZ000004SONF5", "ES")</f>
        <v>ES</v>
      </c>
      <c r="C7847" s="8" t="s">
        <v>39</v>
      </c>
      <c r="D7847" s="9" t="str">
        <f>HYPERLINK("https://otsuka-europe-crm.veevavault.com/ui/#object/approved_document__v/V5OZ06G6O6RFL1P", "ES Veeva Privacy Notice Email")</f>
        <v>ES Veeva Privacy Notice Email</v>
      </c>
      <c r="E7847" s="10" t="str">
        <f>HYPERLINK("https://otsuka-europe-crm.veevavault.com/ui/#object/sent_email__v/VBL00000003C292", "SE-001445342")</f>
        <v>SE-001445342</v>
      </c>
      <c r="F7847" s="11"/>
      <c r="G7847" s="12">
        <v>0</v>
      </c>
      <c r="H7847" s="12">
        <v>0</v>
      </c>
      <c r="I7847" s="12">
        <v>0</v>
      </c>
      <c r="J7847" s="11"/>
      <c r="K7847" s="12">
        <v>0</v>
      </c>
      <c r="L7847" s="10" t="str">
        <f>HYPERLINK("https://otsuka-europe-crm.veevavault.com/ui/#object/approved_document__v/V5OZ06G6O6RFL1P", "ES Veeva Privacy Notice Email")</f>
        <v>ES Veeva Privacy Notice Email</v>
      </c>
      <c r="M7847" s="10" t="str">
        <f>HYPERLINK("mailto:oriballo@crm.otsuka-europe.com", "oriballo@crm.otsuka-europe.com")</f>
        <v>oriballo@crm.otsuka-europe.com</v>
      </c>
      <c r="N7847" s="13">
        <v>46231.462071759262</v>
      </c>
      <c r="O7847" s="14" t="str">
        <f>HYPERLINK("https://otsuka-europe-crm.veevavault.com/ui/#object/email_activity__v/V8C00000004D642", "EN-002109378")</f>
        <v>EN-002109378</v>
      </c>
    </row>
    <row r="7848" spans="1:15" ht="32" x14ac:dyDescent="0.2">
      <c r="A7848" s="7" t="str">
        <f>HYPERLINK("https://otsuka-europe-crm.veevavault.com/ui/#object/account__v/V4T00000002I044", "MARIA CARMEN LUCENA ARJONA")</f>
        <v>MARIA CARMEN LUCENA ARJONA</v>
      </c>
      <c r="B7848" s="7" t="str">
        <f>HYPERLINK("https://otsuka-europe-crm.veevavault.com/ui/#object/vcountry__v/VENZ000004SONF5", "ES")</f>
        <v>ES</v>
      </c>
      <c r="C7848" s="8" t="s">
        <v>39</v>
      </c>
      <c r="D7848" s="9" t="str">
        <f>HYPERLINK("https://otsuka-europe-crm.veevavault.com/ui/#object/approved_document__v/V5O00000000D100", "Spain - Consent Email 1 Aug 25")</f>
        <v>Spain - Consent Email 1 Aug 25</v>
      </c>
      <c r="E7848" s="10" t="str">
        <f>HYPERLINK("https://otsuka-europe-crm.veevavault.com/ui/#object/sent_email__v/VBL00000003C293", "SE-001445343")</f>
        <v>SE-001445343</v>
      </c>
      <c r="F7848" s="11"/>
      <c r="G7848" s="12">
        <v>0</v>
      </c>
      <c r="H7848" s="12">
        <v>0</v>
      </c>
      <c r="I7848" s="12">
        <v>0</v>
      </c>
      <c r="J7848" s="11"/>
      <c r="K7848" s="12">
        <v>0</v>
      </c>
      <c r="L7848" s="10" t="str">
        <f>HYPERLINK("https://otsuka-europe-crm.veevavault.com/ui/#object/approved_document__v/V5O00000000D100", "Spain - Consent Email 1 Aug 25")</f>
        <v>Spain - Consent Email 1 Aug 25</v>
      </c>
      <c r="M7848" s="10" t="str">
        <f>HYPERLINK("mailto:oriballo@crm.otsuka-europe.com", "oriballo@crm.otsuka-europe.com")</f>
        <v>oriballo@crm.otsuka-europe.com</v>
      </c>
      <c r="N7848" s="13">
        <v>46231.462754629632</v>
      </c>
      <c r="O7848" s="14" t="str">
        <f>HYPERLINK("https://otsuka-europe-crm.veevavault.com/ui/#object/email_activity__v/V8C00000004D643", "EN-002109379")</f>
        <v>EN-002109379</v>
      </c>
    </row>
    <row r="7849" spans="1:15" ht="32" x14ac:dyDescent="0.2">
      <c r="A7849" s="7" t="str">
        <f>HYPERLINK("https://otsuka-europe-crm.veevavault.com/ui/#object/account__v/V4T00000002I044", "MARIA CARMEN LUCENA ARJONA")</f>
        <v>MARIA CARMEN LUCENA ARJONA</v>
      </c>
      <c r="B7849" s="7" t="str">
        <f>HYPERLINK("https://otsuka-europe-crm.veevavault.com/ui/#object/vcountry__v/VENZ000004SONF5", "ES")</f>
        <v>ES</v>
      </c>
      <c r="C7849" s="8" t="s">
        <v>39</v>
      </c>
      <c r="D7849" s="9" t="str">
        <f>HYPERLINK("https://otsuka-europe-crm.veevavault.com/ui/#object/approved_document__v/V5OZ04ASG4FWKA7", "Reuniones Online Consent - 2")</f>
        <v>Reuniones Online Consent - 2</v>
      </c>
      <c r="E7849" s="10" t="str">
        <f>HYPERLINK("https://otsuka-europe-crm.veevavault.com/ui/#object/sent_email__v/VBL00000003C294", "SE-001445344")</f>
        <v>SE-001445344</v>
      </c>
      <c r="F7849" s="11"/>
      <c r="G7849" s="12">
        <v>0</v>
      </c>
      <c r="H7849" s="12">
        <v>0</v>
      </c>
      <c r="I7849" s="12">
        <v>0</v>
      </c>
      <c r="J7849" s="11"/>
      <c r="K7849" s="12">
        <v>0</v>
      </c>
      <c r="L7849" s="10" t="str">
        <f>HYPERLINK("https://otsuka-europe-crm.veevavault.com/ui/#object/approved_document__v/V5OZ04ASG4FWKA7", "Reuniones Online Consent - 2")</f>
        <v>Reuniones Online Consent - 2</v>
      </c>
      <c r="M7849" s="10" t="str">
        <f>HYPERLINK("mailto:oriballo@crm.otsuka-europe.com", "oriballo@crm.otsuka-europe.com")</f>
        <v>oriballo@crm.otsuka-europe.com</v>
      </c>
      <c r="N7849" s="13">
        <v>46231.462766203702</v>
      </c>
      <c r="O7849" s="14" t="str">
        <f>HYPERLINK("https://otsuka-europe-crm.veevavault.com/ui/#object/email_activity__v/V8C00000004D644", "EN-002109380")</f>
        <v>EN-002109380</v>
      </c>
    </row>
    <row r="7850" spans="1:15" ht="32" x14ac:dyDescent="0.2">
      <c r="A7850" s="7" t="str">
        <f>HYPERLINK("https://otsuka-europe-crm.veevavault.com/ui/#object/account__v/V4T00000002I044", "MARIA CARMEN LUCENA ARJONA")</f>
        <v>MARIA CARMEN LUCENA ARJONA</v>
      </c>
      <c r="B7850" s="7" t="str">
        <f>HYPERLINK("https://otsuka-europe-crm.veevavault.com/ui/#object/vcountry__v/VENZ000004SONF5", "ES")</f>
        <v>ES</v>
      </c>
      <c r="C7850" s="8" t="s">
        <v>39</v>
      </c>
      <c r="D7850" s="9" t="str">
        <f>HYPERLINK("https://otsuka-europe-crm.veevavault.com/ui/#object/approved_document__v/V5OZ04ASG4FWKA9", "Documento Autorizaciขn Centro Empleador")</f>
        <v>Documento Autorizaciขn Centro Empleador</v>
      </c>
      <c r="E7850" s="10" t="str">
        <f>HYPERLINK("https://otsuka-europe-crm.veevavault.com/ui/#object/sent_email__v/VBL00000003C295", "SE-001445345")</f>
        <v>SE-001445345</v>
      </c>
      <c r="F7850" s="11"/>
      <c r="G7850" s="12">
        <v>0</v>
      </c>
      <c r="H7850" s="12">
        <v>0</v>
      </c>
      <c r="I7850" s="12">
        <v>0</v>
      </c>
      <c r="J7850" s="11"/>
      <c r="K7850" s="12">
        <v>0</v>
      </c>
      <c r="L7850" s="10" t="str">
        <f>HYPERLINK("https://otsuka-europe-crm.veevavault.com/ui/#object/approved_document__v/V5OZ04ASG4FWKA9", "Documento Autorizaciขn Centro Empleador")</f>
        <v>Documento Autorizaciขn Centro Empleador</v>
      </c>
      <c r="M7850" s="10" t="str">
        <f>HYPERLINK("mailto:oriballo@crm.otsuka-europe.com", "oriballo@crm.otsuka-europe.com")</f>
        <v>oriballo@crm.otsuka-europe.com</v>
      </c>
      <c r="N7850" s="13">
        <v>46231.462777777779</v>
      </c>
      <c r="O7850" s="14" t="str">
        <f>HYPERLINK("https://otsuka-europe-crm.veevavault.com/ui/#object/email_activity__v/V8C00000004D645", "EN-002109381")</f>
        <v>EN-002109381</v>
      </c>
    </row>
    <row r="7851" spans="1:15" ht="16" x14ac:dyDescent="0.2">
      <c r="A7851" s="18" t="str">
        <f>HYPERLINK("https://otsuka-europe-crm.veevavault.com/ui/#object/account__v/V4T00000000P085", "MONICA LISSETH TORRES MACIAS")</f>
        <v>MONICA LISSETH TORRES MACIAS</v>
      </c>
      <c r="B7851" s="18" t="str">
        <f>HYPERLINK("https://otsuka-europe-crm.veevavault.com/ui/#object/vcountry__v/VENZ000004SONF5", "ES")</f>
        <v>ES</v>
      </c>
      <c r="C7851" s="20" t="s">
        <v>39</v>
      </c>
      <c r="D7851" s="21" t="str">
        <f>HYPERLINK("https://otsuka-europe-crm.veevavault.com/ui/#object/approved_document__v/V5O00000001H010", "INA - VAE CLM Microcostes")</f>
        <v>INA - VAE CLM Microcostes</v>
      </c>
      <c r="E7851" s="22" t="str">
        <f>HYPERLINK("https://otsuka-europe-crm.veevavault.com/ui/#object/sent_email__v/VBL00000003C296", "SE-001445346")</f>
        <v>SE-001445346</v>
      </c>
      <c r="F7851" s="25">
        <v>46233.567858796298</v>
      </c>
      <c r="G7851" s="24">
        <v>1</v>
      </c>
      <c r="H7851" s="24">
        <v>17</v>
      </c>
      <c r="I7851" s="24">
        <v>0</v>
      </c>
      <c r="J7851" s="23"/>
      <c r="K7851" s="24">
        <v>0</v>
      </c>
      <c r="L7851" s="22" t="str">
        <f>HYPERLINK("https://otsuka-europe-crm.veevavault.com/ui/#object/approved_document__v/V5O00000001H010", "INA - VAE CLM Microcostes")</f>
        <v>INA - VAE CLM Microcostes</v>
      </c>
      <c r="M7851" s="22" t="str">
        <f>HYPERLINK("mailto:ccoll@crm.otsuka-europe.com", "ccoll@crm.otsuka-europe.com")</f>
        <v>ccoll@crm.otsuka-europe.com</v>
      </c>
      <c r="N7851" s="25">
        <v>46231.882094907407</v>
      </c>
      <c r="O7851" s="14" t="str">
        <f>HYPERLINK("https://otsuka-europe-crm.veevavault.com/ui/#object/email_activity__v/V8C00000004D701", "EN-002109501")</f>
        <v>EN-002109501</v>
      </c>
    </row>
    <row r="7852" spans="1:15" ht="16" x14ac:dyDescent="0.2">
      <c r="A7852" s="26"/>
      <c r="B7852" s="26"/>
      <c r="C7852" s="26"/>
      <c r="D7852" s="26"/>
      <c r="E7852" s="26"/>
      <c r="F7852" s="26"/>
      <c r="G7852" s="26"/>
      <c r="H7852" s="26"/>
      <c r="I7852" s="26"/>
      <c r="J7852" s="26"/>
      <c r="K7852" s="26"/>
      <c r="L7852" s="26"/>
      <c r="M7852" s="26"/>
      <c r="N7852" s="26"/>
      <c r="O7852" s="14" t="str">
        <f>HYPERLINK("https://otsuka-europe-crm.veevavault.com/ui/#object/email_activity__v/V8C00000004D742", "EN-002109589")</f>
        <v>EN-002109589</v>
      </c>
    </row>
    <row r="7853" spans="1:15" ht="16" x14ac:dyDescent="0.2">
      <c r="A7853" s="26"/>
      <c r="B7853" s="26"/>
      <c r="C7853" s="26"/>
      <c r="D7853" s="26"/>
      <c r="E7853" s="26"/>
      <c r="F7853" s="26"/>
      <c r="G7853" s="26"/>
      <c r="H7853" s="26"/>
      <c r="I7853" s="26"/>
      <c r="J7853" s="26"/>
      <c r="K7853" s="26"/>
      <c r="L7853" s="26"/>
      <c r="M7853" s="26"/>
      <c r="N7853" s="26"/>
      <c r="O7853" s="14" t="str">
        <f>HYPERLINK("https://otsuka-europe-crm.veevavault.com/ui/#object/email_activity__v/V8C00000004D743", "EN-002109590")</f>
        <v>EN-002109590</v>
      </c>
    </row>
    <row r="7854" spans="1:15" ht="16" x14ac:dyDescent="0.2">
      <c r="A7854" s="26"/>
      <c r="B7854" s="26"/>
      <c r="C7854" s="26"/>
      <c r="D7854" s="26"/>
      <c r="E7854" s="26"/>
      <c r="F7854" s="26"/>
      <c r="G7854" s="26"/>
      <c r="H7854" s="26"/>
      <c r="I7854" s="26"/>
      <c r="J7854" s="26"/>
      <c r="K7854" s="26"/>
      <c r="L7854" s="26"/>
      <c r="M7854" s="26"/>
      <c r="N7854" s="26"/>
      <c r="O7854" s="14" t="str">
        <f>HYPERLINK("https://otsuka-europe-crm.veevavault.com/ui/#object/email_activity__v/V8C00000004D751", "EN-002109603")</f>
        <v>EN-002109603</v>
      </c>
    </row>
    <row r="7855" spans="1:15" ht="16" x14ac:dyDescent="0.2">
      <c r="A7855" s="26"/>
      <c r="B7855" s="26"/>
      <c r="C7855" s="26"/>
      <c r="D7855" s="26"/>
      <c r="E7855" s="26"/>
      <c r="F7855" s="26"/>
      <c r="G7855" s="26"/>
      <c r="H7855" s="26"/>
      <c r="I7855" s="26"/>
      <c r="J7855" s="26"/>
      <c r="K7855" s="26"/>
      <c r="L7855" s="26"/>
      <c r="M7855" s="26"/>
      <c r="N7855" s="26"/>
      <c r="O7855" s="14" t="str">
        <f>HYPERLINK("https://otsuka-europe-crm.veevavault.com/ui/#object/email_activity__v/V8C00000004D752", "EN-002109604")</f>
        <v>EN-002109604</v>
      </c>
    </row>
    <row r="7856" spans="1:15" ht="16" x14ac:dyDescent="0.2">
      <c r="A7856" s="26"/>
      <c r="B7856" s="26"/>
      <c r="C7856" s="26"/>
      <c r="D7856" s="26"/>
      <c r="E7856" s="26"/>
      <c r="F7856" s="26"/>
      <c r="G7856" s="26"/>
      <c r="H7856" s="26"/>
      <c r="I7856" s="26"/>
      <c r="J7856" s="26"/>
      <c r="K7856" s="26"/>
      <c r="L7856" s="26"/>
      <c r="M7856" s="26"/>
      <c r="N7856" s="26"/>
      <c r="O7856" s="14" t="str">
        <f>HYPERLINK("https://otsuka-europe-crm.veevavault.com/ui/#object/email_activity__v/V8C00000004D757", "EN-002109618")</f>
        <v>EN-002109618</v>
      </c>
    </row>
    <row r="7857" spans="1:15" ht="16" x14ac:dyDescent="0.2">
      <c r="A7857" s="26"/>
      <c r="B7857" s="26"/>
      <c r="C7857" s="26"/>
      <c r="D7857" s="26"/>
      <c r="E7857" s="26"/>
      <c r="F7857" s="26"/>
      <c r="G7857" s="26"/>
      <c r="H7857" s="26"/>
      <c r="I7857" s="26"/>
      <c r="J7857" s="26"/>
      <c r="K7857" s="26"/>
      <c r="L7857" s="26"/>
      <c r="M7857" s="26"/>
      <c r="N7857" s="26"/>
      <c r="O7857" s="14" t="str">
        <f>HYPERLINK("https://otsuka-europe-crm.veevavault.com/ui/#object/email_activity__v/V8C00000004D811", "EN-002109751")</f>
        <v>EN-002109751</v>
      </c>
    </row>
    <row r="7858" spans="1:15" ht="16" x14ac:dyDescent="0.2">
      <c r="A7858" s="26"/>
      <c r="B7858" s="26"/>
      <c r="C7858" s="26"/>
      <c r="D7858" s="26"/>
      <c r="E7858" s="26"/>
      <c r="F7858" s="26"/>
      <c r="G7858" s="26"/>
      <c r="H7858" s="26"/>
      <c r="I7858" s="26"/>
      <c r="J7858" s="26"/>
      <c r="K7858" s="26"/>
      <c r="L7858" s="26"/>
      <c r="M7858" s="26"/>
      <c r="N7858" s="26"/>
      <c r="O7858" s="14" t="str">
        <f>HYPERLINK("https://otsuka-europe-crm.veevavault.com/ui/#object/email_activity__v/V8C00000004E617", "EN-002109567")</f>
        <v>EN-002109567</v>
      </c>
    </row>
    <row r="7859" spans="1:15" ht="16" x14ac:dyDescent="0.2">
      <c r="A7859" s="26"/>
      <c r="B7859" s="26"/>
      <c r="C7859" s="26"/>
      <c r="D7859" s="26"/>
      <c r="E7859" s="26"/>
      <c r="F7859" s="26"/>
      <c r="G7859" s="26"/>
      <c r="H7859" s="26"/>
      <c r="I7859" s="26"/>
      <c r="J7859" s="26"/>
      <c r="K7859" s="26"/>
      <c r="L7859" s="26"/>
      <c r="M7859" s="26"/>
      <c r="N7859" s="26"/>
      <c r="O7859" s="14" t="str">
        <f>HYPERLINK("https://otsuka-europe-crm.veevavault.com/ui/#object/email_activity__v/V8C00000004E618", "EN-002109568")</f>
        <v>EN-002109568</v>
      </c>
    </row>
    <row r="7860" spans="1:15" ht="16" x14ac:dyDescent="0.2">
      <c r="A7860" s="26"/>
      <c r="B7860" s="26"/>
      <c r="C7860" s="26"/>
      <c r="D7860" s="26"/>
      <c r="E7860" s="26"/>
      <c r="F7860" s="26"/>
      <c r="G7860" s="26"/>
      <c r="H7860" s="26"/>
      <c r="I7860" s="26"/>
      <c r="J7860" s="26"/>
      <c r="K7860" s="26"/>
      <c r="L7860" s="26"/>
      <c r="M7860" s="26"/>
      <c r="N7860" s="26"/>
      <c r="O7860" s="14" t="str">
        <f>HYPERLINK("https://otsuka-europe-crm.veevavault.com/ui/#object/email_activity__v/V8C00000004E623", "EN-002109577")</f>
        <v>EN-002109577</v>
      </c>
    </row>
    <row r="7861" spans="1:15" ht="16" x14ac:dyDescent="0.2">
      <c r="A7861" s="26"/>
      <c r="B7861" s="26"/>
      <c r="C7861" s="26"/>
      <c r="D7861" s="26"/>
      <c r="E7861" s="26"/>
      <c r="F7861" s="26"/>
      <c r="G7861" s="26"/>
      <c r="H7861" s="26"/>
      <c r="I7861" s="26"/>
      <c r="J7861" s="26"/>
      <c r="K7861" s="26"/>
      <c r="L7861" s="26"/>
      <c r="M7861" s="26"/>
      <c r="N7861" s="26"/>
      <c r="O7861" s="14" t="str">
        <f>HYPERLINK("https://otsuka-europe-crm.veevavault.com/ui/#object/email_activity__v/V8C00000004E624", "EN-002109578")</f>
        <v>EN-002109578</v>
      </c>
    </row>
    <row r="7862" spans="1:15" ht="16" x14ac:dyDescent="0.2">
      <c r="A7862" s="26"/>
      <c r="B7862" s="26"/>
      <c r="C7862" s="26"/>
      <c r="D7862" s="26"/>
      <c r="E7862" s="26"/>
      <c r="F7862" s="26"/>
      <c r="G7862" s="26"/>
      <c r="H7862" s="26"/>
      <c r="I7862" s="26"/>
      <c r="J7862" s="26"/>
      <c r="K7862" s="26"/>
      <c r="L7862" s="26"/>
      <c r="M7862" s="26"/>
      <c r="N7862" s="26"/>
      <c r="O7862" s="14" t="str">
        <f>HYPERLINK("https://otsuka-europe-crm.veevavault.com/ui/#object/email_activity__v/V8C00000004E644", "EN-002109614")</f>
        <v>EN-002109614</v>
      </c>
    </row>
    <row r="7863" spans="1:15" ht="16" x14ac:dyDescent="0.2">
      <c r="A7863" s="26"/>
      <c r="B7863" s="26"/>
      <c r="C7863" s="26"/>
      <c r="D7863" s="26"/>
      <c r="E7863" s="26"/>
      <c r="F7863" s="26"/>
      <c r="G7863" s="26"/>
      <c r="H7863" s="26"/>
      <c r="I7863" s="26"/>
      <c r="J7863" s="26"/>
      <c r="K7863" s="26"/>
      <c r="L7863" s="26"/>
      <c r="M7863" s="26"/>
      <c r="N7863" s="26"/>
      <c r="O7863" s="14" t="str">
        <f>HYPERLINK("https://otsuka-europe-crm.veevavault.com/ui/#object/email_activity__v/V8C00000004E645", "EN-002109615")</f>
        <v>EN-002109615</v>
      </c>
    </row>
    <row r="7864" spans="1:15" ht="16" x14ac:dyDescent="0.2">
      <c r="A7864" s="26"/>
      <c r="B7864" s="26"/>
      <c r="C7864" s="26"/>
      <c r="D7864" s="26"/>
      <c r="E7864" s="26"/>
      <c r="F7864" s="26"/>
      <c r="G7864" s="26"/>
      <c r="H7864" s="26"/>
      <c r="I7864" s="26"/>
      <c r="J7864" s="26"/>
      <c r="K7864" s="26"/>
      <c r="L7864" s="26"/>
      <c r="M7864" s="26"/>
      <c r="N7864" s="26"/>
      <c r="O7864" s="14" t="str">
        <f>HYPERLINK("https://otsuka-europe-crm.veevavault.com/ui/#object/email_activity__v/V8C00000004E646", "EN-002109616")</f>
        <v>EN-002109616</v>
      </c>
    </row>
    <row r="7865" spans="1:15" ht="16" x14ac:dyDescent="0.2">
      <c r="A7865" s="26"/>
      <c r="B7865" s="26"/>
      <c r="C7865" s="26"/>
      <c r="D7865" s="26"/>
      <c r="E7865" s="26"/>
      <c r="F7865" s="26"/>
      <c r="G7865" s="26"/>
      <c r="H7865" s="26"/>
      <c r="I7865" s="26"/>
      <c r="J7865" s="26"/>
      <c r="K7865" s="26"/>
      <c r="L7865" s="26"/>
      <c r="M7865" s="26"/>
      <c r="N7865" s="26"/>
      <c r="O7865" s="14" t="str">
        <f>HYPERLINK("https://otsuka-europe-crm.veevavault.com/ui/#object/email_activity__v/V8C00000004E647", "EN-002109617")</f>
        <v>EN-002109617</v>
      </c>
    </row>
    <row r="7866" spans="1:15" ht="16" x14ac:dyDescent="0.2">
      <c r="A7866" s="26"/>
      <c r="B7866" s="26"/>
      <c r="C7866" s="26"/>
      <c r="D7866" s="26"/>
      <c r="E7866" s="26"/>
      <c r="F7866" s="26"/>
      <c r="G7866" s="26"/>
      <c r="H7866" s="26"/>
      <c r="I7866" s="26"/>
      <c r="J7866" s="26"/>
      <c r="K7866" s="26"/>
      <c r="L7866" s="26"/>
      <c r="M7866" s="26"/>
      <c r="N7866" s="26"/>
      <c r="O7866" s="14" t="str">
        <f>HYPERLINK("https://otsuka-europe-crm.veevavault.com/ui/#object/email_activity__v/V8C00000004E727", "EN-002109752")</f>
        <v>EN-002109752</v>
      </c>
    </row>
    <row r="7867" spans="1:15" ht="16" x14ac:dyDescent="0.2">
      <c r="A7867" s="26"/>
      <c r="B7867" s="26"/>
      <c r="C7867" s="26"/>
      <c r="D7867" s="26"/>
      <c r="E7867" s="26"/>
      <c r="F7867" s="26"/>
      <c r="G7867" s="26"/>
      <c r="H7867" s="26"/>
      <c r="I7867" s="26"/>
      <c r="J7867" s="26"/>
      <c r="K7867" s="26"/>
      <c r="L7867" s="26"/>
      <c r="M7867" s="26"/>
      <c r="N7867" s="26"/>
      <c r="O7867" s="14" t="str">
        <f>HYPERLINK("https://otsuka-europe-crm.veevavault.com/ui/#object/email_activity__v/V8C00000004E734", "EN-002109760")</f>
        <v>EN-002109760</v>
      </c>
    </row>
    <row r="7868" spans="1:15" ht="16" x14ac:dyDescent="0.2">
      <c r="A7868" s="19"/>
      <c r="B7868" s="19"/>
      <c r="C7868" s="19"/>
      <c r="D7868" s="19"/>
      <c r="E7868" s="19"/>
      <c r="F7868" s="19"/>
      <c r="G7868" s="19"/>
      <c r="H7868" s="19"/>
      <c r="I7868" s="19"/>
      <c r="J7868" s="19"/>
      <c r="K7868" s="19"/>
      <c r="L7868" s="19"/>
      <c r="M7868" s="19"/>
      <c r="N7868" s="19"/>
      <c r="O7868" s="14" t="str">
        <f>HYPERLINK("https://otsuka-europe-crm.veevavault.com/ui/#object/email_activity__v/V8C00000004E735", "EN-002109761")</f>
        <v>EN-002109761</v>
      </c>
    </row>
    <row r="7869" spans="1:15" ht="16" x14ac:dyDescent="0.2">
      <c r="A7869" s="18" t="str">
        <f>HYPERLINK("https://otsuka-europe-crm.veevavault.com/ui/#object/account__v/V4T00000001C076", "Faisal Basheer")</f>
        <v>Faisal Basheer</v>
      </c>
      <c r="B7869" s="18" t="str">
        <f>HYPERLINK("https://otsuka-europe-crm.veevavault.com/ui/#object/vcountry__v/VENZ000004SONFK", "GB")</f>
        <v>GB</v>
      </c>
      <c r="C7869" s="20" t="s">
        <v>41</v>
      </c>
      <c r="D7869" s="21" t="str">
        <f>HYPERLINK("https://otsuka-europe-crm.veevavault.com/ui/#object/approved_document__v/V5OZ025E82PXJSL", "Otsuka Privacy Notice - UK (v2)")</f>
        <v>Otsuka Privacy Notice - UK (v2)</v>
      </c>
      <c r="E7869" s="22" t="str">
        <f>HYPERLINK("https://otsuka-europe-crm.veevavault.com/ui/#object/sent_email__v/VBL00000003C297", "SE-001445347")</f>
        <v>SE-001445347</v>
      </c>
      <c r="F7869" s="25">
        <v>46231.744340277779</v>
      </c>
      <c r="G7869" s="24">
        <v>1</v>
      </c>
      <c r="H7869" s="24">
        <v>2</v>
      </c>
      <c r="I7869" s="24">
        <v>0</v>
      </c>
      <c r="J7869" s="23"/>
      <c r="K7869" s="24">
        <v>0</v>
      </c>
      <c r="L7869" s="22" t="str">
        <f>HYPERLINK("https://otsuka-europe-crm.veevavault.com/ui/#object/approved_document__v/V5OZ025E82PXJSL", "Otsuka Privacy Notice - UK (v2)")</f>
        <v>Otsuka Privacy Notice - UK (v2)</v>
      </c>
      <c r="M7869" s="22" t="str">
        <f>HYPERLINK("mailto:tbuckley@crm.otsuka-europe.com", "tbuckley@crm.otsuka-europe.com")</f>
        <v>tbuckley@crm.otsuka-europe.com</v>
      </c>
      <c r="N7869" s="25">
        <v>46231.477731481478</v>
      </c>
      <c r="O7869" s="14" t="str">
        <f>HYPERLINK("https://otsuka-europe-crm.veevavault.com/ui/#object/email_activity__v/V8C00000004D650", "EN-002109395")</f>
        <v>EN-002109395</v>
      </c>
    </row>
    <row r="7870" spans="1:15" ht="16" x14ac:dyDescent="0.2">
      <c r="A7870" s="26"/>
      <c r="B7870" s="26"/>
      <c r="C7870" s="26"/>
      <c r="D7870" s="26"/>
      <c r="E7870" s="26"/>
      <c r="F7870" s="26"/>
      <c r="G7870" s="26"/>
      <c r="H7870" s="26"/>
      <c r="I7870" s="26"/>
      <c r="J7870" s="26"/>
      <c r="K7870" s="26"/>
      <c r="L7870" s="26"/>
      <c r="M7870" s="26"/>
      <c r="N7870" s="26"/>
      <c r="O7870" s="14" t="str">
        <f>HYPERLINK("https://otsuka-europe-crm.veevavault.com/ui/#object/email_activity__v/V8C00000004D651", "EN-002109400")</f>
        <v>EN-002109400</v>
      </c>
    </row>
    <row r="7871" spans="1:15" ht="16" x14ac:dyDescent="0.2">
      <c r="A7871" s="19"/>
      <c r="B7871" s="19"/>
      <c r="C7871" s="19"/>
      <c r="D7871" s="19"/>
      <c r="E7871" s="19"/>
      <c r="F7871" s="19"/>
      <c r="G7871" s="19"/>
      <c r="H7871" s="19"/>
      <c r="I7871" s="19"/>
      <c r="J7871" s="19"/>
      <c r="K7871" s="19"/>
      <c r="L7871" s="19"/>
      <c r="M7871" s="19"/>
      <c r="N7871" s="19"/>
      <c r="O7871" s="14" t="str">
        <f>HYPERLINK("https://otsuka-europe-crm.veevavault.com/ui/#object/email_activity__v/V8C00000004E580", "EN-002109491")</f>
        <v>EN-002109491</v>
      </c>
    </row>
    <row r="7872" spans="1:15" ht="32" x14ac:dyDescent="0.2">
      <c r="A7872" s="7" t="str">
        <f>HYPERLINK("https://otsuka-europe-crm.veevavault.com/ui/#object/account__v/V4T00000001Q041", "Grant Mehrjou")</f>
        <v>Grant Mehrjou</v>
      </c>
      <c r="B7872" s="7" t="str">
        <f>HYPERLINK("https://otsuka-europe-crm.veevavault.com/ui/#object/vcountry__v/VENZ000004SONFK", "GB")</f>
        <v>GB</v>
      </c>
      <c r="C7872" s="8" t="s">
        <v>41</v>
      </c>
      <c r="D7872" s="9" t="str">
        <f>HYPERLINK("https://otsuka-europe-crm.veevavault.com/ui/#object/approved_document__v/V5OZ025E82PXJSL", "Otsuka Privacy Notice - UK (v2)")</f>
        <v>Otsuka Privacy Notice - UK (v2)</v>
      </c>
      <c r="E7872" s="10" t="str">
        <f>HYPERLINK("https://otsuka-europe-crm.veevavault.com/ui/#object/sent_email__v/VBL00000003B232", "SE-001445348")</f>
        <v>SE-001445348</v>
      </c>
      <c r="F7872" s="11"/>
      <c r="G7872" s="12">
        <v>0</v>
      </c>
      <c r="H7872" s="12">
        <v>0</v>
      </c>
      <c r="I7872" s="12">
        <v>0</v>
      </c>
      <c r="J7872" s="11"/>
      <c r="K7872" s="12">
        <v>0</v>
      </c>
      <c r="L7872" s="10" t="str">
        <f>HYPERLINK("https://otsuka-europe-crm.veevavault.com/ui/#object/approved_document__v/V5OZ025E82PXJSL", "Otsuka Privacy Notice - UK (v2)")</f>
        <v>Otsuka Privacy Notice - UK (v2)</v>
      </c>
      <c r="M7872" s="10" t="str">
        <f>HYPERLINK("mailto:tbuckley@crm.otsuka-europe.com", "tbuckley@crm.otsuka-europe.com")</f>
        <v>tbuckley@crm.otsuka-europe.com</v>
      </c>
      <c r="N7872" s="13">
        <v>46231.480833333335</v>
      </c>
      <c r="O7872" s="14" t="str">
        <f>HYPERLINK("https://otsuka-europe-crm.veevavault.com/ui/#object/email_activity__v/V8C00000004E531", "EN-002109399")</f>
        <v>EN-002109399</v>
      </c>
    </row>
    <row r="7873" spans="1:15" ht="32" x14ac:dyDescent="0.2">
      <c r="A7873" s="7" t="str">
        <f>HYPERLINK("https://otsuka-europe-crm.veevavault.com/ui/#object/account__v/V4T00000002I045", "Gemma Burrow")</f>
        <v>Gemma Burrow</v>
      </c>
      <c r="B7873" s="7" t="str">
        <f>HYPERLINK("https://otsuka-europe-crm.veevavault.com/ui/#object/vcountry__v/VENZ000004SONFK", "GB")</f>
        <v>GB</v>
      </c>
      <c r="C7873" s="8" t="s">
        <v>41</v>
      </c>
      <c r="D7873" s="9" t="str">
        <f>HYPERLINK("https://otsuka-europe-crm.veevavault.com/ui/#object/approved_document__v/V5OZ025E82PXJSL", "Otsuka Privacy Notice - UK (v2)")</f>
        <v>Otsuka Privacy Notice - UK (v2)</v>
      </c>
      <c r="E7873" s="10" t="str">
        <f>HYPERLINK("https://otsuka-europe-crm.veevavault.com/ui/#object/sent_email__v/VBL00000003C298", "SE-001445349")</f>
        <v>SE-001445349</v>
      </c>
      <c r="F7873" s="11"/>
      <c r="G7873" s="12">
        <v>0</v>
      </c>
      <c r="H7873" s="12">
        <v>0</v>
      </c>
      <c r="I7873" s="12">
        <v>0</v>
      </c>
      <c r="J7873" s="11"/>
      <c r="K7873" s="12">
        <v>0</v>
      </c>
      <c r="L7873" s="10" t="str">
        <f>HYPERLINK("https://otsuka-europe-crm.veevavault.com/ui/#object/approved_document__v/V5OZ025E82PXJSL", "Otsuka Privacy Notice - UK (v2)")</f>
        <v>Otsuka Privacy Notice - UK (v2)</v>
      </c>
      <c r="M7873" s="10" t="str">
        <f>HYPERLINK("mailto:PStyler@crm.otsuka-europe.com", "PStyler@crm.otsuka-europe.com")</f>
        <v>PStyler@crm.otsuka-europe.com</v>
      </c>
      <c r="N7873" s="13">
        <v>46231.483449074076</v>
      </c>
      <c r="O7873" s="14" t="str">
        <f>HYPERLINK("https://otsuka-europe-crm.veevavault.com/ui/#object/email_activity__v/V8C00000004D652", "EN-002109401")</f>
        <v>EN-002109401</v>
      </c>
    </row>
    <row r="7874" spans="1:15" ht="16" x14ac:dyDescent="0.2">
      <c r="A7874" s="18" t="str">
        <f>HYPERLINK("https://otsuka-europe-crm.veevavault.com/ui/#object/account__v/V4T00000001P109", "Catherine Loughran")</f>
        <v>Catherine Loughran</v>
      </c>
      <c r="B7874" s="18" t="str">
        <f>HYPERLINK("https://otsuka-europe-crm.veevavault.com/ui/#object/vcountry__v/VENZ000004SONFK", "GB")</f>
        <v>GB</v>
      </c>
      <c r="C7874" s="20" t="s">
        <v>41</v>
      </c>
      <c r="D7874" s="21" t="str">
        <f>HYPERLINK("https://otsuka-europe-crm.veevavault.com/ui/#object/approved_document__v/V5OZ025E82PXJSL", "Otsuka Privacy Notice - UK (v2)")</f>
        <v>Otsuka Privacy Notice - UK (v2)</v>
      </c>
      <c r="E7874" s="22" t="str">
        <f>HYPERLINK("https://otsuka-europe-crm.veevavault.com/ui/#object/sent_email__v/VBL00000003B233", "SE-001445350")</f>
        <v>SE-001445350</v>
      </c>
      <c r="F7874" s="25">
        <v>46231.511574074073</v>
      </c>
      <c r="G7874" s="24">
        <v>1</v>
      </c>
      <c r="H7874" s="24">
        <v>2</v>
      </c>
      <c r="I7874" s="24">
        <v>0</v>
      </c>
      <c r="J7874" s="23"/>
      <c r="K7874" s="24">
        <v>0</v>
      </c>
      <c r="L7874" s="22" t="str">
        <f>HYPERLINK("https://otsuka-europe-crm.veevavault.com/ui/#object/approved_document__v/V5OZ025E82PXJSL", "Otsuka Privacy Notice - UK (v2)")</f>
        <v>Otsuka Privacy Notice - UK (v2)</v>
      </c>
      <c r="M7874" s="22" t="str">
        <f>HYPERLINK("mailto:tbuckley@crm.otsuka-europe.com", "tbuckley@crm.otsuka-europe.com")</f>
        <v>tbuckley@crm.otsuka-europe.com</v>
      </c>
      <c r="N7874" s="25">
        <v>46231.486087962963</v>
      </c>
      <c r="O7874" s="14" t="str">
        <f>HYPERLINK("https://otsuka-europe-crm.veevavault.com/ui/#object/email_activity__v/V8C00000004D653", "EN-002109402")</f>
        <v>EN-002109402</v>
      </c>
    </row>
    <row r="7875" spans="1:15" ht="16" x14ac:dyDescent="0.2">
      <c r="A7875" s="26"/>
      <c r="B7875" s="26"/>
      <c r="C7875" s="26"/>
      <c r="D7875" s="26"/>
      <c r="E7875" s="26"/>
      <c r="F7875" s="26"/>
      <c r="G7875" s="26"/>
      <c r="H7875" s="26"/>
      <c r="I7875" s="26"/>
      <c r="J7875" s="26"/>
      <c r="K7875" s="26"/>
      <c r="L7875" s="26"/>
      <c r="M7875" s="26"/>
      <c r="N7875" s="26"/>
      <c r="O7875" s="14" t="str">
        <f>HYPERLINK("https://otsuka-europe-crm.veevavault.com/ui/#object/email_activity__v/V8C00000004E536", "EN-002109408")</f>
        <v>EN-002109408</v>
      </c>
    </row>
    <row r="7876" spans="1:15" ht="16" x14ac:dyDescent="0.2">
      <c r="A7876" s="19"/>
      <c r="B7876" s="19"/>
      <c r="C7876" s="19"/>
      <c r="D7876" s="19"/>
      <c r="E7876" s="19"/>
      <c r="F7876" s="19"/>
      <c r="G7876" s="19"/>
      <c r="H7876" s="19"/>
      <c r="I7876" s="19"/>
      <c r="J7876" s="19"/>
      <c r="K7876" s="19"/>
      <c r="L7876" s="19"/>
      <c r="M7876" s="19"/>
      <c r="N7876" s="19"/>
      <c r="O7876" s="14" t="str">
        <f>HYPERLINK("https://otsuka-europe-crm.veevavault.com/ui/#object/email_activity__v/V8C00000004E537", "EN-002109409")</f>
        <v>EN-002109409</v>
      </c>
    </row>
    <row r="7877" spans="1:15" ht="32" x14ac:dyDescent="0.2">
      <c r="A7877" s="7" t="str">
        <f>HYPERLINK("https://otsuka-europe-crm.veevavault.com/ui/#object/account__v/V4T00000002J025", "LAURA PARRILLA NAVAMUEL")</f>
        <v>LAURA PARRILLA NAVAMUEL</v>
      </c>
      <c r="B7877" s="7" t="str">
        <f>HYPERLINK("https://otsuka-europe-crm.veevavault.com/ui/#object/vcountry__v/VENZ000004SONF5", "ES")</f>
        <v>ES</v>
      </c>
      <c r="C7877" s="8" t="s">
        <v>39</v>
      </c>
      <c r="D7877" s="9" t="str">
        <f>HYPERLINK("https://otsuka-europe-crm.veevavault.com/ui/#object/approved_document__v/V5OZ06G6O6RFL1P", "ES Veeva Privacy Notice Email")</f>
        <v>ES Veeva Privacy Notice Email</v>
      </c>
      <c r="E7877" s="10" t="str">
        <f>HYPERLINK("https://otsuka-europe-crm.veevavault.com/ui/#object/sent_email__v/VBL00000003C299", "SE-001445351")</f>
        <v>SE-001445351</v>
      </c>
      <c r="F7877" s="11"/>
      <c r="G7877" s="12">
        <v>0</v>
      </c>
      <c r="H7877" s="12">
        <v>0</v>
      </c>
      <c r="I7877" s="12">
        <v>0</v>
      </c>
      <c r="J7877" s="11"/>
      <c r="K7877" s="12">
        <v>0</v>
      </c>
      <c r="L7877" s="10" t="str">
        <f>HYPERLINK("https://otsuka-europe-crm.veevavault.com/ui/#object/approved_document__v/V5OZ06G6O6RFL1P", "ES Veeva Privacy Notice Email")</f>
        <v>ES Veeva Privacy Notice Email</v>
      </c>
      <c r="M7877" s="10" t="str">
        <f>HYPERLINK("mailto:cmaroto@crm.otsuka-europe.com", "cmaroto@crm.otsuka-europe.com")</f>
        <v>cmaroto@crm.otsuka-europe.com</v>
      </c>
      <c r="N7877" s="13">
        <v>46231.500520833331</v>
      </c>
      <c r="O7877" s="14" t="str">
        <f>HYPERLINK("https://otsuka-europe-crm.veevavault.com/ui/#object/email_activity__v/V8C00000004D654", "EN-002109406")</f>
        <v>EN-002109406</v>
      </c>
    </row>
    <row r="7878" spans="1:15" ht="32" x14ac:dyDescent="0.2">
      <c r="A7878" s="7" t="str">
        <f>HYPERLINK("https://otsuka-europe-crm.veevavault.com/ui/#object/account__v/V4T00000001P109", "Catherine Loughran")</f>
        <v>Catherine Loughran</v>
      </c>
      <c r="B7878" s="7" t="str">
        <f>HYPERLINK("https://otsuka-europe-crm.veevavault.com/ui/#object/vcountry__v/VENZ000004SONFK", "GB")</f>
        <v>GB</v>
      </c>
      <c r="C7878" s="8" t="s">
        <v>41</v>
      </c>
      <c r="D7878" s="9" t="str">
        <f>HYPERLINK("https://otsuka-europe-crm.veevavault.com/ui/#object/approved_document__v/V5OZ025E82PXJSL", "Otsuka Privacy Notice - UK (v2)")</f>
        <v>Otsuka Privacy Notice - UK (v2)</v>
      </c>
      <c r="E7878" s="10" t="str">
        <f>HYPERLINK("https://otsuka-europe-crm.veevavault.com/ui/#object/sent_email__v/VBL00000003C300", "SE-001445352")</f>
        <v>SE-001445352</v>
      </c>
      <c r="F7878" s="11"/>
      <c r="G7878" s="12">
        <v>0</v>
      </c>
      <c r="H7878" s="12">
        <v>0</v>
      </c>
      <c r="I7878" s="12">
        <v>0</v>
      </c>
      <c r="J7878" s="11"/>
      <c r="K7878" s="12">
        <v>0</v>
      </c>
      <c r="L7878" s="10" t="str">
        <f>HYPERLINK("https://otsuka-europe-crm.veevavault.com/ui/#object/approved_document__v/V5OZ025E82PXJSL", "Otsuka Privacy Notice - UK (v2)")</f>
        <v>Otsuka Privacy Notice - UK (v2)</v>
      </c>
      <c r="M7878" s="10" t="str">
        <f>HYPERLINK("mailto:tbuckley@crm.otsuka-europe.com", "tbuckley@crm.otsuka-europe.com")</f>
        <v>tbuckley@crm.otsuka-europe.com</v>
      </c>
      <c r="N7878" s="13">
        <v>46231.505729166667</v>
      </c>
      <c r="O7878" s="14" t="str">
        <f>HYPERLINK("https://otsuka-europe-crm.veevavault.com/ui/#object/email_activity__v/V8C00000004E535", "EN-002109407")</f>
        <v>EN-002109407</v>
      </c>
    </row>
    <row r="7879" spans="1:15" ht="48" x14ac:dyDescent="0.2">
      <c r="A7879" s="7" t="str">
        <f>HYPERLINK("https://otsuka-europe-crm.veevavault.com/ui/#object/account__v/V4TZ04ASGBU8EGS", "ILARIA CAVAZZANA")</f>
        <v>ILARIA CAVAZZANA</v>
      </c>
      <c r="B7879" s="7" t="str">
        <f>HYPERLINK("https://otsuka-europe-crm.veevavault.com/ui/#object/vcountry__v/VENZ000004SONFQ", "IT")</f>
        <v>IT</v>
      </c>
      <c r="C7879" s="8" t="s">
        <v>42</v>
      </c>
      <c r="D7879" s="9" t="str">
        <f>HYPERLINK("https://otsuka-europe-crm.veevavault.com/ui/#object/approved_document__v/V5O00000001A009", "Lupkynis_classi bioptiche_IT-LUP-2600008 v1.0 - RHEUMA")</f>
        <v>Lupkynis_classi bioptiche_IT-LUP-2600008 v1.0 - RHEUMA</v>
      </c>
      <c r="E7879" s="10" t="str">
        <f>HYPERLINK("https://otsuka-europe-crm.veevavault.com/ui/#object/sent_email__v/VBL00000003C301", "SE-001445353")</f>
        <v>SE-001445353</v>
      </c>
      <c r="F7879" s="11"/>
      <c r="G7879" s="12">
        <v>0</v>
      </c>
      <c r="H7879" s="12">
        <v>0</v>
      </c>
      <c r="I7879" s="12">
        <v>0</v>
      </c>
      <c r="J7879" s="11"/>
      <c r="K7879" s="12">
        <v>0</v>
      </c>
      <c r="L7879" s="10" t="str">
        <f>HYPERLINK("https://otsuka-europe-crm.veevavault.com/ui/#object/approved_document__v/V5O00000001A009", "Lupkynis_classi bioptiche_IT-LUP-2600008 v1.0 - RHEUMA")</f>
        <v>Lupkynis_classi bioptiche_IT-LUP-2600008 v1.0 - RHEUMA</v>
      </c>
      <c r="M7879" s="10" t="str">
        <f>HYPERLINK("mailto:marco.aldrigo@crm.otsuka-europe.com", "marco.aldrigo@crm.otsuka-europe.com")</f>
        <v>marco.aldrigo@crm.otsuka-europe.com</v>
      </c>
      <c r="N7879" s="13">
        <v>46231.519155092596</v>
      </c>
      <c r="O7879" s="14" t="str">
        <f>HYPERLINK("https://otsuka-europe-crm.veevavault.com/ui/#object/email_activity__v/V8C00000004E541", "EN-002109416")</f>
        <v>EN-002109416</v>
      </c>
    </row>
    <row r="7880" spans="1:15" ht="32" x14ac:dyDescent="0.2">
      <c r="A7880" s="7" t="str">
        <f>HYPERLINK("https://otsuka-europe-crm.veevavault.com/ui/#object/account__v/V4TZ025E83T9RZC", "MARIARITA SCIUME'")</f>
        <v>MARIARITA SCIUME'</v>
      </c>
      <c r="B7880" s="7" t="str">
        <f>HYPERLINK("https://otsuka-europe-crm.veevavault.com/ui/#object/vcountry__v/VENZ000004SONFQ", "IT")</f>
        <v>IT</v>
      </c>
      <c r="C7880" s="8" t="s">
        <v>42</v>
      </c>
      <c r="D7880" s="9" t="str">
        <f>HYPERLINK("https://otsuka-europe-crm.veevavault.com/ui/#object/approved_document__v/V5OZ025E82TI1KD", "DEM MUTAZIONE tp53")</f>
        <v>DEM MUTAZIONE tp53</v>
      </c>
      <c r="E7880" s="10" t="str">
        <f>HYPERLINK("https://otsuka-europe-crm.veevavault.com/ui/#object/sent_email__v/VBL00000003B234", "SE-001445354")</f>
        <v>SE-001445354</v>
      </c>
      <c r="F7880" s="11"/>
      <c r="G7880" s="12">
        <v>0</v>
      </c>
      <c r="H7880" s="12">
        <v>0</v>
      </c>
      <c r="I7880" s="12">
        <v>0</v>
      </c>
      <c r="J7880" s="11"/>
      <c r="K7880" s="12">
        <v>0</v>
      </c>
      <c r="L7880" s="10" t="str">
        <f>HYPERLINK("https://otsuka-europe-crm.veevavault.com/ui/#object/approved_document__v/V5OZ025E82TI1KD", "DEM MUTAZIONE tp53")</f>
        <v>DEM MUTAZIONE tp53</v>
      </c>
      <c r="M7880" s="10" t="str">
        <f>HYPERLINK("mailto:natale.cinoglosso@crm.otsuka-europe.com", "natale.cinoglosso@crm.otsuka-europe.com")</f>
        <v>natale.cinoglosso@crm.otsuka-europe.com</v>
      </c>
      <c r="N7880" s="13">
        <v>46231.52611111111</v>
      </c>
      <c r="O7880" s="14" t="str">
        <f>HYPERLINK("https://otsuka-europe-crm.veevavault.com/ui/#object/email_activity__v/V8C00000004D664", "EN-002109425")</f>
        <v>EN-002109425</v>
      </c>
    </row>
    <row r="7881" spans="1:15" ht="32" x14ac:dyDescent="0.2">
      <c r="A7881" s="7" t="str">
        <f>HYPERLINK("https://otsuka-europe-crm.veevavault.com/ui/#object/account__v/V4TZ025E83XHXIT", "ELENA TAGLIAFERRI")</f>
        <v>ELENA TAGLIAFERRI</v>
      </c>
      <c r="B7881" s="7" t="str">
        <f>HYPERLINK("https://otsuka-europe-crm.veevavault.com/ui/#object/vcountry__v/VENZ000004SONFQ", "IT")</f>
        <v>IT</v>
      </c>
      <c r="C7881" s="8" t="s">
        <v>42</v>
      </c>
      <c r="D7881" s="9" t="str">
        <f>HYPERLINK("https://otsuka-europe-crm.veevavault.com/ui/#object/approved_document__v/V5OZ025E82TI1KD", "DEM MUTAZIONE tp53")</f>
        <v>DEM MUTAZIONE tp53</v>
      </c>
      <c r="E7881" s="10" t="str">
        <f>HYPERLINK("https://otsuka-europe-crm.veevavault.com/ui/#object/sent_email__v/VBL00000003C302", "SE-001445355")</f>
        <v>SE-001445355</v>
      </c>
      <c r="F7881" s="11"/>
      <c r="G7881" s="12">
        <v>0</v>
      </c>
      <c r="H7881" s="12">
        <v>0</v>
      </c>
      <c r="I7881" s="12">
        <v>0</v>
      </c>
      <c r="J7881" s="11"/>
      <c r="K7881" s="12">
        <v>0</v>
      </c>
      <c r="L7881" s="10" t="str">
        <f>HYPERLINK("https://otsuka-europe-crm.veevavault.com/ui/#object/approved_document__v/V5OZ025E82TI1KD", "DEM MUTAZIONE tp53")</f>
        <v>DEM MUTAZIONE tp53</v>
      </c>
      <c r="M7881" s="10" t="str">
        <f>HYPERLINK("mailto:natale.cinoglosso@crm.otsuka-europe.com", "natale.cinoglosso@crm.otsuka-europe.com")</f>
        <v>natale.cinoglosso@crm.otsuka-europe.com</v>
      </c>
      <c r="N7881" s="13">
        <v>46231.526203703703</v>
      </c>
      <c r="O7881" s="14" t="str">
        <f>HYPERLINK("https://otsuka-europe-crm.veevavault.com/ui/#object/email_activity__v/V8C00000004D665", "EN-002109426")</f>
        <v>EN-002109426</v>
      </c>
    </row>
    <row r="7882" spans="1:15" ht="16" x14ac:dyDescent="0.2">
      <c r="A7882" s="18" t="str">
        <f>HYPERLINK("https://otsuka-europe-crm.veevavault.com/ui/#object/account__v/V4T00000000R145", "Michael Manson")</f>
        <v>Michael Manson</v>
      </c>
      <c r="B7882" s="18" t="str">
        <f>HYPERLINK("https://otsuka-europe-crm.veevavault.com/ui/#object/vcountry__v/VENZ000004SONFK", "GB")</f>
        <v>GB</v>
      </c>
      <c r="C7882" s="20" t="s">
        <v>41</v>
      </c>
      <c r="D7882" s="21" t="str">
        <f>HYPERLINK("https://otsuka-europe-crm.veevavault.com/ui/#object/approved_document__v/V5OZ025E82KBNQL", "Disclosure-Consent__Veeva-CRM__UK")</f>
        <v>Disclosure-Consent__Veeva-CRM__UK</v>
      </c>
      <c r="E7882" s="22" t="str">
        <f>HYPERLINK("https://otsuka-europe-crm.veevavault.com/ui/#object/sent_email__v/VBL00000003B235", "SE-001445356")</f>
        <v>SE-001445356</v>
      </c>
      <c r="F7882" s="25">
        <v>46232.37636574074</v>
      </c>
      <c r="G7882" s="24">
        <v>1</v>
      </c>
      <c r="H7882" s="24">
        <v>3</v>
      </c>
      <c r="I7882" s="24">
        <v>0</v>
      </c>
      <c r="J7882" s="23"/>
      <c r="K7882" s="24">
        <v>0</v>
      </c>
      <c r="L7882" s="22" t="str">
        <f>HYPERLINK("https://otsuka-europe-crm.veevavault.com/ui/#object/approved_document__v/V5OZ025E82KBNQL", "Disclosure-Consent__Veeva-CRM__UK")</f>
        <v>Disclosure-Consent__Veeva-CRM__UK</v>
      </c>
      <c r="M7882" s="22" t="str">
        <f>HYPERLINK("mailto:tgreen@crm.otsuka-europe.com", "tgreen@crm.otsuka-europe.com")</f>
        <v>tgreen@crm.otsuka-europe.com</v>
      </c>
      <c r="N7882" s="25">
        <v>46231.546840277777</v>
      </c>
      <c r="O7882" s="14" t="str">
        <f>HYPERLINK("https://otsuka-europe-crm.veevavault.com/ui/#object/email_activity__v/V8C00000004D716", "EN-002109534")</f>
        <v>EN-002109534</v>
      </c>
    </row>
    <row r="7883" spans="1:15" ht="16" x14ac:dyDescent="0.2">
      <c r="A7883" s="26"/>
      <c r="B7883" s="26"/>
      <c r="C7883" s="26"/>
      <c r="D7883" s="26"/>
      <c r="E7883" s="26"/>
      <c r="F7883" s="26"/>
      <c r="G7883" s="26"/>
      <c r="H7883" s="26"/>
      <c r="I7883" s="26"/>
      <c r="J7883" s="26"/>
      <c r="K7883" s="26"/>
      <c r="L7883" s="26"/>
      <c r="M7883" s="26"/>
      <c r="N7883" s="26"/>
      <c r="O7883" s="14" t="str">
        <f>HYPERLINK("https://otsuka-europe-crm.veevavault.com/ui/#object/email_activity__v/V8C00000004E545", "EN-002109430")</f>
        <v>EN-002109430</v>
      </c>
    </row>
    <row r="7884" spans="1:15" ht="16" x14ac:dyDescent="0.2">
      <c r="A7884" s="26"/>
      <c r="B7884" s="26"/>
      <c r="C7884" s="26"/>
      <c r="D7884" s="26"/>
      <c r="E7884" s="26"/>
      <c r="F7884" s="26"/>
      <c r="G7884" s="26"/>
      <c r="H7884" s="26"/>
      <c r="I7884" s="26"/>
      <c r="J7884" s="26"/>
      <c r="K7884" s="26"/>
      <c r="L7884" s="26"/>
      <c r="M7884" s="26"/>
      <c r="N7884" s="26"/>
      <c r="O7884" s="14" t="str">
        <f>HYPERLINK("https://otsuka-europe-crm.veevavault.com/ui/#object/email_activity__v/V8C00000004E550", "EN-002109436")</f>
        <v>EN-002109436</v>
      </c>
    </row>
    <row r="7885" spans="1:15" ht="16" x14ac:dyDescent="0.2">
      <c r="A7885" s="19"/>
      <c r="B7885" s="19"/>
      <c r="C7885" s="19"/>
      <c r="D7885" s="19"/>
      <c r="E7885" s="19"/>
      <c r="F7885" s="19"/>
      <c r="G7885" s="19"/>
      <c r="H7885" s="19"/>
      <c r="I7885" s="19"/>
      <c r="J7885" s="19"/>
      <c r="K7885" s="19"/>
      <c r="L7885" s="19"/>
      <c r="M7885" s="19"/>
      <c r="N7885" s="19"/>
      <c r="O7885" s="14" t="str">
        <f>HYPERLINK("https://otsuka-europe-crm.veevavault.com/ui/#object/email_activity__v/V8C00000004E556", "EN-002109450")</f>
        <v>EN-002109450</v>
      </c>
    </row>
    <row r="7886" spans="1:15" ht="16" x14ac:dyDescent="0.2">
      <c r="A7886" s="18" t="str">
        <f>HYPERLINK("https://otsuka-europe-crm.veevavault.com/ui/#object/account__v/V4T000000017292", "Timothy Chevassut")</f>
        <v>Timothy Chevassut</v>
      </c>
      <c r="B7886" s="18" t="str">
        <f>HYPERLINK("https://otsuka-europe-crm.veevavault.com/ui/#object/vcountry__v/VENZ000004SONFK", "GB")</f>
        <v>GB</v>
      </c>
      <c r="C7886" s="20" t="s">
        <v>41</v>
      </c>
      <c r="D7886" s="21" t="str">
        <f>HYPERLINK("https://otsuka-europe-crm.veevavault.com/ui/#object/approved_document__v/V5OZ025E82KBNQL", "Disclosure-Consent__Veeva-CRM__UK")</f>
        <v>Disclosure-Consent__Veeva-CRM__UK</v>
      </c>
      <c r="E7886" s="22" t="str">
        <f>HYPERLINK("https://otsuka-europe-crm.veevavault.com/ui/#object/sent_email__v/VBL00000003B236", "SE-001445357")</f>
        <v>SE-001445357</v>
      </c>
      <c r="F7886" s="25">
        <v>46231.616898148146</v>
      </c>
      <c r="G7886" s="24">
        <v>1</v>
      </c>
      <c r="H7886" s="24">
        <v>2</v>
      </c>
      <c r="I7886" s="24">
        <v>0</v>
      </c>
      <c r="J7886" s="23"/>
      <c r="K7886" s="24">
        <v>0</v>
      </c>
      <c r="L7886" s="22" t="str">
        <f>HYPERLINK("https://otsuka-europe-crm.veevavault.com/ui/#object/approved_document__v/V5OZ025E82KBNQL", "Disclosure-Consent__Veeva-CRM__UK")</f>
        <v>Disclosure-Consent__Veeva-CRM__UK</v>
      </c>
      <c r="M7886" s="22" t="str">
        <f>HYPERLINK("mailto:tgreen@crm.otsuka-europe.com", "tgreen@crm.otsuka-europe.com")</f>
        <v>tgreen@crm.otsuka-europe.com</v>
      </c>
      <c r="N7886" s="25">
        <v>46231.548784722225</v>
      </c>
      <c r="O7886" s="14" t="str">
        <f>HYPERLINK("https://otsuka-europe-crm.veevavault.com/ui/#object/email_activity__v/V8C00000004D668", "EN-002109431")</f>
        <v>EN-002109431</v>
      </c>
    </row>
    <row r="7887" spans="1:15" ht="16" x14ac:dyDescent="0.2">
      <c r="A7887" s="26"/>
      <c r="B7887" s="26"/>
      <c r="C7887" s="26"/>
      <c r="D7887" s="26"/>
      <c r="E7887" s="26"/>
      <c r="F7887" s="26"/>
      <c r="G7887" s="26"/>
      <c r="H7887" s="26"/>
      <c r="I7887" s="26"/>
      <c r="J7887" s="26"/>
      <c r="K7887" s="26"/>
      <c r="L7887" s="26"/>
      <c r="M7887" s="26"/>
      <c r="N7887" s="26"/>
      <c r="O7887" s="14" t="str">
        <f>HYPERLINK("https://otsuka-europe-crm.veevavault.com/ui/#object/email_activity__v/V8C00000004D679", "EN-002109457")</f>
        <v>EN-002109457</v>
      </c>
    </row>
    <row r="7888" spans="1:15" ht="16" x14ac:dyDescent="0.2">
      <c r="A7888" s="26"/>
      <c r="B7888" s="26"/>
      <c r="C7888" s="26"/>
      <c r="D7888" s="26"/>
      <c r="E7888" s="26"/>
      <c r="F7888" s="26"/>
      <c r="G7888" s="26"/>
      <c r="H7888" s="26"/>
      <c r="I7888" s="26"/>
      <c r="J7888" s="26"/>
      <c r="K7888" s="26"/>
      <c r="L7888" s="26"/>
      <c r="M7888" s="26"/>
      <c r="N7888" s="26"/>
      <c r="O7888" s="14" t="str">
        <f>HYPERLINK("https://otsuka-europe-crm.veevavault.com/ui/#object/email_activity__v/V8C00000004E559", "EN-002109455")</f>
        <v>EN-002109455</v>
      </c>
    </row>
    <row r="7889" spans="1:15" ht="16" x14ac:dyDescent="0.2">
      <c r="A7889" s="19"/>
      <c r="B7889" s="19"/>
      <c r="C7889" s="19"/>
      <c r="D7889" s="19"/>
      <c r="E7889" s="19"/>
      <c r="F7889" s="19"/>
      <c r="G7889" s="19"/>
      <c r="H7889" s="19"/>
      <c r="I7889" s="19"/>
      <c r="J7889" s="19"/>
      <c r="K7889" s="19"/>
      <c r="L7889" s="19"/>
      <c r="M7889" s="19"/>
      <c r="N7889" s="19"/>
      <c r="O7889" s="14" t="str">
        <f>HYPERLINK("https://otsuka-europe-crm.veevavault.com/ui/#object/email_activity__v/V8C00000004E569", "EN-002109476")</f>
        <v>EN-002109476</v>
      </c>
    </row>
    <row r="7890" spans="1:15" ht="16" x14ac:dyDescent="0.2">
      <c r="A7890" s="18" t="str">
        <f>HYPERLINK("https://otsuka-europe-crm.veevavault.com/ui/#object/account__v/V4TZ025E88ICCVL", "Razel Villanueva")</f>
        <v>Razel Villanueva</v>
      </c>
      <c r="B7890" s="18" t="str">
        <f>HYPERLINK("https://otsuka-europe-crm.veevavault.com/ui/#object/vcountry__v/VENZ000004SONFK", "GB")</f>
        <v>GB</v>
      </c>
      <c r="C7890" s="20" t="s">
        <v>41</v>
      </c>
      <c r="D7890" s="21" t="str">
        <f>HYPERLINK("https://otsuka-europe-crm.veevavault.com/ui/#object/approved_document__v/V5OZ025E82KBNQL", "Disclosure-Consent__Veeva-CRM__UK")</f>
        <v>Disclosure-Consent__Veeva-CRM__UK</v>
      </c>
      <c r="E7890" s="22" t="str">
        <f>HYPERLINK("https://otsuka-europe-crm.veevavault.com/ui/#object/sent_email__v/VBL00000003C303", "SE-001445358")</f>
        <v>SE-001445358</v>
      </c>
      <c r="F7890" s="25">
        <v>46231.571886574071</v>
      </c>
      <c r="G7890" s="24">
        <v>1</v>
      </c>
      <c r="H7890" s="24">
        <v>1</v>
      </c>
      <c r="I7890" s="24">
        <v>1</v>
      </c>
      <c r="J7890" s="25">
        <v>46232.604525462964</v>
      </c>
      <c r="K7890" s="24">
        <v>4</v>
      </c>
      <c r="L7890" s="22" t="str">
        <f>HYPERLINK("https://otsuka-europe-crm.veevavault.com/ui/#object/approved_document__v/V5OZ025E82KBNQL", "Disclosure-Consent__Veeva-CRM__UK")</f>
        <v>Disclosure-Consent__Veeva-CRM__UK</v>
      </c>
      <c r="M7890" s="22" t="str">
        <f>HYPERLINK("mailto:tgreen@crm.otsuka-europe.com", "tgreen@crm.otsuka-europe.com")</f>
        <v>tgreen@crm.otsuka-europe.com</v>
      </c>
      <c r="N7890" s="25">
        <v>46231.551157407404</v>
      </c>
      <c r="O7890" s="14" t="str">
        <f>HYPERLINK("https://otsuka-europe-crm.veevavault.com/ui/#object/email_activity__v/V8C00000004D672", "EN-002109445")</f>
        <v>EN-002109445</v>
      </c>
    </row>
    <row r="7891" spans="1:15" ht="16" x14ac:dyDescent="0.2">
      <c r="A7891" s="26"/>
      <c r="B7891" s="26"/>
      <c r="C7891" s="26"/>
      <c r="D7891" s="26"/>
      <c r="E7891" s="26"/>
      <c r="F7891" s="26"/>
      <c r="G7891" s="26"/>
      <c r="H7891" s="26"/>
      <c r="I7891" s="26"/>
      <c r="J7891" s="26"/>
      <c r="K7891" s="26"/>
      <c r="L7891" s="26"/>
      <c r="M7891" s="26"/>
      <c r="N7891" s="26"/>
      <c r="O7891" s="14" t="str">
        <f>HYPERLINK("https://otsuka-europe-crm.veevavault.com/ui/#object/email_activity__v/V8C00000004D739", "EN-002109580")</f>
        <v>EN-002109580</v>
      </c>
    </row>
    <row r="7892" spans="1:15" ht="16" x14ac:dyDescent="0.2">
      <c r="A7892" s="26"/>
      <c r="B7892" s="26"/>
      <c r="C7892" s="26"/>
      <c r="D7892" s="26"/>
      <c r="E7892" s="26"/>
      <c r="F7892" s="26"/>
      <c r="G7892" s="26"/>
      <c r="H7892" s="26"/>
      <c r="I7892" s="26"/>
      <c r="J7892" s="26"/>
      <c r="K7892" s="26"/>
      <c r="L7892" s="26"/>
      <c r="M7892" s="26"/>
      <c r="N7892" s="26"/>
      <c r="O7892" s="14" t="str">
        <f>HYPERLINK("https://otsuka-europe-crm.veevavault.com/ui/#object/email_activity__v/V8C00000004E546", "EN-002109432")</f>
        <v>EN-002109432</v>
      </c>
    </row>
    <row r="7893" spans="1:15" ht="16" x14ac:dyDescent="0.2">
      <c r="A7893" s="26"/>
      <c r="B7893" s="26"/>
      <c r="C7893" s="26"/>
      <c r="D7893" s="26"/>
      <c r="E7893" s="26"/>
      <c r="F7893" s="26"/>
      <c r="G7893" s="26"/>
      <c r="H7893" s="26"/>
      <c r="I7893" s="26"/>
      <c r="J7893" s="26"/>
      <c r="K7893" s="26"/>
      <c r="L7893" s="26"/>
      <c r="M7893" s="26"/>
      <c r="N7893" s="26"/>
      <c r="O7893" s="14" t="str">
        <f>HYPERLINK("https://otsuka-europe-crm.veevavault.com/ui/#object/email_activity__v/V8C00000004E554", "EN-002109444")</f>
        <v>EN-002109444</v>
      </c>
    </row>
    <row r="7894" spans="1:15" ht="16" x14ac:dyDescent="0.2">
      <c r="A7894" s="26"/>
      <c r="B7894" s="26"/>
      <c r="C7894" s="26"/>
      <c r="D7894" s="26"/>
      <c r="E7894" s="26"/>
      <c r="F7894" s="26"/>
      <c r="G7894" s="26"/>
      <c r="H7894" s="26"/>
      <c r="I7894" s="26"/>
      <c r="J7894" s="26"/>
      <c r="K7894" s="26"/>
      <c r="L7894" s="26"/>
      <c r="M7894" s="26"/>
      <c r="N7894" s="26"/>
      <c r="O7894" s="14" t="str">
        <f>HYPERLINK("https://otsuka-europe-crm.veevavault.com/ui/#object/email_activity__v/V8C00000004E555", "EN-002109443")</f>
        <v>EN-002109443</v>
      </c>
    </row>
    <row r="7895" spans="1:15" ht="16" x14ac:dyDescent="0.2">
      <c r="A7895" s="19"/>
      <c r="B7895" s="19"/>
      <c r="C7895" s="19"/>
      <c r="D7895" s="19"/>
      <c r="E7895" s="19"/>
      <c r="F7895" s="19"/>
      <c r="G7895" s="19"/>
      <c r="H7895" s="19"/>
      <c r="I7895" s="19"/>
      <c r="J7895" s="19"/>
      <c r="K7895" s="19"/>
      <c r="L7895" s="19"/>
      <c r="M7895" s="19"/>
      <c r="N7895" s="19"/>
      <c r="O7895" s="14" t="str">
        <f>HYPERLINK("https://otsuka-europe-crm.veevavault.com/ui/#object/email_activity__v/V8C00000004E628", "EN-002109581")</f>
        <v>EN-002109581</v>
      </c>
    </row>
    <row r="7896" spans="1:15" ht="32" x14ac:dyDescent="0.2">
      <c r="A7896" s="7" t="str">
        <f>HYPERLINK("https://otsuka-europe-crm.veevavault.com/ui/#object/account__v/V4TZ04ASGC7IYQW", "Silke Brix")</f>
        <v>Silke Brix</v>
      </c>
      <c r="B7896" s="7" t="str">
        <f>HYPERLINK("https://otsuka-europe-crm.veevavault.com/ui/#object/vcountry__v/VENZ000004SONFK", "GB")</f>
        <v>GB</v>
      </c>
      <c r="C7896" s="8" t="s">
        <v>41</v>
      </c>
      <c r="D7896" s="9" t="str">
        <f>HYPERLINK("https://otsuka-europe-crm.veevavault.com/ui/#object/approved_document__v/V5OZ025E82KBNQL", "Disclosure-Consent__Veeva-CRM__UK")</f>
        <v>Disclosure-Consent__Veeva-CRM__UK</v>
      </c>
      <c r="E7896" s="10" t="str">
        <f>HYPERLINK("https://otsuka-europe-crm.veevavault.com/ui/#object/sent_email__v/VBL00000003B237", "SE-001445359")</f>
        <v>SE-001445359</v>
      </c>
      <c r="F7896" s="11"/>
      <c r="G7896" s="12">
        <v>0</v>
      </c>
      <c r="H7896" s="12">
        <v>0</v>
      </c>
      <c r="I7896" s="12">
        <v>0</v>
      </c>
      <c r="J7896" s="11"/>
      <c r="K7896" s="12">
        <v>0</v>
      </c>
      <c r="L7896" s="10" t="str">
        <f>HYPERLINK("https://otsuka-europe-crm.veevavault.com/ui/#object/approved_document__v/V5OZ025E82KBNQL", "Disclosure-Consent__Veeva-CRM__UK")</f>
        <v>Disclosure-Consent__Veeva-CRM__UK</v>
      </c>
      <c r="M7896" s="10" t="str">
        <f>HYPERLINK("mailto:tgreen@crm.otsuka-europe.com", "tgreen@crm.otsuka-europe.com")</f>
        <v>tgreen@crm.otsuka-europe.com</v>
      </c>
      <c r="N7896" s="13">
        <v>46231.553252314814</v>
      </c>
      <c r="O7896" s="14" t="str">
        <f>HYPERLINK("https://otsuka-europe-crm.veevavault.com/ui/#object/email_activity__v/V8C00000004E547", "EN-002109433")</f>
        <v>EN-002109433</v>
      </c>
    </row>
    <row r="7897" spans="1:15" ht="32" x14ac:dyDescent="0.2">
      <c r="A7897" s="7" t="str">
        <f>HYPERLINK("https://otsuka-europe-crm.veevavault.com/ui/#object/account__v/V4TZ06G6O71T79E", "MARIA MARTA JALON URBINA")</f>
        <v>MARIA MARTA JALON URBINA</v>
      </c>
      <c r="B7897" s="7" t="str">
        <f>HYPERLINK("https://otsuka-europe-crm.veevavault.com/ui/#object/vcountry__v/VENZ000004SONF5", "ES")</f>
        <v>ES</v>
      </c>
      <c r="C7897" s="8" t="s">
        <v>39</v>
      </c>
      <c r="D7897" s="9" t="str">
        <f>HYPERLINK("https://otsuka-europe-crm.veevavault.com/ui/#object/approved_document__v/V5O00000001R002", "Programa X Jornada UHB")</f>
        <v>Programa X Jornada UHB</v>
      </c>
      <c r="E7897" s="10" t="str">
        <f>HYPERLINK("https://otsuka-europe-crm.veevavault.com/ui/#object/sent_email__v/VBL00000003C304", "SE-001445360")</f>
        <v>SE-001445360</v>
      </c>
      <c r="F7897" s="11"/>
      <c r="G7897" s="12">
        <v>0</v>
      </c>
      <c r="H7897" s="12">
        <v>0</v>
      </c>
      <c r="I7897" s="12">
        <v>0</v>
      </c>
      <c r="J7897" s="11"/>
      <c r="K7897" s="12">
        <v>0</v>
      </c>
      <c r="L7897" s="10" t="str">
        <f>HYPERLINK("https://otsuka-europe-crm.veevavault.com/ui/#object/approved_document__v/V5O00000001R002", "Programa X Jornada UHB")</f>
        <v>Programa X Jornada UHB</v>
      </c>
      <c r="M7897" s="10" t="str">
        <f>HYPERLINK("mailto:sdiez@crm.otsuka-europe.com", "sdiez@crm.otsuka-europe.com")</f>
        <v>sdiez@crm.otsuka-europe.com</v>
      </c>
      <c r="N7897" s="13">
        <v>46231.566655092596</v>
      </c>
      <c r="O7897" s="14" t="str">
        <f>HYPERLINK("https://otsuka-europe-crm.veevavault.com/ui/#object/email_activity__v/V8C00000004E552", "EN-002109439")</f>
        <v>EN-002109439</v>
      </c>
    </row>
    <row r="7898" spans="1:15" ht="32" x14ac:dyDescent="0.2">
      <c r="A7898" s="7" t="str">
        <f>HYPERLINK("https://otsuka-europe-crm.veevavault.com/ui/#object/account__v/V4TZ04ASGDUDBTB", "PAULA CARRASCO CASTRO")</f>
        <v>PAULA CARRASCO CASTRO</v>
      </c>
      <c r="B7898" s="7" t="str">
        <f>HYPERLINK("https://otsuka-europe-crm.veevavault.com/ui/#object/vcountry__v/VENZ000004SONF5", "ES")</f>
        <v>ES</v>
      </c>
      <c r="C7898" s="8" t="s">
        <v>39</v>
      </c>
      <c r="D7898" s="9" t="str">
        <f>HYPERLINK("https://otsuka-europe-crm.veevavault.com/ui/#object/approved_document__v/V5O00000001R002", "Programa X Jornada UHB")</f>
        <v>Programa X Jornada UHB</v>
      </c>
      <c r="E7898" s="10" t="str">
        <f>HYPERLINK("https://otsuka-europe-crm.veevavault.com/ui/#object/sent_email__v/VBL00000003C305", "SE-001445361")</f>
        <v>SE-001445361</v>
      </c>
      <c r="F7898" s="11"/>
      <c r="G7898" s="12">
        <v>0</v>
      </c>
      <c r="H7898" s="12">
        <v>0</v>
      </c>
      <c r="I7898" s="12">
        <v>0</v>
      </c>
      <c r="J7898" s="11"/>
      <c r="K7898" s="12">
        <v>0</v>
      </c>
      <c r="L7898" s="10" t="str">
        <f>HYPERLINK("https://otsuka-europe-crm.veevavault.com/ui/#object/approved_document__v/V5O00000001R002", "Programa X Jornada UHB")</f>
        <v>Programa X Jornada UHB</v>
      </c>
      <c r="M7898" s="10" t="str">
        <f>HYPERLINK("mailto:sdiez@crm.otsuka-europe.com", "sdiez@crm.otsuka-europe.com")</f>
        <v>sdiez@crm.otsuka-europe.com</v>
      </c>
      <c r="N7898" s="13">
        <v>46231.566805555558</v>
      </c>
      <c r="O7898" s="14" t="str">
        <f>HYPERLINK("https://otsuka-europe-crm.veevavault.com/ui/#object/email_activity__v/V8C00000004E553", "EN-002109440")</f>
        <v>EN-002109440</v>
      </c>
    </row>
    <row r="7899" spans="1:15" ht="16" x14ac:dyDescent="0.2">
      <c r="A7899" s="18" t="str">
        <f>HYPERLINK("https://otsuka-europe-crm.veevavault.com/ui/#object/account__v/V4TZ06G6O71TB5C", "CARMEN MIÑAMBRES VILLAR")</f>
        <v>CARMEN MIÑAMBRES VILLAR</v>
      </c>
      <c r="B7899" s="18" t="str">
        <f>HYPERLINK("https://otsuka-europe-crm.veevavault.com/ui/#object/vcountry__v/VENZ000004SONF5", "ES")</f>
        <v>ES</v>
      </c>
      <c r="C7899" s="20" t="s">
        <v>39</v>
      </c>
      <c r="D7899" s="21" t="str">
        <f>HYPERLINK("https://otsuka-europe-crm.veevavault.com/ui/#object/approved_document__v/V5O00000001H004", "Save the date X Jornada UHB 2026")</f>
        <v>Save the date X Jornada UHB 2026</v>
      </c>
      <c r="E7899" s="22" t="str">
        <f>HYPERLINK("https://otsuka-europe-crm.veevavault.com/ui/#object/sent_email__v/VBL00000003C306", "SE-001445362")</f>
        <v>SE-001445362</v>
      </c>
      <c r="F7899" s="25">
        <v>46233.540486111109</v>
      </c>
      <c r="G7899" s="24">
        <v>1</v>
      </c>
      <c r="H7899" s="24">
        <v>4</v>
      </c>
      <c r="I7899" s="24">
        <v>0</v>
      </c>
      <c r="J7899" s="23"/>
      <c r="K7899" s="24">
        <v>0</v>
      </c>
      <c r="L7899" s="22" t="str">
        <f>HYPERLINK("https://otsuka-europe-crm.veevavault.com/ui/#object/approved_document__v/V5O00000001H004", "Save the date X Jornada UHB 2026")</f>
        <v>Save the date X Jornada UHB 2026</v>
      </c>
      <c r="M7899" s="22" t="str">
        <f>HYPERLINK("mailto:sdiez@crm.otsuka-europe.com", "sdiez@crm.otsuka-europe.com")</f>
        <v>sdiez@crm.otsuka-europe.com</v>
      </c>
      <c r="N7899" s="25">
        <v>46231.567499999997</v>
      </c>
      <c r="O7899" s="14" t="str">
        <f>HYPERLINK("https://otsuka-europe-crm.veevavault.com/ui/#object/email_activity__v/V8C00000004D670", "EN-002109441")</f>
        <v>EN-002109441</v>
      </c>
    </row>
    <row r="7900" spans="1:15" ht="16" x14ac:dyDescent="0.2">
      <c r="A7900" s="26"/>
      <c r="B7900" s="26"/>
      <c r="C7900" s="26"/>
      <c r="D7900" s="26"/>
      <c r="E7900" s="26"/>
      <c r="F7900" s="26"/>
      <c r="G7900" s="26"/>
      <c r="H7900" s="26"/>
      <c r="I7900" s="26"/>
      <c r="J7900" s="26"/>
      <c r="K7900" s="26"/>
      <c r="L7900" s="26"/>
      <c r="M7900" s="26"/>
      <c r="N7900" s="26"/>
      <c r="O7900" s="14" t="str">
        <f>HYPERLINK("https://otsuka-europe-crm.veevavault.com/ui/#object/email_activity__v/V8C00000004D744", "EN-002109594")</f>
        <v>EN-002109594</v>
      </c>
    </row>
    <row r="7901" spans="1:15" ht="16" x14ac:dyDescent="0.2">
      <c r="A7901" s="26"/>
      <c r="B7901" s="26"/>
      <c r="C7901" s="26"/>
      <c r="D7901" s="26"/>
      <c r="E7901" s="26"/>
      <c r="F7901" s="26"/>
      <c r="G7901" s="26"/>
      <c r="H7901" s="26"/>
      <c r="I7901" s="26"/>
      <c r="J7901" s="26"/>
      <c r="K7901" s="26"/>
      <c r="L7901" s="26"/>
      <c r="M7901" s="26"/>
      <c r="N7901" s="26"/>
      <c r="O7901" s="14" t="str">
        <f>HYPERLINK("https://otsuka-europe-crm.veevavault.com/ui/#object/email_activity__v/V8C00000004D745", "EN-002109595")</f>
        <v>EN-002109595</v>
      </c>
    </row>
    <row r="7902" spans="1:15" ht="16" x14ac:dyDescent="0.2">
      <c r="A7902" s="26"/>
      <c r="B7902" s="26"/>
      <c r="C7902" s="26"/>
      <c r="D7902" s="26"/>
      <c r="E7902" s="26"/>
      <c r="F7902" s="26"/>
      <c r="G7902" s="26"/>
      <c r="H7902" s="26"/>
      <c r="I7902" s="26"/>
      <c r="J7902" s="26"/>
      <c r="K7902" s="26"/>
      <c r="L7902" s="26"/>
      <c r="M7902" s="26"/>
      <c r="N7902" s="26"/>
      <c r="O7902" s="14" t="str">
        <f>HYPERLINK("https://otsuka-europe-crm.veevavault.com/ui/#object/email_activity__v/V8C00000004E635", "EN-002109592")</f>
        <v>EN-002109592</v>
      </c>
    </row>
    <row r="7903" spans="1:15" ht="16" x14ac:dyDescent="0.2">
      <c r="A7903" s="19"/>
      <c r="B7903" s="19"/>
      <c r="C7903" s="19"/>
      <c r="D7903" s="19"/>
      <c r="E7903" s="19"/>
      <c r="F7903" s="19"/>
      <c r="G7903" s="19"/>
      <c r="H7903" s="19"/>
      <c r="I7903" s="19"/>
      <c r="J7903" s="19"/>
      <c r="K7903" s="19"/>
      <c r="L7903" s="19"/>
      <c r="M7903" s="19"/>
      <c r="N7903" s="19"/>
      <c r="O7903" s="14" t="str">
        <f>HYPERLINK("https://otsuka-europe-crm.veevavault.com/ui/#object/email_activity__v/V8C00000004E732", "EN-002109758")</f>
        <v>EN-002109758</v>
      </c>
    </row>
    <row r="7904" spans="1:15" ht="16" x14ac:dyDescent="0.2">
      <c r="A7904" s="18" t="str">
        <f>HYPERLINK("https://otsuka-europe-crm.veevavault.com/ui/#object/account__v/V4T00000002H040", "PILAR DE LYS HERRAEZ HERRERA")</f>
        <v>PILAR DE LYS HERRAEZ HERRERA</v>
      </c>
      <c r="B7904" s="18" t="str">
        <f>HYPERLINK("https://otsuka-europe-crm.veevavault.com/ui/#object/vcountry__v/VENZ000004SONF5", "ES")</f>
        <v>ES</v>
      </c>
      <c r="C7904" s="20" t="s">
        <v>39</v>
      </c>
      <c r="D7904" s="21" t="str">
        <f>HYPERLINK("https://otsuka-europe-crm.veevavault.com/ui/#object/approved_document__v/V5OZ06G6O6RFL1P", "ES Veeva Privacy Notice Email")</f>
        <v>ES Veeva Privacy Notice Email</v>
      </c>
      <c r="E7904" s="22" t="str">
        <f>HYPERLINK("https://otsuka-europe-crm.veevavault.com/ui/#object/sent_email__v/VBL00000003F128", "SE-001448183")</f>
        <v>SE-001448183</v>
      </c>
      <c r="F7904" s="23"/>
      <c r="G7904" s="24">
        <v>0</v>
      </c>
      <c r="H7904" s="24">
        <v>0</v>
      </c>
      <c r="I7904" s="24">
        <v>0</v>
      </c>
      <c r="J7904" s="23"/>
      <c r="K7904" s="24">
        <v>0</v>
      </c>
      <c r="L7904" s="22" t="str">
        <f>HYPERLINK("https://otsuka-europe-crm.veevavault.com/ui/#object/approved_document__v/V5OZ06G6O6RFL1P", "ES Veeva Privacy Notice Email")</f>
        <v>ES Veeva Privacy Notice Email</v>
      </c>
      <c r="M7904" s="22" t="str">
        <f>HYPERLINK("mailto:mcasado@crm.otsuka-europe.com", "mcasado@crm.otsuka-europe.com")</f>
        <v>mcasado@crm.otsuka-europe.com</v>
      </c>
      <c r="N7904" s="25">
        <v>46231.676064814812</v>
      </c>
      <c r="O7904" s="14" t="str">
        <f>HYPERLINK("https://otsuka-europe-crm.veevavault.com/ui/#object/email_activity__v/V8C00000004D685", "EN-002109468")</f>
        <v>EN-002109468</v>
      </c>
    </row>
    <row r="7905" spans="1:15" ht="16" x14ac:dyDescent="0.2">
      <c r="A7905" s="26"/>
      <c r="B7905" s="26"/>
      <c r="C7905" s="26"/>
      <c r="D7905" s="26"/>
      <c r="E7905" s="26"/>
      <c r="F7905" s="26"/>
      <c r="G7905" s="26"/>
      <c r="H7905" s="26"/>
      <c r="I7905" s="26"/>
      <c r="J7905" s="26"/>
      <c r="K7905" s="26"/>
      <c r="L7905" s="26"/>
      <c r="M7905" s="26"/>
      <c r="N7905" s="26"/>
      <c r="O7905" s="14" t="str">
        <f>HYPERLINK("https://otsuka-europe-crm.veevavault.com/ui/#object/email_activity__v/V8C00000004D706", "EN-002109511")</f>
        <v>EN-002109511</v>
      </c>
    </row>
    <row r="7906" spans="1:15" ht="16" x14ac:dyDescent="0.2">
      <c r="A7906" s="19"/>
      <c r="B7906" s="19"/>
      <c r="C7906" s="19"/>
      <c r="D7906" s="19"/>
      <c r="E7906" s="19"/>
      <c r="F7906" s="19"/>
      <c r="G7906" s="19"/>
      <c r="H7906" s="19"/>
      <c r="I7906" s="19"/>
      <c r="J7906" s="19"/>
      <c r="K7906" s="19"/>
      <c r="L7906" s="19"/>
      <c r="M7906" s="19"/>
      <c r="N7906" s="19"/>
      <c r="O7906" s="14" t="str">
        <f>HYPERLINK("https://otsuka-europe-crm.veevavault.com/ui/#object/email_activity__v/V8C00000004D746", "EN-002109596")</f>
        <v>EN-002109596</v>
      </c>
    </row>
    <row r="7907" spans="1:15" ht="16" x14ac:dyDescent="0.2">
      <c r="A7907" s="18" t="str">
        <f>HYPERLINK("https://otsuka-europe-crm.veevavault.com/ui/#object/account__v/V4T00000002H039", "RUTH MIELGO BALLESTEROS")</f>
        <v>RUTH MIELGO BALLESTEROS</v>
      </c>
      <c r="B7907" s="18" t="str">
        <f>HYPERLINK("https://otsuka-europe-crm.veevavault.com/ui/#object/vcountry__v/VENZ000004SONF5", "ES")</f>
        <v>ES</v>
      </c>
      <c r="C7907" s="20" t="s">
        <v>39</v>
      </c>
      <c r="D7907" s="21" t="str">
        <f>HYPERLINK("https://otsuka-europe-crm.veevavault.com/ui/#object/approved_document__v/V5OZ06G6O6RFL1P", "ES Veeva Privacy Notice Email")</f>
        <v>ES Veeva Privacy Notice Email</v>
      </c>
      <c r="E7907" s="22" t="str">
        <f>HYPERLINK("https://otsuka-europe-crm.veevavault.com/ui/#object/sent_email__v/VBL00000003F129", "SE-001448184")</f>
        <v>SE-001448184</v>
      </c>
      <c r="F7907" s="23"/>
      <c r="G7907" s="24">
        <v>0</v>
      </c>
      <c r="H7907" s="24">
        <v>0</v>
      </c>
      <c r="I7907" s="24">
        <v>0</v>
      </c>
      <c r="J7907" s="23"/>
      <c r="K7907" s="24">
        <v>0</v>
      </c>
      <c r="L7907" s="22" t="str">
        <f>HYPERLINK("https://otsuka-europe-crm.veevavault.com/ui/#object/approved_document__v/V5OZ06G6O6RFL1P", "ES Veeva Privacy Notice Email")</f>
        <v>ES Veeva Privacy Notice Email</v>
      </c>
      <c r="M7907" s="22" t="str">
        <f>HYPERLINK("mailto:mcasado@crm.otsuka-europe.com", "mcasado@crm.otsuka-europe.com")</f>
        <v>mcasado@crm.otsuka-europe.com</v>
      </c>
      <c r="N7907" s="25">
        <v>46231.680115740739</v>
      </c>
      <c r="O7907" s="14" t="str">
        <f>HYPERLINK("https://otsuka-europe-crm.veevavault.com/ui/#object/email_activity__v/V8C00000004E566", "EN-002109469")</f>
        <v>EN-002109469</v>
      </c>
    </row>
    <row r="7908" spans="1:15" ht="16" x14ac:dyDescent="0.2">
      <c r="A7908" s="26"/>
      <c r="B7908" s="26"/>
      <c r="C7908" s="26"/>
      <c r="D7908" s="26"/>
      <c r="E7908" s="26"/>
      <c r="F7908" s="26"/>
      <c r="G7908" s="26"/>
      <c r="H7908" s="26"/>
      <c r="I7908" s="26"/>
      <c r="J7908" s="26"/>
      <c r="K7908" s="26"/>
      <c r="L7908" s="26"/>
      <c r="M7908" s="26"/>
      <c r="N7908" s="26"/>
      <c r="O7908" s="14" t="str">
        <f>HYPERLINK("https://otsuka-europe-crm.veevavault.com/ui/#object/email_activity__v/V8C00000004E599", "EN-002109531")</f>
        <v>EN-002109531</v>
      </c>
    </row>
    <row r="7909" spans="1:15" ht="16" x14ac:dyDescent="0.2">
      <c r="A7909" s="19"/>
      <c r="B7909" s="19"/>
      <c r="C7909" s="19"/>
      <c r="D7909" s="19"/>
      <c r="E7909" s="19"/>
      <c r="F7909" s="19"/>
      <c r="G7909" s="19"/>
      <c r="H7909" s="19"/>
      <c r="I7909" s="19"/>
      <c r="J7909" s="19"/>
      <c r="K7909" s="19"/>
      <c r="L7909" s="19"/>
      <c r="M7909" s="19"/>
      <c r="N7909" s="19"/>
      <c r="O7909" s="14" t="str">
        <f>HYPERLINK("https://otsuka-europe-crm.veevavault.com/ui/#object/email_activity__v/V8C00000004H071", "EN-002111065")</f>
        <v>EN-002111065</v>
      </c>
    </row>
    <row r="7910" spans="1:15" ht="32" x14ac:dyDescent="0.2">
      <c r="A7910" s="7" t="str">
        <f>HYPERLINK("https://otsuka-europe-crm.veevavault.com/ui/#object/account__v/V4TZ0000062T35C", "Svetlana Buliniceva")</f>
        <v>Svetlana Buliniceva</v>
      </c>
      <c r="B7910" s="7" t="str">
        <f>HYPERLINK("https://otsuka-europe-crm.veevavault.com/ui/#object/vcountry__v/VENZ000004SONFP", "DE")</f>
        <v>DE</v>
      </c>
      <c r="C7910" s="8" t="s">
        <v>43</v>
      </c>
      <c r="D7910" s="9" t="str">
        <f>HYPERLINK("https://otsuka-europe-crm.veevavault.com/ui/#object/approved_document__v/V5O00000001E001", "VAE DE AM960 - Erfahrungswerte")</f>
        <v>VAE DE AM960 - Erfahrungswerte</v>
      </c>
      <c r="E7910" s="10" t="str">
        <f>HYPERLINK("https://otsuka-europe-crm.veevavault.com/ui/#object/sent_email__v/VBL00000003E240", "SE-001448185")</f>
        <v>SE-001448185</v>
      </c>
      <c r="F7910" s="11"/>
      <c r="G7910" s="12">
        <v>0</v>
      </c>
      <c r="H7910" s="12">
        <v>0</v>
      </c>
      <c r="I7910" s="12">
        <v>0</v>
      </c>
      <c r="J7910" s="11"/>
      <c r="K7910" s="12">
        <v>0</v>
      </c>
      <c r="L7910" s="10" t="str">
        <f>HYPERLINK("https://otsuka-europe-crm.veevavault.com/ui/#object/approved_document__v/V5O00000001E001", "VAE DE AM960 - Erfahrungswerte")</f>
        <v>VAE DE AM960 - Erfahrungswerte</v>
      </c>
      <c r="M7910" s="10" t="str">
        <f>HYPERLINK("mailto:mspiegel@crm.otsuka-europe.com", "mspiegel@crm.otsuka-europe.com")</f>
        <v>mspiegel@crm.otsuka-europe.com</v>
      </c>
      <c r="N7910" s="13">
        <v>46232.289780092593</v>
      </c>
      <c r="O7910" s="14" t="str">
        <f>HYPERLINK("https://otsuka-europe-crm.veevavault.com/ui/#object/email_activity__v/V8C00000004E596", "EN-002109526")</f>
        <v>EN-002109526</v>
      </c>
    </row>
    <row r="7911" spans="1:15" ht="16" x14ac:dyDescent="0.2">
      <c r="A7911" s="18" t="str">
        <f>HYPERLINK("https://otsuka-europe-crm.veevavault.com/ui/#object/account__v/V4TZ04ASGECAN7Q", "SARA LAKIS GRANELL")</f>
        <v>SARA LAKIS GRANELL</v>
      </c>
      <c r="B7911" s="18" t="str">
        <f>HYPERLINK("https://otsuka-europe-crm.veevavault.com/ui/#object/vcountry__v/VENZ000004SONF5", "ES")</f>
        <v>ES</v>
      </c>
      <c r="C7911" s="20" t="s">
        <v>39</v>
      </c>
      <c r="D7911" s="21" t="str">
        <f>HYPERLINK("https://otsuka-europe-crm.veevavault.com/ui/#object/approved_document__v/V5OZ04ASG4FWKA9", "Documento Autorizaciขn Centro Empleador")</f>
        <v>Documento Autorizaciขn Centro Empleador</v>
      </c>
      <c r="E7911" s="22" t="str">
        <f>HYPERLINK("https://otsuka-europe-crm.veevavault.com/ui/#object/sent_email__v/VBL00000003F130", "SE-001448186")</f>
        <v>SE-001448186</v>
      </c>
      <c r="F7911" s="25">
        <v>46232.45716435185</v>
      </c>
      <c r="G7911" s="24">
        <v>1</v>
      </c>
      <c r="H7911" s="24">
        <v>1</v>
      </c>
      <c r="I7911" s="24">
        <v>1</v>
      </c>
      <c r="J7911" s="25">
        <v>46232.457245370373</v>
      </c>
      <c r="K7911" s="24">
        <v>2</v>
      </c>
      <c r="L7911" s="22" t="str">
        <f>HYPERLINK("https://otsuka-europe-crm.veevavault.com/ui/#object/approved_document__v/V5OZ04ASG4FWKA9", "Documento Autorizaciขn Centro Empleador")</f>
        <v>Documento Autorizaciขn Centro Empleador</v>
      </c>
      <c r="M7911" s="22" t="str">
        <f>HYPERLINK("mailto:alegazpi@crm.otsuka-europe.com", "alegazpi@crm.otsuka-europe.com")</f>
        <v>alegazpi@crm.otsuka-europe.com</v>
      </c>
      <c r="N7911" s="25">
        <v>46232.306192129632</v>
      </c>
      <c r="O7911" s="14" t="str">
        <f>HYPERLINK("https://otsuka-europe-crm.veevavault.com/ui/#object/email_activity__v/V8C00000004D727", "EN-002109553")</f>
        <v>EN-002109553</v>
      </c>
    </row>
    <row r="7912" spans="1:15" ht="16" x14ac:dyDescent="0.2">
      <c r="A7912" s="26"/>
      <c r="B7912" s="26"/>
      <c r="C7912" s="26"/>
      <c r="D7912" s="26"/>
      <c r="E7912" s="26"/>
      <c r="F7912" s="26"/>
      <c r="G7912" s="26"/>
      <c r="H7912" s="26"/>
      <c r="I7912" s="26"/>
      <c r="J7912" s="26"/>
      <c r="K7912" s="26"/>
      <c r="L7912" s="26"/>
      <c r="M7912" s="26"/>
      <c r="N7912" s="26"/>
      <c r="O7912" s="14" t="str">
        <f>HYPERLINK("https://otsuka-europe-crm.veevavault.com/ui/#object/email_activity__v/V8C00000004D728", "EN-002109552")</f>
        <v>EN-002109552</v>
      </c>
    </row>
    <row r="7913" spans="1:15" ht="16" x14ac:dyDescent="0.2">
      <c r="A7913" s="26"/>
      <c r="B7913" s="26"/>
      <c r="C7913" s="26"/>
      <c r="D7913" s="26"/>
      <c r="E7913" s="26"/>
      <c r="F7913" s="26"/>
      <c r="G7913" s="26"/>
      <c r="H7913" s="26"/>
      <c r="I7913" s="26"/>
      <c r="J7913" s="26"/>
      <c r="K7913" s="26"/>
      <c r="L7913" s="26"/>
      <c r="M7913" s="26"/>
      <c r="N7913" s="26"/>
      <c r="O7913" s="14" t="str">
        <f>HYPERLINK("https://otsuka-europe-crm.veevavault.com/ui/#object/email_activity__v/V8C00000004E597", "EN-002109528")</f>
        <v>EN-002109528</v>
      </c>
    </row>
    <row r="7914" spans="1:15" ht="16" x14ac:dyDescent="0.2">
      <c r="A7914" s="19"/>
      <c r="B7914" s="19"/>
      <c r="C7914" s="19"/>
      <c r="D7914" s="19"/>
      <c r="E7914" s="19"/>
      <c r="F7914" s="19"/>
      <c r="G7914" s="19"/>
      <c r="H7914" s="19"/>
      <c r="I7914" s="19"/>
      <c r="J7914" s="19"/>
      <c r="K7914" s="19"/>
      <c r="L7914" s="19"/>
      <c r="M7914" s="19"/>
      <c r="N7914" s="19"/>
      <c r="O7914" s="14" t="str">
        <f>HYPERLINK("https://otsuka-europe-crm.veevavault.com/ui/#object/email_activity__v/V8C00000004E608", "EN-002109554")</f>
        <v>EN-002109554</v>
      </c>
    </row>
    <row r="7915" spans="1:15" ht="32" x14ac:dyDescent="0.2">
      <c r="A7915" s="7" t="str">
        <f>HYPERLINK("https://otsuka-europe-crm.veevavault.com/ui/#object/account__v/V4TZ04ASGECAN7Q", "SARA LAKIS GRANELL")</f>
        <v>SARA LAKIS GRANELL</v>
      </c>
      <c r="B7915" s="7" t="str">
        <f>HYPERLINK("https://otsuka-europe-crm.veevavault.com/ui/#object/vcountry__v/VENZ000004SONF5", "ES")</f>
        <v>ES</v>
      </c>
      <c r="C7915" s="8" t="s">
        <v>39</v>
      </c>
      <c r="D7915" s="9" t="str">
        <f>HYPERLINK("https://otsuka-europe-crm.veevavault.com/ui/#object/approved_document__v/V5OZ04ASG4FWKA9", "Documento Autorizaciขn Centro Empleador")</f>
        <v>Documento Autorizaciขn Centro Empleador</v>
      </c>
      <c r="E7915" s="10" t="str">
        <f>HYPERLINK("https://otsuka-europe-crm.veevavault.com/ui/#object/sent_email__v/VBL00000003F131", "SE-001448187")</f>
        <v>SE-001448187</v>
      </c>
      <c r="F7915" s="11"/>
      <c r="G7915" s="12">
        <v>0</v>
      </c>
      <c r="H7915" s="12">
        <v>0</v>
      </c>
      <c r="I7915" s="12">
        <v>0</v>
      </c>
      <c r="J7915" s="11"/>
      <c r="K7915" s="12">
        <v>0</v>
      </c>
      <c r="L7915" s="10" t="str">
        <f>HYPERLINK("https://otsuka-europe-crm.veevavault.com/ui/#object/approved_document__v/V5OZ04ASG4FWKA9", "Documento Autorizaciขn Centro Empleador")</f>
        <v>Documento Autorizaciขn Centro Empleador</v>
      </c>
      <c r="M7915" s="10" t="str">
        <f>HYPERLINK("mailto:alegazpi@crm.otsuka-europe.com", "alegazpi@crm.otsuka-europe.com")</f>
        <v>alegazpi@crm.otsuka-europe.com</v>
      </c>
      <c r="N7915" s="13">
        <v>46232.306192129632</v>
      </c>
      <c r="O7915" s="14" t="str">
        <f>HYPERLINK("https://otsuka-europe-crm.veevavault.com/ui/#object/email_activity__v/V8C00000004E598", "EN-002109529")</f>
        <v>EN-002109529</v>
      </c>
    </row>
    <row r="7916" spans="1:15" ht="48" x14ac:dyDescent="0.2">
      <c r="A7916" s="7" t="str">
        <f>HYPERLINK("https://otsuka-europe-crm.veevavault.com/ui/#object/account__v/V4TZ025E82N3KYM", "MIGUEL ANDIA DIEZ")</f>
        <v>MIGUEL ANDIA DIEZ</v>
      </c>
      <c r="B7916" s="7" t="str">
        <f>HYPERLINK("https://otsuka-europe-crm.veevavault.com/ui/#object/vcountry__v/VENZ000004SONF5", "ES")</f>
        <v>ES</v>
      </c>
      <c r="C7916" s="8" t="s">
        <v>39</v>
      </c>
      <c r="D7916" s="9" t="str">
        <f>HYPERLINK("https://otsuka-europe-crm.veevavault.com/ui/#object/approved_document__v/V5O00000000R009", "AM2M - PSIQUIATRIA - Guía manejo práctico AM2M")</f>
        <v>AM2M - PSIQUIATRIA - Guía manejo práctico AM2M</v>
      </c>
      <c r="E7916" s="10" t="str">
        <f>HYPERLINK("https://otsuka-europe-crm.veevavault.com/ui/#object/sent_email__v/VBL00000003E241", "SE-001448188")</f>
        <v>SE-001448188</v>
      </c>
      <c r="F7916" s="11"/>
      <c r="G7916" s="12">
        <v>0</v>
      </c>
      <c r="H7916" s="12">
        <v>0</v>
      </c>
      <c r="I7916" s="12">
        <v>0</v>
      </c>
      <c r="J7916" s="11"/>
      <c r="K7916" s="12">
        <v>0</v>
      </c>
      <c r="L7916" s="10" t="str">
        <f>HYPERLINK("https://otsuka-europe-crm.veevavault.com/ui/#object/approved_document__v/V5O00000000R009", "AM2M - PSIQUIATRIA - Guía manejo práctico AM2M")</f>
        <v>AM2M - PSIQUIATRIA - Guía manejo práctico AM2M</v>
      </c>
      <c r="M7916" s="10" t="str">
        <f>HYPERLINK("mailto:fdiaz@crm.otsuka-europe.com", "fdiaz@crm.otsuka-europe.com")</f>
        <v>fdiaz@crm.otsuka-europe.com</v>
      </c>
      <c r="N7916" s="13">
        <v>46232.345983796295</v>
      </c>
      <c r="O7916" s="14" t="str">
        <f>HYPERLINK("https://otsuka-europe-crm.veevavault.com/ui/#object/email_activity__v/V8C00000004E600", "EN-002109532")</f>
        <v>EN-002109532</v>
      </c>
    </row>
    <row r="7917" spans="1:15" ht="80" x14ac:dyDescent="0.2">
      <c r="A7917" s="7" t="str">
        <f>HYPERLINK("https://otsuka-europe-crm.veevavault.com/ui/#object/account__v/V4TZ06G6O71TFZI", "CINZIA SARLATTO")</f>
        <v>CINZIA SARLATTO</v>
      </c>
      <c r="B7917" s="7" t="str">
        <f>HYPERLINK("https://otsuka-europe-crm.veevavault.com/ui/#object/vcountry__v/VENZ000004SONFQ", "IT")</f>
        <v>IT</v>
      </c>
      <c r="C7917" s="8" t="s">
        <v>42</v>
      </c>
      <c r="D7917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17" s="10" t="str">
        <f>HYPERLINK("https://otsuka-europe-crm.veevavault.com/ui/#object/sent_email__v/VBL00000003F132", "SE-001448189")</f>
        <v>SE-001448189</v>
      </c>
      <c r="F7917" s="11"/>
      <c r="G7917" s="12">
        <v>0</v>
      </c>
      <c r="H7917" s="12">
        <v>0</v>
      </c>
      <c r="I7917" s="12">
        <v>0</v>
      </c>
      <c r="J7917" s="11"/>
      <c r="K7917" s="12">
        <v>0</v>
      </c>
      <c r="L7917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17" s="10" t="str">
        <f>HYPERLINK("mailto:paola.braconi@crm.otsuka-europe.com", "paola.braconi@crm.otsuka-europe.com")</f>
        <v>paola.braconi@crm.otsuka-europe.com</v>
      </c>
      <c r="N7917" s="13">
        <v>46232.401319444441</v>
      </c>
      <c r="O7917" s="14" t="str">
        <f>HYPERLINK("https://otsuka-europe-crm.veevavault.com/ui/#object/email_activity__v/V8C00000004D718", "EN-002109537")</f>
        <v>EN-002109537</v>
      </c>
    </row>
    <row r="7918" spans="1:15" ht="16" x14ac:dyDescent="0.2">
      <c r="A7918" s="18" t="str">
        <f>HYPERLINK("https://otsuka-europe-crm.veevavault.com/ui/#object/account__v/V4TZ04ASGC2TUWU", "ELENA FERNANDEZ DE SANTIAGO")</f>
        <v>ELENA FERNANDEZ DE SANTIAGO</v>
      </c>
      <c r="B7918" s="18" t="str">
        <f>HYPERLINK("https://otsuka-europe-crm.veevavault.com/ui/#object/vcountry__v/VENZ000004SONF5", "ES")</f>
        <v>ES</v>
      </c>
      <c r="C7918" s="20" t="s">
        <v>39</v>
      </c>
      <c r="D7918" s="21" t="str">
        <f>HYPERLINK("https://otsuka-europe-crm.veevavault.com/ui/#object/approved_document__v/V5OZ04ASG4FWKA9", "Documento Autorizaciขn Centro Empleador")</f>
        <v>Documento Autorizaciขn Centro Empleador</v>
      </c>
      <c r="E7918" s="22" t="str">
        <f>HYPERLINK("https://otsuka-europe-crm.veevavault.com/ui/#object/sent_email__v/VBL00000003E242", "SE-001448190")</f>
        <v>SE-001448190</v>
      </c>
      <c r="F7918" s="25">
        <v>46232.457997685182</v>
      </c>
      <c r="G7918" s="24">
        <v>1</v>
      </c>
      <c r="H7918" s="24">
        <v>1</v>
      </c>
      <c r="I7918" s="24">
        <v>1</v>
      </c>
      <c r="J7918" s="25">
        <v>46232.458368055559</v>
      </c>
      <c r="K7918" s="24">
        <v>2</v>
      </c>
      <c r="L7918" s="22" t="str">
        <f>HYPERLINK("https://otsuka-europe-crm.veevavault.com/ui/#object/approved_document__v/V5OZ04ASG4FWKA9", "Documento Autorizaciขn Centro Empleador")</f>
        <v>Documento Autorizaciขn Centro Empleador</v>
      </c>
      <c r="M7918" s="22" t="str">
        <f>HYPERLINK("mailto:rmartinez@crm.otsuka-europe.com", "rmartinez@crm.otsuka-europe.com")</f>
        <v>rmartinez@crm.otsuka-europe.com</v>
      </c>
      <c r="N7918" s="25">
        <v>46232.450925925928</v>
      </c>
      <c r="O7918" s="14" t="str">
        <f>HYPERLINK("https://otsuka-europe-crm.veevavault.com/ui/#object/email_activity__v/V8C00000004D724", "EN-002109549")</f>
        <v>EN-002109549</v>
      </c>
    </row>
    <row r="7919" spans="1:15" ht="16" x14ac:dyDescent="0.2">
      <c r="A7919" s="26"/>
      <c r="B7919" s="26"/>
      <c r="C7919" s="26"/>
      <c r="D7919" s="26"/>
      <c r="E7919" s="26"/>
      <c r="F7919" s="26"/>
      <c r="G7919" s="26"/>
      <c r="H7919" s="26"/>
      <c r="I7919" s="26"/>
      <c r="J7919" s="26"/>
      <c r="K7919" s="26"/>
      <c r="L7919" s="26"/>
      <c r="M7919" s="26"/>
      <c r="N7919" s="26"/>
      <c r="O7919" s="14" t="str">
        <f>HYPERLINK("https://otsuka-europe-crm.veevavault.com/ui/#object/email_activity__v/V8C00000004D730", "EN-002109557")</f>
        <v>EN-002109557</v>
      </c>
    </row>
    <row r="7920" spans="1:15" ht="16" x14ac:dyDescent="0.2">
      <c r="A7920" s="26"/>
      <c r="B7920" s="26"/>
      <c r="C7920" s="26"/>
      <c r="D7920" s="26"/>
      <c r="E7920" s="26"/>
      <c r="F7920" s="26"/>
      <c r="G7920" s="26"/>
      <c r="H7920" s="26"/>
      <c r="I7920" s="26"/>
      <c r="J7920" s="26"/>
      <c r="K7920" s="26"/>
      <c r="L7920" s="26"/>
      <c r="M7920" s="26"/>
      <c r="N7920" s="26"/>
      <c r="O7920" s="14" t="str">
        <f>HYPERLINK("https://otsuka-europe-crm.veevavault.com/ui/#object/email_activity__v/V8C00000004D731", "EN-002109556")</f>
        <v>EN-002109556</v>
      </c>
    </row>
    <row r="7921" spans="1:15" ht="16" x14ac:dyDescent="0.2">
      <c r="A7921" s="19"/>
      <c r="B7921" s="19"/>
      <c r="C7921" s="19"/>
      <c r="D7921" s="19"/>
      <c r="E7921" s="19"/>
      <c r="F7921" s="19"/>
      <c r="G7921" s="19"/>
      <c r="H7921" s="19"/>
      <c r="I7921" s="19"/>
      <c r="J7921" s="19"/>
      <c r="K7921" s="19"/>
      <c r="L7921" s="19"/>
      <c r="M7921" s="19"/>
      <c r="N7921" s="19"/>
      <c r="O7921" s="14" t="str">
        <f>HYPERLINK("https://otsuka-europe-crm.veevavault.com/ui/#object/email_activity__v/V8C00000004E610", "EN-002109559")</f>
        <v>EN-002109559</v>
      </c>
    </row>
    <row r="7922" spans="1:15" ht="48" x14ac:dyDescent="0.2">
      <c r="A7922" s="7" t="str">
        <f>HYPERLINK("https://otsuka-europe-crm.veevavault.com/ui/#object/account__v/V4TZ06G6O71TFZI", "CINZIA SARLATTO")</f>
        <v>CINZIA SARLATTO</v>
      </c>
      <c r="B7922" s="7" t="str">
        <f>HYPERLINK("https://otsuka-europe-crm.veevavault.com/ui/#object/vcountry__v/VENZ000004SONFQ", "IT")</f>
        <v>IT</v>
      </c>
      <c r="C7922" s="8" t="s">
        <v>42</v>
      </c>
      <c r="D7922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7922" s="10" t="str">
        <f>HYPERLINK("https://otsuka-europe-crm.veevavault.com/ui/#object/sent_email__v/VBL00000003E243", "SE-001448191")</f>
        <v>SE-001448191</v>
      </c>
      <c r="F7922" s="11"/>
      <c r="G7922" s="12">
        <v>0</v>
      </c>
      <c r="H7922" s="12">
        <v>0</v>
      </c>
      <c r="I7922" s="12">
        <v>0</v>
      </c>
      <c r="J7922" s="11"/>
      <c r="K7922" s="12">
        <v>0</v>
      </c>
      <c r="L7922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7922" s="10" t="str">
        <f>HYPERLINK("mailto:paola.braconi@crm.otsuka-europe.com", "paola.braconi@crm.otsuka-europe.com")</f>
        <v>paola.braconi@crm.otsuka-europe.com</v>
      </c>
      <c r="N7922" s="13">
        <v>46232.453032407408</v>
      </c>
      <c r="O7922" s="14" t="str">
        <f>HYPERLINK("https://otsuka-europe-crm.veevavault.com/ui/#object/email_activity__v/V8C00000004D725", "EN-002109550")</f>
        <v>EN-002109550</v>
      </c>
    </row>
    <row r="7923" spans="1:15" ht="48" x14ac:dyDescent="0.2">
      <c r="A7923" s="7" t="str">
        <f>HYPERLINK("https://otsuka-europe-crm.veevavault.com/ui/#object/account__v/V4TZ06G6O71SB4Z", "ANNA COMPARELLI")</f>
        <v>ANNA COMPARELLI</v>
      </c>
      <c r="B7923" s="7" t="str">
        <f>HYPERLINK("https://otsuka-europe-crm.veevavault.com/ui/#object/vcountry__v/VENZ000004SONFQ", "IT")</f>
        <v>IT</v>
      </c>
      <c r="C7923" s="8" t="s">
        <v>42</v>
      </c>
      <c r="D7923" s="9" t="str">
        <f>HYPERLINK("https://otsuka-europe-crm.veevavault.com/ui/#object/approved_document__v/V5OZ025E82UFNWM", "ABILIFY 960720_Branded_AE Fagiolini_IT-AM2-2500131")</f>
        <v>ABILIFY 960720_Branded_AE Fagiolini_IT-AM2-2500131</v>
      </c>
      <c r="E7923" s="10" t="str">
        <f>HYPERLINK("https://otsuka-europe-crm.veevavault.com/ui/#object/sent_email__v/VBL00000003E244", "SE-001448192")</f>
        <v>SE-001448192</v>
      </c>
      <c r="F7923" s="11"/>
      <c r="G7923" s="12">
        <v>0</v>
      </c>
      <c r="H7923" s="12">
        <v>0</v>
      </c>
      <c r="I7923" s="12">
        <v>0</v>
      </c>
      <c r="J7923" s="11"/>
      <c r="K7923" s="12">
        <v>0</v>
      </c>
      <c r="L7923" s="10" t="str">
        <f>HYPERLINK("https://otsuka-europe-crm.veevavault.com/ui/#object/approved_document__v/V5OZ025E82UFNWM", "ABILIFY 960720_Branded_AE Fagiolini_IT-AM2-2500131")</f>
        <v>ABILIFY 960720_Branded_AE Fagiolini_IT-AM2-2500131</v>
      </c>
      <c r="M7923" s="10" t="str">
        <f>HYPERLINK("mailto:paola.braconi@crm.otsuka-europe.com", "paola.braconi@crm.otsuka-europe.com")</f>
        <v>paola.braconi@crm.otsuka-europe.com</v>
      </c>
      <c r="N7923" s="13">
        <v>46232.453668981485</v>
      </c>
      <c r="O7923" s="14" t="str">
        <f>HYPERLINK("https://otsuka-europe-crm.veevavault.com/ui/#object/email_activity__v/V8C00000004D726", "EN-002109551")</f>
        <v>EN-002109551</v>
      </c>
    </row>
    <row r="7924" spans="1:15" ht="80" x14ac:dyDescent="0.2">
      <c r="A7924" s="7" t="str">
        <f>HYPERLINK("https://otsuka-europe-crm.veevavault.com/ui/#object/account__v/V4TZ06G6O71S9SF", "CECILIA FUSCO")</f>
        <v>CECILIA FUSCO</v>
      </c>
      <c r="B7924" s="7" t="str">
        <f>HYPERLINK("https://otsuka-europe-crm.veevavault.com/ui/#object/vcountry__v/VENZ000004SONFQ", "IT")</f>
        <v>IT</v>
      </c>
      <c r="C7924" s="8" t="s">
        <v>42</v>
      </c>
      <c r="D7924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24" s="10" t="str">
        <f>HYPERLINK("https://otsuka-europe-crm.veevavault.com/ui/#object/sent_email__v/VBL00000003F133", "SE-001448193")</f>
        <v>SE-001448193</v>
      </c>
      <c r="F7924" s="11"/>
      <c r="G7924" s="12">
        <v>0</v>
      </c>
      <c r="H7924" s="12">
        <v>0</v>
      </c>
      <c r="I7924" s="12">
        <v>0</v>
      </c>
      <c r="J7924" s="11"/>
      <c r="K7924" s="12">
        <v>0</v>
      </c>
      <c r="L7924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24" s="10" t="str">
        <f>HYPERLINK("mailto:paola.braconi@crm.otsuka-europe.com", "paola.braconi@crm.otsuka-europe.com")</f>
        <v>paola.braconi@crm.otsuka-europe.com</v>
      </c>
      <c r="N7924" s="13">
        <v>46232.458032407405</v>
      </c>
      <c r="O7924" s="14" t="str">
        <f>HYPERLINK("https://otsuka-europe-crm.veevavault.com/ui/#object/email_activity__v/V8C00000004D729", "EN-002109555")</f>
        <v>EN-002109555</v>
      </c>
    </row>
    <row r="7925" spans="1:15" ht="16" x14ac:dyDescent="0.2">
      <c r="A7925" s="18" t="str">
        <f>HYPERLINK("https://otsuka-europe-crm.veevavault.com/ui/#object/account__v/V4TZ06G6O71SC3C", "ANGELO RICCIARDI")</f>
        <v>ANGELO RICCIARDI</v>
      </c>
      <c r="B7925" s="18" t="str">
        <f>HYPERLINK("https://otsuka-europe-crm.veevavault.com/ui/#object/vcountry__v/VENZ000004SONFQ", "IT")</f>
        <v>IT</v>
      </c>
      <c r="C7925" s="20" t="s">
        <v>42</v>
      </c>
      <c r="D7925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25" s="22" t="str">
        <f>HYPERLINK("https://otsuka-europe-crm.veevavault.com/ui/#object/sent_email__v/VBL00000003F134", "SE-001448194")</f>
        <v>SE-001448194</v>
      </c>
      <c r="F7925" s="25">
        <v>46233.814097222225</v>
      </c>
      <c r="G7925" s="24">
        <v>1</v>
      </c>
      <c r="H7925" s="24">
        <v>2</v>
      </c>
      <c r="I7925" s="24">
        <v>0</v>
      </c>
      <c r="J7925" s="23"/>
      <c r="K7925" s="24">
        <v>0</v>
      </c>
      <c r="L7925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25" s="22" t="str">
        <f>HYPERLINK("mailto:paola.braconi@crm.otsuka-europe.com", "paola.braconi@crm.otsuka-europe.com")</f>
        <v>paola.braconi@crm.otsuka-europe.com</v>
      </c>
      <c r="N7925" s="25">
        <v>46232.458240740743</v>
      </c>
      <c r="O7925" s="14" t="str">
        <f>HYPERLINK("https://otsuka-europe-crm.veevavault.com/ui/#object/email_activity__v/V8C00000004D741", "EN-002109586")</f>
        <v>EN-002109586</v>
      </c>
    </row>
    <row r="7926" spans="1:15" ht="16" x14ac:dyDescent="0.2">
      <c r="A7926" s="26"/>
      <c r="B7926" s="26"/>
      <c r="C7926" s="26"/>
      <c r="D7926" s="26"/>
      <c r="E7926" s="26"/>
      <c r="F7926" s="26"/>
      <c r="G7926" s="26"/>
      <c r="H7926" s="26"/>
      <c r="I7926" s="26"/>
      <c r="J7926" s="26"/>
      <c r="K7926" s="26"/>
      <c r="L7926" s="26"/>
      <c r="M7926" s="26"/>
      <c r="N7926" s="26"/>
      <c r="O7926" s="14" t="str">
        <f>HYPERLINK("https://otsuka-europe-crm.veevavault.com/ui/#object/email_activity__v/V8C00000004E609", "EN-002109558")</f>
        <v>EN-002109558</v>
      </c>
    </row>
    <row r="7927" spans="1:15" ht="16" x14ac:dyDescent="0.2">
      <c r="A7927" s="26"/>
      <c r="B7927" s="26"/>
      <c r="C7927" s="26"/>
      <c r="D7927" s="26"/>
      <c r="E7927" s="26"/>
      <c r="F7927" s="26"/>
      <c r="G7927" s="26"/>
      <c r="H7927" s="26"/>
      <c r="I7927" s="26"/>
      <c r="J7927" s="26"/>
      <c r="K7927" s="26"/>
      <c r="L7927" s="26"/>
      <c r="M7927" s="26"/>
      <c r="N7927" s="26"/>
      <c r="O7927" s="14" t="str">
        <f>HYPERLINK("https://otsuka-europe-crm.veevavault.com/ui/#object/email_activity__v/V8C00000004E643", "EN-002109613")</f>
        <v>EN-002109613</v>
      </c>
    </row>
    <row r="7928" spans="1:15" ht="16" x14ac:dyDescent="0.2">
      <c r="A7928" s="19"/>
      <c r="B7928" s="19"/>
      <c r="C7928" s="19"/>
      <c r="D7928" s="19"/>
      <c r="E7928" s="19"/>
      <c r="F7928" s="19"/>
      <c r="G7928" s="19"/>
      <c r="H7928" s="19"/>
      <c r="I7928" s="19"/>
      <c r="J7928" s="19"/>
      <c r="K7928" s="19"/>
      <c r="L7928" s="19"/>
      <c r="M7928" s="19"/>
      <c r="N7928" s="19"/>
      <c r="O7928" s="14" t="str">
        <f>HYPERLINK("https://otsuka-europe-crm.veevavault.com/ui/#object/email_activity__v/V8C00000004F001", "EN-002109787")</f>
        <v>EN-002109787</v>
      </c>
    </row>
    <row r="7929" spans="1:15" ht="16" x14ac:dyDescent="0.2">
      <c r="A7929" s="18" t="str">
        <f>HYPERLINK("https://otsuka-europe-crm.veevavault.com/ui/#object/account__v/V4TZ06G6O71TFX9", "TIZIANA NIRCHI")</f>
        <v>TIZIANA NIRCHI</v>
      </c>
      <c r="B7929" s="18" t="str">
        <f>HYPERLINK("https://otsuka-europe-crm.veevavault.com/ui/#object/vcountry__v/VENZ000004SONFQ", "IT")</f>
        <v>IT</v>
      </c>
      <c r="C7929" s="20" t="s">
        <v>42</v>
      </c>
      <c r="D7929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29" s="22" t="str">
        <f>HYPERLINK("https://otsuka-europe-crm.veevavault.com/ui/#object/sent_email__v/VBL00000003F135", "SE-001448195")</f>
        <v>SE-001448195</v>
      </c>
      <c r="F7929" s="23"/>
      <c r="G7929" s="24">
        <v>0</v>
      </c>
      <c r="H7929" s="24">
        <v>0</v>
      </c>
      <c r="I7929" s="24">
        <v>0</v>
      </c>
      <c r="J7929" s="23"/>
      <c r="K7929" s="24">
        <v>0</v>
      </c>
      <c r="L7929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29" s="22" t="str">
        <f>HYPERLINK("mailto:paola.braconi@crm.otsuka-europe.com", "paola.braconi@crm.otsuka-europe.com")</f>
        <v>paola.braconi@crm.otsuka-europe.com</v>
      </c>
      <c r="N7929" s="25">
        <v>46232.458541666667</v>
      </c>
      <c r="O7929" s="14" t="str">
        <f>HYPERLINK("https://otsuka-europe-crm.veevavault.com/ui/#object/email_activity__v/V8C00000004E611", "EN-002109560")</f>
        <v>EN-002109560</v>
      </c>
    </row>
    <row r="7930" spans="1:15" ht="16" x14ac:dyDescent="0.2">
      <c r="A7930" s="19"/>
      <c r="B7930" s="19"/>
      <c r="C7930" s="19"/>
      <c r="D7930" s="19"/>
      <c r="E7930" s="19"/>
      <c r="F7930" s="19"/>
      <c r="G7930" s="19"/>
      <c r="H7930" s="19"/>
      <c r="I7930" s="19"/>
      <c r="J7930" s="19"/>
      <c r="K7930" s="19"/>
      <c r="L7930" s="19"/>
      <c r="M7930" s="19"/>
      <c r="N7930" s="19"/>
      <c r="O7930" s="14" t="str">
        <f>HYPERLINK("https://otsuka-europe-crm.veevavault.com/ui/#object/email_activity__v/V8C00000004E619", "EN-002109569")</f>
        <v>EN-002109569</v>
      </c>
    </row>
    <row r="7931" spans="1:15" ht="48" x14ac:dyDescent="0.2">
      <c r="A7931" s="7" t="str">
        <f>HYPERLINK("https://otsuka-europe-crm.veevavault.com/ui/#object/account__v/V4TZ06G6O71SBV7", "VALERIA PASQUALONI")</f>
        <v>VALERIA PASQUALONI</v>
      </c>
      <c r="B7931" s="7" t="str">
        <f>HYPERLINK("https://otsuka-europe-crm.veevavault.com/ui/#object/vcountry__v/VENZ000004SONFQ", "IT")</f>
        <v>IT</v>
      </c>
      <c r="C7931" s="8" t="s">
        <v>42</v>
      </c>
      <c r="D7931" s="9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E7931" s="10" t="str">
        <f>HYPERLINK("https://otsuka-europe-crm.veevavault.com/ui/#object/sent_email__v/VBL00000003E245", "SE-001448196")</f>
        <v>SE-001448196</v>
      </c>
      <c r="F7931" s="11"/>
      <c r="G7931" s="12">
        <v>0</v>
      </c>
      <c r="H7931" s="12">
        <v>0</v>
      </c>
      <c r="I7931" s="12">
        <v>0</v>
      </c>
      <c r="J7931" s="11"/>
      <c r="K7931" s="12">
        <v>0</v>
      </c>
      <c r="L7931" s="10" t="str">
        <f>HYPERLINK("https://otsuka-europe-crm.veevavault.com/ui/#object/approved_document__v/V5O00000001H009", "RXULTI_Branded_ DE FILIPPIS aggiornamento_ IT-RXU-2600020")</f>
        <v>RXULTI_Branded_ DE FILIPPIS aggiornamento_ IT-RXU-2600020</v>
      </c>
      <c r="M7931" s="10" t="str">
        <f>HYPERLINK("mailto:paola.braconi@crm.otsuka-europe.com", "paola.braconi@crm.otsuka-europe.com")</f>
        <v>paola.braconi@crm.otsuka-europe.com</v>
      </c>
      <c r="N7931" s="13">
        <v>46232.459236111114</v>
      </c>
      <c r="O7931" s="14" t="str">
        <f>HYPERLINK("https://otsuka-europe-crm.veevavault.com/ui/#object/email_activity__v/V8C00000004E612", "EN-002109561")</f>
        <v>EN-002109561</v>
      </c>
    </row>
    <row r="7932" spans="1:15" ht="16" x14ac:dyDescent="0.2">
      <c r="A7932" s="18" t="str">
        <f>HYPERLINK("https://otsuka-europe-crm.veevavault.com/ui/#object/account__v/V4TZ06G6O71SB6Z", "CARMELO SALVATORE LA ROSA")</f>
        <v>CARMELO SALVATORE LA ROSA</v>
      </c>
      <c r="B7932" s="18" t="str">
        <f>HYPERLINK("https://otsuka-europe-crm.veevavault.com/ui/#object/vcountry__v/VENZ000004SONFQ", "IT")</f>
        <v>IT</v>
      </c>
      <c r="C7932" s="20" t="s">
        <v>42</v>
      </c>
      <c r="D7932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32" s="22" t="str">
        <f>HYPERLINK("https://otsuka-europe-crm.veevavault.com/ui/#object/sent_email__v/VBL00000003E246", "SE-001448197")</f>
        <v>SE-001448197</v>
      </c>
      <c r="F7932" s="23"/>
      <c r="G7932" s="24">
        <v>0</v>
      </c>
      <c r="H7932" s="24">
        <v>0</v>
      </c>
      <c r="I7932" s="24">
        <v>0</v>
      </c>
      <c r="J7932" s="23"/>
      <c r="K7932" s="24">
        <v>0</v>
      </c>
      <c r="L7932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32" s="22" t="str">
        <f>HYPERLINK("mailto:paola.braconi@crm.otsuka-europe.com", "paola.braconi@crm.otsuka-europe.com")</f>
        <v>paola.braconi@crm.otsuka-europe.com</v>
      </c>
      <c r="N7932" s="25">
        <v>46232.459467592591</v>
      </c>
      <c r="O7932" s="14" t="str">
        <f>HYPERLINK("https://otsuka-europe-crm.veevavault.com/ui/#object/email_activity__v/V8C00000004D740", "EN-002109584")</f>
        <v>EN-002109584</v>
      </c>
    </row>
    <row r="7933" spans="1:15" ht="16" x14ac:dyDescent="0.2">
      <c r="A7933" s="26"/>
      <c r="B7933" s="26"/>
      <c r="C7933" s="26"/>
      <c r="D7933" s="26"/>
      <c r="E7933" s="26"/>
      <c r="F7933" s="26"/>
      <c r="G7933" s="26"/>
      <c r="H7933" s="26"/>
      <c r="I7933" s="26"/>
      <c r="J7933" s="26"/>
      <c r="K7933" s="26"/>
      <c r="L7933" s="26"/>
      <c r="M7933" s="26"/>
      <c r="N7933" s="26"/>
      <c r="O7933" s="14" t="str">
        <f>HYPERLINK("https://otsuka-europe-crm.veevavault.com/ui/#object/email_activity__v/V8C00000004E613", "EN-002109562")</f>
        <v>EN-002109562</v>
      </c>
    </row>
    <row r="7934" spans="1:15" ht="16" x14ac:dyDescent="0.2">
      <c r="A7934" s="19"/>
      <c r="B7934" s="19"/>
      <c r="C7934" s="19"/>
      <c r="D7934" s="19"/>
      <c r="E7934" s="19"/>
      <c r="F7934" s="19"/>
      <c r="G7934" s="19"/>
      <c r="H7934" s="19"/>
      <c r="I7934" s="19"/>
      <c r="J7934" s="19"/>
      <c r="K7934" s="19"/>
      <c r="L7934" s="19"/>
      <c r="M7934" s="19"/>
      <c r="N7934" s="19"/>
      <c r="O7934" s="14" t="str">
        <f>HYPERLINK("https://otsuka-europe-crm.veevavault.com/ui/#object/email_activity__v/V8C00000004F002", "EN-002109790")</f>
        <v>EN-002109790</v>
      </c>
    </row>
    <row r="7935" spans="1:15" ht="16" x14ac:dyDescent="0.2">
      <c r="A7935" s="18" t="str">
        <f>HYPERLINK("https://otsuka-europe-crm.veevavault.com/ui/#object/account__v/V4TZ06G6O71S9BV", "LUCIANA D'AGOSTINO")</f>
        <v>LUCIANA D'AGOSTINO</v>
      </c>
      <c r="B7935" s="18" t="str">
        <f>HYPERLINK("https://otsuka-europe-crm.veevavault.com/ui/#object/vcountry__v/VENZ000004SONFQ", "IT")</f>
        <v>IT</v>
      </c>
      <c r="C7935" s="20" t="s">
        <v>42</v>
      </c>
      <c r="D7935" s="21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35" s="22" t="str">
        <f>HYPERLINK("https://otsuka-europe-crm.veevavault.com/ui/#object/sent_email__v/VBL00000003F136", "SE-001448198")</f>
        <v>SE-001448198</v>
      </c>
      <c r="F7935" s="23"/>
      <c r="G7935" s="24">
        <v>0</v>
      </c>
      <c r="H7935" s="24">
        <v>0</v>
      </c>
      <c r="I7935" s="24">
        <v>0</v>
      </c>
      <c r="J7935" s="23"/>
      <c r="K7935" s="24">
        <v>0</v>
      </c>
      <c r="L7935" s="22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35" s="22" t="str">
        <f>HYPERLINK("mailto:paola.braconi@crm.otsuka-europe.com", "paola.braconi@crm.otsuka-europe.com")</f>
        <v>paola.braconi@crm.otsuka-europe.com</v>
      </c>
      <c r="N7935" s="25">
        <v>46232.459768518522</v>
      </c>
      <c r="O7935" s="14" t="str">
        <f>HYPERLINK("https://otsuka-europe-crm.veevavault.com/ui/#object/email_activity__v/V8C00000004D754", "EN-002109609")</f>
        <v>EN-002109609</v>
      </c>
    </row>
    <row r="7936" spans="1:15" ht="16" x14ac:dyDescent="0.2">
      <c r="A7936" s="26"/>
      <c r="B7936" s="26"/>
      <c r="C7936" s="26"/>
      <c r="D7936" s="26"/>
      <c r="E7936" s="26"/>
      <c r="F7936" s="26"/>
      <c r="G7936" s="26"/>
      <c r="H7936" s="26"/>
      <c r="I7936" s="26"/>
      <c r="J7936" s="26"/>
      <c r="K7936" s="26"/>
      <c r="L7936" s="26"/>
      <c r="M7936" s="26"/>
      <c r="N7936" s="26"/>
      <c r="O7936" s="14" t="str">
        <f>HYPERLINK("https://otsuka-europe-crm.veevavault.com/ui/#object/email_activity__v/V8C00000004E614", "EN-002109563")</f>
        <v>EN-002109563</v>
      </c>
    </row>
    <row r="7937" spans="1:15" ht="16" x14ac:dyDescent="0.2">
      <c r="A7937" s="19"/>
      <c r="B7937" s="19"/>
      <c r="C7937" s="19"/>
      <c r="D7937" s="19"/>
      <c r="E7937" s="19"/>
      <c r="F7937" s="19"/>
      <c r="G7937" s="19"/>
      <c r="H7937" s="19"/>
      <c r="I7937" s="19"/>
      <c r="J7937" s="19"/>
      <c r="K7937" s="19"/>
      <c r="L7937" s="19"/>
      <c r="M7937" s="19"/>
      <c r="N7937" s="19"/>
      <c r="O7937" s="14" t="str">
        <f>HYPERLINK("https://otsuka-europe-crm.veevavault.com/ui/#object/email_activity__v/V8C00000004H354", "EN-002111574")</f>
        <v>EN-002111574</v>
      </c>
    </row>
    <row r="7938" spans="1:15" ht="80" x14ac:dyDescent="0.2">
      <c r="A7938" s="7" t="str">
        <f>HYPERLINK("https://otsuka-europe-crm.veevavault.com/ui/#object/account__v/V4T000000011150", "MARTINA MARINO")</f>
        <v>MARTINA MARINO</v>
      </c>
      <c r="B7938" s="7" t="str">
        <f>HYPERLINK("https://otsuka-europe-crm.veevavault.com/ui/#object/vcountry__v/VENZ000004SONFQ", "IT")</f>
        <v>IT</v>
      </c>
      <c r="C7938" s="8" t="s">
        <v>42</v>
      </c>
      <c r="D7938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38" s="10" t="str">
        <f>HYPERLINK("https://otsuka-europe-crm.veevavault.com/ui/#object/sent_email__v/VBL00000003E247", "SE-001448199")</f>
        <v>SE-001448199</v>
      </c>
      <c r="F7938" s="11"/>
      <c r="G7938" s="12">
        <v>0</v>
      </c>
      <c r="H7938" s="12">
        <v>0</v>
      </c>
      <c r="I7938" s="12">
        <v>0</v>
      </c>
      <c r="J7938" s="11"/>
      <c r="K7938" s="12">
        <v>0</v>
      </c>
      <c r="L7938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38" s="10" t="str">
        <f>HYPERLINK("mailto:paola.braconi@crm.otsuka-europe.com", "paola.braconi@crm.otsuka-europe.com")</f>
        <v>paola.braconi@crm.otsuka-europe.com</v>
      </c>
      <c r="N7938" s="13">
        <v>46232.459976851853</v>
      </c>
      <c r="O7938" s="14" t="str">
        <f>HYPERLINK("https://otsuka-europe-crm.veevavault.com/ui/#object/email_activity__v/V8C00000004E615", "EN-002109564")</f>
        <v>EN-002109564</v>
      </c>
    </row>
    <row r="7939" spans="1:15" ht="80" x14ac:dyDescent="0.2">
      <c r="A7939" s="7" t="str">
        <f>HYPERLINK("https://otsuka-europe-crm.veevavault.com/ui/#object/account__v/V4T000000026045", "MARIANNA FRASCARELLI")</f>
        <v>MARIANNA FRASCARELLI</v>
      </c>
      <c r="B7939" s="7" t="str">
        <f>HYPERLINK("https://otsuka-europe-crm.veevavault.com/ui/#object/vcountry__v/VENZ000004SONFQ", "IT")</f>
        <v>IT</v>
      </c>
      <c r="C7939" s="8" t="s">
        <v>42</v>
      </c>
      <c r="D7939" s="9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E7939" s="10" t="str">
        <f>HYPERLINK("https://otsuka-europe-crm.veevavault.com/ui/#object/sent_email__v/VBL00000003F137", "SE-001448200")</f>
        <v>SE-001448200</v>
      </c>
      <c r="F7939" s="11"/>
      <c r="G7939" s="12">
        <v>0</v>
      </c>
      <c r="H7939" s="12">
        <v>0</v>
      </c>
      <c r="I7939" s="12">
        <v>0</v>
      </c>
      <c r="J7939" s="11"/>
      <c r="K7939" s="12">
        <v>0</v>
      </c>
      <c r="L7939" s="10" t="str">
        <f>HYPERLINK("https://otsuka-europe-crm.veevavault.com/ui/#object/approved_document__v/V5O00000001H008", "OTSUKA-RXULTI_Branded_AE abuso di sostanze aggiornamento_ IT-RXU-2600022")</f>
        <v>OTSUKA-RXULTI_Branded_AE abuso di sostanze aggiornamento_ IT-RXU-2600022</v>
      </c>
      <c r="M7939" s="10" t="str">
        <f>HYPERLINK("mailto:paola.braconi@crm.otsuka-europe.com", "paola.braconi@crm.otsuka-europe.com")</f>
        <v>paola.braconi@crm.otsuka-europe.com</v>
      </c>
      <c r="N7939" s="13">
        <v>46232.460277777776</v>
      </c>
      <c r="O7939" s="14" t="str">
        <f>HYPERLINK("https://otsuka-europe-crm.veevavault.com/ui/#object/email_activity__v/V8C00000004E616", "EN-002109565")</f>
        <v>EN-002109565</v>
      </c>
    </row>
    <row r="7940" spans="1:15" ht="32" x14ac:dyDescent="0.2">
      <c r="A7940" s="7" t="str">
        <f>HYPERLINK("https://otsuka-europe-crm.veevavault.com/ui/#object/account__v/V4T000000029023", "MARINA LIGERO ARGUDO")</f>
        <v>MARINA LIGERO ARGUDO</v>
      </c>
      <c r="B7940" s="7" t="str">
        <f>HYPERLINK("https://otsuka-europe-crm.veevavault.com/ui/#object/vcountry__v/VENZ000004SONF5", "ES")</f>
        <v>ES</v>
      </c>
      <c r="C7940" s="8" t="s">
        <v>39</v>
      </c>
      <c r="D7940" s="9" t="str">
        <f>HYPERLINK("https://otsuka-europe-crm.veevavault.com/ui/#object/approved_document__v/V5O00000001R002", "Programa X Jornada UHB")</f>
        <v>Programa X Jornada UHB</v>
      </c>
      <c r="E7940" s="10" t="str">
        <f>HYPERLINK("https://otsuka-europe-crm.veevavault.com/ui/#object/sent_email__v/VBL00000003F138", "SE-001448201")</f>
        <v>SE-001448201</v>
      </c>
      <c r="F7940" s="11"/>
      <c r="G7940" s="12">
        <v>0</v>
      </c>
      <c r="H7940" s="12">
        <v>0</v>
      </c>
      <c r="I7940" s="12">
        <v>0</v>
      </c>
      <c r="J7940" s="11"/>
      <c r="K7940" s="12">
        <v>0</v>
      </c>
      <c r="L7940" s="10" t="str">
        <f>HYPERLINK("https://otsuka-europe-crm.veevavault.com/ui/#object/approved_document__v/V5O00000001R002", "Programa X Jornada UHB")</f>
        <v>Programa X Jornada UHB</v>
      </c>
      <c r="M7940" s="10" t="str">
        <f>HYPERLINK("mailto:oestevez@crm.otsuka-europe.com", "oestevez@crm.otsuka-europe.com")</f>
        <v>oestevez@crm.otsuka-europe.com</v>
      </c>
      <c r="N7940" s="13">
        <v>46232.467175925929</v>
      </c>
      <c r="O7940" s="14" t="str">
        <f>HYPERLINK("https://otsuka-europe-crm.veevavault.com/ui/#object/email_activity__v/V8C00000004D732", "EN-002109566")</f>
        <v>EN-002109566</v>
      </c>
    </row>
    <row r="7941" spans="1:15" ht="16" x14ac:dyDescent="0.2">
      <c r="A7941" s="18" t="str">
        <f>HYPERLINK("https://otsuka-europe-crm.veevavault.com/ui/#object/account__v/V4TZ06G6O71TANV", "ALVARO CRESPO PORTERO")</f>
        <v>ALVARO CRESPO PORTERO</v>
      </c>
      <c r="B7941" s="18" t="str">
        <f>HYPERLINK("https://otsuka-europe-crm.veevavault.com/ui/#object/vcountry__v/VENZ000004SONF5", "ES")</f>
        <v>ES</v>
      </c>
      <c r="C7941" s="20" t="s">
        <v>39</v>
      </c>
      <c r="D7941" s="21" t="str">
        <f>HYPERLINK("https://otsuka-europe-crm.veevavault.com/ui/#object/approved_document__v/V5OZ04ASG4FWKA9", "Documento Autorizaciขn Centro Empleador")</f>
        <v>Documento Autorizaciขn Centro Empleador</v>
      </c>
      <c r="E7941" s="22" t="str">
        <f>HYPERLINK("https://otsuka-europe-crm.veevavault.com/ui/#object/sent_email__v/VBL00000003E248", "SE-001448202")</f>
        <v>SE-001448202</v>
      </c>
      <c r="F7941" s="25">
        <v>46233.722141203703</v>
      </c>
      <c r="G7941" s="24">
        <v>1</v>
      </c>
      <c r="H7941" s="24">
        <v>2</v>
      </c>
      <c r="I7941" s="24">
        <v>0</v>
      </c>
      <c r="J7941" s="23"/>
      <c r="K7941" s="24">
        <v>0</v>
      </c>
      <c r="L7941" s="22" t="str">
        <f>HYPERLINK("https://otsuka-europe-crm.veevavault.com/ui/#object/approved_document__v/V5OZ04ASG4FWKA9", "Documento Autorizaciขn Centro Empleador")</f>
        <v>Documento Autorizaciขn Centro Empleador</v>
      </c>
      <c r="M7941" s="22" t="str">
        <f>HYPERLINK("mailto:barroyo@crm.otsuka-europe.com", "barroyo@crm.otsuka-europe.com")</f>
        <v>barroyo@crm.otsuka-europe.com</v>
      </c>
      <c r="N7941" s="25">
        <v>46232.491354166668</v>
      </c>
      <c r="O7941" s="14" t="str">
        <f>HYPERLINK("https://otsuka-europe-crm.veevavault.com/ui/#object/email_activity__v/V8C00000004D736", "EN-002109575")</f>
        <v>EN-002109575</v>
      </c>
    </row>
    <row r="7942" spans="1:15" ht="16" x14ac:dyDescent="0.2">
      <c r="A7942" s="26"/>
      <c r="B7942" s="26"/>
      <c r="C7942" s="26"/>
      <c r="D7942" s="26"/>
      <c r="E7942" s="26"/>
      <c r="F7942" s="26"/>
      <c r="G7942" s="26"/>
      <c r="H7942" s="26"/>
      <c r="I7942" s="26"/>
      <c r="J7942" s="26"/>
      <c r="K7942" s="26"/>
      <c r="L7942" s="26"/>
      <c r="M7942" s="26"/>
      <c r="N7942" s="26"/>
      <c r="O7942" s="14" t="str">
        <f>HYPERLINK("https://otsuka-europe-crm.veevavault.com/ui/#object/email_activity__v/V8C00000004D823", "EN-002109779")</f>
        <v>EN-002109779</v>
      </c>
    </row>
    <row r="7943" spans="1:15" ht="16" x14ac:dyDescent="0.2">
      <c r="A7943" s="19"/>
      <c r="B7943" s="19"/>
      <c r="C7943" s="19"/>
      <c r="D7943" s="19"/>
      <c r="E7943" s="19"/>
      <c r="F7943" s="19"/>
      <c r="G7943" s="19"/>
      <c r="H7943" s="19"/>
      <c r="I7943" s="19"/>
      <c r="J7943" s="19"/>
      <c r="K7943" s="19"/>
      <c r="L7943" s="19"/>
      <c r="M7943" s="19"/>
      <c r="N7943" s="19"/>
      <c r="O7943" s="14" t="str">
        <f>HYPERLINK("https://otsuka-europe-crm.veevavault.com/ui/#object/email_activity__v/V8C00000004E621", "EN-002109574")</f>
        <v>EN-002109574</v>
      </c>
    </row>
    <row r="7944" spans="1:15" ht="16" x14ac:dyDescent="0.2">
      <c r="A7944" s="18" t="str">
        <f>HYPERLINK("https://otsuka-europe-crm.veevavault.com/ui/#object/account__v/V4T00000002E026", "ANA MARIA CALLEJO MELGOSA")</f>
        <v>ANA MARIA CALLEJO MELGOSA</v>
      </c>
      <c r="B7944" s="18" t="str">
        <f>HYPERLINK("https://otsuka-europe-crm.veevavault.com/ui/#object/vcountry__v/VENZ000004SONF5", "ES")</f>
        <v>ES</v>
      </c>
      <c r="C7944" s="20" t="s">
        <v>39</v>
      </c>
      <c r="D7944" s="21" t="str">
        <f>HYPERLINK("https://otsuka-europe-crm.veevavault.com/ui/#object/approved_document__v/V5OZ06G6O6RFL1P", "ES Veeva Privacy Notice Email")</f>
        <v>ES Veeva Privacy Notice Email</v>
      </c>
      <c r="E7944" s="22" t="str">
        <f>HYPERLINK("https://otsuka-europe-crm.veevavault.com/ui/#object/sent_email__v/VBL00000003E249", "SE-001448203")</f>
        <v>SE-001448203</v>
      </c>
      <c r="F7944" s="23"/>
      <c r="G7944" s="24">
        <v>0</v>
      </c>
      <c r="H7944" s="24">
        <v>0</v>
      </c>
      <c r="I7944" s="24">
        <v>0</v>
      </c>
      <c r="J7944" s="23"/>
      <c r="K7944" s="24">
        <v>0</v>
      </c>
      <c r="L7944" s="22" t="str">
        <f>HYPERLINK("https://otsuka-europe-crm.veevavault.com/ui/#object/approved_document__v/V5OZ06G6O6RFL1P", "ES Veeva Privacy Notice Email")</f>
        <v>ES Veeva Privacy Notice Email</v>
      </c>
      <c r="M7944" s="22" t="str">
        <f>HYPERLINK("mailto:mcasado@crm.otsuka-europe.com", "mcasado@crm.otsuka-europe.com")</f>
        <v>mcasado@crm.otsuka-europe.com</v>
      </c>
      <c r="N7944" s="25">
        <v>46232.947870370372</v>
      </c>
      <c r="O7944" s="14" t="str">
        <f>HYPERLINK("https://otsuka-europe-crm.veevavault.com/ui/#object/email_activity__v/V8C00000004D753", "EN-002109606")</f>
        <v>EN-002109606</v>
      </c>
    </row>
    <row r="7945" spans="1:15" ht="16" x14ac:dyDescent="0.2">
      <c r="A7945" s="26"/>
      <c r="B7945" s="26"/>
      <c r="C7945" s="26"/>
      <c r="D7945" s="26"/>
      <c r="E7945" s="26"/>
      <c r="F7945" s="26"/>
      <c r="G7945" s="26"/>
      <c r="H7945" s="26"/>
      <c r="I7945" s="26"/>
      <c r="J7945" s="26"/>
      <c r="K7945" s="26"/>
      <c r="L7945" s="26"/>
      <c r="M7945" s="26"/>
      <c r="N7945" s="26"/>
      <c r="O7945" s="14" t="str">
        <f>HYPERLINK("https://otsuka-europe-crm.veevavault.com/ui/#object/email_activity__v/V8C00000004E642", "EN-002109610")</f>
        <v>EN-002109610</v>
      </c>
    </row>
    <row r="7946" spans="1:15" ht="16" x14ac:dyDescent="0.2">
      <c r="A7946" s="26"/>
      <c r="B7946" s="26"/>
      <c r="C7946" s="26"/>
      <c r="D7946" s="26"/>
      <c r="E7946" s="26"/>
      <c r="F7946" s="26"/>
      <c r="G7946" s="26"/>
      <c r="H7946" s="26"/>
      <c r="I7946" s="26"/>
      <c r="J7946" s="26"/>
      <c r="K7946" s="26"/>
      <c r="L7946" s="26"/>
      <c r="M7946" s="26"/>
      <c r="N7946" s="26"/>
      <c r="O7946" s="14" t="str">
        <f>HYPERLINK("https://otsuka-europe-crm.veevavault.com/ui/#object/email_activity__v/V8C00000004F004", "EN-002109794")</f>
        <v>EN-002109794</v>
      </c>
    </row>
    <row r="7947" spans="1:15" ht="16" x14ac:dyDescent="0.2">
      <c r="A7947" s="19"/>
      <c r="B7947" s="19"/>
      <c r="C7947" s="19"/>
      <c r="D7947" s="19"/>
      <c r="E7947" s="19"/>
      <c r="F7947" s="19"/>
      <c r="G7947" s="19"/>
      <c r="H7947" s="19"/>
      <c r="I7947" s="19"/>
      <c r="J7947" s="19"/>
      <c r="K7947" s="19"/>
      <c r="L7947" s="19"/>
      <c r="M7947" s="19"/>
      <c r="N7947" s="19"/>
      <c r="O7947" s="14" t="str">
        <f>HYPERLINK("https://otsuka-europe-crm.veevavault.com/ui/#object/email_activity__v/V8C00000004F110", "EN-002110038")</f>
        <v>EN-002110038</v>
      </c>
    </row>
    <row r="7948" spans="1:15" ht="16" x14ac:dyDescent="0.2">
      <c r="A7948" s="18" t="str">
        <f>HYPERLINK("https://otsuka-europe-crm.veevavault.com/ui/#object/account__v/V4TZ06G6O71T7NS", "IDIR MESIAN PEREZ")</f>
        <v>IDIR MESIAN PEREZ</v>
      </c>
      <c r="B7948" s="18" t="str">
        <f>HYPERLINK("https://otsuka-europe-crm.veevavault.com/ui/#object/vcountry__v/VENZ000004SONF5", "ES")</f>
        <v>ES</v>
      </c>
      <c r="C7948" s="20" t="s">
        <v>39</v>
      </c>
      <c r="D7948" s="21" t="str">
        <f>HYPERLINK("https://otsuka-europe-crm.veevavault.com/ui/#object/approved_document__v/V5OZ04ASG4FWKA9", "Documento Autorizaciขn Centro Empleador")</f>
        <v>Documento Autorizaciขn Centro Empleador</v>
      </c>
      <c r="E7948" s="22" t="str">
        <f>HYPERLINK("https://otsuka-europe-crm.veevavault.com/ui/#object/sent_email__v/VBL00000003F139", "SE-001448204")</f>
        <v>SE-001448204</v>
      </c>
      <c r="F7948" s="25">
        <v>46234.411828703705</v>
      </c>
      <c r="G7948" s="24">
        <v>1</v>
      </c>
      <c r="H7948" s="24">
        <v>4</v>
      </c>
      <c r="I7948" s="24">
        <v>1</v>
      </c>
      <c r="J7948" s="25">
        <v>46233.735532407409</v>
      </c>
      <c r="K7948" s="24">
        <v>1</v>
      </c>
      <c r="L7948" s="22" t="str">
        <f>HYPERLINK("https://otsuka-europe-crm.veevavault.com/ui/#object/approved_document__v/V5OZ04ASG4FWKA9", "Documento Autorizaciขn Centro Empleador")</f>
        <v>Documento Autorizaciขn Centro Empleador</v>
      </c>
      <c r="M7948" s="22" t="str">
        <f>HYPERLINK("mailto:oestevez@crm.otsuka-europe.com", "oestevez@crm.otsuka-europe.com")</f>
        <v>oestevez@crm.otsuka-europe.com</v>
      </c>
      <c r="N7948" s="25">
        <v>46233.339201388888</v>
      </c>
      <c r="O7948" s="14" t="str">
        <f>HYPERLINK("https://otsuka-europe-crm.veevavault.com/ui/#object/email_activity__v/V8C00000004D826", "EN-002109786")</f>
        <v>EN-002109786</v>
      </c>
    </row>
    <row r="7949" spans="1:15" ht="16" x14ac:dyDescent="0.2">
      <c r="A7949" s="26"/>
      <c r="B7949" s="26"/>
      <c r="C7949" s="26"/>
      <c r="D7949" s="26"/>
      <c r="E7949" s="26"/>
      <c r="F7949" s="26"/>
      <c r="G7949" s="26"/>
      <c r="H7949" s="26"/>
      <c r="I7949" s="26"/>
      <c r="J7949" s="26"/>
      <c r="K7949" s="26"/>
      <c r="L7949" s="26"/>
      <c r="M7949" s="26"/>
      <c r="N7949" s="26"/>
      <c r="O7949" s="14" t="str">
        <f>HYPERLINK("https://otsuka-europe-crm.veevavault.com/ui/#object/email_activity__v/V8C00000004D827", "EN-002109784")</f>
        <v>EN-002109784</v>
      </c>
    </row>
    <row r="7950" spans="1:15" ht="16" x14ac:dyDescent="0.2">
      <c r="A7950" s="26"/>
      <c r="B7950" s="26"/>
      <c r="C7950" s="26"/>
      <c r="D7950" s="26"/>
      <c r="E7950" s="26"/>
      <c r="F7950" s="26"/>
      <c r="G7950" s="26"/>
      <c r="H7950" s="26"/>
      <c r="I7950" s="26"/>
      <c r="J7950" s="26"/>
      <c r="K7950" s="26"/>
      <c r="L7950" s="26"/>
      <c r="M7950" s="26"/>
      <c r="N7950" s="26"/>
      <c r="O7950" s="14" t="str">
        <f>HYPERLINK("https://otsuka-europe-crm.veevavault.com/ui/#object/email_activity__v/V8C00000004D828", "EN-002109785")</f>
        <v>EN-002109785</v>
      </c>
    </row>
    <row r="7951" spans="1:15" ht="16" x14ac:dyDescent="0.2">
      <c r="A7951" s="26"/>
      <c r="B7951" s="26"/>
      <c r="C7951" s="26"/>
      <c r="D7951" s="26"/>
      <c r="E7951" s="26"/>
      <c r="F7951" s="26"/>
      <c r="G7951" s="26"/>
      <c r="H7951" s="26"/>
      <c r="I7951" s="26"/>
      <c r="J7951" s="26"/>
      <c r="K7951" s="26"/>
      <c r="L7951" s="26"/>
      <c r="M7951" s="26"/>
      <c r="N7951" s="26"/>
      <c r="O7951" s="14" t="str">
        <f>HYPERLINK("https://otsuka-europe-crm.veevavault.com/ui/#object/email_activity__v/V8C00000004E648", "EN-002109620")</f>
        <v>EN-002109620</v>
      </c>
    </row>
    <row r="7952" spans="1:15" ht="16" x14ac:dyDescent="0.2">
      <c r="A7952" s="26"/>
      <c r="B7952" s="26"/>
      <c r="C7952" s="26"/>
      <c r="D7952" s="26"/>
      <c r="E7952" s="26"/>
      <c r="F7952" s="26"/>
      <c r="G7952" s="26"/>
      <c r="H7952" s="26"/>
      <c r="I7952" s="26"/>
      <c r="J7952" s="26"/>
      <c r="K7952" s="26"/>
      <c r="L7952" s="26"/>
      <c r="M7952" s="26"/>
      <c r="N7952" s="26"/>
      <c r="O7952" s="14" t="str">
        <f>HYPERLINK("https://otsuka-europe-crm.veevavault.com/ui/#object/email_activity__v/V8C00000004F131", "EN-002110068")</f>
        <v>EN-002110068</v>
      </c>
    </row>
    <row r="7953" spans="1:15" ht="16" x14ac:dyDescent="0.2">
      <c r="A7953" s="19"/>
      <c r="B7953" s="19"/>
      <c r="C7953" s="19"/>
      <c r="D7953" s="19"/>
      <c r="E7953" s="19"/>
      <c r="F7953" s="19"/>
      <c r="G7953" s="19"/>
      <c r="H7953" s="19"/>
      <c r="I7953" s="19"/>
      <c r="J7953" s="19"/>
      <c r="K7953" s="19"/>
      <c r="L7953" s="19"/>
      <c r="M7953" s="19"/>
      <c r="N7953" s="19"/>
      <c r="O7953" s="14" t="str">
        <f>HYPERLINK("https://otsuka-europe-crm.veevavault.com/ui/#object/email_activity__v/V8C00000004F136", "EN-002110074")</f>
        <v>EN-002110074</v>
      </c>
    </row>
    <row r="7954" spans="1:15" ht="32" x14ac:dyDescent="0.2">
      <c r="A7954" s="7" t="str">
        <f>HYPERLINK("https://otsuka-europe-crm.veevavault.com/ui/#object/account__v/V4TZ06G6OB40QZE", "JULIA SANCHEZ RODRIGUEZ")</f>
        <v>JULIA SANCHEZ RODRIGUEZ</v>
      </c>
      <c r="B7954" s="7" t="str">
        <f>HYPERLINK("https://otsuka-europe-crm.veevavault.com/ui/#object/vcountry__v/VENZ000004SONF5", "ES")</f>
        <v>ES</v>
      </c>
      <c r="C7954" s="8" t="s">
        <v>39</v>
      </c>
      <c r="D7954" s="9" t="str">
        <f>HYPERLINK("https://otsuka-europe-crm.veevavault.com/ui/#object/approved_document__v/V5OZ04ASG4FWKA9", "Documento Autorizaciขn Centro Empleador")</f>
        <v>Documento Autorizaciขn Centro Empleador</v>
      </c>
      <c r="E7954" s="10" t="str">
        <f>HYPERLINK("https://otsuka-europe-crm.veevavault.com/ui/#object/sent_email__v/VBL00000003F140", "SE-001448205")</f>
        <v>SE-001448205</v>
      </c>
      <c r="F7954" s="11"/>
      <c r="G7954" s="12">
        <v>0</v>
      </c>
      <c r="H7954" s="12">
        <v>0</v>
      </c>
      <c r="I7954" s="12">
        <v>0</v>
      </c>
      <c r="J7954" s="11"/>
      <c r="K7954" s="12">
        <v>0</v>
      </c>
      <c r="L7954" s="10" t="str">
        <f>HYPERLINK("https://otsuka-europe-crm.veevavault.com/ui/#object/approved_document__v/V5OZ04ASG4FWKA9", "Documento Autorizaciขn Centro Empleador")</f>
        <v>Documento Autorizaciขn Centro Empleador</v>
      </c>
      <c r="M7954" s="10" t="str">
        <f>HYPERLINK("mailto:oestevez@crm.otsuka-europe.com", "oestevez@crm.otsuka-europe.com")</f>
        <v>oestevez@crm.otsuka-europe.com</v>
      </c>
      <c r="N7954" s="13">
        <v>46233.340046296296</v>
      </c>
      <c r="O7954" s="14" t="str">
        <f>HYPERLINK("https://otsuka-europe-crm.veevavault.com/ui/#object/email_activity__v/V8C00000004E649", "EN-002109621")</f>
        <v>EN-002109621</v>
      </c>
    </row>
    <row r="7955" spans="1:15" ht="16" x14ac:dyDescent="0.2">
      <c r="A7955" s="18" t="str">
        <f>HYPERLINK("https://otsuka-europe-crm.veevavault.com/ui/#object/account__v/V4TZ06G6O71TAZC", "MARIA MERCEDES MADRE RULL")</f>
        <v>MARIA MERCEDES MADRE RULL</v>
      </c>
      <c r="B7955" s="18" t="str">
        <f>HYPERLINK("https://otsuka-europe-crm.veevavault.com/ui/#object/vcountry__v/VENZ000004SONF5", "ES")</f>
        <v>ES</v>
      </c>
      <c r="C7955" s="20" t="s">
        <v>39</v>
      </c>
      <c r="D7955" s="21" t="str">
        <f>HYPERLINK("https://otsuka-europe-crm.veevavault.com/ui/#object/approved_document__v/V5O000000003010", "RXULTI - Caso Clínico ansiedad e irritabilidad")</f>
        <v>RXULTI - Caso Clínico ansiedad e irritabilidad</v>
      </c>
      <c r="E7955" s="22" t="str">
        <f>HYPERLINK("https://otsuka-europe-crm.veevavault.com/ui/#object/sent_email__v/VBL00000003F141", "SE-001448206")</f>
        <v>SE-001448206</v>
      </c>
      <c r="F7955" s="25">
        <v>46233.412407407406</v>
      </c>
      <c r="G7955" s="24">
        <v>1</v>
      </c>
      <c r="H7955" s="24">
        <v>1</v>
      </c>
      <c r="I7955" s="24">
        <v>1</v>
      </c>
      <c r="J7955" s="25">
        <v>46233.412499999999</v>
      </c>
      <c r="K7955" s="24">
        <v>2</v>
      </c>
      <c r="L7955" s="22" t="str">
        <f>HYPERLINK("https://otsuka-europe-crm.veevavault.com/ui/#object/approved_document__v/V5O000000003010", "RXULTI - Caso Clínico ansiedad e irritabilidad")</f>
        <v>RXULTI - Caso Clínico ansiedad e irritabilidad</v>
      </c>
      <c r="M7955" s="22" t="str">
        <f>HYPERLINK("mailto:iortega@crm.otsuka-europe.com", "iortega@crm.otsuka-europe.com")</f>
        <v>iortega@crm.otsuka-europe.com</v>
      </c>
      <c r="N7955" s="25">
        <v>46233.360231481478</v>
      </c>
      <c r="O7955" s="14" t="str">
        <f>HYPERLINK("https://otsuka-europe-crm.veevavault.com/ui/#object/email_activity__v/V8C00000004E653", "EN-002109625")</f>
        <v>EN-002109625</v>
      </c>
    </row>
    <row r="7956" spans="1:15" ht="16" x14ac:dyDescent="0.2">
      <c r="A7956" s="26"/>
      <c r="B7956" s="26"/>
      <c r="C7956" s="26"/>
      <c r="D7956" s="26"/>
      <c r="E7956" s="26"/>
      <c r="F7956" s="26"/>
      <c r="G7956" s="26"/>
      <c r="H7956" s="26"/>
      <c r="I7956" s="26"/>
      <c r="J7956" s="26"/>
      <c r="K7956" s="26"/>
      <c r="L7956" s="26"/>
      <c r="M7956" s="26"/>
      <c r="N7956" s="26"/>
      <c r="O7956" s="14" t="str">
        <f>HYPERLINK("https://otsuka-europe-crm.veevavault.com/ui/#object/email_activity__v/V8C00000004E664", "EN-002109648")</f>
        <v>EN-002109648</v>
      </c>
    </row>
    <row r="7957" spans="1:15" ht="16" x14ac:dyDescent="0.2">
      <c r="A7957" s="26"/>
      <c r="B7957" s="26"/>
      <c r="C7957" s="26"/>
      <c r="D7957" s="26"/>
      <c r="E7957" s="26"/>
      <c r="F7957" s="26"/>
      <c r="G7957" s="26"/>
      <c r="H7957" s="26"/>
      <c r="I7957" s="26"/>
      <c r="J7957" s="26"/>
      <c r="K7957" s="26"/>
      <c r="L7957" s="26"/>
      <c r="M7957" s="26"/>
      <c r="N7957" s="26"/>
      <c r="O7957" s="14" t="str">
        <f>HYPERLINK("https://otsuka-europe-crm.veevavault.com/ui/#object/email_activity__v/V8C00000004E665", "EN-002109647")</f>
        <v>EN-002109647</v>
      </c>
    </row>
    <row r="7958" spans="1:15" ht="16" x14ac:dyDescent="0.2">
      <c r="A7958" s="26"/>
      <c r="B7958" s="26"/>
      <c r="C7958" s="26"/>
      <c r="D7958" s="26"/>
      <c r="E7958" s="26"/>
      <c r="F7958" s="26"/>
      <c r="G7958" s="26"/>
      <c r="H7958" s="26"/>
      <c r="I7958" s="26"/>
      <c r="J7958" s="26"/>
      <c r="K7958" s="26"/>
      <c r="L7958" s="26"/>
      <c r="M7958" s="26"/>
      <c r="N7958" s="26"/>
      <c r="O7958" s="14" t="str">
        <f>HYPERLINK("https://otsuka-europe-crm.veevavault.com/ui/#object/email_activity__v/V8C00000004E666", "EN-002109649")</f>
        <v>EN-002109649</v>
      </c>
    </row>
    <row r="7959" spans="1:15" ht="16" x14ac:dyDescent="0.2">
      <c r="A7959" s="26"/>
      <c r="B7959" s="26"/>
      <c r="C7959" s="26"/>
      <c r="D7959" s="26"/>
      <c r="E7959" s="26"/>
      <c r="F7959" s="26"/>
      <c r="G7959" s="26"/>
      <c r="H7959" s="26"/>
      <c r="I7959" s="26"/>
      <c r="J7959" s="26"/>
      <c r="K7959" s="26"/>
      <c r="L7959" s="26"/>
      <c r="M7959" s="26"/>
      <c r="N7959" s="26"/>
      <c r="O7959" s="14" t="str">
        <f>HYPERLINK("https://otsuka-europe-crm.veevavault.com/ui/#object/email_activity__v/V8C00000004E680", "EN-002109664")</f>
        <v>EN-002109664</v>
      </c>
    </row>
    <row r="7960" spans="1:15" ht="16" x14ac:dyDescent="0.2">
      <c r="A7960" s="19"/>
      <c r="B7960" s="19"/>
      <c r="C7960" s="19"/>
      <c r="D7960" s="19"/>
      <c r="E7960" s="19"/>
      <c r="F7960" s="19"/>
      <c r="G7960" s="19"/>
      <c r="H7960" s="19"/>
      <c r="I7960" s="19"/>
      <c r="J7960" s="19"/>
      <c r="K7960" s="19"/>
      <c r="L7960" s="19"/>
      <c r="M7960" s="19"/>
      <c r="N7960" s="19"/>
      <c r="O7960" s="14" t="str">
        <f>HYPERLINK("https://otsuka-europe-crm.veevavault.com/ui/#object/email_activity__v/V8C00000004E681", "EN-002109665")</f>
        <v>EN-002109665</v>
      </c>
    </row>
    <row r="7961" spans="1:15" ht="16" x14ac:dyDescent="0.2">
      <c r="A7961" s="18" t="str">
        <f>HYPERLINK("https://otsuka-europe-crm.veevavault.com/ui/#object/account__v/V4TZ06G6O71TAZC", "MARIA MERCEDES MADRE RULL")</f>
        <v>MARIA MERCEDES MADRE RULL</v>
      </c>
      <c r="B7961" s="18" t="str">
        <f>HYPERLINK("https://otsuka-europe-crm.veevavault.com/ui/#object/vcountry__v/VENZ000004SONF5", "ES")</f>
        <v>ES</v>
      </c>
      <c r="C7961" s="20" t="s">
        <v>39</v>
      </c>
      <c r="D7961" s="21" t="str">
        <f>HYPERLINK("https://otsuka-europe-crm.veevavault.com/ui/#object/approved_document__v/V5O000000003011", "RXULTI - Caso Clínico cambio de ILP antagonista")</f>
        <v>RXULTI - Caso Clínico cambio de ILP antagonista</v>
      </c>
      <c r="E7961" s="22" t="str">
        <f>HYPERLINK("https://otsuka-europe-crm.veevavault.com/ui/#object/sent_email__v/VBL00000003F142", "SE-001448207")</f>
        <v>SE-001448207</v>
      </c>
      <c r="F7961" s="25">
        <v>46233.414027777777</v>
      </c>
      <c r="G7961" s="24">
        <v>1</v>
      </c>
      <c r="H7961" s="24">
        <v>1</v>
      </c>
      <c r="I7961" s="24">
        <v>1</v>
      </c>
      <c r="J7961" s="25">
        <v>46233.414479166669</v>
      </c>
      <c r="K7961" s="24">
        <v>2</v>
      </c>
      <c r="L7961" s="22" t="str">
        <f>HYPERLINK("https://otsuka-europe-crm.veevavault.com/ui/#object/approved_document__v/V5O000000003011", "RXULTI - Caso Clínico cambio de ILP antagonista")</f>
        <v>RXULTI - Caso Clínico cambio de ILP antagonista</v>
      </c>
      <c r="M7961" s="22" t="str">
        <f>HYPERLINK("mailto:iortega@crm.otsuka-europe.com", "iortega@crm.otsuka-europe.com")</f>
        <v>iortega@crm.otsuka-europe.com</v>
      </c>
      <c r="N7961" s="25">
        <v>46233.360266203701</v>
      </c>
      <c r="O7961" s="14" t="str">
        <f>HYPERLINK("https://otsuka-europe-crm.veevavault.com/ui/#object/email_activity__v/V8C00000004E651", "EN-002109623")</f>
        <v>EN-002109623</v>
      </c>
    </row>
    <row r="7962" spans="1:15" ht="16" x14ac:dyDescent="0.2">
      <c r="A7962" s="26"/>
      <c r="B7962" s="26"/>
      <c r="C7962" s="26"/>
      <c r="D7962" s="26"/>
      <c r="E7962" s="26"/>
      <c r="F7962" s="26"/>
      <c r="G7962" s="26"/>
      <c r="H7962" s="26"/>
      <c r="I7962" s="26"/>
      <c r="J7962" s="26"/>
      <c r="K7962" s="26"/>
      <c r="L7962" s="26"/>
      <c r="M7962" s="26"/>
      <c r="N7962" s="26"/>
      <c r="O7962" s="14" t="str">
        <f>HYPERLINK("https://otsuka-europe-crm.veevavault.com/ui/#object/email_activity__v/V8C00000004E667", "EN-002109651")</f>
        <v>EN-002109651</v>
      </c>
    </row>
    <row r="7963" spans="1:15" ht="16" x14ac:dyDescent="0.2">
      <c r="A7963" s="26"/>
      <c r="B7963" s="26"/>
      <c r="C7963" s="26"/>
      <c r="D7963" s="26"/>
      <c r="E7963" s="26"/>
      <c r="F7963" s="26"/>
      <c r="G7963" s="26"/>
      <c r="H7963" s="26"/>
      <c r="I7963" s="26"/>
      <c r="J7963" s="26"/>
      <c r="K7963" s="26"/>
      <c r="L7963" s="26"/>
      <c r="M7963" s="26"/>
      <c r="N7963" s="26"/>
      <c r="O7963" s="14" t="str">
        <f>HYPERLINK("https://otsuka-europe-crm.veevavault.com/ui/#object/email_activity__v/V8C00000004E668", "EN-002109650")</f>
        <v>EN-002109650</v>
      </c>
    </row>
    <row r="7964" spans="1:15" ht="16" x14ac:dyDescent="0.2">
      <c r="A7964" s="26"/>
      <c r="B7964" s="26"/>
      <c r="C7964" s="26"/>
      <c r="D7964" s="26"/>
      <c r="E7964" s="26"/>
      <c r="F7964" s="26"/>
      <c r="G7964" s="26"/>
      <c r="H7964" s="26"/>
      <c r="I7964" s="26"/>
      <c r="J7964" s="26"/>
      <c r="K7964" s="26"/>
      <c r="L7964" s="26"/>
      <c r="M7964" s="26"/>
      <c r="N7964" s="26"/>
      <c r="O7964" s="14" t="str">
        <f>HYPERLINK("https://otsuka-europe-crm.veevavault.com/ui/#object/email_activity__v/V8C00000004E669", "EN-002109652")</f>
        <v>EN-002109652</v>
      </c>
    </row>
    <row r="7965" spans="1:15" ht="16" x14ac:dyDescent="0.2">
      <c r="A7965" s="26"/>
      <c r="B7965" s="26"/>
      <c r="C7965" s="26"/>
      <c r="D7965" s="26"/>
      <c r="E7965" s="26"/>
      <c r="F7965" s="26"/>
      <c r="G7965" s="26"/>
      <c r="H7965" s="26"/>
      <c r="I7965" s="26"/>
      <c r="J7965" s="26"/>
      <c r="K7965" s="26"/>
      <c r="L7965" s="26"/>
      <c r="M7965" s="26"/>
      <c r="N7965" s="26"/>
      <c r="O7965" s="14" t="str">
        <f>HYPERLINK("https://otsuka-europe-crm.veevavault.com/ui/#object/email_activity__v/V8C00000004E682", "EN-002109666")</f>
        <v>EN-002109666</v>
      </c>
    </row>
    <row r="7966" spans="1:15" ht="16" x14ac:dyDescent="0.2">
      <c r="A7966" s="26"/>
      <c r="B7966" s="26"/>
      <c r="C7966" s="26"/>
      <c r="D7966" s="26"/>
      <c r="E7966" s="26"/>
      <c r="F7966" s="26"/>
      <c r="G7966" s="26"/>
      <c r="H7966" s="26"/>
      <c r="I7966" s="26"/>
      <c r="J7966" s="26"/>
      <c r="K7966" s="26"/>
      <c r="L7966" s="26"/>
      <c r="M7966" s="26"/>
      <c r="N7966" s="26"/>
      <c r="O7966" s="14" t="str">
        <f>HYPERLINK("https://otsuka-europe-crm.veevavault.com/ui/#object/email_activity__v/V8C00000004E683", "EN-002109667")</f>
        <v>EN-002109667</v>
      </c>
    </row>
    <row r="7967" spans="1:15" ht="16" x14ac:dyDescent="0.2">
      <c r="A7967" s="19"/>
      <c r="B7967" s="19"/>
      <c r="C7967" s="19"/>
      <c r="D7967" s="19"/>
      <c r="E7967" s="19"/>
      <c r="F7967" s="19"/>
      <c r="G7967" s="19"/>
      <c r="H7967" s="19"/>
      <c r="I7967" s="19"/>
      <c r="J7967" s="19"/>
      <c r="K7967" s="19"/>
      <c r="L7967" s="19"/>
      <c r="M7967" s="19"/>
      <c r="N7967" s="19"/>
      <c r="O7967" s="14" t="str">
        <f>HYPERLINK("https://otsuka-europe-crm.veevavault.com/ui/#object/email_activity__v/V8C00000004E740", "EN-002109775")</f>
        <v>EN-002109775</v>
      </c>
    </row>
    <row r="7968" spans="1:15" ht="16" x14ac:dyDescent="0.2">
      <c r="A7968" s="18" t="str">
        <f>HYPERLINK("https://otsuka-europe-crm.veevavault.com/ui/#object/account__v/V4TZ06G6O71TAZC", "MARIA MERCEDES MADRE RULL")</f>
        <v>MARIA MERCEDES MADRE RULL</v>
      </c>
      <c r="B7968" s="18" t="str">
        <f>HYPERLINK("https://otsuka-europe-crm.veevavault.com/ui/#object/vcountry__v/VENZ000004SONF5", "ES")</f>
        <v>ES</v>
      </c>
      <c r="C7968" s="20" t="s">
        <v>39</v>
      </c>
      <c r="D7968" s="21" t="str">
        <f>HYPERLINK("https://otsuka-europe-crm.veevavault.com/ui/#object/approved_document__v/V5O000000003012", "RXULTI - Caso Clínico cuando los ILPs no son una opción")</f>
        <v>RXULTI - Caso Clínico cuando los ILPs no son una opción</v>
      </c>
      <c r="E7968" s="22" t="str">
        <f>HYPERLINK("https://otsuka-europe-crm.veevavault.com/ui/#object/sent_email__v/VBL00000003F143", "SE-001448208")</f>
        <v>SE-001448208</v>
      </c>
      <c r="F7968" s="25">
        <v>46233.415694444448</v>
      </c>
      <c r="G7968" s="24">
        <v>1</v>
      </c>
      <c r="H7968" s="24">
        <v>1</v>
      </c>
      <c r="I7968" s="24">
        <v>1</v>
      </c>
      <c r="J7968" s="25">
        <v>46233.415902777779</v>
      </c>
      <c r="K7968" s="24">
        <v>2</v>
      </c>
      <c r="L7968" s="22" t="str">
        <f>HYPERLINK("https://otsuka-europe-crm.veevavault.com/ui/#object/approved_document__v/V5O000000003012", "RXULTI - Caso Clínico cuando los ILPs no son una opción")</f>
        <v>RXULTI - Caso Clínico cuando los ILPs no son una opción</v>
      </c>
      <c r="M7968" s="22" t="str">
        <f>HYPERLINK("mailto:iortega@crm.otsuka-europe.com", "iortega@crm.otsuka-europe.com")</f>
        <v>iortega@crm.otsuka-europe.com</v>
      </c>
      <c r="N7968" s="25">
        <v>46233.360347222224</v>
      </c>
      <c r="O7968" s="14" t="str">
        <f>HYPERLINK("https://otsuka-europe-crm.veevavault.com/ui/#object/email_activity__v/V8C00000004D770", "EN-002109655")</f>
        <v>EN-002109655</v>
      </c>
    </row>
    <row r="7969" spans="1:15" ht="16" x14ac:dyDescent="0.2">
      <c r="A7969" s="26"/>
      <c r="B7969" s="26"/>
      <c r="C7969" s="26"/>
      <c r="D7969" s="26"/>
      <c r="E7969" s="26"/>
      <c r="F7969" s="26"/>
      <c r="G7969" s="26"/>
      <c r="H7969" s="26"/>
      <c r="I7969" s="26"/>
      <c r="J7969" s="26"/>
      <c r="K7969" s="26"/>
      <c r="L7969" s="26"/>
      <c r="M7969" s="26"/>
      <c r="N7969" s="26"/>
      <c r="O7969" s="14" t="str">
        <f>HYPERLINK("https://otsuka-europe-crm.veevavault.com/ui/#object/email_activity__v/V8C00000004D797", "EN-002109733")</f>
        <v>EN-002109733</v>
      </c>
    </row>
    <row r="7970" spans="1:15" ht="16" x14ac:dyDescent="0.2">
      <c r="A7970" s="26"/>
      <c r="B7970" s="26"/>
      <c r="C7970" s="26"/>
      <c r="D7970" s="26"/>
      <c r="E7970" s="26"/>
      <c r="F7970" s="26"/>
      <c r="G7970" s="26"/>
      <c r="H7970" s="26"/>
      <c r="I7970" s="26"/>
      <c r="J7970" s="26"/>
      <c r="K7970" s="26"/>
      <c r="L7970" s="26"/>
      <c r="M7970" s="26"/>
      <c r="N7970" s="26"/>
      <c r="O7970" s="14" t="str">
        <f>HYPERLINK("https://otsuka-europe-crm.veevavault.com/ui/#object/email_activity__v/V8C00000004E652", "EN-002109624")</f>
        <v>EN-002109624</v>
      </c>
    </row>
    <row r="7971" spans="1:15" ht="16" x14ac:dyDescent="0.2">
      <c r="A7971" s="26"/>
      <c r="B7971" s="26"/>
      <c r="C7971" s="26"/>
      <c r="D7971" s="26"/>
      <c r="E7971" s="26"/>
      <c r="F7971" s="26"/>
      <c r="G7971" s="26"/>
      <c r="H7971" s="26"/>
      <c r="I7971" s="26"/>
      <c r="J7971" s="26"/>
      <c r="K7971" s="26"/>
      <c r="L7971" s="26"/>
      <c r="M7971" s="26"/>
      <c r="N7971" s="26"/>
      <c r="O7971" s="14" t="str">
        <f>HYPERLINK("https://otsuka-europe-crm.veevavault.com/ui/#object/email_activity__v/V8C00000004E670", "EN-002109654")</f>
        <v>EN-002109654</v>
      </c>
    </row>
    <row r="7972" spans="1:15" ht="16" x14ac:dyDescent="0.2">
      <c r="A7972" s="26"/>
      <c r="B7972" s="26"/>
      <c r="C7972" s="26"/>
      <c r="D7972" s="26"/>
      <c r="E7972" s="26"/>
      <c r="F7972" s="26"/>
      <c r="G7972" s="26"/>
      <c r="H7972" s="26"/>
      <c r="I7972" s="26"/>
      <c r="J7972" s="26"/>
      <c r="K7972" s="26"/>
      <c r="L7972" s="26"/>
      <c r="M7972" s="26"/>
      <c r="N7972" s="26"/>
      <c r="O7972" s="14" t="str">
        <f>HYPERLINK("https://otsuka-europe-crm.veevavault.com/ui/#object/email_activity__v/V8C00000004E671", "EN-002109653")</f>
        <v>EN-002109653</v>
      </c>
    </row>
    <row r="7973" spans="1:15" ht="16" x14ac:dyDescent="0.2">
      <c r="A7973" s="26"/>
      <c r="B7973" s="26"/>
      <c r="C7973" s="26"/>
      <c r="D7973" s="26"/>
      <c r="E7973" s="26"/>
      <c r="F7973" s="26"/>
      <c r="G7973" s="26"/>
      <c r="H7973" s="26"/>
      <c r="I7973" s="26"/>
      <c r="J7973" s="26"/>
      <c r="K7973" s="26"/>
      <c r="L7973" s="26"/>
      <c r="M7973" s="26"/>
      <c r="N7973" s="26"/>
      <c r="O7973" s="14" t="str">
        <f>HYPERLINK("https://otsuka-europe-crm.veevavault.com/ui/#object/email_activity__v/V8C00000004E684", "EN-002109668")</f>
        <v>EN-002109668</v>
      </c>
    </row>
    <row r="7974" spans="1:15" ht="16" x14ac:dyDescent="0.2">
      <c r="A7974" s="19"/>
      <c r="B7974" s="19"/>
      <c r="C7974" s="19"/>
      <c r="D7974" s="19"/>
      <c r="E7974" s="19"/>
      <c r="F7974" s="19"/>
      <c r="G7974" s="19"/>
      <c r="H7974" s="19"/>
      <c r="I7974" s="19"/>
      <c r="J7974" s="19"/>
      <c r="K7974" s="19"/>
      <c r="L7974" s="19"/>
      <c r="M7974" s="19"/>
      <c r="N7974" s="19"/>
      <c r="O7974" s="14" t="str">
        <f>HYPERLINK("https://otsuka-europe-crm.veevavault.com/ui/#object/email_activity__v/V8C00000004E685", "EN-002109669")</f>
        <v>EN-002109669</v>
      </c>
    </row>
    <row r="7975" spans="1:15" ht="16" x14ac:dyDescent="0.2">
      <c r="A7975" s="18" t="str">
        <f>HYPERLINK("https://otsuka-europe-crm.veevavault.com/ui/#object/account__v/V4TZ06G6O71TAZC", "MARIA MERCEDES MADRE RULL")</f>
        <v>MARIA MERCEDES MADRE RULL</v>
      </c>
      <c r="B7975" s="18" t="str">
        <f>HYPERLINK("https://otsuka-europe-crm.veevavault.com/ui/#object/vcountry__v/VENZ000004SONF5", "ES")</f>
        <v>ES</v>
      </c>
      <c r="C7975" s="20" t="s">
        <v>39</v>
      </c>
      <c r="D7975" s="21" t="str">
        <f>HYPERLINK("https://otsuka-europe-crm.veevavault.com/ui/#object/approved_document__v/V5O000000006001", "RXULTI - Comparativa antipsicóticos")</f>
        <v>RXULTI - Comparativa antipsicóticos</v>
      </c>
      <c r="E7975" s="22" t="str">
        <f>HYPERLINK("https://otsuka-europe-crm.veevavault.com/ui/#object/sent_email__v/VBL00000003F144", "SE-001448209")</f>
        <v>SE-001448209</v>
      </c>
      <c r="F7975" s="25">
        <v>46233.418900462966</v>
      </c>
      <c r="G7975" s="24">
        <v>1</v>
      </c>
      <c r="H7975" s="24">
        <v>1</v>
      </c>
      <c r="I7975" s="24">
        <v>1</v>
      </c>
      <c r="J7975" s="25">
        <v>46233.418900462966</v>
      </c>
      <c r="K7975" s="24">
        <v>2</v>
      </c>
      <c r="L7975" s="22" t="str">
        <f>HYPERLINK("https://otsuka-europe-crm.veevavault.com/ui/#object/approved_document__v/V5O000000006001", "RXULTI - Comparativa antipsicóticos")</f>
        <v>RXULTI - Comparativa antipsicóticos</v>
      </c>
      <c r="M7975" s="22" t="str">
        <f>HYPERLINK("mailto:iortega@crm.otsuka-europe.com", "iortega@crm.otsuka-europe.com")</f>
        <v>iortega@crm.otsuka-europe.com</v>
      </c>
      <c r="N7975" s="25">
        <v>46233.360486111109</v>
      </c>
      <c r="O7975" s="14" t="str">
        <f>HYPERLINK("https://otsuka-europe-crm.veevavault.com/ui/#object/email_activity__v/V8C00000004E654", "EN-002109626")</f>
        <v>EN-002109626</v>
      </c>
    </row>
    <row r="7976" spans="1:15" ht="16" x14ac:dyDescent="0.2">
      <c r="A7976" s="26"/>
      <c r="B7976" s="26"/>
      <c r="C7976" s="26"/>
      <c r="D7976" s="26"/>
      <c r="E7976" s="26"/>
      <c r="F7976" s="26"/>
      <c r="G7976" s="26"/>
      <c r="H7976" s="26"/>
      <c r="I7976" s="26"/>
      <c r="J7976" s="26"/>
      <c r="K7976" s="26"/>
      <c r="L7976" s="26"/>
      <c r="M7976" s="26"/>
      <c r="N7976" s="26"/>
      <c r="O7976" s="14" t="str">
        <f>HYPERLINK("https://otsuka-europe-crm.veevavault.com/ui/#object/email_activity__v/V8C00000004E672", "EN-002109657")</f>
        <v>EN-002109657</v>
      </c>
    </row>
    <row r="7977" spans="1:15" ht="16" x14ac:dyDescent="0.2">
      <c r="A7977" s="26"/>
      <c r="B7977" s="26"/>
      <c r="C7977" s="26"/>
      <c r="D7977" s="26"/>
      <c r="E7977" s="26"/>
      <c r="F7977" s="26"/>
      <c r="G7977" s="26"/>
      <c r="H7977" s="26"/>
      <c r="I7977" s="26"/>
      <c r="J7977" s="26"/>
      <c r="K7977" s="26"/>
      <c r="L7977" s="26"/>
      <c r="M7977" s="26"/>
      <c r="N7977" s="26"/>
      <c r="O7977" s="14" t="str">
        <f>HYPERLINK("https://otsuka-europe-crm.veevavault.com/ui/#object/email_activity__v/V8C00000004E673", "EN-002109656")</f>
        <v>EN-002109656</v>
      </c>
    </row>
    <row r="7978" spans="1:15" ht="16" x14ac:dyDescent="0.2">
      <c r="A7978" s="26"/>
      <c r="B7978" s="26"/>
      <c r="C7978" s="26"/>
      <c r="D7978" s="26"/>
      <c r="E7978" s="26"/>
      <c r="F7978" s="26"/>
      <c r="G7978" s="26"/>
      <c r="H7978" s="26"/>
      <c r="I7978" s="26"/>
      <c r="J7978" s="26"/>
      <c r="K7978" s="26"/>
      <c r="L7978" s="26"/>
      <c r="M7978" s="26"/>
      <c r="N7978" s="26"/>
      <c r="O7978" s="14" t="str">
        <f>HYPERLINK("https://otsuka-europe-crm.veevavault.com/ui/#object/email_activity__v/V8C00000004E674", "EN-002109658")</f>
        <v>EN-002109658</v>
      </c>
    </row>
    <row r="7979" spans="1:15" ht="16" x14ac:dyDescent="0.2">
      <c r="A7979" s="26"/>
      <c r="B7979" s="26"/>
      <c r="C7979" s="26"/>
      <c r="D7979" s="26"/>
      <c r="E7979" s="26"/>
      <c r="F7979" s="26"/>
      <c r="G7979" s="26"/>
      <c r="H7979" s="26"/>
      <c r="I7979" s="26"/>
      <c r="J7979" s="26"/>
      <c r="K7979" s="26"/>
      <c r="L7979" s="26"/>
      <c r="M7979" s="26"/>
      <c r="N7979" s="26"/>
      <c r="O7979" s="14" t="str">
        <f>HYPERLINK("https://otsuka-europe-crm.veevavault.com/ui/#object/email_activity__v/V8C00000004E678", "EN-002109662")</f>
        <v>EN-002109662</v>
      </c>
    </row>
    <row r="7980" spans="1:15" ht="16" x14ac:dyDescent="0.2">
      <c r="A7980" s="26"/>
      <c r="B7980" s="26"/>
      <c r="C7980" s="26"/>
      <c r="D7980" s="26"/>
      <c r="E7980" s="26"/>
      <c r="F7980" s="26"/>
      <c r="G7980" s="26"/>
      <c r="H7980" s="26"/>
      <c r="I7980" s="26"/>
      <c r="J7980" s="26"/>
      <c r="K7980" s="26"/>
      <c r="L7980" s="26"/>
      <c r="M7980" s="26"/>
      <c r="N7980" s="26"/>
      <c r="O7980" s="14" t="str">
        <f>HYPERLINK("https://otsuka-europe-crm.veevavault.com/ui/#object/email_activity__v/V8C00000004E679", "EN-002109663")</f>
        <v>EN-002109663</v>
      </c>
    </row>
    <row r="7981" spans="1:15" ht="16" x14ac:dyDescent="0.2">
      <c r="A7981" s="19"/>
      <c r="B7981" s="19"/>
      <c r="C7981" s="19"/>
      <c r="D7981" s="19"/>
      <c r="E7981" s="19"/>
      <c r="F7981" s="19"/>
      <c r="G7981" s="19"/>
      <c r="H7981" s="19"/>
      <c r="I7981" s="19"/>
      <c r="J7981" s="19"/>
      <c r="K7981" s="19"/>
      <c r="L7981" s="19"/>
      <c r="M7981" s="19"/>
      <c r="N7981" s="19"/>
      <c r="O7981" s="14" t="str">
        <f>HYPERLINK("https://otsuka-europe-crm.veevavault.com/ui/#object/email_activity__v/V8C00000004E686", "EN-002109670")</f>
        <v>EN-002109670</v>
      </c>
    </row>
    <row r="7982" spans="1:15" ht="16" x14ac:dyDescent="0.2">
      <c r="A7982" s="18" t="str">
        <f>HYPERLINK("https://otsuka-europe-crm.veevavault.com/ui/#object/account__v/V4TZ06G6O71TAZC", "MARIA MERCEDES MADRE RULL")</f>
        <v>MARIA MERCEDES MADRE RULL</v>
      </c>
      <c r="B7982" s="18" t="str">
        <f>HYPERLINK("https://otsuka-europe-crm.veevavault.com/ui/#object/vcountry__v/VENZ000004SONF5", "ES")</f>
        <v>ES</v>
      </c>
      <c r="C7982" s="20" t="s">
        <v>39</v>
      </c>
      <c r="D7982" s="21" t="str">
        <f>HYPERLINK("https://otsuka-europe-crm.veevavault.com/ui/#object/approved_document__v/V5O000000006008", "RXULTI - efectividad en esquizofrenia y TCS")</f>
        <v>RXULTI - efectividad en esquizofrenia y TCS</v>
      </c>
      <c r="E7982" s="22" t="str">
        <f>HYPERLINK("https://otsuka-europe-crm.veevavault.com/ui/#object/sent_email__v/VBL00000003F145", "SE-001448210")</f>
        <v>SE-001448210</v>
      </c>
      <c r="F7982" s="25">
        <v>46233.422824074078</v>
      </c>
      <c r="G7982" s="24">
        <v>1</v>
      </c>
      <c r="H7982" s="24">
        <v>1</v>
      </c>
      <c r="I7982" s="24">
        <v>1</v>
      </c>
      <c r="J7982" s="25">
        <v>46233.422997685186</v>
      </c>
      <c r="K7982" s="24">
        <v>2</v>
      </c>
      <c r="L7982" s="22" t="str">
        <f>HYPERLINK("https://otsuka-europe-crm.veevavault.com/ui/#object/approved_document__v/V5O000000006008", "RXULTI - efectividad en esquizofrenia y TCS")</f>
        <v>RXULTI - efectividad en esquizofrenia y TCS</v>
      </c>
      <c r="M7982" s="22" t="str">
        <f>HYPERLINK("mailto:iortega@crm.otsuka-europe.com", "iortega@crm.otsuka-europe.com")</f>
        <v>iortega@crm.otsuka-europe.com</v>
      </c>
      <c r="N7982" s="25">
        <v>46233.360555555555</v>
      </c>
      <c r="O7982" s="14" t="str">
        <f>HYPERLINK("https://otsuka-europe-crm.veevavault.com/ui/#object/email_activity__v/V8C00000004E655", "EN-002109627")</f>
        <v>EN-002109627</v>
      </c>
    </row>
    <row r="7983" spans="1:15" ht="16" x14ac:dyDescent="0.2">
      <c r="A7983" s="26"/>
      <c r="B7983" s="26"/>
      <c r="C7983" s="26"/>
      <c r="D7983" s="26"/>
      <c r="E7983" s="26"/>
      <c r="F7983" s="26"/>
      <c r="G7983" s="26"/>
      <c r="H7983" s="26"/>
      <c r="I7983" s="26"/>
      <c r="J7983" s="26"/>
      <c r="K7983" s="26"/>
      <c r="L7983" s="26"/>
      <c r="M7983" s="26"/>
      <c r="N7983" s="26"/>
      <c r="O7983" s="14" t="str">
        <f>HYPERLINK("https://otsuka-europe-crm.veevavault.com/ui/#object/email_activity__v/V8C00000004E675", "EN-002109660")</f>
        <v>EN-002109660</v>
      </c>
    </row>
    <row r="7984" spans="1:15" ht="16" x14ac:dyDescent="0.2">
      <c r="A7984" s="26"/>
      <c r="B7984" s="26"/>
      <c r="C7984" s="26"/>
      <c r="D7984" s="26"/>
      <c r="E7984" s="26"/>
      <c r="F7984" s="26"/>
      <c r="G7984" s="26"/>
      <c r="H7984" s="26"/>
      <c r="I7984" s="26"/>
      <c r="J7984" s="26"/>
      <c r="K7984" s="26"/>
      <c r="L7984" s="26"/>
      <c r="M7984" s="26"/>
      <c r="N7984" s="26"/>
      <c r="O7984" s="14" t="str">
        <f>HYPERLINK("https://otsuka-europe-crm.veevavault.com/ui/#object/email_activity__v/V8C00000004E676", "EN-002109659")</f>
        <v>EN-002109659</v>
      </c>
    </row>
    <row r="7985" spans="1:15" ht="16" x14ac:dyDescent="0.2">
      <c r="A7985" s="19"/>
      <c r="B7985" s="19"/>
      <c r="C7985" s="19"/>
      <c r="D7985" s="19"/>
      <c r="E7985" s="19"/>
      <c r="F7985" s="19"/>
      <c r="G7985" s="19"/>
      <c r="H7985" s="19"/>
      <c r="I7985" s="19"/>
      <c r="J7985" s="19"/>
      <c r="K7985" s="19"/>
      <c r="L7985" s="19"/>
      <c r="M7985" s="19"/>
      <c r="N7985" s="19"/>
      <c r="O7985" s="14" t="str">
        <f>HYPERLINK("https://otsuka-europe-crm.veevavault.com/ui/#object/email_activity__v/V8C00000004E677", "EN-002109661")</f>
        <v>EN-002109661</v>
      </c>
    </row>
    <row r="7986" spans="1:15" ht="16" x14ac:dyDescent="0.2">
      <c r="A7986" s="18" t="str">
        <f>HYPERLINK("https://otsuka-europe-crm.veevavault.com/ui/#object/account__v/V4TZ06G6O71TAZC", "MARIA MERCEDES MADRE RULL")</f>
        <v>MARIA MERCEDES MADRE RULL</v>
      </c>
      <c r="B7986" s="18" t="str">
        <f>HYPERLINK("https://otsuka-europe-crm.veevavault.com/ui/#object/vcountry__v/VENZ000004SONF5", "ES")</f>
        <v>ES</v>
      </c>
      <c r="C7986" s="20" t="s">
        <v>39</v>
      </c>
      <c r="D7986" s="21" t="str">
        <f>HYPERLINK("https://otsuka-europe-crm.veevavault.com/ui/#object/approved_document__v/V5O000000006009", "RXULTI - Monografía de producto")</f>
        <v>RXULTI - Monografía de producto</v>
      </c>
      <c r="E7986" s="22" t="str">
        <f>HYPERLINK("https://otsuka-europe-crm.veevavault.com/ui/#object/sent_email__v/VBL00000003F146", "SE-001448211")</f>
        <v>SE-001448211</v>
      </c>
      <c r="F7986" s="25">
        <v>46233.495752314811</v>
      </c>
      <c r="G7986" s="24">
        <v>1</v>
      </c>
      <c r="H7986" s="24">
        <v>1</v>
      </c>
      <c r="I7986" s="24">
        <v>1</v>
      </c>
      <c r="J7986" s="25">
        <v>46233.496238425927</v>
      </c>
      <c r="K7986" s="24">
        <v>2</v>
      </c>
      <c r="L7986" s="22" t="str">
        <f>HYPERLINK("https://otsuka-europe-crm.veevavault.com/ui/#object/approved_document__v/V5O000000006009", "RXULTI - Monografía de producto")</f>
        <v>RXULTI - Monografía de producto</v>
      </c>
      <c r="M7986" s="22" t="str">
        <f>HYPERLINK("mailto:iortega@crm.otsuka-europe.com", "iortega@crm.otsuka-europe.com")</f>
        <v>iortega@crm.otsuka-europe.com</v>
      </c>
      <c r="N7986" s="25">
        <v>46233.360636574071</v>
      </c>
      <c r="O7986" s="14" t="str">
        <f>HYPERLINK("https://otsuka-europe-crm.veevavault.com/ui/#object/email_activity__v/V8C00000004D759", "EN-002109628")</f>
        <v>EN-002109628</v>
      </c>
    </row>
    <row r="7987" spans="1:15" ht="16" x14ac:dyDescent="0.2">
      <c r="A7987" s="26"/>
      <c r="B7987" s="26"/>
      <c r="C7987" s="26"/>
      <c r="D7987" s="26"/>
      <c r="E7987" s="26"/>
      <c r="F7987" s="26"/>
      <c r="G7987" s="26"/>
      <c r="H7987" s="26"/>
      <c r="I7987" s="26"/>
      <c r="J7987" s="26"/>
      <c r="K7987" s="26"/>
      <c r="L7987" s="26"/>
      <c r="M7987" s="26"/>
      <c r="N7987" s="26"/>
      <c r="O7987" s="14" t="str">
        <f>HYPERLINK("https://otsuka-europe-crm.veevavault.com/ui/#object/email_activity__v/V8C00000004D798", "EN-002109736")</f>
        <v>EN-002109736</v>
      </c>
    </row>
    <row r="7988" spans="1:15" ht="16" x14ac:dyDescent="0.2">
      <c r="A7988" s="26"/>
      <c r="B7988" s="26"/>
      <c r="C7988" s="26"/>
      <c r="D7988" s="26"/>
      <c r="E7988" s="26"/>
      <c r="F7988" s="26"/>
      <c r="G7988" s="26"/>
      <c r="H7988" s="26"/>
      <c r="I7988" s="26"/>
      <c r="J7988" s="26"/>
      <c r="K7988" s="26"/>
      <c r="L7988" s="26"/>
      <c r="M7988" s="26"/>
      <c r="N7988" s="26"/>
      <c r="O7988" s="14" t="str">
        <f>HYPERLINK("https://otsuka-europe-crm.veevavault.com/ui/#object/email_activity__v/V8C00000004D799", "EN-002109735")</f>
        <v>EN-002109735</v>
      </c>
    </row>
    <row r="7989" spans="1:15" ht="16" x14ac:dyDescent="0.2">
      <c r="A7989" s="26"/>
      <c r="B7989" s="26"/>
      <c r="C7989" s="26"/>
      <c r="D7989" s="26"/>
      <c r="E7989" s="26"/>
      <c r="F7989" s="26"/>
      <c r="G7989" s="26"/>
      <c r="H7989" s="26"/>
      <c r="I7989" s="26"/>
      <c r="J7989" s="26"/>
      <c r="K7989" s="26"/>
      <c r="L7989" s="26"/>
      <c r="M7989" s="26"/>
      <c r="N7989" s="26"/>
      <c r="O7989" s="14" t="str">
        <f>HYPERLINK("https://otsuka-europe-crm.veevavault.com/ui/#object/email_activity__v/V8C00000004D806", "EN-002109744")</f>
        <v>EN-002109744</v>
      </c>
    </row>
    <row r="7990" spans="1:15" ht="16" x14ac:dyDescent="0.2">
      <c r="A7990" s="26"/>
      <c r="B7990" s="26"/>
      <c r="C7990" s="26"/>
      <c r="D7990" s="26"/>
      <c r="E7990" s="26"/>
      <c r="F7990" s="26"/>
      <c r="G7990" s="26"/>
      <c r="H7990" s="26"/>
      <c r="I7990" s="26"/>
      <c r="J7990" s="26"/>
      <c r="K7990" s="26"/>
      <c r="L7990" s="26"/>
      <c r="M7990" s="26"/>
      <c r="N7990" s="26"/>
      <c r="O7990" s="14" t="str">
        <f>HYPERLINK("https://otsuka-europe-crm.veevavault.com/ui/#object/email_activity__v/V8C00000004D807", "EN-002109745")</f>
        <v>EN-002109745</v>
      </c>
    </row>
    <row r="7991" spans="1:15" ht="16" x14ac:dyDescent="0.2">
      <c r="A7991" s="26"/>
      <c r="B7991" s="26"/>
      <c r="C7991" s="26"/>
      <c r="D7991" s="26"/>
      <c r="E7991" s="26"/>
      <c r="F7991" s="26"/>
      <c r="G7991" s="26"/>
      <c r="H7991" s="26"/>
      <c r="I7991" s="26"/>
      <c r="J7991" s="26"/>
      <c r="K7991" s="26"/>
      <c r="L7991" s="26"/>
      <c r="M7991" s="26"/>
      <c r="N7991" s="26"/>
      <c r="O7991" s="14" t="str">
        <f>HYPERLINK("https://otsuka-europe-crm.veevavault.com/ui/#object/email_activity__v/V8C00000004D808", "EN-002109746")</f>
        <v>EN-002109746</v>
      </c>
    </row>
    <row r="7992" spans="1:15" ht="16" x14ac:dyDescent="0.2">
      <c r="A7992" s="19"/>
      <c r="B7992" s="19"/>
      <c r="C7992" s="19"/>
      <c r="D7992" s="19"/>
      <c r="E7992" s="19"/>
      <c r="F7992" s="19"/>
      <c r="G7992" s="19"/>
      <c r="H7992" s="19"/>
      <c r="I7992" s="19"/>
      <c r="J7992" s="19"/>
      <c r="K7992" s="19"/>
      <c r="L7992" s="19"/>
      <c r="M7992" s="19"/>
      <c r="N7992" s="19"/>
      <c r="O7992" s="14" t="str">
        <f>HYPERLINK("https://otsuka-europe-crm.veevavault.com/ui/#object/email_activity__v/V8C00000004E724", "EN-002109737")</f>
        <v>EN-002109737</v>
      </c>
    </row>
    <row r="7993" spans="1:15" ht="16" x14ac:dyDescent="0.2">
      <c r="A7993" s="18" t="str">
        <f>HYPERLINK("https://otsuka-europe-crm.veevavault.com/ui/#object/account__v/V4TZ06G6O71TAZC", "MARIA MERCEDES MADRE RULL")</f>
        <v>MARIA MERCEDES MADRE RULL</v>
      </c>
      <c r="B7993" s="18" t="str">
        <f>HYPERLINK("https://otsuka-europe-crm.veevavault.com/ui/#object/vcountry__v/VENZ000004SONF5", "ES")</f>
        <v>ES</v>
      </c>
      <c r="C7993" s="20" t="s">
        <v>39</v>
      </c>
      <c r="D7993" s="21" t="str">
        <f>HYPERLINK("https://otsuka-europe-crm.veevavault.com/ui/#object/approved_document__v/V5O000000006010", "RXULTI - Eficaz y fácil de iniciar")</f>
        <v>RXULTI - Eficaz y fácil de iniciar</v>
      </c>
      <c r="E7993" s="22" t="str">
        <f>HYPERLINK("https://otsuka-europe-crm.veevavault.com/ui/#object/sent_email__v/VBL00000003F147", "SE-001448212")</f>
        <v>SE-001448212</v>
      </c>
      <c r="F7993" s="25">
        <v>46233.496793981481</v>
      </c>
      <c r="G7993" s="24">
        <v>1</v>
      </c>
      <c r="H7993" s="24">
        <v>1</v>
      </c>
      <c r="I7993" s="24">
        <v>1</v>
      </c>
      <c r="J7993" s="25">
        <v>46233.496851851851</v>
      </c>
      <c r="K7993" s="24">
        <v>2</v>
      </c>
      <c r="L7993" s="22" t="str">
        <f>HYPERLINK("https://otsuka-europe-crm.veevavault.com/ui/#object/approved_document__v/V5O000000006010", "RXULTI - Eficaz y fácil de iniciar")</f>
        <v>RXULTI - Eficaz y fácil de iniciar</v>
      </c>
      <c r="M7993" s="22" t="str">
        <f>HYPERLINK("mailto:iortega@crm.otsuka-europe.com", "iortega@crm.otsuka-europe.com")</f>
        <v>iortega@crm.otsuka-europe.com</v>
      </c>
      <c r="N7993" s="25">
        <v>46233.360844907409</v>
      </c>
      <c r="O7993" s="14" t="str">
        <f>HYPERLINK("https://otsuka-europe-crm.veevavault.com/ui/#object/email_activity__v/V8C00000004D760", "EN-002109629")</f>
        <v>EN-002109629</v>
      </c>
    </row>
    <row r="7994" spans="1:15" ht="16" x14ac:dyDescent="0.2">
      <c r="A7994" s="26"/>
      <c r="B7994" s="26"/>
      <c r="C7994" s="26"/>
      <c r="D7994" s="26"/>
      <c r="E7994" s="26"/>
      <c r="F7994" s="26"/>
      <c r="G7994" s="26"/>
      <c r="H7994" s="26"/>
      <c r="I7994" s="26"/>
      <c r="J7994" s="26"/>
      <c r="K7994" s="26"/>
      <c r="L7994" s="26"/>
      <c r="M7994" s="26"/>
      <c r="N7994" s="26"/>
      <c r="O7994" s="14" t="str">
        <f>HYPERLINK("https://otsuka-europe-crm.veevavault.com/ui/#object/email_activity__v/V8C00000004D800", "EN-002109739")</f>
        <v>EN-002109739</v>
      </c>
    </row>
    <row r="7995" spans="1:15" ht="16" x14ac:dyDescent="0.2">
      <c r="A7995" s="26"/>
      <c r="B7995" s="26"/>
      <c r="C7995" s="26"/>
      <c r="D7995" s="26"/>
      <c r="E7995" s="26"/>
      <c r="F7995" s="26"/>
      <c r="G7995" s="26"/>
      <c r="H7995" s="26"/>
      <c r="I7995" s="26"/>
      <c r="J7995" s="26"/>
      <c r="K7995" s="26"/>
      <c r="L7995" s="26"/>
      <c r="M7995" s="26"/>
      <c r="N7995" s="26"/>
      <c r="O7995" s="14" t="str">
        <f>HYPERLINK("https://otsuka-europe-crm.veevavault.com/ui/#object/email_activity__v/V8C00000004D801", "EN-002109738")</f>
        <v>EN-002109738</v>
      </c>
    </row>
    <row r="7996" spans="1:15" ht="16" x14ac:dyDescent="0.2">
      <c r="A7996" s="26"/>
      <c r="B7996" s="26"/>
      <c r="C7996" s="26"/>
      <c r="D7996" s="26"/>
      <c r="E7996" s="26"/>
      <c r="F7996" s="26"/>
      <c r="G7996" s="26"/>
      <c r="H7996" s="26"/>
      <c r="I7996" s="26"/>
      <c r="J7996" s="26"/>
      <c r="K7996" s="26"/>
      <c r="L7996" s="26"/>
      <c r="M7996" s="26"/>
      <c r="N7996" s="26"/>
      <c r="O7996" s="14" t="str">
        <f>HYPERLINK("https://otsuka-europe-crm.veevavault.com/ui/#object/email_activity__v/V8C00000004D802", "EN-002109740")</f>
        <v>EN-002109740</v>
      </c>
    </row>
    <row r="7997" spans="1:15" ht="16" x14ac:dyDescent="0.2">
      <c r="A7997" s="26"/>
      <c r="B7997" s="26"/>
      <c r="C7997" s="26"/>
      <c r="D7997" s="26"/>
      <c r="E7997" s="26"/>
      <c r="F7997" s="26"/>
      <c r="G7997" s="26"/>
      <c r="H7997" s="26"/>
      <c r="I7997" s="26"/>
      <c r="J7997" s="26"/>
      <c r="K7997" s="26"/>
      <c r="L7997" s="26"/>
      <c r="M7997" s="26"/>
      <c r="N7997" s="26"/>
      <c r="O7997" s="14" t="str">
        <f>HYPERLINK("https://otsuka-europe-crm.veevavault.com/ui/#object/email_activity__v/V8C00000004D803", "EN-002109741")</f>
        <v>EN-002109741</v>
      </c>
    </row>
    <row r="7998" spans="1:15" ht="16" x14ac:dyDescent="0.2">
      <c r="A7998" s="26"/>
      <c r="B7998" s="26"/>
      <c r="C7998" s="26"/>
      <c r="D7998" s="26"/>
      <c r="E7998" s="26"/>
      <c r="F7998" s="26"/>
      <c r="G7998" s="26"/>
      <c r="H7998" s="26"/>
      <c r="I7998" s="26"/>
      <c r="J7998" s="26"/>
      <c r="K7998" s="26"/>
      <c r="L7998" s="26"/>
      <c r="M7998" s="26"/>
      <c r="N7998" s="26"/>
      <c r="O7998" s="14" t="str">
        <f>HYPERLINK("https://otsuka-europe-crm.veevavault.com/ui/#object/email_activity__v/V8C00000004D804", "EN-002109742")</f>
        <v>EN-002109742</v>
      </c>
    </row>
    <row r="7999" spans="1:15" ht="16" x14ac:dyDescent="0.2">
      <c r="A7999" s="19"/>
      <c r="B7999" s="19"/>
      <c r="C7999" s="19"/>
      <c r="D7999" s="19"/>
      <c r="E7999" s="19"/>
      <c r="F7999" s="19"/>
      <c r="G7999" s="19"/>
      <c r="H7999" s="19"/>
      <c r="I7999" s="19"/>
      <c r="J7999" s="19"/>
      <c r="K7999" s="19"/>
      <c r="L7999" s="19"/>
      <c r="M7999" s="19"/>
      <c r="N7999" s="19"/>
      <c r="O7999" s="14" t="str">
        <f>HYPERLINK("https://otsuka-europe-crm.veevavault.com/ui/#object/email_activity__v/V8C00000004D805", "EN-002109743")</f>
        <v>EN-002109743</v>
      </c>
    </row>
    <row r="8000" spans="1:15" ht="80" x14ac:dyDescent="0.2">
      <c r="A8000" s="7" t="str">
        <f>HYPERLINK("https://otsuka-europe-crm.veevavault.com/ui/#object/account__v/V4TZ06G6O71TAZC", "MARIA MERCEDES MADRE RULL")</f>
        <v>MARIA MERCEDES MADRE RULL</v>
      </c>
      <c r="B8000" s="7" t="str">
        <f>HYPERLINK("https://otsuka-europe-crm.veevavault.com/ui/#object/vcountry__v/VENZ000004SONF5", "ES")</f>
        <v>ES</v>
      </c>
      <c r="C8000" s="8" t="s">
        <v>39</v>
      </c>
      <c r="D8000" s="9" t="str">
        <f>HYPERLINK("https://otsuka-europe-crm.veevavault.com/ui/#object/approved_document__v/V5O00000000A064", "RXULTI - Vídeo Carmen Moreno - Retos y necesidades de la esquizofrenia infantojuvenil")</f>
        <v>RXULTI - Vídeo Carmen Moreno - Retos y necesidades de la esquizofrenia infantojuvenil</v>
      </c>
      <c r="E8000" s="10" t="str">
        <f>HYPERLINK("https://otsuka-europe-crm.veevavault.com/ui/#object/sent_email__v/VBL00000003F148", "SE-001448213")</f>
        <v>SE-001448213</v>
      </c>
      <c r="F8000" s="11"/>
      <c r="G8000" s="12">
        <v>0</v>
      </c>
      <c r="H8000" s="12">
        <v>0</v>
      </c>
      <c r="I8000" s="12">
        <v>0</v>
      </c>
      <c r="J8000" s="11"/>
      <c r="K8000" s="12">
        <v>0</v>
      </c>
      <c r="L8000" s="10" t="str">
        <f>HYPERLINK("https://otsuka-europe-crm.veevavault.com/ui/#object/approved_document__v/V5O00000000A064", "RXULTI - Vídeo Carmen Moreno - Retos y necesidades de la esquizofrenia infantojuvenil")</f>
        <v>RXULTI - Vídeo Carmen Moreno - Retos y necesidades de la esquizofrenia infantojuvenil</v>
      </c>
      <c r="M8000" s="10" t="str">
        <f>HYPERLINK("mailto:iortega@crm.otsuka-europe.com", "iortega@crm.otsuka-europe.com")</f>
        <v>iortega@crm.otsuka-europe.com</v>
      </c>
      <c r="N8000" s="13">
        <v>46233.360844907409</v>
      </c>
      <c r="O8000" s="14" t="str">
        <f>HYPERLINK("https://otsuka-europe-crm.veevavault.com/ui/#object/email_activity__v/V8C00000004E656", "EN-002109630")</f>
        <v>EN-002109630</v>
      </c>
    </row>
    <row r="8001" spans="1:15" ht="32" x14ac:dyDescent="0.2">
      <c r="A8001" s="7" t="str">
        <f>HYPERLINK("https://otsuka-europe-crm.veevavault.com/ui/#object/account__v/V4TZ06G6O71TAZC", "MARIA MERCEDES MADRE RULL")</f>
        <v>MARIA MERCEDES MADRE RULL</v>
      </c>
      <c r="B8001" s="7" t="str">
        <f>HYPERLINK("https://otsuka-europe-crm.veevavault.com/ui/#object/vcountry__v/VENZ000004SONF5", "ES")</f>
        <v>ES</v>
      </c>
      <c r="C8001" s="8" t="s">
        <v>39</v>
      </c>
      <c r="D8001" s="9" t="str">
        <f>HYPERLINK("https://otsuka-europe-crm.veevavault.com/ui/#object/approved_document__v/V5O00000001H027", "RXULTI - Monografía de producto")</f>
        <v>RXULTI - Monografía de producto</v>
      </c>
      <c r="E8001" s="10" t="str">
        <f>HYPERLINK("https://otsuka-europe-crm.veevavault.com/ui/#object/sent_email__v/VBL00000003F149", "SE-001448214")</f>
        <v>SE-001448214</v>
      </c>
      <c r="F8001" s="11"/>
      <c r="G8001" s="12">
        <v>0</v>
      </c>
      <c r="H8001" s="12">
        <v>0</v>
      </c>
      <c r="I8001" s="12">
        <v>0</v>
      </c>
      <c r="J8001" s="11"/>
      <c r="K8001" s="12">
        <v>0</v>
      </c>
      <c r="L8001" s="10" t="str">
        <f>HYPERLINK("https://otsuka-europe-crm.veevavault.com/ui/#object/approved_document__v/V5O00000001H027", "RXULTI - Monografía de producto")</f>
        <v>RXULTI - Monografía de producto</v>
      </c>
      <c r="M8001" s="10" t="str">
        <f>HYPERLINK("mailto:iortega@crm.otsuka-europe.com", "iortega@crm.otsuka-europe.com")</f>
        <v>iortega@crm.otsuka-europe.com</v>
      </c>
      <c r="N8001" s="13">
        <v>46233.360914351855</v>
      </c>
      <c r="O8001" s="14" t="str">
        <f>HYPERLINK("https://otsuka-europe-crm.veevavault.com/ui/#object/email_activity__v/V8C00000004D761", "EN-002109631")</f>
        <v>EN-002109631</v>
      </c>
    </row>
    <row r="8002" spans="1:15" ht="48" x14ac:dyDescent="0.2">
      <c r="A8002" s="7" t="str">
        <f>HYPERLINK("https://otsuka-europe-crm.veevavault.com/ui/#object/account__v/V4TZ06G6O71TAZC", "MARIA MERCEDES MADRE RULL")</f>
        <v>MARIA MERCEDES MADRE RULL</v>
      </c>
      <c r="B8002" s="7" t="str">
        <f>HYPERLINK("https://otsuka-europe-crm.veevavault.com/ui/#object/vcountry__v/VENZ000004SONF5", "ES")</f>
        <v>ES</v>
      </c>
      <c r="C8002" s="8" t="s">
        <v>39</v>
      </c>
      <c r="D8002" s="9" t="str">
        <f>HYPERLINK("https://otsuka-europe-crm.veevavault.com/ui/#object/approved_document__v/V5OZ025E82UF0DE", "RXULTI - Presentación indicación adolescentes y dosis 0,5 mg")</f>
        <v>RXULTI - Presentación indicación adolescentes y dosis 0,5 mg</v>
      </c>
      <c r="E8002" s="10" t="str">
        <f>HYPERLINK("https://otsuka-europe-crm.veevavault.com/ui/#object/sent_email__v/VBL00000003F150", "SE-001448215")</f>
        <v>SE-001448215</v>
      </c>
      <c r="F8002" s="11"/>
      <c r="G8002" s="12">
        <v>0</v>
      </c>
      <c r="H8002" s="12">
        <v>0</v>
      </c>
      <c r="I8002" s="12">
        <v>0</v>
      </c>
      <c r="J8002" s="11"/>
      <c r="K8002" s="12">
        <v>0</v>
      </c>
      <c r="L8002" s="10" t="str">
        <f>HYPERLINK("https://otsuka-europe-crm.veevavault.com/ui/#object/approved_document__v/V5OZ025E82UF0DE", "RXULTI - Presentación indicación adolescentes y dosis 0,5 mg")</f>
        <v>RXULTI - Presentación indicación adolescentes y dosis 0,5 mg</v>
      </c>
      <c r="M8002" s="10" t="str">
        <f>HYPERLINK("mailto:iortega@crm.otsuka-europe.com", "iortega@crm.otsuka-europe.com")</f>
        <v>iortega@crm.otsuka-europe.com</v>
      </c>
      <c r="N8002" s="13">
        <v>46233.361192129632</v>
      </c>
      <c r="O8002" s="14" t="str">
        <f>HYPERLINK("https://otsuka-europe-crm.veevavault.com/ui/#object/email_activity__v/V8C00000004E657", "EN-002109632")</f>
        <v>EN-002109632</v>
      </c>
    </row>
    <row r="8003" spans="1:15" ht="16" x14ac:dyDescent="0.2">
      <c r="A8003" s="18" t="str">
        <f>HYPERLINK("https://otsuka-europe-crm.veevavault.com/ui/#object/account__v/V4T000000010095", "GARBIÑE LICEAGA CUNDIN")</f>
        <v>GARBIÑE LICEAGA CUNDIN</v>
      </c>
      <c r="B8003" s="18" t="str">
        <f>HYPERLINK("https://otsuka-europe-crm.veevavault.com/ui/#object/vcountry__v/VENZ000004SONF5", "ES")</f>
        <v>ES</v>
      </c>
      <c r="C8003" s="20" t="s">
        <v>39</v>
      </c>
      <c r="D8003" s="21" t="str">
        <f>HYPERLINK("https://otsuka-europe-crm.veevavault.com/ui/#object/approved_document__v/V5OZ04ASG4FWKA9", "Documento Autorizaciขn Centro Empleador")</f>
        <v>Documento Autorizaciขn Centro Empleador</v>
      </c>
      <c r="E8003" s="22" t="str">
        <f>HYPERLINK("https://otsuka-europe-crm.veevavault.com/ui/#object/sent_email__v/VBL00000003E250", "SE-001448219")</f>
        <v>SE-001448219</v>
      </c>
      <c r="F8003" s="25">
        <v>46235.799305555556</v>
      </c>
      <c r="G8003" s="24">
        <v>1</v>
      </c>
      <c r="H8003" s="24">
        <v>1</v>
      </c>
      <c r="I8003" s="24">
        <v>1</v>
      </c>
      <c r="J8003" s="25">
        <v>46235.79965277778</v>
      </c>
      <c r="K8003" s="24">
        <v>3</v>
      </c>
      <c r="L8003" s="22" t="str">
        <f>HYPERLINK("https://otsuka-europe-crm.veevavault.com/ui/#object/approved_document__v/V5OZ04ASG4FWKA9", "Documento Autorizaciขn Centro Empleador")</f>
        <v>Documento Autorizaciขn Centro Empleador</v>
      </c>
      <c r="M8003" s="22" t="str">
        <f>HYPERLINK("mailto:alegazpi@crm.otsuka-europe.com", "alegazpi@crm.otsuka-europe.com")</f>
        <v>alegazpi@crm.otsuka-europe.com</v>
      </c>
      <c r="N8003" s="25">
        <v>46233.392777777779</v>
      </c>
      <c r="O8003" s="14" t="str">
        <f>HYPERLINK("https://otsuka-europe-crm.veevavault.com/ui/#object/email_activity__v/V8C00000004D763", "EN-002109638")</f>
        <v>EN-002109638</v>
      </c>
    </row>
    <row r="8004" spans="1:15" ht="16" x14ac:dyDescent="0.2">
      <c r="A8004" s="26"/>
      <c r="B8004" s="26"/>
      <c r="C8004" s="26"/>
      <c r="D8004" s="26"/>
      <c r="E8004" s="26"/>
      <c r="F8004" s="26"/>
      <c r="G8004" s="26"/>
      <c r="H8004" s="26"/>
      <c r="I8004" s="26"/>
      <c r="J8004" s="26"/>
      <c r="K8004" s="26"/>
      <c r="L8004" s="26"/>
      <c r="M8004" s="26"/>
      <c r="N8004" s="26"/>
      <c r="O8004" s="14" t="str">
        <f>HYPERLINK("https://otsuka-europe-crm.veevavault.com/ui/#object/email_activity__v/V8C00000004I041", "EN-002111061")</f>
        <v>EN-002111061</v>
      </c>
    </row>
    <row r="8005" spans="1:15" ht="16" x14ac:dyDescent="0.2">
      <c r="A8005" s="26"/>
      <c r="B8005" s="26"/>
      <c r="C8005" s="26"/>
      <c r="D8005" s="26"/>
      <c r="E8005" s="26"/>
      <c r="F8005" s="26"/>
      <c r="G8005" s="26"/>
      <c r="H8005" s="26"/>
      <c r="I8005" s="26"/>
      <c r="J8005" s="26"/>
      <c r="K8005" s="26"/>
      <c r="L8005" s="26"/>
      <c r="M8005" s="26"/>
      <c r="N8005" s="26"/>
      <c r="O8005" s="14" t="str">
        <f>HYPERLINK("https://otsuka-europe-crm.veevavault.com/ui/#object/email_activity__v/V8C00000004I042", "EN-002111060")</f>
        <v>EN-002111060</v>
      </c>
    </row>
    <row r="8006" spans="1:15" ht="16" x14ac:dyDescent="0.2">
      <c r="A8006" s="26"/>
      <c r="B8006" s="26"/>
      <c r="C8006" s="26"/>
      <c r="D8006" s="26"/>
      <c r="E8006" s="26"/>
      <c r="F8006" s="26"/>
      <c r="G8006" s="26"/>
      <c r="H8006" s="26"/>
      <c r="I8006" s="26"/>
      <c r="J8006" s="26"/>
      <c r="K8006" s="26"/>
      <c r="L8006" s="26"/>
      <c r="M8006" s="26"/>
      <c r="N8006" s="26"/>
      <c r="O8006" s="14" t="str">
        <f>HYPERLINK("https://otsuka-europe-crm.veevavault.com/ui/#object/email_activity__v/V8C00000004I043", "EN-002111062")</f>
        <v>EN-002111062</v>
      </c>
    </row>
    <row r="8007" spans="1:15" ht="16" x14ac:dyDescent="0.2">
      <c r="A8007" s="19"/>
      <c r="B8007" s="19"/>
      <c r="C8007" s="19"/>
      <c r="D8007" s="19"/>
      <c r="E8007" s="19"/>
      <c r="F8007" s="19"/>
      <c r="G8007" s="19"/>
      <c r="H8007" s="19"/>
      <c r="I8007" s="19"/>
      <c r="J8007" s="19"/>
      <c r="K8007" s="19"/>
      <c r="L8007" s="19"/>
      <c r="M8007" s="19"/>
      <c r="N8007" s="19"/>
      <c r="O8007" s="14" t="str">
        <f>HYPERLINK("https://otsuka-europe-crm.veevavault.com/ui/#object/email_activity__v/V8C00000004I044", "EN-002111063")</f>
        <v>EN-002111063</v>
      </c>
    </row>
    <row r="8008" spans="1:15" ht="16" x14ac:dyDescent="0.2">
      <c r="A8008" s="18" t="str">
        <f>HYPERLINK("https://otsuka-europe-crm.veevavault.com/ui/#object/account__v/V4T00000002I054", "GRACE ESTEFANIA PAZ ROMERO")</f>
        <v>GRACE ESTEFANIA PAZ ROMERO</v>
      </c>
      <c r="B8008" s="18" t="str">
        <f>HYPERLINK("https://otsuka-europe-crm.veevavault.com/ui/#object/vcountry__v/VENZ000004SONF5", "ES")</f>
        <v>ES</v>
      </c>
      <c r="C8008" s="20" t="s">
        <v>39</v>
      </c>
      <c r="D8008" s="21" t="str">
        <f>HYPERLINK("https://otsuka-europe-crm.veevavault.com/ui/#object/approved_document__v/V5O00000000D100", "Spain - Consent Email 1 Aug 25")</f>
        <v>Spain - Consent Email 1 Aug 25</v>
      </c>
      <c r="E8008" s="22" t="str">
        <f>HYPERLINK("https://otsuka-europe-crm.veevavault.com/ui/#object/sent_email__v/VBL00000003E251", "SE-001448220")</f>
        <v>SE-001448220</v>
      </c>
      <c r="F8008" s="25">
        <v>46234.34175925926</v>
      </c>
      <c r="G8008" s="24">
        <v>1</v>
      </c>
      <c r="H8008" s="24">
        <v>1</v>
      </c>
      <c r="I8008" s="24">
        <v>1</v>
      </c>
      <c r="J8008" s="25">
        <v>46234.34175925926</v>
      </c>
      <c r="K8008" s="24">
        <v>1</v>
      </c>
      <c r="L8008" s="22" t="str">
        <f>HYPERLINK("https://otsuka-europe-crm.veevavault.com/ui/#object/approved_document__v/V5O00000000D100", "Spain - Consent Email 1 Aug 25")</f>
        <v>Spain - Consent Email 1 Aug 25</v>
      </c>
      <c r="M8008" s="22" t="str">
        <f>HYPERLINK("mailto:ccalero@crm.otsuka-europe.com", "ccalero@crm.otsuka-europe.com")</f>
        <v>ccalero@crm.otsuka-europe.com</v>
      </c>
      <c r="N8008" s="25">
        <v>46233.393472222226</v>
      </c>
      <c r="O8008" s="14" t="str">
        <f>HYPERLINK("https://otsuka-europe-crm.veevavault.com/ui/#object/email_activity__v/V8C00000004D766", "EN-002109641")</f>
        <v>EN-002109641</v>
      </c>
    </row>
    <row r="8009" spans="1:15" ht="16" x14ac:dyDescent="0.2">
      <c r="A8009" s="26"/>
      <c r="B8009" s="26"/>
      <c r="C8009" s="26"/>
      <c r="D8009" s="26"/>
      <c r="E8009" s="26"/>
      <c r="F8009" s="26"/>
      <c r="G8009" s="26"/>
      <c r="H8009" s="26"/>
      <c r="I8009" s="26"/>
      <c r="J8009" s="26"/>
      <c r="K8009" s="26"/>
      <c r="L8009" s="26"/>
      <c r="M8009" s="26"/>
      <c r="N8009" s="26"/>
      <c r="O8009" s="14" t="str">
        <f>HYPERLINK("https://otsuka-europe-crm.veevavault.com/ui/#object/email_activity__v/V8C00000004F038", "EN-002109889")</f>
        <v>EN-002109889</v>
      </c>
    </row>
    <row r="8010" spans="1:15" ht="16" x14ac:dyDescent="0.2">
      <c r="A8010" s="19"/>
      <c r="B8010" s="19"/>
      <c r="C8010" s="19"/>
      <c r="D8010" s="19"/>
      <c r="E8010" s="19"/>
      <c r="F8010" s="19"/>
      <c r="G8010" s="19"/>
      <c r="H8010" s="19"/>
      <c r="I8010" s="19"/>
      <c r="J8010" s="19"/>
      <c r="K8010" s="19"/>
      <c r="L8010" s="19"/>
      <c r="M8010" s="19"/>
      <c r="N8010" s="19"/>
      <c r="O8010" s="14" t="str">
        <f>HYPERLINK("https://otsuka-europe-crm.veevavault.com/ui/#object/email_activity__v/V8C00000004F039", "EN-002109888")</f>
        <v>EN-002109888</v>
      </c>
    </row>
    <row r="8011" spans="1:15" ht="16" x14ac:dyDescent="0.2">
      <c r="A8011" s="18" t="str">
        <f>HYPERLINK("https://otsuka-europe-crm.veevavault.com/ui/#object/account__v/V4T00000002I054", "GRACE ESTEFANIA PAZ ROMERO")</f>
        <v>GRACE ESTEFANIA PAZ ROMERO</v>
      </c>
      <c r="B8011" s="18" t="str">
        <f>HYPERLINK("https://otsuka-europe-crm.veevavault.com/ui/#object/vcountry__v/VENZ000004SONF5", "ES")</f>
        <v>ES</v>
      </c>
      <c r="C8011" s="20" t="s">
        <v>39</v>
      </c>
      <c r="D8011" s="21" t="str">
        <f>HYPERLINK("https://otsuka-europe-crm.veevavault.com/ui/#object/approved_document__v/V5OZ04ASG4FWKA7", "Reuniones Online Consent - 2")</f>
        <v>Reuniones Online Consent - 2</v>
      </c>
      <c r="E8011" s="22" t="str">
        <f>HYPERLINK("https://otsuka-europe-crm.veevavault.com/ui/#object/sent_email__v/VBL00000003E252", "SE-001448221")</f>
        <v>SE-001448221</v>
      </c>
      <c r="F8011" s="25">
        <v>46234.342037037037</v>
      </c>
      <c r="G8011" s="24">
        <v>1</v>
      </c>
      <c r="H8011" s="24">
        <v>1</v>
      </c>
      <c r="I8011" s="24">
        <v>1</v>
      </c>
      <c r="J8011" s="25">
        <v>46234.342407407406</v>
      </c>
      <c r="K8011" s="24">
        <v>2</v>
      </c>
      <c r="L8011" s="22" t="str">
        <f>HYPERLINK("https://otsuka-europe-crm.veevavault.com/ui/#object/approved_document__v/V5OZ04ASG4FWKA7", "Reuniones Online Consent - 2")</f>
        <v>Reuniones Online Consent - 2</v>
      </c>
      <c r="M8011" s="22" t="str">
        <f>HYPERLINK("mailto:ccalero@crm.otsuka-europe.com", "ccalero@crm.otsuka-europe.com")</f>
        <v>ccalero@crm.otsuka-europe.com</v>
      </c>
      <c r="N8011" s="25">
        <v>46233.393460648149</v>
      </c>
      <c r="O8011" s="14" t="str">
        <f>HYPERLINK("https://otsuka-europe-crm.veevavault.com/ui/#object/email_activity__v/V8C00000004D764", "EN-002109639")</f>
        <v>EN-002109639</v>
      </c>
    </row>
    <row r="8012" spans="1:15" ht="16" x14ac:dyDescent="0.2">
      <c r="A8012" s="26"/>
      <c r="B8012" s="26"/>
      <c r="C8012" s="26"/>
      <c r="D8012" s="26"/>
      <c r="E8012" s="26"/>
      <c r="F8012" s="26"/>
      <c r="G8012" s="26"/>
      <c r="H8012" s="26"/>
      <c r="I8012" s="26"/>
      <c r="J8012" s="26"/>
      <c r="K8012" s="26"/>
      <c r="L8012" s="26"/>
      <c r="M8012" s="26"/>
      <c r="N8012" s="26"/>
      <c r="O8012" s="14" t="str">
        <f>HYPERLINK("https://otsuka-europe-crm.veevavault.com/ui/#object/email_activity__v/V8C00000004F040", "EN-002109891")</f>
        <v>EN-002109891</v>
      </c>
    </row>
    <row r="8013" spans="1:15" ht="16" x14ac:dyDescent="0.2">
      <c r="A8013" s="26"/>
      <c r="B8013" s="26"/>
      <c r="C8013" s="26"/>
      <c r="D8013" s="26"/>
      <c r="E8013" s="26"/>
      <c r="F8013" s="26"/>
      <c r="G8013" s="26"/>
      <c r="H8013" s="26"/>
      <c r="I8013" s="26"/>
      <c r="J8013" s="26"/>
      <c r="K8013" s="26"/>
      <c r="L8013" s="26"/>
      <c r="M8013" s="26"/>
      <c r="N8013" s="26"/>
      <c r="O8013" s="14" t="str">
        <f>HYPERLINK("https://otsuka-europe-crm.veevavault.com/ui/#object/email_activity__v/V8C00000004F041", "EN-002109890")</f>
        <v>EN-002109890</v>
      </c>
    </row>
    <row r="8014" spans="1:15" ht="16" x14ac:dyDescent="0.2">
      <c r="A8014" s="19"/>
      <c r="B8014" s="19"/>
      <c r="C8014" s="19"/>
      <c r="D8014" s="19"/>
      <c r="E8014" s="19"/>
      <c r="F8014" s="19"/>
      <c r="G8014" s="19"/>
      <c r="H8014" s="19"/>
      <c r="I8014" s="19"/>
      <c r="J8014" s="19"/>
      <c r="K8014" s="19"/>
      <c r="L8014" s="19"/>
      <c r="M8014" s="19"/>
      <c r="N8014" s="19"/>
      <c r="O8014" s="14" t="str">
        <f>HYPERLINK("https://otsuka-europe-crm.veevavault.com/ui/#object/email_activity__v/V8C00000004F042", "EN-002109892")</f>
        <v>EN-002109892</v>
      </c>
    </row>
    <row r="8015" spans="1:15" ht="16" x14ac:dyDescent="0.2">
      <c r="A8015" s="18" t="str">
        <f>HYPERLINK("https://otsuka-europe-crm.veevavault.com/ui/#object/account__v/V4T00000002I054", "GRACE ESTEFANIA PAZ ROMERO")</f>
        <v>GRACE ESTEFANIA PAZ ROMERO</v>
      </c>
      <c r="B8015" s="18" t="str">
        <f>HYPERLINK("https://otsuka-europe-crm.veevavault.com/ui/#object/vcountry__v/VENZ000004SONF5", "ES")</f>
        <v>ES</v>
      </c>
      <c r="C8015" s="20" t="s">
        <v>39</v>
      </c>
      <c r="D8015" s="21" t="str">
        <f>HYPERLINK("https://otsuka-europe-crm.veevavault.com/ui/#object/approved_document__v/V5OZ04ASG4FWKA9", "Documento Autorizaciขn Centro Empleador")</f>
        <v>Documento Autorizaciขn Centro Empleador</v>
      </c>
      <c r="E8015" s="22" t="str">
        <f>HYPERLINK("https://otsuka-europe-crm.veevavault.com/ui/#object/sent_email__v/VBL00000003E253", "SE-001448222")</f>
        <v>SE-001448222</v>
      </c>
      <c r="F8015" s="25">
        <v>46234.34138888889</v>
      </c>
      <c r="G8015" s="24">
        <v>1</v>
      </c>
      <c r="H8015" s="24">
        <v>1</v>
      </c>
      <c r="I8015" s="24">
        <v>1</v>
      </c>
      <c r="J8015" s="25">
        <v>46234.341631944444</v>
      </c>
      <c r="K8015" s="24">
        <v>2</v>
      </c>
      <c r="L8015" s="22" t="str">
        <f>HYPERLINK("https://otsuka-europe-crm.veevavault.com/ui/#object/approved_document__v/V5OZ04ASG4FWKA9", "Documento Autorizaciขn Centro Empleador")</f>
        <v>Documento Autorizaciขn Centro Empleador</v>
      </c>
      <c r="M8015" s="22" t="str">
        <f>HYPERLINK("mailto:ccalero@crm.otsuka-europe.com", "ccalero@crm.otsuka-europe.com")</f>
        <v>ccalero@crm.otsuka-europe.com</v>
      </c>
      <c r="N8015" s="25">
        <v>46233.393449074072</v>
      </c>
      <c r="O8015" s="14" t="str">
        <f>HYPERLINK("https://otsuka-europe-crm.veevavault.com/ui/#object/email_activity__v/V8C00000004D765", "EN-002109640")</f>
        <v>EN-002109640</v>
      </c>
    </row>
    <row r="8016" spans="1:15" ht="16" x14ac:dyDescent="0.2">
      <c r="A8016" s="26"/>
      <c r="B8016" s="26"/>
      <c r="C8016" s="26"/>
      <c r="D8016" s="26"/>
      <c r="E8016" s="26"/>
      <c r="F8016" s="26"/>
      <c r="G8016" s="26"/>
      <c r="H8016" s="26"/>
      <c r="I8016" s="26"/>
      <c r="J8016" s="26"/>
      <c r="K8016" s="26"/>
      <c r="L8016" s="26"/>
      <c r="M8016" s="26"/>
      <c r="N8016" s="26"/>
      <c r="O8016" s="14" t="str">
        <f>HYPERLINK("https://otsuka-europe-crm.veevavault.com/ui/#object/email_activity__v/V8C00000004F035", "EN-002109886")</f>
        <v>EN-002109886</v>
      </c>
    </row>
    <row r="8017" spans="1:15" ht="16" x14ac:dyDescent="0.2">
      <c r="A8017" s="26"/>
      <c r="B8017" s="26"/>
      <c r="C8017" s="26"/>
      <c r="D8017" s="26"/>
      <c r="E8017" s="26"/>
      <c r="F8017" s="26"/>
      <c r="G8017" s="26"/>
      <c r="H8017" s="26"/>
      <c r="I8017" s="26"/>
      <c r="J8017" s="26"/>
      <c r="K8017" s="26"/>
      <c r="L8017" s="26"/>
      <c r="M8017" s="26"/>
      <c r="N8017" s="26"/>
      <c r="O8017" s="14" t="str">
        <f>HYPERLINK("https://otsuka-europe-crm.veevavault.com/ui/#object/email_activity__v/V8C00000004F036", "EN-002109885")</f>
        <v>EN-002109885</v>
      </c>
    </row>
    <row r="8018" spans="1:15" ht="16" x14ac:dyDescent="0.2">
      <c r="A8018" s="19"/>
      <c r="B8018" s="19"/>
      <c r="C8018" s="19"/>
      <c r="D8018" s="19"/>
      <c r="E8018" s="19"/>
      <c r="F8018" s="19"/>
      <c r="G8018" s="19"/>
      <c r="H8018" s="19"/>
      <c r="I8018" s="19"/>
      <c r="J8018" s="19"/>
      <c r="K8018" s="19"/>
      <c r="L8018" s="19"/>
      <c r="M8018" s="19"/>
      <c r="N8018" s="19"/>
      <c r="O8018" s="14" t="str">
        <f>HYPERLINK("https://otsuka-europe-crm.veevavault.com/ui/#object/email_activity__v/V8C00000004F037", "EN-002109887")</f>
        <v>EN-002109887</v>
      </c>
    </row>
    <row r="8019" spans="1:15" ht="32" x14ac:dyDescent="0.2">
      <c r="A8019" s="7" t="str">
        <f>HYPERLINK("https://otsuka-europe-crm.veevavault.com/ui/#object/account__v/V4TZ025E86FLMO6", "STEFANO DEL GIACCO")</f>
        <v>STEFANO DEL GIACCO</v>
      </c>
      <c r="B8019" s="7" t="str">
        <f>HYPERLINK("https://otsuka-europe-crm.veevavault.com/ui/#object/vcountry__v/VENZ000004SONFQ", "IT")</f>
        <v>IT</v>
      </c>
      <c r="C8019" s="8" t="s">
        <v>42</v>
      </c>
      <c r="D8019" s="9" t="str">
        <f>HYPERLINK("https://otsuka-europe-crm.veevavault.com/ui/#object/approved_document__v/V5OZ025E82LS9PY", "IT ToV Veeva Privacy Notice Email")</f>
        <v>IT ToV Veeva Privacy Notice Email</v>
      </c>
      <c r="E8019" s="10" t="str">
        <f>HYPERLINK("https://otsuka-europe-crm.veevavault.com/ui/#object/sent_email__v/VBL00000003E254", "SE-001448223")</f>
        <v>SE-001448223</v>
      </c>
      <c r="F8019" s="11"/>
      <c r="G8019" s="12">
        <v>0</v>
      </c>
      <c r="H8019" s="12">
        <v>0</v>
      </c>
      <c r="I8019" s="12">
        <v>0</v>
      </c>
      <c r="J8019" s="11"/>
      <c r="K8019" s="12">
        <v>0</v>
      </c>
      <c r="L8019" s="10" t="str">
        <f>HYPERLINK("https://otsuka-europe-crm.veevavault.com/ui/#object/approved_document__v/V5OZ025E82LS9PY", "IT ToV Veeva Privacy Notice Email")</f>
        <v>IT ToV Veeva Privacy Notice Email</v>
      </c>
      <c r="M8019" s="10" t="str">
        <f>HYPERLINK("mailto:silvia.govoni@crm.otsuka-europe.com", "silvia.govoni@crm.otsuka-europe.com")</f>
        <v>silvia.govoni@crm.otsuka-europe.com</v>
      </c>
      <c r="N8019" s="13">
        <v>46233.406435185185</v>
      </c>
      <c r="O8019" s="14" t="str">
        <f>HYPERLINK("https://otsuka-europe-crm.veevavault.com/ui/#object/email_activity__v/V8C00000004E663", "EN-002109645")</f>
        <v>EN-002109645</v>
      </c>
    </row>
    <row r="8020" spans="1:15" ht="32" x14ac:dyDescent="0.2">
      <c r="A8020" s="7" t="str">
        <f>HYPERLINK("https://otsuka-europe-crm.veevavault.com/ui/#object/account__v/V4T00000002I055", "GUADALUPE MARCO MARTIN")</f>
        <v>GUADALUPE MARCO MARTIN</v>
      </c>
      <c r="B8020" s="7" t="str">
        <f>HYPERLINK("https://otsuka-europe-crm.veevavault.com/ui/#object/vcountry__v/VENZ000004SONF5", "ES")</f>
        <v>ES</v>
      </c>
      <c r="C8020" s="8" t="s">
        <v>39</v>
      </c>
      <c r="D8020" s="9" t="str">
        <f>HYPERLINK("https://otsuka-europe-crm.veevavault.com/ui/#object/approved_document__v/V5OZ06G6O6RFL1P", "ES Veeva Privacy Notice Email")</f>
        <v>ES Veeva Privacy Notice Email</v>
      </c>
      <c r="E8020" s="10" t="str">
        <f>HYPERLINK("https://otsuka-europe-crm.veevavault.com/ui/#object/sent_email__v/VBL00000003F154", "SE-001448224")</f>
        <v>SE-001448224</v>
      </c>
      <c r="F8020" s="11"/>
      <c r="G8020" s="12">
        <v>0</v>
      </c>
      <c r="H8020" s="12">
        <v>0</v>
      </c>
      <c r="I8020" s="12">
        <v>0</v>
      </c>
      <c r="J8020" s="11"/>
      <c r="K8020" s="12">
        <v>0</v>
      </c>
      <c r="L8020" s="10" t="str">
        <f>HYPERLINK("https://otsuka-europe-crm.veevavault.com/ui/#object/approved_document__v/V5OZ06G6O6RFL1P", "ES Veeva Privacy Notice Email")</f>
        <v>ES Veeva Privacy Notice Email</v>
      </c>
      <c r="M8020" s="10" t="str">
        <f>HYPERLINK("mailto:amartinez@crm.otsuka-europe.com", "amartinez@crm.otsuka-europe.com")</f>
        <v>amartinez@crm.otsuka-europe.com</v>
      </c>
      <c r="N8020" s="13">
        <v>46233.408495370371</v>
      </c>
      <c r="O8020" s="14" t="str">
        <f>HYPERLINK("https://otsuka-europe-crm.veevavault.com/ui/#object/email_activity__v/V8C00000004D769", "EN-002109646")</f>
        <v>EN-002109646</v>
      </c>
    </row>
    <row r="8021" spans="1:15" ht="16" x14ac:dyDescent="0.2">
      <c r="A8021" s="18" t="str">
        <f>HYPERLINK("https://otsuka-europe-crm.veevavault.com/ui/#object/account__v/V4TZ06G6O71SABV", "ANTONIO DE PASCALIS")</f>
        <v>ANTONIO DE PASCALIS</v>
      </c>
      <c r="B8021" s="18" t="str">
        <f>HYPERLINK("https://otsuka-europe-crm.veevavault.com/ui/#object/vcountry__v/VENZ000004SONFQ", "IT")</f>
        <v>IT</v>
      </c>
      <c r="C8021" s="20" t="s">
        <v>42</v>
      </c>
      <c r="D8021" s="21" t="str">
        <f>HYPERLINK("https://otsuka-europe-crm.veevavault.com/ui/#object/approved_document__v/V5O00000001A010", "Lupkynis_classi bioptiche_IT-LUP-2600008 v1.0 - NEPHRO")</f>
        <v>Lupkynis_classi bioptiche_IT-LUP-2600008 v1.0 - NEPHRO</v>
      </c>
      <c r="E8021" s="22" t="str">
        <f>HYPERLINK("https://otsuka-europe-crm.veevavault.com/ui/#object/sent_email__v/VBL00000003F155", "SE-001448225")</f>
        <v>SE-001448225</v>
      </c>
      <c r="F8021" s="23"/>
      <c r="G8021" s="24">
        <v>0</v>
      </c>
      <c r="H8021" s="24">
        <v>0</v>
      </c>
      <c r="I8021" s="24">
        <v>0</v>
      </c>
      <c r="J8021" s="23"/>
      <c r="K8021" s="24">
        <v>0</v>
      </c>
      <c r="L8021" s="22" t="str">
        <f>HYPERLINK("https://otsuka-europe-crm.veevavault.com/ui/#object/approved_document__v/V5O00000001A010", "Lupkynis_classi bioptiche_IT-LUP-2600008 v1.0 - NEPHRO")</f>
        <v>Lupkynis_classi bioptiche_IT-LUP-2600008 v1.0 - NEPHRO</v>
      </c>
      <c r="M8021" s="22" t="str">
        <f>HYPERLINK("mailto:alfredo.pisapia@crm.otsuka-europe.com", "alfredo.pisapia@crm.otsuka-europe.com")</f>
        <v>alfredo.pisapia@crm.otsuka-europe.com</v>
      </c>
      <c r="N8021" s="25">
        <v>46233.443229166667</v>
      </c>
      <c r="O8021" s="14" t="str">
        <f>HYPERLINK("https://otsuka-europe-crm.veevavault.com/ui/#object/email_activity__v/V8C00000004D771", "EN-002109671")</f>
        <v>EN-002109671</v>
      </c>
    </row>
    <row r="8022" spans="1:15" ht="16" x14ac:dyDescent="0.2">
      <c r="A8022" s="19"/>
      <c r="B8022" s="19"/>
      <c r="C8022" s="19"/>
      <c r="D8022" s="19"/>
      <c r="E8022" s="19"/>
      <c r="F8022" s="19"/>
      <c r="G8022" s="19"/>
      <c r="H8022" s="19"/>
      <c r="I8022" s="19"/>
      <c r="J8022" s="19"/>
      <c r="K8022" s="19"/>
      <c r="L8022" s="19"/>
      <c r="M8022" s="19"/>
      <c r="N8022" s="19"/>
      <c r="O8022" s="14" t="str">
        <f>HYPERLINK("https://otsuka-europe-crm.veevavault.com/ui/#object/email_activity__v/V8C00000004F424", "EN-002110814")</f>
        <v>EN-002110814</v>
      </c>
    </row>
    <row r="8023" spans="1:15" ht="32" x14ac:dyDescent="0.2">
      <c r="A8023" s="7" t="str">
        <f>HYPERLINK("https://otsuka-europe-crm.veevavault.com/ui/#object/account__v/V4TZ04ASG8VDGOK", "MARINA ROCA POLVILLO")</f>
        <v>MARINA ROCA POLVILLO</v>
      </c>
      <c r="B8023" s="7" t="str">
        <f t="shared" ref="B8023:B8028" si="295">HYPERLINK("https://otsuka-europe-crm.veevavault.com/ui/#object/vcountry__v/VENZ000004SONF5", "ES")</f>
        <v>ES</v>
      </c>
      <c r="C8023" s="8" t="s">
        <v>39</v>
      </c>
      <c r="D8023" s="9" t="str">
        <f t="shared" ref="D8023:D8028" si="296">HYPERLINK("https://otsuka-europe-crm.veevavault.com/ui/#object/approved_document__v/V5OZ025E82PTCBT", "ENFERMERÍA - Revista Peplau nº5")</f>
        <v>ENFERMERÍA - Revista Peplau nº5</v>
      </c>
      <c r="E8023" s="10" t="str">
        <f>HYPERLINK("https://otsuka-europe-crm.veevavault.com/ui/#object/sent_email__v/VBL00000003F156", "SE-001448226")</f>
        <v>SE-001448226</v>
      </c>
      <c r="F8023" s="11"/>
      <c r="G8023" s="12">
        <v>0</v>
      </c>
      <c r="H8023" s="12">
        <v>0</v>
      </c>
      <c r="I8023" s="12">
        <v>0</v>
      </c>
      <c r="J8023" s="11"/>
      <c r="K8023" s="12">
        <v>0</v>
      </c>
      <c r="L8023" s="10" t="str">
        <f t="shared" ref="L8023:L8028" si="297">HYPERLINK("https://otsuka-europe-crm.veevavault.com/ui/#object/approved_document__v/V5OZ025E82PTCBT", "ENFERMERÍA - Revista Peplau nº5")</f>
        <v>ENFERMERÍA - Revista Peplau nº5</v>
      </c>
      <c r="M8023" s="10" t="str">
        <f t="shared" ref="M8023:M8028" si="298">HYPERLINK("mailto:jllombart@crm.otsuka-europe.com", "jllombart@crm.otsuka-europe.com")</f>
        <v>jllombart@crm.otsuka-europe.com</v>
      </c>
      <c r="N8023" s="13">
        <v>46233.455659722225</v>
      </c>
      <c r="O8023" s="14" t="str">
        <f>HYPERLINK("https://otsuka-europe-crm.veevavault.com/ui/#object/email_activity__v/V8C00000004E708", "EN-002109704")</f>
        <v>EN-002109704</v>
      </c>
    </row>
    <row r="8024" spans="1:15" ht="32" x14ac:dyDescent="0.2">
      <c r="A8024" s="7" t="str">
        <f>HYPERLINK("https://otsuka-europe-crm.veevavault.com/ui/#object/account__v/V4TZ06G6OC92EFS", "MARTA PADILLA SEGOVIA")</f>
        <v>MARTA PADILLA SEGOVIA</v>
      </c>
      <c r="B8024" s="7" t="str">
        <f t="shared" si="295"/>
        <v>ES</v>
      </c>
      <c r="C8024" s="8" t="s">
        <v>39</v>
      </c>
      <c r="D8024" s="9" t="str">
        <f t="shared" si="296"/>
        <v>ENFERMERÍA - Revista Peplau nº5</v>
      </c>
      <c r="E8024" s="10" t="str">
        <f>HYPERLINK("https://otsuka-europe-crm.veevavault.com/ui/#object/sent_email__v/VBL00000003F157", "SE-001448227")</f>
        <v>SE-001448227</v>
      </c>
      <c r="F8024" s="11"/>
      <c r="G8024" s="12">
        <v>0</v>
      </c>
      <c r="H8024" s="12">
        <v>0</v>
      </c>
      <c r="I8024" s="12">
        <v>0</v>
      </c>
      <c r="J8024" s="11"/>
      <c r="K8024" s="12">
        <v>0</v>
      </c>
      <c r="L8024" s="10" t="str">
        <f t="shared" si="297"/>
        <v>ENFERMERÍA - Revista Peplau nº5</v>
      </c>
      <c r="M8024" s="10" t="str">
        <f t="shared" si="298"/>
        <v>jllombart@crm.otsuka-europe.com</v>
      </c>
      <c r="N8024" s="13">
        <v>46233.455659722225</v>
      </c>
      <c r="O8024" s="14" t="str">
        <f>HYPERLINK("https://otsuka-europe-crm.veevavault.com/ui/#object/email_activity__v/V8C00000004D778", "EN-002109679")</f>
        <v>EN-002109679</v>
      </c>
    </row>
    <row r="8025" spans="1:15" ht="32" x14ac:dyDescent="0.2">
      <c r="A8025" s="7" t="str">
        <f>HYPERLINK("https://otsuka-europe-crm.veevavault.com/ui/#object/account__v/V4TZ04ASG6ZLHZ5", "NATALIA SOLER RUIZ")</f>
        <v>NATALIA SOLER RUIZ</v>
      </c>
      <c r="B8025" s="7" t="str">
        <f t="shared" si="295"/>
        <v>ES</v>
      </c>
      <c r="C8025" s="8" t="s">
        <v>39</v>
      </c>
      <c r="D8025" s="9" t="str">
        <f t="shared" si="296"/>
        <v>ENFERMERÍA - Revista Peplau nº5</v>
      </c>
      <c r="E8025" s="10" t="str">
        <f>HYPERLINK("https://otsuka-europe-crm.veevavault.com/ui/#object/sent_email__v/VBL00000003F158", "SE-001448228")</f>
        <v>SE-001448228</v>
      </c>
      <c r="F8025" s="11"/>
      <c r="G8025" s="12">
        <v>0</v>
      </c>
      <c r="H8025" s="12">
        <v>0</v>
      </c>
      <c r="I8025" s="12">
        <v>0</v>
      </c>
      <c r="J8025" s="11"/>
      <c r="K8025" s="12">
        <v>0</v>
      </c>
      <c r="L8025" s="10" t="str">
        <f t="shared" si="297"/>
        <v>ENFERMERÍA - Revista Peplau nº5</v>
      </c>
      <c r="M8025" s="10" t="str">
        <f t="shared" si="298"/>
        <v>jllombart@crm.otsuka-europe.com</v>
      </c>
      <c r="N8025" s="13">
        <v>46233.455659722225</v>
      </c>
      <c r="O8025" s="14" t="str">
        <f>HYPERLINK("https://otsuka-europe-crm.veevavault.com/ui/#object/email_activity__v/V8C00000004E691", "EN-002109685")</f>
        <v>EN-002109685</v>
      </c>
    </row>
    <row r="8026" spans="1:15" ht="32" x14ac:dyDescent="0.2">
      <c r="A8026" s="7" t="str">
        <f>HYPERLINK("https://otsuka-europe-crm.veevavault.com/ui/#object/account__v/V4TZ06G6O94PUYV", "CRISTINA CARVAJAL AREVALO")</f>
        <v>CRISTINA CARVAJAL AREVALO</v>
      </c>
      <c r="B8026" s="7" t="str">
        <f t="shared" si="295"/>
        <v>ES</v>
      </c>
      <c r="C8026" s="8" t="s">
        <v>39</v>
      </c>
      <c r="D8026" s="9" t="str">
        <f t="shared" si="296"/>
        <v>ENFERMERÍA - Revista Peplau nº5</v>
      </c>
      <c r="E8026" s="10" t="str">
        <f>HYPERLINK("https://otsuka-europe-crm.veevavault.com/ui/#object/sent_email__v/VBL00000003F159", "SE-001448229")</f>
        <v>SE-001448229</v>
      </c>
      <c r="F8026" s="11"/>
      <c r="G8026" s="12">
        <v>0</v>
      </c>
      <c r="H8026" s="12">
        <v>0</v>
      </c>
      <c r="I8026" s="12">
        <v>0</v>
      </c>
      <c r="J8026" s="11"/>
      <c r="K8026" s="12">
        <v>0</v>
      </c>
      <c r="L8026" s="10" t="str">
        <f t="shared" si="297"/>
        <v>ENFERMERÍA - Revista Peplau nº5</v>
      </c>
      <c r="M8026" s="10" t="str">
        <f t="shared" si="298"/>
        <v>jllombart@crm.otsuka-europe.com</v>
      </c>
      <c r="N8026" s="13">
        <v>46233.455659722225</v>
      </c>
      <c r="O8026" s="14" t="str">
        <f>HYPERLINK("https://otsuka-europe-crm.veevavault.com/ui/#object/email_activity__v/V8C00000004D772", "EN-002109673")</f>
        <v>EN-002109673</v>
      </c>
    </row>
    <row r="8027" spans="1:15" ht="32" x14ac:dyDescent="0.2">
      <c r="A8027" s="7" t="str">
        <f>HYPERLINK("https://otsuka-europe-crm.veevavault.com/ui/#object/account__v/V4TZ04ASG6ZLHZ6", "CARLOS MONTES LOPEZ")</f>
        <v>CARLOS MONTES LOPEZ</v>
      </c>
      <c r="B8027" s="7" t="str">
        <f t="shared" si="295"/>
        <v>ES</v>
      </c>
      <c r="C8027" s="8" t="s">
        <v>39</v>
      </c>
      <c r="D8027" s="9" t="str">
        <f t="shared" si="296"/>
        <v>ENFERMERÍA - Revista Peplau nº5</v>
      </c>
      <c r="E8027" s="10" t="str">
        <f>HYPERLINK("https://otsuka-europe-crm.veevavault.com/ui/#object/sent_email__v/VBL00000003F160", "SE-001448230")</f>
        <v>SE-001448230</v>
      </c>
      <c r="F8027" s="11"/>
      <c r="G8027" s="12">
        <v>0</v>
      </c>
      <c r="H8027" s="12">
        <v>0</v>
      </c>
      <c r="I8027" s="12">
        <v>0</v>
      </c>
      <c r="J8027" s="11"/>
      <c r="K8027" s="12">
        <v>0</v>
      </c>
      <c r="L8027" s="10" t="str">
        <f t="shared" si="297"/>
        <v>ENFERMERÍA - Revista Peplau nº5</v>
      </c>
      <c r="M8027" s="10" t="str">
        <f t="shared" si="298"/>
        <v>jllombart@crm.otsuka-europe.com</v>
      </c>
      <c r="N8027" s="13">
        <v>46233.455659722225</v>
      </c>
      <c r="O8027" s="14" t="str">
        <f>HYPERLINK("https://otsuka-europe-crm.veevavault.com/ui/#object/email_activity__v/V8C00000004E689", "EN-002109683")</f>
        <v>EN-002109683</v>
      </c>
    </row>
    <row r="8028" spans="1:15" ht="16" x14ac:dyDescent="0.2">
      <c r="A8028" s="18" t="str">
        <f>HYPERLINK("https://otsuka-europe-crm.veevavault.com/ui/#object/account__v/V4TZ06G6O71TDBJ", "RUT COLL CASANOVAS")</f>
        <v>RUT COLL CASANOVAS</v>
      </c>
      <c r="B8028" s="18" t="str">
        <f t="shared" si="295"/>
        <v>ES</v>
      </c>
      <c r="C8028" s="20" t="s">
        <v>39</v>
      </c>
      <c r="D8028" s="21" t="str">
        <f t="shared" si="296"/>
        <v>ENFERMERÍA - Revista Peplau nº5</v>
      </c>
      <c r="E8028" s="22" t="str">
        <f>HYPERLINK("https://otsuka-europe-crm.veevavault.com/ui/#object/sent_email__v/VBL00000003F161", "SE-001448231")</f>
        <v>SE-001448231</v>
      </c>
      <c r="F8028" s="25">
        <v>46233.689004629632</v>
      </c>
      <c r="G8028" s="24">
        <v>1</v>
      </c>
      <c r="H8028" s="24">
        <v>4</v>
      </c>
      <c r="I8028" s="24">
        <v>0</v>
      </c>
      <c r="J8028" s="23"/>
      <c r="K8028" s="24">
        <v>0</v>
      </c>
      <c r="L8028" s="22" t="str">
        <f t="shared" si="297"/>
        <v>ENFERMERÍA - Revista Peplau nº5</v>
      </c>
      <c r="M8028" s="22" t="str">
        <f t="shared" si="298"/>
        <v>jllombart@crm.otsuka-europe.com</v>
      </c>
      <c r="N8028" s="25">
        <v>46233.455659722225</v>
      </c>
      <c r="O8028" s="14" t="str">
        <f>HYPERLINK("https://otsuka-europe-crm.veevavault.com/ui/#object/email_activity__v/V8C00000004D783", "EN-002109707")</f>
        <v>EN-002109707</v>
      </c>
    </row>
    <row r="8029" spans="1:15" ht="16" x14ac:dyDescent="0.2">
      <c r="A8029" s="26"/>
      <c r="B8029" s="26"/>
      <c r="C8029" s="26"/>
      <c r="D8029" s="26"/>
      <c r="E8029" s="26"/>
      <c r="F8029" s="26"/>
      <c r="G8029" s="26"/>
      <c r="H8029" s="26"/>
      <c r="I8029" s="26"/>
      <c r="J8029" s="26"/>
      <c r="K8029" s="26"/>
      <c r="L8029" s="26"/>
      <c r="M8029" s="26"/>
      <c r="N8029" s="26"/>
      <c r="O8029" s="14" t="str">
        <f>HYPERLINK("https://otsuka-europe-crm.veevavault.com/ui/#object/email_activity__v/V8C00000004E695", "EN-002109687")</f>
        <v>EN-002109687</v>
      </c>
    </row>
    <row r="8030" spans="1:15" ht="16" x14ac:dyDescent="0.2">
      <c r="A8030" s="26"/>
      <c r="B8030" s="26"/>
      <c r="C8030" s="26"/>
      <c r="D8030" s="26"/>
      <c r="E8030" s="26"/>
      <c r="F8030" s="26"/>
      <c r="G8030" s="26"/>
      <c r="H8030" s="26"/>
      <c r="I8030" s="26"/>
      <c r="J8030" s="26"/>
      <c r="K8030" s="26"/>
      <c r="L8030" s="26"/>
      <c r="M8030" s="26"/>
      <c r="N8030" s="26"/>
      <c r="O8030" s="14" t="str">
        <f>HYPERLINK("https://otsuka-europe-crm.veevavault.com/ui/#object/email_activity__v/V8C00000004E730", "EN-002109755")</f>
        <v>EN-002109755</v>
      </c>
    </row>
    <row r="8031" spans="1:15" ht="16" x14ac:dyDescent="0.2">
      <c r="A8031" s="26"/>
      <c r="B8031" s="26"/>
      <c r="C8031" s="26"/>
      <c r="D8031" s="26"/>
      <c r="E8031" s="26"/>
      <c r="F8031" s="26"/>
      <c r="G8031" s="26"/>
      <c r="H8031" s="26"/>
      <c r="I8031" s="26"/>
      <c r="J8031" s="26"/>
      <c r="K8031" s="26"/>
      <c r="L8031" s="26"/>
      <c r="M8031" s="26"/>
      <c r="N8031" s="26"/>
      <c r="O8031" s="14" t="str">
        <f>HYPERLINK("https://otsuka-europe-crm.veevavault.com/ui/#object/email_activity__v/V8C00000004E739", "EN-002109774")</f>
        <v>EN-002109774</v>
      </c>
    </row>
    <row r="8032" spans="1:15" ht="16" x14ac:dyDescent="0.2">
      <c r="A8032" s="19"/>
      <c r="B8032" s="19"/>
      <c r="C8032" s="19"/>
      <c r="D8032" s="19"/>
      <c r="E8032" s="19"/>
      <c r="F8032" s="19"/>
      <c r="G8032" s="19"/>
      <c r="H8032" s="19"/>
      <c r="I8032" s="19"/>
      <c r="J8032" s="19"/>
      <c r="K8032" s="19"/>
      <c r="L8032" s="19"/>
      <c r="M8032" s="19"/>
      <c r="N8032" s="19"/>
      <c r="O8032" s="14" t="str">
        <f>HYPERLINK("https://otsuka-europe-crm.veevavault.com/ui/#object/email_activity__v/V8C00000004E741", "EN-002109776")</f>
        <v>EN-002109776</v>
      </c>
    </row>
    <row r="8033" spans="1:15" ht="32" x14ac:dyDescent="0.2">
      <c r="A8033" s="7" t="str">
        <f>HYPERLINK("https://otsuka-europe-crm.veevavault.com/ui/#object/account__v/V4T000000010145", "ISABEL MOLINA PORTAL")</f>
        <v>ISABEL MOLINA PORTAL</v>
      </c>
      <c r="B8033" s="7" t="str">
        <f>HYPERLINK("https://otsuka-europe-crm.veevavault.com/ui/#object/vcountry__v/VENZ000004SONF5", "ES")</f>
        <v>ES</v>
      </c>
      <c r="C8033" s="8" t="s">
        <v>39</v>
      </c>
      <c r="D8033" s="9" t="str">
        <f>HYPERLINK("https://otsuka-europe-crm.veevavault.com/ui/#object/approved_document__v/V5OZ025E82PTCBT", "ENFERMERÍA - Revista Peplau nº5")</f>
        <v>ENFERMERÍA - Revista Peplau nº5</v>
      </c>
      <c r="E8033" s="10" t="str">
        <f>HYPERLINK("https://otsuka-europe-crm.veevavault.com/ui/#object/sent_email__v/VBL00000003F162", "SE-001448232")</f>
        <v>SE-001448232</v>
      </c>
      <c r="F8033" s="11"/>
      <c r="G8033" s="12">
        <v>0</v>
      </c>
      <c r="H8033" s="12">
        <v>0</v>
      </c>
      <c r="I8033" s="12">
        <v>0</v>
      </c>
      <c r="J8033" s="11"/>
      <c r="K8033" s="12">
        <v>0</v>
      </c>
      <c r="L8033" s="10" t="str">
        <f>HYPERLINK("https://otsuka-europe-crm.veevavault.com/ui/#object/approved_document__v/V5OZ025E82PTCBT", "ENFERMERÍA - Revista Peplau nº5")</f>
        <v>ENFERMERÍA - Revista Peplau nº5</v>
      </c>
      <c r="M8033" s="10" t="str">
        <f>HYPERLINK("mailto:jllombart@crm.otsuka-europe.com", "jllombart@crm.otsuka-europe.com")</f>
        <v>jllombart@crm.otsuka-europe.com</v>
      </c>
      <c r="N8033" s="13">
        <v>46233.455659722225</v>
      </c>
      <c r="O8033" s="14" t="str">
        <f>HYPERLINK("https://otsuka-europe-crm.veevavault.com/ui/#object/email_activity__v/V8C00000004E705", "EN-002109701")</f>
        <v>EN-002109701</v>
      </c>
    </row>
    <row r="8034" spans="1:15" ht="32" x14ac:dyDescent="0.2">
      <c r="A8034" s="7" t="str">
        <f>HYPERLINK("https://otsuka-europe-crm.veevavault.com/ui/#object/account__v/V4T00000000Z045", "DANIEL MICHEL BAJAÑA SALMERON")</f>
        <v>DANIEL MICHEL BAJAÑA SALMERON</v>
      </c>
      <c r="B8034" s="7" t="str">
        <f>HYPERLINK("https://otsuka-europe-crm.veevavault.com/ui/#object/vcountry__v/VENZ000004SONF5", "ES")</f>
        <v>ES</v>
      </c>
      <c r="C8034" s="8" t="s">
        <v>39</v>
      </c>
      <c r="D8034" s="9" t="str">
        <f>HYPERLINK("https://otsuka-europe-crm.veevavault.com/ui/#object/approved_document__v/V5OZ025E82PTCBT", "ENFERMERÍA - Revista Peplau nº5")</f>
        <v>ENFERMERÍA - Revista Peplau nº5</v>
      </c>
      <c r="E8034" s="10" t="str">
        <f>HYPERLINK("https://otsuka-europe-crm.veevavault.com/ui/#object/sent_email__v/VBL00000003F163", "SE-001448233")</f>
        <v>SE-001448233</v>
      </c>
      <c r="F8034" s="11"/>
      <c r="G8034" s="12">
        <v>0</v>
      </c>
      <c r="H8034" s="12">
        <v>0</v>
      </c>
      <c r="I8034" s="12">
        <v>0</v>
      </c>
      <c r="J8034" s="11"/>
      <c r="K8034" s="12">
        <v>0</v>
      </c>
      <c r="L8034" s="10" t="str">
        <f>HYPERLINK("https://otsuka-europe-crm.veevavault.com/ui/#object/approved_document__v/V5OZ025E82PTCBT", "ENFERMERÍA - Revista Peplau nº5")</f>
        <v>ENFERMERÍA - Revista Peplau nº5</v>
      </c>
      <c r="M8034" s="10" t="str">
        <f>HYPERLINK("mailto:jllombart@crm.otsuka-europe.com", "jllombart@crm.otsuka-europe.com")</f>
        <v>jllombart@crm.otsuka-europe.com</v>
      </c>
      <c r="N8034" s="13">
        <v>46233.455659722225</v>
      </c>
      <c r="O8034" s="14" t="str">
        <f>HYPERLINK("https://otsuka-europe-crm.veevavault.com/ui/#object/email_activity__v/V8C00000004E699", "EN-002109691")</f>
        <v>EN-002109691</v>
      </c>
    </row>
    <row r="8035" spans="1:15" ht="16" x14ac:dyDescent="0.2">
      <c r="A8035" s="18" t="str">
        <f>HYPERLINK("https://otsuka-europe-crm.veevavault.com/ui/#object/account__v/V4TZ06G6O71TDMK", "MARTA VILAR CAPELLA")</f>
        <v>MARTA VILAR CAPELLA</v>
      </c>
      <c r="B8035" s="18" t="str">
        <f>HYPERLINK("https://otsuka-europe-crm.veevavault.com/ui/#object/vcountry__v/VENZ000004SONF5", "ES")</f>
        <v>ES</v>
      </c>
      <c r="C8035" s="20" t="s">
        <v>39</v>
      </c>
      <c r="D8035" s="21" t="str">
        <f>HYPERLINK("https://otsuka-europe-crm.veevavault.com/ui/#object/approved_document__v/V5OZ025E82PTCBT", "ENFERMERÍA - Revista Peplau nº5")</f>
        <v>ENFERMERÍA - Revista Peplau nº5</v>
      </c>
      <c r="E8035" s="22" t="str">
        <f>HYPERLINK("https://otsuka-europe-crm.veevavault.com/ui/#object/sent_email__v/VBL00000003F164", "SE-001448234")</f>
        <v>SE-001448234</v>
      </c>
      <c r="F8035" s="23"/>
      <c r="G8035" s="24">
        <v>0</v>
      </c>
      <c r="H8035" s="24">
        <v>0</v>
      </c>
      <c r="I8035" s="24">
        <v>0</v>
      </c>
      <c r="J8035" s="23"/>
      <c r="K8035" s="24">
        <v>0</v>
      </c>
      <c r="L8035" s="22" t="str">
        <f>HYPERLINK("https://otsuka-europe-crm.veevavault.com/ui/#object/approved_document__v/V5OZ025E82PTCBT", "ENFERMERÍA - Revista Peplau nº5")</f>
        <v>ENFERMERÍA - Revista Peplau nº5</v>
      </c>
      <c r="M8035" s="22" t="str">
        <f>HYPERLINK("mailto:jllombart@crm.otsuka-europe.com", "jllombart@crm.otsuka-europe.com")</f>
        <v>jllombart@crm.otsuka-europe.com</v>
      </c>
      <c r="N8035" s="25">
        <v>46233.455659722225</v>
      </c>
      <c r="O8035" s="14" t="str">
        <f>HYPERLINK("https://otsuka-europe-crm.veevavault.com/ui/#object/email_activity__v/V8C00000004D820", "EN-002109772")</f>
        <v>EN-002109772</v>
      </c>
    </row>
    <row r="8036" spans="1:15" ht="16" x14ac:dyDescent="0.2">
      <c r="A8036" s="19"/>
      <c r="B8036" s="19"/>
      <c r="C8036" s="19"/>
      <c r="D8036" s="19"/>
      <c r="E8036" s="19"/>
      <c r="F8036" s="19"/>
      <c r="G8036" s="19"/>
      <c r="H8036" s="19"/>
      <c r="I8036" s="19"/>
      <c r="J8036" s="19"/>
      <c r="K8036" s="19"/>
      <c r="L8036" s="19"/>
      <c r="M8036" s="19"/>
      <c r="N8036" s="19"/>
      <c r="O8036" s="14" t="str">
        <f>HYPERLINK("https://otsuka-europe-crm.veevavault.com/ui/#object/email_activity__v/V8C00000004E698", "EN-002109690")</f>
        <v>EN-002109690</v>
      </c>
    </row>
    <row r="8037" spans="1:15" ht="32" x14ac:dyDescent="0.2">
      <c r="A8037" s="7" t="str">
        <f>HYPERLINK("https://otsuka-europe-crm.veevavault.com/ui/#object/account__v/V4T000000014042", "PAULA GUINOT PERSONAT")</f>
        <v>PAULA GUINOT PERSONAT</v>
      </c>
      <c r="B8037" s="8"/>
      <c r="C8037" s="8" t="s">
        <v>47</v>
      </c>
      <c r="D8037" s="9" t="str">
        <f>HYPERLINK("https://otsuka-europe-crm.veevavault.com/ui/#object/approved_document__v/V5OZ025E82PTCBT", "ENFERMERÍA - Revista Peplau nº5")</f>
        <v>ENFERMERÍA - Revista Peplau nº5</v>
      </c>
      <c r="E8037" s="10" t="str">
        <f>HYPERLINK("https://otsuka-europe-crm.veevavault.com/ui/#object/sent_email__v/VBL00000003F165", "SE-001448235")</f>
        <v>SE-001448235</v>
      </c>
      <c r="F8037" s="11"/>
      <c r="G8037" s="12">
        <v>0</v>
      </c>
      <c r="H8037" s="12">
        <v>0</v>
      </c>
      <c r="I8037" s="12">
        <v>0</v>
      </c>
      <c r="J8037" s="11"/>
      <c r="K8037" s="12">
        <v>0</v>
      </c>
      <c r="L8037" s="10" t="str">
        <f>HYPERLINK("https://otsuka-europe-crm.veevavault.com/ui/#object/approved_document__v/V5OZ025E82PTCBT", "ENFERMERÍA - Revista Peplau nº5")</f>
        <v>ENFERMERÍA - Revista Peplau nº5</v>
      </c>
      <c r="M8037" s="10" t="str">
        <f>HYPERLINK("mailto:jllombart@crm.otsuka-europe.com", "jllombart@crm.otsuka-europe.com")</f>
        <v>jllombart@crm.otsuka-europe.com</v>
      </c>
      <c r="N8037" s="13">
        <v>46233.455659722225</v>
      </c>
      <c r="O8037" s="14" t="str">
        <f>HYPERLINK("https://otsuka-europe-crm.veevavault.com/ui/#object/email_activity__v/V8C00000004D782", "EN-002109700")</f>
        <v>EN-002109700</v>
      </c>
    </row>
    <row r="8038" spans="1:15" ht="32" x14ac:dyDescent="0.2">
      <c r="A8038" s="7" t="str">
        <f>HYPERLINK("https://otsuka-europe-crm.veevavault.com/ui/#object/account__v/V4TZ04ASGBCNAPX", "HELENA SEGARRA CORCOBADO")</f>
        <v>HELENA SEGARRA CORCOBADO</v>
      </c>
      <c r="B8038" s="7" t="str">
        <f>HYPERLINK("https://otsuka-europe-crm.veevavault.com/ui/#object/vcountry__v/VENZ000004SONF5", "ES")</f>
        <v>ES</v>
      </c>
      <c r="C8038" s="8" t="s">
        <v>39</v>
      </c>
      <c r="D8038" s="9" t="str">
        <f>HYPERLINK("https://otsuka-europe-crm.veevavault.com/ui/#object/approved_document__v/V5OZ025E82PTCBT", "ENFERMERÍA - Revista Peplau nº5")</f>
        <v>ENFERMERÍA - Revista Peplau nº5</v>
      </c>
      <c r="E8038" s="10" t="str">
        <f>HYPERLINK("https://otsuka-europe-crm.veevavault.com/ui/#object/sent_email__v/VBL00000003F166", "SE-001448236")</f>
        <v>SE-001448236</v>
      </c>
      <c r="F8038" s="11"/>
      <c r="G8038" s="12">
        <v>0</v>
      </c>
      <c r="H8038" s="12">
        <v>0</v>
      </c>
      <c r="I8038" s="12">
        <v>0</v>
      </c>
      <c r="J8038" s="11"/>
      <c r="K8038" s="12">
        <v>0</v>
      </c>
      <c r="L8038" s="10" t="str">
        <f>HYPERLINK("https://otsuka-europe-crm.veevavault.com/ui/#object/approved_document__v/V5OZ025E82PTCBT", "ENFERMERÍA - Revista Peplau nº5")</f>
        <v>ENFERMERÍA - Revista Peplau nº5</v>
      </c>
      <c r="M8038" s="10" t="str">
        <f>HYPERLINK("mailto:jllombart@crm.otsuka-europe.com", "jllombart@crm.otsuka-europe.com")</f>
        <v>jllombart@crm.otsuka-europe.com</v>
      </c>
      <c r="N8038" s="13">
        <v>46233.455590277779</v>
      </c>
      <c r="O8038" s="14" t="str">
        <f>HYPERLINK("https://otsuka-europe-crm.veevavault.com/ui/#object/email_activity__v/V8C00000004E688", "EN-002109680")</f>
        <v>EN-002109680</v>
      </c>
    </row>
    <row r="8039" spans="1:15" ht="16" x14ac:dyDescent="0.2">
      <c r="A8039" s="18" t="str">
        <f>HYPERLINK("https://otsuka-europe-crm.veevavault.com/ui/#object/account__v/V4TZ06G6OBI9A04", "DAVID MULET PALLARES")</f>
        <v>DAVID MULET PALLARES</v>
      </c>
      <c r="B8039" s="18" t="str">
        <f>HYPERLINK("https://otsuka-europe-crm.veevavault.com/ui/#object/vcountry__v/VENZ000004SONF5", "ES")</f>
        <v>ES</v>
      </c>
      <c r="C8039" s="20" t="s">
        <v>39</v>
      </c>
      <c r="D8039" s="21" t="str">
        <f>HYPERLINK("https://otsuka-europe-crm.veevavault.com/ui/#object/approved_document__v/V5OZ025E82PTCBT", "ENFERMERÍA - Revista Peplau nº5")</f>
        <v>ENFERMERÍA - Revista Peplau nº5</v>
      </c>
      <c r="E8039" s="22" t="str">
        <f>HYPERLINK("https://otsuka-europe-crm.veevavault.com/ui/#object/sent_email__v/VBL00000003F167", "SE-001448237")</f>
        <v>SE-001448237</v>
      </c>
      <c r="F8039" s="25">
        <v>46237.371435185189</v>
      </c>
      <c r="G8039" s="24">
        <v>1</v>
      </c>
      <c r="H8039" s="24">
        <v>1</v>
      </c>
      <c r="I8039" s="24">
        <v>1</v>
      </c>
      <c r="J8039" s="25">
        <v>46237.371435185189</v>
      </c>
      <c r="K8039" s="24">
        <v>1</v>
      </c>
      <c r="L8039" s="22" t="str">
        <f>HYPERLINK("https://otsuka-europe-crm.veevavault.com/ui/#object/approved_document__v/V5OZ025E82PTCBT", "ENFERMERÍA - Revista Peplau nº5")</f>
        <v>ENFERMERÍA - Revista Peplau nº5</v>
      </c>
      <c r="M8039" s="22" t="str">
        <f>HYPERLINK("mailto:jllombart@crm.otsuka-europe.com", "jllombart@crm.otsuka-europe.com")</f>
        <v>jllombart@crm.otsuka-europe.com</v>
      </c>
      <c r="N8039" s="25">
        <v>46233.455590277779</v>
      </c>
      <c r="O8039" s="14" t="str">
        <f>HYPERLINK("https://otsuka-europe-crm.veevavault.com/ui/#object/email_activity__v/V8C00000004E687", "EN-002109672")</f>
        <v>EN-002109672</v>
      </c>
    </row>
    <row r="8040" spans="1:15" ht="16" x14ac:dyDescent="0.2">
      <c r="A8040" s="26"/>
      <c r="B8040" s="26"/>
      <c r="C8040" s="26"/>
      <c r="D8040" s="26"/>
      <c r="E8040" s="26"/>
      <c r="F8040" s="26"/>
      <c r="G8040" s="26"/>
      <c r="H8040" s="26"/>
      <c r="I8040" s="26"/>
      <c r="J8040" s="26"/>
      <c r="K8040" s="26"/>
      <c r="L8040" s="26"/>
      <c r="M8040" s="26"/>
      <c r="N8040" s="26"/>
      <c r="O8040" s="14" t="str">
        <f>HYPERLINK("https://otsuka-europe-crm.veevavault.com/ui/#object/email_activity__v/V8C00000004H133", "EN-002111185")</f>
        <v>EN-002111185</v>
      </c>
    </row>
    <row r="8041" spans="1:15" ht="16" x14ac:dyDescent="0.2">
      <c r="A8041" s="19"/>
      <c r="B8041" s="19"/>
      <c r="C8041" s="19"/>
      <c r="D8041" s="19"/>
      <c r="E8041" s="19"/>
      <c r="F8041" s="19"/>
      <c r="G8041" s="19"/>
      <c r="H8041" s="19"/>
      <c r="I8041" s="19"/>
      <c r="J8041" s="19"/>
      <c r="K8041" s="19"/>
      <c r="L8041" s="19"/>
      <c r="M8041" s="19"/>
      <c r="N8041" s="19"/>
      <c r="O8041" s="14" t="str">
        <f>HYPERLINK("https://otsuka-europe-crm.veevavault.com/ui/#object/email_activity__v/V8C00000004H134", "EN-002111184")</f>
        <v>EN-002111184</v>
      </c>
    </row>
    <row r="8042" spans="1:15" ht="32" x14ac:dyDescent="0.2">
      <c r="A8042" s="7" t="str">
        <f>HYPERLINK("https://otsuka-europe-crm.veevavault.com/ui/#object/account__v/V4T00000000Z067", "MIREIA SINTES CASTRO")</f>
        <v>MIREIA SINTES CASTRO</v>
      </c>
      <c r="B8042" s="7" t="str">
        <f t="shared" ref="B8042:B8047" si="299">HYPERLINK("https://otsuka-europe-crm.veevavault.com/ui/#object/vcountry__v/VENZ000004SONF5", "ES")</f>
        <v>ES</v>
      </c>
      <c r="C8042" s="8" t="s">
        <v>39</v>
      </c>
      <c r="D8042" s="9" t="str">
        <f t="shared" ref="D8042:D8047" si="300">HYPERLINK("https://otsuka-europe-crm.veevavault.com/ui/#object/approved_document__v/V5OZ025E82PTCBT", "ENFERMERÍA - Revista Peplau nº5")</f>
        <v>ENFERMERÍA - Revista Peplau nº5</v>
      </c>
      <c r="E8042" s="10" t="str">
        <f>HYPERLINK("https://otsuka-europe-crm.veevavault.com/ui/#object/sent_email__v/VBL00000003F168", "SE-001448238")</f>
        <v>SE-001448238</v>
      </c>
      <c r="F8042" s="11"/>
      <c r="G8042" s="12">
        <v>0</v>
      </c>
      <c r="H8042" s="12">
        <v>0</v>
      </c>
      <c r="I8042" s="12">
        <v>0</v>
      </c>
      <c r="J8042" s="11"/>
      <c r="K8042" s="12">
        <v>0</v>
      </c>
      <c r="L8042" s="10" t="str">
        <f t="shared" ref="L8042:L8047" si="301">HYPERLINK("https://otsuka-europe-crm.veevavault.com/ui/#object/approved_document__v/V5OZ025E82PTCBT", "ENFERMERÍA - Revista Peplau nº5")</f>
        <v>ENFERMERÍA - Revista Peplau nº5</v>
      </c>
      <c r="M8042" s="10" t="str">
        <f t="shared" ref="M8042:M8047" si="302">HYPERLINK("mailto:jllombart@crm.otsuka-europe.com", "jllombart@crm.otsuka-europe.com")</f>
        <v>jllombart@crm.otsuka-europe.com</v>
      </c>
      <c r="N8042" s="13">
        <v>46233.455659722225</v>
      </c>
      <c r="O8042" s="14" t="str">
        <f>HYPERLINK("https://otsuka-europe-crm.veevavault.com/ui/#object/email_activity__v/V8C00000004D781", "EN-002109699")</f>
        <v>EN-002109699</v>
      </c>
    </row>
    <row r="8043" spans="1:15" ht="32" x14ac:dyDescent="0.2">
      <c r="A8043" s="7" t="str">
        <f>HYPERLINK("https://otsuka-europe-crm.veevavault.com/ui/#object/account__v/V4TZ06G6OB4B6BF", "NURIA CORBALAN CRUZ")</f>
        <v>NURIA CORBALAN CRUZ</v>
      </c>
      <c r="B8043" s="7" t="str">
        <f t="shared" si="299"/>
        <v>ES</v>
      </c>
      <c r="C8043" s="8" t="s">
        <v>39</v>
      </c>
      <c r="D8043" s="9" t="str">
        <f t="shared" si="300"/>
        <v>ENFERMERÍA - Revista Peplau nº5</v>
      </c>
      <c r="E8043" s="10" t="str">
        <f>HYPERLINK("https://otsuka-europe-crm.veevavault.com/ui/#object/sent_email__v/VBL00000003F169", "SE-001448239")</f>
        <v>SE-001448239</v>
      </c>
      <c r="F8043" s="11"/>
      <c r="G8043" s="12">
        <v>0</v>
      </c>
      <c r="H8043" s="12">
        <v>0</v>
      </c>
      <c r="I8043" s="12">
        <v>0</v>
      </c>
      <c r="J8043" s="11"/>
      <c r="K8043" s="12">
        <v>0</v>
      </c>
      <c r="L8043" s="10" t="str">
        <f t="shared" si="301"/>
        <v>ENFERMERÍA - Revista Peplau nº5</v>
      </c>
      <c r="M8043" s="10" t="str">
        <f t="shared" si="302"/>
        <v>jllombart@crm.otsuka-europe.com</v>
      </c>
      <c r="N8043" s="13">
        <v>46233.455659722225</v>
      </c>
      <c r="O8043" s="14" t="str">
        <f>HYPERLINK("https://otsuka-europe-crm.veevavault.com/ui/#object/email_activity__v/V8C00000004D775", "EN-002109676")</f>
        <v>EN-002109676</v>
      </c>
    </row>
    <row r="8044" spans="1:15" ht="32" x14ac:dyDescent="0.2">
      <c r="A8044" s="7" t="str">
        <f>HYPERLINK("https://otsuka-europe-crm.veevavault.com/ui/#object/account__v/V4TZ06G6O8S5T10", "KARIMA MAROUAN LMTIUI")</f>
        <v>KARIMA MAROUAN LMTIUI</v>
      </c>
      <c r="B8044" s="7" t="str">
        <f t="shared" si="299"/>
        <v>ES</v>
      </c>
      <c r="C8044" s="8" t="s">
        <v>39</v>
      </c>
      <c r="D8044" s="9" t="str">
        <f t="shared" si="300"/>
        <v>ENFERMERÍA - Revista Peplau nº5</v>
      </c>
      <c r="E8044" s="10" t="str">
        <f>HYPERLINK("https://otsuka-europe-crm.veevavault.com/ui/#object/sent_email__v/VBL00000003F170", "SE-001448240")</f>
        <v>SE-001448240</v>
      </c>
      <c r="F8044" s="11"/>
      <c r="G8044" s="12">
        <v>0</v>
      </c>
      <c r="H8044" s="12">
        <v>0</v>
      </c>
      <c r="I8044" s="12">
        <v>0</v>
      </c>
      <c r="J8044" s="11"/>
      <c r="K8044" s="12">
        <v>0</v>
      </c>
      <c r="L8044" s="10" t="str">
        <f t="shared" si="301"/>
        <v>ENFERMERÍA - Revista Peplau nº5</v>
      </c>
      <c r="M8044" s="10" t="str">
        <f t="shared" si="302"/>
        <v>jllombart@crm.otsuka-europe.com</v>
      </c>
      <c r="N8044" s="13">
        <v>46233.455659722225</v>
      </c>
      <c r="O8044" s="14" t="str">
        <f>HYPERLINK("https://otsuka-europe-crm.veevavault.com/ui/#object/email_activity__v/V8C00000004E690", "EN-002109684")</f>
        <v>EN-002109684</v>
      </c>
    </row>
    <row r="8045" spans="1:15" ht="32" x14ac:dyDescent="0.2">
      <c r="A8045" s="7" t="str">
        <f>HYPERLINK("https://otsuka-europe-crm.veevavault.com/ui/#object/account__v/V4TZ06G6OC6KNC7", "JAVIER PITA DE LA VEGA GARCIA")</f>
        <v>JAVIER PITA DE LA VEGA GARCIA</v>
      </c>
      <c r="B8045" s="7" t="str">
        <f t="shared" si="299"/>
        <v>ES</v>
      </c>
      <c r="C8045" s="8" t="s">
        <v>39</v>
      </c>
      <c r="D8045" s="9" t="str">
        <f t="shared" si="300"/>
        <v>ENFERMERÍA - Revista Peplau nº5</v>
      </c>
      <c r="E8045" s="10" t="str">
        <f>HYPERLINK("https://otsuka-europe-crm.veevavault.com/ui/#object/sent_email__v/VBL00000003F171", "SE-001448241")</f>
        <v>SE-001448241</v>
      </c>
      <c r="F8045" s="11"/>
      <c r="G8045" s="12">
        <v>0</v>
      </c>
      <c r="H8045" s="12">
        <v>0</v>
      </c>
      <c r="I8045" s="12">
        <v>0</v>
      </c>
      <c r="J8045" s="11"/>
      <c r="K8045" s="12">
        <v>0</v>
      </c>
      <c r="L8045" s="10" t="str">
        <f t="shared" si="301"/>
        <v>ENFERMERÍA - Revista Peplau nº5</v>
      </c>
      <c r="M8045" s="10" t="str">
        <f t="shared" si="302"/>
        <v>jllombart@crm.otsuka-europe.com</v>
      </c>
      <c r="N8045" s="13">
        <v>46233.455659722225</v>
      </c>
      <c r="O8045" s="14" t="str">
        <f>HYPERLINK("https://otsuka-europe-crm.veevavault.com/ui/#object/email_activity__v/V8C00000004D777", "EN-002109678")</f>
        <v>EN-002109678</v>
      </c>
    </row>
    <row r="8046" spans="1:15" ht="32" x14ac:dyDescent="0.2">
      <c r="A8046" s="7" t="str">
        <f>HYPERLINK("https://otsuka-europe-crm.veevavault.com/ui/#object/account__v/V4TZ04ASG92HER2", "CLAUDIA SANCHEZ ALDABO")</f>
        <v>CLAUDIA SANCHEZ ALDABO</v>
      </c>
      <c r="B8046" s="7" t="str">
        <f t="shared" si="299"/>
        <v>ES</v>
      </c>
      <c r="C8046" s="8" t="s">
        <v>39</v>
      </c>
      <c r="D8046" s="9" t="str">
        <f t="shared" si="300"/>
        <v>ENFERMERÍA - Revista Peplau nº5</v>
      </c>
      <c r="E8046" s="10" t="str">
        <f>HYPERLINK("https://otsuka-europe-crm.veevavault.com/ui/#object/sent_email__v/VBL00000003F172", "SE-001448242")</f>
        <v>SE-001448242</v>
      </c>
      <c r="F8046" s="11"/>
      <c r="G8046" s="12">
        <v>0</v>
      </c>
      <c r="H8046" s="12">
        <v>0</v>
      </c>
      <c r="I8046" s="12">
        <v>0</v>
      </c>
      <c r="J8046" s="11"/>
      <c r="K8046" s="12">
        <v>0</v>
      </c>
      <c r="L8046" s="10" t="str">
        <f t="shared" si="301"/>
        <v>ENFERMERÍA - Revista Peplau nº5</v>
      </c>
      <c r="M8046" s="10" t="str">
        <f t="shared" si="302"/>
        <v>jllombart@crm.otsuka-europe.com</v>
      </c>
      <c r="N8046" s="13">
        <v>46233.455659722225</v>
      </c>
      <c r="O8046" s="14" t="str">
        <f>HYPERLINK("https://otsuka-europe-crm.veevavault.com/ui/#object/email_activity__v/V8C00000004E701", "EN-002109693")</f>
        <v>EN-002109693</v>
      </c>
    </row>
    <row r="8047" spans="1:15" ht="16" x14ac:dyDescent="0.2">
      <c r="A8047" s="18" t="str">
        <f>HYPERLINK("https://otsuka-europe-crm.veevavault.com/ui/#object/account__v/V4TZ06G6O7VS1IB", "PERE DALMAU LLORCA")</f>
        <v>PERE DALMAU LLORCA</v>
      </c>
      <c r="B8047" s="18" t="str">
        <f t="shared" si="299"/>
        <v>ES</v>
      </c>
      <c r="C8047" s="20" t="s">
        <v>39</v>
      </c>
      <c r="D8047" s="21" t="str">
        <f t="shared" si="300"/>
        <v>ENFERMERÍA - Revista Peplau nº5</v>
      </c>
      <c r="E8047" s="22" t="str">
        <f>HYPERLINK("https://otsuka-europe-crm.veevavault.com/ui/#object/sent_email__v/VBL00000003F173", "SE-001448243")</f>
        <v>SE-001448243</v>
      </c>
      <c r="F8047" s="25">
        <v>46234.351423611108</v>
      </c>
      <c r="G8047" s="24">
        <v>1</v>
      </c>
      <c r="H8047" s="24">
        <v>4</v>
      </c>
      <c r="I8047" s="24">
        <v>0</v>
      </c>
      <c r="J8047" s="23"/>
      <c r="K8047" s="24">
        <v>0</v>
      </c>
      <c r="L8047" s="22" t="str">
        <f t="shared" si="301"/>
        <v>ENFERMERÍA - Revista Peplau nº5</v>
      </c>
      <c r="M8047" s="22" t="str">
        <f t="shared" si="302"/>
        <v>jllombart@crm.otsuka-europe.com</v>
      </c>
      <c r="N8047" s="25">
        <v>46233.455659722225</v>
      </c>
      <c r="O8047" s="14" t="str">
        <f>HYPERLINK("https://otsuka-europe-crm.veevavault.com/ui/#object/email_activity__v/V8C00000004D780", "EN-002109698")</f>
        <v>EN-002109698</v>
      </c>
    </row>
    <row r="8048" spans="1:15" ht="16" x14ac:dyDescent="0.2">
      <c r="A8048" s="26"/>
      <c r="B8048" s="26"/>
      <c r="C8048" s="26"/>
      <c r="D8048" s="26"/>
      <c r="E8048" s="26"/>
      <c r="F8048" s="26"/>
      <c r="G8048" s="26"/>
      <c r="H8048" s="26"/>
      <c r="I8048" s="26"/>
      <c r="J8048" s="26"/>
      <c r="K8048" s="26"/>
      <c r="L8048" s="26"/>
      <c r="M8048" s="26"/>
      <c r="N8048" s="26"/>
      <c r="O8048" s="14" t="str">
        <f>HYPERLINK("https://otsuka-europe-crm.veevavault.com/ui/#object/email_activity__v/V8C00000004D812", "EN-002109756")</f>
        <v>EN-002109756</v>
      </c>
    </row>
    <row r="8049" spans="1:15" ht="16" x14ac:dyDescent="0.2">
      <c r="A8049" s="26"/>
      <c r="B8049" s="26"/>
      <c r="C8049" s="26"/>
      <c r="D8049" s="26"/>
      <c r="E8049" s="26"/>
      <c r="F8049" s="26"/>
      <c r="G8049" s="26"/>
      <c r="H8049" s="26"/>
      <c r="I8049" s="26"/>
      <c r="J8049" s="26"/>
      <c r="K8049" s="26"/>
      <c r="L8049" s="26"/>
      <c r="M8049" s="26"/>
      <c r="N8049" s="26"/>
      <c r="O8049" s="14" t="str">
        <f>HYPERLINK("https://otsuka-europe-crm.veevavault.com/ui/#object/email_activity__v/V8C00000004E731", "EN-002109757")</f>
        <v>EN-002109757</v>
      </c>
    </row>
    <row r="8050" spans="1:15" ht="16" x14ac:dyDescent="0.2">
      <c r="A8050" s="26"/>
      <c r="B8050" s="26"/>
      <c r="C8050" s="26"/>
      <c r="D8050" s="26"/>
      <c r="E8050" s="26"/>
      <c r="F8050" s="26"/>
      <c r="G8050" s="26"/>
      <c r="H8050" s="26"/>
      <c r="I8050" s="26"/>
      <c r="J8050" s="26"/>
      <c r="K8050" s="26"/>
      <c r="L8050" s="26"/>
      <c r="M8050" s="26"/>
      <c r="N8050" s="26"/>
      <c r="O8050" s="14" t="str">
        <f>HYPERLINK("https://otsuka-europe-crm.veevavault.com/ui/#object/email_activity__v/V8C00000004F043", "EN-002109893")</f>
        <v>EN-002109893</v>
      </c>
    </row>
    <row r="8051" spans="1:15" ht="16" x14ac:dyDescent="0.2">
      <c r="A8051" s="19"/>
      <c r="B8051" s="19"/>
      <c r="C8051" s="19"/>
      <c r="D8051" s="19"/>
      <c r="E8051" s="19"/>
      <c r="F8051" s="19"/>
      <c r="G8051" s="19"/>
      <c r="H8051" s="19"/>
      <c r="I8051" s="19"/>
      <c r="J8051" s="19"/>
      <c r="K8051" s="19"/>
      <c r="L8051" s="19"/>
      <c r="M8051" s="19"/>
      <c r="N8051" s="19"/>
      <c r="O8051" s="14" t="str">
        <f>HYPERLINK("https://otsuka-europe-crm.veevavault.com/ui/#object/email_activity__v/V8C00000004F044", "EN-002109894")</f>
        <v>EN-002109894</v>
      </c>
    </row>
    <row r="8052" spans="1:15" ht="32" x14ac:dyDescent="0.2">
      <c r="A8052" s="7" t="str">
        <f>HYPERLINK("https://otsuka-europe-crm.veevavault.com/ui/#object/account__v/V4TZ04ASGBJD4UU", "CRISTINA FONS PALOMARES")</f>
        <v>CRISTINA FONS PALOMARES</v>
      </c>
      <c r="B8052" s="7" t="str">
        <f>HYPERLINK("https://otsuka-europe-crm.veevavault.com/ui/#object/vcountry__v/VENZ000004SONF5", "ES")</f>
        <v>ES</v>
      </c>
      <c r="C8052" s="8" t="s">
        <v>39</v>
      </c>
      <c r="D8052" s="9" t="str">
        <f>HYPERLINK("https://otsuka-europe-crm.veevavault.com/ui/#object/approved_document__v/V5OZ025E82PTCBT", "ENFERMERÍA - Revista Peplau nº5")</f>
        <v>ENFERMERÍA - Revista Peplau nº5</v>
      </c>
      <c r="E8052" s="10" t="str">
        <f>HYPERLINK("https://otsuka-europe-crm.veevavault.com/ui/#object/sent_email__v/VBL00000003F174", "SE-001448244")</f>
        <v>SE-001448244</v>
      </c>
      <c r="F8052" s="11"/>
      <c r="G8052" s="12">
        <v>0</v>
      </c>
      <c r="H8052" s="12">
        <v>0</v>
      </c>
      <c r="I8052" s="12">
        <v>0</v>
      </c>
      <c r="J8052" s="11"/>
      <c r="K8052" s="12">
        <v>0</v>
      </c>
      <c r="L8052" s="10" t="str">
        <f>HYPERLINK("https://otsuka-europe-crm.veevavault.com/ui/#object/approved_document__v/V5OZ025E82PTCBT", "ENFERMERÍA - Revista Peplau nº5")</f>
        <v>ENFERMERÍA - Revista Peplau nº5</v>
      </c>
      <c r="M8052" s="10" t="str">
        <f>HYPERLINK("mailto:jllombart@crm.otsuka-europe.com", "jllombart@crm.otsuka-europe.com")</f>
        <v>jllombart@crm.otsuka-europe.com</v>
      </c>
      <c r="N8052" s="13">
        <v>46233.455659722225</v>
      </c>
      <c r="O8052" s="14" t="str">
        <f>HYPERLINK("https://otsuka-europe-crm.veevavault.com/ui/#object/email_activity__v/V8C00000004D776", "EN-002109677")</f>
        <v>EN-002109677</v>
      </c>
    </row>
    <row r="8053" spans="1:15" ht="32" x14ac:dyDescent="0.2">
      <c r="A8053" s="7" t="str">
        <f>HYPERLINK("https://otsuka-europe-crm.veevavault.com/ui/#object/account__v/V4TZ04ASG8VDGOJ", "ONA PONT TENGO")</f>
        <v>ONA PONT TENGO</v>
      </c>
      <c r="B8053" s="7" t="str">
        <f>HYPERLINK("https://otsuka-europe-crm.veevavault.com/ui/#object/vcountry__v/VENZ000004SONF5", "ES")</f>
        <v>ES</v>
      </c>
      <c r="C8053" s="8" t="s">
        <v>39</v>
      </c>
      <c r="D8053" s="9" t="str">
        <f>HYPERLINK("https://otsuka-europe-crm.veevavault.com/ui/#object/approved_document__v/V5OZ025E82PTCBT", "ENFERMERÍA - Revista Peplau nº5")</f>
        <v>ENFERMERÍA - Revista Peplau nº5</v>
      </c>
      <c r="E8053" s="10" t="str">
        <f>HYPERLINK("https://otsuka-europe-crm.veevavault.com/ui/#object/sent_email__v/VBL00000003F175", "SE-001448245")</f>
        <v>SE-001448245</v>
      </c>
      <c r="F8053" s="11"/>
      <c r="G8053" s="12">
        <v>0</v>
      </c>
      <c r="H8053" s="12">
        <v>0</v>
      </c>
      <c r="I8053" s="12">
        <v>0</v>
      </c>
      <c r="J8053" s="11"/>
      <c r="K8053" s="12">
        <v>0</v>
      </c>
      <c r="L8053" s="10" t="str">
        <f>HYPERLINK("https://otsuka-europe-crm.veevavault.com/ui/#object/approved_document__v/V5OZ025E82PTCBT", "ENFERMERÍA - Revista Peplau nº5")</f>
        <v>ENFERMERÍA - Revista Peplau nº5</v>
      </c>
      <c r="M8053" s="10" t="str">
        <f>HYPERLINK("mailto:jllombart@crm.otsuka-europe.com", "jllombart@crm.otsuka-europe.com")</f>
        <v>jllombart@crm.otsuka-europe.com</v>
      </c>
      <c r="N8053" s="13">
        <v>46233.455659722225</v>
      </c>
      <c r="O8053" s="14" t="str">
        <f>HYPERLINK("https://otsuka-europe-crm.veevavault.com/ui/#object/email_activity__v/V8C00000004E693", "EN-002109682")</f>
        <v>EN-002109682</v>
      </c>
    </row>
    <row r="8054" spans="1:15" ht="32" x14ac:dyDescent="0.2">
      <c r="A8054" s="7" t="str">
        <f>HYPERLINK("https://otsuka-europe-crm.veevavault.com/ui/#object/account__v/V4T00000000Z125", "MARIA TERESA DUCH COLET")</f>
        <v>MARIA TERESA DUCH COLET</v>
      </c>
      <c r="B8054" s="7" t="str">
        <f>HYPERLINK("https://otsuka-europe-crm.veevavault.com/ui/#object/vcountry__v/VENZ000004SONF5", "ES")</f>
        <v>ES</v>
      </c>
      <c r="C8054" s="8" t="s">
        <v>39</v>
      </c>
      <c r="D8054" s="9" t="str">
        <f>HYPERLINK("https://otsuka-europe-crm.veevavault.com/ui/#object/approved_document__v/V5OZ025E82PTCBT", "ENFERMERÍA - Revista Peplau nº5")</f>
        <v>ENFERMERÍA - Revista Peplau nº5</v>
      </c>
      <c r="E8054" s="10" t="str">
        <f>HYPERLINK("https://otsuka-europe-crm.veevavault.com/ui/#object/sent_email__v/VBL00000003F176", "SE-001448246")</f>
        <v>SE-001448246</v>
      </c>
      <c r="F8054" s="11"/>
      <c r="G8054" s="12">
        <v>0</v>
      </c>
      <c r="H8054" s="12">
        <v>0</v>
      </c>
      <c r="I8054" s="12">
        <v>0</v>
      </c>
      <c r="J8054" s="11"/>
      <c r="K8054" s="12">
        <v>0</v>
      </c>
      <c r="L8054" s="10" t="str">
        <f>HYPERLINK("https://otsuka-europe-crm.veevavault.com/ui/#object/approved_document__v/V5OZ025E82PTCBT", "ENFERMERÍA - Revista Peplau nº5")</f>
        <v>ENFERMERÍA - Revista Peplau nº5</v>
      </c>
      <c r="M8054" s="10" t="str">
        <f>HYPERLINK("mailto:jllombart@crm.otsuka-europe.com", "jllombart@crm.otsuka-europe.com")</f>
        <v>jllombart@crm.otsuka-europe.com</v>
      </c>
      <c r="N8054" s="13">
        <v>46233.455659722225</v>
      </c>
      <c r="O8054" s="14" t="str">
        <f>HYPERLINK("https://otsuka-europe-crm.veevavault.com/ui/#object/email_activity__v/V8C00000004E694", "EN-002109686")</f>
        <v>EN-002109686</v>
      </c>
    </row>
    <row r="8055" spans="1:15" ht="16" x14ac:dyDescent="0.2">
      <c r="A8055" s="18" t="str">
        <f>HYPERLINK("https://otsuka-europe-crm.veevavault.com/ui/#object/account__v/V4TZ06G6O71TDGA", "MIRIAM ELOINA GREGORIO ELCOSO")</f>
        <v>MIRIAM ELOINA GREGORIO ELCOSO</v>
      </c>
      <c r="B8055" s="18" t="str">
        <f>HYPERLINK("https://otsuka-europe-crm.veevavault.com/ui/#object/vcountry__v/VENZ000004SONF5", "ES")</f>
        <v>ES</v>
      </c>
      <c r="C8055" s="20" t="s">
        <v>39</v>
      </c>
      <c r="D8055" s="21" t="str">
        <f>HYPERLINK("https://otsuka-europe-crm.veevavault.com/ui/#object/approved_document__v/V5OZ025E82PTCBT", "ENFERMERÍA - Revista Peplau nº5")</f>
        <v>ENFERMERÍA - Revista Peplau nº5</v>
      </c>
      <c r="E8055" s="22" t="str">
        <f>HYPERLINK("https://otsuka-europe-crm.veevavault.com/ui/#object/sent_email__v/VBL00000003F177", "SE-001448247")</f>
        <v>SE-001448247</v>
      </c>
      <c r="F8055" s="23"/>
      <c r="G8055" s="24">
        <v>0</v>
      </c>
      <c r="H8055" s="24">
        <v>0</v>
      </c>
      <c r="I8055" s="24">
        <v>0</v>
      </c>
      <c r="J8055" s="23"/>
      <c r="K8055" s="24">
        <v>0</v>
      </c>
      <c r="L8055" s="22" t="str">
        <f>HYPERLINK("https://otsuka-europe-crm.veevavault.com/ui/#object/approved_document__v/V5OZ025E82PTCBT", "ENFERMERÍA - Revista Peplau nº5")</f>
        <v>ENFERMERÍA - Revista Peplau nº5</v>
      </c>
      <c r="M8055" s="22" t="str">
        <f>HYPERLINK("mailto:jllombart@crm.otsuka-europe.com", "jllombart@crm.otsuka-europe.com")</f>
        <v>jllombart@crm.otsuka-europe.com</v>
      </c>
      <c r="N8055" s="25">
        <v>46233.455659722225</v>
      </c>
      <c r="O8055" s="14" t="str">
        <f>HYPERLINK("https://otsuka-europe-crm.veevavault.com/ui/#object/email_activity__v/V8C00000004E703", "EN-002109695")</f>
        <v>EN-002109695</v>
      </c>
    </row>
    <row r="8056" spans="1:15" ht="16" x14ac:dyDescent="0.2">
      <c r="A8056" s="19"/>
      <c r="B8056" s="19"/>
      <c r="C8056" s="19"/>
      <c r="D8056" s="19"/>
      <c r="E8056" s="19"/>
      <c r="F8056" s="19"/>
      <c r="G8056" s="19"/>
      <c r="H8056" s="19"/>
      <c r="I8056" s="19"/>
      <c r="J8056" s="19"/>
      <c r="K8056" s="19"/>
      <c r="L8056" s="19"/>
      <c r="M8056" s="19"/>
      <c r="N8056" s="19"/>
      <c r="O8056" s="14" t="str">
        <f>HYPERLINK("https://otsuka-europe-crm.veevavault.com/ui/#object/email_activity__v/V8C00000004G605", "EN-002110803")</f>
        <v>EN-002110803</v>
      </c>
    </row>
    <row r="8057" spans="1:15" ht="16" x14ac:dyDescent="0.2">
      <c r="A8057" s="18" t="str">
        <f>HYPERLINK("https://otsuka-europe-crm.veevavault.com/ui/#object/account__v/V4TZ06G6O8RZYTG", "ROCIO ROBLES ASENSIO")</f>
        <v>ROCIO ROBLES ASENSIO</v>
      </c>
      <c r="B8057" s="18" t="str">
        <f>HYPERLINK("https://otsuka-europe-crm.veevavault.com/ui/#object/vcountry__v/VENZ000004SONF5", "ES")</f>
        <v>ES</v>
      </c>
      <c r="C8057" s="20" t="s">
        <v>39</v>
      </c>
      <c r="D8057" s="21" t="str">
        <f>HYPERLINK("https://otsuka-europe-crm.veevavault.com/ui/#object/approved_document__v/V5OZ025E82PTCBT", "ENFERMERÍA - Revista Peplau nº5")</f>
        <v>ENFERMERÍA - Revista Peplau nº5</v>
      </c>
      <c r="E8057" s="22" t="str">
        <f>HYPERLINK("https://otsuka-europe-crm.veevavault.com/ui/#object/sent_email__v/VBL00000003F178", "SE-001448248")</f>
        <v>SE-001448248</v>
      </c>
      <c r="F8057" s="25">
        <v>46234.297546296293</v>
      </c>
      <c r="G8057" s="24">
        <v>1</v>
      </c>
      <c r="H8057" s="24">
        <v>3</v>
      </c>
      <c r="I8057" s="24">
        <v>0</v>
      </c>
      <c r="J8057" s="23"/>
      <c r="K8057" s="24">
        <v>0</v>
      </c>
      <c r="L8057" s="22" t="str">
        <f>HYPERLINK("https://otsuka-europe-crm.veevavault.com/ui/#object/approved_document__v/V5OZ025E82PTCBT", "ENFERMERÍA - Revista Peplau nº5")</f>
        <v>ENFERMERÍA - Revista Peplau nº5</v>
      </c>
      <c r="M8057" s="22" t="str">
        <f>HYPERLINK("mailto:jllombart@crm.otsuka-europe.com", "jllombart@crm.otsuka-europe.com")</f>
        <v>jllombart@crm.otsuka-europe.com</v>
      </c>
      <c r="N8057" s="25">
        <v>46233.455659722225</v>
      </c>
      <c r="O8057" s="14" t="str">
        <f>HYPERLINK("https://otsuka-europe-crm.veevavault.com/ui/#object/email_activity__v/V8C00000004E696", "EN-002109688")</f>
        <v>EN-002109688</v>
      </c>
    </row>
    <row r="8058" spans="1:15" ht="16" x14ac:dyDescent="0.2">
      <c r="A8058" s="26"/>
      <c r="B8058" s="26"/>
      <c r="C8058" s="26"/>
      <c r="D8058" s="26"/>
      <c r="E8058" s="26"/>
      <c r="F8058" s="26"/>
      <c r="G8058" s="26"/>
      <c r="H8058" s="26"/>
      <c r="I8058" s="26"/>
      <c r="J8058" s="26"/>
      <c r="K8058" s="26"/>
      <c r="L8058" s="26"/>
      <c r="M8058" s="26"/>
      <c r="N8058" s="26"/>
      <c r="O8058" s="14" t="str">
        <f>HYPERLINK("https://otsuka-europe-crm.veevavault.com/ui/#object/email_activity__v/V8C00000004E710", "EN-002109706")</f>
        <v>EN-002109706</v>
      </c>
    </row>
    <row r="8059" spans="1:15" ht="16" x14ac:dyDescent="0.2">
      <c r="A8059" s="26"/>
      <c r="B8059" s="26"/>
      <c r="C8059" s="26"/>
      <c r="D8059" s="26"/>
      <c r="E8059" s="26"/>
      <c r="F8059" s="26"/>
      <c r="G8059" s="26"/>
      <c r="H8059" s="26"/>
      <c r="I8059" s="26"/>
      <c r="J8059" s="26"/>
      <c r="K8059" s="26"/>
      <c r="L8059" s="26"/>
      <c r="M8059" s="26"/>
      <c r="N8059" s="26"/>
      <c r="O8059" s="14" t="str">
        <f>HYPERLINK("https://otsuka-europe-crm.veevavault.com/ui/#object/email_activity__v/V8C00000004E711", "EN-002109708")</f>
        <v>EN-002109708</v>
      </c>
    </row>
    <row r="8060" spans="1:15" ht="16" x14ac:dyDescent="0.2">
      <c r="A8060" s="19"/>
      <c r="B8060" s="19"/>
      <c r="C8060" s="19"/>
      <c r="D8060" s="19"/>
      <c r="E8060" s="19"/>
      <c r="F8060" s="19"/>
      <c r="G8060" s="19"/>
      <c r="H8060" s="19"/>
      <c r="I8060" s="19"/>
      <c r="J8060" s="19"/>
      <c r="K8060" s="19"/>
      <c r="L8060" s="19"/>
      <c r="M8060" s="19"/>
      <c r="N8060" s="19"/>
      <c r="O8060" s="14" t="str">
        <f>HYPERLINK("https://otsuka-europe-crm.veevavault.com/ui/#object/email_activity__v/V8C00000004G050", "EN-002109845")</f>
        <v>EN-002109845</v>
      </c>
    </row>
    <row r="8061" spans="1:15" ht="32" x14ac:dyDescent="0.2">
      <c r="A8061" s="7" t="str">
        <f>HYPERLINK("https://otsuka-europe-crm.veevavault.com/ui/#object/account__v/V4TZ06G6OBUNODX", "PEDRO MATEO DOMINGUEZ")</f>
        <v>PEDRO MATEO DOMINGUEZ</v>
      </c>
      <c r="B8061" s="7" t="str">
        <f>HYPERLINK("https://otsuka-europe-crm.veevavault.com/ui/#object/vcountry__v/VENZ000004SONF5", "ES")</f>
        <v>ES</v>
      </c>
      <c r="C8061" s="8" t="s">
        <v>39</v>
      </c>
      <c r="D8061" s="9" t="str">
        <f>HYPERLINK("https://otsuka-europe-crm.veevavault.com/ui/#object/approved_document__v/V5OZ025E82PTCBT", "ENFERMERÍA - Revista Peplau nº5")</f>
        <v>ENFERMERÍA - Revista Peplau nº5</v>
      </c>
      <c r="E8061" s="10" t="str">
        <f>HYPERLINK("https://otsuka-europe-crm.veevavault.com/ui/#object/sent_email__v/VBL00000003F179", "SE-001448249")</f>
        <v>SE-001448249</v>
      </c>
      <c r="F8061" s="11"/>
      <c r="G8061" s="12">
        <v>0</v>
      </c>
      <c r="H8061" s="12">
        <v>0</v>
      </c>
      <c r="I8061" s="12">
        <v>0</v>
      </c>
      <c r="J8061" s="11"/>
      <c r="K8061" s="12">
        <v>0</v>
      </c>
      <c r="L8061" s="10" t="str">
        <f>HYPERLINK("https://otsuka-europe-crm.veevavault.com/ui/#object/approved_document__v/V5OZ025E82PTCBT", "ENFERMERÍA - Revista Peplau nº5")</f>
        <v>ENFERMERÍA - Revista Peplau nº5</v>
      </c>
      <c r="M8061" s="10" t="str">
        <f>HYPERLINK("mailto:jllombart@crm.otsuka-europe.com", "jllombart@crm.otsuka-europe.com")</f>
        <v>jllombart@crm.otsuka-europe.com</v>
      </c>
      <c r="N8061" s="13">
        <v>46233.455659722225</v>
      </c>
      <c r="O8061" s="14" t="str">
        <f>HYPERLINK("https://otsuka-europe-crm.veevavault.com/ui/#object/email_activity__v/V8C00000004E706", "EN-002109702")</f>
        <v>EN-002109702</v>
      </c>
    </row>
    <row r="8062" spans="1:15" ht="16" x14ac:dyDescent="0.2">
      <c r="A8062" s="18" t="str">
        <f>HYPERLINK("https://otsuka-europe-crm.veevavault.com/ui/#object/account__v/V4TZ06G6OB4B6BE", "EULALIA CASTELLANOS GARCIA")</f>
        <v>EULALIA CASTELLANOS GARCIA</v>
      </c>
      <c r="B8062" s="18" t="str">
        <f>HYPERLINK("https://otsuka-europe-crm.veevavault.com/ui/#object/vcountry__v/VENZ000004SONF5", "ES")</f>
        <v>ES</v>
      </c>
      <c r="C8062" s="20" t="s">
        <v>39</v>
      </c>
      <c r="D8062" s="21" t="str">
        <f>HYPERLINK("https://otsuka-europe-crm.veevavault.com/ui/#object/approved_document__v/V5OZ025E82PTCBT", "ENFERMERÍA - Revista Peplau nº5")</f>
        <v>ENFERMERÍA - Revista Peplau nº5</v>
      </c>
      <c r="E8062" s="22" t="str">
        <f>HYPERLINK("https://otsuka-europe-crm.veevavault.com/ui/#object/sent_email__v/VBL00000003F180", "SE-001448250")</f>
        <v>SE-001448250</v>
      </c>
      <c r="F8062" s="25">
        <v>46233.797361111108</v>
      </c>
      <c r="G8062" s="24">
        <v>1</v>
      </c>
      <c r="H8062" s="24">
        <v>2</v>
      </c>
      <c r="I8062" s="24">
        <v>0</v>
      </c>
      <c r="J8062" s="23"/>
      <c r="K8062" s="24">
        <v>0</v>
      </c>
      <c r="L8062" s="22" t="str">
        <f>HYPERLINK("https://otsuka-europe-crm.veevavault.com/ui/#object/approved_document__v/V5OZ025E82PTCBT", "ENFERMERÍA - Revista Peplau nº5")</f>
        <v>ENFERMERÍA - Revista Peplau nº5</v>
      </c>
      <c r="M8062" s="22" t="str">
        <f>HYPERLINK("mailto:jllombart@crm.otsuka-europe.com", "jllombart@crm.otsuka-europe.com")</f>
        <v>jllombart@crm.otsuka-europe.com</v>
      </c>
      <c r="N8062" s="25">
        <v>46233.455659722225</v>
      </c>
      <c r="O8062" s="14" t="str">
        <f>HYPERLINK("https://otsuka-europe-crm.veevavault.com/ui/#object/email_activity__v/V8C00000004E697", "EN-002109689")</f>
        <v>EN-002109689</v>
      </c>
    </row>
    <row r="8063" spans="1:15" ht="16" x14ac:dyDescent="0.2">
      <c r="A8063" s="26"/>
      <c r="B8063" s="26"/>
      <c r="C8063" s="26"/>
      <c r="D8063" s="26"/>
      <c r="E8063" s="26"/>
      <c r="F8063" s="26"/>
      <c r="G8063" s="26"/>
      <c r="H8063" s="26"/>
      <c r="I8063" s="26"/>
      <c r="J8063" s="26"/>
      <c r="K8063" s="26"/>
      <c r="L8063" s="26"/>
      <c r="M8063" s="26"/>
      <c r="N8063" s="26"/>
      <c r="O8063" s="14" t="str">
        <f>HYPERLINK("https://otsuka-europe-crm.veevavault.com/ui/#object/email_activity__v/V8C00000004G048", "EN-002109843")</f>
        <v>EN-002109843</v>
      </c>
    </row>
    <row r="8064" spans="1:15" ht="16" x14ac:dyDescent="0.2">
      <c r="A8064" s="19"/>
      <c r="B8064" s="19"/>
      <c r="C8064" s="19"/>
      <c r="D8064" s="19"/>
      <c r="E8064" s="19"/>
      <c r="F8064" s="19"/>
      <c r="G8064" s="19"/>
      <c r="H8064" s="19"/>
      <c r="I8064" s="19"/>
      <c r="J8064" s="19"/>
      <c r="K8064" s="19"/>
      <c r="L8064" s="19"/>
      <c r="M8064" s="19"/>
      <c r="N8064" s="19"/>
      <c r="O8064" s="14" t="str">
        <f>HYPERLINK("https://otsuka-europe-crm.veevavault.com/ui/#object/email_activity__v/V8C00000004H043", "EN-002110994")</f>
        <v>EN-002110994</v>
      </c>
    </row>
    <row r="8065" spans="1:15" ht="32" x14ac:dyDescent="0.2">
      <c r="A8065" s="7" t="str">
        <f>HYPERLINK("https://otsuka-europe-crm.veevavault.com/ui/#object/account__v/V4TZ06G6OBI8ZNW", "MARIA JOSE ALGORA GAYAN")</f>
        <v>MARIA JOSE ALGORA GAYAN</v>
      </c>
      <c r="B8065" s="7" t="str">
        <f>HYPERLINK("https://otsuka-europe-crm.veevavault.com/ui/#object/vcountry__v/VENZ000004SONF5", "ES")</f>
        <v>ES</v>
      </c>
      <c r="C8065" s="8" t="s">
        <v>39</v>
      </c>
      <c r="D8065" s="9" t="str">
        <f>HYPERLINK("https://otsuka-europe-crm.veevavault.com/ui/#object/approved_document__v/V5OZ025E82PTCBT", "ENFERMERÍA - Revista Peplau nº5")</f>
        <v>ENFERMERÍA - Revista Peplau nº5</v>
      </c>
      <c r="E8065" s="10" t="str">
        <f>HYPERLINK("https://otsuka-europe-crm.veevavault.com/ui/#object/sent_email__v/VBL00000003F181", "SE-001448251")</f>
        <v>SE-001448251</v>
      </c>
      <c r="F8065" s="11"/>
      <c r="G8065" s="12">
        <v>0</v>
      </c>
      <c r="H8065" s="12">
        <v>0</v>
      </c>
      <c r="I8065" s="12">
        <v>0</v>
      </c>
      <c r="J8065" s="11"/>
      <c r="K8065" s="12">
        <v>0</v>
      </c>
      <c r="L8065" s="10" t="str">
        <f>HYPERLINK("https://otsuka-europe-crm.veevavault.com/ui/#object/approved_document__v/V5OZ025E82PTCBT", "ENFERMERÍA - Revista Peplau nº5")</f>
        <v>ENFERMERÍA - Revista Peplau nº5</v>
      </c>
      <c r="M8065" s="10" t="str">
        <f>HYPERLINK("mailto:jllombart@crm.otsuka-europe.com", "jllombart@crm.otsuka-europe.com")</f>
        <v>jllombart@crm.otsuka-europe.com</v>
      </c>
      <c r="N8065" s="13">
        <v>46233.455659722225</v>
      </c>
      <c r="O8065" s="14" t="str">
        <f>HYPERLINK("https://otsuka-europe-crm.veevavault.com/ui/#object/email_activity__v/V8C00000004D779", "EN-002109697")</f>
        <v>EN-002109697</v>
      </c>
    </row>
    <row r="8066" spans="1:15" ht="32" x14ac:dyDescent="0.2">
      <c r="A8066" s="7" t="str">
        <f>HYPERLINK("https://otsuka-europe-crm.veevavault.com/ui/#object/account__v/V4TZ04ASGB968FJ", "JONATAN LUCENA PACHECO")</f>
        <v>JONATAN LUCENA PACHECO</v>
      </c>
      <c r="B8066" s="7" t="str">
        <f>HYPERLINK("https://otsuka-europe-crm.veevavault.com/ui/#object/vcountry__v/VENZ000004SONF5", "ES")</f>
        <v>ES</v>
      </c>
      <c r="C8066" s="8" t="s">
        <v>39</v>
      </c>
      <c r="D8066" s="9" t="str">
        <f>HYPERLINK("https://otsuka-europe-crm.veevavault.com/ui/#object/approved_document__v/V5OZ025E82PTCBT", "ENFERMERÍA - Revista Peplau nº5")</f>
        <v>ENFERMERÍA - Revista Peplau nº5</v>
      </c>
      <c r="E8066" s="10" t="str">
        <f>HYPERLINK("https://otsuka-europe-crm.veevavault.com/ui/#object/sent_email__v/VBL00000003F182", "SE-001448252")</f>
        <v>SE-001448252</v>
      </c>
      <c r="F8066" s="11"/>
      <c r="G8066" s="12">
        <v>0</v>
      </c>
      <c r="H8066" s="12">
        <v>0</v>
      </c>
      <c r="I8066" s="12">
        <v>0</v>
      </c>
      <c r="J8066" s="11"/>
      <c r="K8066" s="12">
        <v>0</v>
      </c>
      <c r="L8066" s="10" t="str">
        <f>HYPERLINK("https://otsuka-europe-crm.veevavault.com/ui/#object/approved_document__v/V5OZ025E82PTCBT", "ENFERMERÍA - Revista Peplau nº5")</f>
        <v>ENFERMERÍA - Revista Peplau nº5</v>
      </c>
      <c r="M8066" s="10" t="str">
        <f>HYPERLINK("mailto:jllombart@crm.otsuka-europe.com", "jllombart@crm.otsuka-europe.com")</f>
        <v>jllombart@crm.otsuka-europe.com</v>
      </c>
      <c r="N8066" s="13">
        <v>46233.455659722225</v>
      </c>
      <c r="O8066" s="14" t="str">
        <f>HYPERLINK("https://otsuka-europe-crm.veevavault.com/ui/#object/email_activity__v/V8C00000004E707", "EN-002109703")</f>
        <v>EN-002109703</v>
      </c>
    </row>
    <row r="8067" spans="1:15" ht="32" x14ac:dyDescent="0.2">
      <c r="A8067" s="7" t="str">
        <f>HYPERLINK("https://otsuka-europe-crm.veevavault.com/ui/#object/account__v/V4TZ06G6OBUNOCO", "MARIA TERESA GOMARIZ MUÑOZ")</f>
        <v>MARIA TERESA GOMARIZ MUÑOZ</v>
      </c>
      <c r="B8067" s="7" t="str">
        <f>HYPERLINK("https://otsuka-europe-crm.veevavault.com/ui/#object/vcountry__v/VENZ000004SONF5", "ES")</f>
        <v>ES</v>
      </c>
      <c r="C8067" s="8" t="s">
        <v>39</v>
      </c>
      <c r="D8067" s="9" t="str">
        <f>HYPERLINK("https://otsuka-europe-crm.veevavault.com/ui/#object/approved_document__v/V5OZ025E82PTCBT", "ENFERMERÍA - Revista Peplau nº5")</f>
        <v>ENFERMERÍA - Revista Peplau nº5</v>
      </c>
      <c r="E8067" s="10" t="str">
        <f>HYPERLINK("https://otsuka-europe-crm.veevavault.com/ui/#object/sent_email__v/VBL00000003F183", "SE-001448253")</f>
        <v>SE-001448253</v>
      </c>
      <c r="F8067" s="11"/>
      <c r="G8067" s="12">
        <v>0</v>
      </c>
      <c r="H8067" s="12">
        <v>0</v>
      </c>
      <c r="I8067" s="12">
        <v>0</v>
      </c>
      <c r="J8067" s="11"/>
      <c r="K8067" s="12">
        <v>0</v>
      </c>
      <c r="L8067" s="10" t="str">
        <f>HYPERLINK("https://otsuka-europe-crm.veevavault.com/ui/#object/approved_document__v/V5OZ025E82PTCBT", "ENFERMERÍA - Revista Peplau nº5")</f>
        <v>ENFERMERÍA - Revista Peplau nº5</v>
      </c>
      <c r="M8067" s="10" t="str">
        <f>HYPERLINK("mailto:jllombart@crm.otsuka-europe.com", "jllombart@crm.otsuka-europe.com")</f>
        <v>jllombart@crm.otsuka-europe.com</v>
      </c>
      <c r="N8067" s="13">
        <v>46233.455659722225</v>
      </c>
      <c r="O8067" s="14" t="str">
        <f>HYPERLINK("https://otsuka-europe-crm.veevavault.com/ui/#object/email_activity__v/V8C00000004E704", "EN-002109696")</f>
        <v>EN-002109696</v>
      </c>
    </row>
    <row r="8068" spans="1:15" ht="16" x14ac:dyDescent="0.2">
      <c r="A8068" s="18" t="str">
        <f>HYPERLINK("https://otsuka-europe-crm.veevavault.com/ui/#object/account__v/V4T000000011089", "MONTSERRAT BERTOMEU SABATE")</f>
        <v>MONTSERRAT BERTOMEU SABATE</v>
      </c>
      <c r="B8068" s="18" t="str">
        <f>HYPERLINK("https://otsuka-europe-crm.veevavault.com/ui/#object/vcountry__v/VENZ000004SONF5", "ES")</f>
        <v>ES</v>
      </c>
      <c r="C8068" s="20" t="s">
        <v>39</v>
      </c>
      <c r="D8068" s="21" t="str">
        <f>HYPERLINK("https://otsuka-europe-crm.veevavault.com/ui/#object/approved_document__v/V5OZ025E82PTCBT", "ENFERMERÍA - Revista Peplau nº5")</f>
        <v>ENFERMERÍA - Revista Peplau nº5</v>
      </c>
      <c r="E8068" s="22" t="str">
        <f>HYPERLINK("https://otsuka-europe-crm.veevavault.com/ui/#object/sent_email__v/VBL00000003F184", "SE-001448254")</f>
        <v>SE-001448254</v>
      </c>
      <c r="F8068" s="25">
        <v>46234.832152777781</v>
      </c>
      <c r="G8068" s="24">
        <v>1</v>
      </c>
      <c r="H8068" s="24">
        <v>1</v>
      </c>
      <c r="I8068" s="24">
        <v>1</v>
      </c>
      <c r="J8068" s="25">
        <v>46234.832152777781</v>
      </c>
      <c r="K8068" s="24">
        <v>1</v>
      </c>
      <c r="L8068" s="22" t="str">
        <f>HYPERLINK("https://otsuka-europe-crm.veevavault.com/ui/#object/approved_document__v/V5OZ025E82PTCBT", "ENFERMERÍA - Revista Peplau nº5")</f>
        <v>ENFERMERÍA - Revista Peplau nº5</v>
      </c>
      <c r="M8068" s="22" t="str">
        <f>HYPERLINK("mailto:jllombart@crm.otsuka-europe.com", "jllombart@crm.otsuka-europe.com")</f>
        <v>jllombart@crm.otsuka-europe.com</v>
      </c>
      <c r="N8068" s="25">
        <v>46233.455659722225</v>
      </c>
      <c r="O8068" s="14" t="str">
        <f>HYPERLINK("https://otsuka-europe-crm.veevavault.com/ui/#object/email_activity__v/V8C00000004E700", "EN-002109692")</f>
        <v>EN-002109692</v>
      </c>
    </row>
    <row r="8069" spans="1:15" ht="16" x14ac:dyDescent="0.2">
      <c r="A8069" s="26"/>
      <c r="B8069" s="26"/>
      <c r="C8069" s="26"/>
      <c r="D8069" s="26"/>
      <c r="E8069" s="26"/>
      <c r="F8069" s="26"/>
      <c r="G8069" s="26"/>
      <c r="H8069" s="26"/>
      <c r="I8069" s="26"/>
      <c r="J8069" s="26"/>
      <c r="K8069" s="26"/>
      <c r="L8069" s="26"/>
      <c r="M8069" s="26"/>
      <c r="N8069" s="26"/>
      <c r="O8069" s="14" t="str">
        <f>HYPERLINK("https://otsuka-europe-crm.veevavault.com/ui/#object/email_activity__v/V8C00000004F479", "EN-002110907")</f>
        <v>EN-002110907</v>
      </c>
    </row>
    <row r="8070" spans="1:15" ht="16" x14ac:dyDescent="0.2">
      <c r="A8070" s="19"/>
      <c r="B8070" s="19"/>
      <c r="C8070" s="19"/>
      <c r="D8070" s="19"/>
      <c r="E8070" s="19"/>
      <c r="F8070" s="19"/>
      <c r="G8070" s="19"/>
      <c r="H8070" s="19"/>
      <c r="I8070" s="19"/>
      <c r="J8070" s="19"/>
      <c r="K8070" s="19"/>
      <c r="L8070" s="19"/>
      <c r="M8070" s="19"/>
      <c r="N8070" s="19"/>
      <c r="O8070" s="14" t="str">
        <f>HYPERLINK("https://otsuka-europe-crm.veevavault.com/ui/#object/email_activity__v/V8C00000004F480", "EN-002110906")</f>
        <v>EN-002110906</v>
      </c>
    </row>
    <row r="8071" spans="1:15" ht="32" x14ac:dyDescent="0.2">
      <c r="A8071" s="7" t="str">
        <f>HYPERLINK("https://otsuka-europe-crm.veevavault.com/ui/#object/account__v/V4TZ04ASGB9NW8A", "ANA MONGE GUERRERO")</f>
        <v>ANA MONGE GUERRERO</v>
      </c>
      <c r="B8071" s="7" t="str">
        <f>HYPERLINK("https://otsuka-europe-crm.veevavault.com/ui/#object/vcountry__v/VENZ000004SONF5", "ES")</f>
        <v>ES</v>
      </c>
      <c r="C8071" s="8" t="s">
        <v>39</v>
      </c>
      <c r="D8071" s="9" t="str">
        <f>HYPERLINK("https://otsuka-europe-crm.veevavault.com/ui/#object/approved_document__v/V5OZ025E82PTCBT", "ENFERMERÍA - Revista Peplau nº5")</f>
        <v>ENFERMERÍA - Revista Peplau nº5</v>
      </c>
      <c r="E8071" s="10" t="str">
        <f>HYPERLINK("https://otsuka-europe-crm.veevavault.com/ui/#object/sent_email__v/VBL00000003F185", "SE-001448255")</f>
        <v>SE-001448255</v>
      </c>
      <c r="F8071" s="11"/>
      <c r="G8071" s="12">
        <v>0</v>
      </c>
      <c r="H8071" s="12">
        <v>0</v>
      </c>
      <c r="I8071" s="12">
        <v>0</v>
      </c>
      <c r="J8071" s="11"/>
      <c r="K8071" s="12">
        <v>0</v>
      </c>
      <c r="L8071" s="10" t="str">
        <f>HYPERLINK("https://otsuka-europe-crm.veevavault.com/ui/#object/approved_document__v/V5OZ025E82PTCBT", "ENFERMERÍA - Revista Peplau nº5")</f>
        <v>ENFERMERÍA - Revista Peplau nº5</v>
      </c>
      <c r="M8071" s="10" t="str">
        <f>HYPERLINK("mailto:jllombart@crm.otsuka-europe.com", "jllombart@crm.otsuka-europe.com")</f>
        <v>jllombart@crm.otsuka-europe.com</v>
      </c>
      <c r="N8071" s="13">
        <v>46233.455659722225</v>
      </c>
      <c r="O8071" s="14" t="str">
        <f>HYPERLINK("https://otsuka-europe-crm.veevavault.com/ui/#object/email_activity__v/V8C00000004D774", "EN-002109675")</f>
        <v>EN-002109675</v>
      </c>
    </row>
    <row r="8072" spans="1:15" ht="32" x14ac:dyDescent="0.2">
      <c r="A8072" s="7" t="str">
        <f>HYPERLINK("https://otsuka-europe-crm.veevavault.com/ui/#object/account__v/V4TZ025E86QHG5D", "LAURA CUESTA NICOLAS")</f>
        <v>LAURA CUESTA NICOLAS</v>
      </c>
      <c r="B8072" s="7" t="str">
        <f>HYPERLINK("https://otsuka-europe-crm.veevavault.com/ui/#object/vcountry__v/VENZ000004SONF5", "ES")</f>
        <v>ES</v>
      </c>
      <c r="C8072" s="8" t="s">
        <v>39</v>
      </c>
      <c r="D8072" s="9" t="str">
        <f>HYPERLINK("https://otsuka-europe-crm.veevavault.com/ui/#object/approved_document__v/V5OZ025E82PTCBT", "ENFERMERÍA - Revista Peplau nº5")</f>
        <v>ENFERMERÍA - Revista Peplau nº5</v>
      </c>
      <c r="E8072" s="10" t="str">
        <f>HYPERLINK("https://otsuka-europe-crm.veevavault.com/ui/#object/sent_email__v/VBL00000003F186", "SE-001448256")</f>
        <v>SE-001448256</v>
      </c>
      <c r="F8072" s="11"/>
      <c r="G8072" s="12">
        <v>0</v>
      </c>
      <c r="H8072" s="12">
        <v>0</v>
      </c>
      <c r="I8072" s="12">
        <v>0</v>
      </c>
      <c r="J8072" s="11"/>
      <c r="K8072" s="12">
        <v>0</v>
      </c>
      <c r="L8072" s="10" t="str">
        <f>HYPERLINK("https://otsuka-europe-crm.veevavault.com/ui/#object/approved_document__v/V5OZ025E82PTCBT", "ENFERMERÍA - Revista Peplau nº5")</f>
        <v>ENFERMERÍA - Revista Peplau nº5</v>
      </c>
      <c r="M8072" s="10" t="str">
        <f>HYPERLINK("mailto:jllombart@crm.otsuka-europe.com", "jllombart@crm.otsuka-europe.com")</f>
        <v>jllombart@crm.otsuka-europe.com</v>
      </c>
      <c r="N8072" s="13">
        <v>46233.455659722225</v>
      </c>
      <c r="O8072" s="14" t="str">
        <f>HYPERLINK("https://otsuka-europe-crm.veevavault.com/ui/#object/email_activity__v/V8C00000004E702", "EN-002109694")</f>
        <v>EN-002109694</v>
      </c>
    </row>
    <row r="8073" spans="1:15" ht="32" x14ac:dyDescent="0.2">
      <c r="A8073" s="7" t="str">
        <f>HYPERLINK("https://otsuka-europe-crm.veevavault.com/ui/#object/account__v/V4TZ06G6OC6KNC6", "CRISTINA CAÑADAS MONROY")</f>
        <v>CRISTINA CAÑADAS MONROY</v>
      </c>
      <c r="B8073" s="7" t="str">
        <f>HYPERLINK("https://otsuka-europe-crm.veevavault.com/ui/#object/vcountry__v/VENZ000004SONF5", "ES")</f>
        <v>ES</v>
      </c>
      <c r="C8073" s="8" t="s">
        <v>39</v>
      </c>
      <c r="D8073" s="9" t="str">
        <f>HYPERLINK("https://otsuka-europe-crm.veevavault.com/ui/#object/approved_document__v/V5OZ025E82PTCBT", "ENFERMERÍA - Revista Peplau nº5")</f>
        <v>ENFERMERÍA - Revista Peplau nº5</v>
      </c>
      <c r="E8073" s="10" t="str">
        <f>HYPERLINK("https://otsuka-europe-crm.veevavault.com/ui/#object/sent_email__v/VBL00000003F187", "SE-001448257")</f>
        <v>SE-001448257</v>
      </c>
      <c r="F8073" s="11"/>
      <c r="G8073" s="12">
        <v>0</v>
      </c>
      <c r="H8073" s="12">
        <v>0</v>
      </c>
      <c r="I8073" s="12">
        <v>0</v>
      </c>
      <c r="J8073" s="11"/>
      <c r="K8073" s="12">
        <v>0</v>
      </c>
      <c r="L8073" s="10" t="str">
        <f>HYPERLINK("https://otsuka-europe-crm.veevavault.com/ui/#object/approved_document__v/V5OZ025E82PTCBT", "ENFERMERÍA - Revista Peplau nº5")</f>
        <v>ENFERMERÍA - Revista Peplau nº5</v>
      </c>
      <c r="M8073" s="10" t="str">
        <f>HYPERLINK("mailto:jllombart@crm.otsuka-europe.com", "jllombart@crm.otsuka-europe.com")</f>
        <v>jllombart@crm.otsuka-europe.com</v>
      </c>
      <c r="N8073" s="13">
        <v>46233.455659722225</v>
      </c>
      <c r="O8073" s="14" t="str">
        <f>HYPERLINK("https://otsuka-europe-crm.veevavault.com/ui/#object/email_activity__v/V8C00000004E692", "EN-002109681")</f>
        <v>EN-002109681</v>
      </c>
    </row>
    <row r="8074" spans="1:15" ht="32" x14ac:dyDescent="0.2">
      <c r="A8074" s="7" t="str">
        <f>HYPERLINK("https://otsuka-europe-crm.veevavault.com/ui/#object/account__v/V4TZ06G6O84QVOJ", "MIQUEL RAGULL PUIG")</f>
        <v>MIQUEL RAGULL PUIG</v>
      </c>
      <c r="B8074" s="7" t="str">
        <f>HYPERLINK("https://otsuka-europe-crm.veevavault.com/ui/#object/vcountry__v/VENZ000004SONF5", "ES")</f>
        <v>ES</v>
      </c>
      <c r="C8074" s="8" t="s">
        <v>39</v>
      </c>
      <c r="D8074" s="9" t="str">
        <f>HYPERLINK("https://otsuka-europe-crm.veevavault.com/ui/#object/approved_document__v/V5OZ025E82PTCBT", "ENFERMERÍA - Revista Peplau nº5")</f>
        <v>ENFERMERÍA - Revista Peplau nº5</v>
      </c>
      <c r="E8074" s="10" t="str">
        <f>HYPERLINK("https://otsuka-europe-crm.veevavault.com/ui/#object/sent_email__v/VBL00000003F188", "SE-001448258")</f>
        <v>SE-001448258</v>
      </c>
      <c r="F8074" s="11"/>
      <c r="G8074" s="12">
        <v>0</v>
      </c>
      <c r="H8074" s="12">
        <v>0</v>
      </c>
      <c r="I8074" s="12">
        <v>0</v>
      </c>
      <c r="J8074" s="11"/>
      <c r="K8074" s="12">
        <v>0</v>
      </c>
      <c r="L8074" s="10" t="str">
        <f>HYPERLINK("https://otsuka-europe-crm.veevavault.com/ui/#object/approved_document__v/V5OZ025E82PTCBT", "ENFERMERÍA - Revista Peplau nº5")</f>
        <v>ENFERMERÍA - Revista Peplau nº5</v>
      </c>
      <c r="M8074" s="10" t="str">
        <f>HYPERLINK("mailto:jllombart@crm.otsuka-europe.com", "jllombart@crm.otsuka-europe.com")</f>
        <v>jllombart@crm.otsuka-europe.com</v>
      </c>
      <c r="N8074" s="13">
        <v>46233.455659722225</v>
      </c>
      <c r="O8074" s="14" t="str">
        <f>HYPERLINK("https://otsuka-europe-crm.veevavault.com/ui/#object/email_activity__v/V8C00000004D773", "EN-002109674")</f>
        <v>EN-002109674</v>
      </c>
    </row>
    <row r="8075" spans="1:15" ht="16" x14ac:dyDescent="0.2">
      <c r="A8075" s="18" t="str">
        <f>HYPERLINK("https://otsuka-europe-crm.veevavault.com/ui/#object/account__v/V4TZ06G6OB44YP7", "MARIA CARMEN ROSSIGNOLI OTERO")</f>
        <v>MARIA CARMEN ROSSIGNOLI OTERO</v>
      </c>
      <c r="B8075" s="18" t="str">
        <f>HYPERLINK("https://otsuka-europe-crm.veevavault.com/ui/#object/vcountry__v/VENZ000004SONF5", "ES")</f>
        <v>ES</v>
      </c>
      <c r="C8075" s="20" t="s">
        <v>39</v>
      </c>
      <c r="D8075" s="21" t="str">
        <f>HYPERLINK("https://otsuka-europe-crm.veevavault.com/ui/#object/approved_document__v/V5O00000000R009", "AM2M - PSIQUIATRIA - Guía manejo práctico AM2M")</f>
        <v>AM2M - PSIQUIATRIA - Guía manejo práctico AM2M</v>
      </c>
      <c r="E8075" s="22" t="str">
        <f>HYPERLINK("https://otsuka-europe-crm.veevavault.com/ui/#object/sent_email__v/VBL00000003F189", "SE-001448259")</f>
        <v>SE-001448259</v>
      </c>
      <c r="F8075" s="23"/>
      <c r="G8075" s="24">
        <v>0</v>
      </c>
      <c r="H8075" s="24">
        <v>0</v>
      </c>
      <c r="I8075" s="24">
        <v>0</v>
      </c>
      <c r="J8075" s="23"/>
      <c r="K8075" s="24">
        <v>0</v>
      </c>
      <c r="L8075" s="22" t="str">
        <f>HYPERLINK("https://otsuka-europe-crm.veevavault.com/ui/#object/approved_document__v/V5O00000000R009", "AM2M - PSIQUIATRIA - Guía manejo práctico AM2M")</f>
        <v>AM2M - PSIQUIATRIA - Guía manejo práctico AM2M</v>
      </c>
      <c r="M8075" s="22" t="str">
        <f>HYPERLINK("mailto:fdiaz@crm.otsuka-europe.com", "fdiaz@crm.otsuka-europe.com")</f>
        <v>fdiaz@crm.otsuka-europe.com</v>
      </c>
      <c r="N8075" s="25">
        <v>46233.479884259257</v>
      </c>
      <c r="O8075" s="14" t="str">
        <f>HYPERLINK("https://otsuka-europe-crm.veevavault.com/ui/#object/email_activity__v/V8C00000004D784", "EN-002109709")</f>
        <v>EN-002109709</v>
      </c>
    </row>
    <row r="8076" spans="1:15" ht="16" x14ac:dyDescent="0.2">
      <c r="A8076" s="19"/>
      <c r="B8076" s="19"/>
      <c r="C8076" s="19"/>
      <c r="D8076" s="19"/>
      <c r="E8076" s="19"/>
      <c r="F8076" s="19"/>
      <c r="G8076" s="19"/>
      <c r="H8076" s="19"/>
      <c r="I8076" s="19"/>
      <c r="J8076" s="19"/>
      <c r="K8076" s="19"/>
      <c r="L8076" s="19"/>
      <c r="M8076" s="19"/>
      <c r="N8076" s="19"/>
      <c r="O8076" s="14" t="str">
        <f>HYPERLINK("https://otsuka-europe-crm.veevavault.com/ui/#object/email_activity__v/V8C00000004F006", "EN-002109798")</f>
        <v>EN-002109798</v>
      </c>
    </row>
    <row r="8077" spans="1:15" ht="32" x14ac:dyDescent="0.2">
      <c r="A8077" s="7" t="str">
        <f>HYPERLINK("https://otsuka-europe-crm.veevavault.com/ui/#object/account__v/V4TZ06G6O71U922", "ICIAR ABAD ACEBEDO")</f>
        <v>ICIAR ABAD ACEBEDO</v>
      </c>
      <c r="B8077" s="7" t="str">
        <f>HYPERLINK("https://otsuka-europe-crm.veevavault.com/ui/#object/vcountry__v/VENZ000004SONF5", "ES")</f>
        <v>ES</v>
      </c>
      <c r="C8077" s="8" t="s">
        <v>39</v>
      </c>
      <c r="D8077" s="9" t="str">
        <f>HYPERLINK("https://otsuka-europe-crm.veevavault.com/ui/#object/approved_document__v/V5O00000000L012", "AM2M - Material adherencia")</f>
        <v>AM2M - Material adherencia</v>
      </c>
      <c r="E8077" s="10" t="str">
        <f>HYPERLINK("https://otsuka-europe-crm.veevavault.com/ui/#object/sent_email__v/VBL00000003F190", "SE-001448260")</f>
        <v>SE-001448260</v>
      </c>
      <c r="F8077" s="11"/>
      <c r="G8077" s="12">
        <v>0</v>
      </c>
      <c r="H8077" s="12">
        <v>0</v>
      </c>
      <c r="I8077" s="12">
        <v>0</v>
      </c>
      <c r="J8077" s="11"/>
      <c r="K8077" s="12">
        <v>0</v>
      </c>
      <c r="L8077" s="10" t="str">
        <f>HYPERLINK("https://otsuka-europe-crm.veevavault.com/ui/#object/approved_document__v/V5O00000000L012", "AM2M - Material adherencia")</f>
        <v>AM2M - Material adherencia</v>
      </c>
      <c r="M8077" s="10" t="str">
        <f>HYPERLINK("mailto:fdiaz@crm.otsuka-europe.com", "fdiaz@crm.otsuka-europe.com")</f>
        <v>fdiaz@crm.otsuka-europe.com</v>
      </c>
      <c r="N8077" s="13">
        <v>46233.481145833335</v>
      </c>
      <c r="O8077" s="14" t="str">
        <f>HYPERLINK("https://otsuka-europe-crm.veevavault.com/ui/#object/email_activity__v/V8C00000004E712", "EN-002109710")</f>
        <v>EN-002109710</v>
      </c>
    </row>
    <row r="8078" spans="1:15" ht="48" x14ac:dyDescent="0.2">
      <c r="A8078" s="7" t="str">
        <f>HYPERLINK("https://otsuka-europe-crm.veevavault.com/ui/#object/account__v/V4TZ025E841TQBK", "DIEGO ALONSO DE LINAJE RUIZ DE GOPEGUI")</f>
        <v>DIEGO ALONSO DE LINAJE RUIZ DE GOPEGUI</v>
      </c>
      <c r="B8078" s="7" t="str">
        <f>HYPERLINK("https://otsuka-europe-crm.veevavault.com/ui/#object/vcountry__v/VENZ000004SONF5", "ES")</f>
        <v>ES</v>
      </c>
      <c r="C8078" s="8" t="s">
        <v>39</v>
      </c>
      <c r="D8078" s="9" t="str">
        <f>HYPERLINK("https://otsuka-europe-crm.veevavault.com/ui/#object/approved_document__v/V5OZ025E82UXXXH", "AM2M - PSIQUIATRÍA - Eficacia desde el primer día (Fagiolini)")</f>
        <v>AM2M - PSIQUIATRÍA - Eficacia desde el primer día (Fagiolini)</v>
      </c>
      <c r="E8078" s="10" t="str">
        <f>HYPERLINK("https://otsuka-europe-crm.veevavault.com/ui/#object/sent_email__v/VBL00000003E255", "SE-001448261")</f>
        <v>SE-001448261</v>
      </c>
      <c r="F8078" s="11"/>
      <c r="G8078" s="12">
        <v>0</v>
      </c>
      <c r="H8078" s="12">
        <v>0</v>
      </c>
      <c r="I8078" s="12">
        <v>0</v>
      </c>
      <c r="J8078" s="11"/>
      <c r="K8078" s="12">
        <v>0</v>
      </c>
      <c r="L8078" s="10" t="str">
        <f>HYPERLINK("https://otsuka-europe-crm.veevavault.com/ui/#object/approved_document__v/V5OZ025E82UXXXH", "AM2M - PSIQUIATRÍA - Eficacia desde el primer día (Fagiolini)")</f>
        <v>AM2M - PSIQUIATRÍA - Eficacia desde el primer día (Fagiolini)</v>
      </c>
      <c r="M8078" s="10" t="str">
        <f>HYPERLINK("mailto:fdiaz@crm.otsuka-europe.com", "fdiaz@crm.otsuka-europe.com")</f>
        <v>fdiaz@crm.otsuka-europe.com</v>
      </c>
      <c r="N8078" s="13">
        <v>46233.48159722222</v>
      </c>
      <c r="O8078" s="14" t="str">
        <f>HYPERLINK("https://otsuka-europe-crm.veevavault.com/ui/#object/email_activity__v/V8C00000004E713", "EN-002109711")</f>
        <v>EN-002109711</v>
      </c>
    </row>
    <row r="8079" spans="1:15" ht="16" x14ac:dyDescent="0.2">
      <c r="A8079" s="18" t="str">
        <f>HYPERLINK("https://otsuka-europe-crm.veevavault.com/ui/#object/account__v/V4TZ025E83YK4ZK", "ANDREA BLANCO PERICACHO")</f>
        <v>ANDREA BLANCO PERICACHO</v>
      </c>
      <c r="B8079" s="18" t="str">
        <f>HYPERLINK("https://otsuka-europe-crm.veevavault.com/ui/#object/vcountry__v/VENZ000004SONF5", "ES")</f>
        <v>ES</v>
      </c>
      <c r="C8079" s="20" t="s">
        <v>39</v>
      </c>
      <c r="D8079" s="21" t="str">
        <f>HYPERLINK("https://otsuka-europe-crm.veevavault.com/ui/#object/approved_document__v/V5O00000000R009", "AM2M - PSIQUIATRIA - Guía manejo práctico AM2M")</f>
        <v>AM2M - PSIQUIATRIA - Guía manejo práctico AM2M</v>
      </c>
      <c r="E8079" s="22" t="str">
        <f>HYPERLINK("https://otsuka-europe-crm.veevavault.com/ui/#object/sent_email__v/VBL00000003F191", "SE-001448262")</f>
        <v>SE-001448262</v>
      </c>
      <c r="F8079" s="25">
        <v>46233.570254629631</v>
      </c>
      <c r="G8079" s="24">
        <v>1</v>
      </c>
      <c r="H8079" s="24">
        <v>1</v>
      </c>
      <c r="I8079" s="24">
        <v>0</v>
      </c>
      <c r="J8079" s="23"/>
      <c r="K8079" s="24">
        <v>0</v>
      </c>
      <c r="L8079" s="22" t="str">
        <f>HYPERLINK("https://otsuka-europe-crm.veevavault.com/ui/#object/approved_document__v/V5O00000000R009", "AM2M - PSIQUIATRIA - Guía manejo práctico AM2M")</f>
        <v>AM2M - PSIQUIATRIA - Guía manejo práctico AM2M</v>
      </c>
      <c r="M8079" s="22" t="str">
        <f>HYPERLINK("mailto:fdiaz@crm.otsuka-europe.com", "fdiaz@crm.otsuka-europe.com")</f>
        <v>fdiaz@crm.otsuka-europe.com</v>
      </c>
      <c r="N8079" s="25">
        <v>46233.482129629629</v>
      </c>
      <c r="O8079" s="14" t="str">
        <f>HYPERLINK("https://otsuka-europe-crm.veevavault.com/ui/#object/email_activity__v/V8C00000004D785", "EN-002109714")</f>
        <v>EN-002109714</v>
      </c>
    </row>
    <row r="8080" spans="1:15" ht="16" x14ac:dyDescent="0.2">
      <c r="A8080" s="19"/>
      <c r="B8080" s="19"/>
      <c r="C8080" s="19"/>
      <c r="D8080" s="19"/>
      <c r="E8080" s="19"/>
      <c r="F8080" s="19"/>
      <c r="G8080" s="19"/>
      <c r="H8080" s="19"/>
      <c r="I8080" s="19"/>
      <c r="J8080" s="19"/>
      <c r="K8080" s="19"/>
      <c r="L8080" s="19"/>
      <c r="M8080" s="19"/>
      <c r="N8080" s="19"/>
      <c r="O8080" s="14" t="str">
        <f>HYPERLINK("https://otsuka-europe-crm.veevavault.com/ui/#object/email_activity__v/V8C00000004D813", "EN-002109762")</f>
        <v>EN-002109762</v>
      </c>
    </row>
    <row r="8081" spans="1:15" ht="48" x14ac:dyDescent="0.2">
      <c r="A8081" s="7" t="str">
        <f>HYPERLINK("https://otsuka-europe-crm.veevavault.com/ui/#object/account__v/V4TZ025E87YBM1H", "RAQUEL FRAGOSO MAZA")</f>
        <v>RAQUEL FRAGOSO MAZA</v>
      </c>
      <c r="B8081" s="7" t="str">
        <f>HYPERLINK("https://otsuka-europe-crm.veevavault.com/ui/#object/vcountry__v/VENZ000004SONF5", "ES")</f>
        <v>ES</v>
      </c>
      <c r="C8081" s="8" t="s">
        <v>39</v>
      </c>
      <c r="D8081" s="9" t="str">
        <f>HYPERLINK("https://otsuka-europe-crm.veevavault.com/ui/#object/approved_document__v/V5O00000000R009", "AM2M - PSIQUIATRIA - Guía manejo práctico AM2M")</f>
        <v>AM2M - PSIQUIATRIA - Guía manejo práctico AM2M</v>
      </c>
      <c r="E8081" s="10" t="str">
        <f>HYPERLINK("https://otsuka-europe-crm.veevavault.com/ui/#object/sent_email__v/VBL00000003E256", "SE-001448263")</f>
        <v>SE-001448263</v>
      </c>
      <c r="F8081" s="11"/>
      <c r="G8081" s="12">
        <v>0</v>
      </c>
      <c r="H8081" s="12">
        <v>0</v>
      </c>
      <c r="I8081" s="12">
        <v>0</v>
      </c>
      <c r="J8081" s="11"/>
      <c r="K8081" s="12">
        <v>0</v>
      </c>
      <c r="L8081" s="10" t="str">
        <f>HYPERLINK("https://otsuka-europe-crm.veevavault.com/ui/#object/approved_document__v/V5O00000000R009", "AM2M - PSIQUIATRIA - Guía manejo práctico AM2M")</f>
        <v>AM2M - PSIQUIATRIA - Guía manejo práctico AM2M</v>
      </c>
      <c r="M8081" s="10" t="str">
        <f>HYPERLINK("mailto:fdiaz@crm.otsuka-europe.com", "fdiaz@crm.otsuka-europe.com")</f>
        <v>fdiaz@crm.otsuka-europe.com</v>
      </c>
      <c r="N8081" s="13">
        <v>46233.482893518521</v>
      </c>
      <c r="O8081" s="14" t="str">
        <f>HYPERLINK("https://otsuka-europe-crm.veevavault.com/ui/#object/email_activity__v/V8C00000004D786", "EN-002109715")</f>
        <v>EN-002109715</v>
      </c>
    </row>
    <row r="8082" spans="1:15" ht="32" x14ac:dyDescent="0.2">
      <c r="A8082" s="7" t="str">
        <f>HYPERLINK("https://otsuka-europe-crm.veevavault.com/ui/#object/account__v/V4TZ06G6O71T9Z8", "VIRGINIA GARRIDO FERNANDEZ")</f>
        <v>VIRGINIA GARRIDO FERNANDEZ</v>
      </c>
      <c r="B8082" s="7" t="str">
        <f>HYPERLINK("https://otsuka-europe-crm.veevavault.com/ui/#object/vcountry__v/VENZ000004SONF5", "ES")</f>
        <v>ES</v>
      </c>
      <c r="C8082" s="8" t="s">
        <v>39</v>
      </c>
      <c r="D8082" s="9" t="str">
        <f>HYPERLINK("https://otsuka-europe-crm.veevavault.com/ui/#object/approved_document__v/V5O000000003010", "RXULTI - Caso Clínico ansiedad e irritabilidad")</f>
        <v>RXULTI - Caso Clínico ansiedad e irritabilidad</v>
      </c>
      <c r="E8082" s="10" t="str">
        <f>HYPERLINK("https://otsuka-europe-crm.veevavault.com/ui/#object/sent_email__v/VBL00000003F192", "SE-001448264")</f>
        <v>SE-001448264</v>
      </c>
      <c r="F8082" s="11"/>
      <c r="G8082" s="12">
        <v>0</v>
      </c>
      <c r="H8082" s="12">
        <v>0</v>
      </c>
      <c r="I8082" s="12">
        <v>0</v>
      </c>
      <c r="J8082" s="11"/>
      <c r="K8082" s="12">
        <v>0</v>
      </c>
      <c r="L8082" s="10" t="str">
        <f>HYPERLINK("https://otsuka-europe-crm.veevavault.com/ui/#object/approved_document__v/V5O000000003010", "RXULTI - Caso Clínico ansiedad e irritabilidad")</f>
        <v>RXULTI - Caso Clínico ansiedad e irritabilidad</v>
      </c>
      <c r="M8082" s="10" t="str">
        <f>HYPERLINK("mailto:fdiaz@crm.otsuka-europe.com", "fdiaz@crm.otsuka-europe.com")</f>
        <v>fdiaz@crm.otsuka-europe.com</v>
      </c>
      <c r="N8082" s="13">
        <v>46233.483402777776</v>
      </c>
      <c r="O8082" s="14" t="str">
        <f>HYPERLINK("https://otsuka-europe-crm.veevavault.com/ui/#object/email_activity__v/V8C00000004D787", "EN-002109717")</f>
        <v>EN-002109717</v>
      </c>
    </row>
    <row r="8083" spans="1:15" ht="16" x14ac:dyDescent="0.2">
      <c r="A8083" s="18" t="str">
        <f>HYPERLINK("https://otsuka-europe-crm.veevavault.com/ui/#object/account__v/V4TZ04ASGE7971C", "YARA GOMEZ GONZALEZ DE LENA")</f>
        <v>YARA GOMEZ GONZALEZ DE LENA</v>
      </c>
      <c r="B8083" s="18" t="str">
        <f>HYPERLINK("https://otsuka-europe-crm.veevavault.com/ui/#object/vcountry__v/VENZ000004SONF5", "ES")</f>
        <v>ES</v>
      </c>
      <c r="C8083" s="20" t="s">
        <v>39</v>
      </c>
      <c r="D8083" s="21" t="str">
        <f>HYPERLINK("https://otsuka-europe-crm.veevavault.com/ui/#object/approved_document__v/V5O00000000R009", "AM2M - PSIQUIATRIA - Guía manejo práctico AM2M")</f>
        <v>AM2M - PSIQUIATRIA - Guía manejo práctico AM2M</v>
      </c>
      <c r="E8083" s="22" t="str">
        <f>HYPERLINK("https://otsuka-europe-crm.veevavault.com/ui/#object/sent_email__v/VBL00000003E257", "SE-001448265")</f>
        <v>SE-001448265</v>
      </c>
      <c r="F8083" s="23"/>
      <c r="G8083" s="24">
        <v>0</v>
      </c>
      <c r="H8083" s="24">
        <v>0</v>
      </c>
      <c r="I8083" s="24">
        <v>0</v>
      </c>
      <c r="J8083" s="23"/>
      <c r="K8083" s="24">
        <v>0</v>
      </c>
      <c r="L8083" s="22" t="str">
        <f>HYPERLINK("https://otsuka-europe-crm.veevavault.com/ui/#object/approved_document__v/V5O00000000R009", "AM2M - PSIQUIATRIA - Guía manejo práctico AM2M")</f>
        <v>AM2M - PSIQUIATRIA - Guía manejo práctico AM2M</v>
      </c>
      <c r="M8083" s="22" t="str">
        <f>HYPERLINK("mailto:fdiaz@crm.otsuka-europe.com", "fdiaz@crm.otsuka-europe.com")</f>
        <v>fdiaz@crm.otsuka-europe.com</v>
      </c>
      <c r="N8083" s="25">
        <v>46233.483576388891</v>
      </c>
      <c r="O8083" s="14" t="str">
        <f>HYPERLINK("https://otsuka-europe-crm.veevavault.com/ui/#object/email_activity__v/V8C00000004E716", "EN-002109716")</f>
        <v>EN-002109716</v>
      </c>
    </row>
    <row r="8084" spans="1:15" ht="16" x14ac:dyDescent="0.2">
      <c r="A8084" s="19"/>
      <c r="B8084" s="19"/>
      <c r="C8084" s="19"/>
      <c r="D8084" s="19"/>
      <c r="E8084" s="19"/>
      <c r="F8084" s="19"/>
      <c r="G8084" s="19"/>
      <c r="H8084" s="19"/>
      <c r="I8084" s="19"/>
      <c r="J8084" s="19"/>
      <c r="K8084" s="19"/>
      <c r="L8084" s="19"/>
      <c r="M8084" s="19"/>
      <c r="N8084" s="19"/>
      <c r="O8084" s="14" t="str">
        <f>HYPERLINK("https://otsuka-europe-crm.veevavault.com/ui/#object/email_activity__v/V8C00000004F124", "EN-002110061")</f>
        <v>EN-002110061</v>
      </c>
    </row>
    <row r="8085" spans="1:15" ht="48" x14ac:dyDescent="0.2">
      <c r="A8085" s="7" t="str">
        <f>HYPERLINK("https://otsuka-europe-crm.veevavault.com/ui/#object/account__v/V4TZ06G6O71T8EA", "MIGUEL ANGEL HEREDERO SANZ")</f>
        <v>MIGUEL ANGEL HEREDERO SANZ</v>
      </c>
      <c r="B8085" s="7" t="str">
        <f>HYPERLINK("https://otsuka-europe-crm.veevavault.com/ui/#object/vcountry__v/VENZ000004SONF5", "ES")</f>
        <v>ES</v>
      </c>
      <c r="C8085" s="8" t="s">
        <v>39</v>
      </c>
      <c r="D8085" s="9" t="str">
        <f>HYPERLINK("https://otsuka-europe-crm.veevavault.com/ui/#object/approved_document__v/V5O00000000R009", "AM2M - PSIQUIATRIA - Guía manejo práctico AM2M")</f>
        <v>AM2M - PSIQUIATRIA - Guía manejo práctico AM2M</v>
      </c>
      <c r="E8085" s="10" t="str">
        <f>HYPERLINK("https://otsuka-europe-crm.veevavault.com/ui/#object/sent_email__v/VBL00000003E258", "SE-001448266")</f>
        <v>SE-001448266</v>
      </c>
      <c r="F8085" s="11"/>
      <c r="G8085" s="12">
        <v>0</v>
      </c>
      <c r="H8085" s="12">
        <v>0</v>
      </c>
      <c r="I8085" s="12">
        <v>0</v>
      </c>
      <c r="J8085" s="11"/>
      <c r="K8085" s="12">
        <v>0</v>
      </c>
      <c r="L8085" s="10" t="str">
        <f>HYPERLINK("https://otsuka-europe-crm.veevavault.com/ui/#object/approved_document__v/V5O00000000R009", "AM2M - PSIQUIATRIA - Guía manejo práctico AM2M")</f>
        <v>AM2M - PSIQUIATRIA - Guía manejo práctico AM2M</v>
      </c>
      <c r="M8085" s="10" t="str">
        <f>HYPERLINK("mailto:fdiaz@crm.otsuka-europe.com", "fdiaz@crm.otsuka-europe.com")</f>
        <v>fdiaz@crm.otsuka-europe.com</v>
      </c>
      <c r="N8085" s="13">
        <v>46233.4841087963</v>
      </c>
      <c r="O8085" s="14" t="str">
        <f>HYPERLINK("https://otsuka-europe-crm.veevavault.com/ui/#object/email_activity__v/V8C00000004E717", "EN-002109718")</f>
        <v>EN-002109718</v>
      </c>
    </row>
    <row r="8086" spans="1:15" ht="48" x14ac:dyDescent="0.2">
      <c r="A8086" s="7" t="str">
        <f>HYPERLINK("https://otsuka-europe-crm.veevavault.com/ui/#object/account__v/V4TZ06G6O71T81Y", "RUTH LANDERA RODRIGUEZ")</f>
        <v>RUTH LANDERA RODRIGUEZ</v>
      </c>
      <c r="B8086" s="7" t="str">
        <f>HYPERLINK("https://otsuka-europe-crm.veevavault.com/ui/#object/vcountry__v/VENZ000004SONF5", "ES")</f>
        <v>ES</v>
      </c>
      <c r="C8086" s="8" t="s">
        <v>39</v>
      </c>
      <c r="D8086" s="9" t="str">
        <f>HYPERLINK("https://otsuka-europe-crm.veevavault.com/ui/#object/approved_document__v/V5O00000000R009", "AM2M - PSIQUIATRIA - Guía manejo práctico AM2M")</f>
        <v>AM2M - PSIQUIATRIA - Guía manejo práctico AM2M</v>
      </c>
      <c r="E8086" s="10" t="str">
        <f>HYPERLINK("https://otsuka-europe-crm.veevavault.com/ui/#object/sent_email__v/VBL00000003E259", "SE-001448267")</f>
        <v>SE-001448267</v>
      </c>
      <c r="F8086" s="11"/>
      <c r="G8086" s="12">
        <v>0</v>
      </c>
      <c r="H8086" s="12">
        <v>0</v>
      </c>
      <c r="I8086" s="12">
        <v>0</v>
      </c>
      <c r="J8086" s="11"/>
      <c r="K8086" s="12">
        <v>0</v>
      </c>
      <c r="L8086" s="10" t="str">
        <f>HYPERLINK("https://otsuka-europe-crm.veevavault.com/ui/#object/approved_document__v/V5O00000000R009", "AM2M - PSIQUIATRIA - Guía manejo práctico AM2M")</f>
        <v>AM2M - PSIQUIATRIA - Guía manejo práctico AM2M</v>
      </c>
      <c r="M8086" s="10" t="str">
        <f>HYPERLINK("mailto:fdiaz@crm.otsuka-europe.com", "fdiaz@crm.otsuka-europe.com")</f>
        <v>fdiaz@crm.otsuka-europe.com</v>
      </c>
      <c r="N8086" s="13">
        <v>46233.484467592592</v>
      </c>
      <c r="O8086" s="14" t="str">
        <f>HYPERLINK("https://otsuka-europe-crm.veevavault.com/ui/#object/email_activity__v/V8C00000004D788", "EN-002109719")</f>
        <v>EN-002109719</v>
      </c>
    </row>
    <row r="8087" spans="1:15" ht="16" x14ac:dyDescent="0.2">
      <c r="A8087" s="18" t="str">
        <f>HYPERLINK("https://otsuka-europe-crm.veevavault.com/ui/#object/account__v/V4TZ025E842GZQP", "AIDE MARIA MARTINEZ CUENCA")</f>
        <v>AIDE MARIA MARTINEZ CUENCA</v>
      </c>
      <c r="B8087" s="18" t="str">
        <f>HYPERLINK("https://otsuka-europe-crm.veevavault.com/ui/#object/vcountry__v/VENZ000004SONF5", "ES")</f>
        <v>ES</v>
      </c>
      <c r="C8087" s="20" t="s">
        <v>39</v>
      </c>
      <c r="D8087" s="21" t="str">
        <f>HYPERLINK("https://otsuka-europe-crm.veevavault.com/ui/#object/approved_document__v/V5O00000000R009", "AM2M - PSIQUIATRIA - Guía manejo práctico AM2M")</f>
        <v>AM2M - PSIQUIATRIA - Guía manejo práctico AM2M</v>
      </c>
      <c r="E8087" s="22" t="str">
        <f>HYPERLINK("https://otsuka-europe-crm.veevavault.com/ui/#object/sent_email__v/VBL00000003E260", "SE-001448268")</f>
        <v>SE-001448268</v>
      </c>
      <c r="F8087" s="25">
        <v>46237.316782407404</v>
      </c>
      <c r="G8087" s="24">
        <v>1</v>
      </c>
      <c r="H8087" s="24">
        <v>1</v>
      </c>
      <c r="I8087" s="24">
        <v>0</v>
      </c>
      <c r="J8087" s="23"/>
      <c r="K8087" s="24">
        <v>0</v>
      </c>
      <c r="L8087" s="22" t="str">
        <f>HYPERLINK("https://otsuka-europe-crm.veevavault.com/ui/#object/approved_document__v/V5O00000000R009", "AM2M - PSIQUIATRIA - Guía manejo práctico AM2M")</f>
        <v>AM2M - PSIQUIATRIA - Guía manejo práctico AM2M</v>
      </c>
      <c r="M8087" s="22" t="str">
        <f>HYPERLINK("mailto:fdiaz@crm.otsuka-europe.com", "fdiaz@crm.otsuka-europe.com")</f>
        <v>fdiaz@crm.otsuka-europe.com</v>
      </c>
      <c r="N8087" s="25">
        <v>46233.485254629632</v>
      </c>
      <c r="O8087" s="14" t="str">
        <f>HYPERLINK("https://otsuka-europe-crm.veevavault.com/ui/#object/email_activity__v/V8C00000004D789", "EN-002109720")</f>
        <v>EN-002109720</v>
      </c>
    </row>
    <row r="8088" spans="1:15" ht="16" x14ac:dyDescent="0.2">
      <c r="A8088" s="19"/>
      <c r="B8088" s="19"/>
      <c r="C8088" s="19"/>
      <c r="D8088" s="19"/>
      <c r="E8088" s="19"/>
      <c r="F8088" s="19"/>
      <c r="G8088" s="19"/>
      <c r="H8088" s="19"/>
      <c r="I8088" s="19"/>
      <c r="J8088" s="19"/>
      <c r="K8088" s="19"/>
      <c r="L8088" s="19"/>
      <c r="M8088" s="19"/>
      <c r="N8088" s="19"/>
      <c r="O8088" s="14" t="str">
        <f>HYPERLINK("https://otsuka-europe-crm.veevavault.com/ui/#object/email_activity__v/V8C00000004I099", "EN-002111181")</f>
        <v>EN-002111181</v>
      </c>
    </row>
    <row r="8089" spans="1:15" ht="16" x14ac:dyDescent="0.2">
      <c r="A8089" s="18" t="str">
        <f>HYPERLINK("https://otsuka-europe-crm.veevavault.com/ui/#object/account__v/V4TZ04ASGEI8GRV", "PAULA MENDIVIL GARCIA")</f>
        <v>PAULA MENDIVIL GARCIA</v>
      </c>
      <c r="B8089" s="18" t="str">
        <f>HYPERLINK("https://otsuka-europe-crm.veevavault.com/ui/#object/vcountry__v/VENZ000004SONF5", "ES")</f>
        <v>ES</v>
      </c>
      <c r="C8089" s="20" t="s">
        <v>39</v>
      </c>
      <c r="D8089" s="21" t="str">
        <f>HYPERLINK("https://otsuka-europe-crm.veevavault.com/ui/#object/approved_document__v/V5O00000000R009", "AM2M - PSIQUIATRIA - Guía manejo práctico AM2M")</f>
        <v>AM2M - PSIQUIATRIA - Guía manejo práctico AM2M</v>
      </c>
      <c r="E8089" s="22" t="str">
        <f>HYPERLINK("https://otsuka-europe-crm.veevavault.com/ui/#object/sent_email__v/VBL00000003E261", "SE-001448269")</f>
        <v>SE-001448269</v>
      </c>
      <c r="F8089" s="25">
        <v>46233.485706018517</v>
      </c>
      <c r="G8089" s="24">
        <v>1</v>
      </c>
      <c r="H8089" s="24">
        <v>2</v>
      </c>
      <c r="I8089" s="24">
        <v>0</v>
      </c>
      <c r="J8089" s="23"/>
      <c r="K8089" s="24">
        <v>0</v>
      </c>
      <c r="L8089" s="22" t="str">
        <f>HYPERLINK("https://otsuka-europe-crm.veevavault.com/ui/#object/approved_document__v/V5O00000000R009", "AM2M - PSIQUIATRIA - Guía manejo práctico AM2M")</f>
        <v>AM2M - PSIQUIATRIA - Guía manejo práctico AM2M</v>
      </c>
      <c r="M8089" s="22" t="str">
        <f>HYPERLINK("mailto:fdiaz@crm.otsuka-europe.com", "fdiaz@crm.otsuka-europe.com")</f>
        <v>fdiaz@crm.otsuka-europe.com</v>
      </c>
      <c r="N8089" s="25">
        <v>46233.48542824074</v>
      </c>
      <c r="O8089" s="14" t="str">
        <f>HYPERLINK("https://otsuka-europe-crm.veevavault.com/ui/#object/email_activity__v/V8C00000004D790", "EN-002109721")</f>
        <v>EN-002109721</v>
      </c>
    </row>
    <row r="8090" spans="1:15" ht="16" x14ac:dyDescent="0.2">
      <c r="A8090" s="26"/>
      <c r="B8090" s="26"/>
      <c r="C8090" s="26"/>
      <c r="D8090" s="26"/>
      <c r="E8090" s="26"/>
      <c r="F8090" s="26"/>
      <c r="G8090" s="26"/>
      <c r="H8090" s="26"/>
      <c r="I8090" s="26"/>
      <c r="J8090" s="26"/>
      <c r="K8090" s="26"/>
      <c r="L8090" s="26"/>
      <c r="M8090" s="26"/>
      <c r="N8090" s="26"/>
      <c r="O8090" s="14" t="str">
        <f>HYPERLINK("https://otsuka-europe-crm.veevavault.com/ui/#object/email_activity__v/V8C00000004D791", "EN-002109722")</f>
        <v>EN-002109722</v>
      </c>
    </row>
    <row r="8091" spans="1:15" ht="16" x14ac:dyDescent="0.2">
      <c r="A8091" s="19"/>
      <c r="B8091" s="19"/>
      <c r="C8091" s="19"/>
      <c r="D8091" s="19"/>
      <c r="E8091" s="19"/>
      <c r="F8091" s="19"/>
      <c r="G8091" s="19"/>
      <c r="H8091" s="19"/>
      <c r="I8091" s="19"/>
      <c r="J8091" s="19"/>
      <c r="K8091" s="19"/>
      <c r="L8091" s="19"/>
      <c r="M8091" s="19"/>
      <c r="N8091" s="19"/>
      <c r="O8091" s="14" t="str">
        <f>HYPERLINK("https://otsuka-europe-crm.veevavault.com/ui/#object/email_activity__v/V8C00000004D792", "EN-002109723")</f>
        <v>EN-002109723</v>
      </c>
    </row>
    <row r="8092" spans="1:15" ht="16" x14ac:dyDescent="0.2">
      <c r="A8092" s="18" t="str">
        <f>HYPERLINK("https://otsuka-europe-crm.veevavault.com/ui/#object/account__v/V4TZ025E83YK4ZJ", "MANUELA MARIA RODRIGUEZ RINCON")</f>
        <v>MANUELA MARIA RODRIGUEZ RINCON</v>
      </c>
      <c r="B8092" s="18" t="str">
        <f>HYPERLINK("https://otsuka-europe-crm.veevavault.com/ui/#object/vcountry__v/VENZ000004SONF5", "ES")</f>
        <v>ES</v>
      </c>
      <c r="C8092" s="20" t="s">
        <v>39</v>
      </c>
      <c r="D8092" s="21" t="str">
        <f>HYPERLINK("https://otsuka-europe-crm.veevavault.com/ui/#object/approved_document__v/V5O00000000L012", "AM2M - Material adherencia")</f>
        <v>AM2M - Material adherencia</v>
      </c>
      <c r="E8092" s="22" t="str">
        <f>HYPERLINK("https://otsuka-europe-crm.veevavault.com/ui/#object/sent_email__v/VBL00000003E262", "SE-001448270")</f>
        <v>SE-001448270</v>
      </c>
      <c r="F8092" s="25">
        <v>46233.514004629629</v>
      </c>
      <c r="G8092" s="24">
        <v>1</v>
      </c>
      <c r="H8092" s="24">
        <v>2</v>
      </c>
      <c r="I8092" s="24">
        <v>0</v>
      </c>
      <c r="J8092" s="23"/>
      <c r="K8092" s="24">
        <v>0</v>
      </c>
      <c r="L8092" s="22" t="str">
        <f>HYPERLINK("https://otsuka-europe-crm.veevavault.com/ui/#object/approved_document__v/V5O00000000L012", "AM2M - Material adherencia")</f>
        <v>AM2M - Material adherencia</v>
      </c>
      <c r="M8092" s="22" t="str">
        <f>HYPERLINK("mailto:fdiaz@crm.otsuka-europe.com", "fdiaz@crm.otsuka-europe.com")</f>
        <v>fdiaz@crm.otsuka-europe.com</v>
      </c>
      <c r="N8092" s="25">
        <v>46233.486724537041</v>
      </c>
      <c r="O8092" s="14" t="str">
        <f>HYPERLINK("https://otsuka-europe-crm.veevavault.com/ui/#object/email_activity__v/V8C00000004D793", "EN-002109724")</f>
        <v>EN-002109724</v>
      </c>
    </row>
    <row r="8093" spans="1:15" ht="16" x14ac:dyDescent="0.2">
      <c r="A8093" s="26"/>
      <c r="B8093" s="26"/>
      <c r="C8093" s="26"/>
      <c r="D8093" s="26"/>
      <c r="E8093" s="26"/>
      <c r="F8093" s="26"/>
      <c r="G8093" s="26"/>
      <c r="H8093" s="26"/>
      <c r="I8093" s="26"/>
      <c r="J8093" s="26"/>
      <c r="K8093" s="26"/>
      <c r="L8093" s="26"/>
      <c r="M8093" s="26"/>
      <c r="N8093" s="26"/>
      <c r="O8093" s="14" t="str">
        <f>HYPERLINK("https://otsuka-europe-crm.veevavault.com/ui/#object/email_activity__v/V8C00000004E728", "EN-002109753")</f>
        <v>EN-002109753</v>
      </c>
    </row>
    <row r="8094" spans="1:15" ht="16" x14ac:dyDescent="0.2">
      <c r="A8094" s="19"/>
      <c r="B8094" s="19"/>
      <c r="C8094" s="19"/>
      <c r="D8094" s="19"/>
      <c r="E8094" s="19"/>
      <c r="F8094" s="19"/>
      <c r="G8094" s="19"/>
      <c r="H8094" s="19"/>
      <c r="I8094" s="19"/>
      <c r="J8094" s="19"/>
      <c r="K8094" s="19"/>
      <c r="L8094" s="19"/>
      <c r="M8094" s="19"/>
      <c r="N8094" s="19"/>
      <c r="O8094" s="14" t="str">
        <f>HYPERLINK("https://otsuka-europe-crm.veevavault.com/ui/#object/email_activity__v/V8C00000004E729", "EN-002109754")</f>
        <v>EN-002109754</v>
      </c>
    </row>
    <row r="8095" spans="1:15" ht="16" x14ac:dyDescent="0.2">
      <c r="A8095" s="18" t="str">
        <f>HYPERLINK("https://otsuka-europe-crm.veevavault.com/ui/#object/account__v/V4T00000002E006", "ANDREA SERFATY ESTIVAL")</f>
        <v>ANDREA SERFATY ESTIVAL</v>
      </c>
      <c r="B8095" s="18" t="str">
        <f>HYPERLINK("https://otsuka-europe-crm.veevavault.com/ui/#object/vcountry__v/VENZ000004SONF5", "ES")</f>
        <v>ES</v>
      </c>
      <c r="C8095" s="20" t="s">
        <v>39</v>
      </c>
      <c r="D8095" s="21" t="str">
        <f>HYPERLINK("https://otsuka-europe-crm.veevavault.com/ui/#object/approved_document__v/V5O00000000R009", "AM2M - PSIQUIATRIA - Guía manejo práctico AM2M")</f>
        <v>AM2M - PSIQUIATRIA - Guía manejo práctico AM2M</v>
      </c>
      <c r="E8095" s="22" t="str">
        <f>HYPERLINK("https://otsuka-europe-crm.veevavault.com/ui/#object/sent_email__v/VBL00000003E263", "SE-001448271")</f>
        <v>SE-001448271</v>
      </c>
      <c r="F8095" s="23"/>
      <c r="G8095" s="24">
        <v>0</v>
      </c>
      <c r="H8095" s="24">
        <v>0</v>
      </c>
      <c r="I8095" s="24">
        <v>0</v>
      </c>
      <c r="J8095" s="23"/>
      <c r="K8095" s="24">
        <v>0</v>
      </c>
      <c r="L8095" s="22" t="str">
        <f>HYPERLINK("https://otsuka-europe-crm.veevavault.com/ui/#object/approved_document__v/V5O00000000R009", "AM2M - PSIQUIATRIA - Guía manejo práctico AM2M")</f>
        <v>AM2M - PSIQUIATRIA - Guía manejo práctico AM2M</v>
      </c>
      <c r="M8095" s="22" t="str">
        <f>HYPERLINK("mailto:fdiaz@crm.otsuka-europe.com", "fdiaz@crm.otsuka-europe.com")</f>
        <v>fdiaz@crm.otsuka-europe.com</v>
      </c>
      <c r="N8095" s="25">
        <v>46233.487349537034</v>
      </c>
      <c r="O8095" s="14" t="str">
        <f>HYPERLINK("https://otsuka-europe-crm.veevavault.com/ui/#object/email_activity__v/V8C00000004D794", "EN-002109725")</f>
        <v>EN-002109725</v>
      </c>
    </row>
    <row r="8096" spans="1:15" ht="16" x14ac:dyDescent="0.2">
      <c r="A8096" s="19"/>
      <c r="B8096" s="19"/>
      <c r="C8096" s="19"/>
      <c r="D8096" s="19"/>
      <c r="E8096" s="19"/>
      <c r="F8096" s="19"/>
      <c r="G8096" s="19"/>
      <c r="H8096" s="19"/>
      <c r="I8096" s="19"/>
      <c r="J8096" s="19"/>
      <c r="K8096" s="19"/>
      <c r="L8096" s="19"/>
      <c r="M8096" s="19"/>
      <c r="N8096" s="19"/>
      <c r="O8096" s="14" t="str">
        <f>HYPERLINK("https://otsuka-europe-crm.veevavault.com/ui/#object/email_activity__v/V8C00000004F009", "EN-002109842")</f>
        <v>EN-002109842</v>
      </c>
    </row>
    <row r="8097" spans="1:15" ht="32" x14ac:dyDescent="0.2">
      <c r="A8097" s="7" t="str">
        <f>HYPERLINK("https://otsuka-europe-crm.veevavault.com/ui/#object/account__v/V4TZ025E832J3YH", "PAOLO PROTOPAPA")</f>
        <v>PAOLO PROTOPAPA</v>
      </c>
      <c r="B8097" s="7" t="str">
        <f>HYPERLINK("https://otsuka-europe-crm.veevavault.com/ui/#object/vcountry__v/VENZ000004SONFQ", "IT")</f>
        <v>IT</v>
      </c>
      <c r="C8097" s="8" t="s">
        <v>42</v>
      </c>
      <c r="D8097" s="9" t="str">
        <f>HYPERLINK("https://otsuka-europe-crm.veevavault.com/ui/#object/approved_document__v/V5O00000001A024", "Lupkynis - rischio - IT-LUP-2600002 v1.0 -  NEPHRO")</f>
        <v>Lupkynis - rischio - IT-LUP-2600002 v1.0 -  NEPHRO</v>
      </c>
      <c r="E8097" s="10" t="str">
        <f>HYPERLINK("https://otsuka-europe-crm.veevavault.com/ui/#object/sent_email__v/VBL00000003F193", "SE-001448272")</f>
        <v>SE-001448272</v>
      </c>
      <c r="F8097" s="11"/>
      <c r="G8097" s="12">
        <v>0</v>
      </c>
      <c r="H8097" s="12">
        <v>0</v>
      </c>
      <c r="I8097" s="12">
        <v>0</v>
      </c>
      <c r="J8097" s="11"/>
      <c r="K8097" s="12">
        <v>0</v>
      </c>
      <c r="L8097" s="10" t="str">
        <f>HYPERLINK("https://otsuka-europe-crm.veevavault.com/ui/#object/approved_document__v/V5O00000001A024", "Lupkynis - rischio - IT-LUP-2600002 v1.0 -  NEPHRO")</f>
        <v>Lupkynis - rischio - IT-LUP-2600002 v1.0 -  NEPHRO</v>
      </c>
      <c r="M8097" s="10" t="str">
        <f>HYPERLINK("mailto:alfredo.pisapia@crm.otsuka-europe.com", "alfredo.pisapia@crm.otsuka-europe.com")</f>
        <v>alfredo.pisapia@crm.otsuka-europe.com</v>
      </c>
      <c r="N8097" s="13">
        <v>46233.487500000003</v>
      </c>
      <c r="O8097" s="14" t="str">
        <f>HYPERLINK("https://otsuka-europe-crm.veevavault.com/ui/#object/email_activity__v/V8C00000004E718", "EN-002109726")</f>
        <v>EN-002109726</v>
      </c>
    </row>
    <row r="8098" spans="1:15" ht="32" x14ac:dyDescent="0.2">
      <c r="A8098" s="7" t="str">
        <f>HYPERLINK("https://otsuka-europe-crm.veevavault.com/ui/#object/account__v/V4TZ025E832J3YH", "PAOLO PROTOPAPA")</f>
        <v>PAOLO PROTOPAPA</v>
      </c>
      <c r="B8098" s="7" t="str">
        <f>HYPERLINK("https://otsuka-europe-crm.veevavault.com/ui/#object/vcountry__v/VENZ000004SONFQ", "IT")</f>
        <v>IT</v>
      </c>
      <c r="C8098" s="8" t="s">
        <v>42</v>
      </c>
      <c r="D8098" s="9" t="str">
        <f>HYPERLINK("https://otsuka-europe-crm.veevavault.com/ui/#object/approved_document__v/V5O00000001B001", "Lupkynis_dosaggio_IT-LUP-2600005 V1.0 - NEPHRO")</f>
        <v>Lupkynis_dosaggio_IT-LUP-2600005 V1.0 - NEPHRO</v>
      </c>
      <c r="E8098" s="10" t="str">
        <f>HYPERLINK("https://otsuka-europe-crm.veevavault.com/ui/#object/sent_email__v/VBL00000003F194", "SE-001448273")</f>
        <v>SE-001448273</v>
      </c>
      <c r="F8098" s="11"/>
      <c r="G8098" s="12">
        <v>0</v>
      </c>
      <c r="H8098" s="12">
        <v>0</v>
      </c>
      <c r="I8098" s="12">
        <v>0</v>
      </c>
      <c r="J8098" s="11"/>
      <c r="K8098" s="12">
        <v>0</v>
      </c>
      <c r="L8098" s="10" t="str">
        <f>HYPERLINK("https://otsuka-europe-crm.veevavault.com/ui/#object/approved_document__v/V5O00000001B001", "Lupkynis_dosaggio_IT-LUP-2600005 V1.0 - NEPHRO")</f>
        <v>Lupkynis_dosaggio_IT-LUP-2600005 V1.0 - NEPHRO</v>
      </c>
      <c r="M8098" s="10" t="str">
        <f>HYPERLINK("mailto:alfredo.pisapia@crm.otsuka-europe.com", "alfredo.pisapia@crm.otsuka-europe.com")</f>
        <v>alfredo.pisapia@crm.otsuka-europe.com</v>
      </c>
      <c r="N8098" s="13">
        <v>46233.488032407404</v>
      </c>
      <c r="O8098" s="14" t="str">
        <f>HYPERLINK("https://otsuka-europe-crm.veevavault.com/ui/#object/email_activity__v/V8C00000004E719", "EN-002109727")</f>
        <v>EN-002109727</v>
      </c>
    </row>
    <row r="8099" spans="1:15" ht="16" x14ac:dyDescent="0.2">
      <c r="A8099" s="18" t="str">
        <f>HYPERLINK("https://otsuka-europe-crm.veevavault.com/ui/#object/account__v/V4TZ06G6OA5WQFG", "TEST OPSA HCP TEST OPSA HCP")</f>
        <v>TEST OPSA HCP TEST OPSA HCP</v>
      </c>
      <c r="B8099" s="18" t="str">
        <f>HYPERLINK("https://otsuka-europe-crm.veevavault.com/ui/#object/vcountry__v/VENZ000004SONF5", "ES")</f>
        <v>ES</v>
      </c>
      <c r="C8099" s="20" t="s">
        <v>39</v>
      </c>
      <c r="D8099" s="21" t="str">
        <f>HYPERLINK("https://otsuka-europe-crm.veevavault.com/ui/#object/approved_document__v/V5O00000001Z008", "Portfolio Otsuka - nefro")</f>
        <v>Portfolio Otsuka - nefro</v>
      </c>
      <c r="E8099" s="22" t="str">
        <f>HYPERLINK("https://otsuka-europe-crm.veevavault.com/ui/#object/sent_email__v/VBL00000003F195", "SE-001448274")</f>
        <v>SE-001448274</v>
      </c>
      <c r="F8099" s="25">
        <v>46233.491342592592</v>
      </c>
      <c r="G8099" s="24">
        <v>1</v>
      </c>
      <c r="H8099" s="24">
        <v>1</v>
      </c>
      <c r="I8099" s="24">
        <v>1</v>
      </c>
      <c r="J8099" s="25">
        <v>46233.491377314815</v>
      </c>
      <c r="K8099" s="24">
        <v>1</v>
      </c>
      <c r="L8099" s="22" t="str">
        <f>HYPERLINK("https://otsuka-europe-crm.veevavault.com/ui/#object/approved_document__v/V5O00000001Z008", "Portfolio Otsuka - nefro")</f>
        <v>Portfolio Otsuka - nefro</v>
      </c>
      <c r="M8099" s="22" t="str">
        <f>HYPERLINK("mailto:jguri@crm.otsuka-europe.com", "jguri@crm.otsuka-europe.com")</f>
        <v>jguri@crm.otsuka-europe.com</v>
      </c>
      <c r="N8099" s="25">
        <v>46233.491076388891</v>
      </c>
      <c r="O8099" s="14" t="str">
        <f>HYPERLINK("https://otsuka-europe-crm.veevavault.com/ui/#object/email_activity__v/V8C00000004D796", "EN-002109732")</f>
        <v>EN-002109732</v>
      </c>
    </row>
    <row r="8100" spans="1:15" ht="16" x14ac:dyDescent="0.2">
      <c r="A8100" s="26"/>
      <c r="B8100" s="26"/>
      <c r="C8100" s="26"/>
      <c r="D8100" s="26"/>
      <c r="E8100" s="26"/>
      <c r="F8100" s="26"/>
      <c r="G8100" s="26"/>
      <c r="H8100" s="26"/>
      <c r="I8100" s="26"/>
      <c r="J8100" s="26"/>
      <c r="K8100" s="26"/>
      <c r="L8100" s="26"/>
      <c r="M8100" s="26"/>
      <c r="N8100" s="26"/>
      <c r="O8100" s="14" t="str">
        <f>HYPERLINK("https://otsuka-europe-crm.veevavault.com/ui/#object/email_activity__v/V8C00000004E720", "EN-002109729")</f>
        <v>EN-002109729</v>
      </c>
    </row>
    <row r="8101" spans="1:15" ht="16" x14ac:dyDescent="0.2">
      <c r="A8101" s="26"/>
      <c r="B8101" s="26"/>
      <c r="C8101" s="26"/>
      <c r="D8101" s="26"/>
      <c r="E8101" s="26"/>
      <c r="F8101" s="26"/>
      <c r="G8101" s="26"/>
      <c r="H8101" s="26"/>
      <c r="I8101" s="26"/>
      <c r="J8101" s="26"/>
      <c r="K8101" s="26"/>
      <c r="L8101" s="26"/>
      <c r="M8101" s="26"/>
      <c r="N8101" s="26"/>
      <c r="O8101" s="14" t="str">
        <f>HYPERLINK("https://otsuka-europe-crm.veevavault.com/ui/#object/email_activity__v/V8C00000004E721", "EN-002109730")</f>
        <v>EN-002109730</v>
      </c>
    </row>
    <row r="8102" spans="1:15" ht="16" x14ac:dyDescent="0.2">
      <c r="A8102" s="26"/>
      <c r="B8102" s="26"/>
      <c r="C8102" s="26"/>
      <c r="D8102" s="26"/>
      <c r="E8102" s="26"/>
      <c r="F8102" s="26"/>
      <c r="G8102" s="26"/>
      <c r="H8102" s="26"/>
      <c r="I8102" s="26"/>
      <c r="J8102" s="26"/>
      <c r="K8102" s="26"/>
      <c r="L8102" s="26"/>
      <c r="M8102" s="26"/>
      <c r="N8102" s="26"/>
      <c r="O8102" s="14" t="str">
        <f>HYPERLINK("https://otsuka-europe-crm.veevavault.com/ui/#object/email_activity__v/V8C00000004E722", "EN-002109731")</f>
        <v>EN-002109731</v>
      </c>
    </row>
    <row r="8103" spans="1:15" ht="16" x14ac:dyDescent="0.2">
      <c r="A8103" s="19"/>
      <c r="B8103" s="19"/>
      <c r="C8103" s="19"/>
      <c r="D8103" s="19"/>
      <c r="E8103" s="19"/>
      <c r="F8103" s="19"/>
      <c r="G8103" s="19"/>
      <c r="H8103" s="19"/>
      <c r="I8103" s="19"/>
      <c r="J8103" s="19"/>
      <c r="K8103" s="19"/>
      <c r="L8103" s="19"/>
      <c r="M8103" s="19"/>
      <c r="N8103" s="19"/>
      <c r="O8103" s="14" t="str">
        <f>HYPERLINK("https://otsuka-europe-crm.veevavault.com/ui/#object/email_activity__v/V8C00000004G005", "EN-002109796")</f>
        <v>EN-002109796</v>
      </c>
    </row>
    <row r="8104" spans="1:15" ht="16" x14ac:dyDescent="0.2">
      <c r="A8104" s="18" t="str">
        <f>HYPERLINK("https://otsuka-europe-crm.veevavault.com/ui/#object/account__v/V4TZ06G6OA5WQFG", "TEST OPSA HCP TEST OPSA HCP")</f>
        <v>TEST OPSA HCP TEST OPSA HCP</v>
      </c>
      <c r="B8104" s="18" t="str">
        <f>HYPERLINK("https://otsuka-europe-crm.veevavault.com/ui/#object/vcountry__v/VENZ000004SONF5", "ES")</f>
        <v>ES</v>
      </c>
      <c r="C8104" s="20" t="s">
        <v>39</v>
      </c>
      <c r="D8104" s="21" t="str">
        <f>HYPERLINK("https://otsuka-europe-crm.veevavault.com/ui/#object/approved_document__v/V5O000000020005", "Portfolio Otsuka - nefro")</f>
        <v>Portfolio Otsuka - nefro</v>
      </c>
      <c r="E8104" s="22" t="str">
        <f>HYPERLINK("https://otsuka-europe-crm.veevavault.com/ui/#object/sent_email__v/VBL00000003E264", "SE-001448275")</f>
        <v>SE-001448275</v>
      </c>
      <c r="F8104" s="25">
        <v>46237.46534722222</v>
      </c>
      <c r="G8104" s="24">
        <v>1</v>
      </c>
      <c r="H8104" s="24">
        <v>1</v>
      </c>
      <c r="I8104" s="24">
        <v>0</v>
      </c>
      <c r="J8104" s="23"/>
      <c r="K8104" s="24">
        <v>0</v>
      </c>
      <c r="L8104" s="22" t="str">
        <f>HYPERLINK("https://otsuka-europe-crm.veevavault.com/ui/#object/approved_document__v/V5O000000020005", "Portfolio Otsuka - nefro")</f>
        <v>Portfolio Otsuka - nefro</v>
      </c>
      <c r="M8104" s="22" t="str">
        <f>HYPERLINK("mailto:jguri@crm.otsuka-europe.com", "jguri@crm.otsuka-europe.com")</f>
        <v>jguri@crm.otsuka-europe.com</v>
      </c>
      <c r="N8104" s="25">
        <v>46233.495532407411</v>
      </c>
      <c r="O8104" s="14" t="str">
        <f>HYPERLINK("https://otsuka-europe-crm.veevavault.com/ui/#object/email_activity__v/V8C00000004E723", "EN-002109734")</f>
        <v>EN-002109734</v>
      </c>
    </row>
    <row r="8105" spans="1:15" ht="16" x14ac:dyDescent="0.2">
      <c r="A8105" s="26"/>
      <c r="B8105" s="26"/>
      <c r="C8105" s="26"/>
      <c r="D8105" s="26"/>
      <c r="E8105" s="26"/>
      <c r="F8105" s="26"/>
      <c r="G8105" s="26"/>
      <c r="H8105" s="26"/>
      <c r="I8105" s="26"/>
      <c r="J8105" s="26"/>
      <c r="K8105" s="26"/>
      <c r="L8105" s="26"/>
      <c r="M8105" s="26"/>
      <c r="N8105" s="26"/>
      <c r="O8105" s="14" t="str">
        <f>HYPERLINK("https://otsuka-europe-crm.veevavault.com/ui/#object/email_activity__v/V8C00000004G006", "EN-002109797")</f>
        <v>EN-002109797</v>
      </c>
    </row>
    <row r="8106" spans="1:15" ht="16" x14ac:dyDescent="0.2">
      <c r="A8106" s="19"/>
      <c r="B8106" s="19"/>
      <c r="C8106" s="19"/>
      <c r="D8106" s="19"/>
      <c r="E8106" s="19"/>
      <c r="F8106" s="19"/>
      <c r="G8106" s="19"/>
      <c r="H8106" s="19"/>
      <c r="I8106" s="19"/>
      <c r="J8106" s="19"/>
      <c r="K8106" s="19"/>
      <c r="L8106" s="19"/>
      <c r="M8106" s="19"/>
      <c r="N8106" s="19"/>
      <c r="O8106" s="14" t="str">
        <f>HYPERLINK("https://otsuka-europe-crm.veevavault.com/ui/#object/email_activity__v/V8C00000004I122", "EN-002111224")</f>
        <v>EN-002111224</v>
      </c>
    </row>
    <row r="8107" spans="1:15" ht="16" x14ac:dyDescent="0.2">
      <c r="A8107" s="18" t="str">
        <f>HYPERLINK("https://otsuka-europe-crm.veevavault.com/ui/#object/account__v/V4TZ025E86JLMGU", "MAURIZIO MARGAGLIONE")</f>
        <v>MAURIZIO MARGAGLIONE</v>
      </c>
      <c r="B8107" s="18" t="str">
        <f>HYPERLINK("https://otsuka-europe-crm.veevavault.com/ui/#object/vcountry__v/VENZ000004SONFQ", "IT")</f>
        <v>IT</v>
      </c>
      <c r="C8107" s="20" t="s">
        <v>42</v>
      </c>
      <c r="D8107" s="21" t="str">
        <f>HYPERLINK("https://otsuka-europe-crm.veevavault.com/ui/#object/approved_document__v/V5OZ025E82LS9PY", "IT ToV Veeva Privacy Notice Email")</f>
        <v>IT ToV Veeva Privacy Notice Email</v>
      </c>
      <c r="E8107" s="22" t="str">
        <f>HYPERLINK("https://otsuka-europe-crm.veevavault.com/ui/#object/sent_email__v/VBL00000003F196", "SE-001448276")</f>
        <v>SE-001448276</v>
      </c>
      <c r="F8107" s="25">
        <v>46233.856979166667</v>
      </c>
      <c r="G8107" s="24">
        <v>1</v>
      </c>
      <c r="H8107" s="24">
        <v>4</v>
      </c>
      <c r="I8107" s="24">
        <v>0</v>
      </c>
      <c r="J8107" s="23"/>
      <c r="K8107" s="24">
        <v>0</v>
      </c>
      <c r="L8107" s="22" t="str">
        <f>HYPERLINK("https://otsuka-europe-crm.veevavault.com/ui/#object/approved_document__v/V5OZ025E82LS9PY", "IT ToV Veeva Privacy Notice Email")</f>
        <v>IT ToV Veeva Privacy Notice Email</v>
      </c>
      <c r="M8107" s="22" t="str">
        <f>HYPERLINK("mailto:silvia.govoni@crm.otsuka-europe.com", "silvia.govoni@crm.otsuka-europe.com")</f>
        <v>silvia.govoni@crm.otsuka-europe.com</v>
      </c>
      <c r="N8107" s="25">
        <v>46233.560173611113</v>
      </c>
      <c r="O8107" s="14" t="str">
        <f>HYPERLINK("https://otsuka-europe-crm.veevavault.com/ui/#object/email_activity__v/V8C00000004D822", "EN-002109778")</f>
        <v>EN-002109778</v>
      </c>
    </row>
    <row r="8108" spans="1:15" ht="16" x14ac:dyDescent="0.2">
      <c r="A8108" s="26"/>
      <c r="B8108" s="26"/>
      <c r="C8108" s="26"/>
      <c r="D8108" s="26"/>
      <c r="E8108" s="26"/>
      <c r="F8108" s="26"/>
      <c r="G8108" s="26"/>
      <c r="H8108" s="26"/>
      <c r="I8108" s="26"/>
      <c r="J8108" s="26"/>
      <c r="K8108" s="26"/>
      <c r="L8108" s="26"/>
      <c r="M8108" s="26"/>
      <c r="N8108" s="26"/>
      <c r="O8108" s="14" t="str">
        <f>HYPERLINK("https://otsuka-europe-crm.veevavault.com/ui/#object/email_activity__v/V8C00000004E733", "EN-002109759")</f>
        <v>EN-002109759</v>
      </c>
    </row>
    <row r="8109" spans="1:15" ht="16" x14ac:dyDescent="0.2">
      <c r="A8109" s="26"/>
      <c r="B8109" s="26"/>
      <c r="C8109" s="26"/>
      <c r="D8109" s="26"/>
      <c r="E8109" s="26"/>
      <c r="F8109" s="26"/>
      <c r="G8109" s="26"/>
      <c r="H8109" s="26"/>
      <c r="I8109" s="26"/>
      <c r="J8109" s="26"/>
      <c r="K8109" s="26"/>
      <c r="L8109" s="26"/>
      <c r="M8109" s="26"/>
      <c r="N8109" s="26"/>
      <c r="O8109" s="14" t="str">
        <f>HYPERLINK("https://otsuka-europe-crm.veevavault.com/ui/#object/email_activity__v/V8C00000004E742", "EN-002109777")</f>
        <v>EN-002109777</v>
      </c>
    </row>
    <row r="8110" spans="1:15" ht="16" x14ac:dyDescent="0.2">
      <c r="A8110" s="26"/>
      <c r="B8110" s="26"/>
      <c r="C8110" s="26"/>
      <c r="D8110" s="26"/>
      <c r="E8110" s="26"/>
      <c r="F8110" s="26"/>
      <c r="G8110" s="26"/>
      <c r="H8110" s="26"/>
      <c r="I8110" s="26"/>
      <c r="J8110" s="26"/>
      <c r="K8110" s="26"/>
      <c r="L8110" s="26"/>
      <c r="M8110" s="26"/>
      <c r="N8110" s="26"/>
      <c r="O8110" s="14" t="str">
        <f>HYPERLINK("https://otsuka-europe-crm.veevavault.com/ui/#object/email_activity__v/V8C00000004F003", "EN-002109792")</f>
        <v>EN-002109792</v>
      </c>
    </row>
    <row r="8111" spans="1:15" ht="16" x14ac:dyDescent="0.2">
      <c r="A8111" s="19"/>
      <c r="B8111" s="19"/>
      <c r="C8111" s="19"/>
      <c r="D8111" s="19"/>
      <c r="E8111" s="19"/>
      <c r="F8111" s="19"/>
      <c r="G8111" s="19"/>
      <c r="H8111" s="19"/>
      <c r="I8111" s="19"/>
      <c r="J8111" s="19"/>
      <c r="K8111" s="19"/>
      <c r="L8111" s="19"/>
      <c r="M8111" s="19"/>
      <c r="N8111" s="19"/>
      <c r="O8111" s="14" t="str">
        <f>HYPERLINK("https://otsuka-europe-crm.veevavault.com/ui/#object/email_activity__v/V8C00000004G003", "EN-002109791")</f>
        <v>EN-002109791</v>
      </c>
    </row>
    <row r="8112" spans="1:15" ht="16" x14ac:dyDescent="0.2">
      <c r="A8112" s="18" t="str">
        <f>HYPERLINK("https://otsuka-europe-crm.veevavault.com/ui/#object/account__v/V4T000000017366", "Elspeth Payne")</f>
        <v>Elspeth Payne</v>
      </c>
      <c r="B8112" s="18" t="str">
        <f>HYPERLINK("https://otsuka-europe-crm.veevavault.com/ui/#object/vcountry__v/VENZ000004SONFK", "GB")</f>
        <v>GB</v>
      </c>
      <c r="C8112" s="20" t="s">
        <v>41</v>
      </c>
      <c r="D8112" s="21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E8112" s="22" t="str">
        <f>HYPERLINK("https://otsuka-europe-crm.veevavault.com/ui/#object/sent_email__v/VBL00000003F197", "SE-001448277")</f>
        <v>SE-001448277</v>
      </c>
      <c r="F8112" s="25">
        <v>46233.614722222221</v>
      </c>
      <c r="G8112" s="24">
        <v>1</v>
      </c>
      <c r="H8112" s="24">
        <v>3</v>
      </c>
      <c r="I8112" s="24">
        <v>0</v>
      </c>
      <c r="J8112" s="23"/>
      <c r="K8112" s="24">
        <v>0</v>
      </c>
      <c r="L8112" s="22" t="str">
        <f>HYPERLINK("https://otsuka-europe-crm.veevavault.com/ui/#object/approved_document__v/V5OZ06G6O6RH9XL", "UK Veeva Double Opt-In Remote Meetings Email Receipt v4")</f>
        <v>UK Veeva Double Opt-In Remote Meetings Email Receipt v4</v>
      </c>
      <c r="M8112" s="22" t="str">
        <f>HYPERLINK("mailto:tbuckley@crm.otsuka-europe.com", "tbuckley@crm.otsuka-europe.com")</f>
        <v>tbuckley@crm.otsuka-europe.com</v>
      </c>
      <c r="N8112" s="25">
        <v>46233.582905092589</v>
      </c>
      <c r="O8112" s="14" t="str">
        <f>HYPERLINK("https://otsuka-europe-crm.veevavault.com/ui/#object/email_activity__v/V8C00000004D817", "EN-002109768")</f>
        <v>EN-002109768</v>
      </c>
    </row>
    <row r="8113" spans="1:15" ht="16" x14ac:dyDescent="0.2">
      <c r="A8113" s="26"/>
      <c r="B8113" s="26"/>
      <c r="C8113" s="26"/>
      <c r="D8113" s="26"/>
      <c r="E8113" s="26"/>
      <c r="F8113" s="26"/>
      <c r="G8113" s="26"/>
      <c r="H8113" s="26"/>
      <c r="I8113" s="26"/>
      <c r="J8113" s="26"/>
      <c r="K8113" s="26"/>
      <c r="L8113" s="26"/>
      <c r="M8113" s="26"/>
      <c r="N8113" s="26"/>
      <c r="O8113" s="14" t="str">
        <f>HYPERLINK("https://otsuka-europe-crm.veevavault.com/ui/#object/email_activity__v/V8C00000004D818", "EN-002109769")</f>
        <v>EN-002109769</v>
      </c>
    </row>
    <row r="8114" spans="1:15" ht="16" x14ac:dyDescent="0.2">
      <c r="A8114" s="26"/>
      <c r="B8114" s="26"/>
      <c r="C8114" s="26"/>
      <c r="D8114" s="26"/>
      <c r="E8114" s="26"/>
      <c r="F8114" s="26"/>
      <c r="G8114" s="26"/>
      <c r="H8114" s="26"/>
      <c r="I8114" s="26"/>
      <c r="J8114" s="26"/>
      <c r="K8114" s="26"/>
      <c r="L8114" s="26"/>
      <c r="M8114" s="26"/>
      <c r="N8114" s="26"/>
      <c r="O8114" s="14" t="str">
        <f>HYPERLINK("https://otsuka-europe-crm.veevavault.com/ui/#object/email_activity__v/V8C00000004E736", "EN-002109763")</f>
        <v>EN-002109763</v>
      </c>
    </row>
    <row r="8115" spans="1:15" ht="16" x14ac:dyDescent="0.2">
      <c r="A8115" s="19"/>
      <c r="B8115" s="19"/>
      <c r="C8115" s="19"/>
      <c r="D8115" s="19"/>
      <c r="E8115" s="19"/>
      <c r="F8115" s="19"/>
      <c r="G8115" s="19"/>
      <c r="H8115" s="19"/>
      <c r="I8115" s="19"/>
      <c r="J8115" s="19"/>
      <c r="K8115" s="19"/>
      <c r="L8115" s="19"/>
      <c r="M8115" s="19"/>
      <c r="N8115" s="19"/>
      <c r="O8115" s="14" t="str">
        <f>HYPERLINK("https://otsuka-europe-crm.veevavault.com/ui/#object/email_activity__v/V8C00000004E738", "EN-002109770")</f>
        <v>EN-002109770</v>
      </c>
    </row>
    <row r="8116" spans="1:15" ht="32" x14ac:dyDescent="0.2">
      <c r="A8116" s="7" t="str">
        <f>HYPERLINK("https://otsuka-europe-crm.veevavault.com/ui/#object/account__v/V4T00000002J045", "SEBASTIANO GANGEMI")</f>
        <v>SEBASTIANO GANGEMI</v>
      </c>
      <c r="B8116" s="7" t="str">
        <f>HYPERLINK("https://otsuka-europe-crm.veevavault.com/ui/#object/vcountry__v/VENZ000004SONFQ", "IT")</f>
        <v>IT</v>
      </c>
      <c r="C8116" s="8" t="s">
        <v>42</v>
      </c>
      <c r="D8116" s="9" t="str">
        <f>HYPERLINK("https://otsuka-europe-crm.veevavault.com/ui/#object/approved_document__v/V5OZ025E82LS9PY", "IT ToV Veeva Privacy Notice Email")</f>
        <v>IT ToV Veeva Privacy Notice Email</v>
      </c>
      <c r="E8116" s="10" t="str">
        <f>HYPERLINK("https://otsuka-europe-crm.veevavault.com/ui/#object/sent_email__v/VBL00000003E265", "SE-001448278")</f>
        <v>SE-001448278</v>
      </c>
      <c r="F8116" s="11"/>
      <c r="G8116" s="12">
        <v>0</v>
      </c>
      <c r="H8116" s="12">
        <v>0</v>
      </c>
      <c r="I8116" s="12">
        <v>0</v>
      </c>
      <c r="J8116" s="11"/>
      <c r="K8116" s="12">
        <v>0</v>
      </c>
      <c r="L8116" s="10" t="str">
        <f>HYPERLINK("https://otsuka-europe-crm.veevavault.com/ui/#object/approved_document__v/V5OZ025E82LS9PY", "IT ToV Veeva Privacy Notice Email")</f>
        <v>IT ToV Veeva Privacy Notice Email</v>
      </c>
      <c r="M8116" s="10" t="str">
        <f>HYPERLINK("mailto:silvia.govoni@crm.otsuka-europe.com", "silvia.govoni@crm.otsuka-europe.com")</f>
        <v>silvia.govoni@crm.otsuka-europe.com</v>
      </c>
      <c r="N8116" s="13">
        <v>46233.599421296298</v>
      </c>
      <c r="O8116" s="14" t="str">
        <f>HYPERLINK("https://otsuka-europe-crm.veevavault.com/ui/#object/email_activity__v/V8C00000004D815", "EN-002109765")</f>
        <v>EN-002109765</v>
      </c>
    </row>
    <row r="8117" spans="1:15" ht="32" x14ac:dyDescent="0.2">
      <c r="A8117" s="7" t="str">
        <f>HYPERLINK("https://otsuka-europe-crm.veevavault.com/ui/#object/account__v/V4T00000002J045", "SEBASTIANO GANGEMI")</f>
        <v>SEBASTIANO GANGEMI</v>
      </c>
      <c r="B8117" s="7" t="str">
        <f>HYPERLINK("https://otsuka-europe-crm.veevavault.com/ui/#object/vcountry__v/VENZ000004SONFQ", "IT")</f>
        <v>IT</v>
      </c>
      <c r="C8117" s="8" t="s">
        <v>42</v>
      </c>
      <c r="D8117" s="9" t="str">
        <f>HYPERLINK("https://otsuka-europe-crm.veevavault.com/ui/#object/approved_document__v/V5OZ025E82LS9PY", "IT ToV Veeva Privacy Notice Email")</f>
        <v>IT ToV Veeva Privacy Notice Email</v>
      </c>
      <c r="E8117" s="10" t="str">
        <f>HYPERLINK("https://otsuka-europe-crm.veevavault.com/ui/#object/sent_email__v/VBL00000003E266", "SE-001448279")</f>
        <v>SE-001448279</v>
      </c>
      <c r="F8117" s="11"/>
      <c r="G8117" s="12">
        <v>0</v>
      </c>
      <c r="H8117" s="12">
        <v>0</v>
      </c>
      <c r="I8117" s="12">
        <v>0</v>
      </c>
      <c r="J8117" s="11"/>
      <c r="K8117" s="12">
        <v>0</v>
      </c>
      <c r="L8117" s="10" t="str">
        <f>HYPERLINK("https://otsuka-europe-crm.veevavault.com/ui/#object/approved_document__v/V5OZ025E82LS9PY", "IT ToV Veeva Privacy Notice Email")</f>
        <v>IT ToV Veeva Privacy Notice Email</v>
      </c>
      <c r="M8117" s="10" t="str">
        <f>HYPERLINK("mailto:silvia.govoni@crm.otsuka-europe.com", "silvia.govoni@crm.otsuka-europe.com")</f>
        <v>silvia.govoni@crm.otsuka-europe.com</v>
      </c>
      <c r="N8117" s="13">
        <v>46233.59951388889</v>
      </c>
      <c r="O8117" s="14" t="str">
        <f>HYPERLINK("https://otsuka-europe-crm.veevavault.com/ui/#object/email_activity__v/V8C00000004E737", "EN-002109766")</f>
        <v>EN-002109766</v>
      </c>
    </row>
    <row r="8118" spans="1:15" ht="32" x14ac:dyDescent="0.2">
      <c r="A8118" s="7" t="str">
        <f>HYPERLINK("https://otsuka-europe-crm.veevavault.com/ui/#object/account__v/V4T00000002J045", "SEBASTIANO GANGEMI")</f>
        <v>SEBASTIANO GANGEMI</v>
      </c>
      <c r="B8118" s="7" t="str">
        <f>HYPERLINK("https://otsuka-europe-crm.veevavault.com/ui/#object/vcountry__v/VENZ000004SONFQ", "IT")</f>
        <v>IT</v>
      </c>
      <c r="C8118" s="8" t="s">
        <v>42</v>
      </c>
      <c r="D8118" s="9" t="str">
        <f>HYPERLINK("https://otsuka-europe-crm.veevavault.com/ui/#object/approved_document__v/V5OZ06G6O6RG2EV", "IT Veeva Privacy Notice Email")</f>
        <v>IT Veeva Privacy Notice Email</v>
      </c>
      <c r="E8118" s="10" t="str">
        <f>HYPERLINK("https://otsuka-europe-crm.veevavault.com/ui/#object/sent_email__v/VBL00000003E267", "SE-001448280")</f>
        <v>SE-001448280</v>
      </c>
      <c r="F8118" s="11"/>
      <c r="G8118" s="12">
        <v>0</v>
      </c>
      <c r="H8118" s="12">
        <v>0</v>
      </c>
      <c r="I8118" s="12">
        <v>0</v>
      </c>
      <c r="J8118" s="11"/>
      <c r="K8118" s="12">
        <v>0</v>
      </c>
      <c r="L8118" s="10" t="str">
        <f>HYPERLINK("https://otsuka-europe-crm.veevavault.com/ui/#object/approved_document__v/V5OZ06G6O6RG2EV", "IT Veeva Privacy Notice Email")</f>
        <v>IT Veeva Privacy Notice Email</v>
      </c>
      <c r="M8118" s="10" t="str">
        <f>HYPERLINK("mailto:silvia.govoni@crm.otsuka-europe.com", "silvia.govoni@crm.otsuka-europe.com")</f>
        <v>silvia.govoni@crm.otsuka-europe.com</v>
      </c>
      <c r="N8118" s="13">
        <v>46233.599745370368</v>
      </c>
      <c r="O8118" s="14" t="str">
        <f>HYPERLINK("https://otsuka-europe-crm.veevavault.com/ui/#object/email_activity__v/V8C00000004D816", "EN-002109767")</f>
        <v>EN-002109767</v>
      </c>
    </row>
    <row r="8119" spans="1:15" ht="16" x14ac:dyDescent="0.2">
      <c r="A8119" s="18" t="str">
        <f>HYPERLINK("https://otsuka-europe-crm.veevavault.com/ui/#object/account__v/V4T00000002B020", "LUCIA PININ BRAÑA")</f>
        <v>LUCIA PININ BRAÑA</v>
      </c>
      <c r="B8119" s="18" t="str">
        <f>HYPERLINK("https://otsuka-europe-crm.veevavault.com/ui/#object/vcountry__v/VENZ000004SONF5", "ES")</f>
        <v>ES</v>
      </c>
      <c r="C8119" s="20" t="s">
        <v>39</v>
      </c>
      <c r="D8119" s="21" t="str">
        <f>HYPERLINK("https://otsuka-europe-crm.veevavault.com/ui/#object/approved_document__v/V5O00000000D100", "Spain - Consent Email 1 Aug 25")</f>
        <v>Spain - Consent Email 1 Aug 25</v>
      </c>
      <c r="E8119" s="22" t="str">
        <f>HYPERLINK("https://otsuka-europe-crm.veevavault.com/ui/#object/sent_email__v/VBL00000003E271", "SE-001448294")</f>
        <v>SE-001448294</v>
      </c>
      <c r="F8119" s="25">
        <v>46237.425046296295</v>
      </c>
      <c r="G8119" s="24">
        <v>1</v>
      </c>
      <c r="H8119" s="24">
        <v>1</v>
      </c>
      <c r="I8119" s="24">
        <v>1</v>
      </c>
      <c r="J8119" s="25">
        <v>46237.425162037034</v>
      </c>
      <c r="K8119" s="24">
        <v>3</v>
      </c>
      <c r="L8119" s="22" t="str">
        <f>HYPERLINK("https://otsuka-europe-crm.veevavault.com/ui/#object/approved_document__v/V5O00000000D100", "Spain - Consent Email 1 Aug 25")</f>
        <v>Spain - Consent Email 1 Aug 25</v>
      </c>
      <c r="M8119" s="22" t="str">
        <f>HYPERLINK("mailto:jcastro@crm.otsuka-europe.com", "jcastro@crm.otsuka-europe.com")</f>
        <v>jcastro@crm.otsuka-europe.com</v>
      </c>
      <c r="N8119" s="25">
        <v>46233.727847222224</v>
      </c>
      <c r="O8119" s="14" t="str">
        <f>HYPERLINK("https://otsuka-europe-crm.veevavault.com/ui/#object/email_activity__v/V8C00000004E744", "EN-002109781")</f>
        <v>EN-002109781</v>
      </c>
    </row>
    <row r="8120" spans="1:15" ht="16" x14ac:dyDescent="0.2">
      <c r="A8120" s="26"/>
      <c r="B8120" s="26"/>
      <c r="C8120" s="26"/>
      <c r="D8120" s="26"/>
      <c r="E8120" s="26"/>
      <c r="F8120" s="26"/>
      <c r="G8120" s="26"/>
      <c r="H8120" s="26"/>
      <c r="I8120" s="26"/>
      <c r="J8120" s="26"/>
      <c r="K8120" s="26"/>
      <c r="L8120" s="26"/>
      <c r="M8120" s="26"/>
      <c r="N8120" s="26"/>
      <c r="O8120" s="14" t="str">
        <f>HYPERLINK("https://otsuka-europe-crm.veevavault.com/ui/#object/email_activity__v/V8C00000004I107", "EN-002111197")</f>
        <v>EN-002111197</v>
      </c>
    </row>
    <row r="8121" spans="1:15" ht="16" x14ac:dyDescent="0.2">
      <c r="A8121" s="26"/>
      <c r="B8121" s="26"/>
      <c r="C8121" s="26"/>
      <c r="D8121" s="26"/>
      <c r="E8121" s="26"/>
      <c r="F8121" s="26"/>
      <c r="G8121" s="26"/>
      <c r="H8121" s="26"/>
      <c r="I8121" s="26"/>
      <c r="J8121" s="26"/>
      <c r="K8121" s="26"/>
      <c r="L8121" s="26"/>
      <c r="M8121" s="26"/>
      <c r="N8121" s="26"/>
      <c r="O8121" s="14" t="str">
        <f>HYPERLINK("https://otsuka-europe-crm.veevavault.com/ui/#object/email_activity__v/V8C00000004I108", "EN-002111196")</f>
        <v>EN-002111196</v>
      </c>
    </row>
    <row r="8122" spans="1:15" ht="16" x14ac:dyDescent="0.2">
      <c r="A8122" s="26"/>
      <c r="B8122" s="26"/>
      <c r="C8122" s="26"/>
      <c r="D8122" s="26"/>
      <c r="E8122" s="26"/>
      <c r="F8122" s="26"/>
      <c r="G8122" s="26"/>
      <c r="H8122" s="26"/>
      <c r="I8122" s="26"/>
      <c r="J8122" s="26"/>
      <c r="K8122" s="26"/>
      <c r="L8122" s="26"/>
      <c r="M8122" s="26"/>
      <c r="N8122" s="26"/>
      <c r="O8122" s="14" t="str">
        <f>HYPERLINK("https://otsuka-europe-crm.veevavault.com/ui/#object/email_activity__v/V8C00000004I109", "EN-002111198")</f>
        <v>EN-002111198</v>
      </c>
    </row>
    <row r="8123" spans="1:15" ht="16" x14ac:dyDescent="0.2">
      <c r="A8123" s="19"/>
      <c r="B8123" s="19"/>
      <c r="C8123" s="19"/>
      <c r="D8123" s="19"/>
      <c r="E8123" s="19"/>
      <c r="F8123" s="19"/>
      <c r="G8123" s="19"/>
      <c r="H8123" s="19"/>
      <c r="I8123" s="19"/>
      <c r="J8123" s="19"/>
      <c r="K8123" s="19"/>
      <c r="L8123" s="19"/>
      <c r="M8123" s="19"/>
      <c r="N8123" s="19"/>
      <c r="O8123" s="14" t="str">
        <f>HYPERLINK("https://otsuka-europe-crm.veevavault.com/ui/#object/email_activity__v/V8C00000004I112", "EN-002111200")</f>
        <v>EN-002111200</v>
      </c>
    </row>
    <row r="8124" spans="1:15" ht="16" x14ac:dyDescent="0.2">
      <c r="A8124" s="18" t="str">
        <f>HYPERLINK("https://otsuka-europe-crm.veevavault.com/ui/#object/account__v/V4T00000002B020", "LUCIA PININ BRAÑA")</f>
        <v>LUCIA PININ BRAÑA</v>
      </c>
      <c r="B8124" s="18" t="str">
        <f>HYPERLINK("https://otsuka-europe-crm.veevavault.com/ui/#object/vcountry__v/VENZ000004SONF5", "ES")</f>
        <v>ES</v>
      </c>
      <c r="C8124" s="20" t="s">
        <v>39</v>
      </c>
      <c r="D8124" s="21" t="str">
        <f>HYPERLINK("https://otsuka-europe-crm.veevavault.com/ui/#object/approved_document__v/V5OZ04ASG4FWKA7", "Reuniones Online Consent - 2")</f>
        <v>Reuniones Online Consent - 2</v>
      </c>
      <c r="E8124" s="22" t="str">
        <f>HYPERLINK("https://otsuka-europe-crm.veevavault.com/ui/#object/sent_email__v/VBL00000003E272", "SE-001448295")</f>
        <v>SE-001448295</v>
      </c>
      <c r="F8124" s="25">
        <v>46237.425243055557</v>
      </c>
      <c r="G8124" s="24">
        <v>1</v>
      </c>
      <c r="H8124" s="24">
        <v>1</v>
      </c>
      <c r="I8124" s="24">
        <v>1</v>
      </c>
      <c r="J8124" s="25">
        <v>46237.425243055557</v>
      </c>
      <c r="K8124" s="24">
        <v>1</v>
      </c>
      <c r="L8124" s="22" t="str">
        <f>HYPERLINK("https://otsuka-europe-crm.veevavault.com/ui/#object/approved_document__v/V5OZ04ASG4FWKA7", "Reuniones Online Consent - 2")</f>
        <v>Reuniones Online Consent - 2</v>
      </c>
      <c r="M8124" s="22" t="str">
        <f>HYPERLINK("mailto:jcastro@crm.otsuka-europe.com", "jcastro@crm.otsuka-europe.com")</f>
        <v>jcastro@crm.otsuka-europe.com</v>
      </c>
      <c r="N8124" s="25">
        <v>46233.727870370371</v>
      </c>
      <c r="O8124" s="14" t="str">
        <f>HYPERLINK("https://otsuka-europe-crm.veevavault.com/ui/#object/email_activity__v/V8C00000004D824", "EN-002109782")</f>
        <v>EN-002109782</v>
      </c>
    </row>
    <row r="8125" spans="1:15" ht="16" x14ac:dyDescent="0.2">
      <c r="A8125" s="26"/>
      <c r="B8125" s="26"/>
      <c r="C8125" s="26"/>
      <c r="D8125" s="26"/>
      <c r="E8125" s="26"/>
      <c r="F8125" s="26"/>
      <c r="G8125" s="26"/>
      <c r="H8125" s="26"/>
      <c r="I8125" s="26"/>
      <c r="J8125" s="26"/>
      <c r="K8125" s="26"/>
      <c r="L8125" s="26"/>
      <c r="M8125" s="26"/>
      <c r="N8125" s="26"/>
      <c r="O8125" s="14" t="str">
        <f>HYPERLINK("https://otsuka-europe-crm.veevavault.com/ui/#object/email_activity__v/V8C00000004I110", "EN-002111201")</f>
        <v>EN-002111201</v>
      </c>
    </row>
    <row r="8126" spans="1:15" ht="16" x14ac:dyDescent="0.2">
      <c r="A8126" s="19"/>
      <c r="B8126" s="19"/>
      <c r="C8126" s="19"/>
      <c r="D8126" s="19"/>
      <c r="E8126" s="19"/>
      <c r="F8126" s="19"/>
      <c r="G8126" s="19"/>
      <c r="H8126" s="19"/>
      <c r="I8126" s="19"/>
      <c r="J8126" s="19"/>
      <c r="K8126" s="19"/>
      <c r="L8126" s="19"/>
      <c r="M8126" s="19"/>
      <c r="N8126" s="19"/>
      <c r="O8126" s="14" t="str">
        <f>HYPERLINK("https://otsuka-europe-crm.veevavault.com/ui/#object/email_activity__v/V8C00000004I111", "EN-002111199")</f>
        <v>EN-002111199</v>
      </c>
    </row>
    <row r="8127" spans="1:15" ht="32" x14ac:dyDescent="0.2">
      <c r="A8127" s="7" t="str">
        <f>HYPERLINK("https://otsuka-europe-crm.veevavault.com/ui/#object/account__v/V4T00000002B020", "LUCIA PININ BRAÑA")</f>
        <v>LUCIA PININ BRAÑA</v>
      </c>
      <c r="B8127" s="7" t="str">
        <f>HYPERLINK("https://otsuka-europe-crm.veevavault.com/ui/#object/vcountry__v/VENZ000004SONF5", "ES")</f>
        <v>ES</v>
      </c>
      <c r="C8127" s="8" t="s">
        <v>39</v>
      </c>
      <c r="D8127" s="9" t="str">
        <f>HYPERLINK("https://otsuka-europe-crm.veevavault.com/ui/#object/approved_document__v/V5OZ04ASG4FWKA9", "Documento Autorizaciขn Centro Empleador")</f>
        <v>Documento Autorizaciขn Centro Empleador</v>
      </c>
      <c r="E8127" s="10" t="str">
        <f>HYPERLINK("https://otsuka-europe-crm.veevavault.com/ui/#object/sent_email__v/VBL00000003E273", "SE-001448296")</f>
        <v>SE-001448296</v>
      </c>
      <c r="F8127" s="11"/>
      <c r="G8127" s="12">
        <v>0</v>
      </c>
      <c r="H8127" s="12">
        <v>0</v>
      </c>
      <c r="I8127" s="12">
        <v>0</v>
      </c>
      <c r="J8127" s="11"/>
      <c r="K8127" s="12">
        <v>0</v>
      </c>
      <c r="L8127" s="10" t="str">
        <f>HYPERLINK("https://otsuka-europe-crm.veevavault.com/ui/#object/approved_document__v/V5OZ04ASG4FWKA9", "Documento Autorizaciขn Centro Empleador")</f>
        <v>Documento Autorizaciขn Centro Empleador</v>
      </c>
      <c r="M8127" s="10" t="str">
        <f>HYPERLINK("mailto:jcastro@crm.otsuka-europe.com", "jcastro@crm.otsuka-europe.com")</f>
        <v>jcastro@crm.otsuka-europe.com</v>
      </c>
      <c r="N8127" s="13">
        <v>46233.727858796294</v>
      </c>
      <c r="O8127" s="14" t="str">
        <f>HYPERLINK("https://otsuka-europe-crm.veevavault.com/ui/#object/email_activity__v/V8C00000004E743", "EN-002109780")</f>
        <v>EN-002109780</v>
      </c>
    </row>
    <row r="8128" spans="1:15" ht="32" x14ac:dyDescent="0.2">
      <c r="A8128" s="7" t="str">
        <f>HYPERLINK("https://otsuka-europe-crm.veevavault.com/ui/#object/account__v/V4T00000002B020", "LUCIA PININ BRAÑA")</f>
        <v>LUCIA PININ BRAÑA</v>
      </c>
      <c r="B8128" s="7" t="str">
        <f>HYPERLINK("https://otsuka-europe-crm.veevavault.com/ui/#object/vcountry__v/VENZ000004SONF5", "ES")</f>
        <v>ES</v>
      </c>
      <c r="C8128" s="8" t="s">
        <v>39</v>
      </c>
      <c r="D8128" s="9" t="str">
        <f>HYPERLINK("https://otsuka-europe-crm.veevavault.com/ui/#object/approved_document__v/V5OZ06G6O6RFL1P", "ES Veeva Privacy Notice Email")</f>
        <v>ES Veeva Privacy Notice Email</v>
      </c>
      <c r="E8128" s="10" t="str">
        <f>HYPERLINK("https://otsuka-europe-crm.veevavault.com/ui/#object/sent_email__v/VBL00000003E274", "SE-001448297")</f>
        <v>SE-001448297</v>
      </c>
      <c r="F8128" s="11"/>
      <c r="G8128" s="12">
        <v>0</v>
      </c>
      <c r="H8128" s="12">
        <v>0</v>
      </c>
      <c r="I8128" s="12">
        <v>0</v>
      </c>
      <c r="J8128" s="11"/>
      <c r="K8128" s="12">
        <v>0</v>
      </c>
      <c r="L8128" s="10" t="str">
        <f>HYPERLINK("https://otsuka-europe-crm.veevavault.com/ui/#object/approved_document__v/V5OZ06G6O6RFL1P", "ES Veeva Privacy Notice Email")</f>
        <v>ES Veeva Privacy Notice Email</v>
      </c>
      <c r="M8128" s="10" t="str">
        <f>HYPERLINK("mailto:jcastro@crm.otsuka-europe.com", "jcastro@crm.otsuka-europe.com")</f>
        <v>jcastro@crm.otsuka-europe.com</v>
      </c>
      <c r="N8128" s="13">
        <v>46233.728518518517</v>
      </c>
      <c r="O8128" s="14" t="str">
        <f>HYPERLINK("https://otsuka-europe-crm.veevavault.com/ui/#object/email_activity__v/V8C00000004D825", "EN-002109783")</f>
        <v>EN-002109783</v>
      </c>
    </row>
    <row r="8129" spans="1:15" ht="16" x14ac:dyDescent="0.2">
      <c r="A8129" s="18" t="str">
        <f>HYPERLINK("https://otsuka-europe-crm.veevavault.com/ui/#object/account__v/V4TZ0000062T2SE", "Stefan Beerboom")</f>
        <v>Stefan Beerboom</v>
      </c>
      <c r="B8129" s="18" t="str">
        <f>HYPERLINK("https://otsuka-europe-crm.veevavault.com/ui/#object/vcountry__v/VENZ000004SONFP", "DE")</f>
        <v>DE</v>
      </c>
      <c r="C8129" s="20" t="s">
        <v>43</v>
      </c>
      <c r="D8129" s="21" t="str">
        <f>HYPERLINK("https://otsuka-europe-crm.veevavault.com/ui/#object/approved_document__v/V5O00000001Z005", "A2M_VAE zu CAMPUS_08.2026")</f>
        <v>A2M_VAE zu CAMPUS_08.2026</v>
      </c>
      <c r="E8129" s="22" t="str">
        <f>HYPERLINK("https://otsuka-europe-crm.veevavault.com/ui/#object/sent_email__v/VBL00000003G001", "SE-001448298")</f>
        <v>SE-001448298</v>
      </c>
      <c r="F8129" s="25">
        <v>46235.061145833337</v>
      </c>
      <c r="G8129" s="24">
        <v>1</v>
      </c>
      <c r="H8129" s="24">
        <v>6</v>
      </c>
      <c r="I8129" s="24">
        <v>0</v>
      </c>
      <c r="J8129" s="23"/>
      <c r="K8129" s="24">
        <v>0</v>
      </c>
      <c r="L8129" s="22" t="str">
        <f>HYPERLINK("https://otsuka-europe-crm.veevavault.com/ui/#object/approved_document__v/V5O00000001Z005", "A2M_VAE zu CAMPUS_08.2026")</f>
        <v>A2M_VAE zu CAMPUS_08.2026</v>
      </c>
      <c r="M8129" s="22" t="str">
        <f>HYPERLINK("mailto:sannowsky@crm.otsuka-europe.com", "sannowsky@crm.otsuka-europe.com")</f>
        <v>sannowsky@crm.otsuka-europe.com</v>
      </c>
      <c r="N8129" s="25">
        <v>46234.304571759261</v>
      </c>
      <c r="O8129" s="14" t="str">
        <f>HYPERLINK("https://otsuka-europe-crm.veevavault.com/ui/#object/email_activity__v/V8C00000004F011", "EN-002109852")</f>
        <v>EN-002109852</v>
      </c>
    </row>
    <row r="8130" spans="1:15" ht="16" x14ac:dyDescent="0.2">
      <c r="A8130" s="26"/>
      <c r="B8130" s="26"/>
      <c r="C8130" s="26"/>
      <c r="D8130" s="26"/>
      <c r="E8130" s="26"/>
      <c r="F8130" s="26"/>
      <c r="G8130" s="26"/>
      <c r="H8130" s="26"/>
      <c r="I8130" s="26"/>
      <c r="J8130" s="26"/>
      <c r="K8130" s="26"/>
      <c r="L8130" s="26"/>
      <c r="M8130" s="26"/>
      <c r="N8130" s="26"/>
      <c r="O8130" s="14" t="str">
        <f>HYPERLINK("https://otsuka-europe-crm.veevavault.com/ui/#object/email_activity__v/V8C00000004F015", "EN-002109856")</f>
        <v>EN-002109856</v>
      </c>
    </row>
    <row r="8131" spans="1:15" ht="16" x14ac:dyDescent="0.2">
      <c r="A8131" s="26"/>
      <c r="B8131" s="26"/>
      <c r="C8131" s="26"/>
      <c r="D8131" s="26"/>
      <c r="E8131" s="26"/>
      <c r="F8131" s="26"/>
      <c r="G8131" s="26"/>
      <c r="H8131" s="26"/>
      <c r="I8131" s="26"/>
      <c r="J8131" s="26"/>
      <c r="K8131" s="26"/>
      <c r="L8131" s="26"/>
      <c r="M8131" s="26"/>
      <c r="N8131" s="26"/>
      <c r="O8131" s="14" t="str">
        <f>HYPERLINK("https://otsuka-europe-crm.veevavault.com/ui/#object/email_activity__v/V8C00000004F030", "EN-002109878")</f>
        <v>EN-002109878</v>
      </c>
    </row>
    <row r="8132" spans="1:15" ht="16" x14ac:dyDescent="0.2">
      <c r="A8132" s="26"/>
      <c r="B8132" s="26"/>
      <c r="C8132" s="26"/>
      <c r="D8132" s="26"/>
      <c r="E8132" s="26"/>
      <c r="F8132" s="26"/>
      <c r="G8132" s="26"/>
      <c r="H8132" s="26"/>
      <c r="I8132" s="26"/>
      <c r="J8132" s="26"/>
      <c r="K8132" s="26"/>
      <c r="L8132" s="26"/>
      <c r="M8132" s="26"/>
      <c r="N8132" s="26"/>
      <c r="O8132" s="14" t="str">
        <f>HYPERLINK("https://otsuka-europe-crm.veevavault.com/ui/#object/email_activity__v/V8C00000004F502", "EN-002110948")</f>
        <v>EN-002110948</v>
      </c>
    </row>
    <row r="8133" spans="1:15" ht="16" x14ac:dyDescent="0.2">
      <c r="A8133" s="26"/>
      <c r="B8133" s="26"/>
      <c r="C8133" s="26"/>
      <c r="D8133" s="26"/>
      <c r="E8133" s="26"/>
      <c r="F8133" s="26"/>
      <c r="G8133" s="26"/>
      <c r="H8133" s="26"/>
      <c r="I8133" s="26"/>
      <c r="J8133" s="26"/>
      <c r="K8133" s="26"/>
      <c r="L8133" s="26"/>
      <c r="M8133" s="26"/>
      <c r="N8133" s="26"/>
      <c r="O8133" s="14" t="str">
        <f>HYPERLINK("https://otsuka-europe-crm.veevavault.com/ui/#object/email_activity__v/V8C00000004G051", "EN-002109846")</f>
        <v>EN-002109846</v>
      </c>
    </row>
    <row r="8134" spans="1:15" ht="16" x14ac:dyDescent="0.2">
      <c r="A8134" s="26"/>
      <c r="B8134" s="26"/>
      <c r="C8134" s="26"/>
      <c r="D8134" s="26"/>
      <c r="E8134" s="26"/>
      <c r="F8134" s="26"/>
      <c r="G8134" s="26"/>
      <c r="H8134" s="26"/>
      <c r="I8134" s="26"/>
      <c r="J8134" s="26"/>
      <c r="K8134" s="26"/>
      <c r="L8134" s="26"/>
      <c r="M8134" s="26"/>
      <c r="N8134" s="26"/>
      <c r="O8134" s="14" t="str">
        <f>HYPERLINK("https://otsuka-europe-crm.veevavault.com/ui/#object/email_activity__v/V8C00000004G053", "EN-002109848")</f>
        <v>EN-002109848</v>
      </c>
    </row>
    <row r="8135" spans="1:15" ht="16" x14ac:dyDescent="0.2">
      <c r="A8135" s="26"/>
      <c r="B8135" s="26"/>
      <c r="C8135" s="26"/>
      <c r="D8135" s="26"/>
      <c r="E8135" s="26"/>
      <c r="F8135" s="26"/>
      <c r="G8135" s="26"/>
      <c r="H8135" s="26"/>
      <c r="I8135" s="26"/>
      <c r="J8135" s="26"/>
      <c r="K8135" s="26"/>
      <c r="L8135" s="26"/>
      <c r="M8135" s="26"/>
      <c r="N8135" s="26"/>
      <c r="O8135" s="14" t="str">
        <f>HYPERLINK("https://otsuka-europe-crm.veevavault.com/ui/#object/email_activity__v/V8C00000004G060", "EN-002109870")</f>
        <v>EN-002109870</v>
      </c>
    </row>
    <row r="8136" spans="1:15" ht="16" x14ac:dyDescent="0.2">
      <c r="A8136" s="26"/>
      <c r="B8136" s="26"/>
      <c r="C8136" s="26"/>
      <c r="D8136" s="26"/>
      <c r="E8136" s="26"/>
      <c r="F8136" s="26"/>
      <c r="G8136" s="26"/>
      <c r="H8136" s="26"/>
      <c r="I8136" s="26"/>
      <c r="J8136" s="26"/>
      <c r="K8136" s="26"/>
      <c r="L8136" s="26"/>
      <c r="M8136" s="26"/>
      <c r="N8136" s="26"/>
      <c r="O8136" s="14" t="str">
        <f>HYPERLINK("https://otsuka-europe-crm.veevavault.com/ui/#object/email_activity__v/V8C00000004G537", "EN-002110688")</f>
        <v>EN-002110688</v>
      </c>
    </row>
    <row r="8137" spans="1:15" ht="16" x14ac:dyDescent="0.2">
      <c r="A8137" s="26"/>
      <c r="B8137" s="26"/>
      <c r="C8137" s="26"/>
      <c r="D8137" s="26"/>
      <c r="E8137" s="26"/>
      <c r="F8137" s="26"/>
      <c r="G8137" s="26"/>
      <c r="H8137" s="26"/>
      <c r="I8137" s="26"/>
      <c r="J8137" s="26"/>
      <c r="K8137" s="26"/>
      <c r="L8137" s="26"/>
      <c r="M8137" s="26"/>
      <c r="N8137" s="26"/>
      <c r="O8137" s="14" t="str">
        <f>HYPERLINK("https://otsuka-europe-crm.veevavault.com/ui/#object/email_activity__v/V8C00000004G564", "EN-002110733")</f>
        <v>EN-002110733</v>
      </c>
    </row>
    <row r="8138" spans="1:15" ht="16" x14ac:dyDescent="0.2">
      <c r="A8138" s="19"/>
      <c r="B8138" s="19"/>
      <c r="C8138" s="19"/>
      <c r="D8138" s="19"/>
      <c r="E8138" s="19"/>
      <c r="F8138" s="19"/>
      <c r="G8138" s="19"/>
      <c r="H8138" s="19"/>
      <c r="I8138" s="19"/>
      <c r="J8138" s="19"/>
      <c r="K8138" s="19"/>
      <c r="L8138" s="19"/>
      <c r="M8138" s="19"/>
      <c r="N8138" s="19"/>
      <c r="O8138" s="14" t="str">
        <f>HYPERLINK("https://otsuka-europe-crm.veevavault.com/ui/#object/email_activity__v/V8C00000004H223", "EN-002111325")</f>
        <v>EN-002111325</v>
      </c>
    </row>
    <row r="8139" spans="1:15" ht="16" x14ac:dyDescent="0.2">
      <c r="A8139" s="18" t="str">
        <f>HYPERLINK("https://otsuka-europe-crm.veevavault.com/ui/#object/account__v/V4TZ0000062T1WE", "Margarete Bodammer")</f>
        <v>Margarete Bodammer</v>
      </c>
      <c r="B8139" s="18" t="str">
        <f>HYPERLINK("https://otsuka-europe-crm.veevavault.com/ui/#object/vcountry__v/VENZ000004SONFP", "DE")</f>
        <v>DE</v>
      </c>
      <c r="C8139" s="20" t="s">
        <v>43</v>
      </c>
      <c r="D8139" s="21" t="str">
        <f>HYPERLINK("https://otsuka-europe-crm.veevavault.com/ui/#object/approved_document__v/V5O00000001Z005", "A2M_VAE zu CAMPUS_08.2026")</f>
        <v>A2M_VAE zu CAMPUS_08.2026</v>
      </c>
      <c r="E8139" s="22" t="str">
        <f>HYPERLINK("https://otsuka-europe-crm.veevavault.com/ui/#object/sent_email__v/VBL00000003G002", "SE-001448299")</f>
        <v>SE-001448299</v>
      </c>
      <c r="F8139" s="25">
        <v>46234.675810185188</v>
      </c>
      <c r="G8139" s="24">
        <v>1</v>
      </c>
      <c r="H8139" s="24">
        <v>3</v>
      </c>
      <c r="I8139" s="24">
        <v>0</v>
      </c>
      <c r="J8139" s="23"/>
      <c r="K8139" s="24">
        <v>0</v>
      </c>
      <c r="L8139" s="22" t="str">
        <f>HYPERLINK("https://otsuka-europe-crm.veevavault.com/ui/#object/approved_document__v/V5O00000001Z005", "A2M_VAE zu CAMPUS_08.2026")</f>
        <v>A2M_VAE zu CAMPUS_08.2026</v>
      </c>
      <c r="M8139" s="22" t="str">
        <f>HYPERLINK("mailto:sannowsky@crm.otsuka-europe.com", "sannowsky@crm.otsuka-europe.com")</f>
        <v>sannowsky@crm.otsuka-europe.com</v>
      </c>
      <c r="N8139" s="25">
        <v>46234.305138888885</v>
      </c>
      <c r="O8139" s="14" t="str">
        <f>HYPERLINK("https://otsuka-europe-crm.veevavault.com/ui/#object/email_activity__v/V8C00000004F422", "EN-002110811")</f>
        <v>EN-002110811</v>
      </c>
    </row>
    <row r="8140" spans="1:15" ht="16" x14ac:dyDescent="0.2">
      <c r="A8140" s="26"/>
      <c r="B8140" s="26"/>
      <c r="C8140" s="26"/>
      <c r="D8140" s="26"/>
      <c r="E8140" s="26"/>
      <c r="F8140" s="26"/>
      <c r="G8140" s="26"/>
      <c r="H8140" s="26"/>
      <c r="I8140" s="26"/>
      <c r="J8140" s="26"/>
      <c r="K8140" s="26"/>
      <c r="L8140" s="26"/>
      <c r="M8140" s="26"/>
      <c r="N8140" s="26"/>
      <c r="O8140" s="14" t="str">
        <f>HYPERLINK("https://otsuka-europe-crm.veevavault.com/ui/#object/email_activity__v/V8C00000004G052", "EN-002109847")</f>
        <v>EN-002109847</v>
      </c>
    </row>
    <row r="8141" spans="1:15" ht="16" x14ac:dyDescent="0.2">
      <c r="A8141" s="26"/>
      <c r="B8141" s="26"/>
      <c r="C8141" s="26"/>
      <c r="D8141" s="26"/>
      <c r="E8141" s="26"/>
      <c r="F8141" s="26"/>
      <c r="G8141" s="26"/>
      <c r="H8141" s="26"/>
      <c r="I8141" s="26"/>
      <c r="J8141" s="26"/>
      <c r="K8141" s="26"/>
      <c r="L8141" s="26"/>
      <c r="M8141" s="26"/>
      <c r="N8141" s="26"/>
      <c r="O8141" s="14" t="str">
        <f>HYPERLINK("https://otsuka-europe-crm.veevavault.com/ui/#object/email_activity__v/V8C00000004G054", "EN-002109849")</f>
        <v>EN-002109849</v>
      </c>
    </row>
    <row r="8142" spans="1:15" ht="16" x14ac:dyDescent="0.2">
      <c r="A8142" s="19"/>
      <c r="B8142" s="19"/>
      <c r="C8142" s="19"/>
      <c r="D8142" s="19"/>
      <c r="E8142" s="19"/>
      <c r="F8142" s="19"/>
      <c r="G8142" s="19"/>
      <c r="H8142" s="19"/>
      <c r="I8142" s="19"/>
      <c r="J8142" s="19"/>
      <c r="K8142" s="19"/>
      <c r="L8142" s="19"/>
      <c r="M8142" s="19"/>
      <c r="N8142" s="19"/>
      <c r="O8142" s="14" t="str">
        <f>HYPERLINK("https://otsuka-europe-crm.veevavault.com/ui/#object/email_activity__v/V8C00000004G606", "EN-002110812")</f>
        <v>EN-002110812</v>
      </c>
    </row>
    <row r="8143" spans="1:15" ht="16" x14ac:dyDescent="0.2">
      <c r="A8143" s="18" t="str">
        <f>HYPERLINK("https://otsuka-europe-crm.veevavault.com/ui/#object/account__v/V4TZ025E852N85C", "Sopio Cheishvili")</f>
        <v>Sopio Cheishvili</v>
      </c>
      <c r="B8143" s="18" t="str">
        <f>HYPERLINK("https://otsuka-europe-crm.veevavault.com/ui/#object/vcountry__v/VENZ000004SONFP", "DE")</f>
        <v>DE</v>
      </c>
      <c r="C8143" s="20" t="s">
        <v>43</v>
      </c>
      <c r="D8143" s="21" t="str">
        <f>HYPERLINK("https://otsuka-europe-crm.veevavault.com/ui/#object/approved_document__v/V5O00000001Z005", "A2M_VAE zu CAMPUS_08.2026")</f>
        <v>A2M_VAE zu CAMPUS_08.2026</v>
      </c>
      <c r="E8143" s="22" t="str">
        <f>HYPERLINK("https://otsuka-europe-crm.veevavault.com/ui/#object/sent_email__v/VBL00000003G003", "SE-001448300")</f>
        <v>SE-001448300</v>
      </c>
      <c r="F8143" s="23"/>
      <c r="G8143" s="24">
        <v>0</v>
      </c>
      <c r="H8143" s="24">
        <v>0</v>
      </c>
      <c r="I8143" s="24">
        <v>0</v>
      </c>
      <c r="J8143" s="23"/>
      <c r="K8143" s="24">
        <v>0</v>
      </c>
      <c r="L8143" s="22" t="str">
        <f>HYPERLINK("https://otsuka-europe-crm.veevavault.com/ui/#object/approved_document__v/V5O00000001Z005", "A2M_VAE zu CAMPUS_08.2026")</f>
        <v>A2M_VAE zu CAMPUS_08.2026</v>
      </c>
      <c r="M8143" s="22" t="str">
        <f>HYPERLINK("mailto:sannowsky@crm.otsuka-europe.com", "sannowsky@crm.otsuka-europe.com")</f>
        <v>sannowsky@crm.otsuka-europe.com</v>
      </c>
      <c r="N8143" s="25">
        <v>46234.305925925924</v>
      </c>
      <c r="O8143" s="14" t="str">
        <f>HYPERLINK("https://otsuka-europe-crm.veevavault.com/ui/#object/email_activity__v/V8C00000004G055", "EN-002109850")</f>
        <v>EN-002109850</v>
      </c>
    </row>
    <row r="8144" spans="1:15" ht="16" x14ac:dyDescent="0.2">
      <c r="A8144" s="26"/>
      <c r="B8144" s="26"/>
      <c r="C8144" s="26"/>
      <c r="D8144" s="26"/>
      <c r="E8144" s="26"/>
      <c r="F8144" s="26"/>
      <c r="G8144" s="26"/>
      <c r="H8144" s="26"/>
      <c r="I8144" s="26"/>
      <c r="J8144" s="26"/>
      <c r="K8144" s="26"/>
      <c r="L8144" s="26"/>
      <c r="M8144" s="26"/>
      <c r="N8144" s="26"/>
      <c r="O8144" s="14" t="str">
        <f>HYPERLINK("https://otsuka-europe-crm.veevavault.com/ui/#object/email_activity__v/V8C00000004G554", "EN-002110723")</f>
        <v>EN-002110723</v>
      </c>
    </row>
    <row r="8145" spans="1:15" ht="16" x14ac:dyDescent="0.2">
      <c r="A8145" s="19"/>
      <c r="B8145" s="19"/>
      <c r="C8145" s="19"/>
      <c r="D8145" s="19"/>
      <c r="E8145" s="19"/>
      <c r="F8145" s="19"/>
      <c r="G8145" s="19"/>
      <c r="H8145" s="19"/>
      <c r="I8145" s="19"/>
      <c r="J8145" s="19"/>
      <c r="K8145" s="19"/>
      <c r="L8145" s="19"/>
      <c r="M8145" s="19"/>
      <c r="N8145" s="19"/>
      <c r="O8145" s="14" t="str">
        <f>HYPERLINK("https://otsuka-europe-crm.veevavault.com/ui/#object/email_activity__v/V8C00000004I073", "EN-002111127")</f>
        <v>EN-002111127</v>
      </c>
    </row>
    <row r="8146" spans="1:15" ht="16" x14ac:dyDescent="0.2">
      <c r="A8146" s="18" t="str">
        <f>HYPERLINK("https://otsuka-europe-crm.veevavault.com/ui/#object/account__v/V4TZ0000062SYSL", "Christian Eberlein")</f>
        <v>Christian Eberlein</v>
      </c>
      <c r="B8146" s="18" t="str">
        <f>HYPERLINK("https://otsuka-europe-crm.veevavault.com/ui/#object/vcountry__v/VENZ000004SONFP", "DE")</f>
        <v>DE</v>
      </c>
      <c r="C8146" s="20" t="s">
        <v>43</v>
      </c>
      <c r="D8146" s="21" t="str">
        <f>HYPERLINK("https://otsuka-europe-crm.veevavault.com/ui/#object/approved_document__v/V5O00000001Z005", "A2M_VAE zu CAMPUS_08.2026")</f>
        <v>A2M_VAE zu CAMPUS_08.2026</v>
      </c>
      <c r="E8146" s="22" t="str">
        <f>HYPERLINK("https://otsuka-europe-crm.veevavault.com/ui/#object/sent_email__v/VBL00000003G004", "SE-001448301")</f>
        <v>SE-001448301</v>
      </c>
      <c r="F8146" s="23"/>
      <c r="G8146" s="24">
        <v>0</v>
      </c>
      <c r="H8146" s="24">
        <v>0</v>
      </c>
      <c r="I8146" s="24">
        <v>0</v>
      </c>
      <c r="J8146" s="23"/>
      <c r="K8146" s="24">
        <v>0</v>
      </c>
      <c r="L8146" s="22" t="str">
        <f>HYPERLINK("https://otsuka-europe-crm.veevavault.com/ui/#object/approved_document__v/V5O00000001Z005", "A2M_VAE zu CAMPUS_08.2026")</f>
        <v>A2M_VAE zu CAMPUS_08.2026</v>
      </c>
      <c r="M8146" s="22" t="str">
        <f>HYPERLINK("mailto:sannowsky@crm.otsuka-europe.com", "sannowsky@crm.otsuka-europe.com")</f>
        <v>sannowsky@crm.otsuka-europe.com</v>
      </c>
      <c r="N8146" s="25">
        <v>46234.306851851848</v>
      </c>
      <c r="O8146" s="14" t="str">
        <f>HYPERLINK("https://otsuka-europe-crm.veevavault.com/ui/#object/email_activity__v/V8C00000004F010", "EN-002109851")</f>
        <v>EN-002109851</v>
      </c>
    </row>
    <row r="8147" spans="1:15" ht="16" x14ac:dyDescent="0.2">
      <c r="A8147" s="26"/>
      <c r="B8147" s="26"/>
      <c r="C8147" s="26"/>
      <c r="D8147" s="26"/>
      <c r="E8147" s="26"/>
      <c r="F8147" s="26"/>
      <c r="G8147" s="26"/>
      <c r="H8147" s="26"/>
      <c r="I8147" s="26"/>
      <c r="J8147" s="26"/>
      <c r="K8147" s="26"/>
      <c r="L8147" s="26"/>
      <c r="M8147" s="26"/>
      <c r="N8147" s="26"/>
      <c r="O8147" s="14" t="str">
        <f>HYPERLINK("https://otsuka-europe-crm.veevavault.com/ui/#object/email_activity__v/V8C00000004F033", "EN-002109881")</f>
        <v>EN-002109881</v>
      </c>
    </row>
    <row r="8148" spans="1:15" ht="16" x14ac:dyDescent="0.2">
      <c r="A8148" s="19"/>
      <c r="B8148" s="19"/>
      <c r="C8148" s="19"/>
      <c r="D8148" s="19"/>
      <c r="E8148" s="19"/>
      <c r="F8148" s="19"/>
      <c r="G8148" s="19"/>
      <c r="H8148" s="19"/>
      <c r="I8148" s="19"/>
      <c r="J8148" s="19"/>
      <c r="K8148" s="19"/>
      <c r="L8148" s="19"/>
      <c r="M8148" s="19"/>
      <c r="N8148" s="19"/>
      <c r="O8148" s="14" t="str">
        <f>HYPERLINK("https://otsuka-europe-crm.veevavault.com/ui/#object/email_activity__v/V8C00000004F484", "EN-002110915")</f>
        <v>EN-002110915</v>
      </c>
    </row>
    <row r="8149" spans="1:15" ht="32" x14ac:dyDescent="0.2">
      <c r="A8149" s="7" t="str">
        <f>HYPERLINK("https://otsuka-europe-crm.veevavault.com/ui/#object/account__v/V4TZ06G6OCETZ17", "Konstantin Fritzsche")</f>
        <v>Konstantin Fritzsche</v>
      </c>
      <c r="B8149" s="7" t="str">
        <f>HYPERLINK("https://otsuka-europe-crm.veevavault.com/ui/#object/vcountry__v/VENZ000004SONFP", "DE")</f>
        <v>DE</v>
      </c>
      <c r="C8149" s="8" t="s">
        <v>43</v>
      </c>
      <c r="D8149" s="9" t="str">
        <f>HYPERLINK("https://otsuka-europe-crm.veevavault.com/ui/#object/approved_document__v/V5O00000001Z005", "A2M_VAE zu CAMPUS_08.2026")</f>
        <v>A2M_VAE zu CAMPUS_08.2026</v>
      </c>
      <c r="E8149" s="10" t="str">
        <f>HYPERLINK("https://otsuka-europe-crm.veevavault.com/ui/#object/sent_email__v/VBL00000003H001", "SE-001448302")</f>
        <v>SE-001448302</v>
      </c>
      <c r="F8149" s="11"/>
      <c r="G8149" s="12">
        <v>0</v>
      </c>
      <c r="H8149" s="12">
        <v>0</v>
      </c>
      <c r="I8149" s="12">
        <v>0</v>
      </c>
      <c r="J8149" s="11"/>
      <c r="K8149" s="12">
        <v>0</v>
      </c>
      <c r="L8149" s="10" t="str">
        <f>HYPERLINK("https://otsuka-europe-crm.veevavault.com/ui/#object/approved_document__v/V5O00000001Z005", "A2M_VAE zu CAMPUS_08.2026")</f>
        <v>A2M_VAE zu CAMPUS_08.2026</v>
      </c>
      <c r="M8149" s="10" t="str">
        <f>HYPERLINK("mailto:sannowsky@crm.otsuka-europe.com", "sannowsky@crm.otsuka-europe.com")</f>
        <v>sannowsky@crm.otsuka-europe.com</v>
      </c>
      <c r="N8149" s="13">
        <v>46234.312418981484</v>
      </c>
      <c r="O8149" s="14" t="str">
        <f>HYPERLINK("https://otsuka-europe-crm.veevavault.com/ui/#object/email_activity__v/V8C00000004F012", "EN-002109853")</f>
        <v>EN-002109853</v>
      </c>
    </row>
    <row r="8150" spans="1:15" ht="32" x14ac:dyDescent="0.2">
      <c r="A8150" s="7" t="str">
        <f>HYPERLINK("https://otsuka-europe-crm.veevavault.com/ui/#object/account__v/V4TZ0000062SZCI", "Velizar Gatev")</f>
        <v>Velizar Gatev</v>
      </c>
      <c r="B8150" s="7" t="str">
        <f>HYPERLINK("https://otsuka-europe-crm.veevavault.com/ui/#object/vcountry__v/VENZ000004SONFP", "DE")</f>
        <v>DE</v>
      </c>
      <c r="C8150" s="8" t="s">
        <v>43</v>
      </c>
      <c r="D8150" s="9" t="str">
        <f>HYPERLINK("https://otsuka-europe-crm.veevavault.com/ui/#object/approved_document__v/V5O00000001Z005", "A2M_VAE zu CAMPUS_08.2026")</f>
        <v>A2M_VAE zu CAMPUS_08.2026</v>
      </c>
      <c r="E8150" s="10" t="str">
        <f>HYPERLINK("https://otsuka-europe-crm.veevavault.com/ui/#object/sent_email__v/VBL00000003G005", "SE-001448303")</f>
        <v>SE-001448303</v>
      </c>
      <c r="F8150" s="11"/>
      <c r="G8150" s="12">
        <v>0</v>
      </c>
      <c r="H8150" s="12">
        <v>0</v>
      </c>
      <c r="I8150" s="12">
        <v>0</v>
      </c>
      <c r="J8150" s="11"/>
      <c r="K8150" s="12">
        <v>0</v>
      </c>
      <c r="L8150" s="10" t="str">
        <f>HYPERLINK("https://otsuka-europe-crm.veevavault.com/ui/#object/approved_document__v/V5O00000001Z005", "A2M_VAE zu CAMPUS_08.2026")</f>
        <v>A2M_VAE zu CAMPUS_08.2026</v>
      </c>
      <c r="M8150" s="10" t="str">
        <f>HYPERLINK("mailto:sannowsky@crm.otsuka-europe.com", "sannowsky@crm.otsuka-europe.com")</f>
        <v>sannowsky@crm.otsuka-europe.com</v>
      </c>
      <c r="N8150" s="13">
        <v>46234.312881944446</v>
      </c>
      <c r="O8150" s="14" t="str">
        <f>HYPERLINK("https://otsuka-europe-crm.veevavault.com/ui/#object/email_activity__v/V8C00000004F013", "EN-002109854")</f>
        <v>EN-002109854</v>
      </c>
    </row>
    <row r="8151" spans="1:15" ht="16" x14ac:dyDescent="0.2">
      <c r="A8151" s="18" t="str">
        <f>HYPERLINK("https://otsuka-europe-crm.veevavault.com/ui/#object/account__v/V4TZ0000062T27B", "Gerd Hanel")</f>
        <v>Gerd Hanel</v>
      </c>
      <c r="B8151" s="18" t="str">
        <f>HYPERLINK("https://otsuka-europe-crm.veevavault.com/ui/#object/vcountry__v/VENZ000004SONFP", "DE")</f>
        <v>DE</v>
      </c>
      <c r="C8151" s="20" t="s">
        <v>43</v>
      </c>
      <c r="D8151" s="21" t="str">
        <f>HYPERLINK("https://otsuka-europe-crm.veevavault.com/ui/#object/approved_document__v/V5O00000001Z005", "A2M_VAE zu CAMPUS_08.2026")</f>
        <v>A2M_VAE zu CAMPUS_08.2026</v>
      </c>
      <c r="E8151" s="22" t="str">
        <f>HYPERLINK("https://otsuka-europe-crm.veevavault.com/ui/#object/sent_email__v/VBL00000003G006", "SE-001448304")</f>
        <v>SE-001448304</v>
      </c>
      <c r="F8151" s="23"/>
      <c r="G8151" s="24">
        <v>0</v>
      </c>
      <c r="H8151" s="24">
        <v>0</v>
      </c>
      <c r="I8151" s="24">
        <v>0</v>
      </c>
      <c r="J8151" s="23"/>
      <c r="K8151" s="24">
        <v>0</v>
      </c>
      <c r="L8151" s="22" t="str">
        <f>HYPERLINK("https://otsuka-europe-crm.veevavault.com/ui/#object/approved_document__v/V5O00000001Z005", "A2M_VAE zu CAMPUS_08.2026")</f>
        <v>A2M_VAE zu CAMPUS_08.2026</v>
      </c>
      <c r="M8151" s="22" t="str">
        <f>HYPERLINK("mailto:sannowsky@crm.otsuka-europe.com", "sannowsky@crm.otsuka-europe.com")</f>
        <v>sannowsky@crm.otsuka-europe.com</v>
      </c>
      <c r="N8151" s="25">
        <v>46234.31322916667</v>
      </c>
      <c r="O8151" s="14" t="str">
        <f>HYPERLINK("https://otsuka-europe-crm.veevavault.com/ui/#object/email_activity__v/V8C00000004F014", "EN-002109855")</f>
        <v>EN-002109855</v>
      </c>
    </row>
    <row r="8152" spans="1:15" ht="16" x14ac:dyDescent="0.2">
      <c r="A8152" s="26"/>
      <c r="B8152" s="26"/>
      <c r="C8152" s="26"/>
      <c r="D8152" s="26"/>
      <c r="E8152" s="26"/>
      <c r="F8152" s="26"/>
      <c r="G8152" s="26"/>
      <c r="H8152" s="26"/>
      <c r="I8152" s="26"/>
      <c r="J8152" s="26"/>
      <c r="K8152" s="26"/>
      <c r="L8152" s="26"/>
      <c r="M8152" s="26"/>
      <c r="N8152" s="26"/>
      <c r="O8152" s="14" t="str">
        <f>HYPERLINK("https://otsuka-europe-crm.veevavault.com/ui/#object/email_activity__v/V8C00000004G599", "EN-002110790")</f>
        <v>EN-002110790</v>
      </c>
    </row>
    <row r="8153" spans="1:15" ht="16" x14ac:dyDescent="0.2">
      <c r="A8153" s="19"/>
      <c r="B8153" s="19"/>
      <c r="C8153" s="19"/>
      <c r="D8153" s="19"/>
      <c r="E8153" s="19"/>
      <c r="F8153" s="19"/>
      <c r="G8153" s="19"/>
      <c r="H8153" s="19"/>
      <c r="I8153" s="19"/>
      <c r="J8153" s="19"/>
      <c r="K8153" s="19"/>
      <c r="L8153" s="19"/>
      <c r="M8153" s="19"/>
      <c r="N8153" s="19"/>
      <c r="O8153" s="14" t="str">
        <f>HYPERLINK("https://otsuka-europe-crm.veevavault.com/ui/#object/email_activity__v/V8C00000004G618", "EN-002110831")</f>
        <v>EN-002110831</v>
      </c>
    </row>
    <row r="8154" spans="1:15" ht="32" x14ac:dyDescent="0.2">
      <c r="A8154" s="7" t="str">
        <f>HYPERLINK("https://otsuka-europe-crm.veevavault.com/ui/#object/account__v/V4TZ025E847O086", "Julian Herrmann")</f>
        <v>Julian Herrmann</v>
      </c>
      <c r="B8154" s="7" t="str">
        <f>HYPERLINK("https://otsuka-europe-crm.veevavault.com/ui/#object/vcountry__v/VENZ000004SONFP", "DE")</f>
        <v>DE</v>
      </c>
      <c r="C8154" s="8" t="s">
        <v>43</v>
      </c>
      <c r="D8154" s="9" t="str">
        <f>HYPERLINK("https://otsuka-europe-crm.veevavault.com/ui/#object/approved_document__v/V5O00000001Z005", "A2M_VAE zu CAMPUS_08.2026")</f>
        <v>A2M_VAE zu CAMPUS_08.2026</v>
      </c>
      <c r="E8154" s="10" t="str">
        <f>HYPERLINK("https://otsuka-europe-crm.veevavault.com/ui/#object/sent_email__v/VBL00000003G007", "SE-001448305")</f>
        <v>SE-001448305</v>
      </c>
      <c r="F8154" s="11"/>
      <c r="G8154" s="12">
        <v>0</v>
      </c>
      <c r="H8154" s="12">
        <v>0</v>
      </c>
      <c r="I8154" s="12">
        <v>0</v>
      </c>
      <c r="J8154" s="11"/>
      <c r="K8154" s="12">
        <v>0</v>
      </c>
      <c r="L8154" s="10" t="str">
        <f>HYPERLINK("https://otsuka-europe-crm.veevavault.com/ui/#object/approved_document__v/V5O00000001Z005", "A2M_VAE zu CAMPUS_08.2026")</f>
        <v>A2M_VAE zu CAMPUS_08.2026</v>
      </c>
      <c r="M8154" s="10" t="str">
        <f>HYPERLINK("mailto:sannowsky@crm.otsuka-europe.com", "sannowsky@crm.otsuka-europe.com")</f>
        <v>sannowsky@crm.otsuka-europe.com</v>
      </c>
      <c r="N8154" s="13">
        <v>46234.313923611109</v>
      </c>
      <c r="O8154" s="14" t="str">
        <f>HYPERLINK("https://otsuka-europe-crm.veevavault.com/ui/#object/email_activity__v/V8C00000004F016", "EN-002109857")</f>
        <v>EN-002109857</v>
      </c>
    </row>
    <row r="8155" spans="1:15" ht="32" x14ac:dyDescent="0.2">
      <c r="A8155" s="7" t="str">
        <f>HYPERLINK("https://otsuka-europe-crm.veevavault.com/ui/#object/account__v/V4TZ0000062T11Z", "Anne Hettrich")</f>
        <v>Anne Hettrich</v>
      </c>
      <c r="B8155" s="7" t="str">
        <f>HYPERLINK("https://otsuka-europe-crm.veevavault.com/ui/#object/vcountry__v/VENZ000004SONFP", "DE")</f>
        <v>DE</v>
      </c>
      <c r="C8155" s="8" t="s">
        <v>43</v>
      </c>
      <c r="D8155" s="9" t="str">
        <f>HYPERLINK("https://otsuka-europe-crm.veevavault.com/ui/#object/approved_document__v/V5O00000001Z005", "A2M_VAE zu CAMPUS_08.2026")</f>
        <v>A2M_VAE zu CAMPUS_08.2026</v>
      </c>
      <c r="E8155" s="10" t="str">
        <f>HYPERLINK("https://otsuka-europe-crm.veevavault.com/ui/#object/sent_email__v/VBL00000003G008", "SE-001448306")</f>
        <v>SE-001448306</v>
      </c>
      <c r="F8155" s="11"/>
      <c r="G8155" s="12">
        <v>0</v>
      </c>
      <c r="H8155" s="12">
        <v>0</v>
      </c>
      <c r="I8155" s="12">
        <v>0</v>
      </c>
      <c r="J8155" s="11"/>
      <c r="K8155" s="12">
        <v>0</v>
      </c>
      <c r="L8155" s="10" t="str">
        <f>HYPERLINK("https://otsuka-europe-crm.veevavault.com/ui/#object/approved_document__v/V5O00000001Z005", "A2M_VAE zu CAMPUS_08.2026")</f>
        <v>A2M_VAE zu CAMPUS_08.2026</v>
      </c>
      <c r="M8155" s="10" t="str">
        <f>HYPERLINK("mailto:sannowsky@crm.otsuka-europe.com", "sannowsky@crm.otsuka-europe.com")</f>
        <v>sannowsky@crm.otsuka-europe.com</v>
      </c>
      <c r="N8155" s="13">
        <v>46234.314270833333</v>
      </c>
      <c r="O8155" s="14" t="str">
        <f>HYPERLINK("https://otsuka-europe-crm.veevavault.com/ui/#object/email_activity__v/V8C00000004F017", "EN-002109858")</f>
        <v>EN-002109858</v>
      </c>
    </row>
    <row r="8156" spans="1:15" ht="16" x14ac:dyDescent="0.2">
      <c r="A8156" s="18" t="str">
        <f>HYPERLINK("https://otsuka-europe-crm.veevavault.com/ui/#object/account__v/V4TZ04ASG84ZZI2", "Daniela Ivanyi")</f>
        <v>Daniela Ivanyi</v>
      </c>
      <c r="B8156" s="18" t="str">
        <f>HYPERLINK("https://otsuka-europe-crm.veevavault.com/ui/#object/vcountry__v/VENZ000004SONFP", "DE")</f>
        <v>DE</v>
      </c>
      <c r="C8156" s="20" t="s">
        <v>43</v>
      </c>
      <c r="D8156" s="21" t="str">
        <f>HYPERLINK("https://otsuka-europe-crm.veevavault.com/ui/#object/approved_document__v/V5O00000001Z005", "A2M_VAE zu CAMPUS_08.2026")</f>
        <v>A2M_VAE zu CAMPUS_08.2026</v>
      </c>
      <c r="E8156" s="22" t="str">
        <f>HYPERLINK("https://otsuka-europe-crm.veevavault.com/ui/#object/sent_email__v/VBL00000003G009", "SE-001448307")</f>
        <v>SE-001448307</v>
      </c>
      <c r="F8156" s="23"/>
      <c r="G8156" s="24">
        <v>0</v>
      </c>
      <c r="H8156" s="24">
        <v>0</v>
      </c>
      <c r="I8156" s="24">
        <v>0</v>
      </c>
      <c r="J8156" s="23"/>
      <c r="K8156" s="24">
        <v>0</v>
      </c>
      <c r="L8156" s="22" t="str">
        <f>HYPERLINK("https://otsuka-europe-crm.veevavault.com/ui/#object/approved_document__v/V5O00000001Z005", "A2M_VAE zu CAMPUS_08.2026")</f>
        <v>A2M_VAE zu CAMPUS_08.2026</v>
      </c>
      <c r="M8156" s="22" t="str">
        <f>HYPERLINK("mailto:sannowsky@crm.otsuka-europe.com", "sannowsky@crm.otsuka-europe.com")</f>
        <v>sannowsky@crm.otsuka-europe.com</v>
      </c>
      <c r="N8156" s="25">
        <v>46234.314965277779</v>
      </c>
      <c r="O8156" s="14" t="str">
        <f>HYPERLINK("https://otsuka-europe-crm.veevavault.com/ui/#object/email_activity__v/V8C00000004F018", "EN-002109859")</f>
        <v>EN-002109859</v>
      </c>
    </row>
    <row r="8157" spans="1:15" ht="16" x14ac:dyDescent="0.2">
      <c r="A8157" s="19"/>
      <c r="B8157" s="19"/>
      <c r="C8157" s="19"/>
      <c r="D8157" s="19"/>
      <c r="E8157" s="19"/>
      <c r="F8157" s="19"/>
      <c r="G8157" s="19"/>
      <c r="H8157" s="19"/>
      <c r="I8157" s="19"/>
      <c r="J8157" s="19"/>
      <c r="K8157" s="19"/>
      <c r="L8157" s="19"/>
      <c r="M8157" s="19"/>
      <c r="N8157" s="19"/>
      <c r="O8157" s="14" t="str">
        <f>HYPERLINK("https://otsuka-europe-crm.veevavault.com/ui/#object/email_activity__v/V8C00000004G064", "EN-002109884")</f>
        <v>EN-002109884</v>
      </c>
    </row>
    <row r="8158" spans="1:15" ht="32" x14ac:dyDescent="0.2">
      <c r="A8158" s="7" t="str">
        <f>HYPERLINK("https://otsuka-europe-crm.veevavault.com/ui/#object/account__v/V4TZ0000062T5BH", "Ulrike Jaros")</f>
        <v>Ulrike Jaros</v>
      </c>
      <c r="B8158" s="7" t="str">
        <f t="shared" ref="B8158:B8167" si="303">HYPERLINK("https://otsuka-europe-crm.veevavault.com/ui/#object/vcountry__v/VENZ000004SONFP", "DE")</f>
        <v>DE</v>
      </c>
      <c r="C8158" s="8" t="s">
        <v>43</v>
      </c>
      <c r="D8158" s="9" t="str">
        <f t="shared" ref="D8158:D8167" si="304">HYPERLINK("https://otsuka-europe-crm.veevavault.com/ui/#object/approved_document__v/V5O00000001Z005", "A2M_VAE zu CAMPUS_08.2026")</f>
        <v>A2M_VAE zu CAMPUS_08.2026</v>
      </c>
      <c r="E8158" s="10" t="str">
        <f>HYPERLINK("https://otsuka-europe-crm.veevavault.com/ui/#object/sent_email__v/VBL00000003G010", "SE-001448308")</f>
        <v>SE-001448308</v>
      </c>
      <c r="F8158" s="11"/>
      <c r="G8158" s="12">
        <v>0</v>
      </c>
      <c r="H8158" s="12">
        <v>0</v>
      </c>
      <c r="I8158" s="12">
        <v>0</v>
      </c>
      <c r="J8158" s="11"/>
      <c r="K8158" s="12">
        <v>0</v>
      </c>
      <c r="L8158" s="10" t="str">
        <f t="shared" ref="L8158:L8167" si="305">HYPERLINK("https://otsuka-europe-crm.veevavault.com/ui/#object/approved_document__v/V5O00000001Z005", "A2M_VAE zu CAMPUS_08.2026")</f>
        <v>A2M_VAE zu CAMPUS_08.2026</v>
      </c>
      <c r="M8158" s="10" t="str">
        <f t="shared" ref="M8158:M8167" si="306">HYPERLINK("mailto:sannowsky@crm.otsuka-europe.com", "sannowsky@crm.otsuka-europe.com")</f>
        <v>sannowsky@crm.otsuka-europe.com</v>
      </c>
      <c r="N8158" s="13">
        <v>46234.315312500003</v>
      </c>
      <c r="O8158" s="14" t="str">
        <f>HYPERLINK("https://otsuka-europe-crm.veevavault.com/ui/#object/email_activity__v/V8C00000004F019", "EN-002109860")</f>
        <v>EN-002109860</v>
      </c>
    </row>
    <row r="8159" spans="1:15" ht="32" x14ac:dyDescent="0.2">
      <c r="A8159" s="7" t="str">
        <f>HYPERLINK("https://otsuka-europe-crm.veevavault.com/ui/#object/account__v/V4TZ0000062T06A", "Karina Kischkies")</f>
        <v>Karina Kischkies</v>
      </c>
      <c r="B8159" s="7" t="str">
        <f t="shared" si="303"/>
        <v>DE</v>
      </c>
      <c r="C8159" s="8" t="s">
        <v>43</v>
      </c>
      <c r="D8159" s="9" t="str">
        <f t="shared" si="304"/>
        <v>A2M_VAE zu CAMPUS_08.2026</v>
      </c>
      <c r="E8159" s="10" t="str">
        <f>HYPERLINK("https://otsuka-europe-crm.veevavault.com/ui/#object/sent_email__v/VBL00000003H002", "SE-001448309")</f>
        <v>SE-001448309</v>
      </c>
      <c r="F8159" s="11"/>
      <c r="G8159" s="12">
        <v>0</v>
      </c>
      <c r="H8159" s="12">
        <v>0</v>
      </c>
      <c r="I8159" s="12">
        <v>0</v>
      </c>
      <c r="J8159" s="11"/>
      <c r="K8159" s="12">
        <v>0</v>
      </c>
      <c r="L8159" s="10" t="str">
        <f t="shared" si="305"/>
        <v>A2M_VAE zu CAMPUS_08.2026</v>
      </c>
      <c r="M8159" s="10" t="str">
        <f t="shared" si="306"/>
        <v>sannowsky@crm.otsuka-europe.com</v>
      </c>
      <c r="N8159" s="13">
        <v>46234.316006944442</v>
      </c>
      <c r="O8159" s="14" t="str">
        <f>HYPERLINK("https://otsuka-europe-crm.veevavault.com/ui/#object/email_activity__v/V8C00000004F020", "EN-002109861")</f>
        <v>EN-002109861</v>
      </c>
    </row>
    <row r="8160" spans="1:15" ht="32" x14ac:dyDescent="0.2">
      <c r="A8160" s="7" t="str">
        <f>HYPERLINK("https://otsuka-europe-crm.veevavault.com/ui/#object/account__v/V4TZ0000062T69C", "Tillmann Krüger")</f>
        <v>Tillmann Krüger</v>
      </c>
      <c r="B8160" s="7" t="str">
        <f t="shared" si="303"/>
        <v>DE</v>
      </c>
      <c r="C8160" s="8" t="s">
        <v>43</v>
      </c>
      <c r="D8160" s="9" t="str">
        <f t="shared" si="304"/>
        <v>A2M_VAE zu CAMPUS_08.2026</v>
      </c>
      <c r="E8160" s="10" t="str">
        <f>HYPERLINK("https://otsuka-europe-crm.veevavault.com/ui/#object/sent_email__v/VBL00000003H003", "SE-001448310")</f>
        <v>SE-001448310</v>
      </c>
      <c r="F8160" s="11"/>
      <c r="G8160" s="12">
        <v>0</v>
      </c>
      <c r="H8160" s="12">
        <v>0</v>
      </c>
      <c r="I8160" s="12">
        <v>0</v>
      </c>
      <c r="J8160" s="11"/>
      <c r="K8160" s="12">
        <v>0</v>
      </c>
      <c r="L8160" s="10" t="str">
        <f t="shared" si="305"/>
        <v>A2M_VAE zu CAMPUS_08.2026</v>
      </c>
      <c r="M8160" s="10" t="str">
        <f t="shared" si="306"/>
        <v>sannowsky@crm.otsuka-europe.com</v>
      </c>
      <c r="N8160" s="13">
        <v>46234.317060185182</v>
      </c>
      <c r="O8160" s="14" t="str">
        <f>HYPERLINK("https://otsuka-europe-crm.veevavault.com/ui/#object/email_activity__v/V8C00000004G056", "EN-002109862")</f>
        <v>EN-002109862</v>
      </c>
    </row>
    <row r="8161" spans="1:15" ht="32" x14ac:dyDescent="0.2">
      <c r="A8161" s="7" t="str">
        <f>HYPERLINK("https://otsuka-europe-crm.veevavault.com/ui/#object/account__v/V4TZ0000062T6IL", "Frauke Langkopf")</f>
        <v>Frauke Langkopf</v>
      </c>
      <c r="B8161" s="7" t="str">
        <f t="shared" si="303"/>
        <v>DE</v>
      </c>
      <c r="C8161" s="8" t="s">
        <v>43</v>
      </c>
      <c r="D8161" s="9" t="str">
        <f t="shared" si="304"/>
        <v>A2M_VAE zu CAMPUS_08.2026</v>
      </c>
      <c r="E8161" s="10" t="str">
        <f>HYPERLINK("https://otsuka-europe-crm.veevavault.com/ui/#object/sent_email__v/VBL00000003H004", "SE-001448311")</f>
        <v>SE-001448311</v>
      </c>
      <c r="F8161" s="11"/>
      <c r="G8161" s="12">
        <v>0</v>
      </c>
      <c r="H8161" s="12">
        <v>0</v>
      </c>
      <c r="I8161" s="12">
        <v>0</v>
      </c>
      <c r="J8161" s="11"/>
      <c r="K8161" s="12">
        <v>0</v>
      </c>
      <c r="L8161" s="10" t="str">
        <f t="shared" si="305"/>
        <v>A2M_VAE zu CAMPUS_08.2026</v>
      </c>
      <c r="M8161" s="10" t="str">
        <f t="shared" si="306"/>
        <v>sannowsky@crm.otsuka-europe.com</v>
      </c>
      <c r="N8161" s="13">
        <v>46234.31758101852</v>
      </c>
      <c r="O8161" s="14" t="str">
        <f>HYPERLINK("https://otsuka-europe-crm.veevavault.com/ui/#object/email_activity__v/V8C00000004F021", "EN-002109863")</f>
        <v>EN-002109863</v>
      </c>
    </row>
    <row r="8162" spans="1:15" ht="32" x14ac:dyDescent="0.2">
      <c r="A8162" s="7" t="str">
        <f>HYPERLINK("https://otsuka-europe-crm.veevavault.com/ui/#object/account__v/V4TZ0000062T7A2", "Ulrich Mohr")</f>
        <v>Ulrich Mohr</v>
      </c>
      <c r="B8162" s="7" t="str">
        <f t="shared" si="303"/>
        <v>DE</v>
      </c>
      <c r="C8162" s="8" t="s">
        <v>43</v>
      </c>
      <c r="D8162" s="9" t="str">
        <f t="shared" si="304"/>
        <v>A2M_VAE zu CAMPUS_08.2026</v>
      </c>
      <c r="E8162" s="10" t="str">
        <f>HYPERLINK("https://otsuka-europe-crm.veevavault.com/ui/#object/sent_email__v/VBL00000003H005", "SE-001448312")</f>
        <v>SE-001448312</v>
      </c>
      <c r="F8162" s="11"/>
      <c r="G8162" s="12">
        <v>0</v>
      </c>
      <c r="H8162" s="12">
        <v>0</v>
      </c>
      <c r="I8162" s="12">
        <v>0</v>
      </c>
      <c r="J8162" s="11"/>
      <c r="K8162" s="12">
        <v>0</v>
      </c>
      <c r="L8162" s="10" t="str">
        <f t="shared" si="305"/>
        <v>A2M_VAE zu CAMPUS_08.2026</v>
      </c>
      <c r="M8162" s="10" t="str">
        <f t="shared" si="306"/>
        <v>sannowsky@crm.otsuka-europe.com</v>
      </c>
      <c r="N8162" s="13">
        <v>46234.31827546296</v>
      </c>
      <c r="O8162" s="14" t="str">
        <f>HYPERLINK("https://otsuka-europe-crm.veevavault.com/ui/#object/email_activity__v/V8C00000004F022", "EN-002109864")</f>
        <v>EN-002109864</v>
      </c>
    </row>
    <row r="8163" spans="1:15" ht="32" x14ac:dyDescent="0.2">
      <c r="A8163" s="7" t="str">
        <f>HYPERLINK("https://otsuka-europe-crm.veevavault.com/ui/#object/account__v/V4TZ0000062T7T8", "Jacek Olejniczak")</f>
        <v>Jacek Olejniczak</v>
      </c>
      <c r="B8163" s="7" t="str">
        <f t="shared" si="303"/>
        <v>DE</v>
      </c>
      <c r="C8163" s="8" t="s">
        <v>43</v>
      </c>
      <c r="D8163" s="9" t="str">
        <f t="shared" si="304"/>
        <v>A2M_VAE zu CAMPUS_08.2026</v>
      </c>
      <c r="E8163" s="10" t="str">
        <f>HYPERLINK("https://otsuka-europe-crm.veevavault.com/ui/#object/sent_email__v/VBL00000003H006", "SE-001448313")</f>
        <v>SE-001448313</v>
      </c>
      <c r="F8163" s="11"/>
      <c r="G8163" s="12">
        <v>0</v>
      </c>
      <c r="H8163" s="12">
        <v>0</v>
      </c>
      <c r="I8163" s="12">
        <v>0</v>
      </c>
      <c r="J8163" s="11"/>
      <c r="K8163" s="12">
        <v>0</v>
      </c>
      <c r="L8163" s="10" t="str">
        <f t="shared" si="305"/>
        <v>A2M_VAE zu CAMPUS_08.2026</v>
      </c>
      <c r="M8163" s="10" t="str">
        <f t="shared" si="306"/>
        <v>sannowsky@crm.otsuka-europe.com</v>
      </c>
      <c r="N8163" s="13">
        <v>46234.318796296298</v>
      </c>
      <c r="O8163" s="14" t="str">
        <f>HYPERLINK("https://otsuka-europe-crm.veevavault.com/ui/#object/email_activity__v/V8C00000004F023", "EN-002109865")</f>
        <v>EN-002109865</v>
      </c>
    </row>
    <row r="8164" spans="1:15" ht="32" x14ac:dyDescent="0.2">
      <c r="A8164" s="7" t="str">
        <f>HYPERLINK("https://otsuka-europe-crm.veevavault.com/ui/#object/account__v/V4TZ00000634UF1", "Huriye Özalp")</f>
        <v>Huriye Özalp</v>
      </c>
      <c r="B8164" s="7" t="str">
        <f t="shared" si="303"/>
        <v>DE</v>
      </c>
      <c r="C8164" s="8" t="s">
        <v>43</v>
      </c>
      <c r="D8164" s="9" t="str">
        <f t="shared" si="304"/>
        <v>A2M_VAE zu CAMPUS_08.2026</v>
      </c>
      <c r="E8164" s="10" t="str">
        <f>HYPERLINK("https://otsuka-europe-crm.veevavault.com/ui/#object/sent_email__v/VBL00000003G011", "SE-001448314")</f>
        <v>SE-001448314</v>
      </c>
      <c r="F8164" s="11"/>
      <c r="G8164" s="12">
        <v>0</v>
      </c>
      <c r="H8164" s="12">
        <v>0</v>
      </c>
      <c r="I8164" s="12">
        <v>0</v>
      </c>
      <c r="J8164" s="11"/>
      <c r="K8164" s="12">
        <v>0</v>
      </c>
      <c r="L8164" s="10" t="str">
        <f t="shared" si="305"/>
        <v>A2M_VAE zu CAMPUS_08.2026</v>
      </c>
      <c r="M8164" s="10" t="str">
        <f t="shared" si="306"/>
        <v>sannowsky@crm.otsuka-europe.com</v>
      </c>
      <c r="N8164" s="13">
        <v>46234.31931712963</v>
      </c>
      <c r="O8164" s="14" t="str">
        <f>HYPERLINK("https://otsuka-europe-crm.veevavault.com/ui/#object/email_activity__v/V8C00000004F024", "EN-002109866")</f>
        <v>EN-002109866</v>
      </c>
    </row>
    <row r="8165" spans="1:15" ht="32" x14ac:dyDescent="0.2">
      <c r="A8165" s="7" t="str">
        <f>HYPERLINK("https://otsuka-europe-crm.veevavault.com/ui/#object/account__v/V4TZ0000062T9BM", "Martina Roempler")</f>
        <v>Martina Roempler</v>
      </c>
      <c r="B8165" s="7" t="str">
        <f t="shared" si="303"/>
        <v>DE</v>
      </c>
      <c r="C8165" s="8" t="s">
        <v>43</v>
      </c>
      <c r="D8165" s="9" t="str">
        <f t="shared" si="304"/>
        <v>A2M_VAE zu CAMPUS_08.2026</v>
      </c>
      <c r="E8165" s="10" t="str">
        <f>HYPERLINK("https://otsuka-europe-crm.veevavault.com/ui/#object/sent_email__v/VBL00000003G012", "SE-001448315")</f>
        <v>SE-001448315</v>
      </c>
      <c r="F8165" s="11"/>
      <c r="G8165" s="12">
        <v>0</v>
      </c>
      <c r="H8165" s="12">
        <v>0</v>
      </c>
      <c r="I8165" s="12">
        <v>0</v>
      </c>
      <c r="J8165" s="11"/>
      <c r="K8165" s="12">
        <v>0</v>
      </c>
      <c r="L8165" s="10" t="str">
        <f t="shared" si="305"/>
        <v>A2M_VAE zu CAMPUS_08.2026</v>
      </c>
      <c r="M8165" s="10" t="str">
        <f t="shared" si="306"/>
        <v>sannowsky@crm.otsuka-europe.com</v>
      </c>
      <c r="N8165" s="13">
        <v>46234.320543981485</v>
      </c>
      <c r="O8165" s="14" t="str">
        <f>HYPERLINK("https://otsuka-europe-crm.veevavault.com/ui/#object/email_activity__v/V8C00000004G057", "EN-002109867")</f>
        <v>EN-002109867</v>
      </c>
    </row>
    <row r="8166" spans="1:15" ht="32" x14ac:dyDescent="0.2">
      <c r="A8166" s="7" t="str">
        <f>HYPERLINK("https://otsuka-europe-crm.veevavault.com/ui/#object/account__v/V4TZ06G6OBI635P", "Fariba Sadollahi")</f>
        <v>Fariba Sadollahi</v>
      </c>
      <c r="B8166" s="7" t="str">
        <f t="shared" si="303"/>
        <v>DE</v>
      </c>
      <c r="C8166" s="8" t="s">
        <v>43</v>
      </c>
      <c r="D8166" s="9" t="str">
        <f t="shared" si="304"/>
        <v>A2M_VAE zu CAMPUS_08.2026</v>
      </c>
      <c r="E8166" s="10" t="str">
        <f>HYPERLINK("https://otsuka-europe-crm.veevavault.com/ui/#object/sent_email__v/VBL00000003G013", "SE-001448316")</f>
        <v>SE-001448316</v>
      </c>
      <c r="F8166" s="11"/>
      <c r="G8166" s="12">
        <v>0</v>
      </c>
      <c r="H8166" s="12">
        <v>0</v>
      </c>
      <c r="I8166" s="12">
        <v>0</v>
      </c>
      <c r="J8166" s="11"/>
      <c r="K8166" s="12">
        <v>0</v>
      </c>
      <c r="L8166" s="10" t="str">
        <f t="shared" si="305"/>
        <v>A2M_VAE zu CAMPUS_08.2026</v>
      </c>
      <c r="M8166" s="10" t="str">
        <f t="shared" si="306"/>
        <v>sannowsky@crm.otsuka-europe.com</v>
      </c>
      <c r="N8166" s="13">
        <v>46234.320879629631</v>
      </c>
      <c r="O8166" s="14" t="str">
        <f>HYPERLINK("https://otsuka-europe-crm.veevavault.com/ui/#object/email_activity__v/V8C00000004G058", "EN-002109868")</f>
        <v>EN-002109868</v>
      </c>
    </row>
    <row r="8167" spans="1:15" ht="32" x14ac:dyDescent="0.2">
      <c r="A8167" s="7" t="str">
        <f>HYPERLINK("https://otsuka-europe-crm.veevavault.com/ui/#object/account__v/V4TZ0000062T4M3", "Hagen-Torsten Schmidt")</f>
        <v>Hagen-Torsten Schmidt</v>
      </c>
      <c r="B8167" s="7" t="str">
        <f t="shared" si="303"/>
        <v>DE</v>
      </c>
      <c r="C8167" s="8" t="s">
        <v>43</v>
      </c>
      <c r="D8167" s="9" t="str">
        <f t="shared" si="304"/>
        <v>A2M_VAE zu CAMPUS_08.2026</v>
      </c>
      <c r="E8167" s="10" t="str">
        <f>HYPERLINK("https://otsuka-europe-crm.veevavault.com/ui/#object/sent_email__v/VBL00000003G014", "SE-001448317")</f>
        <v>SE-001448317</v>
      </c>
      <c r="F8167" s="11"/>
      <c r="G8167" s="12">
        <v>0</v>
      </c>
      <c r="H8167" s="12">
        <v>0</v>
      </c>
      <c r="I8167" s="12">
        <v>0</v>
      </c>
      <c r="J8167" s="11"/>
      <c r="K8167" s="12">
        <v>0</v>
      </c>
      <c r="L8167" s="10" t="str">
        <f t="shared" si="305"/>
        <v>A2M_VAE zu CAMPUS_08.2026</v>
      </c>
      <c r="M8167" s="10" t="str">
        <f t="shared" si="306"/>
        <v>sannowsky@crm.otsuka-europe.com</v>
      </c>
      <c r="N8167" s="13">
        <v>46234.321261574078</v>
      </c>
      <c r="O8167" s="14" t="str">
        <f>HYPERLINK("https://otsuka-europe-crm.veevavault.com/ui/#object/email_activity__v/V8C00000004G059", "EN-002109869")</f>
        <v>EN-002109869</v>
      </c>
    </row>
    <row r="8168" spans="1:15" ht="16" x14ac:dyDescent="0.2">
      <c r="A8168" s="18" t="str">
        <f>HYPERLINK("https://otsuka-europe-crm.veevavault.com/ui/#object/account__v/V4T00000002K001", "ALEJANDRO ELVIRA RODRIGUEZ")</f>
        <v>ALEJANDRO ELVIRA RODRIGUEZ</v>
      </c>
      <c r="B8168" s="18" t="str">
        <f>HYPERLINK("https://otsuka-europe-crm.veevavault.com/ui/#object/vcountry__v/VENZ000004SONF5", "ES")</f>
        <v>ES</v>
      </c>
      <c r="C8168" s="20" t="s">
        <v>39</v>
      </c>
      <c r="D8168" s="21" t="str">
        <f>HYPERLINK("https://otsuka-europe-crm.veevavault.com/ui/#object/approved_document__v/V5OZ06G6O6RFL1P", "ES Veeva Privacy Notice Email")</f>
        <v>ES Veeva Privacy Notice Email</v>
      </c>
      <c r="E8168" s="22" t="str">
        <f>HYPERLINK("https://otsuka-europe-crm.veevavault.com/ui/#object/sent_email__v/VBL00000003G015", "SE-001448318")</f>
        <v>SE-001448318</v>
      </c>
      <c r="F8168" s="25">
        <v>46234.331863425927</v>
      </c>
      <c r="G8168" s="24">
        <v>1</v>
      </c>
      <c r="H8168" s="24">
        <v>1</v>
      </c>
      <c r="I8168" s="24">
        <v>0</v>
      </c>
      <c r="J8168" s="23"/>
      <c r="K8168" s="24">
        <v>0</v>
      </c>
      <c r="L8168" s="22" t="str">
        <f>HYPERLINK("https://otsuka-europe-crm.veevavault.com/ui/#object/approved_document__v/V5OZ06G6O6RFL1P", "ES Veeva Privacy Notice Email")</f>
        <v>ES Veeva Privacy Notice Email</v>
      </c>
      <c r="M8168" s="22" t="str">
        <f>HYPERLINK("mailto:cmaroto@crm.otsuka-europe.com", "cmaroto@crm.otsuka-europe.com")</f>
        <v>cmaroto@crm.otsuka-europe.com</v>
      </c>
      <c r="N8168" s="25">
        <v>46234.321932870371</v>
      </c>
      <c r="O8168" s="14" t="str">
        <f>HYPERLINK("https://otsuka-europe-crm.veevavault.com/ui/#object/email_activity__v/V8C00000004F025", "EN-002109871")</f>
        <v>EN-002109871</v>
      </c>
    </row>
    <row r="8169" spans="1:15" ht="16" x14ac:dyDescent="0.2">
      <c r="A8169" s="19"/>
      <c r="B8169" s="19"/>
      <c r="C8169" s="19"/>
      <c r="D8169" s="19"/>
      <c r="E8169" s="19"/>
      <c r="F8169" s="19"/>
      <c r="G8169" s="19"/>
      <c r="H8169" s="19"/>
      <c r="I8169" s="19"/>
      <c r="J8169" s="19"/>
      <c r="K8169" s="19"/>
      <c r="L8169" s="19"/>
      <c r="M8169" s="19"/>
      <c r="N8169" s="19"/>
      <c r="O8169" s="14" t="str">
        <f>HYPERLINK("https://otsuka-europe-crm.veevavault.com/ui/#object/email_activity__v/V8C00000004G063", "EN-002109883")</f>
        <v>EN-002109883</v>
      </c>
    </row>
    <row r="8170" spans="1:15" ht="32" x14ac:dyDescent="0.2">
      <c r="A8170" s="7" t="str">
        <f>HYPERLINK("https://otsuka-europe-crm.veevavault.com/ui/#object/account__v/V4TZ025E82AOTXQ", "Karina Shvets")</f>
        <v>Karina Shvets</v>
      </c>
      <c r="B8170" s="7" t="str">
        <f>HYPERLINK("https://otsuka-europe-crm.veevavault.com/ui/#object/vcountry__v/VENZ000004SONFP", "DE")</f>
        <v>DE</v>
      </c>
      <c r="C8170" s="8" t="s">
        <v>43</v>
      </c>
      <c r="D8170" s="9" t="str">
        <f>HYPERLINK("https://otsuka-europe-crm.veevavault.com/ui/#object/approved_document__v/V5O00000001Z005", "A2M_VAE zu CAMPUS_08.2026")</f>
        <v>A2M_VAE zu CAMPUS_08.2026</v>
      </c>
      <c r="E8170" s="10" t="str">
        <f>HYPERLINK("https://otsuka-europe-crm.veevavault.com/ui/#object/sent_email__v/VBL00000003H007", "SE-001448319")</f>
        <v>SE-001448319</v>
      </c>
      <c r="F8170" s="11"/>
      <c r="G8170" s="12">
        <v>0</v>
      </c>
      <c r="H8170" s="12">
        <v>0</v>
      </c>
      <c r="I8170" s="12">
        <v>0</v>
      </c>
      <c r="J8170" s="11"/>
      <c r="K8170" s="12">
        <v>0</v>
      </c>
      <c r="L8170" s="10" t="str">
        <f>HYPERLINK("https://otsuka-europe-crm.veevavault.com/ui/#object/approved_document__v/V5O00000001Z005", "A2M_VAE zu CAMPUS_08.2026")</f>
        <v>A2M_VAE zu CAMPUS_08.2026</v>
      </c>
      <c r="M8170" s="10" t="str">
        <f>HYPERLINK("mailto:sannowsky@crm.otsuka-europe.com", "sannowsky@crm.otsuka-europe.com")</f>
        <v>sannowsky@crm.otsuka-europe.com</v>
      </c>
      <c r="N8170" s="13">
        <v>46234.322083333333</v>
      </c>
      <c r="O8170" s="14" t="str">
        <f>HYPERLINK("https://otsuka-europe-crm.veevavault.com/ui/#object/email_activity__v/V8C00000004G061", "EN-002109872")</f>
        <v>EN-002109872</v>
      </c>
    </row>
    <row r="8171" spans="1:15" ht="32" x14ac:dyDescent="0.2">
      <c r="A8171" s="7" t="str">
        <f>HYPERLINK("https://otsuka-europe-crm.veevavault.com/ui/#object/account__v/V4TZ0000062TA8D", "Ute Swoboda")</f>
        <v>Ute Swoboda</v>
      </c>
      <c r="B8171" s="7" t="str">
        <f>HYPERLINK("https://otsuka-europe-crm.veevavault.com/ui/#object/vcountry__v/VENZ000004SONFP", "DE")</f>
        <v>DE</v>
      </c>
      <c r="C8171" s="8" t="s">
        <v>43</v>
      </c>
      <c r="D8171" s="9" t="str">
        <f>HYPERLINK("https://otsuka-europe-crm.veevavault.com/ui/#object/approved_document__v/V5O00000001Z005", "A2M_VAE zu CAMPUS_08.2026")</f>
        <v>A2M_VAE zu CAMPUS_08.2026</v>
      </c>
      <c r="E8171" s="10" t="str">
        <f>HYPERLINK("https://otsuka-europe-crm.veevavault.com/ui/#object/sent_email__v/VBL00000003H008", "SE-001448320")</f>
        <v>SE-001448320</v>
      </c>
      <c r="F8171" s="11"/>
      <c r="G8171" s="12">
        <v>0</v>
      </c>
      <c r="H8171" s="12">
        <v>0</v>
      </c>
      <c r="I8171" s="12">
        <v>0</v>
      </c>
      <c r="J8171" s="11"/>
      <c r="K8171" s="12">
        <v>0</v>
      </c>
      <c r="L8171" s="10" t="str">
        <f>HYPERLINK("https://otsuka-europe-crm.veevavault.com/ui/#object/approved_document__v/V5O00000001Z005", "A2M_VAE zu CAMPUS_08.2026")</f>
        <v>A2M_VAE zu CAMPUS_08.2026</v>
      </c>
      <c r="M8171" s="10" t="str">
        <f>HYPERLINK("mailto:sannowsky@crm.otsuka-europe.com", "sannowsky@crm.otsuka-europe.com")</f>
        <v>sannowsky@crm.otsuka-europe.com</v>
      </c>
      <c r="N8171" s="13">
        <v>46234.32298611111</v>
      </c>
      <c r="O8171" s="14" t="str">
        <f>HYPERLINK("https://otsuka-europe-crm.veevavault.com/ui/#object/email_activity__v/V8C00000004F026", "EN-002109873")</f>
        <v>EN-002109873</v>
      </c>
    </row>
    <row r="8172" spans="1:15" ht="32" x14ac:dyDescent="0.2">
      <c r="A8172" s="7" t="str">
        <f>HYPERLINK("https://otsuka-europe-crm.veevavault.com/ui/#object/account__v/V4TZ06G6OBI6BUT", "Antke Tammen")</f>
        <v>Antke Tammen</v>
      </c>
      <c r="B8172" s="7" t="str">
        <f>HYPERLINK("https://otsuka-europe-crm.veevavault.com/ui/#object/vcountry__v/VENZ000004SONFP", "DE")</f>
        <v>DE</v>
      </c>
      <c r="C8172" s="8" t="s">
        <v>43</v>
      </c>
      <c r="D8172" s="9" t="str">
        <f>HYPERLINK("https://otsuka-europe-crm.veevavault.com/ui/#object/approved_document__v/V5O00000001Z005", "A2M_VAE zu CAMPUS_08.2026")</f>
        <v>A2M_VAE zu CAMPUS_08.2026</v>
      </c>
      <c r="E8172" s="10" t="str">
        <f>HYPERLINK("https://otsuka-europe-crm.veevavault.com/ui/#object/sent_email__v/VBL00000003H009", "SE-001448321")</f>
        <v>SE-001448321</v>
      </c>
      <c r="F8172" s="11"/>
      <c r="G8172" s="12">
        <v>0</v>
      </c>
      <c r="H8172" s="12">
        <v>0</v>
      </c>
      <c r="I8172" s="12">
        <v>0</v>
      </c>
      <c r="J8172" s="11"/>
      <c r="K8172" s="12">
        <v>0</v>
      </c>
      <c r="L8172" s="10" t="str">
        <f>HYPERLINK("https://otsuka-europe-crm.veevavault.com/ui/#object/approved_document__v/V5O00000001Z005", "A2M_VAE zu CAMPUS_08.2026")</f>
        <v>A2M_VAE zu CAMPUS_08.2026</v>
      </c>
      <c r="M8172" s="10" t="str">
        <f>HYPERLINK("mailto:sannowsky@crm.otsuka-europe.com", "sannowsky@crm.otsuka-europe.com")</f>
        <v>sannowsky@crm.otsuka-europe.com</v>
      </c>
      <c r="N8172" s="13">
        <v>46234.323321759257</v>
      </c>
      <c r="O8172" s="14" t="str">
        <f>HYPERLINK("https://otsuka-europe-crm.veevavault.com/ui/#object/email_activity__v/V8C00000004F027", "EN-002109874")</f>
        <v>EN-002109874</v>
      </c>
    </row>
    <row r="8173" spans="1:15" ht="16" x14ac:dyDescent="0.2">
      <c r="A8173" s="18" t="str">
        <f>HYPERLINK("https://otsuka-europe-crm.veevavault.com/ui/#object/account__v/V4TZ0000062TAHO", "Anke Tombrägel-Firla")</f>
        <v>Anke Tombrägel-Firla</v>
      </c>
      <c r="B8173" s="18" t="str">
        <f>HYPERLINK("https://otsuka-europe-crm.veevavault.com/ui/#object/vcountry__v/VENZ000004SONFP", "DE")</f>
        <v>DE</v>
      </c>
      <c r="C8173" s="20" t="s">
        <v>43</v>
      </c>
      <c r="D8173" s="21" t="str">
        <f>HYPERLINK("https://otsuka-europe-crm.veevavault.com/ui/#object/approved_document__v/V5O00000001Z005", "A2M_VAE zu CAMPUS_08.2026")</f>
        <v>A2M_VAE zu CAMPUS_08.2026</v>
      </c>
      <c r="E8173" s="22" t="str">
        <f>HYPERLINK("https://otsuka-europe-crm.veevavault.com/ui/#object/sent_email__v/VBL00000003H010", "SE-001448322")</f>
        <v>SE-001448322</v>
      </c>
      <c r="F8173" s="23"/>
      <c r="G8173" s="24">
        <v>0</v>
      </c>
      <c r="H8173" s="24">
        <v>0</v>
      </c>
      <c r="I8173" s="24">
        <v>0</v>
      </c>
      <c r="J8173" s="23"/>
      <c r="K8173" s="24">
        <v>0</v>
      </c>
      <c r="L8173" s="22" t="str">
        <f>HYPERLINK("https://otsuka-europe-crm.veevavault.com/ui/#object/approved_document__v/V5O00000001Z005", "A2M_VAE zu CAMPUS_08.2026")</f>
        <v>A2M_VAE zu CAMPUS_08.2026</v>
      </c>
      <c r="M8173" s="22" t="str">
        <f>HYPERLINK("mailto:sannowsky@crm.otsuka-europe.com", "sannowsky@crm.otsuka-europe.com")</f>
        <v>sannowsky@crm.otsuka-europe.com</v>
      </c>
      <c r="N8173" s="25">
        <v>46234.323657407411</v>
      </c>
      <c r="O8173" s="14" t="str">
        <f>HYPERLINK("https://otsuka-europe-crm.veevavault.com/ui/#object/email_activity__v/V8C00000004F028", "EN-002109875")</f>
        <v>EN-002109875</v>
      </c>
    </row>
    <row r="8174" spans="1:15" ht="16" x14ac:dyDescent="0.2">
      <c r="A8174" s="19"/>
      <c r="B8174" s="19"/>
      <c r="C8174" s="19"/>
      <c r="D8174" s="19"/>
      <c r="E8174" s="19"/>
      <c r="F8174" s="19"/>
      <c r="G8174" s="19"/>
      <c r="H8174" s="19"/>
      <c r="I8174" s="19"/>
      <c r="J8174" s="19"/>
      <c r="K8174" s="19"/>
      <c r="L8174" s="19"/>
      <c r="M8174" s="19"/>
      <c r="N8174" s="19"/>
      <c r="O8174" s="14" t="str">
        <f>HYPERLINK("https://otsuka-europe-crm.veevavault.com/ui/#object/email_activity__v/V8C00000004F129", "EN-002110066")</f>
        <v>EN-002110066</v>
      </c>
    </row>
    <row r="8175" spans="1:15" ht="16" x14ac:dyDescent="0.2">
      <c r="A8175" s="18" t="str">
        <f>HYPERLINK("https://otsuka-europe-crm.veevavault.com/ui/#object/account__v/V4TZ0000062TAFC", "Sermin Toto")</f>
        <v>Sermin Toto</v>
      </c>
      <c r="B8175" s="18" t="str">
        <f>HYPERLINK("https://otsuka-europe-crm.veevavault.com/ui/#object/vcountry__v/VENZ000004SONFP", "DE")</f>
        <v>DE</v>
      </c>
      <c r="C8175" s="20" t="s">
        <v>43</v>
      </c>
      <c r="D8175" s="21" t="str">
        <f>HYPERLINK("https://otsuka-europe-crm.veevavault.com/ui/#object/approved_document__v/V5O00000001Z005", "A2M_VAE zu CAMPUS_08.2026")</f>
        <v>A2M_VAE zu CAMPUS_08.2026</v>
      </c>
      <c r="E8175" s="22" t="str">
        <f>HYPERLINK("https://otsuka-europe-crm.veevavault.com/ui/#object/sent_email__v/VBL00000003G016", "SE-001448323")</f>
        <v>SE-001448323</v>
      </c>
      <c r="F8175" s="23"/>
      <c r="G8175" s="24">
        <v>0</v>
      </c>
      <c r="H8175" s="24">
        <v>0</v>
      </c>
      <c r="I8175" s="24">
        <v>0</v>
      </c>
      <c r="J8175" s="23"/>
      <c r="K8175" s="24">
        <v>0</v>
      </c>
      <c r="L8175" s="22" t="str">
        <f>HYPERLINK("https://otsuka-europe-crm.veevavault.com/ui/#object/approved_document__v/V5O00000001Z005", "A2M_VAE zu CAMPUS_08.2026")</f>
        <v>A2M_VAE zu CAMPUS_08.2026</v>
      </c>
      <c r="M8175" s="22" t="str">
        <f>HYPERLINK("mailto:sannowsky@crm.otsuka-europe.com", "sannowsky@crm.otsuka-europe.com")</f>
        <v>sannowsky@crm.otsuka-europe.com</v>
      </c>
      <c r="N8175" s="25">
        <v>46234.324895833335</v>
      </c>
      <c r="O8175" s="14" t="str">
        <f>HYPERLINK("https://otsuka-europe-crm.veevavault.com/ui/#object/email_activity__v/V8C00000004G062", "EN-002109876")</f>
        <v>EN-002109876</v>
      </c>
    </row>
    <row r="8176" spans="1:15" ht="16" x14ac:dyDescent="0.2">
      <c r="A8176" s="19"/>
      <c r="B8176" s="19"/>
      <c r="C8176" s="19"/>
      <c r="D8176" s="19"/>
      <c r="E8176" s="19"/>
      <c r="F8176" s="19"/>
      <c r="G8176" s="19"/>
      <c r="H8176" s="19"/>
      <c r="I8176" s="19"/>
      <c r="J8176" s="19"/>
      <c r="K8176" s="19"/>
      <c r="L8176" s="19"/>
      <c r="M8176" s="19"/>
      <c r="N8176" s="19"/>
      <c r="O8176" s="14" t="str">
        <f>HYPERLINK("https://otsuka-europe-crm.veevavault.com/ui/#object/email_activity__v/V8C00000004G150", "EN-002110052")</f>
        <v>EN-002110052</v>
      </c>
    </row>
    <row r="8177" spans="1:15" ht="16" x14ac:dyDescent="0.2">
      <c r="A8177" s="18" t="str">
        <f>HYPERLINK("https://otsuka-europe-crm.veevavault.com/ui/#object/account__v/V4TZ0000062T8YN", "Martina Vazna")</f>
        <v>Martina Vazna</v>
      </c>
      <c r="B8177" s="18" t="str">
        <f>HYPERLINK("https://otsuka-europe-crm.veevavault.com/ui/#object/vcountry__v/VENZ000004SONFP", "DE")</f>
        <v>DE</v>
      </c>
      <c r="C8177" s="20" t="s">
        <v>43</v>
      </c>
      <c r="D8177" s="21" t="str">
        <f>HYPERLINK("https://otsuka-europe-crm.veevavault.com/ui/#object/approved_document__v/V5O00000001Z005", "A2M_VAE zu CAMPUS_08.2026")</f>
        <v>A2M_VAE zu CAMPUS_08.2026</v>
      </c>
      <c r="E8177" s="22" t="str">
        <f>HYPERLINK("https://otsuka-europe-crm.veevavault.com/ui/#object/sent_email__v/VBL00000003G017", "SE-001448324")</f>
        <v>SE-001448324</v>
      </c>
      <c r="F8177" s="23"/>
      <c r="G8177" s="24">
        <v>0</v>
      </c>
      <c r="H8177" s="24">
        <v>0</v>
      </c>
      <c r="I8177" s="24">
        <v>0</v>
      </c>
      <c r="J8177" s="23"/>
      <c r="K8177" s="24">
        <v>0</v>
      </c>
      <c r="L8177" s="22" t="str">
        <f>HYPERLINK("https://otsuka-europe-crm.veevavault.com/ui/#object/approved_document__v/V5O00000001Z005", "A2M_VAE zu CAMPUS_08.2026")</f>
        <v>A2M_VAE zu CAMPUS_08.2026</v>
      </c>
      <c r="M8177" s="22" t="str">
        <f>HYPERLINK("mailto:sannowsky@crm.otsuka-europe.com", "sannowsky@crm.otsuka-europe.com")</f>
        <v>sannowsky@crm.otsuka-europe.com</v>
      </c>
      <c r="N8177" s="25">
        <v>46234.325590277775</v>
      </c>
      <c r="O8177" s="14" t="str">
        <f>HYPERLINK("https://otsuka-europe-crm.veevavault.com/ui/#object/email_activity__v/V8C00000004F029", "EN-002109877")</f>
        <v>EN-002109877</v>
      </c>
    </row>
    <row r="8178" spans="1:15" ht="16" x14ac:dyDescent="0.2">
      <c r="A8178" s="19"/>
      <c r="B8178" s="19"/>
      <c r="C8178" s="19"/>
      <c r="D8178" s="19"/>
      <c r="E8178" s="19"/>
      <c r="F8178" s="19"/>
      <c r="G8178" s="19"/>
      <c r="H8178" s="19"/>
      <c r="I8178" s="19"/>
      <c r="J8178" s="19"/>
      <c r="K8178" s="19"/>
      <c r="L8178" s="19"/>
      <c r="M8178" s="19"/>
      <c r="N8178" s="19"/>
      <c r="O8178" s="14" t="str">
        <f>HYPERLINK("https://otsuka-europe-crm.veevavault.com/ui/#object/email_activity__v/V8C00000004F499", "EN-002110944")</f>
        <v>EN-002110944</v>
      </c>
    </row>
    <row r="8179" spans="1:15" ht="32" x14ac:dyDescent="0.2">
      <c r="A8179" s="7" t="str">
        <f>HYPERLINK("https://otsuka-europe-crm.veevavault.com/ui/#object/account__v/V4TZ04ASGCD5ZDF", "Stefan Wendhof")</f>
        <v>Stefan Wendhof</v>
      </c>
      <c r="B8179" s="7" t="str">
        <f>HYPERLINK("https://otsuka-europe-crm.veevavault.com/ui/#object/vcountry__v/VENZ000004SONFP", "DE")</f>
        <v>DE</v>
      </c>
      <c r="C8179" s="8" t="s">
        <v>43</v>
      </c>
      <c r="D8179" s="9" t="str">
        <f>HYPERLINK("https://otsuka-europe-crm.veevavault.com/ui/#object/approved_document__v/V5O00000001Z005", "A2M_VAE zu CAMPUS_08.2026")</f>
        <v>A2M_VAE zu CAMPUS_08.2026</v>
      </c>
      <c r="E8179" s="10" t="str">
        <f>HYPERLINK("https://otsuka-europe-crm.veevavault.com/ui/#object/sent_email__v/VBL00000003H011", "SE-001448325")</f>
        <v>SE-001448325</v>
      </c>
      <c r="F8179" s="11"/>
      <c r="G8179" s="12">
        <v>0</v>
      </c>
      <c r="H8179" s="12">
        <v>0</v>
      </c>
      <c r="I8179" s="12">
        <v>0</v>
      </c>
      <c r="J8179" s="11"/>
      <c r="K8179" s="12">
        <v>0</v>
      </c>
      <c r="L8179" s="10" t="str">
        <f>HYPERLINK("https://otsuka-europe-crm.veevavault.com/ui/#object/approved_document__v/V5O00000001Z005", "A2M_VAE zu CAMPUS_08.2026")</f>
        <v>A2M_VAE zu CAMPUS_08.2026</v>
      </c>
      <c r="M8179" s="10" t="str">
        <f>HYPERLINK("mailto:sannowsky@crm.otsuka-europe.com", "sannowsky@crm.otsuka-europe.com")</f>
        <v>sannowsky@crm.otsuka-europe.com</v>
      </c>
      <c r="N8179" s="13">
        <v>46234.326099537036</v>
      </c>
      <c r="O8179" s="14" t="str">
        <f>HYPERLINK("https://otsuka-europe-crm.veevavault.com/ui/#object/email_activity__v/V8C00000004F031", "EN-002109879")</f>
        <v>EN-002109879</v>
      </c>
    </row>
    <row r="8180" spans="1:15" ht="32" x14ac:dyDescent="0.2">
      <c r="A8180" s="7" t="str">
        <f>HYPERLINK("https://otsuka-europe-crm.veevavault.com/ui/#object/account__v/V4TZ0000062TB83", "Stefan Zander")</f>
        <v>Stefan Zander</v>
      </c>
      <c r="B8180" s="7" t="str">
        <f>HYPERLINK("https://otsuka-europe-crm.veevavault.com/ui/#object/vcountry__v/VENZ000004SONFP", "DE")</f>
        <v>DE</v>
      </c>
      <c r="C8180" s="8" t="s">
        <v>43</v>
      </c>
      <c r="D8180" s="9" t="str">
        <f>HYPERLINK("https://otsuka-europe-crm.veevavault.com/ui/#object/approved_document__v/V5O00000001Z005", "A2M_VAE zu CAMPUS_08.2026")</f>
        <v>A2M_VAE zu CAMPUS_08.2026</v>
      </c>
      <c r="E8180" s="10" t="str">
        <f>HYPERLINK("https://otsuka-europe-crm.veevavault.com/ui/#object/sent_email__v/VBL00000003H012", "SE-001448326")</f>
        <v>SE-001448326</v>
      </c>
      <c r="F8180" s="11"/>
      <c r="G8180" s="12">
        <v>0</v>
      </c>
      <c r="H8180" s="12">
        <v>0</v>
      </c>
      <c r="I8180" s="12">
        <v>0</v>
      </c>
      <c r="J8180" s="11"/>
      <c r="K8180" s="12">
        <v>0</v>
      </c>
      <c r="L8180" s="10" t="str">
        <f>HYPERLINK("https://otsuka-europe-crm.veevavault.com/ui/#object/approved_document__v/V5O00000001Z005", "A2M_VAE zu CAMPUS_08.2026")</f>
        <v>A2M_VAE zu CAMPUS_08.2026</v>
      </c>
      <c r="M8180" s="10" t="str">
        <f>HYPERLINK("mailto:sannowsky@crm.otsuka-europe.com", "sannowsky@crm.otsuka-europe.com")</f>
        <v>sannowsky@crm.otsuka-europe.com</v>
      </c>
      <c r="N8180" s="13">
        <v>46234.326805555553</v>
      </c>
      <c r="O8180" s="14" t="str">
        <f>HYPERLINK("https://otsuka-europe-crm.veevavault.com/ui/#object/email_activity__v/V8C00000004F032", "EN-002109880")</f>
        <v>EN-002109880</v>
      </c>
    </row>
    <row r="8181" spans="1:15" ht="16" x14ac:dyDescent="0.2">
      <c r="A8181" s="18" t="str">
        <f>HYPERLINK("https://otsuka-europe-crm.veevavault.com/ui/#object/account__v/V4TZ0000062TB99", "Rolf Zimmermann")</f>
        <v>Rolf Zimmermann</v>
      </c>
      <c r="B8181" s="18" t="str">
        <f>HYPERLINK("https://otsuka-europe-crm.veevavault.com/ui/#object/vcountry__v/VENZ000004SONFP", "DE")</f>
        <v>DE</v>
      </c>
      <c r="C8181" s="20" t="s">
        <v>43</v>
      </c>
      <c r="D8181" s="21" t="str">
        <f>HYPERLINK("https://otsuka-europe-crm.veevavault.com/ui/#object/approved_document__v/V5O00000001Z005", "A2M_VAE zu CAMPUS_08.2026")</f>
        <v>A2M_VAE zu CAMPUS_08.2026</v>
      </c>
      <c r="E8181" s="22" t="str">
        <f>HYPERLINK("https://otsuka-europe-crm.veevavault.com/ui/#object/sent_email__v/VBL00000003G018", "SE-001448327")</f>
        <v>SE-001448327</v>
      </c>
      <c r="F8181" s="25">
        <v>46234.641527777778</v>
      </c>
      <c r="G8181" s="24">
        <v>1</v>
      </c>
      <c r="H8181" s="24">
        <v>4</v>
      </c>
      <c r="I8181" s="24">
        <v>0</v>
      </c>
      <c r="J8181" s="23"/>
      <c r="K8181" s="24">
        <v>0</v>
      </c>
      <c r="L8181" s="22" t="str">
        <f>HYPERLINK("https://otsuka-europe-crm.veevavault.com/ui/#object/approved_document__v/V5O00000001Z005", "A2M_VAE zu CAMPUS_08.2026")</f>
        <v>A2M_VAE zu CAMPUS_08.2026</v>
      </c>
      <c r="M8181" s="22" t="str">
        <f>HYPERLINK("mailto:sannowsky@crm.otsuka-europe.com", "sannowsky@crm.otsuka-europe.com")</f>
        <v>sannowsky@crm.otsuka-europe.com</v>
      </c>
      <c r="N8181" s="25">
        <v>46234.327314814815</v>
      </c>
      <c r="O8181" s="14" t="str">
        <f>HYPERLINK("https://otsuka-europe-crm.veevavault.com/ui/#object/email_activity__v/V8C00000004F034", "EN-002109882")</f>
        <v>EN-002109882</v>
      </c>
    </row>
    <row r="8182" spans="1:15" ht="16" x14ac:dyDescent="0.2">
      <c r="A8182" s="26"/>
      <c r="B8182" s="26"/>
      <c r="C8182" s="26"/>
      <c r="D8182" s="26"/>
      <c r="E8182" s="26"/>
      <c r="F8182" s="26"/>
      <c r="G8182" s="26"/>
      <c r="H8182" s="26"/>
      <c r="I8182" s="26"/>
      <c r="J8182" s="26"/>
      <c r="K8182" s="26"/>
      <c r="L8182" s="26"/>
      <c r="M8182" s="26"/>
      <c r="N8182" s="26"/>
      <c r="O8182" s="14" t="str">
        <f>HYPERLINK("https://otsuka-europe-crm.veevavault.com/ui/#object/email_activity__v/V8C00000004F362", "EN-002110674")</f>
        <v>EN-002110674</v>
      </c>
    </row>
    <row r="8183" spans="1:15" ht="16" x14ac:dyDescent="0.2">
      <c r="A8183" s="26"/>
      <c r="B8183" s="26"/>
      <c r="C8183" s="26"/>
      <c r="D8183" s="26"/>
      <c r="E8183" s="26"/>
      <c r="F8183" s="26"/>
      <c r="G8183" s="26"/>
      <c r="H8183" s="26"/>
      <c r="I8183" s="26"/>
      <c r="J8183" s="26"/>
      <c r="K8183" s="26"/>
      <c r="L8183" s="26"/>
      <c r="M8183" s="26"/>
      <c r="N8183" s="26"/>
      <c r="O8183" s="14" t="str">
        <f>HYPERLINK("https://otsuka-europe-crm.veevavault.com/ui/#object/email_activity__v/V8C00000004G526", "EN-002110673")</f>
        <v>EN-002110673</v>
      </c>
    </row>
    <row r="8184" spans="1:15" ht="16" x14ac:dyDescent="0.2">
      <c r="A8184" s="26"/>
      <c r="B8184" s="26"/>
      <c r="C8184" s="26"/>
      <c r="D8184" s="26"/>
      <c r="E8184" s="26"/>
      <c r="F8184" s="26"/>
      <c r="G8184" s="26"/>
      <c r="H8184" s="26"/>
      <c r="I8184" s="26"/>
      <c r="J8184" s="26"/>
      <c r="K8184" s="26"/>
      <c r="L8184" s="26"/>
      <c r="M8184" s="26"/>
      <c r="N8184" s="26"/>
      <c r="O8184" s="14" t="str">
        <f>HYPERLINK("https://otsuka-europe-crm.veevavault.com/ui/#object/email_activity__v/V8C00000004G601", "EN-002110794")</f>
        <v>EN-002110794</v>
      </c>
    </row>
    <row r="8185" spans="1:15" ht="16" x14ac:dyDescent="0.2">
      <c r="A8185" s="19"/>
      <c r="B8185" s="19"/>
      <c r="C8185" s="19"/>
      <c r="D8185" s="19"/>
      <c r="E8185" s="19"/>
      <c r="F8185" s="19"/>
      <c r="G8185" s="19"/>
      <c r="H8185" s="19"/>
      <c r="I8185" s="19"/>
      <c r="J8185" s="19"/>
      <c r="K8185" s="19"/>
      <c r="L8185" s="19"/>
      <c r="M8185" s="19"/>
      <c r="N8185" s="19"/>
      <c r="O8185" s="14" t="str">
        <f>HYPERLINK("https://otsuka-europe-crm.veevavault.com/ui/#object/email_activity__v/V8C00000004G602", "EN-002110795")</f>
        <v>EN-002110795</v>
      </c>
    </row>
    <row r="8186" spans="1:15" ht="16" x14ac:dyDescent="0.2">
      <c r="A8186" s="18" t="str">
        <f>HYPERLINK("https://otsuka-europe-crm.veevavault.com/ui/#object/account__v/V4TZ06G6O71T89Z", "CLARA PROVENZA TOMAS")</f>
        <v>CLARA PROVENZA TOMAS</v>
      </c>
      <c r="B8186" s="18" t="str">
        <f>HYPERLINK("https://otsuka-europe-crm.veevavault.com/ui/#object/vcountry__v/VENZ000004SONF5", "ES")</f>
        <v>ES</v>
      </c>
      <c r="C8186" s="20" t="s">
        <v>39</v>
      </c>
      <c r="D8186" s="21" t="str">
        <f>HYPERLINK("https://otsuka-europe-crm.veevavault.com/ui/#object/approved_document__v/V5O000000006001", "RXULTI - Comparativa antipsicóticos")</f>
        <v>RXULTI - Comparativa antipsicóticos</v>
      </c>
      <c r="E8186" s="22" t="str">
        <f>HYPERLINK("https://otsuka-europe-crm.veevavault.com/ui/#object/sent_email__v/VBL00000003H013", "SE-001448328")</f>
        <v>SE-001448328</v>
      </c>
      <c r="F8186" s="25">
        <v>46234.412708333337</v>
      </c>
      <c r="G8186" s="24">
        <v>1</v>
      </c>
      <c r="H8186" s="24">
        <v>1</v>
      </c>
      <c r="I8186" s="24">
        <v>0</v>
      </c>
      <c r="J8186" s="23"/>
      <c r="K8186" s="24">
        <v>0</v>
      </c>
      <c r="L8186" s="22" t="str">
        <f>HYPERLINK("https://otsuka-europe-crm.veevavault.com/ui/#object/approved_document__v/V5O000000006001", "RXULTI - Comparativa antipsicóticos")</f>
        <v>RXULTI - Comparativa antipsicóticos</v>
      </c>
      <c r="M8186" s="22" t="str">
        <f>HYPERLINK("mailto:jvillalain@crm.otsuka-europe.com", "jvillalain@crm.otsuka-europe.com")</f>
        <v>jvillalain@crm.otsuka-europe.com</v>
      </c>
      <c r="N8186" s="25">
        <v>46234.366319444445</v>
      </c>
      <c r="O8186" s="14" t="str">
        <f>HYPERLINK("https://otsuka-europe-crm.veevavault.com/ui/#object/email_activity__v/V8C00000004F137", "EN-002110076")</f>
        <v>EN-002110076</v>
      </c>
    </row>
    <row r="8187" spans="1:15" ht="16" x14ac:dyDescent="0.2">
      <c r="A8187" s="19"/>
      <c r="B8187" s="19"/>
      <c r="C8187" s="19"/>
      <c r="D8187" s="19"/>
      <c r="E8187" s="19"/>
      <c r="F8187" s="19"/>
      <c r="G8187" s="19"/>
      <c r="H8187" s="19"/>
      <c r="I8187" s="19"/>
      <c r="J8187" s="19"/>
      <c r="K8187" s="19"/>
      <c r="L8187" s="19"/>
      <c r="M8187" s="19"/>
      <c r="N8187" s="19"/>
      <c r="O8187" s="14" t="str">
        <f>HYPERLINK("https://otsuka-europe-crm.veevavault.com/ui/#object/email_activity__v/V8C00000004G115", "EN-002109998")</f>
        <v>EN-002109998</v>
      </c>
    </row>
    <row r="8188" spans="1:15" ht="32" x14ac:dyDescent="0.2">
      <c r="A8188" s="7" t="str">
        <f>HYPERLINK("https://otsuka-europe-crm.veevavault.com/ui/#object/account__v/V4TZ06G6O71T87L", "SOFIA GOMEZ SANCHEZ")</f>
        <v>SOFIA GOMEZ SANCHEZ</v>
      </c>
      <c r="B8188" s="7" t="str">
        <f>HYPERLINK("https://otsuka-europe-crm.veevavault.com/ui/#object/vcountry__v/VENZ000004SONF5", "ES")</f>
        <v>ES</v>
      </c>
      <c r="C8188" s="8" t="s">
        <v>39</v>
      </c>
      <c r="D8188" s="9" t="str">
        <f>HYPERLINK("https://otsuka-europe-crm.veevavault.com/ui/#object/approved_document__v/V5O000000006001", "RXULTI - Comparativa antipsicóticos")</f>
        <v>RXULTI - Comparativa antipsicóticos</v>
      </c>
      <c r="E8188" s="10" t="str">
        <f>HYPERLINK("https://otsuka-europe-crm.veevavault.com/ui/#object/sent_email__v/VBL00000003H014", "SE-001448329")</f>
        <v>SE-001448329</v>
      </c>
      <c r="F8188" s="11"/>
      <c r="G8188" s="12">
        <v>0</v>
      </c>
      <c r="H8188" s="12">
        <v>0</v>
      </c>
      <c r="I8188" s="12">
        <v>0</v>
      </c>
      <c r="J8188" s="11"/>
      <c r="K8188" s="12">
        <v>0</v>
      </c>
      <c r="L8188" s="10" t="str">
        <f>HYPERLINK("https://otsuka-europe-crm.veevavault.com/ui/#object/approved_document__v/V5O000000006001", "RXULTI - Comparativa antipsicóticos")</f>
        <v>RXULTI - Comparativa antipsicóticos</v>
      </c>
      <c r="M8188" s="10" t="str">
        <f>HYPERLINK("mailto:jvillalain@crm.otsuka-europe.com", "jvillalain@crm.otsuka-europe.com")</f>
        <v>jvillalain@crm.otsuka-europe.com</v>
      </c>
      <c r="N8188" s="13">
        <v>46234.366319444445</v>
      </c>
      <c r="O8188" s="14" t="str">
        <f>HYPERLINK("https://otsuka-europe-crm.veevavault.com/ui/#object/email_activity__v/V8C00000004F093", "EN-002109993")</f>
        <v>EN-002109993</v>
      </c>
    </row>
    <row r="8189" spans="1:15" ht="32" x14ac:dyDescent="0.2">
      <c r="A8189" s="7" t="str">
        <f>HYPERLINK("https://otsuka-europe-crm.veevavault.com/ui/#object/account__v/V4TZ06G6O71TB1Y", "OSCAR MARTIN SANTIAGO")</f>
        <v>OSCAR MARTIN SANTIAGO</v>
      </c>
      <c r="B8189" s="7" t="str">
        <f>HYPERLINK("https://otsuka-europe-crm.veevavault.com/ui/#object/vcountry__v/VENZ000004SONF5", "ES")</f>
        <v>ES</v>
      </c>
      <c r="C8189" s="8" t="s">
        <v>39</v>
      </c>
      <c r="D8189" s="9" t="str">
        <f>HYPERLINK("https://otsuka-europe-crm.veevavault.com/ui/#object/approved_document__v/V5O000000006001", "RXULTI - Comparativa antipsicóticos")</f>
        <v>RXULTI - Comparativa antipsicóticos</v>
      </c>
      <c r="E8189" s="10" t="str">
        <f>HYPERLINK("https://otsuka-europe-crm.veevavault.com/ui/#object/sent_email__v/VBL00000003H015", "SE-001448330")</f>
        <v>SE-001448330</v>
      </c>
      <c r="F8189" s="11"/>
      <c r="G8189" s="12">
        <v>0</v>
      </c>
      <c r="H8189" s="12">
        <v>0</v>
      </c>
      <c r="I8189" s="12">
        <v>0</v>
      </c>
      <c r="J8189" s="11"/>
      <c r="K8189" s="12">
        <v>0</v>
      </c>
      <c r="L8189" s="10" t="str">
        <f>HYPERLINK("https://otsuka-europe-crm.veevavault.com/ui/#object/approved_document__v/V5O000000006001", "RXULTI - Comparativa antipsicóticos")</f>
        <v>RXULTI - Comparativa antipsicóticos</v>
      </c>
      <c r="M8189" s="10" t="str">
        <f>HYPERLINK("mailto:jvillalain@crm.otsuka-europe.com", "jvillalain@crm.otsuka-europe.com")</f>
        <v>jvillalain@crm.otsuka-europe.com</v>
      </c>
      <c r="N8189" s="13">
        <v>46234.366365740738</v>
      </c>
      <c r="O8189" s="14" t="str">
        <f>HYPERLINK("https://otsuka-europe-crm.veevavault.com/ui/#object/email_activity__v/V8C00000004G095", "EN-002109956")</f>
        <v>EN-002109956</v>
      </c>
    </row>
    <row r="8190" spans="1:15" ht="32" x14ac:dyDescent="0.2">
      <c r="A8190" s="7" t="str">
        <f>HYPERLINK("https://otsuka-europe-crm.veevavault.com/ui/#object/account__v/V4TZ06G6O71T96H", "FERMINA ALONSO DEL TESO")</f>
        <v>FERMINA ALONSO DEL TESO</v>
      </c>
      <c r="B8190" s="7" t="str">
        <f>HYPERLINK("https://otsuka-europe-crm.veevavault.com/ui/#object/vcountry__v/VENZ000004SONF5", "ES")</f>
        <v>ES</v>
      </c>
      <c r="C8190" s="8" t="s">
        <v>39</v>
      </c>
      <c r="D8190" s="9" t="str">
        <f>HYPERLINK("https://otsuka-europe-crm.veevavault.com/ui/#object/approved_document__v/V5O000000006001", "RXULTI - Comparativa antipsicóticos")</f>
        <v>RXULTI - Comparativa antipsicóticos</v>
      </c>
      <c r="E8190" s="10" t="str">
        <f>HYPERLINK("https://otsuka-europe-crm.veevavault.com/ui/#object/sent_email__v/VBL00000003H016", "SE-001448331")</f>
        <v>SE-001448331</v>
      </c>
      <c r="F8190" s="11"/>
      <c r="G8190" s="12">
        <v>0</v>
      </c>
      <c r="H8190" s="12">
        <v>0</v>
      </c>
      <c r="I8190" s="12">
        <v>0</v>
      </c>
      <c r="J8190" s="11"/>
      <c r="K8190" s="12">
        <v>0</v>
      </c>
      <c r="L8190" s="10" t="str">
        <f>HYPERLINK("https://otsuka-europe-crm.veevavault.com/ui/#object/approved_document__v/V5O000000006001", "RXULTI - Comparativa antipsicóticos")</f>
        <v>RXULTI - Comparativa antipsicóticos</v>
      </c>
      <c r="M8190" s="10" t="str">
        <f>HYPERLINK("mailto:jvillalain@crm.otsuka-europe.com", "jvillalain@crm.otsuka-europe.com")</f>
        <v>jvillalain@crm.otsuka-europe.com</v>
      </c>
      <c r="N8190" s="13">
        <v>46234.366319444445</v>
      </c>
      <c r="O8190" s="14" t="str">
        <f>HYPERLINK("https://otsuka-europe-crm.veevavault.com/ui/#object/email_activity__v/V8C00000004F064", "EN-002109914")</f>
        <v>EN-002109914</v>
      </c>
    </row>
    <row r="8191" spans="1:15" ht="32" x14ac:dyDescent="0.2">
      <c r="A8191" s="7" t="str">
        <f>HYPERLINK("https://otsuka-europe-crm.veevavault.com/ui/#object/account__v/V4TZ06G6O71TBYN", "RAFAEL ROBERTO RODRIGUEZ CALZADA")</f>
        <v>RAFAEL ROBERTO RODRIGUEZ CALZADA</v>
      </c>
      <c r="B8191" s="7" t="str">
        <f>HYPERLINK("https://otsuka-europe-crm.veevavault.com/ui/#object/vcountry__v/VENZ000004SONF5", "ES")</f>
        <v>ES</v>
      </c>
      <c r="C8191" s="8" t="s">
        <v>39</v>
      </c>
      <c r="D8191" s="9" t="str">
        <f>HYPERLINK("https://otsuka-europe-crm.veevavault.com/ui/#object/approved_document__v/V5O000000006001", "RXULTI - Comparativa antipsicóticos")</f>
        <v>RXULTI - Comparativa antipsicóticos</v>
      </c>
      <c r="E8191" s="10" t="str">
        <f>HYPERLINK("https://otsuka-europe-crm.veevavault.com/ui/#object/sent_email__v/VBL00000003H017", "SE-001448332")</f>
        <v>SE-001448332</v>
      </c>
      <c r="F8191" s="11"/>
      <c r="G8191" s="12">
        <v>0</v>
      </c>
      <c r="H8191" s="12">
        <v>0</v>
      </c>
      <c r="I8191" s="12">
        <v>0</v>
      </c>
      <c r="J8191" s="11"/>
      <c r="K8191" s="12">
        <v>0</v>
      </c>
      <c r="L8191" s="10" t="str">
        <f>HYPERLINK("https://otsuka-europe-crm.veevavault.com/ui/#object/approved_document__v/V5O000000006001", "RXULTI - Comparativa antipsicóticos")</f>
        <v>RXULTI - Comparativa antipsicóticos</v>
      </c>
      <c r="M8191" s="10" t="str">
        <f>HYPERLINK("mailto:jvillalain@crm.otsuka-europe.com", "jvillalain@crm.otsuka-europe.com")</f>
        <v>jvillalain@crm.otsuka-europe.com</v>
      </c>
      <c r="N8191" s="13">
        <v>46234.366342592592</v>
      </c>
      <c r="O8191" s="14" t="str">
        <f>HYPERLINK("https://otsuka-europe-crm.veevavault.com/ui/#object/email_activity__v/V8C00000004F078", "EN-002109959")</f>
        <v>EN-002109959</v>
      </c>
    </row>
    <row r="8192" spans="1:15" ht="16" x14ac:dyDescent="0.2">
      <c r="A8192" s="18" t="str">
        <f>HYPERLINK("https://otsuka-europe-crm.veevavault.com/ui/#object/account__v/V4T00000000O199", "DANIEL ABEJAS DIEZ")</f>
        <v>DANIEL ABEJAS DIEZ</v>
      </c>
      <c r="B8192" s="18" t="str">
        <f>HYPERLINK("https://otsuka-europe-crm.veevavault.com/ui/#object/vcountry__v/VENZ000004SONF5", "ES")</f>
        <v>ES</v>
      </c>
      <c r="C8192" s="20" t="s">
        <v>39</v>
      </c>
      <c r="D8192" s="21" t="str">
        <f>HYPERLINK("https://otsuka-europe-crm.veevavault.com/ui/#object/approved_document__v/V5O000000006001", "RXULTI - Comparativa antipsicóticos")</f>
        <v>RXULTI - Comparativa antipsicóticos</v>
      </c>
      <c r="E8192" s="22" t="str">
        <f>HYPERLINK("https://otsuka-europe-crm.veevavault.com/ui/#object/sent_email__v/VBL00000003H018", "SE-001448333")</f>
        <v>SE-001448333</v>
      </c>
      <c r="F8192" s="25">
        <v>46234.457754629628</v>
      </c>
      <c r="G8192" s="24">
        <v>1</v>
      </c>
      <c r="H8192" s="24">
        <v>1</v>
      </c>
      <c r="I8192" s="24">
        <v>0</v>
      </c>
      <c r="J8192" s="23"/>
      <c r="K8192" s="24">
        <v>0</v>
      </c>
      <c r="L8192" s="22" t="str">
        <f>HYPERLINK("https://otsuka-europe-crm.veevavault.com/ui/#object/approved_document__v/V5O000000006001", "RXULTI - Comparativa antipsicóticos")</f>
        <v>RXULTI - Comparativa antipsicóticos</v>
      </c>
      <c r="M8192" s="22" t="str">
        <f>HYPERLINK("mailto:jvillalain@crm.otsuka-europe.com", "jvillalain@crm.otsuka-europe.com")</f>
        <v>jvillalain@crm.otsuka-europe.com</v>
      </c>
      <c r="N8192" s="25">
        <v>46234.366342592592</v>
      </c>
      <c r="O8192" s="14" t="str">
        <f>HYPERLINK("https://otsuka-europe-crm.veevavault.com/ui/#object/email_activity__v/V8C00000004F084", "EN-002109976")</f>
        <v>EN-002109976</v>
      </c>
    </row>
    <row r="8193" spans="1:15" ht="16" x14ac:dyDescent="0.2">
      <c r="A8193" s="19"/>
      <c r="B8193" s="19"/>
      <c r="C8193" s="19"/>
      <c r="D8193" s="19"/>
      <c r="E8193" s="19"/>
      <c r="F8193" s="19"/>
      <c r="G8193" s="19"/>
      <c r="H8193" s="19"/>
      <c r="I8193" s="19"/>
      <c r="J8193" s="19"/>
      <c r="K8193" s="19"/>
      <c r="L8193" s="19"/>
      <c r="M8193" s="19"/>
      <c r="N8193" s="19"/>
      <c r="O8193" s="14" t="str">
        <f>HYPERLINK("https://otsuka-europe-crm.veevavault.com/ui/#object/email_activity__v/V8C00000004G408", "EN-002110466")</f>
        <v>EN-002110466</v>
      </c>
    </row>
    <row r="8194" spans="1:15" ht="32" x14ac:dyDescent="0.2">
      <c r="A8194" s="7" t="str">
        <f>HYPERLINK("https://otsuka-europe-crm.veevavault.com/ui/#object/account__v/V4TZ06G6O71TK0K", "LAILA AL CHAAL MARCOS")</f>
        <v>LAILA AL CHAAL MARCOS</v>
      </c>
      <c r="B8194" s="7" t="str">
        <f>HYPERLINK("https://otsuka-europe-crm.veevavault.com/ui/#object/vcountry__v/VENZ000004SONF5", "ES")</f>
        <v>ES</v>
      </c>
      <c r="C8194" s="8" t="s">
        <v>39</v>
      </c>
      <c r="D8194" s="9" t="str">
        <f>HYPERLINK("https://otsuka-europe-crm.veevavault.com/ui/#object/approved_document__v/V5O000000006001", "RXULTI - Comparativa antipsicóticos")</f>
        <v>RXULTI - Comparativa antipsicóticos</v>
      </c>
      <c r="E8194" s="10" t="str">
        <f>HYPERLINK("https://otsuka-europe-crm.veevavault.com/ui/#object/sent_email__v/VBL00000003H019", "SE-001448334")</f>
        <v>SE-001448334</v>
      </c>
      <c r="F8194" s="11"/>
      <c r="G8194" s="12">
        <v>0</v>
      </c>
      <c r="H8194" s="12">
        <v>0</v>
      </c>
      <c r="I8194" s="12">
        <v>0</v>
      </c>
      <c r="J8194" s="11"/>
      <c r="K8194" s="12">
        <v>0</v>
      </c>
      <c r="L8194" s="10" t="str">
        <f>HYPERLINK("https://otsuka-europe-crm.veevavault.com/ui/#object/approved_document__v/V5O000000006001", "RXULTI - Comparativa antipsicóticos")</f>
        <v>RXULTI - Comparativa antipsicóticos</v>
      </c>
      <c r="M8194" s="10" t="str">
        <f>HYPERLINK("mailto:jvillalain@crm.otsuka-europe.com", "jvillalain@crm.otsuka-europe.com")</f>
        <v>jvillalain@crm.otsuka-europe.com</v>
      </c>
      <c r="N8194" s="13">
        <v>46234.366319444445</v>
      </c>
      <c r="O8194" s="14" t="str">
        <f>HYPERLINK("https://otsuka-europe-crm.veevavault.com/ui/#object/email_activity__v/V8C00000004F090", "EN-002109990")</f>
        <v>EN-002109990</v>
      </c>
    </row>
    <row r="8195" spans="1:15" ht="16" x14ac:dyDescent="0.2">
      <c r="A8195" s="18" t="str">
        <f>HYPERLINK("https://otsuka-europe-crm.veevavault.com/ui/#object/account__v/V4TZ06G6O71TBD3", "BEATRIZ MONGIL LOPEZ")</f>
        <v>BEATRIZ MONGIL LOPEZ</v>
      </c>
      <c r="B8195" s="18" t="str">
        <f>HYPERLINK("https://otsuka-europe-crm.veevavault.com/ui/#object/vcountry__v/VENZ000004SONF5", "ES")</f>
        <v>ES</v>
      </c>
      <c r="C8195" s="20" t="s">
        <v>39</v>
      </c>
      <c r="D8195" s="21" t="str">
        <f>HYPERLINK("https://otsuka-europe-crm.veevavault.com/ui/#object/approved_document__v/V5O000000006001", "RXULTI - Comparativa antipsicóticos")</f>
        <v>RXULTI - Comparativa antipsicóticos</v>
      </c>
      <c r="E8195" s="22" t="str">
        <f>HYPERLINK("https://otsuka-europe-crm.veevavault.com/ui/#object/sent_email__v/VBL00000003H020", "SE-001448335")</f>
        <v>SE-001448335</v>
      </c>
      <c r="F8195" s="25">
        <v>46235.464861111112</v>
      </c>
      <c r="G8195" s="24">
        <v>1</v>
      </c>
      <c r="H8195" s="24">
        <v>1</v>
      </c>
      <c r="I8195" s="24">
        <v>1</v>
      </c>
      <c r="J8195" s="25">
        <v>46235.466458333336</v>
      </c>
      <c r="K8195" s="24">
        <v>2</v>
      </c>
      <c r="L8195" s="22" t="str">
        <f>HYPERLINK("https://otsuka-europe-crm.veevavault.com/ui/#object/approved_document__v/V5O000000006001", "RXULTI - Comparativa antipsicóticos")</f>
        <v>RXULTI - Comparativa antipsicóticos</v>
      </c>
      <c r="M8195" s="22" t="str">
        <f>HYPERLINK("mailto:jvillalain@crm.otsuka-europe.com", "jvillalain@crm.otsuka-europe.com")</f>
        <v>jvillalain@crm.otsuka-europe.com</v>
      </c>
      <c r="N8195" s="25">
        <v>46234.366006944445</v>
      </c>
      <c r="O8195" s="14" t="str">
        <f>HYPERLINK("https://otsuka-europe-crm.veevavault.com/ui/#object/email_activity__v/V8C00000004F051", "EN-002109901")</f>
        <v>EN-002109901</v>
      </c>
    </row>
    <row r="8196" spans="1:15" ht="16" x14ac:dyDescent="0.2">
      <c r="A8196" s="26"/>
      <c r="B8196" s="26"/>
      <c r="C8196" s="26"/>
      <c r="D8196" s="26"/>
      <c r="E8196" s="26"/>
      <c r="F8196" s="26"/>
      <c r="G8196" s="26"/>
      <c r="H8196" s="26"/>
      <c r="I8196" s="26"/>
      <c r="J8196" s="26"/>
      <c r="K8196" s="26"/>
      <c r="L8196" s="26"/>
      <c r="M8196" s="26"/>
      <c r="N8196" s="26"/>
      <c r="O8196" s="14" t="str">
        <f>HYPERLINK("https://otsuka-europe-crm.veevavault.com/ui/#object/email_activity__v/V8C00000004H125", "EN-002111169")</f>
        <v>EN-002111169</v>
      </c>
    </row>
    <row r="8197" spans="1:15" ht="16" x14ac:dyDescent="0.2">
      <c r="A8197" s="26"/>
      <c r="B8197" s="26"/>
      <c r="C8197" s="26"/>
      <c r="D8197" s="26"/>
      <c r="E8197" s="26"/>
      <c r="F8197" s="26"/>
      <c r="G8197" s="26"/>
      <c r="H8197" s="26"/>
      <c r="I8197" s="26"/>
      <c r="J8197" s="26"/>
      <c r="K8197" s="26"/>
      <c r="L8197" s="26"/>
      <c r="M8197" s="26"/>
      <c r="N8197" s="26"/>
      <c r="O8197" s="14" t="str">
        <f>HYPERLINK("https://otsuka-europe-crm.veevavault.com/ui/#object/email_activity__v/V8C00000004I014", "EN-002111017")</f>
        <v>EN-002111017</v>
      </c>
    </row>
    <row r="8198" spans="1:15" ht="16" x14ac:dyDescent="0.2">
      <c r="A8198" s="26"/>
      <c r="B8198" s="26"/>
      <c r="C8198" s="26"/>
      <c r="D8198" s="26"/>
      <c r="E8198" s="26"/>
      <c r="F8198" s="26"/>
      <c r="G8198" s="26"/>
      <c r="H8198" s="26"/>
      <c r="I8198" s="26"/>
      <c r="J8198" s="26"/>
      <c r="K8198" s="26"/>
      <c r="L8198" s="26"/>
      <c r="M8198" s="26"/>
      <c r="N8198" s="26"/>
      <c r="O8198" s="14" t="str">
        <f>HYPERLINK("https://otsuka-europe-crm.veevavault.com/ui/#object/email_activity__v/V8C00000004I015", "EN-002111016")</f>
        <v>EN-002111016</v>
      </c>
    </row>
    <row r="8199" spans="1:15" ht="16" x14ac:dyDescent="0.2">
      <c r="A8199" s="26"/>
      <c r="B8199" s="26"/>
      <c r="C8199" s="26"/>
      <c r="D8199" s="26"/>
      <c r="E8199" s="26"/>
      <c r="F8199" s="26"/>
      <c r="G8199" s="26"/>
      <c r="H8199" s="26"/>
      <c r="I8199" s="26"/>
      <c r="J8199" s="26"/>
      <c r="K8199" s="26"/>
      <c r="L8199" s="26"/>
      <c r="M8199" s="26"/>
      <c r="N8199" s="26"/>
      <c r="O8199" s="14" t="str">
        <f>HYPERLINK("https://otsuka-europe-crm.veevavault.com/ui/#object/email_activity__v/V8C00000004I016", "EN-002111018")</f>
        <v>EN-002111018</v>
      </c>
    </row>
    <row r="8200" spans="1:15" ht="16" x14ac:dyDescent="0.2">
      <c r="A8200" s="26"/>
      <c r="B8200" s="26"/>
      <c r="C8200" s="26"/>
      <c r="D8200" s="26"/>
      <c r="E8200" s="26"/>
      <c r="F8200" s="26"/>
      <c r="G8200" s="26"/>
      <c r="H8200" s="26"/>
      <c r="I8200" s="26"/>
      <c r="J8200" s="26"/>
      <c r="K8200" s="26"/>
      <c r="L8200" s="26"/>
      <c r="M8200" s="26"/>
      <c r="N8200" s="26"/>
      <c r="O8200" s="14" t="str">
        <f>HYPERLINK("https://otsuka-europe-crm.veevavault.com/ui/#object/email_activity__v/V8C00000004I017", "EN-002111019")</f>
        <v>EN-002111019</v>
      </c>
    </row>
    <row r="8201" spans="1:15" ht="16" x14ac:dyDescent="0.2">
      <c r="A8201" s="19"/>
      <c r="B8201" s="19"/>
      <c r="C8201" s="19"/>
      <c r="D8201" s="19"/>
      <c r="E8201" s="19"/>
      <c r="F8201" s="19"/>
      <c r="G8201" s="19"/>
      <c r="H8201" s="19"/>
      <c r="I8201" s="19"/>
      <c r="J8201" s="19"/>
      <c r="K8201" s="19"/>
      <c r="L8201" s="19"/>
      <c r="M8201" s="19"/>
      <c r="N8201" s="19"/>
      <c r="O8201" s="14" t="str">
        <f>HYPERLINK("https://otsuka-europe-crm.veevavault.com/ui/#object/email_activity__v/V8C00000004I018", "EN-002111020")</f>
        <v>EN-002111020</v>
      </c>
    </row>
    <row r="8202" spans="1:15" ht="32" x14ac:dyDescent="0.2">
      <c r="A8202" s="7" t="str">
        <f>HYPERLINK("https://otsuka-europe-crm.veevavault.com/ui/#object/account__v/V4TZ06G6O71T8VL", "MARIA QUEIPO DE LLANO DE LA VIUDA")</f>
        <v>MARIA QUEIPO DE LLANO DE LA VIUDA</v>
      </c>
      <c r="B8202" s="7" t="str">
        <f>HYPERLINK("https://otsuka-europe-crm.veevavault.com/ui/#object/vcountry__v/VENZ000004SONF5", "ES")</f>
        <v>ES</v>
      </c>
      <c r="C8202" s="8" t="s">
        <v>39</v>
      </c>
      <c r="D8202" s="9" t="str">
        <f>HYPERLINK("https://otsuka-europe-crm.veevavault.com/ui/#object/approved_document__v/V5O000000006001", "RXULTI - Comparativa antipsicóticos")</f>
        <v>RXULTI - Comparativa antipsicóticos</v>
      </c>
      <c r="E8202" s="10" t="str">
        <f>HYPERLINK("https://otsuka-europe-crm.veevavault.com/ui/#object/sent_email__v/VBL00000003H021", "SE-001448336")</f>
        <v>SE-001448336</v>
      </c>
      <c r="F8202" s="11"/>
      <c r="G8202" s="12">
        <v>0</v>
      </c>
      <c r="H8202" s="12">
        <v>0</v>
      </c>
      <c r="I8202" s="12">
        <v>0</v>
      </c>
      <c r="J8202" s="11"/>
      <c r="K8202" s="12">
        <v>0</v>
      </c>
      <c r="L8202" s="10" t="str">
        <f>HYPERLINK("https://otsuka-europe-crm.veevavault.com/ui/#object/approved_document__v/V5O000000006001", "RXULTI - Comparativa antipsicóticos")</f>
        <v>RXULTI - Comparativa antipsicóticos</v>
      </c>
      <c r="M8202" s="10" t="str">
        <f>HYPERLINK("mailto:jvillalain@crm.otsuka-europe.com", "jvillalain@crm.otsuka-europe.com")</f>
        <v>jvillalain@crm.otsuka-europe.com</v>
      </c>
      <c r="N8202" s="13">
        <v>46234.366319444445</v>
      </c>
      <c r="O8202" s="14" t="str">
        <f>HYPERLINK("https://otsuka-europe-crm.veevavault.com/ui/#object/email_activity__v/V8C00000004G065", "EN-002109915")</f>
        <v>EN-002109915</v>
      </c>
    </row>
    <row r="8203" spans="1:15" ht="32" x14ac:dyDescent="0.2">
      <c r="A8203" s="7" t="str">
        <f>HYPERLINK("https://otsuka-europe-crm.veevavault.com/ui/#object/account__v/V4TZ04ASG6PCUOT", "IGNACIO GALANTE MARTIN")</f>
        <v>IGNACIO GALANTE MARTIN</v>
      </c>
      <c r="B8203" s="7" t="str">
        <f>HYPERLINK("https://otsuka-europe-crm.veevavault.com/ui/#object/vcountry__v/VENZ000004SONF5", "ES")</f>
        <v>ES</v>
      </c>
      <c r="C8203" s="8" t="s">
        <v>39</v>
      </c>
      <c r="D8203" s="9" t="str">
        <f>HYPERLINK("https://otsuka-europe-crm.veevavault.com/ui/#object/approved_document__v/V5O000000006001", "RXULTI - Comparativa antipsicóticos")</f>
        <v>RXULTI - Comparativa antipsicóticos</v>
      </c>
      <c r="E8203" s="10" t="str">
        <f>HYPERLINK("https://otsuka-europe-crm.veevavault.com/ui/#object/sent_email__v/VBL00000003H022", "SE-001448337")</f>
        <v>SE-001448337</v>
      </c>
      <c r="F8203" s="11"/>
      <c r="G8203" s="12">
        <v>0</v>
      </c>
      <c r="H8203" s="12">
        <v>0</v>
      </c>
      <c r="I8203" s="12">
        <v>0</v>
      </c>
      <c r="J8203" s="11"/>
      <c r="K8203" s="12">
        <v>0</v>
      </c>
      <c r="L8203" s="10" t="str">
        <f>HYPERLINK("https://otsuka-europe-crm.veevavault.com/ui/#object/approved_document__v/V5O000000006001", "RXULTI - Comparativa antipsicóticos")</f>
        <v>RXULTI - Comparativa antipsicóticos</v>
      </c>
      <c r="M8203" s="10" t="str">
        <f>HYPERLINK("mailto:jvillalain@crm.otsuka-europe.com", "jvillalain@crm.otsuka-europe.com")</f>
        <v>jvillalain@crm.otsuka-europe.com</v>
      </c>
      <c r="N8203" s="13">
        <v>46234.366319444445</v>
      </c>
      <c r="O8203" s="14" t="str">
        <f>HYPERLINK("https://otsuka-europe-crm.veevavault.com/ui/#object/email_activity__v/V8C00000004F092", "EN-002109992")</f>
        <v>EN-002109992</v>
      </c>
    </row>
    <row r="8204" spans="1:15" ht="16" x14ac:dyDescent="0.2">
      <c r="A8204" s="18" t="str">
        <f>HYPERLINK("https://otsuka-europe-crm.veevavault.com/ui/#object/account__v/V4T00000000X148", "ALFONSO MONLLOR LAZARRAGA")</f>
        <v>ALFONSO MONLLOR LAZARRAGA</v>
      </c>
      <c r="B8204" s="18" t="str">
        <f>HYPERLINK("https://otsuka-europe-crm.veevavault.com/ui/#object/vcountry__v/VENZ000004SONF5", "ES")</f>
        <v>ES</v>
      </c>
      <c r="C8204" s="20" t="s">
        <v>39</v>
      </c>
      <c r="D8204" s="21" t="str">
        <f>HYPERLINK("https://otsuka-europe-crm.veevavault.com/ui/#object/approved_document__v/V5O000000006001", "RXULTI - Comparativa antipsicóticos")</f>
        <v>RXULTI - Comparativa antipsicóticos</v>
      </c>
      <c r="E8204" s="22" t="str">
        <f>HYPERLINK("https://otsuka-europe-crm.veevavault.com/ui/#object/sent_email__v/VBL00000003H023", "SE-001448338")</f>
        <v>SE-001448338</v>
      </c>
      <c r="F8204" s="25">
        <v>46235.363564814812</v>
      </c>
      <c r="G8204" s="24">
        <v>1</v>
      </c>
      <c r="H8204" s="24">
        <v>3</v>
      </c>
      <c r="I8204" s="24">
        <v>0</v>
      </c>
      <c r="J8204" s="23"/>
      <c r="K8204" s="24">
        <v>0</v>
      </c>
      <c r="L8204" s="22" t="str">
        <f>HYPERLINK("https://otsuka-europe-crm.veevavault.com/ui/#object/approved_document__v/V5O000000006001", "RXULTI - Comparativa antipsicóticos")</f>
        <v>RXULTI - Comparativa antipsicóticos</v>
      </c>
      <c r="M8204" s="22" t="str">
        <f>HYPERLINK("mailto:jvillalain@crm.otsuka-europe.com", "jvillalain@crm.otsuka-europe.com")</f>
        <v>jvillalain@crm.otsuka-europe.com</v>
      </c>
      <c r="N8204" s="25">
        <v>46234.366319444445</v>
      </c>
      <c r="O8204" s="14" t="str">
        <f>HYPERLINK("https://otsuka-europe-crm.veevavault.com/ui/#object/email_activity__v/V8C00000004F105", "EN-002110033")</f>
        <v>EN-002110033</v>
      </c>
    </row>
    <row r="8205" spans="1:15" ht="16" x14ac:dyDescent="0.2">
      <c r="A8205" s="26"/>
      <c r="B8205" s="26"/>
      <c r="C8205" s="26"/>
      <c r="D8205" s="26"/>
      <c r="E8205" s="26"/>
      <c r="F8205" s="26"/>
      <c r="G8205" s="26"/>
      <c r="H8205" s="26"/>
      <c r="I8205" s="26"/>
      <c r="J8205" s="26"/>
      <c r="K8205" s="26"/>
      <c r="L8205" s="26"/>
      <c r="M8205" s="26"/>
      <c r="N8205" s="26"/>
      <c r="O8205" s="14" t="str">
        <f>HYPERLINK("https://otsuka-europe-crm.veevavault.com/ui/#object/email_activity__v/V8C00000004H047", "EN-002111005")</f>
        <v>EN-002111005</v>
      </c>
    </row>
    <row r="8206" spans="1:15" ht="16" x14ac:dyDescent="0.2">
      <c r="A8206" s="26"/>
      <c r="B8206" s="26"/>
      <c r="C8206" s="26"/>
      <c r="D8206" s="26"/>
      <c r="E8206" s="26"/>
      <c r="F8206" s="26"/>
      <c r="G8206" s="26"/>
      <c r="H8206" s="26"/>
      <c r="I8206" s="26"/>
      <c r="J8206" s="26"/>
      <c r="K8206" s="26"/>
      <c r="L8206" s="26"/>
      <c r="M8206" s="26"/>
      <c r="N8206" s="26"/>
      <c r="O8206" s="14" t="str">
        <f>HYPERLINK("https://otsuka-europe-crm.veevavault.com/ui/#object/email_activity__v/V8C00000004H048", "EN-002111006")</f>
        <v>EN-002111006</v>
      </c>
    </row>
    <row r="8207" spans="1:15" ht="16" x14ac:dyDescent="0.2">
      <c r="A8207" s="19"/>
      <c r="B8207" s="19"/>
      <c r="C8207" s="19"/>
      <c r="D8207" s="19"/>
      <c r="E8207" s="19"/>
      <c r="F8207" s="19"/>
      <c r="G8207" s="19"/>
      <c r="H8207" s="19"/>
      <c r="I8207" s="19"/>
      <c r="J8207" s="19"/>
      <c r="K8207" s="19"/>
      <c r="L8207" s="19"/>
      <c r="M8207" s="19"/>
      <c r="N8207" s="19"/>
      <c r="O8207" s="14" t="str">
        <f>HYPERLINK("https://otsuka-europe-crm.veevavault.com/ui/#object/email_activity__v/V8C00000004I005", "EN-002110999")</f>
        <v>EN-002110999</v>
      </c>
    </row>
    <row r="8208" spans="1:15" ht="32" x14ac:dyDescent="0.2">
      <c r="A8208" s="7" t="str">
        <f>HYPERLINK("https://otsuka-europe-crm.veevavault.com/ui/#object/account__v/V4TZ06G6O71T8VM", "GUILLERMO GUERRA VALERA")</f>
        <v>GUILLERMO GUERRA VALERA</v>
      </c>
      <c r="B8208" s="7" t="str">
        <f>HYPERLINK("https://otsuka-europe-crm.veevavault.com/ui/#object/vcountry__v/VENZ000004SONF5", "ES")</f>
        <v>ES</v>
      </c>
      <c r="C8208" s="8" t="s">
        <v>39</v>
      </c>
      <c r="D8208" s="9" t="str">
        <f>HYPERLINK("https://otsuka-europe-crm.veevavault.com/ui/#object/approved_document__v/V5O000000006001", "RXULTI - Comparativa antipsicóticos")</f>
        <v>RXULTI - Comparativa antipsicóticos</v>
      </c>
      <c r="E8208" s="10" t="str">
        <f>HYPERLINK("https://otsuka-europe-crm.veevavault.com/ui/#object/sent_email__v/VBL00000003H024", "SE-001448339")</f>
        <v>SE-001448339</v>
      </c>
      <c r="F8208" s="11"/>
      <c r="G8208" s="12">
        <v>0</v>
      </c>
      <c r="H8208" s="12">
        <v>0</v>
      </c>
      <c r="I8208" s="12">
        <v>0</v>
      </c>
      <c r="J8208" s="11"/>
      <c r="K8208" s="12">
        <v>0</v>
      </c>
      <c r="L8208" s="10" t="str">
        <f>HYPERLINK("https://otsuka-europe-crm.veevavault.com/ui/#object/approved_document__v/V5O000000006001", "RXULTI - Comparativa antipsicóticos")</f>
        <v>RXULTI - Comparativa antipsicóticos</v>
      </c>
      <c r="M8208" s="10" t="str">
        <f>HYPERLINK("mailto:jvillalain@crm.otsuka-europe.com", "jvillalain@crm.otsuka-europe.com")</f>
        <v>jvillalain@crm.otsuka-europe.com</v>
      </c>
      <c r="N8208" s="13">
        <v>46234.366319444445</v>
      </c>
      <c r="O8208" s="14" t="str">
        <f>HYPERLINK("https://otsuka-europe-crm.veevavault.com/ui/#object/email_activity__v/V8C00000004G073", "EN-002109923")</f>
        <v>EN-002109923</v>
      </c>
    </row>
    <row r="8209" spans="1:15" ht="32" x14ac:dyDescent="0.2">
      <c r="A8209" s="7" t="str">
        <f>HYPERLINK("https://otsuka-europe-crm.veevavault.com/ui/#object/account__v/V4TZ06G6OB4BDES", "BELEN FLOREZ VALVERDE")</f>
        <v>BELEN FLOREZ VALVERDE</v>
      </c>
      <c r="B8209" s="7" t="str">
        <f>HYPERLINK("https://otsuka-europe-crm.veevavault.com/ui/#object/vcountry__v/VENZ000004SONF5", "ES")</f>
        <v>ES</v>
      </c>
      <c r="C8209" s="8" t="s">
        <v>39</v>
      </c>
      <c r="D8209" s="9" t="str">
        <f>HYPERLINK("https://otsuka-europe-crm.veevavault.com/ui/#object/approved_document__v/V5O000000006001", "RXULTI - Comparativa antipsicóticos")</f>
        <v>RXULTI - Comparativa antipsicóticos</v>
      </c>
      <c r="E8209" s="10" t="str">
        <f>HYPERLINK("https://otsuka-europe-crm.veevavault.com/ui/#object/sent_email__v/VBL00000003H025", "SE-001448340")</f>
        <v>SE-001448340</v>
      </c>
      <c r="F8209" s="11"/>
      <c r="G8209" s="12">
        <v>0</v>
      </c>
      <c r="H8209" s="12">
        <v>0</v>
      </c>
      <c r="I8209" s="12">
        <v>0</v>
      </c>
      <c r="J8209" s="11"/>
      <c r="K8209" s="12">
        <v>0</v>
      </c>
      <c r="L8209" s="10" t="str">
        <f>HYPERLINK("https://otsuka-europe-crm.veevavault.com/ui/#object/approved_document__v/V5O000000006001", "RXULTI - Comparativa antipsicóticos")</f>
        <v>RXULTI - Comparativa antipsicóticos</v>
      </c>
      <c r="M8209" s="10" t="str">
        <f>HYPERLINK("mailto:jvillalain@crm.otsuka-europe.com", "jvillalain@crm.otsuka-europe.com")</f>
        <v>jvillalain@crm.otsuka-europe.com</v>
      </c>
      <c r="N8209" s="13">
        <v>46234.366342592592</v>
      </c>
      <c r="O8209" s="14" t="str">
        <f>HYPERLINK("https://otsuka-europe-crm.veevavault.com/ui/#object/email_activity__v/V8C00000004F080", "EN-002109961")</f>
        <v>EN-002109961</v>
      </c>
    </row>
    <row r="8210" spans="1:15" ht="32" x14ac:dyDescent="0.2">
      <c r="A8210" s="7" t="str">
        <f>HYPERLINK("https://otsuka-europe-crm.veevavault.com/ui/#object/account__v/V4TZ06G6O71T9ME", "VELIA CHAVARRIA PEREZ")</f>
        <v>VELIA CHAVARRIA PEREZ</v>
      </c>
      <c r="B8210" s="7" t="str">
        <f>HYPERLINK("https://otsuka-europe-crm.veevavault.com/ui/#object/vcountry__v/VENZ000004SONF5", "ES")</f>
        <v>ES</v>
      </c>
      <c r="C8210" s="8" t="s">
        <v>39</v>
      </c>
      <c r="D8210" s="9" t="str">
        <f>HYPERLINK("https://otsuka-europe-crm.veevavault.com/ui/#object/approved_document__v/V5O000000006001", "RXULTI - Comparativa antipsicóticos")</f>
        <v>RXULTI - Comparativa antipsicóticos</v>
      </c>
      <c r="E8210" s="10" t="str">
        <f>HYPERLINK("https://otsuka-europe-crm.veevavault.com/ui/#object/sent_email__v/VBL00000003H026", "SE-001448341")</f>
        <v>SE-001448341</v>
      </c>
      <c r="F8210" s="11"/>
      <c r="G8210" s="12">
        <v>0</v>
      </c>
      <c r="H8210" s="12">
        <v>0</v>
      </c>
      <c r="I8210" s="12">
        <v>0</v>
      </c>
      <c r="J8210" s="11"/>
      <c r="K8210" s="12">
        <v>0</v>
      </c>
      <c r="L8210" s="10" t="str">
        <f>HYPERLINK("https://otsuka-europe-crm.veevavault.com/ui/#object/approved_document__v/V5O000000006001", "RXULTI - Comparativa antipsicóticos")</f>
        <v>RXULTI - Comparativa antipsicóticos</v>
      </c>
      <c r="M8210" s="10" t="str">
        <f>HYPERLINK("mailto:jvillalain@crm.otsuka-europe.com", "jvillalain@crm.otsuka-europe.com")</f>
        <v>jvillalain@crm.otsuka-europe.com</v>
      </c>
      <c r="N8210" s="13">
        <v>46234.366319444445</v>
      </c>
      <c r="O8210" s="14" t="str">
        <f>HYPERLINK("https://otsuka-europe-crm.veevavault.com/ui/#object/email_activity__v/V8C00000004F104", "EN-002110032")</f>
        <v>EN-002110032</v>
      </c>
    </row>
    <row r="8211" spans="1:15" ht="16" x14ac:dyDescent="0.2">
      <c r="A8211" s="18" t="str">
        <f>HYPERLINK("https://otsuka-europe-crm.veevavault.com/ui/#object/account__v/V4TZ025E87PUSW5", "MARIA CRISTINA HERRERO RODRIGUEZ")</f>
        <v>MARIA CRISTINA HERRERO RODRIGUEZ</v>
      </c>
      <c r="B8211" s="18" t="str">
        <f>HYPERLINK("https://otsuka-europe-crm.veevavault.com/ui/#object/vcountry__v/VENZ000004SONF5", "ES")</f>
        <v>ES</v>
      </c>
      <c r="C8211" s="20" t="s">
        <v>39</v>
      </c>
      <c r="D8211" s="21" t="str">
        <f>HYPERLINK("https://otsuka-europe-crm.veevavault.com/ui/#object/approved_document__v/V5O000000006001", "RXULTI - Comparativa antipsicóticos")</f>
        <v>RXULTI - Comparativa antipsicóticos</v>
      </c>
      <c r="E8211" s="22" t="str">
        <f>HYPERLINK("https://otsuka-europe-crm.veevavault.com/ui/#object/sent_email__v/VBL00000003H027", "SE-001448342")</f>
        <v>SE-001448342</v>
      </c>
      <c r="F8211" s="23"/>
      <c r="G8211" s="24">
        <v>0</v>
      </c>
      <c r="H8211" s="24">
        <v>0</v>
      </c>
      <c r="I8211" s="24">
        <v>0</v>
      </c>
      <c r="J8211" s="23"/>
      <c r="K8211" s="24">
        <v>0</v>
      </c>
      <c r="L8211" s="22" t="str">
        <f>HYPERLINK("https://otsuka-europe-crm.veevavault.com/ui/#object/approved_document__v/V5O000000006001", "RXULTI - Comparativa antipsicóticos")</f>
        <v>RXULTI - Comparativa antipsicóticos</v>
      </c>
      <c r="M8211" s="22" t="str">
        <f>HYPERLINK("mailto:jvillalain@crm.otsuka-europe.com", "jvillalain@crm.otsuka-europe.com")</f>
        <v>jvillalain@crm.otsuka-europe.com</v>
      </c>
      <c r="N8211" s="25">
        <v>46234.365995370368</v>
      </c>
      <c r="O8211" s="14" t="str">
        <f>HYPERLINK("https://otsuka-europe-crm.veevavault.com/ui/#object/email_activity__v/V8C00000004F048", "EN-002109898")</f>
        <v>EN-002109898</v>
      </c>
    </row>
    <row r="8212" spans="1:15" ht="16" x14ac:dyDescent="0.2">
      <c r="A8212" s="19"/>
      <c r="B8212" s="19"/>
      <c r="C8212" s="19"/>
      <c r="D8212" s="19"/>
      <c r="E8212" s="19"/>
      <c r="F8212" s="19"/>
      <c r="G8212" s="19"/>
      <c r="H8212" s="19"/>
      <c r="I8212" s="19"/>
      <c r="J8212" s="19"/>
      <c r="K8212" s="19"/>
      <c r="L8212" s="19"/>
      <c r="M8212" s="19"/>
      <c r="N8212" s="19"/>
      <c r="O8212" s="14" t="str">
        <f>HYPERLINK("https://otsuka-europe-crm.veevavault.com/ui/#object/email_activity__v/V8C00000004F118", "EN-002110054")</f>
        <v>EN-002110054</v>
      </c>
    </row>
    <row r="8213" spans="1:15" ht="16" x14ac:dyDescent="0.2">
      <c r="A8213" s="18" t="str">
        <f>HYPERLINK("https://otsuka-europe-crm.veevavault.com/ui/#object/account__v/V4TZ06G6O71T8G6", "CAROLINA ALARIO RUIZ")</f>
        <v>CAROLINA ALARIO RUIZ</v>
      </c>
      <c r="B8213" s="18" t="str">
        <f>HYPERLINK("https://otsuka-europe-crm.veevavault.com/ui/#object/vcountry__v/VENZ000004SONF5", "ES")</f>
        <v>ES</v>
      </c>
      <c r="C8213" s="20" t="s">
        <v>39</v>
      </c>
      <c r="D8213" s="21" t="str">
        <f>HYPERLINK("https://otsuka-europe-crm.veevavault.com/ui/#object/approved_document__v/V5O000000006001", "RXULTI - Comparativa antipsicóticos")</f>
        <v>RXULTI - Comparativa antipsicóticos</v>
      </c>
      <c r="E8213" s="22" t="str">
        <f>HYPERLINK("https://otsuka-europe-crm.veevavault.com/ui/#object/sent_email__v/VBL00000003H028", "SE-001448343")</f>
        <v>SE-001448343</v>
      </c>
      <c r="F8213" s="23"/>
      <c r="G8213" s="24">
        <v>0</v>
      </c>
      <c r="H8213" s="24">
        <v>0</v>
      </c>
      <c r="I8213" s="24">
        <v>1</v>
      </c>
      <c r="J8213" s="25">
        <v>46234.398935185185</v>
      </c>
      <c r="K8213" s="24">
        <v>1</v>
      </c>
      <c r="L8213" s="22" t="str">
        <f>HYPERLINK("https://otsuka-europe-crm.veevavault.com/ui/#object/approved_document__v/V5O000000006001", "RXULTI - Comparativa antipsicóticos")</f>
        <v>RXULTI - Comparativa antipsicóticos</v>
      </c>
      <c r="M8213" s="22" t="str">
        <f>HYPERLINK("mailto:jvillalain@crm.otsuka-europe.com", "jvillalain@crm.otsuka-europe.com")</f>
        <v>jvillalain@crm.otsuka-europe.com</v>
      </c>
      <c r="N8213" s="25">
        <v>46234.365995370368</v>
      </c>
      <c r="O8213" s="14" t="str">
        <f>HYPERLINK("https://otsuka-europe-crm.veevavault.com/ui/#object/email_activity__v/V8C00000004F049", "EN-002109899")</f>
        <v>EN-002109899</v>
      </c>
    </row>
    <row r="8214" spans="1:15" ht="16" x14ac:dyDescent="0.2">
      <c r="A8214" s="26"/>
      <c r="B8214" s="26"/>
      <c r="C8214" s="26"/>
      <c r="D8214" s="26"/>
      <c r="E8214" s="26"/>
      <c r="F8214" s="26"/>
      <c r="G8214" s="26"/>
      <c r="H8214" s="26"/>
      <c r="I8214" s="26"/>
      <c r="J8214" s="26"/>
      <c r="K8214" s="26"/>
      <c r="L8214" s="26"/>
      <c r="M8214" s="26"/>
      <c r="N8214" s="26"/>
      <c r="O8214" s="14" t="str">
        <f>HYPERLINK("https://otsuka-europe-crm.veevavault.com/ui/#object/email_activity__v/V8C00000004F127", "EN-002110064")</f>
        <v>EN-002110064</v>
      </c>
    </row>
    <row r="8215" spans="1:15" ht="16" x14ac:dyDescent="0.2">
      <c r="A8215" s="26"/>
      <c r="B8215" s="26"/>
      <c r="C8215" s="26"/>
      <c r="D8215" s="26"/>
      <c r="E8215" s="26"/>
      <c r="F8215" s="26"/>
      <c r="G8215" s="26"/>
      <c r="H8215" s="26"/>
      <c r="I8215" s="26"/>
      <c r="J8215" s="26"/>
      <c r="K8215" s="26"/>
      <c r="L8215" s="26"/>
      <c r="M8215" s="26"/>
      <c r="N8215" s="26"/>
      <c r="O8215" s="14" t="str">
        <f>HYPERLINK("https://otsuka-europe-crm.veevavault.com/ui/#object/email_activity__v/V8C00000004F128", "EN-002110065")</f>
        <v>EN-002110065</v>
      </c>
    </row>
    <row r="8216" spans="1:15" ht="16" x14ac:dyDescent="0.2">
      <c r="A8216" s="19"/>
      <c r="B8216" s="19"/>
      <c r="C8216" s="19"/>
      <c r="D8216" s="19"/>
      <c r="E8216" s="19"/>
      <c r="F8216" s="19"/>
      <c r="G8216" s="19"/>
      <c r="H8216" s="19"/>
      <c r="I8216" s="19"/>
      <c r="J8216" s="19"/>
      <c r="K8216" s="19"/>
      <c r="L8216" s="19"/>
      <c r="M8216" s="19"/>
      <c r="N8216" s="19"/>
      <c r="O8216" s="14" t="str">
        <f>HYPERLINK("https://otsuka-europe-crm.veevavault.com/ui/#object/email_activity__v/V8C00000004G188", "EN-002110142")</f>
        <v>EN-002110142</v>
      </c>
    </row>
    <row r="8217" spans="1:15" ht="16" x14ac:dyDescent="0.2">
      <c r="A8217" s="18" t="str">
        <f>HYPERLINK("https://otsuka-europe-crm.veevavault.com/ui/#object/account__v/V4TZ06G6O71T824", "RAQUEL MARTIN GUTIERREZ")</f>
        <v>RAQUEL MARTIN GUTIERREZ</v>
      </c>
      <c r="B8217" s="18" t="str">
        <f>HYPERLINK("https://otsuka-europe-crm.veevavault.com/ui/#object/vcountry__v/VENZ000004SONF5", "ES")</f>
        <v>ES</v>
      </c>
      <c r="C8217" s="20" t="s">
        <v>39</v>
      </c>
      <c r="D8217" s="21" t="str">
        <f>HYPERLINK("https://otsuka-europe-crm.veevavault.com/ui/#object/approved_document__v/V5O000000006001", "RXULTI - Comparativa antipsicóticos")</f>
        <v>RXULTI - Comparativa antipsicóticos</v>
      </c>
      <c r="E8217" s="22" t="str">
        <f>HYPERLINK("https://otsuka-europe-crm.veevavault.com/ui/#object/sent_email__v/VBL00000003H029", "SE-001448344")</f>
        <v>SE-001448344</v>
      </c>
      <c r="F8217" s="25">
        <v>46235.461331018516</v>
      </c>
      <c r="G8217" s="24">
        <v>1</v>
      </c>
      <c r="H8217" s="24">
        <v>2</v>
      </c>
      <c r="I8217" s="24">
        <v>0</v>
      </c>
      <c r="J8217" s="23"/>
      <c r="K8217" s="24">
        <v>0</v>
      </c>
      <c r="L8217" s="22" t="str">
        <f>HYPERLINK("https://otsuka-europe-crm.veevavault.com/ui/#object/approved_document__v/V5O000000006001", "RXULTI - Comparativa antipsicóticos")</f>
        <v>RXULTI - Comparativa antipsicóticos</v>
      </c>
      <c r="M8217" s="22" t="str">
        <f>HYPERLINK("mailto:jvillalain@crm.otsuka-europe.com", "jvillalain@crm.otsuka-europe.com")</f>
        <v>jvillalain@crm.otsuka-europe.com</v>
      </c>
      <c r="N8217" s="25">
        <v>46234.366006944445</v>
      </c>
      <c r="O8217" s="14" t="str">
        <f>HYPERLINK("https://otsuka-europe-crm.veevavault.com/ui/#object/email_activity__v/V8C00000004F046", "EN-002109896")</f>
        <v>EN-002109896</v>
      </c>
    </row>
    <row r="8218" spans="1:15" ht="16" x14ac:dyDescent="0.2">
      <c r="A8218" s="26"/>
      <c r="B8218" s="26"/>
      <c r="C8218" s="26"/>
      <c r="D8218" s="26"/>
      <c r="E8218" s="26"/>
      <c r="F8218" s="26"/>
      <c r="G8218" s="26"/>
      <c r="H8218" s="26"/>
      <c r="I8218" s="26"/>
      <c r="J8218" s="26"/>
      <c r="K8218" s="26"/>
      <c r="L8218" s="26"/>
      <c r="M8218" s="26"/>
      <c r="N8218" s="26"/>
      <c r="O8218" s="14" t="str">
        <f>HYPERLINK("https://otsuka-europe-crm.veevavault.com/ui/#object/email_activity__v/V8C00000004F266", "EN-002110443")</f>
        <v>EN-002110443</v>
      </c>
    </row>
    <row r="8219" spans="1:15" ht="16" x14ac:dyDescent="0.2">
      <c r="A8219" s="19"/>
      <c r="B8219" s="19"/>
      <c r="C8219" s="19"/>
      <c r="D8219" s="19"/>
      <c r="E8219" s="19"/>
      <c r="F8219" s="19"/>
      <c r="G8219" s="19"/>
      <c r="H8219" s="19"/>
      <c r="I8219" s="19"/>
      <c r="J8219" s="19"/>
      <c r="K8219" s="19"/>
      <c r="L8219" s="19"/>
      <c r="M8219" s="19"/>
      <c r="N8219" s="19"/>
      <c r="O8219" s="14" t="str">
        <f>HYPERLINK("https://otsuka-europe-crm.veevavault.com/ui/#object/email_activity__v/V8C00000004I012", "EN-002111014")</f>
        <v>EN-002111014</v>
      </c>
    </row>
    <row r="8220" spans="1:15" ht="32" x14ac:dyDescent="0.2">
      <c r="A8220" s="7" t="str">
        <f>HYPERLINK("https://otsuka-europe-crm.veevavault.com/ui/#object/account__v/V4TZ06G6O71US8T", "DIANA HERRERO ESCUDERO")</f>
        <v>DIANA HERRERO ESCUDERO</v>
      </c>
      <c r="B8220" s="7" t="str">
        <f>HYPERLINK("https://otsuka-europe-crm.veevavault.com/ui/#object/vcountry__v/VENZ000004SONF5", "ES")</f>
        <v>ES</v>
      </c>
      <c r="C8220" s="8" t="s">
        <v>39</v>
      </c>
      <c r="D8220" s="9" t="str">
        <f>HYPERLINK("https://otsuka-europe-crm.veevavault.com/ui/#object/approved_document__v/V5O000000006001", "RXULTI - Comparativa antipsicóticos")</f>
        <v>RXULTI - Comparativa antipsicóticos</v>
      </c>
      <c r="E8220" s="10" t="str">
        <f>HYPERLINK("https://otsuka-europe-crm.veevavault.com/ui/#object/sent_email__v/VBL00000003H030", "SE-001448345")</f>
        <v>SE-001448345</v>
      </c>
      <c r="F8220" s="11"/>
      <c r="G8220" s="12">
        <v>0</v>
      </c>
      <c r="H8220" s="12">
        <v>0</v>
      </c>
      <c r="I8220" s="12">
        <v>0</v>
      </c>
      <c r="J8220" s="11"/>
      <c r="K8220" s="12">
        <v>0</v>
      </c>
      <c r="L8220" s="10" t="str">
        <f>HYPERLINK("https://otsuka-europe-crm.veevavault.com/ui/#object/approved_document__v/V5O000000006001", "RXULTI - Comparativa antipsicóticos")</f>
        <v>RXULTI - Comparativa antipsicóticos</v>
      </c>
      <c r="M8220" s="10" t="str">
        <f>HYPERLINK("mailto:jvillalain@crm.otsuka-europe.com", "jvillalain@crm.otsuka-europe.com")</f>
        <v>jvillalain@crm.otsuka-europe.com</v>
      </c>
      <c r="N8220" s="13">
        <v>46234.366319444445</v>
      </c>
      <c r="O8220" s="14" t="str">
        <f>HYPERLINK("https://otsuka-europe-crm.veevavault.com/ui/#object/email_activity__v/V8C00000004F102", "EN-002110008")</f>
        <v>EN-002110008</v>
      </c>
    </row>
    <row r="8221" spans="1:15" ht="32" x14ac:dyDescent="0.2">
      <c r="A8221" s="7" t="str">
        <f>HYPERLINK("https://otsuka-europe-crm.veevavault.com/ui/#object/account__v/V4TZ06G6O71TC0M", "VICTOR JOSE ROMERO GARCES")</f>
        <v>VICTOR JOSE ROMERO GARCES</v>
      </c>
      <c r="B8221" s="7" t="str">
        <f>HYPERLINK("https://otsuka-europe-crm.veevavault.com/ui/#object/vcountry__v/VENZ000004SONF5", "ES")</f>
        <v>ES</v>
      </c>
      <c r="C8221" s="8" t="s">
        <v>39</v>
      </c>
      <c r="D8221" s="9" t="str">
        <f>HYPERLINK("https://otsuka-europe-crm.veevavault.com/ui/#object/approved_document__v/V5O000000006001", "RXULTI - Comparativa antipsicóticos")</f>
        <v>RXULTI - Comparativa antipsicóticos</v>
      </c>
      <c r="E8221" s="10" t="str">
        <f>HYPERLINK("https://otsuka-europe-crm.veevavault.com/ui/#object/sent_email__v/VBL00000003H031", "SE-001448346")</f>
        <v>SE-001448346</v>
      </c>
      <c r="F8221" s="11"/>
      <c r="G8221" s="12">
        <v>0</v>
      </c>
      <c r="H8221" s="12">
        <v>0</v>
      </c>
      <c r="I8221" s="12">
        <v>0</v>
      </c>
      <c r="J8221" s="11"/>
      <c r="K8221" s="12">
        <v>0</v>
      </c>
      <c r="L8221" s="10" t="str">
        <f>HYPERLINK("https://otsuka-europe-crm.veevavault.com/ui/#object/approved_document__v/V5O000000006001", "RXULTI - Comparativa antipsicóticos")</f>
        <v>RXULTI - Comparativa antipsicóticos</v>
      </c>
      <c r="M8221" s="10" t="str">
        <f>HYPERLINK("mailto:jvillalain@crm.otsuka-europe.com", "jvillalain@crm.otsuka-europe.com")</f>
        <v>jvillalain@crm.otsuka-europe.com</v>
      </c>
      <c r="N8221" s="13">
        <v>46234.366377314815</v>
      </c>
      <c r="O8221" s="14" t="str">
        <f>HYPERLINK("https://otsuka-europe-crm.veevavault.com/ui/#object/email_activity__v/V8C00000004G107", "EN-002109979")</f>
        <v>EN-002109979</v>
      </c>
    </row>
    <row r="8222" spans="1:15" ht="32" x14ac:dyDescent="0.2">
      <c r="A8222" s="7" t="str">
        <f>HYPERLINK("https://otsuka-europe-crm.veevavault.com/ui/#object/account__v/V4TZ06G6O71TC51", "OLGA SEGURADO MARTIN")</f>
        <v>OLGA SEGURADO MARTIN</v>
      </c>
      <c r="B8222" s="7" t="str">
        <f>HYPERLINK("https://otsuka-europe-crm.veevavault.com/ui/#object/vcountry__v/VENZ000004SONF5", "ES")</f>
        <v>ES</v>
      </c>
      <c r="C8222" s="8" t="s">
        <v>39</v>
      </c>
      <c r="D8222" s="9" t="str">
        <f>HYPERLINK("https://otsuka-europe-crm.veevavault.com/ui/#object/approved_document__v/V5O000000006001", "RXULTI - Comparativa antipsicóticos")</f>
        <v>RXULTI - Comparativa antipsicóticos</v>
      </c>
      <c r="E8222" s="10" t="str">
        <f>HYPERLINK("https://otsuka-europe-crm.veevavault.com/ui/#object/sent_email__v/VBL00000003H032", "SE-001448347")</f>
        <v>SE-001448347</v>
      </c>
      <c r="F8222" s="11"/>
      <c r="G8222" s="12">
        <v>0</v>
      </c>
      <c r="H8222" s="12">
        <v>0</v>
      </c>
      <c r="I8222" s="12">
        <v>0</v>
      </c>
      <c r="J8222" s="11"/>
      <c r="K8222" s="12">
        <v>0</v>
      </c>
      <c r="L8222" s="10" t="str">
        <f>HYPERLINK("https://otsuka-europe-crm.veevavault.com/ui/#object/approved_document__v/V5O000000006001", "RXULTI - Comparativa antipsicóticos")</f>
        <v>RXULTI - Comparativa antipsicóticos</v>
      </c>
      <c r="M8222" s="10" t="str">
        <f>HYPERLINK("mailto:jvillalain@crm.otsuka-europe.com", "jvillalain@crm.otsuka-europe.com")</f>
        <v>jvillalain@crm.otsuka-europe.com</v>
      </c>
      <c r="N8222" s="13">
        <v>46234.366319444445</v>
      </c>
      <c r="O8222" s="14" t="str">
        <f>HYPERLINK("https://otsuka-europe-crm.veevavault.com/ui/#object/email_activity__v/V8C00000004F053", "EN-002109903")</f>
        <v>EN-002109903</v>
      </c>
    </row>
    <row r="8223" spans="1:15" ht="32" x14ac:dyDescent="0.2">
      <c r="A8223" s="7" t="str">
        <f>HYPERLINK("https://otsuka-europe-crm.veevavault.com/ui/#object/account__v/V4TZ06G6O71TBZP", "FRANCISCO CARLOS RUIZ SANZ")</f>
        <v>FRANCISCO CARLOS RUIZ SANZ</v>
      </c>
      <c r="B8223" s="7" t="str">
        <f>HYPERLINK("https://otsuka-europe-crm.veevavault.com/ui/#object/vcountry__v/VENZ000004SONF5", "ES")</f>
        <v>ES</v>
      </c>
      <c r="C8223" s="8" t="s">
        <v>39</v>
      </c>
      <c r="D8223" s="9" t="str">
        <f>HYPERLINK("https://otsuka-europe-crm.veevavault.com/ui/#object/approved_document__v/V5O000000006001", "RXULTI - Comparativa antipsicóticos")</f>
        <v>RXULTI - Comparativa antipsicóticos</v>
      </c>
      <c r="E8223" s="10" t="str">
        <f>HYPERLINK("https://otsuka-europe-crm.veevavault.com/ui/#object/sent_email__v/VBL00000003H033", "SE-001448348")</f>
        <v>SE-001448348</v>
      </c>
      <c r="F8223" s="11"/>
      <c r="G8223" s="12">
        <v>0</v>
      </c>
      <c r="H8223" s="12">
        <v>0</v>
      </c>
      <c r="I8223" s="12">
        <v>0</v>
      </c>
      <c r="J8223" s="11"/>
      <c r="K8223" s="12">
        <v>0</v>
      </c>
      <c r="L8223" s="10" t="str">
        <f>HYPERLINK("https://otsuka-europe-crm.veevavault.com/ui/#object/approved_document__v/V5O000000006001", "RXULTI - Comparativa antipsicóticos")</f>
        <v>RXULTI - Comparativa antipsicóticos</v>
      </c>
      <c r="M8223" s="10" t="str">
        <f>HYPERLINK("mailto:jvillalain@crm.otsuka-europe.com", "jvillalain@crm.otsuka-europe.com")</f>
        <v>jvillalain@crm.otsuka-europe.com</v>
      </c>
      <c r="N8223" s="13">
        <v>46234.366354166668</v>
      </c>
      <c r="O8223" s="14" t="str">
        <f>HYPERLINK("https://otsuka-europe-crm.veevavault.com/ui/#object/email_activity__v/V8C00000004G110", "EN-002109982")</f>
        <v>EN-002109982</v>
      </c>
    </row>
    <row r="8224" spans="1:15" ht="16" x14ac:dyDescent="0.2">
      <c r="A8224" s="18" t="str">
        <f>HYPERLINK("https://otsuka-europe-crm.veevavault.com/ui/#object/account__v/V4TZ06G6O71T8F5", "MARIA HENAR DE LA RED GALLEGO")</f>
        <v>MARIA HENAR DE LA RED GALLEGO</v>
      </c>
      <c r="B8224" s="18" t="str">
        <f>HYPERLINK("https://otsuka-europe-crm.veevavault.com/ui/#object/vcountry__v/VENZ000004SONF5", "ES")</f>
        <v>ES</v>
      </c>
      <c r="C8224" s="20" t="s">
        <v>39</v>
      </c>
      <c r="D8224" s="21" t="str">
        <f>HYPERLINK("https://otsuka-europe-crm.veevavault.com/ui/#object/approved_document__v/V5O000000006001", "RXULTI - Comparativa antipsicóticos")</f>
        <v>RXULTI - Comparativa antipsicóticos</v>
      </c>
      <c r="E8224" s="22" t="str">
        <f>HYPERLINK("https://otsuka-europe-crm.veevavault.com/ui/#object/sent_email__v/VBL00000003H034", "SE-001448349")</f>
        <v>SE-001448349</v>
      </c>
      <c r="F8224" s="23"/>
      <c r="G8224" s="24">
        <v>0</v>
      </c>
      <c r="H8224" s="24">
        <v>0</v>
      </c>
      <c r="I8224" s="24">
        <v>0</v>
      </c>
      <c r="J8224" s="23"/>
      <c r="K8224" s="24">
        <v>0</v>
      </c>
      <c r="L8224" s="22" t="str">
        <f>HYPERLINK("https://otsuka-europe-crm.veevavault.com/ui/#object/approved_document__v/V5O000000006001", "RXULTI - Comparativa antipsicóticos")</f>
        <v>RXULTI - Comparativa antipsicóticos</v>
      </c>
      <c r="M8224" s="22" t="str">
        <f>HYPERLINK("mailto:jvillalain@crm.otsuka-europe.com", "jvillalain@crm.otsuka-europe.com")</f>
        <v>jvillalain@crm.otsuka-europe.com</v>
      </c>
      <c r="N8224" s="25">
        <v>46234.366319444445</v>
      </c>
      <c r="O8224" s="14" t="str">
        <f>HYPERLINK("https://otsuka-europe-crm.veevavault.com/ui/#object/email_activity__v/V8C00000004F091", "EN-002109991")</f>
        <v>EN-002109991</v>
      </c>
    </row>
    <row r="8225" spans="1:15" ht="16" x14ac:dyDescent="0.2">
      <c r="A8225" s="19"/>
      <c r="B8225" s="19"/>
      <c r="C8225" s="19"/>
      <c r="D8225" s="19"/>
      <c r="E8225" s="19"/>
      <c r="F8225" s="19"/>
      <c r="G8225" s="19"/>
      <c r="H8225" s="19"/>
      <c r="I8225" s="19"/>
      <c r="J8225" s="19"/>
      <c r="K8225" s="19"/>
      <c r="L8225" s="19"/>
      <c r="M8225" s="19"/>
      <c r="N8225" s="19"/>
      <c r="O8225" s="14" t="str">
        <f>HYPERLINK("https://otsuka-europe-crm.veevavault.com/ui/#object/email_activity__v/V8C00000004F120", "EN-002110056")</f>
        <v>EN-002110056</v>
      </c>
    </row>
    <row r="8226" spans="1:15" ht="32" x14ac:dyDescent="0.2">
      <c r="A8226" s="7" t="str">
        <f>HYPERLINK("https://otsuka-europe-crm.veevavault.com/ui/#object/account__v/V4TZ06G6O71TC06", "EDUARDO ROJO FERNANDEZ")</f>
        <v>EDUARDO ROJO FERNANDEZ</v>
      </c>
      <c r="B8226" s="7" t="str">
        <f>HYPERLINK("https://otsuka-europe-crm.veevavault.com/ui/#object/vcountry__v/VENZ000004SONF5", "ES")</f>
        <v>ES</v>
      </c>
      <c r="C8226" s="8" t="s">
        <v>39</v>
      </c>
      <c r="D8226" s="9" t="str">
        <f>HYPERLINK("https://otsuka-europe-crm.veevavault.com/ui/#object/approved_document__v/V5O000000006001", "RXULTI - Comparativa antipsicóticos")</f>
        <v>RXULTI - Comparativa antipsicóticos</v>
      </c>
      <c r="E8226" s="10" t="str">
        <f>HYPERLINK("https://otsuka-europe-crm.veevavault.com/ui/#object/sent_email__v/VBL00000003H035", "SE-001448350")</f>
        <v>SE-001448350</v>
      </c>
      <c r="F8226" s="11"/>
      <c r="G8226" s="12">
        <v>0</v>
      </c>
      <c r="H8226" s="12">
        <v>0</v>
      </c>
      <c r="I8226" s="12">
        <v>0</v>
      </c>
      <c r="J8226" s="11"/>
      <c r="K8226" s="12">
        <v>0</v>
      </c>
      <c r="L8226" s="10" t="str">
        <f>HYPERLINK("https://otsuka-europe-crm.veevavault.com/ui/#object/approved_document__v/V5O000000006001", "RXULTI - Comparativa antipsicóticos")</f>
        <v>RXULTI - Comparativa antipsicóticos</v>
      </c>
      <c r="M8226" s="10" t="str">
        <f>HYPERLINK("mailto:jvillalain@crm.otsuka-europe.com", "jvillalain@crm.otsuka-europe.com")</f>
        <v>jvillalain@crm.otsuka-europe.com</v>
      </c>
      <c r="N8226" s="13">
        <v>46234.366319444445</v>
      </c>
      <c r="O8226" s="14" t="str">
        <f>HYPERLINK("https://otsuka-europe-crm.veevavault.com/ui/#object/email_activity__v/V8C00000004G140", "EN-002110028")</f>
        <v>EN-002110028</v>
      </c>
    </row>
    <row r="8227" spans="1:15" ht="16" x14ac:dyDescent="0.2">
      <c r="A8227" s="18" t="str">
        <f>HYPERLINK("https://otsuka-europe-crm.veevavault.com/ui/#object/account__v/V4TZ06G6O71T8E2", "CRISTINA EMETERIO DELGADO")</f>
        <v>CRISTINA EMETERIO DELGADO</v>
      </c>
      <c r="B8227" s="18" t="str">
        <f>HYPERLINK("https://otsuka-europe-crm.veevavault.com/ui/#object/vcountry__v/VENZ000004SONF5", "ES")</f>
        <v>ES</v>
      </c>
      <c r="C8227" s="20" t="s">
        <v>39</v>
      </c>
      <c r="D8227" s="21" t="str">
        <f>HYPERLINK("https://otsuka-europe-crm.veevavault.com/ui/#object/approved_document__v/V5O000000006001", "RXULTI - Comparativa antipsicóticos")</f>
        <v>RXULTI - Comparativa antipsicóticos</v>
      </c>
      <c r="E8227" s="22" t="str">
        <f>HYPERLINK("https://otsuka-europe-crm.veevavault.com/ui/#object/sent_email__v/VBL00000003H036", "SE-001448351")</f>
        <v>SE-001448351</v>
      </c>
      <c r="F8227" s="23"/>
      <c r="G8227" s="24">
        <v>0</v>
      </c>
      <c r="H8227" s="24">
        <v>0</v>
      </c>
      <c r="I8227" s="24">
        <v>0</v>
      </c>
      <c r="J8227" s="23"/>
      <c r="K8227" s="24">
        <v>0</v>
      </c>
      <c r="L8227" s="22" t="str">
        <f>HYPERLINK("https://otsuka-europe-crm.veevavault.com/ui/#object/approved_document__v/V5O000000006001", "RXULTI - Comparativa antipsicóticos")</f>
        <v>RXULTI - Comparativa antipsicóticos</v>
      </c>
      <c r="M8227" s="22" t="str">
        <f>HYPERLINK("mailto:jvillalain@crm.otsuka-europe.com", "jvillalain@crm.otsuka-europe.com")</f>
        <v>jvillalain@crm.otsuka-europe.com</v>
      </c>
      <c r="N8227" s="25">
        <v>46234.366319444445</v>
      </c>
      <c r="O8227" s="14" t="str">
        <f>HYPERLINK("https://otsuka-europe-crm.veevavault.com/ui/#object/email_activity__v/V8C00000004G134", "EN-002110022")</f>
        <v>EN-002110022</v>
      </c>
    </row>
    <row r="8228" spans="1:15" ht="16" x14ac:dyDescent="0.2">
      <c r="A8228" s="26"/>
      <c r="B8228" s="26"/>
      <c r="C8228" s="26"/>
      <c r="D8228" s="26"/>
      <c r="E8228" s="26"/>
      <c r="F8228" s="26"/>
      <c r="G8228" s="26"/>
      <c r="H8228" s="26"/>
      <c r="I8228" s="26"/>
      <c r="J8228" s="26"/>
      <c r="K8228" s="26"/>
      <c r="L8228" s="26"/>
      <c r="M8228" s="26"/>
      <c r="N8228" s="26"/>
      <c r="O8228" s="14" t="str">
        <f>HYPERLINK("https://otsuka-europe-crm.veevavault.com/ui/#object/email_activity__v/V8C00000004H365", "EN-002111588")</f>
        <v>EN-002111588</v>
      </c>
    </row>
    <row r="8229" spans="1:15" ht="16" x14ac:dyDescent="0.2">
      <c r="A8229" s="19"/>
      <c r="B8229" s="19"/>
      <c r="C8229" s="19"/>
      <c r="D8229" s="19"/>
      <c r="E8229" s="19"/>
      <c r="F8229" s="19"/>
      <c r="G8229" s="19"/>
      <c r="H8229" s="19"/>
      <c r="I8229" s="19"/>
      <c r="J8229" s="19"/>
      <c r="K8229" s="19"/>
      <c r="L8229" s="19"/>
      <c r="M8229" s="19"/>
      <c r="N8229" s="19"/>
      <c r="O8229" s="14" t="str">
        <f>HYPERLINK("https://otsuka-europe-crm.veevavault.com/ui/#object/email_activity__v/V8C00000004I214", "EN-002111457")</f>
        <v>EN-002111457</v>
      </c>
    </row>
    <row r="8230" spans="1:15" ht="16" x14ac:dyDescent="0.2">
      <c r="A8230" s="18" t="str">
        <f>HYPERLINK("https://otsuka-europe-crm.veevavault.com/ui/#object/account__v/V4TZ04ASGGI2KAU", "MARIA JOSE MATEOS SEXMERO")</f>
        <v>MARIA JOSE MATEOS SEXMERO</v>
      </c>
      <c r="B8230" s="18" t="str">
        <f>HYPERLINK("https://otsuka-europe-crm.veevavault.com/ui/#object/vcountry__v/VENZ000004SONF5", "ES")</f>
        <v>ES</v>
      </c>
      <c r="C8230" s="20" t="s">
        <v>39</v>
      </c>
      <c r="D8230" s="21" t="str">
        <f>HYPERLINK("https://otsuka-europe-crm.veevavault.com/ui/#object/approved_document__v/V5O000000006001", "RXULTI - Comparativa antipsicóticos")</f>
        <v>RXULTI - Comparativa antipsicóticos</v>
      </c>
      <c r="E8230" s="22" t="str">
        <f>HYPERLINK("https://otsuka-europe-crm.veevavault.com/ui/#object/sent_email__v/VBL00000003H037", "SE-001448352")</f>
        <v>SE-001448352</v>
      </c>
      <c r="F8230" s="23"/>
      <c r="G8230" s="24">
        <v>0</v>
      </c>
      <c r="H8230" s="24">
        <v>0</v>
      </c>
      <c r="I8230" s="24">
        <v>0</v>
      </c>
      <c r="J8230" s="23"/>
      <c r="K8230" s="24">
        <v>0</v>
      </c>
      <c r="L8230" s="22" t="str">
        <f>HYPERLINK("https://otsuka-europe-crm.veevavault.com/ui/#object/approved_document__v/V5O000000006001", "RXULTI - Comparativa antipsicóticos")</f>
        <v>RXULTI - Comparativa antipsicóticos</v>
      </c>
      <c r="M8230" s="22" t="str">
        <f>HYPERLINK("mailto:jvillalain@crm.otsuka-europe.com", "jvillalain@crm.otsuka-europe.com")</f>
        <v>jvillalain@crm.otsuka-europe.com</v>
      </c>
      <c r="N8230" s="25">
        <v>46234.366319444445</v>
      </c>
      <c r="O8230" s="14" t="str">
        <f>HYPERLINK("https://otsuka-europe-crm.veevavault.com/ui/#object/email_activity__v/V8C00000004G072", "EN-002109922")</f>
        <v>EN-002109922</v>
      </c>
    </row>
    <row r="8231" spans="1:15" ht="16" x14ac:dyDescent="0.2">
      <c r="A8231" s="26"/>
      <c r="B8231" s="26"/>
      <c r="C8231" s="26"/>
      <c r="D8231" s="26"/>
      <c r="E8231" s="26"/>
      <c r="F8231" s="26"/>
      <c r="G8231" s="26"/>
      <c r="H8231" s="26"/>
      <c r="I8231" s="26"/>
      <c r="J8231" s="26"/>
      <c r="K8231" s="26"/>
      <c r="L8231" s="26"/>
      <c r="M8231" s="26"/>
      <c r="N8231" s="26"/>
      <c r="O8231" s="14" t="str">
        <f>HYPERLINK("https://otsuka-europe-crm.veevavault.com/ui/#object/email_activity__v/V8C00000004H110", "EN-002111146")</f>
        <v>EN-002111146</v>
      </c>
    </row>
    <row r="8232" spans="1:15" ht="16" x14ac:dyDescent="0.2">
      <c r="A8232" s="19"/>
      <c r="B8232" s="19"/>
      <c r="C8232" s="19"/>
      <c r="D8232" s="19"/>
      <c r="E8232" s="19"/>
      <c r="F8232" s="19"/>
      <c r="G8232" s="19"/>
      <c r="H8232" s="19"/>
      <c r="I8232" s="19"/>
      <c r="J8232" s="19"/>
      <c r="K8232" s="19"/>
      <c r="L8232" s="19"/>
      <c r="M8232" s="19"/>
      <c r="N8232" s="19"/>
      <c r="O8232" s="14" t="str">
        <f>HYPERLINK("https://otsuka-europe-crm.veevavault.com/ui/#object/email_activity__v/V8C00000004H123", "EN-002111163")</f>
        <v>EN-002111163</v>
      </c>
    </row>
    <row r="8233" spans="1:15" ht="16" x14ac:dyDescent="0.2">
      <c r="A8233" s="18" t="str">
        <f>HYPERLINK("https://otsuka-europe-crm.veevavault.com/ui/#object/account__v/V4TZ04ASG8FATNB", "ELENA JIMENO HERNANDEZ")</f>
        <v>ELENA JIMENO HERNANDEZ</v>
      </c>
      <c r="B8233" s="18" t="str">
        <f>HYPERLINK("https://otsuka-europe-crm.veevavault.com/ui/#object/vcountry__v/VENZ000004SONF5", "ES")</f>
        <v>ES</v>
      </c>
      <c r="C8233" s="20" t="s">
        <v>39</v>
      </c>
      <c r="D8233" s="21" t="str">
        <f>HYPERLINK("https://otsuka-europe-crm.veevavault.com/ui/#object/approved_document__v/V5O000000006001", "RXULTI - Comparativa antipsicóticos")</f>
        <v>RXULTI - Comparativa antipsicóticos</v>
      </c>
      <c r="E8233" s="22" t="str">
        <f>HYPERLINK("https://otsuka-europe-crm.veevavault.com/ui/#object/sent_email__v/VBL00000003H038", "SE-001448353")</f>
        <v>SE-001448353</v>
      </c>
      <c r="F8233" s="25">
        <v>46234.36959490741</v>
      </c>
      <c r="G8233" s="24">
        <v>1</v>
      </c>
      <c r="H8233" s="24">
        <v>1</v>
      </c>
      <c r="I8233" s="24">
        <v>0</v>
      </c>
      <c r="J8233" s="23"/>
      <c r="K8233" s="24">
        <v>0</v>
      </c>
      <c r="L8233" s="22" t="str">
        <f>HYPERLINK("https://otsuka-europe-crm.veevavault.com/ui/#object/approved_document__v/V5O000000006001", "RXULTI - Comparativa antipsicóticos")</f>
        <v>RXULTI - Comparativa antipsicóticos</v>
      </c>
      <c r="M8233" s="22" t="str">
        <f>HYPERLINK("mailto:jvillalain@crm.otsuka-europe.com", "jvillalain@crm.otsuka-europe.com")</f>
        <v>jvillalain@crm.otsuka-europe.com</v>
      </c>
      <c r="N8233" s="25">
        <v>46234.366319444445</v>
      </c>
      <c r="O8233" s="14" t="str">
        <f>HYPERLINK("https://otsuka-europe-crm.veevavault.com/ui/#object/email_activity__v/V8C00000004F113", "EN-002110045")</f>
        <v>EN-002110045</v>
      </c>
    </row>
    <row r="8234" spans="1:15" ht="16" x14ac:dyDescent="0.2">
      <c r="A8234" s="19"/>
      <c r="B8234" s="19"/>
      <c r="C8234" s="19"/>
      <c r="D8234" s="19"/>
      <c r="E8234" s="19"/>
      <c r="F8234" s="19"/>
      <c r="G8234" s="19"/>
      <c r="H8234" s="19"/>
      <c r="I8234" s="19"/>
      <c r="J8234" s="19"/>
      <c r="K8234" s="19"/>
      <c r="L8234" s="19"/>
      <c r="M8234" s="19"/>
      <c r="N8234" s="19"/>
      <c r="O8234" s="14" t="str">
        <f>HYPERLINK("https://otsuka-europe-crm.veevavault.com/ui/#object/email_activity__v/V8C00000004G066", "EN-002109916")</f>
        <v>EN-002109916</v>
      </c>
    </row>
    <row r="8235" spans="1:15" ht="16" x14ac:dyDescent="0.2">
      <c r="A8235" s="18" t="str">
        <f>HYPERLINK("https://otsuka-europe-crm.veevavault.com/ui/#object/account__v/V4TZ06G6O71T77R", "ISABEL SEVILLANO BENITO")</f>
        <v>ISABEL SEVILLANO BENITO</v>
      </c>
      <c r="B8235" s="18" t="str">
        <f>HYPERLINK("https://otsuka-europe-crm.veevavault.com/ui/#object/vcountry__v/VENZ000004SONF5", "ES")</f>
        <v>ES</v>
      </c>
      <c r="C8235" s="20" t="s">
        <v>39</v>
      </c>
      <c r="D8235" s="21" t="str">
        <f>HYPERLINK("https://otsuka-europe-crm.veevavault.com/ui/#object/approved_document__v/V5O000000006001", "RXULTI - Comparativa antipsicóticos")</f>
        <v>RXULTI - Comparativa antipsicóticos</v>
      </c>
      <c r="E8235" s="22" t="str">
        <f>HYPERLINK("https://otsuka-europe-crm.veevavault.com/ui/#object/sent_email__v/VBL00000003H039", "SE-001448354")</f>
        <v>SE-001448354</v>
      </c>
      <c r="F8235" s="23"/>
      <c r="G8235" s="24">
        <v>0</v>
      </c>
      <c r="H8235" s="24">
        <v>0</v>
      </c>
      <c r="I8235" s="24">
        <v>1</v>
      </c>
      <c r="J8235" s="25">
        <v>46234.535185185188</v>
      </c>
      <c r="K8235" s="24">
        <v>1</v>
      </c>
      <c r="L8235" s="22" t="str">
        <f>HYPERLINK("https://otsuka-europe-crm.veevavault.com/ui/#object/approved_document__v/V5O000000006001", "RXULTI - Comparativa antipsicóticos")</f>
        <v>RXULTI - Comparativa antipsicóticos</v>
      </c>
      <c r="M8235" s="22" t="str">
        <f>HYPERLINK("mailto:jvillalain@crm.otsuka-europe.com", "jvillalain@crm.otsuka-europe.com")</f>
        <v>jvillalain@crm.otsuka-europe.com</v>
      </c>
      <c r="N8235" s="25">
        <v>46234.366319444445</v>
      </c>
      <c r="O8235" s="14" t="str">
        <f>HYPERLINK("https://otsuka-europe-crm.veevavault.com/ui/#object/email_activity__v/V8C00000004F385", "EN-002110738")</f>
        <v>EN-002110738</v>
      </c>
    </row>
    <row r="8236" spans="1:15" ht="16" x14ac:dyDescent="0.2">
      <c r="A8236" s="26"/>
      <c r="B8236" s="26"/>
      <c r="C8236" s="26"/>
      <c r="D8236" s="26"/>
      <c r="E8236" s="26"/>
      <c r="F8236" s="26"/>
      <c r="G8236" s="26"/>
      <c r="H8236" s="26"/>
      <c r="I8236" s="26"/>
      <c r="J8236" s="26"/>
      <c r="K8236" s="26"/>
      <c r="L8236" s="26"/>
      <c r="M8236" s="26"/>
      <c r="N8236" s="26"/>
      <c r="O8236" s="14" t="str">
        <f>HYPERLINK("https://otsuka-europe-crm.veevavault.com/ui/#object/email_activity__v/V8C00000004G068", "EN-002109918")</f>
        <v>EN-002109918</v>
      </c>
    </row>
    <row r="8237" spans="1:15" ht="16" x14ac:dyDescent="0.2">
      <c r="A8237" s="26"/>
      <c r="B8237" s="26"/>
      <c r="C8237" s="26"/>
      <c r="D8237" s="26"/>
      <c r="E8237" s="26"/>
      <c r="F8237" s="26"/>
      <c r="G8237" s="26"/>
      <c r="H8237" s="26"/>
      <c r="I8237" s="26"/>
      <c r="J8237" s="26"/>
      <c r="K8237" s="26"/>
      <c r="L8237" s="26"/>
      <c r="M8237" s="26"/>
      <c r="N8237" s="26"/>
      <c r="O8237" s="14" t="str">
        <f>HYPERLINK("https://otsuka-europe-crm.veevavault.com/ui/#object/email_activity__v/V8C00000004G569", "EN-002110737")</f>
        <v>EN-002110737</v>
      </c>
    </row>
    <row r="8238" spans="1:15" ht="16" x14ac:dyDescent="0.2">
      <c r="A8238" s="26"/>
      <c r="B8238" s="26"/>
      <c r="C8238" s="26"/>
      <c r="D8238" s="26"/>
      <c r="E8238" s="26"/>
      <c r="F8238" s="26"/>
      <c r="G8238" s="26"/>
      <c r="H8238" s="26"/>
      <c r="I8238" s="26"/>
      <c r="J8238" s="26"/>
      <c r="K8238" s="26"/>
      <c r="L8238" s="26"/>
      <c r="M8238" s="26"/>
      <c r="N8238" s="26"/>
      <c r="O8238" s="14" t="str">
        <f>HYPERLINK("https://otsuka-europe-crm.veevavault.com/ui/#object/email_activity__v/V8C00000004G573", "EN-002110746")</f>
        <v>EN-002110746</v>
      </c>
    </row>
    <row r="8239" spans="1:15" ht="16" x14ac:dyDescent="0.2">
      <c r="A8239" s="19"/>
      <c r="B8239" s="19"/>
      <c r="C8239" s="19"/>
      <c r="D8239" s="19"/>
      <c r="E8239" s="19"/>
      <c r="F8239" s="19"/>
      <c r="G8239" s="19"/>
      <c r="H8239" s="19"/>
      <c r="I8239" s="19"/>
      <c r="J8239" s="19"/>
      <c r="K8239" s="19"/>
      <c r="L8239" s="19"/>
      <c r="M8239" s="19"/>
      <c r="N8239" s="19"/>
      <c r="O8239" s="14" t="str">
        <f>HYPERLINK("https://otsuka-europe-crm.veevavault.com/ui/#object/email_activity__v/V8C00000004I167", "EN-002111351")</f>
        <v>EN-002111351</v>
      </c>
    </row>
    <row r="8240" spans="1:15" ht="16" x14ac:dyDescent="0.2">
      <c r="A8240" s="18" t="str">
        <f>HYPERLINK("https://otsuka-europe-crm.veevavault.com/ui/#object/account__v/V4T000000027025", "CRISTINA ORTEGA LARRODE")</f>
        <v>CRISTINA ORTEGA LARRODE</v>
      </c>
      <c r="B8240" s="18" t="str">
        <f>HYPERLINK("https://otsuka-europe-crm.veevavault.com/ui/#object/vcountry__v/VENZ000004SONF5", "ES")</f>
        <v>ES</v>
      </c>
      <c r="C8240" s="20" t="s">
        <v>39</v>
      </c>
      <c r="D8240" s="21" t="str">
        <f>HYPERLINK("https://otsuka-europe-crm.veevavault.com/ui/#object/approved_document__v/V5O000000006001", "RXULTI - Comparativa antipsicóticos")</f>
        <v>RXULTI - Comparativa antipsicóticos</v>
      </c>
      <c r="E8240" s="22" t="str">
        <f>HYPERLINK("https://otsuka-europe-crm.veevavault.com/ui/#object/sent_email__v/VBL00000003H040", "SE-001448355")</f>
        <v>SE-001448355</v>
      </c>
      <c r="F8240" s="25">
        <v>46234.686527777776</v>
      </c>
      <c r="G8240" s="24">
        <v>1</v>
      </c>
      <c r="H8240" s="24">
        <v>1</v>
      </c>
      <c r="I8240" s="24">
        <v>0</v>
      </c>
      <c r="J8240" s="23"/>
      <c r="K8240" s="24">
        <v>0</v>
      </c>
      <c r="L8240" s="22" t="str">
        <f>HYPERLINK("https://otsuka-europe-crm.veevavault.com/ui/#object/approved_document__v/V5O000000006001", "RXULTI - Comparativa antipsicóticos")</f>
        <v>RXULTI - Comparativa antipsicóticos</v>
      </c>
      <c r="M8240" s="22" t="str">
        <f>HYPERLINK("mailto:jvillalain@crm.otsuka-europe.com", "jvillalain@crm.otsuka-europe.com")</f>
        <v>jvillalain@crm.otsuka-europe.com</v>
      </c>
      <c r="N8240" s="25">
        <v>46234.366342592592</v>
      </c>
      <c r="O8240" s="14" t="str">
        <f>HYPERLINK("https://otsuka-europe-crm.veevavault.com/ui/#object/email_activity__v/V8C00000004F083", "EN-002109975")</f>
        <v>EN-002109975</v>
      </c>
    </row>
    <row r="8241" spans="1:15" ht="16" x14ac:dyDescent="0.2">
      <c r="A8241" s="19"/>
      <c r="B8241" s="19"/>
      <c r="C8241" s="19"/>
      <c r="D8241" s="19"/>
      <c r="E8241" s="19"/>
      <c r="F8241" s="19"/>
      <c r="G8241" s="19"/>
      <c r="H8241" s="19"/>
      <c r="I8241" s="19"/>
      <c r="J8241" s="19"/>
      <c r="K8241" s="19"/>
      <c r="L8241" s="19"/>
      <c r="M8241" s="19"/>
      <c r="N8241" s="19"/>
      <c r="O8241" s="14" t="str">
        <f>HYPERLINK("https://otsuka-europe-crm.veevavault.com/ui/#object/email_activity__v/V8C00000004G611", "EN-002110820")</f>
        <v>EN-002110820</v>
      </c>
    </row>
    <row r="8242" spans="1:15" ht="16" x14ac:dyDescent="0.2">
      <c r="A8242" s="18" t="str">
        <f>HYPERLINK("https://otsuka-europe-crm.veevavault.com/ui/#object/account__v/V4TZ06G6O71TAQG", "SONIA YOLANDA LAFUENTE LAZARO")</f>
        <v>SONIA YOLANDA LAFUENTE LAZARO</v>
      </c>
      <c r="B8242" s="18" t="str">
        <f>HYPERLINK("https://otsuka-europe-crm.veevavault.com/ui/#object/vcountry__v/VENZ000004SONF5", "ES")</f>
        <v>ES</v>
      </c>
      <c r="C8242" s="20" t="s">
        <v>39</v>
      </c>
      <c r="D8242" s="21" t="str">
        <f>HYPERLINK("https://otsuka-europe-crm.veevavault.com/ui/#object/approved_document__v/V5O000000006001", "RXULTI - Comparativa antipsicóticos")</f>
        <v>RXULTI - Comparativa antipsicóticos</v>
      </c>
      <c r="E8242" s="22" t="str">
        <f>HYPERLINK("https://otsuka-europe-crm.veevavault.com/ui/#object/sent_email__v/VBL00000003H041", "SE-001448356")</f>
        <v>SE-001448356</v>
      </c>
      <c r="F8242" s="25">
        <v>46234.440416666665</v>
      </c>
      <c r="G8242" s="24">
        <v>1</v>
      </c>
      <c r="H8242" s="24">
        <v>2</v>
      </c>
      <c r="I8242" s="24">
        <v>0</v>
      </c>
      <c r="J8242" s="23"/>
      <c r="K8242" s="24">
        <v>0</v>
      </c>
      <c r="L8242" s="22" t="str">
        <f>HYPERLINK("https://otsuka-europe-crm.veevavault.com/ui/#object/approved_document__v/V5O000000006001", "RXULTI - Comparativa antipsicóticos")</f>
        <v>RXULTI - Comparativa antipsicóticos</v>
      </c>
      <c r="M8242" s="22" t="str">
        <f>HYPERLINK("mailto:jvillalain@crm.otsuka-europe.com", "jvillalain@crm.otsuka-europe.com")</f>
        <v>jvillalain@crm.otsuka-europe.com</v>
      </c>
      <c r="N8242" s="25">
        <v>46234.366319444445</v>
      </c>
      <c r="O8242" s="14" t="str">
        <f>HYPERLINK("https://otsuka-europe-crm.veevavault.com/ui/#object/email_activity__v/V8C00000004G131", "EN-002110019")</f>
        <v>EN-002110019</v>
      </c>
    </row>
    <row r="8243" spans="1:15" ht="16" x14ac:dyDescent="0.2">
      <c r="A8243" s="26"/>
      <c r="B8243" s="26"/>
      <c r="C8243" s="26"/>
      <c r="D8243" s="26"/>
      <c r="E8243" s="26"/>
      <c r="F8243" s="26"/>
      <c r="G8243" s="26"/>
      <c r="H8243" s="26"/>
      <c r="I8243" s="26"/>
      <c r="J8243" s="26"/>
      <c r="K8243" s="26"/>
      <c r="L8243" s="26"/>
      <c r="M8243" s="26"/>
      <c r="N8243" s="26"/>
      <c r="O8243" s="14" t="str">
        <f>HYPERLINK("https://otsuka-europe-crm.veevavault.com/ui/#object/email_activity__v/V8C00000004G384", "EN-002110434")</f>
        <v>EN-002110434</v>
      </c>
    </row>
    <row r="8244" spans="1:15" ht="16" x14ac:dyDescent="0.2">
      <c r="A8244" s="19"/>
      <c r="B8244" s="19"/>
      <c r="C8244" s="19"/>
      <c r="D8244" s="19"/>
      <c r="E8244" s="19"/>
      <c r="F8244" s="19"/>
      <c r="G8244" s="19"/>
      <c r="H8244" s="19"/>
      <c r="I8244" s="19"/>
      <c r="J8244" s="19"/>
      <c r="K8244" s="19"/>
      <c r="L8244" s="19"/>
      <c r="M8244" s="19"/>
      <c r="N8244" s="19"/>
      <c r="O8244" s="14" t="str">
        <f>HYPERLINK("https://otsuka-europe-crm.veevavault.com/ui/#object/email_activity__v/V8C00000004G386", "EN-002110436")</f>
        <v>EN-002110436</v>
      </c>
    </row>
    <row r="8245" spans="1:15" ht="16" x14ac:dyDescent="0.2">
      <c r="A8245" s="18" t="str">
        <f>HYPERLINK("https://otsuka-europe-crm.veevavault.com/ui/#object/account__v/V4TZ06G6O71TB06", "JOSE MARIA MARTINEZ SANCHEZ")</f>
        <v>JOSE MARIA MARTINEZ SANCHEZ</v>
      </c>
      <c r="B8245" s="18" t="str">
        <f>HYPERLINK("https://otsuka-europe-crm.veevavault.com/ui/#object/vcountry__v/VENZ000004SONF5", "ES")</f>
        <v>ES</v>
      </c>
      <c r="C8245" s="20" t="s">
        <v>39</v>
      </c>
      <c r="D8245" s="21" t="str">
        <f>HYPERLINK("https://otsuka-europe-crm.veevavault.com/ui/#object/approved_document__v/V5O000000006001", "RXULTI - Comparativa antipsicóticos")</f>
        <v>RXULTI - Comparativa antipsicóticos</v>
      </c>
      <c r="E8245" s="22" t="str">
        <f>HYPERLINK("https://otsuka-europe-crm.veevavault.com/ui/#object/sent_email__v/VBL00000003H042", "SE-001448357")</f>
        <v>SE-001448357</v>
      </c>
      <c r="F8245" s="25">
        <v>46234.703680555554</v>
      </c>
      <c r="G8245" s="24">
        <v>1</v>
      </c>
      <c r="H8245" s="24">
        <v>1</v>
      </c>
      <c r="I8245" s="24">
        <v>0</v>
      </c>
      <c r="J8245" s="23"/>
      <c r="K8245" s="24">
        <v>0</v>
      </c>
      <c r="L8245" s="22" t="str">
        <f>HYPERLINK("https://otsuka-europe-crm.veevavault.com/ui/#object/approved_document__v/V5O000000006001", "RXULTI - Comparativa antipsicóticos")</f>
        <v>RXULTI - Comparativa antipsicóticos</v>
      </c>
      <c r="M8245" s="22" t="str">
        <f>HYPERLINK("mailto:jvillalain@crm.otsuka-europe.com", "jvillalain@crm.otsuka-europe.com")</f>
        <v>jvillalain@crm.otsuka-europe.com</v>
      </c>
      <c r="N8245" s="25">
        <v>46234.366319444445</v>
      </c>
      <c r="O8245" s="14" t="str">
        <f>HYPERLINK("https://otsuka-europe-crm.veevavault.com/ui/#object/email_activity__v/V8C00000004F432", "EN-002110832")</f>
        <v>EN-002110832</v>
      </c>
    </row>
    <row r="8246" spans="1:15" ht="16" x14ac:dyDescent="0.2">
      <c r="A8246" s="19"/>
      <c r="B8246" s="19"/>
      <c r="C8246" s="19"/>
      <c r="D8246" s="19"/>
      <c r="E8246" s="19"/>
      <c r="F8246" s="19"/>
      <c r="G8246" s="19"/>
      <c r="H8246" s="19"/>
      <c r="I8246" s="19"/>
      <c r="J8246" s="19"/>
      <c r="K8246" s="19"/>
      <c r="L8246" s="19"/>
      <c r="M8246" s="19"/>
      <c r="N8246" s="19"/>
      <c r="O8246" s="14" t="str">
        <f>HYPERLINK("https://otsuka-europe-crm.veevavault.com/ui/#object/email_activity__v/V8C00000004G135", "EN-002110023")</f>
        <v>EN-002110023</v>
      </c>
    </row>
    <row r="8247" spans="1:15" ht="32" x14ac:dyDescent="0.2">
      <c r="A8247" s="7" t="str">
        <f>HYPERLINK("https://otsuka-europe-crm.veevavault.com/ui/#object/account__v/V4TZ06G6O71T936", "ALICIA AGUNDEZ MODINO")</f>
        <v>ALICIA AGUNDEZ MODINO</v>
      </c>
      <c r="B8247" s="7" t="str">
        <f>HYPERLINK("https://otsuka-europe-crm.veevavault.com/ui/#object/vcountry__v/VENZ000004SONF5", "ES")</f>
        <v>ES</v>
      </c>
      <c r="C8247" s="8" t="s">
        <v>39</v>
      </c>
      <c r="D8247" s="9" t="str">
        <f>HYPERLINK("https://otsuka-europe-crm.veevavault.com/ui/#object/approved_document__v/V5O000000006001", "RXULTI - Comparativa antipsicóticos")</f>
        <v>RXULTI - Comparativa antipsicóticos</v>
      </c>
      <c r="E8247" s="10" t="str">
        <f>HYPERLINK("https://otsuka-europe-crm.veevavault.com/ui/#object/sent_email__v/VBL00000003H043", "SE-001448358")</f>
        <v>SE-001448358</v>
      </c>
      <c r="F8247" s="11"/>
      <c r="G8247" s="12">
        <v>0</v>
      </c>
      <c r="H8247" s="12">
        <v>0</v>
      </c>
      <c r="I8247" s="12">
        <v>0</v>
      </c>
      <c r="J8247" s="11"/>
      <c r="K8247" s="12">
        <v>0</v>
      </c>
      <c r="L8247" s="10" t="str">
        <f>HYPERLINK("https://otsuka-europe-crm.veevavault.com/ui/#object/approved_document__v/V5O000000006001", "RXULTI - Comparativa antipsicóticos")</f>
        <v>RXULTI - Comparativa antipsicóticos</v>
      </c>
      <c r="M8247" s="10" t="str">
        <f>HYPERLINK("mailto:jvillalain@crm.otsuka-europe.com", "jvillalain@crm.otsuka-europe.com")</f>
        <v>jvillalain@crm.otsuka-europe.com</v>
      </c>
      <c r="N8247" s="13">
        <v>46234.366319444445</v>
      </c>
      <c r="O8247" s="14" t="str">
        <f>HYPERLINK("https://otsuka-europe-crm.veevavault.com/ui/#object/email_activity__v/V8C00000004G126", "EN-002110014")</f>
        <v>EN-002110014</v>
      </c>
    </row>
    <row r="8248" spans="1:15" ht="32" x14ac:dyDescent="0.2">
      <c r="A8248" s="7" t="str">
        <f>HYPERLINK("https://otsuka-europe-crm.veevavault.com/ui/#object/account__v/V4TZ04ASG6ZJ950", "CELIA DE ANDRES LOBO")</f>
        <v>CELIA DE ANDRES LOBO</v>
      </c>
      <c r="B8248" s="7" t="str">
        <f>HYPERLINK("https://otsuka-europe-crm.veevavault.com/ui/#object/vcountry__v/VENZ000004SONF5", "ES")</f>
        <v>ES</v>
      </c>
      <c r="C8248" s="8" t="s">
        <v>39</v>
      </c>
      <c r="D8248" s="9" t="str">
        <f>HYPERLINK("https://otsuka-europe-crm.veevavault.com/ui/#object/approved_document__v/V5O000000006001", "RXULTI - Comparativa antipsicóticos")</f>
        <v>RXULTI - Comparativa antipsicóticos</v>
      </c>
      <c r="E8248" s="10" t="str">
        <f>HYPERLINK("https://otsuka-europe-crm.veevavault.com/ui/#object/sent_email__v/VBL00000003H044", "SE-001448359")</f>
        <v>SE-001448359</v>
      </c>
      <c r="F8248" s="11"/>
      <c r="G8248" s="12">
        <v>0</v>
      </c>
      <c r="H8248" s="12">
        <v>0</v>
      </c>
      <c r="I8248" s="12">
        <v>0</v>
      </c>
      <c r="J8248" s="11"/>
      <c r="K8248" s="12">
        <v>0</v>
      </c>
      <c r="L8248" s="10" t="str">
        <f>HYPERLINK("https://otsuka-europe-crm.veevavault.com/ui/#object/approved_document__v/V5O000000006001", "RXULTI - Comparativa antipsicóticos")</f>
        <v>RXULTI - Comparativa antipsicóticos</v>
      </c>
      <c r="M8248" s="10" t="str">
        <f>HYPERLINK("mailto:jvillalain@crm.otsuka-europe.com", "jvillalain@crm.otsuka-europe.com")</f>
        <v>jvillalain@crm.otsuka-europe.com</v>
      </c>
      <c r="N8248" s="13">
        <v>46234.366319444445</v>
      </c>
      <c r="O8248" s="14" t="str">
        <f>HYPERLINK("https://otsuka-europe-crm.veevavault.com/ui/#object/email_activity__v/V8C00000004G086", "EN-002109936")</f>
        <v>EN-002109936</v>
      </c>
    </row>
    <row r="8249" spans="1:15" ht="16" x14ac:dyDescent="0.2">
      <c r="A8249" s="18" t="str">
        <f>HYPERLINK("https://otsuka-europe-crm.veevavault.com/ui/#object/account__v/V4TZ06G6O71UQNX", "JUAN PABLO DEL BUSTO BRETONECHE")</f>
        <v>JUAN PABLO DEL BUSTO BRETONECHE</v>
      </c>
      <c r="B8249" s="18" t="str">
        <f>HYPERLINK("https://otsuka-europe-crm.veevavault.com/ui/#object/vcountry__v/VENZ000004SONF5", "ES")</f>
        <v>ES</v>
      </c>
      <c r="C8249" s="20" t="s">
        <v>39</v>
      </c>
      <c r="D8249" s="21" t="str">
        <f>HYPERLINK("https://otsuka-europe-crm.veevavault.com/ui/#object/approved_document__v/V5O000000006001", "RXULTI - Comparativa antipsicóticos")</f>
        <v>RXULTI - Comparativa antipsicóticos</v>
      </c>
      <c r="E8249" s="22" t="str">
        <f>HYPERLINK("https://otsuka-europe-crm.veevavault.com/ui/#object/sent_email__v/VBL00000003H045", "SE-001448360")</f>
        <v>SE-001448360</v>
      </c>
      <c r="F8249" s="25">
        <v>46237.678726851853</v>
      </c>
      <c r="G8249" s="24">
        <v>1</v>
      </c>
      <c r="H8249" s="24">
        <v>1</v>
      </c>
      <c r="I8249" s="24">
        <v>0</v>
      </c>
      <c r="J8249" s="23"/>
      <c r="K8249" s="24">
        <v>0</v>
      </c>
      <c r="L8249" s="22" t="str">
        <f>HYPERLINK("https://otsuka-europe-crm.veevavault.com/ui/#object/approved_document__v/V5O000000006001", "RXULTI - Comparativa antipsicóticos")</f>
        <v>RXULTI - Comparativa antipsicóticos</v>
      </c>
      <c r="M8249" s="22" t="str">
        <f>HYPERLINK("mailto:jvillalain@crm.otsuka-europe.com", "jvillalain@crm.otsuka-europe.com")</f>
        <v>jvillalain@crm.otsuka-europe.com</v>
      </c>
      <c r="N8249" s="25">
        <v>46234.366319444445</v>
      </c>
      <c r="O8249" s="14" t="str">
        <f>HYPERLINK("https://otsuka-europe-crm.veevavault.com/ui/#object/email_activity__v/V8C00000004G071", "EN-002109921")</f>
        <v>EN-002109921</v>
      </c>
    </row>
    <row r="8250" spans="1:15" ht="16" x14ac:dyDescent="0.2">
      <c r="A8250" s="19"/>
      <c r="B8250" s="19"/>
      <c r="C8250" s="19"/>
      <c r="D8250" s="19"/>
      <c r="E8250" s="19"/>
      <c r="F8250" s="19"/>
      <c r="G8250" s="19"/>
      <c r="H8250" s="19"/>
      <c r="I8250" s="19"/>
      <c r="J8250" s="19"/>
      <c r="K8250" s="19"/>
      <c r="L8250" s="19"/>
      <c r="M8250" s="19"/>
      <c r="N8250" s="19"/>
      <c r="O8250" s="14" t="str">
        <f>HYPERLINK("https://otsuka-europe-crm.veevavault.com/ui/#object/email_activity__v/V8C00000004H231", "EN-002111346")</f>
        <v>EN-002111346</v>
      </c>
    </row>
    <row r="8251" spans="1:15" ht="16" x14ac:dyDescent="0.2">
      <c r="A8251" s="18" t="str">
        <f>HYPERLINK("https://otsuka-europe-crm.veevavault.com/ui/#object/account__v/V4TZ06G6O71T7DM", "JUAN LUIS MUÑOZ SANCHEZ")</f>
        <v>JUAN LUIS MUÑOZ SANCHEZ</v>
      </c>
      <c r="B8251" s="18" t="str">
        <f>HYPERLINK("https://otsuka-europe-crm.veevavault.com/ui/#object/vcountry__v/VENZ000004SONF5", "ES")</f>
        <v>ES</v>
      </c>
      <c r="C8251" s="20" t="s">
        <v>39</v>
      </c>
      <c r="D8251" s="21" t="str">
        <f>HYPERLINK("https://otsuka-europe-crm.veevavault.com/ui/#object/approved_document__v/V5O000000006001", "RXULTI - Comparativa antipsicóticos")</f>
        <v>RXULTI - Comparativa antipsicóticos</v>
      </c>
      <c r="E8251" s="22" t="str">
        <f>HYPERLINK("https://otsuka-europe-crm.veevavault.com/ui/#object/sent_email__v/VBL00000003H046", "SE-001448361")</f>
        <v>SE-001448361</v>
      </c>
      <c r="F8251" s="25">
        <v>46234.442719907405</v>
      </c>
      <c r="G8251" s="24">
        <v>1</v>
      </c>
      <c r="H8251" s="24">
        <v>1</v>
      </c>
      <c r="I8251" s="24">
        <v>0</v>
      </c>
      <c r="J8251" s="23"/>
      <c r="K8251" s="24">
        <v>0</v>
      </c>
      <c r="L8251" s="22" t="str">
        <f>HYPERLINK("https://otsuka-europe-crm.veevavault.com/ui/#object/approved_document__v/V5O000000006001", "RXULTI - Comparativa antipsicóticos")</f>
        <v>RXULTI - Comparativa antipsicóticos</v>
      </c>
      <c r="M8251" s="22" t="str">
        <f>HYPERLINK("mailto:jvillalain@crm.otsuka-europe.com", "jvillalain@crm.otsuka-europe.com")</f>
        <v>jvillalain@crm.otsuka-europe.com</v>
      </c>
      <c r="N8251" s="25">
        <v>46234.366400462961</v>
      </c>
      <c r="O8251" s="14" t="str">
        <f>HYPERLINK("https://otsuka-europe-crm.veevavault.com/ui/#object/email_activity__v/V8C00000004G106", "EN-002109972")</f>
        <v>EN-002109972</v>
      </c>
    </row>
    <row r="8252" spans="1:15" ht="16" x14ac:dyDescent="0.2">
      <c r="A8252" s="19"/>
      <c r="B8252" s="19"/>
      <c r="C8252" s="19"/>
      <c r="D8252" s="19"/>
      <c r="E8252" s="19"/>
      <c r="F8252" s="19"/>
      <c r="G8252" s="19"/>
      <c r="H8252" s="19"/>
      <c r="I8252" s="19"/>
      <c r="J8252" s="19"/>
      <c r="K8252" s="19"/>
      <c r="L8252" s="19"/>
      <c r="M8252" s="19"/>
      <c r="N8252" s="19"/>
      <c r="O8252" s="14" t="str">
        <f>HYPERLINK("https://otsuka-europe-crm.veevavault.com/ui/#object/email_activity__v/V8C00000004G390", "EN-002110441")</f>
        <v>EN-002110441</v>
      </c>
    </row>
    <row r="8253" spans="1:15" ht="32" x14ac:dyDescent="0.2">
      <c r="A8253" s="7" t="str">
        <f>HYPERLINK("https://otsuka-europe-crm.veevavault.com/ui/#object/account__v/V4TZ06G6O8KXAR4", "MARIA CARMEN RODRIGUEZ FERNANDEZ")</f>
        <v>MARIA CARMEN RODRIGUEZ FERNANDEZ</v>
      </c>
      <c r="B8253" s="7" t="str">
        <f>HYPERLINK("https://otsuka-europe-crm.veevavault.com/ui/#object/vcountry__v/VENZ000004SONF5", "ES")</f>
        <v>ES</v>
      </c>
      <c r="C8253" s="8" t="s">
        <v>39</v>
      </c>
      <c r="D8253" s="9" t="str">
        <f>HYPERLINK("https://otsuka-europe-crm.veevavault.com/ui/#object/approved_document__v/V5O000000006001", "RXULTI - Comparativa antipsicóticos")</f>
        <v>RXULTI - Comparativa antipsicóticos</v>
      </c>
      <c r="E8253" s="10" t="str">
        <f>HYPERLINK("https://otsuka-europe-crm.veevavault.com/ui/#object/sent_email__v/VBL00000003H047", "SE-001448362")</f>
        <v>SE-001448362</v>
      </c>
      <c r="F8253" s="11"/>
      <c r="G8253" s="12">
        <v>0</v>
      </c>
      <c r="H8253" s="12">
        <v>0</v>
      </c>
      <c r="I8253" s="12">
        <v>0</v>
      </c>
      <c r="J8253" s="11"/>
      <c r="K8253" s="12">
        <v>0</v>
      </c>
      <c r="L8253" s="10" t="str">
        <f>HYPERLINK("https://otsuka-europe-crm.veevavault.com/ui/#object/approved_document__v/V5O000000006001", "RXULTI - Comparativa antipsicóticos")</f>
        <v>RXULTI - Comparativa antipsicóticos</v>
      </c>
      <c r="M8253" s="10" t="str">
        <f>HYPERLINK("mailto:jvillalain@crm.otsuka-europe.com", "jvillalain@crm.otsuka-europe.com")</f>
        <v>jvillalain@crm.otsuka-europe.com</v>
      </c>
      <c r="N8253" s="13">
        <v>46234.366319444445</v>
      </c>
      <c r="O8253" s="14" t="str">
        <f>HYPERLINK("https://otsuka-europe-crm.veevavault.com/ui/#object/email_activity__v/V8C00000004G136", "EN-002110024")</f>
        <v>EN-002110024</v>
      </c>
    </row>
    <row r="8254" spans="1:15" ht="32" x14ac:dyDescent="0.2">
      <c r="A8254" s="7" t="str">
        <f>HYPERLINK("https://otsuka-europe-crm.veevavault.com/ui/#object/account__v/V4TZ06G6O71TA4P", "EVA MARIA GRACIA GRANDEZ")</f>
        <v>EVA MARIA GRACIA GRANDEZ</v>
      </c>
      <c r="B8254" s="7" t="str">
        <f>HYPERLINK("https://otsuka-europe-crm.veevavault.com/ui/#object/vcountry__v/VENZ000004SONF5", "ES")</f>
        <v>ES</v>
      </c>
      <c r="C8254" s="8" t="s">
        <v>39</v>
      </c>
      <c r="D8254" s="9" t="str">
        <f>HYPERLINK("https://otsuka-europe-crm.veevavault.com/ui/#object/approved_document__v/V5O000000006001", "RXULTI - Comparativa antipsicóticos")</f>
        <v>RXULTI - Comparativa antipsicóticos</v>
      </c>
      <c r="E8254" s="10" t="str">
        <f>HYPERLINK("https://otsuka-europe-crm.veevavault.com/ui/#object/sent_email__v/VBL00000003H048", "SE-001448363")</f>
        <v>SE-001448363</v>
      </c>
      <c r="F8254" s="11"/>
      <c r="G8254" s="12">
        <v>0</v>
      </c>
      <c r="H8254" s="12">
        <v>0</v>
      </c>
      <c r="I8254" s="12">
        <v>0</v>
      </c>
      <c r="J8254" s="11"/>
      <c r="K8254" s="12">
        <v>0</v>
      </c>
      <c r="L8254" s="10" t="str">
        <f>HYPERLINK("https://otsuka-europe-crm.veevavault.com/ui/#object/approved_document__v/V5O000000006001", "RXULTI - Comparativa antipsicóticos")</f>
        <v>RXULTI - Comparativa antipsicóticos</v>
      </c>
      <c r="M8254" s="10" t="str">
        <f>HYPERLINK("mailto:jvillalain@crm.otsuka-europe.com", "jvillalain@crm.otsuka-europe.com")</f>
        <v>jvillalain@crm.otsuka-europe.com</v>
      </c>
      <c r="N8254" s="13">
        <v>46234.366319444445</v>
      </c>
      <c r="O8254" s="14" t="str">
        <f>HYPERLINK("https://otsuka-europe-crm.veevavault.com/ui/#object/email_activity__v/V8C00000004G128", "EN-002110016")</f>
        <v>EN-002110016</v>
      </c>
    </row>
    <row r="8255" spans="1:15" ht="32" x14ac:dyDescent="0.2">
      <c r="A8255" s="7" t="str">
        <f>HYPERLINK("https://otsuka-europe-crm.veevavault.com/ui/#object/account__v/V4TZ06G6O71T95R", "IGNACIO ALVAREZ MARRODAN")</f>
        <v>IGNACIO ALVAREZ MARRODAN</v>
      </c>
      <c r="B8255" s="7" t="str">
        <f>HYPERLINK("https://otsuka-europe-crm.veevavault.com/ui/#object/vcountry__v/VENZ000004SONF5", "ES")</f>
        <v>ES</v>
      </c>
      <c r="C8255" s="8" t="s">
        <v>39</v>
      </c>
      <c r="D8255" s="9" t="str">
        <f>HYPERLINK("https://otsuka-europe-crm.veevavault.com/ui/#object/approved_document__v/V5O000000006001", "RXULTI - Comparativa antipsicóticos")</f>
        <v>RXULTI - Comparativa antipsicóticos</v>
      </c>
      <c r="E8255" s="10" t="str">
        <f>HYPERLINK("https://otsuka-europe-crm.veevavault.com/ui/#object/sent_email__v/VBL00000003H049", "SE-001448364")</f>
        <v>SE-001448364</v>
      </c>
      <c r="F8255" s="11"/>
      <c r="G8255" s="12">
        <v>0</v>
      </c>
      <c r="H8255" s="12">
        <v>0</v>
      </c>
      <c r="I8255" s="12">
        <v>0</v>
      </c>
      <c r="J8255" s="11"/>
      <c r="K8255" s="12">
        <v>0</v>
      </c>
      <c r="L8255" s="10" t="str">
        <f>HYPERLINK("https://otsuka-europe-crm.veevavault.com/ui/#object/approved_document__v/V5O000000006001", "RXULTI - Comparativa antipsicóticos")</f>
        <v>RXULTI - Comparativa antipsicóticos</v>
      </c>
      <c r="M8255" s="10" t="str">
        <f>HYPERLINK("mailto:jvillalain@crm.otsuka-europe.com", "jvillalain@crm.otsuka-europe.com")</f>
        <v>jvillalain@crm.otsuka-europe.com</v>
      </c>
      <c r="N8255" s="13">
        <v>46234.366319444445</v>
      </c>
      <c r="O8255" s="14" t="str">
        <f>HYPERLINK("https://otsuka-europe-crm.veevavault.com/ui/#object/email_activity__v/V8C00000004G129", "EN-002110017")</f>
        <v>EN-002110017</v>
      </c>
    </row>
    <row r="8256" spans="1:15" ht="32" x14ac:dyDescent="0.2">
      <c r="A8256" s="7" t="str">
        <f>HYPERLINK("https://otsuka-europe-crm.veevavault.com/ui/#object/account__v/V4TZ04ASG6ZJ951", "NABONAZAR NAVARRO BARRIGA")</f>
        <v>NABONAZAR NAVARRO BARRIGA</v>
      </c>
      <c r="B8256" s="7" t="str">
        <f>HYPERLINK("https://otsuka-europe-crm.veevavault.com/ui/#object/vcountry__v/VENZ000004SONF5", "ES")</f>
        <v>ES</v>
      </c>
      <c r="C8256" s="8" t="s">
        <v>39</v>
      </c>
      <c r="D8256" s="9" t="str">
        <f>HYPERLINK("https://otsuka-europe-crm.veevavault.com/ui/#object/approved_document__v/V5O000000006001", "RXULTI - Comparativa antipsicóticos")</f>
        <v>RXULTI - Comparativa antipsicóticos</v>
      </c>
      <c r="E8256" s="10" t="str">
        <f>HYPERLINK("https://otsuka-europe-crm.veevavault.com/ui/#object/sent_email__v/VBL00000003H050", "SE-001448365")</f>
        <v>SE-001448365</v>
      </c>
      <c r="F8256" s="11"/>
      <c r="G8256" s="12">
        <v>0</v>
      </c>
      <c r="H8256" s="12">
        <v>0</v>
      </c>
      <c r="I8256" s="12">
        <v>0</v>
      </c>
      <c r="J8256" s="11"/>
      <c r="K8256" s="12">
        <v>0</v>
      </c>
      <c r="L8256" s="10" t="str">
        <f>HYPERLINK("https://otsuka-europe-crm.veevavault.com/ui/#object/approved_document__v/V5O000000006001", "RXULTI - Comparativa antipsicóticos")</f>
        <v>RXULTI - Comparativa antipsicóticos</v>
      </c>
      <c r="M8256" s="10" t="str">
        <f>HYPERLINK("mailto:jvillalain@crm.otsuka-europe.com", "jvillalain@crm.otsuka-europe.com")</f>
        <v>jvillalain@crm.otsuka-europe.com</v>
      </c>
      <c r="N8256" s="13">
        <v>46234.366342592592</v>
      </c>
      <c r="O8256" s="14" t="str">
        <f>HYPERLINK("https://otsuka-europe-crm.veevavault.com/ui/#object/email_activity__v/V8C00000004F073", "EN-002109945")</f>
        <v>EN-002109945</v>
      </c>
    </row>
    <row r="8257" spans="1:15" ht="16" x14ac:dyDescent="0.2">
      <c r="A8257" s="18" t="str">
        <f>HYPERLINK("https://otsuka-europe-crm.veevavault.com/ui/#object/account__v/V4TZ06G6O71TA7H", "VANESA GONZALEZ DE MARIA")</f>
        <v>VANESA GONZALEZ DE MARIA</v>
      </c>
      <c r="B8257" s="18" t="str">
        <f>HYPERLINK("https://otsuka-europe-crm.veevavault.com/ui/#object/vcountry__v/VENZ000004SONF5", "ES")</f>
        <v>ES</v>
      </c>
      <c r="C8257" s="20" t="s">
        <v>39</v>
      </c>
      <c r="D8257" s="21" t="str">
        <f>HYPERLINK("https://otsuka-europe-crm.veevavault.com/ui/#object/approved_document__v/V5O000000006001", "RXULTI - Comparativa antipsicóticos")</f>
        <v>RXULTI - Comparativa antipsicóticos</v>
      </c>
      <c r="E8257" s="22" t="str">
        <f>HYPERLINK("https://otsuka-europe-crm.veevavault.com/ui/#object/sent_email__v/VBL00000003H051", "SE-001448366")</f>
        <v>SE-001448366</v>
      </c>
      <c r="F8257" s="25">
        <v>46236.347361111111</v>
      </c>
      <c r="G8257" s="24">
        <v>1</v>
      </c>
      <c r="H8257" s="24">
        <v>2</v>
      </c>
      <c r="I8257" s="24">
        <v>0</v>
      </c>
      <c r="J8257" s="23"/>
      <c r="K8257" s="24">
        <v>0</v>
      </c>
      <c r="L8257" s="22" t="str">
        <f>HYPERLINK("https://otsuka-europe-crm.veevavault.com/ui/#object/approved_document__v/V5O000000006001", "RXULTI - Comparativa antipsicóticos")</f>
        <v>RXULTI - Comparativa antipsicóticos</v>
      </c>
      <c r="M8257" s="22" t="str">
        <f>HYPERLINK("mailto:jvillalain@crm.otsuka-europe.com", "jvillalain@crm.otsuka-europe.com")</f>
        <v>jvillalain@crm.otsuka-europe.com</v>
      </c>
      <c r="N8257" s="25">
        <v>46234.366342592592</v>
      </c>
      <c r="O8257" s="14" t="str">
        <f>HYPERLINK("https://otsuka-europe-crm.veevavault.com/ui/#object/email_activity__v/V8C00000004G100", "EN-002109966")</f>
        <v>EN-002109966</v>
      </c>
    </row>
    <row r="8258" spans="1:15" ht="16" x14ac:dyDescent="0.2">
      <c r="A8258" s="26"/>
      <c r="B8258" s="26"/>
      <c r="C8258" s="26"/>
      <c r="D8258" s="26"/>
      <c r="E8258" s="26"/>
      <c r="F8258" s="26"/>
      <c r="G8258" s="26"/>
      <c r="H8258" s="26"/>
      <c r="I8258" s="26"/>
      <c r="J8258" s="26"/>
      <c r="K8258" s="26"/>
      <c r="L8258" s="26"/>
      <c r="M8258" s="26"/>
      <c r="N8258" s="26"/>
      <c r="O8258" s="14" t="str">
        <f>HYPERLINK("https://otsuka-europe-crm.veevavault.com/ui/#object/email_activity__v/V8C00000004G572", "EN-002110742")</f>
        <v>EN-002110742</v>
      </c>
    </row>
    <row r="8259" spans="1:15" ht="16" x14ac:dyDescent="0.2">
      <c r="A8259" s="19"/>
      <c r="B8259" s="19"/>
      <c r="C8259" s="19"/>
      <c r="D8259" s="19"/>
      <c r="E8259" s="19"/>
      <c r="F8259" s="19"/>
      <c r="G8259" s="19"/>
      <c r="H8259" s="19"/>
      <c r="I8259" s="19"/>
      <c r="J8259" s="19"/>
      <c r="K8259" s="19"/>
      <c r="L8259" s="19"/>
      <c r="M8259" s="19"/>
      <c r="N8259" s="19"/>
      <c r="O8259" s="14" t="str">
        <f>HYPERLINK("https://otsuka-europe-crm.veevavault.com/ui/#object/email_activity__v/V8C00000004I058", "EN-002111088")</f>
        <v>EN-002111088</v>
      </c>
    </row>
    <row r="8260" spans="1:15" ht="32" x14ac:dyDescent="0.2">
      <c r="A8260" s="7" t="str">
        <f>HYPERLINK("https://otsuka-europe-crm.veevavault.com/ui/#object/account__v/V4TZ06G6O71TBPC", "MARIA AVELINA PARRILLA ESCOBAR")</f>
        <v>MARIA AVELINA PARRILLA ESCOBAR</v>
      </c>
      <c r="B8260" s="7" t="str">
        <f>HYPERLINK("https://otsuka-europe-crm.veevavault.com/ui/#object/vcountry__v/VENZ000004SONF5", "ES")</f>
        <v>ES</v>
      </c>
      <c r="C8260" s="8" t="s">
        <v>39</v>
      </c>
      <c r="D8260" s="9" t="str">
        <f>HYPERLINK("https://otsuka-europe-crm.veevavault.com/ui/#object/approved_document__v/V5O000000006001", "RXULTI - Comparativa antipsicóticos")</f>
        <v>RXULTI - Comparativa antipsicóticos</v>
      </c>
      <c r="E8260" s="10" t="str">
        <f>HYPERLINK("https://otsuka-europe-crm.veevavault.com/ui/#object/sent_email__v/VBL00000003H052", "SE-001448367")</f>
        <v>SE-001448367</v>
      </c>
      <c r="F8260" s="11"/>
      <c r="G8260" s="12">
        <v>0</v>
      </c>
      <c r="H8260" s="12">
        <v>0</v>
      </c>
      <c r="I8260" s="12">
        <v>0</v>
      </c>
      <c r="J8260" s="11"/>
      <c r="K8260" s="12">
        <v>0</v>
      </c>
      <c r="L8260" s="10" t="str">
        <f>HYPERLINK("https://otsuka-europe-crm.veevavault.com/ui/#object/approved_document__v/V5O000000006001", "RXULTI - Comparativa antipsicóticos")</f>
        <v>RXULTI - Comparativa antipsicóticos</v>
      </c>
      <c r="M8260" s="10" t="str">
        <f>HYPERLINK("mailto:jvillalain@crm.otsuka-europe.com", "jvillalain@crm.otsuka-europe.com")</f>
        <v>jvillalain@crm.otsuka-europe.com</v>
      </c>
      <c r="N8260" s="13">
        <v>46234.366354166668</v>
      </c>
      <c r="O8260" s="14" t="str">
        <f>HYPERLINK("https://otsuka-europe-crm.veevavault.com/ui/#object/email_activity__v/V8C00000004G092", "EN-002109953")</f>
        <v>EN-002109953</v>
      </c>
    </row>
    <row r="8261" spans="1:15" ht="32" x14ac:dyDescent="0.2">
      <c r="A8261" s="7" t="str">
        <f>HYPERLINK("https://otsuka-europe-crm.veevavault.com/ui/#object/account__v/V4TZ025E8363WJ5", "MARINA ANTONIA ANDREO VIDAL")</f>
        <v>MARINA ANTONIA ANDREO VIDAL</v>
      </c>
      <c r="B8261" s="7" t="str">
        <f>HYPERLINK("https://otsuka-europe-crm.veevavault.com/ui/#object/vcountry__v/VENZ000004SONF5", "ES")</f>
        <v>ES</v>
      </c>
      <c r="C8261" s="8" t="s">
        <v>39</v>
      </c>
      <c r="D8261" s="9" t="str">
        <f>HYPERLINK("https://otsuka-europe-crm.veevavault.com/ui/#object/approved_document__v/V5O000000006001", "RXULTI - Comparativa antipsicóticos")</f>
        <v>RXULTI - Comparativa antipsicóticos</v>
      </c>
      <c r="E8261" s="10" t="str">
        <f>HYPERLINK("https://otsuka-europe-crm.veevavault.com/ui/#object/sent_email__v/VBL00000003H053", "SE-001448368")</f>
        <v>SE-001448368</v>
      </c>
      <c r="F8261" s="11"/>
      <c r="G8261" s="12">
        <v>0</v>
      </c>
      <c r="H8261" s="12">
        <v>0</v>
      </c>
      <c r="I8261" s="12">
        <v>0</v>
      </c>
      <c r="J8261" s="11"/>
      <c r="K8261" s="12">
        <v>0</v>
      </c>
      <c r="L8261" s="10" t="str">
        <f>HYPERLINK("https://otsuka-europe-crm.veevavault.com/ui/#object/approved_document__v/V5O000000006001", "RXULTI - Comparativa antipsicóticos")</f>
        <v>RXULTI - Comparativa antipsicóticos</v>
      </c>
      <c r="M8261" s="10" t="str">
        <f>HYPERLINK("mailto:jvillalain@crm.otsuka-europe.com", "jvillalain@crm.otsuka-europe.com")</f>
        <v>jvillalain@crm.otsuka-europe.com</v>
      </c>
      <c r="N8261" s="13">
        <v>46234.366388888891</v>
      </c>
      <c r="O8261" s="14" t="str">
        <f>HYPERLINK("https://otsuka-europe-crm.veevavault.com/ui/#object/email_activity__v/V8C00000004G108", "EN-002109980")</f>
        <v>EN-002109980</v>
      </c>
    </row>
    <row r="8262" spans="1:15" ht="16" x14ac:dyDescent="0.2">
      <c r="A8262" s="18" t="str">
        <f>HYPERLINK("https://otsuka-europe-crm.veevavault.com/ui/#object/account__v/V4TZ025E82N3KYN", "RAQUEL PEREZ DEL TORO")</f>
        <v>RAQUEL PEREZ DEL TORO</v>
      </c>
      <c r="B8262" s="18" t="str">
        <f>HYPERLINK("https://otsuka-europe-crm.veevavault.com/ui/#object/vcountry__v/VENZ000004SONF5", "ES")</f>
        <v>ES</v>
      </c>
      <c r="C8262" s="20" t="s">
        <v>39</v>
      </c>
      <c r="D8262" s="21" t="str">
        <f>HYPERLINK("https://otsuka-europe-crm.veevavault.com/ui/#object/approved_document__v/V5O000000006001", "RXULTI - Comparativa antipsicóticos")</f>
        <v>RXULTI - Comparativa antipsicóticos</v>
      </c>
      <c r="E8262" s="22" t="str">
        <f>HYPERLINK("https://otsuka-europe-crm.veevavault.com/ui/#object/sent_email__v/VBL00000003H054", "SE-001448369")</f>
        <v>SE-001448369</v>
      </c>
      <c r="F8262" s="23"/>
      <c r="G8262" s="24">
        <v>0</v>
      </c>
      <c r="H8262" s="24">
        <v>0</v>
      </c>
      <c r="I8262" s="24">
        <v>0</v>
      </c>
      <c r="J8262" s="23"/>
      <c r="K8262" s="24">
        <v>0</v>
      </c>
      <c r="L8262" s="22" t="str">
        <f>HYPERLINK("https://otsuka-europe-crm.veevavault.com/ui/#object/approved_document__v/V5O000000006001", "RXULTI - Comparativa antipsicóticos")</f>
        <v>RXULTI - Comparativa antipsicóticos</v>
      </c>
      <c r="M8262" s="22" t="str">
        <f>HYPERLINK("mailto:jvillalain@crm.otsuka-europe.com", "jvillalain@crm.otsuka-europe.com")</f>
        <v>jvillalain@crm.otsuka-europe.com</v>
      </c>
      <c r="N8262" s="25">
        <v>46234.366342592592</v>
      </c>
      <c r="O8262" s="14" t="str">
        <f>HYPERLINK("https://otsuka-europe-crm.veevavault.com/ui/#object/email_activity__v/V8C00000004F086", "EN-002109978")</f>
        <v>EN-002109978</v>
      </c>
    </row>
    <row r="8263" spans="1:15" ht="16" x14ac:dyDescent="0.2">
      <c r="A8263" s="26"/>
      <c r="B8263" s="26"/>
      <c r="C8263" s="26"/>
      <c r="D8263" s="26"/>
      <c r="E8263" s="26"/>
      <c r="F8263" s="26"/>
      <c r="G8263" s="26"/>
      <c r="H8263" s="26"/>
      <c r="I8263" s="26"/>
      <c r="J8263" s="26"/>
      <c r="K8263" s="26"/>
      <c r="L8263" s="26"/>
      <c r="M8263" s="26"/>
      <c r="N8263" s="26"/>
      <c r="O8263" s="14" t="str">
        <f>HYPERLINK("https://otsuka-europe-crm.veevavault.com/ui/#object/email_activity__v/V8C00000004F125", "EN-002110062")</f>
        <v>EN-002110062</v>
      </c>
    </row>
    <row r="8264" spans="1:15" ht="16" x14ac:dyDescent="0.2">
      <c r="A8264" s="19"/>
      <c r="B8264" s="19"/>
      <c r="C8264" s="19"/>
      <c r="D8264" s="19"/>
      <c r="E8264" s="19"/>
      <c r="F8264" s="19"/>
      <c r="G8264" s="19"/>
      <c r="H8264" s="19"/>
      <c r="I8264" s="19"/>
      <c r="J8264" s="19"/>
      <c r="K8264" s="19"/>
      <c r="L8264" s="19"/>
      <c r="M8264" s="19"/>
      <c r="N8264" s="19"/>
      <c r="O8264" s="14" t="str">
        <f>HYPERLINK("https://otsuka-europe-crm.veevavault.com/ui/#object/email_activity__v/V8C00000004G592", "EN-002110781")</f>
        <v>EN-002110781</v>
      </c>
    </row>
    <row r="8265" spans="1:15" ht="32" x14ac:dyDescent="0.2">
      <c r="A8265" s="7" t="str">
        <f>HYPERLINK("https://otsuka-europe-crm.veevavault.com/ui/#object/account__v/V4TZ06G6O71TAA9", "CARLOS IMAZ RONCERO")</f>
        <v>CARLOS IMAZ RONCERO</v>
      </c>
      <c r="B8265" s="7" t="str">
        <f>HYPERLINK("https://otsuka-europe-crm.veevavault.com/ui/#object/vcountry__v/VENZ000004SONF5", "ES")</f>
        <v>ES</v>
      </c>
      <c r="C8265" s="8" t="s">
        <v>39</v>
      </c>
      <c r="D8265" s="9" t="str">
        <f>HYPERLINK("https://otsuka-europe-crm.veevavault.com/ui/#object/approved_document__v/V5O000000006001", "RXULTI - Comparativa antipsicóticos")</f>
        <v>RXULTI - Comparativa antipsicóticos</v>
      </c>
      <c r="E8265" s="10" t="str">
        <f>HYPERLINK("https://otsuka-europe-crm.veevavault.com/ui/#object/sent_email__v/VBL00000003H055", "SE-001448370")</f>
        <v>SE-001448370</v>
      </c>
      <c r="F8265" s="11"/>
      <c r="G8265" s="12">
        <v>0</v>
      </c>
      <c r="H8265" s="12">
        <v>0</v>
      </c>
      <c r="I8265" s="12">
        <v>0</v>
      </c>
      <c r="J8265" s="11"/>
      <c r="K8265" s="12">
        <v>0</v>
      </c>
      <c r="L8265" s="10" t="str">
        <f>HYPERLINK("https://otsuka-europe-crm.veevavault.com/ui/#object/approved_document__v/V5O000000006001", "RXULTI - Comparativa antipsicóticos")</f>
        <v>RXULTI - Comparativa antipsicóticos</v>
      </c>
      <c r="M8265" s="10" t="str">
        <f>HYPERLINK("mailto:jvillalain@crm.otsuka-europe.com", "jvillalain@crm.otsuka-europe.com")</f>
        <v>jvillalain@crm.otsuka-europe.com</v>
      </c>
      <c r="N8265" s="13">
        <v>46234.366342592592</v>
      </c>
      <c r="O8265" s="14" t="str">
        <f>HYPERLINK("https://otsuka-europe-crm.veevavault.com/ui/#object/email_activity__v/V8C00000004F075", "EN-002109947")</f>
        <v>EN-002109947</v>
      </c>
    </row>
    <row r="8266" spans="1:15" ht="32" x14ac:dyDescent="0.2">
      <c r="A8266" s="7" t="str">
        <f>HYPERLINK("https://otsuka-europe-crm.veevavault.com/ui/#object/account__v/V4TZ04ASG88DB7R", "RUBEN OCHOA BLANCO")</f>
        <v>RUBEN OCHOA BLANCO</v>
      </c>
      <c r="B8266" s="7" t="str">
        <f>HYPERLINK("https://otsuka-europe-crm.veevavault.com/ui/#object/vcountry__v/VENZ000004SONF5", "ES")</f>
        <v>ES</v>
      </c>
      <c r="C8266" s="8" t="s">
        <v>39</v>
      </c>
      <c r="D8266" s="9" t="str">
        <f>HYPERLINK("https://otsuka-europe-crm.veevavault.com/ui/#object/approved_document__v/V5O000000006001", "RXULTI - Comparativa antipsicóticos")</f>
        <v>RXULTI - Comparativa antipsicóticos</v>
      </c>
      <c r="E8266" s="10" t="str">
        <f>HYPERLINK("https://otsuka-europe-crm.veevavault.com/ui/#object/sent_email__v/VBL00000003H056", "SE-001448371")</f>
        <v>SE-001448371</v>
      </c>
      <c r="F8266" s="11"/>
      <c r="G8266" s="12">
        <v>0</v>
      </c>
      <c r="H8266" s="12">
        <v>0</v>
      </c>
      <c r="I8266" s="12">
        <v>0</v>
      </c>
      <c r="J8266" s="11"/>
      <c r="K8266" s="12">
        <v>0</v>
      </c>
      <c r="L8266" s="10" t="str">
        <f>HYPERLINK("https://otsuka-europe-crm.veevavault.com/ui/#object/approved_document__v/V5O000000006001", "RXULTI - Comparativa antipsicóticos")</f>
        <v>RXULTI - Comparativa antipsicóticos</v>
      </c>
      <c r="M8266" s="10" t="str">
        <f>HYPERLINK("mailto:jvillalain@crm.otsuka-europe.com", "jvillalain@crm.otsuka-europe.com")</f>
        <v>jvillalain@crm.otsuka-europe.com</v>
      </c>
      <c r="N8266" s="13">
        <v>46234.366354166668</v>
      </c>
      <c r="O8266" s="14" t="str">
        <f>HYPERLINK("https://otsuka-europe-crm.veevavault.com/ui/#object/email_activity__v/V8C00000004G093", "EN-002109954")</f>
        <v>EN-002109954</v>
      </c>
    </row>
    <row r="8267" spans="1:15" ht="16" x14ac:dyDescent="0.2">
      <c r="A8267" s="18" t="str">
        <f>HYPERLINK("https://otsuka-europe-crm.veevavault.com/ui/#object/account__v/V4TZ025E82S2UL8", "LAURA OSES ZARATE")</f>
        <v>LAURA OSES ZARATE</v>
      </c>
      <c r="B8267" s="18" t="str">
        <f>HYPERLINK("https://otsuka-europe-crm.veevavault.com/ui/#object/vcountry__v/VENZ000004SONF5", "ES")</f>
        <v>ES</v>
      </c>
      <c r="C8267" s="20" t="s">
        <v>39</v>
      </c>
      <c r="D8267" s="21" t="str">
        <f>HYPERLINK("https://otsuka-europe-crm.veevavault.com/ui/#object/approved_document__v/V5O000000006001", "RXULTI - Comparativa antipsicóticos")</f>
        <v>RXULTI - Comparativa antipsicóticos</v>
      </c>
      <c r="E8267" s="22" t="str">
        <f>HYPERLINK("https://otsuka-europe-crm.veevavault.com/ui/#object/sent_email__v/VBL00000003H057", "SE-001448372")</f>
        <v>SE-001448372</v>
      </c>
      <c r="F8267" s="25">
        <v>46235.294872685183</v>
      </c>
      <c r="G8267" s="24">
        <v>1</v>
      </c>
      <c r="H8267" s="24">
        <v>1</v>
      </c>
      <c r="I8267" s="24">
        <v>0</v>
      </c>
      <c r="J8267" s="23"/>
      <c r="K8267" s="24">
        <v>0</v>
      </c>
      <c r="L8267" s="22" t="str">
        <f>HYPERLINK("https://otsuka-europe-crm.veevavault.com/ui/#object/approved_document__v/V5O000000006001", "RXULTI - Comparativa antipsicóticos")</f>
        <v>RXULTI - Comparativa antipsicóticos</v>
      </c>
      <c r="M8267" s="22" t="str">
        <f>HYPERLINK("mailto:jvillalain@crm.otsuka-europe.com", "jvillalain@crm.otsuka-europe.com")</f>
        <v>jvillalain@crm.otsuka-europe.com</v>
      </c>
      <c r="N8267" s="25">
        <v>46234.366319444445</v>
      </c>
      <c r="O8267" s="14" t="str">
        <f>HYPERLINK("https://otsuka-europe-crm.veevavault.com/ui/#object/email_activity__v/V8C00000004F058", "EN-002109908")</f>
        <v>EN-002109908</v>
      </c>
    </row>
    <row r="8268" spans="1:15" ht="16" x14ac:dyDescent="0.2">
      <c r="A8268" s="19"/>
      <c r="B8268" s="19"/>
      <c r="C8268" s="19"/>
      <c r="D8268" s="19"/>
      <c r="E8268" s="19"/>
      <c r="F8268" s="19"/>
      <c r="G8268" s="19"/>
      <c r="H8268" s="19"/>
      <c r="I8268" s="19"/>
      <c r="J8268" s="19"/>
      <c r="K8268" s="19"/>
      <c r="L8268" s="19"/>
      <c r="M8268" s="19"/>
      <c r="N8268" s="19"/>
      <c r="O8268" s="14" t="str">
        <f>HYPERLINK("https://otsuka-europe-crm.veevavault.com/ui/#object/email_activity__v/V8C00000004I003", "EN-002110996")</f>
        <v>EN-002110996</v>
      </c>
    </row>
    <row r="8269" spans="1:15" ht="16" x14ac:dyDescent="0.2">
      <c r="A8269" s="18" t="str">
        <f>HYPERLINK("https://otsuka-europe-crm.veevavault.com/ui/#object/account__v/V4TZ06G6O71TCI6", "MARIA JESUS VIGUERA LLORENTE")</f>
        <v>MARIA JESUS VIGUERA LLORENTE</v>
      </c>
      <c r="B8269" s="18" t="str">
        <f>HYPERLINK("https://otsuka-europe-crm.veevavault.com/ui/#object/vcountry__v/VENZ000004SONF5", "ES")</f>
        <v>ES</v>
      </c>
      <c r="C8269" s="20" t="s">
        <v>39</v>
      </c>
      <c r="D8269" s="21" t="str">
        <f>HYPERLINK("https://otsuka-europe-crm.veevavault.com/ui/#object/approved_document__v/V5O000000006001", "RXULTI - Comparativa antipsicóticos")</f>
        <v>RXULTI - Comparativa antipsicóticos</v>
      </c>
      <c r="E8269" s="22" t="str">
        <f>HYPERLINK("https://otsuka-europe-crm.veevavault.com/ui/#object/sent_email__v/VBL00000003H058", "SE-001448373")</f>
        <v>SE-001448373</v>
      </c>
      <c r="F8269" s="25">
        <v>46235.469155092593</v>
      </c>
      <c r="G8269" s="24">
        <v>1</v>
      </c>
      <c r="H8269" s="24">
        <v>1</v>
      </c>
      <c r="I8269" s="24">
        <v>0</v>
      </c>
      <c r="J8269" s="23"/>
      <c r="K8269" s="24">
        <v>0</v>
      </c>
      <c r="L8269" s="22" t="str">
        <f>HYPERLINK("https://otsuka-europe-crm.veevavault.com/ui/#object/approved_document__v/V5O000000006001", "RXULTI - Comparativa antipsicóticos")</f>
        <v>RXULTI - Comparativa antipsicóticos</v>
      </c>
      <c r="M8269" s="22" t="str">
        <f>HYPERLINK("mailto:jvillalain@crm.otsuka-europe.com", "jvillalain@crm.otsuka-europe.com")</f>
        <v>jvillalain@crm.otsuka-europe.com</v>
      </c>
      <c r="N8269" s="25">
        <v>46234.366319444445</v>
      </c>
      <c r="O8269" s="14" t="str">
        <f>HYPERLINK("https://otsuka-europe-crm.veevavault.com/ui/#object/email_activity__v/V8C00000004G132", "EN-002110020")</f>
        <v>EN-002110020</v>
      </c>
    </row>
    <row r="8270" spans="1:15" ht="16" x14ac:dyDescent="0.2">
      <c r="A8270" s="19"/>
      <c r="B8270" s="19"/>
      <c r="C8270" s="19"/>
      <c r="D8270" s="19"/>
      <c r="E8270" s="19"/>
      <c r="F8270" s="19"/>
      <c r="G8270" s="19"/>
      <c r="H8270" s="19"/>
      <c r="I8270" s="19"/>
      <c r="J8270" s="19"/>
      <c r="K8270" s="19"/>
      <c r="L8270" s="19"/>
      <c r="M8270" s="19"/>
      <c r="N8270" s="19"/>
      <c r="O8270" s="14" t="str">
        <f>HYPERLINK("https://otsuka-europe-crm.veevavault.com/ui/#object/email_activity__v/V8C00000004I019", "EN-002111021")</f>
        <v>EN-002111021</v>
      </c>
    </row>
    <row r="8271" spans="1:15" ht="32" x14ac:dyDescent="0.2">
      <c r="A8271" s="7" t="str">
        <f>HYPERLINK("https://otsuka-europe-crm.veevavault.com/ui/#object/account__v/V4TZ06G6O71T9T4", "MARIA PILAR DEL VALLE LOPEZ")</f>
        <v>MARIA PILAR DEL VALLE LOPEZ</v>
      </c>
      <c r="B8271" s="7" t="str">
        <f>HYPERLINK("https://otsuka-europe-crm.veevavault.com/ui/#object/vcountry__v/VENZ000004SONF5", "ES")</f>
        <v>ES</v>
      </c>
      <c r="C8271" s="8" t="s">
        <v>39</v>
      </c>
      <c r="D8271" s="9" t="str">
        <f>HYPERLINK("https://otsuka-europe-crm.veevavault.com/ui/#object/approved_document__v/V5O000000006001", "RXULTI - Comparativa antipsicóticos")</f>
        <v>RXULTI - Comparativa antipsicóticos</v>
      </c>
      <c r="E8271" s="10" t="str">
        <f>HYPERLINK("https://otsuka-europe-crm.veevavault.com/ui/#object/sent_email__v/VBL00000003H059", "SE-001448374")</f>
        <v>SE-001448374</v>
      </c>
      <c r="F8271" s="11"/>
      <c r="G8271" s="12">
        <v>0</v>
      </c>
      <c r="H8271" s="12">
        <v>0</v>
      </c>
      <c r="I8271" s="12">
        <v>0</v>
      </c>
      <c r="J8271" s="11"/>
      <c r="K8271" s="12">
        <v>0</v>
      </c>
      <c r="L8271" s="10" t="str">
        <f>HYPERLINK("https://otsuka-europe-crm.veevavault.com/ui/#object/approved_document__v/V5O000000006001", "RXULTI - Comparativa antipsicóticos")</f>
        <v>RXULTI - Comparativa antipsicóticos</v>
      </c>
      <c r="M8271" s="10" t="str">
        <f>HYPERLINK("mailto:jvillalain@crm.otsuka-europe.com", "jvillalain@crm.otsuka-europe.com")</f>
        <v>jvillalain@crm.otsuka-europe.com</v>
      </c>
      <c r="N8271" s="13">
        <v>46234.366319444445</v>
      </c>
      <c r="O8271" s="14" t="str">
        <f>HYPERLINK("https://otsuka-europe-crm.veevavault.com/ui/#object/email_activity__v/V8C00000004G124", "EN-002110012")</f>
        <v>EN-002110012</v>
      </c>
    </row>
    <row r="8272" spans="1:15" ht="32" x14ac:dyDescent="0.2">
      <c r="A8272" s="7" t="str">
        <f>HYPERLINK("https://otsuka-europe-crm.veevavault.com/ui/#object/account__v/V4TZ06G6OB4BDAW", "ANA IZQUIERDO ZARAZAGA")</f>
        <v>ANA IZQUIERDO ZARAZAGA</v>
      </c>
      <c r="B8272" s="7" t="str">
        <f>HYPERLINK("https://otsuka-europe-crm.veevavault.com/ui/#object/vcountry__v/VENZ000004SONF5", "ES")</f>
        <v>ES</v>
      </c>
      <c r="C8272" s="8" t="s">
        <v>39</v>
      </c>
      <c r="D8272" s="9" t="str">
        <f>HYPERLINK("https://otsuka-europe-crm.veevavault.com/ui/#object/approved_document__v/V5O000000006001", "RXULTI - Comparativa antipsicóticos")</f>
        <v>RXULTI - Comparativa antipsicóticos</v>
      </c>
      <c r="E8272" s="10" t="str">
        <f>HYPERLINK("https://otsuka-europe-crm.veevavault.com/ui/#object/sent_email__v/VBL00000003H060", "SE-001448375")</f>
        <v>SE-001448375</v>
      </c>
      <c r="F8272" s="11"/>
      <c r="G8272" s="12">
        <v>0</v>
      </c>
      <c r="H8272" s="12">
        <v>0</v>
      </c>
      <c r="I8272" s="12">
        <v>0</v>
      </c>
      <c r="J8272" s="11"/>
      <c r="K8272" s="12">
        <v>0</v>
      </c>
      <c r="L8272" s="10" t="str">
        <f>HYPERLINK("https://otsuka-europe-crm.veevavault.com/ui/#object/approved_document__v/V5O000000006001", "RXULTI - Comparativa antipsicóticos")</f>
        <v>RXULTI - Comparativa antipsicóticos</v>
      </c>
      <c r="M8272" s="10" t="str">
        <f>HYPERLINK("mailto:jvillalain@crm.otsuka-europe.com", "jvillalain@crm.otsuka-europe.com")</f>
        <v>jvillalain@crm.otsuka-europe.com</v>
      </c>
      <c r="N8272" s="13">
        <v>46234.366331018522</v>
      </c>
      <c r="O8272" s="14" t="str">
        <f>HYPERLINK("https://otsuka-europe-crm.veevavault.com/ui/#object/email_activity__v/V8C00000004G103", "EN-002109969")</f>
        <v>EN-002109969</v>
      </c>
    </row>
    <row r="8273" spans="1:15" ht="32" x14ac:dyDescent="0.2">
      <c r="A8273" s="7" t="str">
        <f>HYPERLINK("https://otsuka-europe-crm.veevavault.com/ui/#object/account__v/V4TZ04ASG8QMRGJ", "ANDREA MARTINEZ ABELLA")</f>
        <v>ANDREA MARTINEZ ABELLA</v>
      </c>
      <c r="B8273" s="7" t="str">
        <f>HYPERLINK("https://otsuka-europe-crm.veevavault.com/ui/#object/vcountry__v/VENZ000004SONF5", "ES")</f>
        <v>ES</v>
      </c>
      <c r="C8273" s="8" t="s">
        <v>39</v>
      </c>
      <c r="D8273" s="9" t="str">
        <f>HYPERLINK("https://otsuka-europe-crm.veevavault.com/ui/#object/approved_document__v/V5O000000006001", "RXULTI - Comparativa antipsicóticos")</f>
        <v>RXULTI - Comparativa antipsicóticos</v>
      </c>
      <c r="E8273" s="10" t="str">
        <f>HYPERLINK("https://otsuka-europe-crm.veevavault.com/ui/#object/sent_email__v/VBL00000003H061", "SE-001448376")</f>
        <v>SE-001448376</v>
      </c>
      <c r="F8273" s="11"/>
      <c r="G8273" s="12">
        <v>0</v>
      </c>
      <c r="H8273" s="12">
        <v>0</v>
      </c>
      <c r="I8273" s="12">
        <v>0</v>
      </c>
      <c r="J8273" s="11"/>
      <c r="K8273" s="12">
        <v>0</v>
      </c>
      <c r="L8273" s="10" t="str">
        <f>HYPERLINK("https://otsuka-europe-crm.veevavault.com/ui/#object/approved_document__v/V5O000000006001", "RXULTI - Comparativa antipsicóticos")</f>
        <v>RXULTI - Comparativa antipsicóticos</v>
      </c>
      <c r="M8273" s="10" t="str">
        <f>HYPERLINK("mailto:jvillalain@crm.otsuka-europe.com", "jvillalain@crm.otsuka-europe.com")</f>
        <v>jvillalain@crm.otsuka-europe.com</v>
      </c>
      <c r="N8273" s="13">
        <v>46234.366342592592</v>
      </c>
      <c r="O8273" s="14" t="str">
        <f>HYPERLINK("https://otsuka-europe-crm.veevavault.com/ui/#object/email_activity__v/V8C00000004F082", "EN-002109974")</f>
        <v>EN-002109974</v>
      </c>
    </row>
    <row r="8274" spans="1:15" ht="16" x14ac:dyDescent="0.2">
      <c r="A8274" s="18" t="str">
        <f>HYPERLINK("https://otsuka-europe-crm.veevavault.com/ui/#object/account__v/V4TZ06G6O71URY4", "JAIME BERNARDEZ RUBIO")</f>
        <v>JAIME BERNARDEZ RUBIO</v>
      </c>
      <c r="B8274" s="18" t="str">
        <f>HYPERLINK("https://otsuka-europe-crm.veevavault.com/ui/#object/vcountry__v/VENZ000004SONF5", "ES")</f>
        <v>ES</v>
      </c>
      <c r="C8274" s="20" t="s">
        <v>39</v>
      </c>
      <c r="D8274" s="21" t="str">
        <f>HYPERLINK("https://otsuka-europe-crm.veevavault.com/ui/#object/approved_document__v/V5O000000006001", "RXULTI - Comparativa antipsicóticos")</f>
        <v>RXULTI - Comparativa antipsicóticos</v>
      </c>
      <c r="E8274" s="22" t="str">
        <f>HYPERLINK("https://otsuka-europe-crm.veevavault.com/ui/#object/sent_email__v/VBL00000003H062", "SE-001448377")</f>
        <v>SE-001448377</v>
      </c>
      <c r="F8274" s="25">
        <v>46236.468923611108</v>
      </c>
      <c r="G8274" s="24">
        <v>1</v>
      </c>
      <c r="H8274" s="24">
        <v>3</v>
      </c>
      <c r="I8274" s="24">
        <v>1</v>
      </c>
      <c r="J8274" s="25">
        <v>46236.4687037037</v>
      </c>
      <c r="K8274" s="24">
        <v>2</v>
      </c>
      <c r="L8274" s="22" t="str">
        <f>HYPERLINK("https://otsuka-europe-crm.veevavault.com/ui/#object/approved_document__v/V5O000000006001", "RXULTI - Comparativa antipsicóticos")</f>
        <v>RXULTI - Comparativa antipsicóticos</v>
      </c>
      <c r="M8274" s="22" t="str">
        <f>HYPERLINK("mailto:jvillalain@crm.otsuka-europe.com", "jvillalain@crm.otsuka-europe.com")</f>
        <v>jvillalain@crm.otsuka-europe.com</v>
      </c>
      <c r="N8274" s="25">
        <v>46234.366354166668</v>
      </c>
      <c r="O8274" s="14" t="str">
        <f>HYPERLINK("https://otsuka-europe-crm.veevavault.com/ui/#object/email_activity__v/V8C00000004G091", "EN-002109952")</f>
        <v>EN-002109952</v>
      </c>
    </row>
    <row r="8275" spans="1:15" ht="16" x14ac:dyDescent="0.2">
      <c r="A8275" s="26"/>
      <c r="B8275" s="26"/>
      <c r="C8275" s="26"/>
      <c r="D8275" s="26"/>
      <c r="E8275" s="26"/>
      <c r="F8275" s="26"/>
      <c r="G8275" s="26"/>
      <c r="H8275" s="26"/>
      <c r="I8275" s="26"/>
      <c r="J8275" s="26"/>
      <c r="K8275" s="26"/>
      <c r="L8275" s="26"/>
      <c r="M8275" s="26"/>
      <c r="N8275" s="26"/>
      <c r="O8275" s="14" t="str">
        <f>HYPERLINK("https://otsuka-europe-crm.veevavault.com/ui/#object/email_activity__v/V8C00000004H092", "EN-002111104")</f>
        <v>EN-002111104</v>
      </c>
    </row>
    <row r="8276" spans="1:15" ht="16" x14ac:dyDescent="0.2">
      <c r="A8276" s="26"/>
      <c r="B8276" s="26"/>
      <c r="C8276" s="26"/>
      <c r="D8276" s="26"/>
      <c r="E8276" s="26"/>
      <c r="F8276" s="26"/>
      <c r="G8276" s="26"/>
      <c r="H8276" s="26"/>
      <c r="I8276" s="26"/>
      <c r="J8276" s="26"/>
      <c r="K8276" s="26"/>
      <c r="L8276" s="26"/>
      <c r="M8276" s="26"/>
      <c r="N8276" s="26"/>
      <c r="O8276" s="14" t="str">
        <f>HYPERLINK("https://otsuka-europe-crm.veevavault.com/ui/#object/email_activity__v/V8C00000004H093", "EN-002111103")</f>
        <v>EN-002111103</v>
      </c>
    </row>
    <row r="8277" spans="1:15" ht="16" x14ac:dyDescent="0.2">
      <c r="A8277" s="26"/>
      <c r="B8277" s="26"/>
      <c r="C8277" s="26"/>
      <c r="D8277" s="26"/>
      <c r="E8277" s="26"/>
      <c r="F8277" s="26"/>
      <c r="G8277" s="26"/>
      <c r="H8277" s="26"/>
      <c r="I8277" s="26"/>
      <c r="J8277" s="26"/>
      <c r="K8277" s="26"/>
      <c r="L8277" s="26"/>
      <c r="M8277" s="26"/>
      <c r="N8277" s="26"/>
      <c r="O8277" s="14" t="str">
        <f>HYPERLINK("https://otsuka-europe-crm.veevavault.com/ui/#object/email_activity__v/V8C00000004H094", "EN-002111107")</f>
        <v>EN-002111107</v>
      </c>
    </row>
    <row r="8278" spans="1:15" ht="16" x14ac:dyDescent="0.2">
      <c r="A8278" s="26"/>
      <c r="B8278" s="26"/>
      <c r="C8278" s="26"/>
      <c r="D8278" s="26"/>
      <c r="E8278" s="26"/>
      <c r="F8278" s="26"/>
      <c r="G8278" s="26"/>
      <c r="H8278" s="26"/>
      <c r="I8278" s="26"/>
      <c r="J8278" s="26"/>
      <c r="K8278" s="26"/>
      <c r="L8278" s="26"/>
      <c r="M8278" s="26"/>
      <c r="N8278" s="26"/>
      <c r="O8278" s="14" t="str">
        <f>HYPERLINK("https://otsuka-europe-crm.veevavault.com/ui/#object/email_activity__v/V8C00000004I062", "EN-002111105")</f>
        <v>EN-002111105</v>
      </c>
    </row>
    <row r="8279" spans="1:15" ht="16" x14ac:dyDescent="0.2">
      <c r="A8279" s="26"/>
      <c r="B8279" s="26"/>
      <c r="C8279" s="26"/>
      <c r="D8279" s="26"/>
      <c r="E8279" s="26"/>
      <c r="F8279" s="26"/>
      <c r="G8279" s="26"/>
      <c r="H8279" s="26"/>
      <c r="I8279" s="26"/>
      <c r="J8279" s="26"/>
      <c r="K8279" s="26"/>
      <c r="L8279" s="26"/>
      <c r="M8279" s="26"/>
      <c r="N8279" s="26"/>
      <c r="O8279" s="14" t="str">
        <f>HYPERLINK("https://otsuka-europe-crm.veevavault.com/ui/#object/email_activity__v/V8C00000004I063", "EN-002111106")</f>
        <v>EN-002111106</v>
      </c>
    </row>
    <row r="8280" spans="1:15" ht="16" x14ac:dyDescent="0.2">
      <c r="A8280" s="19"/>
      <c r="B8280" s="19"/>
      <c r="C8280" s="19"/>
      <c r="D8280" s="19"/>
      <c r="E8280" s="19"/>
      <c r="F8280" s="19"/>
      <c r="G8280" s="19"/>
      <c r="H8280" s="19"/>
      <c r="I8280" s="19"/>
      <c r="J8280" s="19"/>
      <c r="K8280" s="19"/>
      <c r="L8280" s="19"/>
      <c r="M8280" s="19"/>
      <c r="N8280" s="19"/>
      <c r="O8280" s="14" t="str">
        <f>HYPERLINK("https://otsuka-europe-crm.veevavault.com/ui/#object/email_activity__v/V8C00000004I067", "EN-002111116")</f>
        <v>EN-002111116</v>
      </c>
    </row>
    <row r="8281" spans="1:15" ht="16" x14ac:dyDescent="0.2">
      <c r="A8281" s="18" t="str">
        <f>HYPERLINK("https://otsuka-europe-crm.veevavault.com/ui/#object/account__v/V4TZ06G6O71TBHL", "LAURA OLONDRIZ HUARTE")</f>
        <v>LAURA OLONDRIZ HUARTE</v>
      </c>
      <c r="B8281" s="18" t="str">
        <f>HYPERLINK("https://otsuka-europe-crm.veevavault.com/ui/#object/vcountry__v/VENZ000004SONF5", "ES")</f>
        <v>ES</v>
      </c>
      <c r="C8281" s="20" t="s">
        <v>39</v>
      </c>
      <c r="D8281" s="21" t="str">
        <f>HYPERLINK("https://otsuka-europe-crm.veevavault.com/ui/#object/approved_document__v/V5O000000006001", "RXULTI - Comparativa antipsicóticos")</f>
        <v>RXULTI - Comparativa antipsicóticos</v>
      </c>
      <c r="E8281" s="22" t="str">
        <f>HYPERLINK("https://otsuka-europe-crm.veevavault.com/ui/#object/sent_email__v/VBL00000003H063", "SE-001448378")</f>
        <v>SE-001448378</v>
      </c>
      <c r="F8281" s="23"/>
      <c r="G8281" s="24">
        <v>0</v>
      </c>
      <c r="H8281" s="24">
        <v>0</v>
      </c>
      <c r="I8281" s="24">
        <v>0</v>
      </c>
      <c r="J8281" s="23"/>
      <c r="K8281" s="24">
        <v>0</v>
      </c>
      <c r="L8281" s="22" t="str">
        <f>HYPERLINK("https://otsuka-europe-crm.veevavault.com/ui/#object/approved_document__v/V5O000000006001", "RXULTI - Comparativa antipsicóticos")</f>
        <v>RXULTI - Comparativa antipsicóticos</v>
      </c>
      <c r="M8281" s="22" t="str">
        <f>HYPERLINK("mailto:jvillalain@crm.otsuka-europe.com", "jvillalain@crm.otsuka-europe.com")</f>
        <v>jvillalain@crm.otsuka-europe.com</v>
      </c>
      <c r="N8281" s="25">
        <v>46234.366319444445</v>
      </c>
      <c r="O8281" s="14" t="str">
        <f>HYPERLINK("https://otsuka-europe-crm.veevavault.com/ui/#object/email_activity__v/V8C00000004G142", "EN-002110030")</f>
        <v>EN-002110030</v>
      </c>
    </row>
    <row r="8282" spans="1:15" ht="16" x14ac:dyDescent="0.2">
      <c r="A8282" s="26"/>
      <c r="B8282" s="26"/>
      <c r="C8282" s="26"/>
      <c r="D8282" s="26"/>
      <c r="E8282" s="26"/>
      <c r="F8282" s="26"/>
      <c r="G8282" s="26"/>
      <c r="H8282" s="26"/>
      <c r="I8282" s="26"/>
      <c r="J8282" s="26"/>
      <c r="K8282" s="26"/>
      <c r="L8282" s="26"/>
      <c r="M8282" s="26"/>
      <c r="N8282" s="26"/>
      <c r="O8282" s="14" t="str">
        <f>HYPERLINK("https://otsuka-europe-crm.veevavault.com/ui/#object/email_activity__v/V8C00000004G615", "EN-002110826")</f>
        <v>EN-002110826</v>
      </c>
    </row>
    <row r="8283" spans="1:15" ht="16" x14ac:dyDescent="0.2">
      <c r="A8283" s="19"/>
      <c r="B8283" s="19"/>
      <c r="C8283" s="19"/>
      <c r="D8283" s="19"/>
      <c r="E8283" s="19"/>
      <c r="F8283" s="19"/>
      <c r="G8283" s="19"/>
      <c r="H8283" s="19"/>
      <c r="I8283" s="19"/>
      <c r="J8283" s="19"/>
      <c r="K8283" s="19"/>
      <c r="L8283" s="19"/>
      <c r="M8283" s="19"/>
      <c r="N8283" s="19"/>
      <c r="O8283" s="14" t="str">
        <f>HYPERLINK("https://otsuka-europe-crm.veevavault.com/ui/#object/email_activity__v/V8C00000004H258", "EN-002111413")</f>
        <v>EN-002111413</v>
      </c>
    </row>
    <row r="8284" spans="1:15" ht="16" x14ac:dyDescent="0.2">
      <c r="A8284" s="18" t="str">
        <f>HYPERLINK("https://otsuka-europe-crm.veevavault.com/ui/#object/account__v/V4TZ06G6O71T9H5", "PATRICIA BLANCO DEL VALLE")</f>
        <v>PATRICIA BLANCO DEL VALLE</v>
      </c>
      <c r="B8284" s="18" t="str">
        <f>HYPERLINK("https://otsuka-europe-crm.veevavault.com/ui/#object/vcountry__v/VENZ000004SONF5", "ES")</f>
        <v>ES</v>
      </c>
      <c r="C8284" s="20" t="s">
        <v>39</v>
      </c>
      <c r="D8284" s="21" t="str">
        <f>HYPERLINK("https://otsuka-europe-crm.veevavault.com/ui/#object/approved_document__v/V5O000000006001", "RXULTI - Comparativa antipsicóticos")</f>
        <v>RXULTI - Comparativa antipsicóticos</v>
      </c>
      <c r="E8284" s="22" t="str">
        <f>HYPERLINK("https://otsuka-europe-crm.veevavault.com/ui/#object/sent_email__v/VBL00000003H064", "SE-001448379")</f>
        <v>SE-001448379</v>
      </c>
      <c r="F8284" s="25">
        <v>46238.825578703705</v>
      </c>
      <c r="G8284" s="24">
        <v>1</v>
      </c>
      <c r="H8284" s="24">
        <v>1</v>
      </c>
      <c r="I8284" s="24">
        <v>0</v>
      </c>
      <c r="J8284" s="23"/>
      <c r="K8284" s="24">
        <v>0</v>
      </c>
      <c r="L8284" s="22" t="str">
        <f>HYPERLINK("https://otsuka-europe-crm.veevavault.com/ui/#object/approved_document__v/V5O000000006001", "RXULTI - Comparativa antipsicóticos")</f>
        <v>RXULTI - Comparativa antipsicóticos</v>
      </c>
      <c r="M8284" s="22" t="str">
        <f>HYPERLINK("mailto:jvillalain@crm.otsuka-europe.com", "jvillalain@crm.otsuka-europe.com")</f>
        <v>jvillalain@crm.otsuka-europe.com</v>
      </c>
      <c r="N8284" s="25">
        <v>46234.366319444445</v>
      </c>
      <c r="O8284" s="14" t="str">
        <f>HYPERLINK("https://otsuka-europe-crm.veevavault.com/ui/#object/email_activity__v/V8C00000004F057", "EN-002109907")</f>
        <v>EN-002109907</v>
      </c>
    </row>
    <row r="8285" spans="1:15" ht="16" x14ac:dyDescent="0.2">
      <c r="A8285" s="19"/>
      <c r="B8285" s="19"/>
      <c r="C8285" s="19"/>
      <c r="D8285" s="19"/>
      <c r="E8285" s="19"/>
      <c r="F8285" s="19"/>
      <c r="G8285" s="19"/>
      <c r="H8285" s="19"/>
      <c r="I8285" s="19"/>
      <c r="J8285" s="19"/>
      <c r="K8285" s="19"/>
      <c r="L8285" s="19"/>
      <c r="M8285" s="19"/>
      <c r="N8285" s="19"/>
      <c r="O8285" s="14" t="str">
        <f>HYPERLINK("https://otsuka-europe-crm.veevavault.com/ui/#object/email_activity__v/V8C00000004I263", "EN-002111556")</f>
        <v>EN-002111556</v>
      </c>
    </row>
    <row r="8286" spans="1:15" ht="16" x14ac:dyDescent="0.2">
      <c r="A8286" s="18" t="str">
        <f>HYPERLINK("https://otsuka-europe-crm.veevavault.com/ui/#object/account__v/V4T00000001C058", "JOHN TAVAREZ ULLOA")</f>
        <v>JOHN TAVAREZ ULLOA</v>
      </c>
      <c r="B8286" s="18" t="str">
        <f>HYPERLINK("https://otsuka-europe-crm.veevavault.com/ui/#object/vcountry__v/VENZ000004SONF5", "ES")</f>
        <v>ES</v>
      </c>
      <c r="C8286" s="20" t="s">
        <v>39</v>
      </c>
      <c r="D8286" s="21" t="str">
        <f>HYPERLINK("https://otsuka-europe-crm.veevavault.com/ui/#object/approved_document__v/V5O000000006001", "RXULTI - Comparativa antipsicóticos")</f>
        <v>RXULTI - Comparativa antipsicóticos</v>
      </c>
      <c r="E8286" s="22" t="str">
        <f>HYPERLINK("https://otsuka-europe-crm.veevavault.com/ui/#object/sent_email__v/VBL00000003H065", "SE-001448380")</f>
        <v>SE-001448380</v>
      </c>
      <c r="F8286" s="23"/>
      <c r="G8286" s="24">
        <v>0</v>
      </c>
      <c r="H8286" s="24">
        <v>0</v>
      </c>
      <c r="I8286" s="24">
        <v>0</v>
      </c>
      <c r="J8286" s="23"/>
      <c r="K8286" s="24">
        <v>0</v>
      </c>
      <c r="L8286" s="22" t="str">
        <f>HYPERLINK("https://otsuka-europe-crm.veevavault.com/ui/#object/approved_document__v/V5O000000006001", "RXULTI - Comparativa antipsicóticos")</f>
        <v>RXULTI - Comparativa antipsicóticos</v>
      </c>
      <c r="M8286" s="22" t="str">
        <f>HYPERLINK("mailto:jvillalain@crm.otsuka-europe.com", "jvillalain@crm.otsuka-europe.com")</f>
        <v>jvillalain@crm.otsuka-europe.com</v>
      </c>
      <c r="N8286" s="25">
        <v>46234.366319444445</v>
      </c>
      <c r="O8286" s="14" t="str">
        <f>HYPERLINK("https://otsuka-europe-crm.veevavault.com/ui/#object/email_activity__v/V8C00000004F498", "EN-002110943")</f>
        <v>EN-002110943</v>
      </c>
    </row>
    <row r="8287" spans="1:15" ht="16" x14ac:dyDescent="0.2">
      <c r="A8287" s="26"/>
      <c r="B8287" s="26"/>
      <c r="C8287" s="26"/>
      <c r="D8287" s="26"/>
      <c r="E8287" s="26"/>
      <c r="F8287" s="26"/>
      <c r="G8287" s="26"/>
      <c r="H8287" s="26"/>
      <c r="I8287" s="26"/>
      <c r="J8287" s="26"/>
      <c r="K8287" s="26"/>
      <c r="L8287" s="26"/>
      <c r="M8287" s="26"/>
      <c r="N8287" s="26"/>
      <c r="O8287" s="14" t="str">
        <f>HYPERLINK("https://otsuka-europe-crm.veevavault.com/ui/#object/email_activity__v/V8C00000004G070", "EN-002109920")</f>
        <v>EN-002109920</v>
      </c>
    </row>
    <row r="8288" spans="1:15" ht="16" x14ac:dyDescent="0.2">
      <c r="A8288" s="19"/>
      <c r="B8288" s="19"/>
      <c r="C8288" s="19"/>
      <c r="D8288" s="19"/>
      <c r="E8288" s="19"/>
      <c r="F8288" s="19"/>
      <c r="G8288" s="19"/>
      <c r="H8288" s="19"/>
      <c r="I8288" s="19"/>
      <c r="J8288" s="19"/>
      <c r="K8288" s="19"/>
      <c r="L8288" s="19"/>
      <c r="M8288" s="19"/>
      <c r="N8288" s="19"/>
      <c r="O8288" s="14" t="str">
        <f>HYPERLINK("https://otsuka-europe-crm.veevavault.com/ui/#object/email_activity__v/V8C00000004I055", "EN-002111082")</f>
        <v>EN-002111082</v>
      </c>
    </row>
    <row r="8289" spans="1:15" ht="16" x14ac:dyDescent="0.2">
      <c r="A8289" s="18" t="str">
        <f>HYPERLINK("https://otsuka-europe-crm.veevavault.com/ui/#object/account__v/V4TZ04ASGEXS96M", "EMMA TALAYA NAVARRO")</f>
        <v>EMMA TALAYA NAVARRO</v>
      </c>
      <c r="B8289" s="18" t="str">
        <f>HYPERLINK("https://otsuka-europe-crm.veevavault.com/ui/#object/vcountry__v/VENZ000004SONF5", "ES")</f>
        <v>ES</v>
      </c>
      <c r="C8289" s="20" t="s">
        <v>39</v>
      </c>
      <c r="D8289" s="21" t="str">
        <f>HYPERLINK("https://otsuka-europe-crm.veevavault.com/ui/#object/approved_document__v/V5O000000006001", "RXULTI - Comparativa antipsicóticos")</f>
        <v>RXULTI - Comparativa antipsicóticos</v>
      </c>
      <c r="E8289" s="22" t="str">
        <f>HYPERLINK("https://otsuka-europe-crm.veevavault.com/ui/#object/sent_email__v/VBL00000003H066", "SE-001448381")</f>
        <v>SE-001448381</v>
      </c>
      <c r="F8289" s="25">
        <v>46235.742673611108</v>
      </c>
      <c r="G8289" s="24">
        <v>1</v>
      </c>
      <c r="H8289" s="24">
        <v>1</v>
      </c>
      <c r="I8289" s="24">
        <v>0</v>
      </c>
      <c r="J8289" s="23"/>
      <c r="K8289" s="24">
        <v>0</v>
      </c>
      <c r="L8289" s="22" t="str">
        <f>HYPERLINK("https://otsuka-europe-crm.veevavault.com/ui/#object/approved_document__v/V5O000000006001", "RXULTI - Comparativa antipsicóticos")</f>
        <v>RXULTI - Comparativa antipsicóticos</v>
      </c>
      <c r="M8289" s="22" t="str">
        <f>HYPERLINK("mailto:jvillalain@crm.otsuka-europe.com", "jvillalain@crm.otsuka-europe.com")</f>
        <v>jvillalain@crm.otsuka-europe.com</v>
      </c>
      <c r="N8289" s="25">
        <v>46234.366342592592</v>
      </c>
      <c r="O8289" s="14" t="str">
        <f>HYPERLINK("https://otsuka-europe-crm.veevavault.com/ui/#object/email_activity__v/V8C00000004F076", "EN-002109957")</f>
        <v>EN-002109957</v>
      </c>
    </row>
    <row r="8290" spans="1:15" ht="16" x14ac:dyDescent="0.2">
      <c r="A8290" s="19"/>
      <c r="B8290" s="19"/>
      <c r="C8290" s="19"/>
      <c r="D8290" s="19"/>
      <c r="E8290" s="19"/>
      <c r="F8290" s="19"/>
      <c r="G8290" s="19"/>
      <c r="H8290" s="19"/>
      <c r="I8290" s="19"/>
      <c r="J8290" s="19"/>
      <c r="K8290" s="19"/>
      <c r="L8290" s="19"/>
      <c r="M8290" s="19"/>
      <c r="N8290" s="19"/>
      <c r="O8290" s="14" t="str">
        <f>HYPERLINK("https://otsuka-europe-crm.veevavault.com/ui/#object/email_activity__v/V8C00000004I039", "EN-002111054")</f>
        <v>EN-002111054</v>
      </c>
    </row>
    <row r="8291" spans="1:15" ht="16" x14ac:dyDescent="0.2">
      <c r="A8291" s="18" t="str">
        <f>HYPERLINK("https://otsuka-europe-crm.veevavault.com/ui/#object/account__v/V4TZ04ASG8VBS55", "CONCEPCION VELASCO VELADO")</f>
        <v>CONCEPCION VELASCO VELADO</v>
      </c>
      <c r="B8291" s="18" t="str">
        <f>HYPERLINK("https://otsuka-europe-crm.veevavault.com/ui/#object/vcountry__v/VENZ000004SONF5", "ES")</f>
        <v>ES</v>
      </c>
      <c r="C8291" s="20" t="s">
        <v>39</v>
      </c>
      <c r="D8291" s="21" t="str">
        <f>HYPERLINK("https://otsuka-europe-crm.veevavault.com/ui/#object/approved_document__v/V5O000000006001", "RXULTI - Comparativa antipsicóticos")</f>
        <v>RXULTI - Comparativa antipsicóticos</v>
      </c>
      <c r="E8291" s="22" t="str">
        <f>HYPERLINK("https://otsuka-europe-crm.veevavault.com/ui/#object/sent_email__v/VBL00000003H067", "SE-001448382")</f>
        <v>SE-001448382</v>
      </c>
      <c r="F8291" s="25">
        <v>46234.762118055558</v>
      </c>
      <c r="G8291" s="24">
        <v>1</v>
      </c>
      <c r="H8291" s="24">
        <v>1</v>
      </c>
      <c r="I8291" s="24">
        <v>1</v>
      </c>
      <c r="J8291" s="25">
        <v>46234.762118055558</v>
      </c>
      <c r="K8291" s="24">
        <v>2</v>
      </c>
      <c r="L8291" s="22" t="str">
        <f>HYPERLINK("https://otsuka-europe-crm.veevavault.com/ui/#object/approved_document__v/V5O000000006001", "RXULTI - Comparativa antipsicóticos")</f>
        <v>RXULTI - Comparativa antipsicóticos</v>
      </c>
      <c r="M8291" s="22" t="str">
        <f>HYPERLINK("mailto:jvillalain@crm.otsuka-europe.com", "jvillalain@crm.otsuka-europe.com")</f>
        <v>jvillalain@crm.otsuka-europe.com</v>
      </c>
      <c r="N8291" s="25">
        <v>46234.366319444445</v>
      </c>
      <c r="O8291" s="14" t="str">
        <f>HYPERLINK("https://otsuka-europe-crm.veevavault.com/ui/#object/email_activity__v/V8C00000004F103", "EN-002110031")</f>
        <v>EN-002110031</v>
      </c>
    </row>
    <row r="8292" spans="1:15" ht="16" x14ac:dyDescent="0.2">
      <c r="A8292" s="26"/>
      <c r="B8292" s="26"/>
      <c r="C8292" s="26"/>
      <c r="D8292" s="26"/>
      <c r="E8292" s="26"/>
      <c r="F8292" s="26"/>
      <c r="G8292" s="26"/>
      <c r="H8292" s="26"/>
      <c r="I8292" s="26"/>
      <c r="J8292" s="26"/>
      <c r="K8292" s="26"/>
      <c r="L8292" s="26"/>
      <c r="M8292" s="26"/>
      <c r="N8292" s="26"/>
      <c r="O8292" s="14" t="str">
        <f>HYPERLINK("https://otsuka-europe-crm.veevavault.com/ui/#object/email_activity__v/V8C00000004F471", "EN-002110890")</f>
        <v>EN-002110890</v>
      </c>
    </row>
    <row r="8293" spans="1:15" ht="16" x14ac:dyDescent="0.2">
      <c r="A8293" s="26"/>
      <c r="B8293" s="26"/>
      <c r="C8293" s="26"/>
      <c r="D8293" s="26"/>
      <c r="E8293" s="26"/>
      <c r="F8293" s="26"/>
      <c r="G8293" s="26"/>
      <c r="H8293" s="26"/>
      <c r="I8293" s="26"/>
      <c r="J8293" s="26"/>
      <c r="K8293" s="26"/>
      <c r="L8293" s="26"/>
      <c r="M8293" s="26"/>
      <c r="N8293" s="26"/>
      <c r="O8293" s="14" t="str">
        <f>HYPERLINK("https://otsuka-europe-crm.veevavault.com/ui/#object/email_activity__v/V8C00000004F472", "EN-002110891")</f>
        <v>EN-002110891</v>
      </c>
    </row>
    <row r="8294" spans="1:15" ht="16" x14ac:dyDescent="0.2">
      <c r="A8294" s="26"/>
      <c r="B8294" s="26"/>
      <c r="C8294" s="26"/>
      <c r="D8294" s="26"/>
      <c r="E8294" s="26"/>
      <c r="F8294" s="26"/>
      <c r="G8294" s="26"/>
      <c r="H8294" s="26"/>
      <c r="I8294" s="26"/>
      <c r="J8294" s="26"/>
      <c r="K8294" s="26"/>
      <c r="L8294" s="26"/>
      <c r="M8294" s="26"/>
      <c r="N8294" s="26"/>
      <c r="O8294" s="14" t="str">
        <f>HYPERLINK("https://otsuka-europe-crm.veevavault.com/ui/#object/email_activity__v/V8C00000004F473", "EN-002110892")</f>
        <v>EN-002110892</v>
      </c>
    </row>
    <row r="8295" spans="1:15" ht="16" x14ac:dyDescent="0.2">
      <c r="A8295" s="26"/>
      <c r="B8295" s="26"/>
      <c r="C8295" s="26"/>
      <c r="D8295" s="26"/>
      <c r="E8295" s="26"/>
      <c r="F8295" s="26"/>
      <c r="G8295" s="26"/>
      <c r="H8295" s="26"/>
      <c r="I8295" s="26"/>
      <c r="J8295" s="26"/>
      <c r="K8295" s="26"/>
      <c r="L8295" s="26"/>
      <c r="M8295" s="26"/>
      <c r="N8295" s="26"/>
      <c r="O8295" s="14" t="str">
        <f>HYPERLINK("https://otsuka-europe-crm.veevavault.com/ui/#object/email_activity__v/V8C00000004F474", "EN-002110893")</f>
        <v>EN-002110893</v>
      </c>
    </row>
    <row r="8296" spans="1:15" ht="16" x14ac:dyDescent="0.2">
      <c r="A8296" s="26"/>
      <c r="B8296" s="26"/>
      <c r="C8296" s="26"/>
      <c r="D8296" s="26"/>
      <c r="E8296" s="26"/>
      <c r="F8296" s="26"/>
      <c r="G8296" s="26"/>
      <c r="H8296" s="26"/>
      <c r="I8296" s="26"/>
      <c r="J8296" s="26"/>
      <c r="K8296" s="26"/>
      <c r="L8296" s="26"/>
      <c r="M8296" s="26"/>
      <c r="N8296" s="26"/>
      <c r="O8296" s="14" t="str">
        <f>HYPERLINK("https://otsuka-europe-crm.veevavault.com/ui/#object/email_activity__v/V8C00000004F475", "EN-002110894")</f>
        <v>EN-002110894</v>
      </c>
    </row>
    <row r="8297" spans="1:15" ht="16" x14ac:dyDescent="0.2">
      <c r="A8297" s="26"/>
      <c r="B8297" s="26"/>
      <c r="C8297" s="26"/>
      <c r="D8297" s="26"/>
      <c r="E8297" s="26"/>
      <c r="F8297" s="26"/>
      <c r="G8297" s="26"/>
      <c r="H8297" s="26"/>
      <c r="I8297" s="26"/>
      <c r="J8297" s="26"/>
      <c r="K8297" s="26"/>
      <c r="L8297" s="26"/>
      <c r="M8297" s="26"/>
      <c r="N8297" s="26"/>
      <c r="O8297" s="14" t="str">
        <f>HYPERLINK("https://otsuka-europe-crm.veevavault.com/ui/#object/email_activity__v/V8C00000004G628", "EN-002110875")</f>
        <v>EN-002110875</v>
      </c>
    </row>
    <row r="8298" spans="1:15" ht="16" x14ac:dyDescent="0.2">
      <c r="A8298" s="26"/>
      <c r="B8298" s="26"/>
      <c r="C8298" s="26"/>
      <c r="D8298" s="26"/>
      <c r="E8298" s="26"/>
      <c r="F8298" s="26"/>
      <c r="G8298" s="26"/>
      <c r="H8298" s="26"/>
      <c r="I8298" s="26"/>
      <c r="J8298" s="26"/>
      <c r="K8298" s="26"/>
      <c r="L8298" s="26"/>
      <c r="M8298" s="26"/>
      <c r="N8298" s="26"/>
      <c r="O8298" s="14" t="str">
        <f>HYPERLINK("https://otsuka-europe-crm.veevavault.com/ui/#object/email_activity__v/V8C00000004G629", "EN-002110874")</f>
        <v>EN-002110874</v>
      </c>
    </row>
    <row r="8299" spans="1:15" ht="16" x14ac:dyDescent="0.2">
      <c r="A8299" s="19"/>
      <c r="B8299" s="19"/>
      <c r="C8299" s="19"/>
      <c r="D8299" s="19"/>
      <c r="E8299" s="19"/>
      <c r="F8299" s="19"/>
      <c r="G8299" s="19"/>
      <c r="H8299" s="19"/>
      <c r="I8299" s="19"/>
      <c r="J8299" s="19"/>
      <c r="K8299" s="19"/>
      <c r="L8299" s="19"/>
      <c r="M8299" s="19"/>
      <c r="N8299" s="19"/>
      <c r="O8299" s="14" t="str">
        <f>HYPERLINK("https://otsuka-europe-crm.veevavault.com/ui/#object/email_activity__v/V8C00000004G630", "EN-002110876")</f>
        <v>EN-002110876</v>
      </c>
    </row>
    <row r="8300" spans="1:15" ht="32" x14ac:dyDescent="0.2">
      <c r="A8300" s="7" t="str">
        <f>HYPERLINK("https://otsuka-europe-crm.veevavault.com/ui/#object/account__v/V4TZ04ASG6LQF4U", "BEATRIZ RODRIGUEZ RODRIGUEZ")</f>
        <v>BEATRIZ RODRIGUEZ RODRIGUEZ</v>
      </c>
      <c r="B8300" s="7" t="str">
        <f>HYPERLINK("https://otsuka-europe-crm.veevavault.com/ui/#object/vcountry__v/VENZ000004SONF5", "ES")</f>
        <v>ES</v>
      </c>
      <c r="C8300" s="8" t="s">
        <v>39</v>
      </c>
      <c r="D8300" s="9" t="str">
        <f>HYPERLINK("https://otsuka-europe-crm.veevavault.com/ui/#object/approved_document__v/V5O000000006001", "RXULTI - Comparativa antipsicóticos")</f>
        <v>RXULTI - Comparativa antipsicóticos</v>
      </c>
      <c r="E8300" s="10" t="str">
        <f>HYPERLINK("https://otsuka-europe-crm.veevavault.com/ui/#object/sent_email__v/VBL00000003H068", "SE-001448383")</f>
        <v>SE-001448383</v>
      </c>
      <c r="F8300" s="11"/>
      <c r="G8300" s="12">
        <v>0</v>
      </c>
      <c r="H8300" s="12">
        <v>0</v>
      </c>
      <c r="I8300" s="12">
        <v>0</v>
      </c>
      <c r="J8300" s="11"/>
      <c r="K8300" s="12">
        <v>0</v>
      </c>
      <c r="L8300" s="10" t="str">
        <f>HYPERLINK("https://otsuka-europe-crm.veevavault.com/ui/#object/approved_document__v/V5O000000006001", "RXULTI - Comparativa antipsicóticos")</f>
        <v>RXULTI - Comparativa antipsicóticos</v>
      </c>
      <c r="M8300" s="10" t="str">
        <f>HYPERLINK("mailto:jvillalain@crm.otsuka-europe.com", "jvillalain@crm.otsuka-europe.com")</f>
        <v>jvillalain@crm.otsuka-europe.com</v>
      </c>
      <c r="N8300" s="13">
        <v>46234.366319444445</v>
      </c>
      <c r="O8300" s="14" t="str">
        <f>HYPERLINK("https://otsuka-europe-crm.veevavault.com/ui/#object/email_activity__v/V8C00000004F108", "EN-002110036")</f>
        <v>EN-002110036</v>
      </c>
    </row>
    <row r="8301" spans="1:15" ht="16" x14ac:dyDescent="0.2">
      <c r="A8301" s="18" t="str">
        <f>HYPERLINK("https://otsuka-europe-crm.veevavault.com/ui/#object/account__v/V4TZ06G6O71T95S", "MARIA TERESA ALVAREZ RODRIGUEZ")</f>
        <v>MARIA TERESA ALVAREZ RODRIGUEZ</v>
      </c>
      <c r="B8301" s="18" t="str">
        <f>HYPERLINK("https://otsuka-europe-crm.veevavault.com/ui/#object/vcountry__v/VENZ000004SONF5", "ES")</f>
        <v>ES</v>
      </c>
      <c r="C8301" s="20" t="s">
        <v>39</v>
      </c>
      <c r="D8301" s="21" t="str">
        <f>HYPERLINK("https://otsuka-europe-crm.veevavault.com/ui/#object/approved_document__v/V5O000000006001", "RXULTI - Comparativa antipsicóticos")</f>
        <v>RXULTI - Comparativa antipsicóticos</v>
      </c>
      <c r="E8301" s="22" t="str">
        <f>HYPERLINK("https://otsuka-europe-crm.veevavault.com/ui/#object/sent_email__v/VBL00000003H069", "SE-001448384")</f>
        <v>SE-001448384</v>
      </c>
      <c r="F8301" s="23"/>
      <c r="G8301" s="24">
        <v>0</v>
      </c>
      <c r="H8301" s="24">
        <v>0</v>
      </c>
      <c r="I8301" s="24">
        <v>1</v>
      </c>
      <c r="J8301" s="25">
        <v>46235.477662037039</v>
      </c>
      <c r="K8301" s="24">
        <v>1</v>
      </c>
      <c r="L8301" s="22" t="str">
        <f>HYPERLINK("https://otsuka-europe-crm.veevavault.com/ui/#object/approved_document__v/V5O000000006001", "RXULTI - Comparativa antipsicóticos")</f>
        <v>RXULTI - Comparativa antipsicóticos</v>
      </c>
      <c r="M8301" s="22" t="str">
        <f>HYPERLINK("mailto:jvillalain@crm.otsuka-europe.com", "jvillalain@crm.otsuka-europe.com")</f>
        <v>jvillalain@crm.otsuka-europe.com</v>
      </c>
      <c r="N8301" s="25">
        <v>46234.366319444445</v>
      </c>
      <c r="O8301" s="14" t="str">
        <f>HYPERLINK("https://otsuka-europe-crm.veevavault.com/ui/#object/email_activity__v/V8C00000004F089", "EN-002109989")</f>
        <v>EN-002109989</v>
      </c>
    </row>
    <row r="8302" spans="1:15" ht="16" x14ac:dyDescent="0.2">
      <c r="A8302" s="26"/>
      <c r="B8302" s="26"/>
      <c r="C8302" s="26"/>
      <c r="D8302" s="26"/>
      <c r="E8302" s="26"/>
      <c r="F8302" s="26"/>
      <c r="G8302" s="26"/>
      <c r="H8302" s="26"/>
      <c r="I8302" s="26"/>
      <c r="J8302" s="26"/>
      <c r="K8302" s="26"/>
      <c r="L8302" s="26"/>
      <c r="M8302" s="26"/>
      <c r="N8302" s="26"/>
      <c r="O8302" s="14" t="str">
        <f>HYPERLINK("https://otsuka-europe-crm.veevavault.com/ui/#object/email_activity__v/V8C00000004F121", "EN-002110058")</f>
        <v>EN-002110058</v>
      </c>
    </row>
    <row r="8303" spans="1:15" ht="16" x14ac:dyDescent="0.2">
      <c r="A8303" s="26"/>
      <c r="B8303" s="26"/>
      <c r="C8303" s="26"/>
      <c r="D8303" s="26"/>
      <c r="E8303" s="26"/>
      <c r="F8303" s="26"/>
      <c r="G8303" s="26"/>
      <c r="H8303" s="26"/>
      <c r="I8303" s="26"/>
      <c r="J8303" s="26"/>
      <c r="K8303" s="26"/>
      <c r="L8303" s="26"/>
      <c r="M8303" s="26"/>
      <c r="N8303" s="26"/>
      <c r="O8303" s="14" t="str">
        <f>HYPERLINK("https://otsuka-europe-crm.veevavault.com/ui/#object/email_activity__v/V8C00000004I021", "EN-002111024")</f>
        <v>EN-002111024</v>
      </c>
    </row>
    <row r="8304" spans="1:15" ht="16" x14ac:dyDescent="0.2">
      <c r="A8304" s="26"/>
      <c r="B8304" s="26"/>
      <c r="C8304" s="26"/>
      <c r="D8304" s="26"/>
      <c r="E8304" s="26"/>
      <c r="F8304" s="26"/>
      <c r="G8304" s="26"/>
      <c r="H8304" s="26"/>
      <c r="I8304" s="26"/>
      <c r="J8304" s="26"/>
      <c r="K8304" s="26"/>
      <c r="L8304" s="26"/>
      <c r="M8304" s="26"/>
      <c r="N8304" s="26"/>
      <c r="O8304" s="14" t="str">
        <f>HYPERLINK("https://otsuka-europe-crm.veevavault.com/ui/#object/email_activity__v/V8C00000004I022", "EN-002111025")</f>
        <v>EN-002111025</v>
      </c>
    </row>
    <row r="8305" spans="1:15" ht="16" x14ac:dyDescent="0.2">
      <c r="A8305" s="26"/>
      <c r="B8305" s="26"/>
      <c r="C8305" s="26"/>
      <c r="D8305" s="26"/>
      <c r="E8305" s="26"/>
      <c r="F8305" s="26"/>
      <c r="G8305" s="26"/>
      <c r="H8305" s="26"/>
      <c r="I8305" s="26"/>
      <c r="J8305" s="26"/>
      <c r="K8305" s="26"/>
      <c r="L8305" s="26"/>
      <c r="M8305" s="26"/>
      <c r="N8305" s="26"/>
      <c r="O8305" s="14" t="str">
        <f>HYPERLINK("https://otsuka-europe-crm.veevavault.com/ui/#object/email_activity__v/V8C00000004I029", "EN-002111033")</f>
        <v>EN-002111033</v>
      </c>
    </row>
    <row r="8306" spans="1:15" ht="16" x14ac:dyDescent="0.2">
      <c r="A8306" s="26"/>
      <c r="B8306" s="26"/>
      <c r="C8306" s="26"/>
      <c r="D8306" s="26"/>
      <c r="E8306" s="26"/>
      <c r="F8306" s="26"/>
      <c r="G8306" s="26"/>
      <c r="H8306" s="26"/>
      <c r="I8306" s="26"/>
      <c r="J8306" s="26"/>
      <c r="K8306" s="26"/>
      <c r="L8306" s="26"/>
      <c r="M8306" s="26"/>
      <c r="N8306" s="26"/>
      <c r="O8306" s="14" t="str">
        <f>HYPERLINK("https://otsuka-europe-crm.veevavault.com/ui/#object/email_activity__v/V8C00000004I030", "EN-002111034")</f>
        <v>EN-002111034</v>
      </c>
    </row>
    <row r="8307" spans="1:15" ht="16" x14ac:dyDescent="0.2">
      <c r="A8307" s="19"/>
      <c r="B8307" s="19"/>
      <c r="C8307" s="19"/>
      <c r="D8307" s="19"/>
      <c r="E8307" s="19"/>
      <c r="F8307" s="19"/>
      <c r="G8307" s="19"/>
      <c r="H8307" s="19"/>
      <c r="I8307" s="19"/>
      <c r="J8307" s="19"/>
      <c r="K8307" s="19"/>
      <c r="L8307" s="19"/>
      <c r="M8307" s="19"/>
      <c r="N8307" s="19"/>
      <c r="O8307" s="14" t="str">
        <f>HYPERLINK("https://otsuka-europe-crm.veevavault.com/ui/#object/email_activity__v/V8C00000004I057", "EN-002111086")</f>
        <v>EN-002111086</v>
      </c>
    </row>
    <row r="8308" spans="1:15" ht="32" x14ac:dyDescent="0.2">
      <c r="A8308" s="7" t="str">
        <f>HYPERLINK("https://otsuka-europe-crm.veevavault.com/ui/#object/account__v/V4TZ04ASGE7I09D", "CLAUDIA RODRIGUEZ VALBUENA")</f>
        <v>CLAUDIA RODRIGUEZ VALBUENA</v>
      </c>
      <c r="B8308" s="7" t="str">
        <f>HYPERLINK("https://otsuka-europe-crm.veevavault.com/ui/#object/vcountry__v/VENZ000004SONF5", "ES")</f>
        <v>ES</v>
      </c>
      <c r="C8308" s="8" t="s">
        <v>39</v>
      </c>
      <c r="D8308" s="9" t="str">
        <f>HYPERLINK("https://otsuka-europe-crm.veevavault.com/ui/#object/approved_document__v/V5O000000006001", "RXULTI - Comparativa antipsicóticos")</f>
        <v>RXULTI - Comparativa antipsicóticos</v>
      </c>
      <c r="E8308" s="10" t="str">
        <f>HYPERLINK("https://otsuka-europe-crm.veevavault.com/ui/#object/sent_email__v/VBL00000003H070", "SE-001448385")</f>
        <v>SE-001448385</v>
      </c>
      <c r="F8308" s="11"/>
      <c r="G8308" s="12">
        <v>0</v>
      </c>
      <c r="H8308" s="12">
        <v>0</v>
      </c>
      <c r="I8308" s="12">
        <v>0</v>
      </c>
      <c r="J8308" s="11"/>
      <c r="K8308" s="12">
        <v>0</v>
      </c>
      <c r="L8308" s="10" t="str">
        <f>HYPERLINK("https://otsuka-europe-crm.veevavault.com/ui/#object/approved_document__v/V5O000000006001", "RXULTI - Comparativa antipsicóticos")</f>
        <v>RXULTI - Comparativa antipsicóticos</v>
      </c>
      <c r="M8308" s="10" t="str">
        <f>HYPERLINK("mailto:jvillalain@crm.otsuka-europe.com", "jvillalain@crm.otsuka-europe.com")</f>
        <v>jvillalain@crm.otsuka-europe.com</v>
      </c>
      <c r="N8308" s="13">
        <v>46234.366319444445</v>
      </c>
      <c r="O8308" s="14" t="str">
        <f>HYPERLINK("https://otsuka-europe-crm.veevavault.com/ui/#object/email_activity__v/V8C00000004G116", "EN-002109999")</f>
        <v>EN-002109999</v>
      </c>
    </row>
    <row r="8309" spans="1:15" ht="32" x14ac:dyDescent="0.2">
      <c r="A8309" s="7" t="str">
        <f>HYPERLINK("https://otsuka-europe-crm.veevavault.com/ui/#object/account__v/V4TZ06G6O71T7SD", "LARA RODRIGUEZ ANDRES")</f>
        <v>LARA RODRIGUEZ ANDRES</v>
      </c>
      <c r="B8309" s="7" t="str">
        <f>HYPERLINK("https://otsuka-europe-crm.veevavault.com/ui/#object/vcountry__v/VENZ000004SONF5", "ES")</f>
        <v>ES</v>
      </c>
      <c r="C8309" s="8" t="s">
        <v>39</v>
      </c>
      <c r="D8309" s="9" t="str">
        <f>HYPERLINK("https://otsuka-europe-crm.veevavault.com/ui/#object/approved_document__v/V5O000000006001", "RXULTI - Comparativa antipsicóticos")</f>
        <v>RXULTI - Comparativa antipsicóticos</v>
      </c>
      <c r="E8309" s="10" t="str">
        <f>HYPERLINK("https://otsuka-europe-crm.veevavault.com/ui/#object/sent_email__v/VBL00000003H071", "SE-001448386")</f>
        <v>SE-001448386</v>
      </c>
      <c r="F8309" s="11"/>
      <c r="G8309" s="12">
        <v>0</v>
      </c>
      <c r="H8309" s="12">
        <v>0</v>
      </c>
      <c r="I8309" s="12">
        <v>0</v>
      </c>
      <c r="J8309" s="11"/>
      <c r="K8309" s="12">
        <v>0</v>
      </c>
      <c r="L8309" s="10" t="str">
        <f>HYPERLINK("https://otsuka-europe-crm.veevavault.com/ui/#object/approved_document__v/V5O000000006001", "RXULTI - Comparativa antipsicóticos")</f>
        <v>RXULTI - Comparativa antipsicóticos</v>
      </c>
      <c r="M8309" s="10" t="str">
        <f>HYPERLINK("mailto:jvillalain@crm.otsuka-europe.com", "jvillalain@crm.otsuka-europe.com")</f>
        <v>jvillalain@crm.otsuka-europe.com</v>
      </c>
      <c r="N8309" s="13">
        <v>46234.366319444445</v>
      </c>
      <c r="O8309" s="14" t="str">
        <f>HYPERLINK("https://otsuka-europe-crm.veevavault.com/ui/#object/email_activity__v/V8C00000004G083", "EN-002109933")</f>
        <v>EN-002109933</v>
      </c>
    </row>
    <row r="8310" spans="1:15" ht="16" x14ac:dyDescent="0.2">
      <c r="A8310" s="18" t="str">
        <f>HYPERLINK("https://otsuka-europe-crm.veevavault.com/ui/#object/account__v/V4TZ06G6O71T98N", "MARIA BELEN ARRIBAS SIMON")</f>
        <v>MARIA BELEN ARRIBAS SIMON</v>
      </c>
      <c r="B8310" s="18" t="str">
        <f>HYPERLINK("https://otsuka-europe-crm.veevavault.com/ui/#object/vcountry__v/VENZ000004SONF5", "ES")</f>
        <v>ES</v>
      </c>
      <c r="C8310" s="20" t="s">
        <v>39</v>
      </c>
      <c r="D8310" s="21" t="str">
        <f>HYPERLINK("https://otsuka-europe-crm.veevavault.com/ui/#object/approved_document__v/V5O000000006001", "RXULTI - Comparativa antipsicóticos")</f>
        <v>RXULTI - Comparativa antipsicóticos</v>
      </c>
      <c r="E8310" s="22" t="str">
        <f>HYPERLINK("https://otsuka-europe-crm.veevavault.com/ui/#object/sent_email__v/VBL00000003H072", "SE-001448387")</f>
        <v>SE-001448387</v>
      </c>
      <c r="F8310" s="23"/>
      <c r="G8310" s="24">
        <v>0</v>
      </c>
      <c r="H8310" s="24">
        <v>0</v>
      </c>
      <c r="I8310" s="24">
        <v>0</v>
      </c>
      <c r="J8310" s="23"/>
      <c r="K8310" s="24">
        <v>0</v>
      </c>
      <c r="L8310" s="22" t="str">
        <f>HYPERLINK("https://otsuka-europe-crm.veevavault.com/ui/#object/approved_document__v/V5O000000006001", "RXULTI - Comparativa antipsicóticos")</f>
        <v>RXULTI - Comparativa antipsicóticos</v>
      </c>
      <c r="M8310" s="22" t="str">
        <f>HYPERLINK("mailto:jvillalain@crm.otsuka-europe.com", "jvillalain@crm.otsuka-europe.com")</f>
        <v>jvillalain@crm.otsuka-europe.com</v>
      </c>
      <c r="N8310" s="25">
        <v>46234.366319444445</v>
      </c>
      <c r="O8310" s="14" t="str">
        <f>HYPERLINK("https://otsuka-europe-crm.veevavault.com/ui/#object/email_activity__v/V8C00000004F068", "EN-002109940")</f>
        <v>EN-002109940</v>
      </c>
    </row>
    <row r="8311" spans="1:15" ht="16" x14ac:dyDescent="0.2">
      <c r="A8311" s="19"/>
      <c r="B8311" s="19"/>
      <c r="C8311" s="19"/>
      <c r="D8311" s="19"/>
      <c r="E8311" s="19"/>
      <c r="F8311" s="19"/>
      <c r="G8311" s="19"/>
      <c r="H8311" s="19"/>
      <c r="I8311" s="19"/>
      <c r="J8311" s="19"/>
      <c r="K8311" s="19"/>
      <c r="L8311" s="19"/>
      <c r="M8311" s="19"/>
      <c r="N8311" s="19"/>
      <c r="O8311" s="14" t="str">
        <f>HYPERLINK("https://otsuka-europe-crm.veevavault.com/ui/#object/email_activity__v/V8C00000004G149", "EN-002110051")</f>
        <v>EN-002110051</v>
      </c>
    </row>
    <row r="8312" spans="1:15" ht="32" x14ac:dyDescent="0.2">
      <c r="A8312" s="7" t="str">
        <f>HYPERLINK("https://otsuka-europe-crm.veevavault.com/ui/#object/account__v/V4TZ025E87KOZOX", "LORENZO ROJAS VAZQUEZ")</f>
        <v>LORENZO ROJAS VAZQUEZ</v>
      </c>
      <c r="B8312" s="7" t="str">
        <f>HYPERLINK("https://otsuka-europe-crm.veevavault.com/ui/#object/vcountry__v/VENZ000004SONF5", "ES")</f>
        <v>ES</v>
      </c>
      <c r="C8312" s="8" t="s">
        <v>39</v>
      </c>
      <c r="D8312" s="9" t="str">
        <f>HYPERLINK("https://otsuka-europe-crm.veevavault.com/ui/#object/approved_document__v/V5O000000006001", "RXULTI - Comparativa antipsicóticos")</f>
        <v>RXULTI - Comparativa antipsicóticos</v>
      </c>
      <c r="E8312" s="10" t="str">
        <f>HYPERLINK("https://otsuka-europe-crm.veevavault.com/ui/#object/sent_email__v/VBL00000003H073", "SE-001448388")</f>
        <v>SE-001448388</v>
      </c>
      <c r="F8312" s="11"/>
      <c r="G8312" s="12">
        <v>0</v>
      </c>
      <c r="H8312" s="12">
        <v>0</v>
      </c>
      <c r="I8312" s="12">
        <v>0</v>
      </c>
      <c r="J8312" s="11"/>
      <c r="K8312" s="12">
        <v>0</v>
      </c>
      <c r="L8312" s="10" t="str">
        <f>HYPERLINK("https://otsuka-europe-crm.veevavault.com/ui/#object/approved_document__v/V5O000000006001", "RXULTI - Comparativa antipsicóticos")</f>
        <v>RXULTI - Comparativa antipsicóticos</v>
      </c>
      <c r="M8312" s="10" t="str">
        <f>HYPERLINK("mailto:jvillalain@crm.otsuka-europe.com", "jvillalain@crm.otsuka-europe.com")</f>
        <v>jvillalain@crm.otsuka-europe.com</v>
      </c>
      <c r="N8312" s="13">
        <v>46234.366342592592</v>
      </c>
      <c r="O8312" s="14" t="str">
        <f>HYPERLINK("https://otsuka-europe-crm.veevavault.com/ui/#object/email_activity__v/V8C00000004G096", "EN-002109962")</f>
        <v>EN-002109962</v>
      </c>
    </row>
    <row r="8313" spans="1:15" ht="32" x14ac:dyDescent="0.2">
      <c r="A8313" s="7" t="str">
        <f>HYPERLINK("https://otsuka-europe-crm.veevavault.com/ui/#object/account__v/V4TZ06G6O71T809", "ANA HERNANDEZ GARCIA")</f>
        <v>ANA HERNANDEZ GARCIA</v>
      </c>
      <c r="B8313" s="7" t="str">
        <f>HYPERLINK("https://otsuka-europe-crm.veevavault.com/ui/#object/vcountry__v/VENZ000004SONF5", "ES")</f>
        <v>ES</v>
      </c>
      <c r="C8313" s="8" t="s">
        <v>39</v>
      </c>
      <c r="D8313" s="9" t="str">
        <f>HYPERLINK("https://otsuka-europe-crm.veevavault.com/ui/#object/approved_document__v/V5O000000006001", "RXULTI - Comparativa antipsicóticos")</f>
        <v>RXULTI - Comparativa antipsicóticos</v>
      </c>
      <c r="E8313" s="10" t="str">
        <f>HYPERLINK("https://otsuka-europe-crm.veevavault.com/ui/#object/sent_email__v/VBL00000003H074", "SE-001448389")</f>
        <v>SE-001448389</v>
      </c>
      <c r="F8313" s="11"/>
      <c r="G8313" s="12">
        <v>0</v>
      </c>
      <c r="H8313" s="12">
        <v>0</v>
      </c>
      <c r="I8313" s="12">
        <v>0</v>
      </c>
      <c r="J8313" s="11"/>
      <c r="K8313" s="12">
        <v>0</v>
      </c>
      <c r="L8313" s="10" t="str">
        <f>HYPERLINK("https://otsuka-europe-crm.veevavault.com/ui/#object/approved_document__v/V5O000000006001", "RXULTI - Comparativa antipsicóticos")</f>
        <v>RXULTI - Comparativa antipsicóticos</v>
      </c>
      <c r="M8313" s="10" t="str">
        <f>HYPERLINK("mailto:jvillalain@crm.otsuka-europe.com", "jvillalain@crm.otsuka-europe.com")</f>
        <v>jvillalain@crm.otsuka-europe.com</v>
      </c>
      <c r="N8313" s="13">
        <v>46234.366030092591</v>
      </c>
      <c r="O8313" s="14" t="str">
        <f>HYPERLINK("https://otsuka-europe-crm.veevavault.com/ui/#object/email_activity__v/V8C00000004F052", "EN-002109902")</f>
        <v>EN-002109902</v>
      </c>
    </row>
    <row r="8314" spans="1:15" ht="16" x14ac:dyDescent="0.2">
      <c r="A8314" s="18" t="str">
        <f>HYPERLINK("https://otsuka-europe-crm.veevavault.com/ui/#object/account__v/V4TZ06G6O71TBBK", "JUAN GUILLERMO MUÑIO REDONDO")</f>
        <v>JUAN GUILLERMO MUÑIO REDONDO</v>
      </c>
      <c r="B8314" s="18" t="str">
        <f>HYPERLINK("https://otsuka-europe-crm.veevavault.com/ui/#object/vcountry__v/VENZ000004SONF5", "ES")</f>
        <v>ES</v>
      </c>
      <c r="C8314" s="20" t="s">
        <v>39</v>
      </c>
      <c r="D8314" s="21" t="str">
        <f>HYPERLINK("https://otsuka-europe-crm.veevavault.com/ui/#object/approved_document__v/V5O000000006001", "RXULTI - Comparativa antipsicóticos")</f>
        <v>RXULTI - Comparativa antipsicóticos</v>
      </c>
      <c r="E8314" s="22" t="str">
        <f>HYPERLINK("https://otsuka-europe-crm.veevavault.com/ui/#object/sent_email__v/VBL00000003H075", "SE-001448390")</f>
        <v>SE-001448390</v>
      </c>
      <c r="F8314" s="23"/>
      <c r="G8314" s="24">
        <v>0</v>
      </c>
      <c r="H8314" s="24">
        <v>0</v>
      </c>
      <c r="I8314" s="24">
        <v>0</v>
      </c>
      <c r="J8314" s="23"/>
      <c r="K8314" s="24">
        <v>0</v>
      </c>
      <c r="L8314" s="22" t="str">
        <f>HYPERLINK("https://otsuka-europe-crm.veevavault.com/ui/#object/approved_document__v/V5O000000006001", "RXULTI - Comparativa antipsicóticos")</f>
        <v>RXULTI - Comparativa antipsicóticos</v>
      </c>
      <c r="M8314" s="22" t="str">
        <f>HYPERLINK("mailto:jvillalain@crm.otsuka-europe.com", "jvillalain@crm.otsuka-europe.com")</f>
        <v>jvillalain@crm.otsuka-europe.com</v>
      </c>
      <c r="N8314" s="25">
        <v>46234.366319444445</v>
      </c>
      <c r="O8314" s="14" t="str">
        <f>HYPERLINK("https://otsuka-europe-crm.veevavault.com/ui/#object/email_activity__v/V8C00000004F087", "EN-002109987")</f>
        <v>EN-002109987</v>
      </c>
    </row>
    <row r="8315" spans="1:15" ht="16" x14ac:dyDescent="0.2">
      <c r="A8315" s="19"/>
      <c r="B8315" s="19"/>
      <c r="C8315" s="19"/>
      <c r="D8315" s="19"/>
      <c r="E8315" s="19"/>
      <c r="F8315" s="19"/>
      <c r="G8315" s="19"/>
      <c r="H8315" s="19"/>
      <c r="I8315" s="19"/>
      <c r="J8315" s="19"/>
      <c r="K8315" s="19"/>
      <c r="L8315" s="19"/>
      <c r="M8315" s="19"/>
      <c r="N8315" s="19"/>
      <c r="O8315" s="14" t="str">
        <f>HYPERLINK("https://otsuka-europe-crm.veevavault.com/ui/#object/email_activity__v/V8C00000004G151", "EN-002110057")</f>
        <v>EN-002110057</v>
      </c>
    </row>
    <row r="8316" spans="1:15" ht="32" x14ac:dyDescent="0.2">
      <c r="A8316" s="7" t="str">
        <f>HYPERLINK("https://otsuka-europe-crm.veevavault.com/ui/#object/account__v/V4TZ025E87JGXI5", "MARINA PEDRUELO IGLESIAS")</f>
        <v>MARINA PEDRUELO IGLESIAS</v>
      </c>
      <c r="B8316" s="7" t="str">
        <f>HYPERLINK("https://otsuka-europe-crm.veevavault.com/ui/#object/vcountry__v/VENZ000004SONF5", "ES")</f>
        <v>ES</v>
      </c>
      <c r="C8316" s="8" t="s">
        <v>39</v>
      </c>
      <c r="D8316" s="9" t="str">
        <f>HYPERLINK("https://otsuka-europe-crm.veevavault.com/ui/#object/approved_document__v/V5O000000006001", "RXULTI - Comparativa antipsicóticos")</f>
        <v>RXULTI - Comparativa antipsicóticos</v>
      </c>
      <c r="E8316" s="10" t="str">
        <f>HYPERLINK("https://otsuka-europe-crm.veevavault.com/ui/#object/sent_email__v/VBL00000003H076", "SE-001448391")</f>
        <v>SE-001448391</v>
      </c>
      <c r="F8316" s="11"/>
      <c r="G8316" s="12">
        <v>0</v>
      </c>
      <c r="H8316" s="12">
        <v>0</v>
      </c>
      <c r="I8316" s="12">
        <v>0</v>
      </c>
      <c r="J8316" s="11"/>
      <c r="K8316" s="12">
        <v>0</v>
      </c>
      <c r="L8316" s="10" t="str">
        <f>HYPERLINK("https://otsuka-europe-crm.veevavault.com/ui/#object/approved_document__v/V5O000000006001", "RXULTI - Comparativa antipsicóticos")</f>
        <v>RXULTI - Comparativa antipsicóticos</v>
      </c>
      <c r="M8316" s="10" t="str">
        <f>HYPERLINK("mailto:jvillalain@crm.otsuka-europe.com", "jvillalain@crm.otsuka-europe.com")</f>
        <v>jvillalain@crm.otsuka-europe.com</v>
      </c>
      <c r="N8316" s="13">
        <v>46234.366319444445</v>
      </c>
      <c r="O8316" s="14" t="str">
        <f>HYPERLINK("https://otsuka-europe-crm.veevavault.com/ui/#object/email_activity__v/V8C00000004G123", "EN-002110011")</f>
        <v>EN-002110011</v>
      </c>
    </row>
    <row r="8317" spans="1:15" ht="32" x14ac:dyDescent="0.2">
      <c r="A8317" s="7" t="str">
        <f>HYPERLINK("https://otsuka-europe-crm.veevavault.com/ui/#object/account__v/V4T00000002B085", "ANA LORENTE RUBIO")</f>
        <v>ANA LORENTE RUBIO</v>
      </c>
      <c r="B8317" s="7" t="str">
        <f>HYPERLINK("https://otsuka-europe-crm.veevavault.com/ui/#object/vcountry__v/VENZ000004SONF5", "ES")</f>
        <v>ES</v>
      </c>
      <c r="C8317" s="8" t="s">
        <v>39</v>
      </c>
      <c r="D8317" s="9" t="str">
        <f>HYPERLINK("https://otsuka-europe-crm.veevavault.com/ui/#object/approved_document__v/V5O000000006001", "RXULTI - Comparativa antipsicóticos")</f>
        <v>RXULTI - Comparativa antipsicóticos</v>
      </c>
      <c r="E8317" s="10" t="str">
        <f>HYPERLINK("https://otsuka-europe-crm.veevavault.com/ui/#object/sent_email__v/VBL00000003H077", "SE-001448392")</f>
        <v>SE-001448392</v>
      </c>
      <c r="F8317" s="11"/>
      <c r="G8317" s="12">
        <v>0</v>
      </c>
      <c r="H8317" s="12">
        <v>0</v>
      </c>
      <c r="I8317" s="12">
        <v>0</v>
      </c>
      <c r="J8317" s="11"/>
      <c r="K8317" s="12">
        <v>0</v>
      </c>
      <c r="L8317" s="10" t="str">
        <f>HYPERLINK("https://otsuka-europe-crm.veevavault.com/ui/#object/approved_document__v/V5O000000006001", "RXULTI - Comparativa antipsicóticos")</f>
        <v>RXULTI - Comparativa antipsicóticos</v>
      </c>
      <c r="M8317" s="10" t="str">
        <f>HYPERLINK("mailto:jvillalain@crm.otsuka-europe.com", "jvillalain@crm.otsuka-europe.com")</f>
        <v>jvillalain@crm.otsuka-europe.com</v>
      </c>
      <c r="N8317" s="13">
        <v>46234.366319444445</v>
      </c>
      <c r="O8317" s="14" t="str">
        <f>HYPERLINK("https://otsuka-europe-crm.veevavault.com/ui/#object/email_activity__v/V8C00000004F088", "EN-002109988")</f>
        <v>EN-002109988</v>
      </c>
    </row>
    <row r="8318" spans="1:15" ht="32" x14ac:dyDescent="0.2">
      <c r="A8318" s="7" t="str">
        <f>HYPERLINK("https://otsuka-europe-crm.veevavault.com/ui/#object/account__v/V4TZ06G6O71TAW6", "GEMA MEDINA OJEDA")</f>
        <v>GEMA MEDINA OJEDA</v>
      </c>
      <c r="B8318" s="7" t="str">
        <f>HYPERLINK("https://otsuka-europe-crm.veevavault.com/ui/#object/vcountry__v/VENZ000004SONF5", "ES")</f>
        <v>ES</v>
      </c>
      <c r="C8318" s="8" t="s">
        <v>39</v>
      </c>
      <c r="D8318" s="9" t="str">
        <f>HYPERLINK("https://otsuka-europe-crm.veevavault.com/ui/#object/approved_document__v/V5O000000006001", "RXULTI - Comparativa antipsicóticos")</f>
        <v>RXULTI - Comparativa antipsicóticos</v>
      </c>
      <c r="E8318" s="10" t="str">
        <f>HYPERLINK("https://otsuka-europe-crm.veevavault.com/ui/#object/sent_email__v/VBL00000003H078", "SE-001448393")</f>
        <v>SE-001448393</v>
      </c>
      <c r="F8318" s="11"/>
      <c r="G8318" s="12">
        <v>0</v>
      </c>
      <c r="H8318" s="12">
        <v>0</v>
      </c>
      <c r="I8318" s="12">
        <v>0</v>
      </c>
      <c r="J8318" s="11"/>
      <c r="K8318" s="12">
        <v>0</v>
      </c>
      <c r="L8318" s="10" t="str">
        <f>HYPERLINK("https://otsuka-europe-crm.veevavault.com/ui/#object/approved_document__v/V5O000000006001", "RXULTI - Comparativa antipsicóticos")</f>
        <v>RXULTI - Comparativa antipsicóticos</v>
      </c>
      <c r="M8318" s="10" t="str">
        <f>HYPERLINK("mailto:jvillalain@crm.otsuka-europe.com", "jvillalain@crm.otsuka-europe.com")</f>
        <v>jvillalain@crm.otsuka-europe.com</v>
      </c>
      <c r="N8318" s="13">
        <v>46234.366319444445</v>
      </c>
      <c r="O8318" s="14" t="str">
        <f>HYPERLINK("https://otsuka-europe-crm.veevavault.com/ui/#object/email_activity__v/V8C00000004F061", "EN-002109911")</f>
        <v>EN-002109911</v>
      </c>
    </row>
    <row r="8319" spans="1:15" ht="16" x14ac:dyDescent="0.2">
      <c r="A8319" s="18" t="str">
        <f>HYPERLINK("https://otsuka-europe-crm.veevavault.com/ui/#object/account__v/V4TZ06G6O71TBYG", "ANA CRISTINA RODRIGO GUTIERREZ")</f>
        <v>ANA CRISTINA RODRIGO GUTIERREZ</v>
      </c>
      <c r="B8319" s="18" t="str">
        <f>HYPERLINK("https://otsuka-europe-crm.veevavault.com/ui/#object/vcountry__v/VENZ000004SONF5", "ES")</f>
        <v>ES</v>
      </c>
      <c r="C8319" s="20" t="s">
        <v>39</v>
      </c>
      <c r="D8319" s="21" t="str">
        <f>HYPERLINK("https://otsuka-europe-crm.veevavault.com/ui/#object/approved_document__v/V5O000000006001", "RXULTI - Comparativa antipsicóticos")</f>
        <v>RXULTI - Comparativa antipsicóticos</v>
      </c>
      <c r="E8319" s="22" t="str">
        <f>HYPERLINK("https://otsuka-europe-crm.veevavault.com/ui/#object/sent_email__v/VBL00000003H079", "SE-001448394")</f>
        <v>SE-001448394</v>
      </c>
      <c r="F8319" s="25">
        <v>46234.407106481478</v>
      </c>
      <c r="G8319" s="24">
        <v>1</v>
      </c>
      <c r="H8319" s="24">
        <v>1</v>
      </c>
      <c r="I8319" s="24">
        <v>0</v>
      </c>
      <c r="J8319" s="23"/>
      <c r="K8319" s="24">
        <v>0</v>
      </c>
      <c r="L8319" s="22" t="str">
        <f>HYPERLINK("https://otsuka-europe-crm.veevavault.com/ui/#object/approved_document__v/V5O000000006001", "RXULTI - Comparativa antipsicóticos")</f>
        <v>RXULTI - Comparativa antipsicóticos</v>
      </c>
      <c r="M8319" s="22" t="str">
        <f>HYPERLINK("mailto:jvillalain@crm.otsuka-europe.com", "jvillalain@crm.otsuka-europe.com")</f>
        <v>jvillalain@crm.otsuka-europe.com</v>
      </c>
      <c r="N8319" s="25">
        <v>46234.366319444445</v>
      </c>
      <c r="O8319" s="14" t="str">
        <f>HYPERLINK("https://otsuka-europe-crm.veevavault.com/ui/#object/email_activity__v/V8C00000004F130", "EN-002110067")</f>
        <v>EN-002110067</v>
      </c>
    </row>
    <row r="8320" spans="1:15" ht="16" x14ac:dyDescent="0.2">
      <c r="A8320" s="19"/>
      <c r="B8320" s="19"/>
      <c r="C8320" s="19"/>
      <c r="D8320" s="19"/>
      <c r="E8320" s="19"/>
      <c r="F8320" s="19"/>
      <c r="G8320" s="19"/>
      <c r="H8320" s="19"/>
      <c r="I8320" s="19"/>
      <c r="J8320" s="19"/>
      <c r="K8320" s="19"/>
      <c r="L8320" s="19"/>
      <c r="M8320" s="19"/>
      <c r="N8320" s="19"/>
      <c r="O8320" s="14" t="str">
        <f>HYPERLINK("https://otsuka-europe-crm.veevavault.com/ui/#object/email_activity__v/V8C00000004G085", "EN-002109935")</f>
        <v>EN-002109935</v>
      </c>
    </row>
    <row r="8321" spans="1:15" ht="32" x14ac:dyDescent="0.2">
      <c r="A8321" s="7" t="str">
        <f>HYPERLINK("https://otsuka-europe-crm.veevavault.com/ui/#object/account__v/V4TZ06G6O71T8Q2", "JOSE ANTONIO AGUADO MAÑAS")</f>
        <v>JOSE ANTONIO AGUADO MAÑAS</v>
      </c>
      <c r="B8321" s="7" t="str">
        <f>HYPERLINK("https://otsuka-europe-crm.veevavault.com/ui/#object/vcountry__v/VENZ000004SONF5", "ES")</f>
        <v>ES</v>
      </c>
      <c r="C8321" s="8" t="s">
        <v>39</v>
      </c>
      <c r="D8321" s="9" t="str">
        <f>HYPERLINK("https://otsuka-europe-crm.veevavault.com/ui/#object/approved_document__v/V5O000000006001", "RXULTI - Comparativa antipsicóticos")</f>
        <v>RXULTI - Comparativa antipsicóticos</v>
      </c>
      <c r="E8321" s="10" t="str">
        <f>HYPERLINK("https://otsuka-europe-crm.veevavault.com/ui/#object/sent_email__v/VBL00000003H080", "SE-001448395")</f>
        <v>SE-001448395</v>
      </c>
      <c r="F8321" s="11"/>
      <c r="G8321" s="12">
        <v>0</v>
      </c>
      <c r="H8321" s="12">
        <v>0</v>
      </c>
      <c r="I8321" s="12">
        <v>0</v>
      </c>
      <c r="J8321" s="11"/>
      <c r="K8321" s="12">
        <v>0</v>
      </c>
      <c r="L8321" s="10" t="str">
        <f>HYPERLINK("https://otsuka-europe-crm.veevavault.com/ui/#object/approved_document__v/V5O000000006001", "RXULTI - Comparativa antipsicóticos")</f>
        <v>RXULTI - Comparativa antipsicóticos</v>
      </c>
      <c r="M8321" s="10" t="str">
        <f>HYPERLINK("mailto:jvillalain@crm.otsuka-europe.com", "jvillalain@crm.otsuka-europe.com")</f>
        <v>jvillalain@crm.otsuka-europe.com</v>
      </c>
      <c r="N8321" s="13">
        <v>46234.366319444445</v>
      </c>
      <c r="O8321" s="14" t="str">
        <f>HYPERLINK("https://otsuka-europe-crm.veevavault.com/ui/#object/email_activity__v/V8C00000004F070", "EN-002109942")</f>
        <v>EN-002109942</v>
      </c>
    </row>
    <row r="8322" spans="1:15" ht="32" x14ac:dyDescent="0.2">
      <c r="A8322" s="7" t="str">
        <f>HYPERLINK("https://otsuka-europe-crm.veevavault.com/ui/#object/account__v/V4TZ06G6O71T9IR", "CARLOTA BOTILLO MARTIN")</f>
        <v>CARLOTA BOTILLO MARTIN</v>
      </c>
      <c r="B8322" s="7" t="str">
        <f>HYPERLINK("https://otsuka-europe-crm.veevavault.com/ui/#object/vcountry__v/VENZ000004SONF5", "ES")</f>
        <v>ES</v>
      </c>
      <c r="C8322" s="8" t="s">
        <v>39</v>
      </c>
      <c r="D8322" s="9" t="str">
        <f>HYPERLINK("https://otsuka-europe-crm.veevavault.com/ui/#object/approved_document__v/V5O000000006001", "RXULTI - Comparativa antipsicóticos")</f>
        <v>RXULTI - Comparativa antipsicóticos</v>
      </c>
      <c r="E8322" s="10" t="str">
        <f>HYPERLINK("https://otsuka-europe-crm.veevavault.com/ui/#object/sent_email__v/VBL00000003H081", "SE-001448396")</f>
        <v>SE-001448396</v>
      </c>
      <c r="F8322" s="11"/>
      <c r="G8322" s="12">
        <v>0</v>
      </c>
      <c r="H8322" s="12">
        <v>0</v>
      </c>
      <c r="I8322" s="12">
        <v>0</v>
      </c>
      <c r="J8322" s="11"/>
      <c r="K8322" s="12">
        <v>0</v>
      </c>
      <c r="L8322" s="10" t="str">
        <f>HYPERLINK("https://otsuka-europe-crm.veevavault.com/ui/#object/approved_document__v/V5O000000006001", "RXULTI - Comparativa antipsicóticos")</f>
        <v>RXULTI - Comparativa antipsicóticos</v>
      </c>
      <c r="M8322" s="10" t="str">
        <f>HYPERLINK("mailto:jvillalain@crm.otsuka-europe.com", "jvillalain@crm.otsuka-europe.com")</f>
        <v>jvillalain@crm.otsuka-europe.com</v>
      </c>
      <c r="N8322" s="13">
        <v>46234.366319444445</v>
      </c>
      <c r="O8322" s="14" t="str">
        <f>HYPERLINK("https://otsuka-europe-crm.veevavault.com/ui/#object/email_activity__v/V8C00000004G121", "EN-002110009")</f>
        <v>EN-002110009</v>
      </c>
    </row>
    <row r="8323" spans="1:15" ht="16" x14ac:dyDescent="0.2">
      <c r="A8323" s="18" t="str">
        <f>HYPERLINK("https://otsuka-europe-crm.veevavault.com/ui/#object/account__v/V4TZ06G6O71T9J1", "EVA BRAVO BARBA")</f>
        <v>EVA BRAVO BARBA</v>
      </c>
      <c r="B8323" s="18" t="str">
        <f>HYPERLINK("https://otsuka-europe-crm.veevavault.com/ui/#object/vcountry__v/VENZ000004SONF5", "ES")</f>
        <v>ES</v>
      </c>
      <c r="C8323" s="20" t="s">
        <v>39</v>
      </c>
      <c r="D8323" s="21" t="str">
        <f>HYPERLINK("https://otsuka-europe-crm.veevavault.com/ui/#object/approved_document__v/V5O000000006001", "RXULTI - Comparativa antipsicóticos")</f>
        <v>RXULTI - Comparativa antipsicóticos</v>
      </c>
      <c r="E8323" s="22" t="str">
        <f>HYPERLINK("https://otsuka-europe-crm.veevavault.com/ui/#object/sent_email__v/VBL00000003H082", "SE-001448397")</f>
        <v>SE-001448397</v>
      </c>
      <c r="F8323" s="25">
        <v>46234.421979166669</v>
      </c>
      <c r="G8323" s="24">
        <v>1</v>
      </c>
      <c r="H8323" s="24">
        <v>2</v>
      </c>
      <c r="I8323" s="24">
        <v>0</v>
      </c>
      <c r="J8323" s="23"/>
      <c r="K8323" s="24">
        <v>0</v>
      </c>
      <c r="L8323" s="22" t="str">
        <f>HYPERLINK("https://otsuka-europe-crm.veevavault.com/ui/#object/approved_document__v/V5O000000006001", "RXULTI - Comparativa antipsicóticos")</f>
        <v>RXULTI - Comparativa antipsicóticos</v>
      </c>
      <c r="M8323" s="22" t="str">
        <f>HYPERLINK("mailto:jvillalain@crm.otsuka-europe.com", "jvillalain@crm.otsuka-europe.com")</f>
        <v>jvillalain@crm.otsuka-europe.com</v>
      </c>
      <c r="N8323" s="25">
        <v>46234.366319444445</v>
      </c>
      <c r="O8323" s="14" t="str">
        <f>HYPERLINK("https://otsuka-europe-crm.veevavault.com/ui/#object/email_activity__v/V8C00000004G130", "EN-002110018")</f>
        <v>EN-002110018</v>
      </c>
    </row>
    <row r="8324" spans="1:15" ht="16" x14ac:dyDescent="0.2">
      <c r="A8324" s="26"/>
      <c r="B8324" s="26"/>
      <c r="C8324" s="26"/>
      <c r="D8324" s="26"/>
      <c r="E8324" s="26"/>
      <c r="F8324" s="26"/>
      <c r="G8324" s="26"/>
      <c r="H8324" s="26"/>
      <c r="I8324" s="26"/>
      <c r="J8324" s="26"/>
      <c r="K8324" s="26"/>
      <c r="L8324" s="26"/>
      <c r="M8324" s="26"/>
      <c r="N8324" s="26"/>
      <c r="O8324" s="14" t="str">
        <f>HYPERLINK("https://otsuka-europe-crm.veevavault.com/ui/#object/email_activity__v/V8C00000004G184", "EN-002110138")</f>
        <v>EN-002110138</v>
      </c>
    </row>
    <row r="8325" spans="1:15" ht="16" x14ac:dyDescent="0.2">
      <c r="A8325" s="19"/>
      <c r="B8325" s="19"/>
      <c r="C8325" s="19"/>
      <c r="D8325" s="19"/>
      <c r="E8325" s="19"/>
      <c r="F8325" s="19"/>
      <c r="G8325" s="19"/>
      <c r="H8325" s="19"/>
      <c r="I8325" s="19"/>
      <c r="J8325" s="19"/>
      <c r="K8325" s="19"/>
      <c r="L8325" s="19"/>
      <c r="M8325" s="19"/>
      <c r="N8325" s="19"/>
      <c r="O8325" s="14" t="str">
        <f>HYPERLINK("https://otsuka-europe-crm.veevavault.com/ui/#object/email_activity__v/V8C00000004G185", "EN-002110139")</f>
        <v>EN-002110139</v>
      </c>
    </row>
    <row r="8326" spans="1:15" ht="16" x14ac:dyDescent="0.2">
      <c r="A8326" s="18" t="str">
        <f>HYPERLINK("https://otsuka-europe-crm.veevavault.com/ui/#object/account__v/V4TZ04ASGGI2KFP", "GLORIA LORENZO CHAPATTE")</f>
        <v>GLORIA LORENZO CHAPATTE</v>
      </c>
      <c r="B8326" s="18" t="str">
        <f>HYPERLINK("https://otsuka-europe-crm.veevavault.com/ui/#object/vcountry__v/VENZ000004SONF5", "ES")</f>
        <v>ES</v>
      </c>
      <c r="C8326" s="20" t="s">
        <v>39</v>
      </c>
      <c r="D8326" s="21" t="str">
        <f>HYPERLINK("https://otsuka-europe-crm.veevavault.com/ui/#object/approved_document__v/V5O000000006001", "RXULTI - Comparativa antipsicóticos")</f>
        <v>RXULTI - Comparativa antipsicóticos</v>
      </c>
      <c r="E8326" s="22" t="str">
        <f>HYPERLINK("https://otsuka-europe-crm.veevavault.com/ui/#object/sent_email__v/VBL00000003H083", "SE-001448398")</f>
        <v>SE-001448398</v>
      </c>
      <c r="F8326" s="25">
        <v>46234.376377314817</v>
      </c>
      <c r="G8326" s="24">
        <v>1</v>
      </c>
      <c r="H8326" s="24">
        <v>2</v>
      </c>
      <c r="I8326" s="24">
        <v>0</v>
      </c>
      <c r="J8326" s="23"/>
      <c r="K8326" s="24">
        <v>0</v>
      </c>
      <c r="L8326" s="22" t="str">
        <f>HYPERLINK("https://otsuka-europe-crm.veevavault.com/ui/#object/approved_document__v/V5O000000006001", "RXULTI - Comparativa antipsicóticos")</f>
        <v>RXULTI - Comparativa antipsicóticos</v>
      </c>
      <c r="M8326" s="22" t="str">
        <f>HYPERLINK("mailto:jvillalain@crm.otsuka-europe.com", "jvillalain@crm.otsuka-europe.com")</f>
        <v>jvillalain@crm.otsuka-europe.com</v>
      </c>
      <c r="N8326" s="25">
        <v>46234.366319444445</v>
      </c>
      <c r="O8326" s="14" t="str">
        <f>HYPERLINK("https://otsuka-europe-crm.veevavault.com/ui/#object/email_activity__v/V8C00000004F109", "EN-002110037")</f>
        <v>EN-002110037</v>
      </c>
    </row>
    <row r="8327" spans="1:15" ht="16" x14ac:dyDescent="0.2">
      <c r="A8327" s="26"/>
      <c r="B8327" s="26"/>
      <c r="C8327" s="26"/>
      <c r="D8327" s="26"/>
      <c r="E8327" s="26"/>
      <c r="F8327" s="26"/>
      <c r="G8327" s="26"/>
      <c r="H8327" s="26"/>
      <c r="I8327" s="26"/>
      <c r="J8327" s="26"/>
      <c r="K8327" s="26"/>
      <c r="L8327" s="26"/>
      <c r="M8327" s="26"/>
      <c r="N8327" s="26"/>
      <c r="O8327" s="14" t="str">
        <f>HYPERLINK("https://otsuka-europe-crm.veevavault.com/ui/#object/email_activity__v/V8C00000004F116", "EN-002110049")</f>
        <v>EN-002110049</v>
      </c>
    </row>
    <row r="8328" spans="1:15" ht="16" x14ac:dyDescent="0.2">
      <c r="A8328" s="19"/>
      <c r="B8328" s="19"/>
      <c r="C8328" s="19"/>
      <c r="D8328" s="19"/>
      <c r="E8328" s="19"/>
      <c r="F8328" s="19"/>
      <c r="G8328" s="19"/>
      <c r="H8328" s="19"/>
      <c r="I8328" s="19"/>
      <c r="J8328" s="19"/>
      <c r="K8328" s="19"/>
      <c r="L8328" s="19"/>
      <c r="M8328" s="19"/>
      <c r="N8328" s="19"/>
      <c r="O8328" s="14" t="str">
        <f>HYPERLINK("https://otsuka-europe-crm.veevavault.com/ui/#object/email_activity__v/V8C00000004G147", "EN-002110048")</f>
        <v>EN-002110048</v>
      </c>
    </row>
    <row r="8329" spans="1:15" ht="16" x14ac:dyDescent="0.2">
      <c r="A8329" s="18" t="str">
        <f>HYPERLINK("https://otsuka-europe-crm.veevavault.com/ui/#object/account__v/V4T00000001D080", "MARIA PALOMA PANDO FERNANDEZ")</f>
        <v>MARIA PALOMA PANDO FERNANDEZ</v>
      </c>
      <c r="B8329" s="18" t="str">
        <f>HYPERLINK("https://otsuka-europe-crm.veevavault.com/ui/#object/vcountry__v/VENZ000004SONF5", "ES")</f>
        <v>ES</v>
      </c>
      <c r="C8329" s="20" t="s">
        <v>39</v>
      </c>
      <c r="D8329" s="21" t="str">
        <f>HYPERLINK("https://otsuka-europe-crm.veevavault.com/ui/#object/approved_document__v/V5O000000006001", "RXULTI - Comparativa antipsicóticos")</f>
        <v>RXULTI - Comparativa antipsicóticos</v>
      </c>
      <c r="E8329" s="22" t="str">
        <f>HYPERLINK("https://otsuka-europe-crm.veevavault.com/ui/#object/sent_email__v/VBL00000003H084", "SE-001448399")</f>
        <v>SE-001448399</v>
      </c>
      <c r="F8329" s="25">
        <v>46234.491400462961</v>
      </c>
      <c r="G8329" s="24">
        <v>1</v>
      </c>
      <c r="H8329" s="24">
        <v>1</v>
      </c>
      <c r="I8329" s="24">
        <v>0</v>
      </c>
      <c r="J8329" s="23"/>
      <c r="K8329" s="24">
        <v>0</v>
      </c>
      <c r="L8329" s="22" t="str">
        <f>HYPERLINK("https://otsuka-europe-crm.veevavault.com/ui/#object/approved_document__v/V5O000000006001", "RXULTI - Comparativa antipsicóticos")</f>
        <v>RXULTI - Comparativa antipsicóticos</v>
      </c>
      <c r="M8329" s="22" t="str">
        <f>HYPERLINK("mailto:jvillalain@crm.otsuka-europe.com", "jvillalain@crm.otsuka-europe.com")</f>
        <v>jvillalain@crm.otsuka-europe.com</v>
      </c>
      <c r="N8329" s="25">
        <v>46234.366319444445</v>
      </c>
      <c r="O8329" s="14" t="str">
        <f>HYPERLINK("https://otsuka-europe-crm.veevavault.com/ui/#object/email_activity__v/V8C00000004F056", "EN-002109906")</f>
        <v>EN-002109906</v>
      </c>
    </row>
    <row r="8330" spans="1:15" ht="16" x14ac:dyDescent="0.2">
      <c r="A8330" s="19"/>
      <c r="B8330" s="19"/>
      <c r="C8330" s="19"/>
      <c r="D8330" s="19"/>
      <c r="E8330" s="19"/>
      <c r="F8330" s="19"/>
      <c r="G8330" s="19"/>
      <c r="H8330" s="19"/>
      <c r="I8330" s="19"/>
      <c r="J8330" s="19"/>
      <c r="K8330" s="19"/>
      <c r="L8330" s="19"/>
      <c r="M8330" s="19"/>
      <c r="N8330" s="19"/>
      <c r="O8330" s="14" t="str">
        <f>HYPERLINK("https://otsuka-europe-crm.veevavault.com/ui/#object/email_activity__v/V8C00000004G525", "EN-002110672")</f>
        <v>EN-002110672</v>
      </c>
    </row>
    <row r="8331" spans="1:15" ht="32" x14ac:dyDescent="0.2">
      <c r="A8331" s="7" t="str">
        <f>HYPERLINK("https://otsuka-europe-crm.veevavault.com/ui/#object/account__v/V4TZ06G6O71T7SF", "BEATRIZ CARRASCO PALOMARES")</f>
        <v>BEATRIZ CARRASCO PALOMARES</v>
      </c>
      <c r="B8331" s="7" t="str">
        <f>HYPERLINK("https://otsuka-europe-crm.veevavault.com/ui/#object/vcountry__v/VENZ000004SONF5", "ES")</f>
        <v>ES</v>
      </c>
      <c r="C8331" s="8" t="s">
        <v>39</v>
      </c>
      <c r="D8331" s="9" t="str">
        <f>HYPERLINK("https://otsuka-europe-crm.veevavault.com/ui/#object/approved_document__v/V5O000000006001", "RXULTI - Comparativa antipsicóticos")</f>
        <v>RXULTI - Comparativa antipsicóticos</v>
      </c>
      <c r="E8331" s="10" t="str">
        <f>HYPERLINK("https://otsuka-europe-crm.veevavault.com/ui/#object/sent_email__v/VBL00000003H085", "SE-001448400")</f>
        <v>SE-001448400</v>
      </c>
      <c r="F8331" s="11"/>
      <c r="G8331" s="12">
        <v>0</v>
      </c>
      <c r="H8331" s="12">
        <v>0</v>
      </c>
      <c r="I8331" s="12">
        <v>0</v>
      </c>
      <c r="J8331" s="11"/>
      <c r="K8331" s="12">
        <v>0</v>
      </c>
      <c r="L8331" s="10" t="str">
        <f>HYPERLINK("https://otsuka-europe-crm.veevavault.com/ui/#object/approved_document__v/V5O000000006001", "RXULTI - Comparativa antipsicóticos")</f>
        <v>RXULTI - Comparativa antipsicóticos</v>
      </c>
      <c r="M8331" s="10" t="str">
        <f>HYPERLINK("mailto:jvillalain@crm.otsuka-europe.com", "jvillalain@crm.otsuka-europe.com")</f>
        <v>jvillalain@crm.otsuka-europe.com</v>
      </c>
      <c r="N8331" s="13">
        <v>46234.366354166668</v>
      </c>
      <c r="O8331" s="14" t="str">
        <f>HYPERLINK("https://otsuka-europe-crm.veevavault.com/ui/#object/email_activity__v/V8C00000004G090", "EN-002109951")</f>
        <v>EN-002109951</v>
      </c>
    </row>
    <row r="8332" spans="1:15" ht="32" x14ac:dyDescent="0.2">
      <c r="A8332" s="7" t="str">
        <f>HYPERLINK("https://otsuka-europe-crm.veevavault.com/ui/#object/account__v/V4TZ06G6O8KXARJ", "PILAR OLIVA PEREZ GUTIERREZ")</f>
        <v>PILAR OLIVA PEREZ GUTIERREZ</v>
      </c>
      <c r="B8332" s="7" t="str">
        <f>HYPERLINK("https://otsuka-europe-crm.veevavault.com/ui/#object/vcountry__v/VENZ000004SONF5", "ES")</f>
        <v>ES</v>
      </c>
      <c r="C8332" s="8" t="s">
        <v>39</v>
      </c>
      <c r="D8332" s="9" t="str">
        <f>HYPERLINK("https://otsuka-europe-crm.veevavault.com/ui/#object/approved_document__v/V5O000000006001", "RXULTI - Comparativa antipsicóticos")</f>
        <v>RXULTI - Comparativa antipsicóticos</v>
      </c>
      <c r="E8332" s="10" t="str">
        <f>HYPERLINK("https://otsuka-europe-crm.veevavault.com/ui/#object/sent_email__v/VBL00000003H086", "SE-001448401")</f>
        <v>SE-001448401</v>
      </c>
      <c r="F8332" s="11"/>
      <c r="G8332" s="12">
        <v>0</v>
      </c>
      <c r="H8332" s="12">
        <v>0</v>
      </c>
      <c r="I8332" s="12">
        <v>0</v>
      </c>
      <c r="J8332" s="11"/>
      <c r="K8332" s="12">
        <v>0</v>
      </c>
      <c r="L8332" s="10" t="str">
        <f>HYPERLINK("https://otsuka-europe-crm.veevavault.com/ui/#object/approved_document__v/V5O000000006001", "RXULTI - Comparativa antipsicóticos")</f>
        <v>RXULTI - Comparativa antipsicóticos</v>
      </c>
      <c r="M8332" s="10" t="str">
        <f>HYPERLINK("mailto:jvillalain@crm.otsuka-europe.com", "jvillalain@crm.otsuka-europe.com")</f>
        <v>jvillalain@crm.otsuka-europe.com</v>
      </c>
      <c r="N8332" s="13">
        <v>46234.366319444445</v>
      </c>
      <c r="O8332" s="14" t="str">
        <f>HYPERLINK("https://otsuka-europe-crm.veevavault.com/ui/#object/email_activity__v/V8C00000004G084", "EN-002109934")</f>
        <v>EN-002109934</v>
      </c>
    </row>
    <row r="8333" spans="1:15" ht="32" x14ac:dyDescent="0.2">
      <c r="A8333" s="7" t="str">
        <f>HYPERLINK("https://otsuka-europe-crm.veevavault.com/ui/#object/account__v/V4TZ06G6O71UQRQ", "ABRIL AREMY GONZAGA RAMIREZ")</f>
        <v>ABRIL AREMY GONZAGA RAMIREZ</v>
      </c>
      <c r="B8333" s="7" t="str">
        <f>HYPERLINK("https://otsuka-europe-crm.veevavault.com/ui/#object/vcountry__v/VENZ000004SONF5", "ES")</f>
        <v>ES</v>
      </c>
      <c r="C8333" s="8" t="s">
        <v>39</v>
      </c>
      <c r="D8333" s="9" t="str">
        <f>HYPERLINK("https://otsuka-europe-crm.veevavault.com/ui/#object/approved_document__v/V5O000000006001", "RXULTI - Comparativa antipsicóticos")</f>
        <v>RXULTI - Comparativa antipsicóticos</v>
      </c>
      <c r="E8333" s="10" t="str">
        <f>HYPERLINK("https://otsuka-europe-crm.veevavault.com/ui/#object/sent_email__v/VBL00000003H087", "SE-001448402")</f>
        <v>SE-001448402</v>
      </c>
      <c r="F8333" s="11"/>
      <c r="G8333" s="12">
        <v>0</v>
      </c>
      <c r="H8333" s="12">
        <v>0</v>
      </c>
      <c r="I8333" s="12">
        <v>0</v>
      </c>
      <c r="J8333" s="11"/>
      <c r="K8333" s="12">
        <v>0</v>
      </c>
      <c r="L8333" s="10" t="str">
        <f>HYPERLINK("https://otsuka-europe-crm.veevavault.com/ui/#object/approved_document__v/V5O000000006001", "RXULTI - Comparativa antipsicóticos")</f>
        <v>RXULTI - Comparativa antipsicóticos</v>
      </c>
      <c r="M8333" s="10" t="str">
        <f>HYPERLINK("mailto:jvillalain@crm.otsuka-europe.com", "jvillalain@crm.otsuka-europe.com")</f>
        <v>jvillalain@crm.otsuka-europe.com</v>
      </c>
      <c r="N8333" s="13">
        <v>46234.366319444445</v>
      </c>
      <c r="O8333" s="14" t="str">
        <f>HYPERLINK("https://otsuka-europe-crm.veevavault.com/ui/#object/email_activity__v/V8C00000004F059", "EN-002109909")</f>
        <v>EN-002109909</v>
      </c>
    </row>
    <row r="8334" spans="1:15" ht="16" x14ac:dyDescent="0.2">
      <c r="A8334" s="18" t="str">
        <f>HYPERLINK("https://otsuka-europe-crm.veevavault.com/ui/#object/account__v/V4TZ06G6O71TCG9", "JOSE LUIS VELASCO VALLEJO")</f>
        <v>JOSE LUIS VELASCO VALLEJO</v>
      </c>
      <c r="B8334" s="18" t="str">
        <f>HYPERLINK("https://otsuka-europe-crm.veevavault.com/ui/#object/vcountry__v/VENZ000004SONF5", "ES")</f>
        <v>ES</v>
      </c>
      <c r="C8334" s="20" t="s">
        <v>39</v>
      </c>
      <c r="D8334" s="21" t="str">
        <f>HYPERLINK("https://otsuka-europe-crm.veevavault.com/ui/#object/approved_document__v/V5O000000006001", "RXULTI - Comparativa antipsicóticos")</f>
        <v>RXULTI - Comparativa antipsicóticos</v>
      </c>
      <c r="E8334" s="22" t="str">
        <f>HYPERLINK("https://otsuka-europe-crm.veevavault.com/ui/#object/sent_email__v/VBL00000003H088", "SE-001448403")</f>
        <v>SE-001448403</v>
      </c>
      <c r="F8334" s="25">
        <v>46234.717418981483</v>
      </c>
      <c r="G8334" s="24">
        <v>1</v>
      </c>
      <c r="H8334" s="24">
        <v>1</v>
      </c>
      <c r="I8334" s="24">
        <v>0</v>
      </c>
      <c r="J8334" s="23"/>
      <c r="K8334" s="24">
        <v>0</v>
      </c>
      <c r="L8334" s="22" t="str">
        <f>HYPERLINK("https://otsuka-europe-crm.veevavault.com/ui/#object/approved_document__v/V5O000000006001", "RXULTI - Comparativa antipsicóticos")</f>
        <v>RXULTI - Comparativa antipsicóticos</v>
      </c>
      <c r="M8334" s="22" t="str">
        <f>HYPERLINK("mailto:jvillalain@crm.otsuka-europe.com", "jvillalain@crm.otsuka-europe.com")</f>
        <v>jvillalain@crm.otsuka-europe.com</v>
      </c>
      <c r="N8334" s="25">
        <v>46234.366319444445</v>
      </c>
      <c r="O8334" s="14" t="str">
        <f>HYPERLINK("https://otsuka-europe-crm.veevavault.com/ui/#object/email_activity__v/V8C00000004F106", "EN-002110034")</f>
        <v>EN-002110034</v>
      </c>
    </row>
    <row r="8335" spans="1:15" ht="16" x14ac:dyDescent="0.2">
      <c r="A8335" s="19"/>
      <c r="B8335" s="19"/>
      <c r="C8335" s="19"/>
      <c r="D8335" s="19"/>
      <c r="E8335" s="19"/>
      <c r="F8335" s="19"/>
      <c r="G8335" s="19"/>
      <c r="H8335" s="19"/>
      <c r="I8335" s="19"/>
      <c r="J8335" s="19"/>
      <c r="K8335" s="19"/>
      <c r="L8335" s="19"/>
      <c r="M8335" s="19"/>
      <c r="N8335" s="19"/>
      <c r="O8335" s="14" t="str">
        <f>HYPERLINK("https://otsuka-europe-crm.veevavault.com/ui/#object/email_activity__v/V8C00000004F448", "EN-002110851")</f>
        <v>EN-002110851</v>
      </c>
    </row>
    <row r="8336" spans="1:15" ht="16" x14ac:dyDescent="0.2">
      <c r="A8336" s="18" t="str">
        <f>HYPERLINK("https://otsuka-europe-crm.veevavault.com/ui/#object/account__v/V4TZ06G6O71TB2U", "PATRICIA MARQUES CABEZAS")</f>
        <v>PATRICIA MARQUES CABEZAS</v>
      </c>
      <c r="B8336" s="18" t="str">
        <f>HYPERLINK("https://otsuka-europe-crm.veevavault.com/ui/#object/vcountry__v/VENZ000004SONF5", "ES")</f>
        <v>ES</v>
      </c>
      <c r="C8336" s="20" t="s">
        <v>39</v>
      </c>
      <c r="D8336" s="21" t="str">
        <f>HYPERLINK("https://otsuka-europe-crm.veevavault.com/ui/#object/approved_document__v/V5O000000006001", "RXULTI - Comparativa antipsicóticos")</f>
        <v>RXULTI - Comparativa antipsicóticos</v>
      </c>
      <c r="E8336" s="22" t="str">
        <f>HYPERLINK("https://otsuka-europe-crm.veevavault.com/ui/#object/sent_email__v/VBL00000003H089", "SE-001448404")</f>
        <v>SE-001448404</v>
      </c>
      <c r="F8336" s="25">
        <v>46234.754849537036</v>
      </c>
      <c r="G8336" s="24">
        <v>1</v>
      </c>
      <c r="H8336" s="24">
        <v>3</v>
      </c>
      <c r="I8336" s="24">
        <v>0</v>
      </c>
      <c r="J8336" s="23"/>
      <c r="K8336" s="24">
        <v>0</v>
      </c>
      <c r="L8336" s="22" t="str">
        <f>HYPERLINK("https://otsuka-europe-crm.veevavault.com/ui/#object/approved_document__v/V5O000000006001", "RXULTI - Comparativa antipsicóticos")</f>
        <v>RXULTI - Comparativa antipsicóticos</v>
      </c>
      <c r="M8336" s="22" t="str">
        <f>HYPERLINK("mailto:jvillalain@crm.otsuka-europe.com", "jvillalain@crm.otsuka-europe.com")</f>
        <v>jvillalain@crm.otsuka-europe.com</v>
      </c>
      <c r="N8336" s="25">
        <v>46234.366319444445</v>
      </c>
      <c r="O8336" s="14" t="str">
        <f>HYPERLINK("https://otsuka-europe-crm.veevavault.com/ui/#object/email_activity__v/V8C00000004F098", "EN-002110004")</f>
        <v>EN-002110004</v>
      </c>
    </row>
    <row r="8337" spans="1:15" ht="16" x14ac:dyDescent="0.2">
      <c r="A8337" s="26"/>
      <c r="B8337" s="26"/>
      <c r="C8337" s="26"/>
      <c r="D8337" s="26"/>
      <c r="E8337" s="26"/>
      <c r="F8337" s="26"/>
      <c r="G8337" s="26"/>
      <c r="H8337" s="26"/>
      <c r="I8337" s="26"/>
      <c r="J8337" s="26"/>
      <c r="K8337" s="26"/>
      <c r="L8337" s="26"/>
      <c r="M8337" s="26"/>
      <c r="N8337" s="26"/>
      <c r="O8337" s="14" t="str">
        <f>HYPERLINK("https://otsuka-europe-crm.veevavault.com/ui/#object/email_activity__v/V8C00000004F126", "EN-002110063")</f>
        <v>EN-002110063</v>
      </c>
    </row>
    <row r="8338" spans="1:15" ht="16" x14ac:dyDescent="0.2">
      <c r="A8338" s="26"/>
      <c r="B8338" s="26"/>
      <c r="C8338" s="26"/>
      <c r="D8338" s="26"/>
      <c r="E8338" s="26"/>
      <c r="F8338" s="26"/>
      <c r="G8338" s="26"/>
      <c r="H8338" s="26"/>
      <c r="I8338" s="26"/>
      <c r="J8338" s="26"/>
      <c r="K8338" s="26"/>
      <c r="L8338" s="26"/>
      <c r="M8338" s="26"/>
      <c r="N8338" s="26"/>
      <c r="O8338" s="14" t="str">
        <f>HYPERLINK("https://otsuka-europe-crm.veevavault.com/ui/#object/email_activity__v/V8C00000004F132", "EN-002110069")</f>
        <v>EN-002110069</v>
      </c>
    </row>
    <row r="8339" spans="1:15" ht="16" x14ac:dyDescent="0.2">
      <c r="A8339" s="19"/>
      <c r="B8339" s="19"/>
      <c r="C8339" s="19"/>
      <c r="D8339" s="19"/>
      <c r="E8339" s="19"/>
      <c r="F8339" s="19"/>
      <c r="G8339" s="19"/>
      <c r="H8339" s="19"/>
      <c r="I8339" s="19"/>
      <c r="J8339" s="19"/>
      <c r="K8339" s="19"/>
      <c r="L8339" s="19"/>
      <c r="M8339" s="19"/>
      <c r="N8339" s="19"/>
      <c r="O8339" s="14" t="str">
        <f>HYPERLINK("https://otsuka-europe-crm.veevavault.com/ui/#object/email_activity__v/V8C00000004G626", "EN-002110869")</f>
        <v>EN-002110869</v>
      </c>
    </row>
    <row r="8340" spans="1:15" ht="32" x14ac:dyDescent="0.2">
      <c r="A8340" s="7" t="str">
        <f>HYPERLINK("https://otsuka-europe-crm.veevavault.com/ui/#object/account__v/V4TZ04ASGGI2K0K", "MARIA CALVO VALCARCEL")</f>
        <v>MARIA CALVO VALCARCEL</v>
      </c>
      <c r="B8340" s="7" t="str">
        <f>HYPERLINK("https://otsuka-europe-crm.veevavault.com/ui/#object/vcountry__v/VENZ000004SONF5", "ES")</f>
        <v>ES</v>
      </c>
      <c r="C8340" s="8" t="s">
        <v>39</v>
      </c>
      <c r="D8340" s="9" t="str">
        <f>HYPERLINK("https://otsuka-europe-crm.veevavault.com/ui/#object/approved_document__v/V5O000000006001", "RXULTI - Comparativa antipsicóticos")</f>
        <v>RXULTI - Comparativa antipsicóticos</v>
      </c>
      <c r="E8340" s="10" t="str">
        <f>HYPERLINK("https://otsuka-europe-crm.veevavault.com/ui/#object/sent_email__v/VBL00000003H090", "SE-001448405")</f>
        <v>SE-001448405</v>
      </c>
      <c r="F8340" s="11"/>
      <c r="G8340" s="12">
        <v>0</v>
      </c>
      <c r="H8340" s="12">
        <v>0</v>
      </c>
      <c r="I8340" s="12">
        <v>0</v>
      </c>
      <c r="J8340" s="11"/>
      <c r="K8340" s="12">
        <v>0</v>
      </c>
      <c r="L8340" s="10" t="str">
        <f>HYPERLINK("https://otsuka-europe-crm.veevavault.com/ui/#object/approved_document__v/V5O000000006001", "RXULTI - Comparativa antipsicóticos")</f>
        <v>RXULTI - Comparativa antipsicóticos</v>
      </c>
      <c r="M8340" s="10" t="str">
        <f>HYPERLINK("mailto:jvillalain@crm.otsuka-europe.com", "jvillalain@crm.otsuka-europe.com")</f>
        <v>jvillalain@crm.otsuka-europe.com</v>
      </c>
      <c r="N8340" s="13">
        <v>46234.366331018522</v>
      </c>
      <c r="O8340" s="14" t="str">
        <f>HYPERLINK("https://otsuka-europe-crm.veevavault.com/ui/#object/email_activity__v/V8C00000004F081", "EN-002109973")</f>
        <v>EN-002109973</v>
      </c>
    </row>
    <row r="8341" spans="1:15" ht="16" x14ac:dyDescent="0.2">
      <c r="A8341" s="18" t="str">
        <f>HYPERLINK("https://otsuka-europe-crm.veevavault.com/ui/#object/account__v/V4TZ06G6O71T7DO", "SARA PEREZ GIL")</f>
        <v>SARA PEREZ GIL</v>
      </c>
      <c r="B8341" s="18" t="str">
        <f>HYPERLINK("https://otsuka-europe-crm.veevavault.com/ui/#object/vcountry__v/VENZ000004SONF5", "ES")</f>
        <v>ES</v>
      </c>
      <c r="C8341" s="20" t="s">
        <v>39</v>
      </c>
      <c r="D8341" s="21" t="str">
        <f>HYPERLINK("https://otsuka-europe-crm.veevavault.com/ui/#object/approved_document__v/V5O000000006001", "RXULTI - Comparativa antipsicóticos")</f>
        <v>RXULTI - Comparativa antipsicóticos</v>
      </c>
      <c r="E8341" s="22" t="str">
        <f>HYPERLINK("https://otsuka-europe-crm.veevavault.com/ui/#object/sent_email__v/VBL00000003H091", "SE-001448406")</f>
        <v>SE-001448406</v>
      </c>
      <c r="F8341" s="23"/>
      <c r="G8341" s="24">
        <v>0</v>
      </c>
      <c r="H8341" s="24">
        <v>0</v>
      </c>
      <c r="I8341" s="24">
        <v>0</v>
      </c>
      <c r="J8341" s="23"/>
      <c r="K8341" s="24">
        <v>0</v>
      </c>
      <c r="L8341" s="22" t="str">
        <f>HYPERLINK("https://otsuka-europe-crm.veevavault.com/ui/#object/approved_document__v/V5O000000006001", "RXULTI - Comparativa antipsicóticos")</f>
        <v>RXULTI - Comparativa antipsicóticos</v>
      </c>
      <c r="M8341" s="22" t="str">
        <f>HYPERLINK("mailto:jvillalain@crm.otsuka-europe.com", "jvillalain@crm.otsuka-europe.com")</f>
        <v>jvillalain@crm.otsuka-europe.com</v>
      </c>
      <c r="N8341" s="25">
        <v>46234.366365740738</v>
      </c>
      <c r="O8341" s="14" t="str">
        <f>HYPERLINK("https://otsuka-europe-crm.veevavault.com/ui/#object/email_activity__v/V8C00000004G094", "EN-002109955")</f>
        <v>EN-002109955</v>
      </c>
    </row>
    <row r="8342" spans="1:15" ht="16" x14ac:dyDescent="0.2">
      <c r="A8342" s="19"/>
      <c r="B8342" s="19"/>
      <c r="C8342" s="19"/>
      <c r="D8342" s="19"/>
      <c r="E8342" s="19"/>
      <c r="F8342" s="19"/>
      <c r="G8342" s="19"/>
      <c r="H8342" s="19"/>
      <c r="I8342" s="19"/>
      <c r="J8342" s="19"/>
      <c r="K8342" s="19"/>
      <c r="L8342" s="19"/>
      <c r="M8342" s="19"/>
      <c r="N8342" s="19"/>
      <c r="O8342" s="14" t="str">
        <f>HYPERLINK("https://otsuka-europe-crm.veevavault.com/ui/#object/email_activity__v/V8C00000004G550", "EN-002110716")</f>
        <v>EN-002110716</v>
      </c>
    </row>
    <row r="8343" spans="1:15" ht="32" x14ac:dyDescent="0.2">
      <c r="A8343" s="7" t="str">
        <f>HYPERLINK("https://otsuka-europe-crm.veevavault.com/ui/#object/account__v/V4TZ06G6O71TC26", "ROSA MARIA SAN MIGUEL CUELLAR")</f>
        <v>ROSA MARIA SAN MIGUEL CUELLAR</v>
      </c>
      <c r="B8343" s="7" t="str">
        <f>HYPERLINK("https://otsuka-europe-crm.veevavault.com/ui/#object/vcountry__v/VENZ000004SONF5", "ES")</f>
        <v>ES</v>
      </c>
      <c r="C8343" s="8" t="s">
        <v>39</v>
      </c>
      <c r="D8343" s="9" t="str">
        <f>HYPERLINK("https://otsuka-europe-crm.veevavault.com/ui/#object/approved_document__v/V5O000000006001", "RXULTI - Comparativa antipsicóticos")</f>
        <v>RXULTI - Comparativa antipsicóticos</v>
      </c>
      <c r="E8343" s="10" t="str">
        <f>HYPERLINK("https://otsuka-europe-crm.veevavault.com/ui/#object/sent_email__v/VBL00000003H092", "SE-001448407")</f>
        <v>SE-001448407</v>
      </c>
      <c r="F8343" s="11"/>
      <c r="G8343" s="12">
        <v>0</v>
      </c>
      <c r="H8343" s="12">
        <v>0</v>
      </c>
      <c r="I8343" s="12">
        <v>0</v>
      </c>
      <c r="J8343" s="11"/>
      <c r="K8343" s="12">
        <v>0</v>
      </c>
      <c r="L8343" s="10" t="str">
        <f>HYPERLINK("https://otsuka-europe-crm.veevavault.com/ui/#object/approved_document__v/V5O000000006001", "RXULTI - Comparativa antipsicóticos")</f>
        <v>RXULTI - Comparativa antipsicóticos</v>
      </c>
      <c r="M8343" s="10" t="str">
        <f>HYPERLINK("mailto:jvillalain@crm.otsuka-europe.com", "jvillalain@crm.otsuka-europe.com")</f>
        <v>jvillalain@crm.otsuka-europe.com</v>
      </c>
      <c r="N8343" s="13">
        <v>46234.366319444445</v>
      </c>
      <c r="O8343" s="14" t="str">
        <f>HYPERLINK("https://otsuka-europe-crm.veevavault.com/ui/#object/email_activity__v/V8C00000004G075", "EN-002109925")</f>
        <v>EN-002109925</v>
      </c>
    </row>
    <row r="8344" spans="1:15" ht="32" x14ac:dyDescent="0.2">
      <c r="A8344" s="7" t="str">
        <f>HYPERLINK("https://otsuka-europe-crm.veevavault.com/ui/#object/account__v/V4TZ025E83S5BNG", "LAURA MARIA SANTOS GARCIA")</f>
        <v>LAURA MARIA SANTOS GARCIA</v>
      </c>
      <c r="B8344" s="7" t="str">
        <f>HYPERLINK("https://otsuka-europe-crm.veevavault.com/ui/#object/vcountry__v/VENZ000004SONF5", "ES")</f>
        <v>ES</v>
      </c>
      <c r="C8344" s="8" t="s">
        <v>39</v>
      </c>
      <c r="D8344" s="9" t="str">
        <f>HYPERLINK("https://otsuka-europe-crm.veevavault.com/ui/#object/approved_document__v/V5O000000006001", "RXULTI - Comparativa antipsicóticos")</f>
        <v>RXULTI - Comparativa antipsicóticos</v>
      </c>
      <c r="E8344" s="10" t="str">
        <f>HYPERLINK("https://otsuka-europe-crm.veevavault.com/ui/#object/sent_email__v/VBL00000003H093", "SE-001448408")</f>
        <v>SE-001448408</v>
      </c>
      <c r="F8344" s="11"/>
      <c r="G8344" s="12">
        <v>0</v>
      </c>
      <c r="H8344" s="12">
        <v>0</v>
      </c>
      <c r="I8344" s="12">
        <v>0</v>
      </c>
      <c r="J8344" s="11"/>
      <c r="K8344" s="12">
        <v>0</v>
      </c>
      <c r="L8344" s="10" t="str">
        <f>HYPERLINK("https://otsuka-europe-crm.veevavault.com/ui/#object/approved_document__v/V5O000000006001", "RXULTI - Comparativa antipsicóticos")</f>
        <v>RXULTI - Comparativa antipsicóticos</v>
      </c>
      <c r="M8344" s="10" t="str">
        <f>HYPERLINK("mailto:jvillalain@crm.otsuka-europe.com", "jvillalain@crm.otsuka-europe.com")</f>
        <v>jvillalain@crm.otsuka-europe.com</v>
      </c>
      <c r="N8344" s="13">
        <v>46234.366319444445</v>
      </c>
      <c r="O8344" s="14" t="str">
        <f>HYPERLINK("https://otsuka-europe-crm.veevavault.com/ui/#object/email_activity__v/V8C00000004G120", "EN-002110003")</f>
        <v>EN-002110003</v>
      </c>
    </row>
    <row r="8345" spans="1:15" ht="32" x14ac:dyDescent="0.2">
      <c r="A8345" s="7" t="str">
        <f>HYPERLINK("https://otsuka-europe-crm.veevavault.com/ui/#object/account__v/V4TZ025E85EI015", "CRISTINA LIAÑO ARRIOLA")</f>
        <v>CRISTINA LIAÑO ARRIOLA</v>
      </c>
      <c r="B8345" s="7" t="str">
        <f>HYPERLINK("https://otsuka-europe-crm.veevavault.com/ui/#object/vcountry__v/VENZ000004SONF5", "ES")</f>
        <v>ES</v>
      </c>
      <c r="C8345" s="8" t="s">
        <v>39</v>
      </c>
      <c r="D8345" s="9" t="str">
        <f>HYPERLINK("https://otsuka-europe-crm.veevavault.com/ui/#object/approved_document__v/V5O000000006001", "RXULTI - Comparativa antipsicóticos")</f>
        <v>RXULTI - Comparativa antipsicóticos</v>
      </c>
      <c r="E8345" s="10" t="str">
        <f>HYPERLINK("https://otsuka-europe-crm.veevavault.com/ui/#object/sent_email__v/VBL00000003H094", "SE-001448409")</f>
        <v>SE-001448409</v>
      </c>
      <c r="F8345" s="11"/>
      <c r="G8345" s="12">
        <v>0</v>
      </c>
      <c r="H8345" s="12">
        <v>0</v>
      </c>
      <c r="I8345" s="12">
        <v>0</v>
      </c>
      <c r="J8345" s="11"/>
      <c r="K8345" s="12">
        <v>0</v>
      </c>
      <c r="L8345" s="10" t="str">
        <f>HYPERLINK("https://otsuka-europe-crm.veevavault.com/ui/#object/approved_document__v/V5O000000006001", "RXULTI - Comparativa antipsicóticos")</f>
        <v>RXULTI - Comparativa antipsicóticos</v>
      </c>
      <c r="M8345" s="10" t="str">
        <f>HYPERLINK("mailto:jvillalain@crm.otsuka-europe.com", "jvillalain@crm.otsuka-europe.com")</f>
        <v>jvillalain@crm.otsuka-europe.com</v>
      </c>
      <c r="N8345" s="13">
        <v>46234.366354166668</v>
      </c>
      <c r="O8345" s="14" t="str">
        <f>HYPERLINK("https://otsuka-europe-crm.veevavault.com/ui/#object/email_activity__v/V8C00000004G088", "EN-002109949")</f>
        <v>EN-002109949</v>
      </c>
    </row>
    <row r="8346" spans="1:15" ht="16" x14ac:dyDescent="0.2">
      <c r="A8346" s="18" t="str">
        <f>HYPERLINK("https://otsuka-europe-crm.veevavault.com/ui/#object/account__v/V4TZ06G6O71TB89", "ALBERTO MIRANDA SIVELO")</f>
        <v>ALBERTO MIRANDA SIVELO</v>
      </c>
      <c r="B8346" s="18" t="str">
        <f>HYPERLINK("https://otsuka-europe-crm.veevavault.com/ui/#object/vcountry__v/VENZ000004SONF5", "ES")</f>
        <v>ES</v>
      </c>
      <c r="C8346" s="20" t="s">
        <v>39</v>
      </c>
      <c r="D8346" s="21" t="str">
        <f>HYPERLINK("https://otsuka-europe-crm.veevavault.com/ui/#object/approved_document__v/V5O000000006001", "RXULTI - Comparativa antipsicóticos")</f>
        <v>RXULTI - Comparativa antipsicóticos</v>
      </c>
      <c r="E8346" s="22" t="str">
        <f>HYPERLINK("https://otsuka-europe-crm.veevavault.com/ui/#object/sent_email__v/VBL00000003H095", "SE-001448410")</f>
        <v>SE-001448410</v>
      </c>
      <c r="F8346" s="25">
        <v>46236.017731481479</v>
      </c>
      <c r="G8346" s="24">
        <v>1</v>
      </c>
      <c r="H8346" s="24">
        <v>1</v>
      </c>
      <c r="I8346" s="24">
        <v>0</v>
      </c>
      <c r="J8346" s="23"/>
      <c r="K8346" s="24">
        <v>0</v>
      </c>
      <c r="L8346" s="22" t="str">
        <f>HYPERLINK("https://otsuka-europe-crm.veevavault.com/ui/#object/approved_document__v/V5O000000006001", "RXULTI - Comparativa antipsicóticos")</f>
        <v>RXULTI - Comparativa antipsicóticos</v>
      </c>
      <c r="M8346" s="22" t="str">
        <f>HYPERLINK("mailto:jvillalain@crm.otsuka-europe.com", "jvillalain@crm.otsuka-europe.com")</f>
        <v>jvillalain@crm.otsuka-europe.com</v>
      </c>
      <c r="N8346" s="25">
        <v>46234.366342592592</v>
      </c>
      <c r="O8346" s="14" t="str">
        <f>HYPERLINK("https://otsuka-europe-crm.veevavault.com/ui/#object/email_activity__v/V8C00000004G097", "EN-002109963")</f>
        <v>EN-002109963</v>
      </c>
    </row>
    <row r="8347" spans="1:15" ht="16" x14ac:dyDescent="0.2">
      <c r="A8347" s="19"/>
      <c r="B8347" s="19"/>
      <c r="C8347" s="19"/>
      <c r="D8347" s="19"/>
      <c r="E8347" s="19"/>
      <c r="F8347" s="19"/>
      <c r="G8347" s="19"/>
      <c r="H8347" s="19"/>
      <c r="I8347" s="19"/>
      <c r="J8347" s="19"/>
      <c r="K8347" s="19"/>
      <c r="L8347" s="19"/>
      <c r="M8347" s="19"/>
      <c r="N8347" s="19"/>
      <c r="O8347" s="14" t="str">
        <f>HYPERLINK("https://otsuka-europe-crm.veevavault.com/ui/#object/email_activity__v/V8C00000004H077", "EN-002111080")</f>
        <v>EN-002111080</v>
      </c>
    </row>
    <row r="8348" spans="1:15" ht="16" x14ac:dyDescent="0.2">
      <c r="A8348" s="18" t="str">
        <f>HYPERLINK("https://otsuka-europe-crm.veevavault.com/ui/#object/account__v/V4TZ06G6O71T9YE", "FIDEL JORGE GARCIA SANCHEZ")</f>
        <v>FIDEL JORGE GARCIA SANCHEZ</v>
      </c>
      <c r="B8348" s="18" t="str">
        <f>HYPERLINK("https://otsuka-europe-crm.veevavault.com/ui/#object/vcountry__v/VENZ000004SONF5", "ES")</f>
        <v>ES</v>
      </c>
      <c r="C8348" s="20" t="s">
        <v>39</v>
      </c>
      <c r="D8348" s="21" t="str">
        <f>HYPERLINK("https://otsuka-europe-crm.veevavault.com/ui/#object/approved_document__v/V5O000000006001", "RXULTI - Comparativa antipsicóticos")</f>
        <v>RXULTI - Comparativa antipsicóticos</v>
      </c>
      <c r="E8348" s="22" t="str">
        <f>HYPERLINK("https://otsuka-europe-crm.veevavault.com/ui/#object/sent_email__v/VBL00000003H096", "SE-001448411")</f>
        <v>SE-001448411</v>
      </c>
      <c r="F8348" s="25">
        <v>46237.511979166666</v>
      </c>
      <c r="G8348" s="24">
        <v>1</v>
      </c>
      <c r="H8348" s="24">
        <v>3</v>
      </c>
      <c r="I8348" s="24">
        <v>0</v>
      </c>
      <c r="J8348" s="23"/>
      <c r="K8348" s="24">
        <v>0</v>
      </c>
      <c r="L8348" s="22" t="str">
        <f>HYPERLINK("https://otsuka-europe-crm.veevavault.com/ui/#object/approved_document__v/V5O000000006001", "RXULTI - Comparativa antipsicóticos")</f>
        <v>RXULTI - Comparativa antipsicóticos</v>
      </c>
      <c r="M8348" s="22" t="str">
        <f>HYPERLINK("mailto:jvillalain@crm.otsuka-europe.com", "jvillalain@crm.otsuka-europe.com")</f>
        <v>jvillalain@crm.otsuka-europe.com</v>
      </c>
      <c r="N8348" s="25">
        <v>46234.366319444445</v>
      </c>
      <c r="O8348" s="14" t="str">
        <f>HYPERLINK("https://otsuka-europe-crm.veevavault.com/ui/#object/email_activity__v/V8C00000004F067", "EN-002109939")</f>
        <v>EN-002109939</v>
      </c>
    </row>
    <row r="8349" spans="1:15" ht="16" x14ac:dyDescent="0.2">
      <c r="A8349" s="26"/>
      <c r="B8349" s="26"/>
      <c r="C8349" s="26"/>
      <c r="D8349" s="26"/>
      <c r="E8349" s="26"/>
      <c r="F8349" s="26"/>
      <c r="G8349" s="26"/>
      <c r="H8349" s="26"/>
      <c r="I8349" s="26"/>
      <c r="J8349" s="26"/>
      <c r="K8349" s="26"/>
      <c r="L8349" s="26"/>
      <c r="M8349" s="26"/>
      <c r="N8349" s="26"/>
      <c r="O8349" s="14" t="str">
        <f>HYPERLINK("https://otsuka-europe-crm.veevavault.com/ui/#object/email_activity__v/V8C00000004F114", "EN-002110046")</f>
        <v>EN-002110046</v>
      </c>
    </row>
    <row r="8350" spans="1:15" ht="16" x14ac:dyDescent="0.2">
      <c r="A8350" s="26"/>
      <c r="B8350" s="26"/>
      <c r="C8350" s="26"/>
      <c r="D8350" s="26"/>
      <c r="E8350" s="26"/>
      <c r="F8350" s="26"/>
      <c r="G8350" s="26"/>
      <c r="H8350" s="26"/>
      <c r="I8350" s="26"/>
      <c r="J8350" s="26"/>
      <c r="K8350" s="26"/>
      <c r="L8350" s="26"/>
      <c r="M8350" s="26"/>
      <c r="N8350" s="26"/>
      <c r="O8350" s="14" t="str">
        <f>HYPERLINK("https://otsuka-europe-crm.veevavault.com/ui/#object/email_activity__v/V8C00000004F466", "EN-002110879")</f>
        <v>EN-002110879</v>
      </c>
    </row>
    <row r="8351" spans="1:15" ht="16" x14ac:dyDescent="0.2">
      <c r="A8351" s="19"/>
      <c r="B8351" s="19"/>
      <c r="C8351" s="19"/>
      <c r="D8351" s="19"/>
      <c r="E8351" s="19"/>
      <c r="F8351" s="19"/>
      <c r="G8351" s="19"/>
      <c r="H8351" s="19"/>
      <c r="I8351" s="19"/>
      <c r="J8351" s="19"/>
      <c r="K8351" s="19"/>
      <c r="L8351" s="19"/>
      <c r="M8351" s="19"/>
      <c r="N8351" s="19"/>
      <c r="O8351" s="14" t="str">
        <f>HYPERLINK("https://otsuka-europe-crm.veevavault.com/ui/#object/email_activity__v/V8C00000004I132", "EN-002111242")</f>
        <v>EN-002111242</v>
      </c>
    </row>
    <row r="8352" spans="1:15" ht="16" x14ac:dyDescent="0.2">
      <c r="A8352" s="18" t="str">
        <f>HYPERLINK("https://otsuka-europe-crm.veevavault.com/ui/#object/account__v/V4TZ06G6O71T9GL", "JOSE LUIS CACERES PEREIRA")</f>
        <v>JOSE LUIS CACERES PEREIRA</v>
      </c>
      <c r="B8352" s="18" t="str">
        <f>HYPERLINK("https://otsuka-europe-crm.veevavault.com/ui/#object/vcountry__v/VENZ000004SONF5", "ES")</f>
        <v>ES</v>
      </c>
      <c r="C8352" s="20" t="s">
        <v>39</v>
      </c>
      <c r="D8352" s="21" t="str">
        <f>HYPERLINK("https://otsuka-europe-crm.veevavault.com/ui/#object/approved_document__v/V5O000000006001", "RXULTI - Comparativa antipsicóticos")</f>
        <v>RXULTI - Comparativa antipsicóticos</v>
      </c>
      <c r="E8352" s="22" t="str">
        <f>HYPERLINK("https://otsuka-europe-crm.veevavault.com/ui/#object/sent_email__v/VBL00000003H097", "SE-001448412")</f>
        <v>SE-001448412</v>
      </c>
      <c r="F8352" s="25">
        <v>46234.681446759256</v>
      </c>
      <c r="G8352" s="24">
        <v>1</v>
      </c>
      <c r="H8352" s="24">
        <v>2</v>
      </c>
      <c r="I8352" s="24">
        <v>1</v>
      </c>
      <c r="J8352" s="25">
        <v>46234.681655092594</v>
      </c>
      <c r="K8352" s="24">
        <v>1</v>
      </c>
      <c r="L8352" s="22" t="str">
        <f>HYPERLINK("https://otsuka-europe-crm.veevavault.com/ui/#object/approved_document__v/V5O000000006001", "RXULTI - Comparativa antipsicóticos")</f>
        <v>RXULTI - Comparativa antipsicóticos</v>
      </c>
      <c r="M8352" s="22" t="str">
        <f>HYPERLINK("mailto:jvillalain@crm.otsuka-europe.com", "jvillalain@crm.otsuka-europe.com")</f>
        <v>jvillalain@crm.otsuka-europe.com</v>
      </c>
      <c r="N8352" s="25">
        <v>46234.366319444445</v>
      </c>
      <c r="O8352" s="14" t="str">
        <f>HYPERLINK("https://otsuka-europe-crm.veevavault.com/ui/#object/email_activity__v/V8C00000004F425", "EN-002110818")</f>
        <v>EN-002110818</v>
      </c>
    </row>
    <row r="8353" spans="1:15" ht="16" x14ac:dyDescent="0.2">
      <c r="A8353" s="26"/>
      <c r="B8353" s="26"/>
      <c r="C8353" s="26"/>
      <c r="D8353" s="26"/>
      <c r="E8353" s="26"/>
      <c r="F8353" s="26"/>
      <c r="G8353" s="26"/>
      <c r="H8353" s="26"/>
      <c r="I8353" s="26"/>
      <c r="J8353" s="26"/>
      <c r="K8353" s="26"/>
      <c r="L8353" s="26"/>
      <c r="M8353" s="26"/>
      <c r="N8353" s="26"/>
      <c r="O8353" s="14" t="str">
        <f>HYPERLINK("https://otsuka-europe-crm.veevavault.com/ui/#object/email_activity__v/V8C00000004F434", "EN-002110836")</f>
        <v>EN-002110836</v>
      </c>
    </row>
    <row r="8354" spans="1:15" ht="16" x14ac:dyDescent="0.2">
      <c r="A8354" s="26"/>
      <c r="B8354" s="26"/>
      <c r="C8354" s="26"/>
      <c r="D8354" s="26"/>
      <c r="E8354" s="26"/>
      <c r="F8354" s="26"/>
      <c r="G8354" s="26"/>
      <c r="H8354" s="26"/>
      <c r="I8354" s="26"/>
      <c r="J8354" s="26"/>
      <c r="K8354" s="26"/>
      <c r="L8354" s="26"/>
      <c r="M8354" s="26"/>
      <c r="N8354" s="26"/>
      <c r="O8354" s="14" t="str">
        <f>HYPERLINK("https://otsuka-europe-crm.veevavault.com/ui/#object/email_activity__v/V8C00000004F435", "EN-002110837")</f>
        <v>EN-002110837</v>
      </c>
    </row>
    <row r="8355" spans="1:15" ht="16" x14ac:dyDescent="0.2">
      <c r="A8355" s="26"/>
      <c r="B8355" s="26"/>
      <c r="C8355" s="26"/>
      <c r="D8355" s="26"/>
      <c r="E8355" s="26"/>
      <c r="F8355" s="26"/>
      <c r="G8355" s="26"/>
      <c r="H8355" s="26"/>
      <c r="I8355" s="26"/>
      <c r="J8355" s="26"/>
      <c r="K8355" s="26"/>
      <c r="L8355" s="26"/>
      <c r="M8355" s="26"/>
      <c r="N8355" s="26"/>
      <c r="O8355" s="14" t="str">
        <f>HYPERLINK("https://otsuka-europe-crm.veevavault.com/ui/#object/email_activity__v/V8C00000004F436", "EN-002110838")</f>
        <v>EN-002110838</v>
      </c>
    </row>
    <row r="8356" spans="1:15" ht="16" x14ac:dyDescent="0.2">
      <c r="A8356" s="26"/>
      <c r="B8356" s="26"/>
      <c r="C8356" s="26"/>
      <c r="D8356" s="26"/>
      <c r="E8356" s="26"/>
      <c r="F8356" s="26"/>
      <c r="G8356" s="26"/>
      <c r="H8356" s="26"/>
      <c r="I8356" s="26"/>
      <c r="J8356" s="26"/>
      <c r="K8356" s="26"/>
      <c r="L8356" s="26"/>
      <c r="M8356" s="26"/>
      <c r="N8356" s="26"/>
      <c r="O8356" s="14" t="str">
        <f>HYPERLINK("https://otsuka-europe-crm.veevavault.com/ui/#object/email_activity__v/V8C00000004F437", "EN-002110839")</f>
        <v>EN-002110839</v>
      </c>
    </row>
    <row r="8357" spans="1:15" ht="16" x14ac:dyDescent="0.2">
      <c r="A8357" s="26"/>
      <c r="B8357" s="26"/>
      <c r="C8357" s="26"/>
      <c r="D8357" s="26"/>
      <c r="E8357" s="26"/>
      <c r="F8357" s="26"/>
      <c r="G8357" s="26"/>
      <c r="H8357" s="26"/>
      <c r="I8357" s="26"/>
      <c r="J8357" s="26"/>
      <c r="K8357" s="26"/>
      <c r="L8357" s="26"/>
      <c r="M8357" s="26"/>
      <c r="N8357" s="26"/>
      <c r="O8357" s="14" t="str">
        <f>HYPERLINK("https://otsuka-europe-crm.veevavault.com/ui/#object/email_activity__v/V8C00000004G118", "EN-002110001")</f>
        <v>EN-002110001</v>
      </c>
    </row>
    <row r="8358" spans="1:15" ht="16" x14ac:dyDescent="0.2">
      <c r="A8358" s="26"/>
      <c r="B8358" s="26"/>
      <c r="C8358" s="26"/>
      <c r="D8358" s="26"/>
      <c r="E8358" s="26"/>
      <c r="F8358" s="26"/>
      <c r="G8358" s="26"/>
      <c r="H8358" s="26"/>
      <c r="I8358" s="26"/>
      <c r="J8358" s="26"/>
      <c r="K8358" s="26"/>
      <c r="L8358" s="26"/>
      <c r="M8358" s="26"/>
      <c r="N8358" s="26"/>
      <c r="O8358" s="14" t="str">
        <f>HYPERLINK("https://otsuka-europe-crm.veevavault.com/ui/#object/email_activity__v/V8C00000004G608", "EN-002110816")</f>
        <v>EN-002110816</v>
      </c>
    </row>
    <row r="8359" spans="1:15" ht="16" x14ac:dyDescent="0.2">
      <c r="A8359" s="19"/>
      <c r="B8359" s="19"/>
      <c r="C8359" s="19"/>
      <c r="D8359" s="19"/>
      <c r="E8359" s="19"/>
      <c r="F8359" s="19"/>
      <c r="G8359" s="19"/>
      <c r="H8359" s="19"/>
      <c r="I8359" s="19"/>
      <c r="J8359" s="19"/>
      <c r="K8359" s="19"/>
      <c r="L8359" s="19"/>
      <c r="M8359" s="19"/>
      <c r="N8359" s="19"/>
      <c r="O8359" s="14" t="str">
        <f>HYPERLINK("https://otsuka-europe-crm.veevavault.com/ui/#object/email_activity__v/V8C00000004G609", "EN-002110817")</f>
        <v>EN-002110817</v>
      </c>
    </row>
    <row r="8360" spans="1:15" ht="32" x14ac:dyDescent="0.2">
      <c r="A8360" s="7" t="str">
        <f>HYPERLINK("https://otsuka-europe-crm.veevavault.com/ui/#object/account__v/V4T000000027024", "MIGUEL ANGEL TORRIJO BORI")</f>
        <v>MIGUEL ANGEL TORRIJO BORI</v>
      </c>
      <c r="B8360" s="7" t="str">
        <f>HYPERLINK("https://otsuka-europe-crm.veevavault.com/ui/#object/vcountry__v/VENZ000004SONF5", "ES")</f>
        <v>ES</v>
      </c>
      <c r="C8360" s="8" t="s">
        <v>39</v>
      </c>
      <c r="D8360" s="9" t="str">
        <f>HYPERLINK("https://otsuka-europe-crm.veevavault.com/ui/#object/approved_document__v/V5O000000006001", "RXULTI - Comparativa antipsicóticos")</f>
        <v>RXULTI - Comparativa antipsicóticos</v>
      </c>
      <c r="E8360" s="10" t="str">
        <f>HYPERLINK("https://otsuka-europe-crm.veevavault.com/ui/#object/sent_email__v/VBL00000003H098", "SE-001448413")</f>
        <v>SE-001448413</v>
      </c>
      <c r="F8360" s="11"/>
      <c r="G8360" s="12">
        <v>0</v>
      </c>
      <c r="H8360" s="12">
        <v>0</v>
      </c>
      <c r="I8360" s="12">
        <v>0</v>
      </c>
      <c r="J8360" s="11"/>
      <c r="K8360" s="12">
        <v>0</v>
      </c>
      <c r="L8360" s="10" t="str">
        <f>HYPERLINK("https://otsuka-europe-crm.veevavault.com/ui/#object/approved_document__v/V5O000000006001", "RXULTI - Comparativa antipsicóticos")</f>
        <v>RXULTI - Comparativa antipsicóticos</v>
      </c>
      <c r="M8360" s="10" t="str">
        <f>HYPERLINK("mailto:jvillalain@crm.otsuka-europe.com", "jvillalain@crm.otsuka-europe.com")</f>
        <v>jvillalain@crm.otsuka-europe.com</v>
      </c>
      <c r="N8360" s="13">
        <v>46234.366354166668</v>
      </c>
      <c r="O8360" s="14" t="str">
        <f>HYPERLINK("https://otsuka-europe-crm.veevavault.com/ui/#object/email_activity__v/V8C00000004G113", "EN-002109985")</f>
        <v>EN-002109985</v>
      </c>
    </row>
    <row r="8361" spans="1:15" ht="16" x14ac:dyDescent="0.2">
      <c r="A8361" s="18" t="str">
        <f>HYPERLINK("https://otsuka-europe-crm.veevavault.com/ui/#object/account__v/V4TZ06G6O71TCJN", "FERNANDO DE URIBE LADRON DE CEGAMA")</f>
        <v>FERNANDO DE URIBE LADRON DE CEGAMA</v>
      </c>
      <c r="B8361" s="18" t="str">
        <f>HYPERLINK("https://otsuka-europe-crm.veevavault.com/ui/#object/vcountry__v/VENZ000004SONF5", "ES")</f>
        <v>ES</v>
      </c>
      <c r="C8361" s="20" t="s">
        <v>39</v>
      </c>
      <c r="D8361" s="21" t="str">
        <f>HYPERLINK("https://otsuka-europe-crm.veevavault.com/ui/#object/approved_document__v/V5O000000006001", "RXULTI - Comparativa antipsicóticos")</f>
        <v>RXULTI - Comparativa antipsicóticos</v>
      </c>
      <c r="E8361" s="22" t="str">
        <f>HYPERLINK("https://otsuka-europe-crm.veevavault.com/ui/#object/sent_email__v/VBL00000003H099", "SE-001448414")</f>
        <v>SE-001448414</v>
      </c>
      <c r="F8361" s="25">
        <v>46234.419537037036</v>
      </c>
      <c r="G8361" s="24">
        <v>1</v>
      </c>
      <c r="H8361" s="24">
        <v>1</v>
      </c>
      <c r="I8361" s="24">
        <v>1</v>
      </c>
      <c r="J8361" s="25">
        <v>46234.419641203705</v>
      </c>
      <c r="K8361" s="24">
        <v>1</v>
      </c>
      <c r="L8361" s="22" t="str">
        <f>HYPERLINK("https://otsuka-europe-crm.veevavault.com/ui/#object/approved_document__v/V5O000000006001", "RXULTI - Comparativa antipsicóticos")</f>
        <v>RXULTI - Comparativa antipsicóticos</v>
      </c>
      <c r="M8361" s="22" t="str">
        <f>HYPERLINK("mailto:jvillalain@crm.otsuka-europe.com", "jvillalain@crm.otsuka-europe.com")</f>
        <v>jvillalain@crm.otsuka-europe.com</v>
      </c>
      <c r="N8361" s="25">
        <v>46234.366319444445</v>
      </c>
      <c r="O8361" s="14" t="str">
        <f>HYPERLINK("https://otsuka-europe-crm.veevavault.com/ui/#object/email_activity__v/V8C00000004G067", "EN-002109917")</f>
        <v>EN-002109917</v>
      </c>
    </row>
    <row r="8362" spans="1:15" ht="16" x14ac:dyDescent="0.2">
      <c r="A8362" s="26"/>
      <c r="B8362" s="26"/>
      <c r="C8362" s="26"/>
      <c r="D8362" s="26"/>
      <c r="E8362" s="26"/>
      <c r="F8362" s="26"/>
      <c r="G8362" s="26"/>
      <c r="H8362" s="26"/>
      <c r="I8362" s="26"/>
      <c r="J8362" s="26"/>
      <c r="K8362" s="26"/>
      <c r="L8362" s="26"/>
      <c r="M8362" s="26"/>
      <c r="N8362" s="26"/>
      <c r="O8362" s="14" t="str">
        <f>HYPERLINK("https://otsuka-europe-crm.veevavault.com/ui/#object/email_activity__v/V8C00000004G144", "EN-002110042")</f>
        <v>EN-002110042</v>
      </c>
    </row>
    <row r="8363" spans="1:15" ht="16" x14ac:dyDescent="0.2">
      <c r="A8363" s="26"/>
      <c r="B8363" s="26"/>
      <c r="C8363" s="26"/>
      <c r="D8363" s="26"/>
      <c r="E8363" s="26"/>
      <c r="F8363" s="26"/>
      <c r="G8363" s="26"/>
      <c r="H8363" s="26"/>
      <c r="I8363" s="26"/>
      <c r="J8363" s="26"/>
      <c r="K8363" s="26"/>
      <c r="L8363" s="26"/>
      <c r="M8363" s="26"/>
      <c r="N8363" s="26"/>
      <c r="O8363" s="14" t="str">
        <f>HYPERLINK("https://otsuka-europe-crm.veevavault.com/ui/#object/email_activity__v/V8C00000004G173", "EN-002110121")</f>
        <v>EN-002110121</v>
      </c>
    </row>
    <row r="8364" spans="1:15" ht="16" x14ac:dyDescent="0.2">
      <c r="A8364" s="26"/>
      <c r="B8364" s="26"/>
      <c r="C8364" s="26"/>
      <c r="D8364" s="26"/>
      <c r="E8364" s="26"/>
      <c r="F8364" s="26"/>
      <c r="G8364" s="26"/>
      <c r="H8364" s="26"/>
      <c r="I8364" s="26"/>
      <c r="J8364" s="26"/>
      <c r="K8364" s="26"/>
      <c r="L8364" s="26"/>
      <c r="M8364" s="26"/>
      <c r="N8364" s="26"/>
      <c r="O8364" s="14" t="str">
        <f>HYPERLINK("https://otsuka-europe-crm.veevavault.com/ui/#object/email_activity__v/V8C00000004G178", "EN-002110128")</f>
        <v>EN-002110128</v>
      </c>
    </row>
    <row r="8365" spans="1:15" ht="16" x14ac:dyDescent="0.2">
      <c r="A8365" s="26"/>
      <c r="B8365" s="26"/>
      <c r="C8365" s="26"/>
      <c r="D8365" s="26"/>
      <c r="E8365" s="26"/>
      <c r="F8365" s="26"/>
      <c r="G8365" s="26"/>
      <c r="H8365" s="26"/>
      <c r="I8365" s="26"/>
      <c r="J8365" s="26"/>
      <c r="K8365" s="26"/>
      <c r="L8365" s="26"/>
      <c r="M8365" s="26"/>
      <c r="N8365" s="26"/>
      <c r="O8365" s="14" t="str">
        <f>HYPERLINK("https://otsuka-europe-crm.veevavault.com/ui/#object/email_activity__v/V8C00000004G186", "EN-002110140")</f>
        <v>EN-002110140</v>
      </c>
    </row>
    <row r="8366" spans="1:15" ht="16" x14ac:dyDescent="0.2">
      <c r="A8366" s="19"/>
      <c r="B8366" s="19"/>
      <c r="C8366" s="19"/>
      <c r="D8366" s="19"/>
      <c r="E8366" s="19"/>
      <c r="F8366" s="19"/>
      <c r="G8366" s="19"/>
      <c r="H8366" s="19"/>
      <c r="I8366" s="19"/>
      <c r="J8366" s="19"/>
      <c r="K8366" s="19"/>
      <c r="L8366" s="19"/>
      <c r="M8366" s="19"/>
      <c r="N8366" s="19"/>
      <c r="O8366" s="14" t="str">
        <f>HYPERLINK("https://otsuka-europe-crm.veevavault.com/ui/#object/email_activity__v/V8C00000004G190", "EN-002110144")</f>
        <v>EN-002110144</v>
      </c>
    </row>
    <row r="8367" spans="1:15" ht="16" x14ac:dyDescent="0.2">
      <c r="A8367" s="18" t="str">
        <f>HYPERLINK("https://otsuka-europe-crm.veevavault.com/ui/#object/account__v/V4TZ06G6O71T8VZ", "DIANA CRESPO AMARO")</f>
        <v>DIANA CRESPO AMARO</v>
      </c>
      <c r="B8367" s="18" t="str">
        <f>HYPERLINK("https://otsuka-europe-crm.veevavault.com/ui/#object/vcountry__v/VENZ000004SONF5", "ES")</f>
        <v>ES</v>
      </c>
      <c r="C8367" s="20" t="s">
        <v>39</v>
      </c>
      <c r="D8367" s="21" t="str">
        <f>HYPERLINK("https://otsuka-europe-crm.veevavault.com/ui/#object/approved_document__v/V5O000000006001", "RXULTI - Comparativa antipsicóticos")</f>
        <v>RXULTI - Comparativa antipsicóticos</v>
      </c>
      <c r="E8367" s="22" t="str">
        <f>HYPERLINK("https://otsuka-europe-crm.veevavault.com/ui/#object/sent_email__v/VBL00000003H100", "SE-001448415")</f>
        <v>SE-001448415</v>
      </c>
      <c r="F8367" s="23"/>
      <c r="G8367" s="24">
        <v>0</v>
      </c>
      <c r="H8367" s="24">
        <v>0</v>
      </c>
      <c r="I8367" s="24">
        <v>0</v>
      </c>
      <c r="J8367" s="23"/>
      <c r="K8367" s="24">
        <v>0</v>
      </c>
      <c r="L8367" s="22" t="str">
        <f>HYPERLINK("https://otsuka-europe-crm.veevavault.com/ui/#object/approved_document__v/V5O000000006001", "RXULTI - Comparativa antipsicóticos")</f>
        <v>RXULTI - Comparativa antipsicóticos</v>
      </c>
      <c r="M8367" s="22" t="str">
        <f>HYPERLINK("mailto:jvillalain@crm.otsuka-europe.com", "jvillalain@crm.otsuka-europe.com")</f>
        <v>jvillalain@crm.otsuka-europe.com</v>
      </c>
      <c r="N8367" s="25">
        <v>46234.366319444445</v>
      </c>
      <c r="O8367" s="14" t="str">
        <f>HYPERLINK("https://otsuka-europe-crm.veevavault.com/ui/#object/email_activity__v/V8C00000004F062", "EN-002109912")</f>
        <v>EN-002109912</v>
      </c>
    </row>
    <row r="8368" spans="1:15" ht="16" x14ac:dyDescent="0.2">
      <c r="A8368" s="26"/>
      <c r="B8368" s="26"/>
      <c r="C8368" s="26"/>
      <c r="D8368" s="26"/>
      <c r="E8368" s="26"/>
      <c r="F8368" s="26"/>
      <c r="G8368" s="26"/>
      <c r="H8368" s="26"/>
      <c r="I8368" s="26"/>
      <c r="J8368" s="26"/>
      <c r="K8368" s="26"/>
      <c r="L8368" s="26"/>
      <c r="M8368" s="26"/>
      <c r="N8368" s="26"/>
      <c r="O8368" s="14" t="str">
        <f>HYPERLINK("https://otsuka-europe-crm.veevavault.com/ui/#object/email_activity__v/V8C00000004G664", "EN-002110946")</f>
        <v>EN-002110946</v>
      </c>
    </row>
    <row r="8369" spans="1:15" ht="16" x14ac:dyDescent="0.2">
      <c r="A8369" s="19"/>
      <c r="B8369" s="19"/>
      <c r="C8369" s="19"/>
      <c r="D8369" s="19"/>
      <c r="E8369" s="19"/>
      <c r="F8369" s="19"/>
      <c r="G8369" s="19"/>
      <c r="H8369" s="19"/>
      <c r="I8369" s="19"/>
      <c r="J8369" s="19"/>
      <c r="K8369" s="19"/>
      <c r="L8369" s="19"/>
      <c r="M8369" s="19"/>
      <c r="N8369" s="19"/>
      <c r="O8369" s="14" t="str">
        <f>HYPERLINK("https://otsuka-europe-crm.veevavault.com/ui/#object/email_activity__v/V8C00000004G665", "EN-002110949")</f>
        <v>EN-002110949</v>
      </c>
    </row>
    <row r="8370" spans="1:15" ht="32" x14ac:dyDescent="0.2">
      <c r="A8370" s="7" t="str">
        <f>HYPERLINK("https://otsuka-europe-crm.veevavault.com/ui/#object/account__v/V4TZ06G6O71T9ZC", "MIREN EDURNE GARCIA MORENO")</f>
        <v>MIREN EDURNE GARCIA MORENO</v>
      </c>
      <c r="B8370" s="7" t="str">
        <f>HYPERLINK("https://otsuka-europe-crm.veevavault.com/ui/#object/vcountry__v/VENZ000004SONF5", "ES")</f>
        <v>ES</v>
      </c>
      <c r="C8370" s="8" t="s">
        <v>39</v>
      </c>
      <c r="D8370" s="9" t="str">
        <f>HYPERLINK("https://otsuka-europe-crm.veevavault.com/ui/#object/approved_document__v/V5O000000006001", "RXULTI - Comparativa antipsicóticos")</f>
        <v>RXULTI - Comparativa antipsicóticos</v>
      </c>
      <c r="E8370" s="10" t="str">
        <f>HYPERLINK("https://otsuka-europe-crm.veevavault.com/ui/#object/sent_email__v/VBL00000003H101", "SE-001448416")</f>
        <v>SE-001448416</v>
      </c>
      <c r="F8370" s="11"/>
      <c r="G8370" s="12">
        <v>0</v>
      </c>
      <c r="H8370" s="12">
        <v>0</v>
      </c>
      <c r="I8370" s="12">
        <v>0</v>
      </c>
      <c r="J8370" s="11"/>
      <c r="K8370" s="12">
        <v>0</v>
      </c>
      <c r="L8370" s="10" t="str">
        <f>HYPERLINK("https://otsuka-europe-crm.veevavault.com/ui/#object/approved_document__v/V5O000000006001", "RXULTI - Comparativa antipsicóticos")</f>
        <v>RXULTI - Comparativa antipsicóticos</v>
      </c>
      <c r="M8370" s="10" t="str">
        <f>HYPERLINK("mailto:jvillalain@crm.otsuka-europe.com", "jvillalain@crm.otsuka-europe.com")</f>
        <v>jvillalain@crm.otsuka-europe.com</v>
      </c>
      <c r="N8370" s="13">
        <v>46234.366319444445</v>
      </c>
      <c r="O8370" s="14" t="str">
        <f>HYPERLINK("https://otsuka-europe-crm.veevavault.com/ui/#object/email_activity__v/V8C00000004G127", "EN-002110015")</f>
        <v>EN-002110015</v>
      </c>
    </row>
    <row r="8371" spans="1:15" ht="32" x14ac:dyDescent="0.2">
      <c r="A8371" s="7" t="str">
        <f>HYPERLINK("https://otsuka-europe-crm.veevavault.com/ui/#object/account__v/V4TZ06G6O71TB0A", "SUSANA MARTIN GIMENEZ")</f>
        <v>SUSANA MARTIN GIMENEZ</v>
      </c>
      <c r="B8371" s="7" t="str">
        <f>HYPERLINK("https://otsuka-europe-crm.veevavault.com/ui/#object/vcountry__v/VENZ000004SONF5", "ES")</f>
        <v>ES</v>
      </c>
      <c r="C8371" s="8" t="s">
        <v>39</v>
      </c>
      <c r="D8371" s="9" t="str">
        <f>HYPERLINK("https://otsuka-europe-crm.veevavault.com/ui/#object/approved_document__v/V5O000000006001", "RXULTI - Comparativa antipsicóticos")</f>
        <v>RXULTI - Comparativa antipsicóticos</v>
      </c>
      <c r="E8371" s="10" t="str">
        <f>HYPERLINK("https://otsuka-europe-crm.veevavault.com/ui/#object/sent_email__v/VBL00000003H102", "SE-001448417")</f>
        <v>SE-001448417</v>
      </c>
      <c r="F8371" s="11"/>
      <c r="G8371" s="12">
        <v>0</v>
      </c>
      <c r="H8371" s="12">
        <v>0</v>
      </c>
      <c r="I8371" s="12">
        <v>0</v>
      </c>
      <c r="J8371" s="11"/>
      <c r="K8371" s="12">
        <v>0</v>
      </c>
      <c r="L8371" s="10" t="str">
        <f>HYPERLINK("https://otsuka-europe-crm.veevavault.com/ui/#object/approved_document__v/V5O000000006001", "RXULTI - Comparativa antipsicóticos")</f>
        <v>RXULTI - Comparativa antipsicóticos</v>
      </c>
      <c r="M8371" s="10" t="str">
        <f>HYPERLINK("mailto:jvillalain@crm.otsuka-europe.com", "jvillalain@crm.otsuka-europe.com")</f>
        <v>jvillalain@crm.otsuka-europe.com</v>
      </c>
      <c r="N8371" s="13">
        <v>46234.366319444445</v>
      </c>
      <c r="O8371" s="14" t="str">
        <f>HYPERLINK("https://otsuka-europe-crm.veevavault.com/ui/#object/email_activity__v/V8C00000004F097", "EN-002109997")</f>
        <v>EN-002109997</v>
      </c>
    </row>
    <row r="8372" spans="1:15" ht="32" x14ac:dyDescent="0.2">
      <c r="A8372" s="7" t="str">
        <f>HYPERLINK("https://otsuka-europe-crm.veevavault.com/ui/#object/account__v/V4TZ06G6O71TBFQ", "ENRIQUE NEGUERUELA AZAROLA")</f>
        <v>ENRIQUE NEGUERUELA AZAROLA</v>
      </c>
      <c r="B8372" s="7" t="str">
        <f>HYPERLINK("https://otsuka-europe-crm.veevavault.com/ui/#object/vcountry__v/VENZ000004SONF5", "ES")</f>
        <v>ES</v>
      </c>
      <c r="C8372" s="8" t="s">
        <v>39</v>
      </c>
      <c r="D8372" s="9" t="str">
        <f>HYPERLINK("https://otsuka-europe-crm.veevavault.com/ui/#object/approved_document__v/V5O000000006001", "RXULTI - Comparativa antipsicóticos")</f>
        <v>RXULTI - Comparativa antipsicóticos</v>
      </c>
      <c r="E8372" s="10" t="str">
        <f>HYPERLINK("https://otsuka-europe-crm.veevavault.com/ui/#object/sent_email__v/VBL00000003H103", "SE-001448418")</f>
        <v>SE-001448418</v>
      </c>
      <c r="F8372" s="11"/>
      <c r="G8372" s="12">
        <v>0</v>
      </c>
      <c r="H8372" s="12">
        <v>0</v>
      </c>
      <c r="I8372" s="12">
        <v>0</v>
      </c>
      <c r="J8372" s="11"/>
      <c r="K8372" s="12">
        <v>0</v>
      </c>
      <c r="L8372" s="10" t="str">
        <f>HYPERLINK("https://otsuka-europe-crm.veevavault.com/ui/#object/approved_document__v/V5O000000006001", "RXULTI - Comparativa antipsicóticos")</f>
        <v>RXULTI - Comparativa antipsicóticos</v>
      </c>
      <c r="M8372" s="10" t="str">
        <f>HYPERLINK("mailto:jvillalain@crm.otsuka-europe.com", "jvillalain@crm.otsuka-europe.com")</f>
        <v>jvillalain@crm.otsuka-europe.com</v>
      </c>
      <c r="N8372" s="13">
        <v>46234.366342592592</v>
      </c>
      <c r="O8372" s="14" t="str">
        <f>HYPERLINK("https://otsuka-europe-crm.veevavault.com/ui/#object/email_activity__v/V8C00000004F077", "EN-002109958")</f>
        <v>EN-002109958</v>
      </c>
    </row>
    <row r="8373" spans="1:15" ht="16" x14ac:dyDescent="0.2">
      <c r="A8373" s="18" t="str">
        <f>HYPERLINK("https://otsuka-europe-crm.veevavault.com/ui/#object/account__v/V4TZ06G6O71TB4Y", "PEDRO ANTONIO MEGIA LOPEZ")</f>
        <v>PEDRO ANTONIO MEGIA LOPEZ</v>
      </c>
      <c r="B8373" s="18" t="str">
        <f>HYPERLINK("https://otsuka-europe-crm.veevavault.com/ui/#object/vcountry__v/VENZ000004SONF5", "ES")</f>
        <v>ES</v>
      </c>
      <c r="C8373" s="20" t="s">
        <v>39</v>
      </c>
      <c r="D8373" s="21" t="str">
        <f>HYPERLINK("https://otsuka-europe-crm.veevavault.com/ui/#object/approved_document__v/V5O000000006001", "RXULTI - Comparativa antipsicóticos")</f>
        <v>RXULTI - Comparativa antipsicóticos</v>
      </c>
      <c r="E8373" s="22" t="str">
        <f>HYPERLINK("https://otsuka-europe-crm.veevavault.com/ui/#object/sent_email__v/VBL00000003H104", "SE-001448419")</f>
        <v>SE-001448419</v>
      </c>
      <c r="F8373" s="23"/>
      <c r="G8373" s="24">
        <v>0</v>
      </c>
      <c r="H8373" s="24">
        <v>0</v>
      </c>
      <c r="I8373" s="24">
        <v>0</v>
      </c>
      <c r="J8373" s="23"/>
      <c r="K8373" s="24">
        <v>0</v>
      </c>
      <c r="L8373" s="22" t="str">
        <f>HYPERLINK("https://otsuka-europe-crm.veevavault.com/ui/#object/approved_document__v/V5O000000006001", "RXULTI - Comparativa antipsicóticos")</f>
        <v>RXULTI - Comparativa antipsicóticos</v>
      </c>
      <c r="M8373" s="22" t="str">
        <f>HYPERLINK("mailto:jvillalain@crm.otsuka-europe.com", "jvillalain@crm.otsuka-europe.com")</f>
        <v>jvillalain@crm.otsuka-europe.com</v>
      </c>
      <c r="N8373" s="25">
        <v>46234.366354166668</v>
      </c>
      <c r="O8373" s="14" t="str">
        <f>HYPERLINK("https://otsuka-europe-crm.veevavault.com/ui/#object/email_activity__v/V8C00000004G114", "EN-002109986")</f>
        <v>EN-002109986</v>
      </c>
    </row>
    <row r="8374" spans="1:15" ht="16" x14ac:dyDescent="0.2">
      <c r="A8374" s="19"/>
      <c r="B8374" s="19"/>
      <c r="C8374" s="19"/>
      <c r="D8374" s="19"/>
      <c r="E8374" s="19"/>
      <c r="F8374" s="19"/>
      <c r="G8374" s="19"/>
      <c r="H8374" s="19"/>
      <c r="I8374" s="19"/>
      <c r="J8374" s="19"/>
      <c r="K8374" s="19"/>
      <c r="L8374" s="19"/>
      <c r="M8374" s="19"/>
      <c r="N8374" s="19"/>
      <c r="O8374" s="14" t="str">
        <f>HYPERLINK("https://otsuka-europe-crm.veevavault.com/ui/#object/email_activity__v/V8C00000004G148", "EN-002110050")</f>
        <v>EN-002110050</v>
      </c>
    </row>
    <row r="8375" spans="1:15" ht="32" x14ac:dyDescent="0.2">
      <c r="A8375" s="7" t="str">
        <f>HYPERLINK("https://otsuka-europe-crm.veevavault.com/ui/#object/account__v/V4TZ06G6O71TB5Z", "GERMAN MOLINA ROMERO")</f>
        <v>GERMAN MOLINA ROMERO</v>
      </c>
      <c r="B8375" s="7" t="str">
        <f>HYPERLINK("https://otsuka-europe-crm.veevavault.com/ui/#object/vcountry__v/VENZ000004SONF5", "ES")</f>
        <v>ES</v>
      </c>
      <c r="C8375" s="8" t="s">
        <v>39</v>
      </c>
      <c r="D8375" s="9" t="str">
        <f>HYPERLINK("https://otsuka-europe-crm.veevavault.com/ui/#object/approved_document__v/V5O000000006001", "RXULTI - Comparativa antipsicóticos")</f>
        <v>RXULTI - Comparativa antipsicóticos</v>
      </c>
      <c r="E8375" s="10" t="str">
        <f>HYPERLINK("https://otsuka-europe-crm.veevavault.com/ui/#object/sent_email__v/VBL00000003H105", "SE-001448420")</f>
        <v>SE-001448420</v>
      </c>
      <c r="F8375" s="11"/>
      <c r="G8375" s="12">
        <v>0</v>
      </c>
      <c r="H8375" s="12">
        <v>0</v>
      </c>
      <c r="I8375" s="12">
        <v>0</v>
      </c>
      <c r="J8375" s="11"/>
      <c r="K8375" s="12">
        <v>0</v>
      </c>
      <c r="L8375" s="10" t="str">
        <f>HYPERLINK("https://otsuka-europe-crm.veevavault.com/ui/#object/approved_document__v/V5O000000006001", "RXULTI - Comparativa antipsicóticos")</f>
        <v>RXULTI - Comparativa antipsicóticos</v>
      </c>
      <c r="M8375" s="10" t="str">
        <f>HYPERLINK("mailto:jvillalain@crm.otsuka-europe.com", "jvillalain@crm.otsuka-europe.com")</f>
        <v>jvillalain@crm.otsuka-europe.com</v>
      </c>
      <c r="N8375" s="13">
        <v>46234.366319444445</v>
      </c>
      <c r="O8375" s="14" t="str">
        <f>HYPERLINK("https://otsuka-europe-crm.veevavault.com/ui/#object/email_activity__v/V8C00000004F101", "EN-002110007")</f>
        <v>EN-002110007</v>
      </c>
    </row>
    <row r="8376" spans="1:15" ht="32" x14ac:dyDescent="0.2">
      <c r="A8376" s="7" t="str">
        <f>HYPERLINK("https://otsuka-europe-crm.veevavault.com/ui/#object/account__v/V4TZ06G6O71T7L3", "LAURA GALLARDO BORGE")</f>
        <v>LAURA GALLARDO BORGE</v>
      </c>
      <c r="B8376" s="7" t="str">
        <f>HYPERLINK("https://otsuka-europe-crm.veevavault.com/ui/#object/vcountry__v/VENZ000004SONF5", "ES")</f>
        <v>ES</v>
      </c>
      <c r="C8376" s="8" t="s">
        <v>39</v>
      </c>
      <c r="D8376" s="9" t="str">
        <f>HYPERLINK("https://otsuka-europe-crm.veevavault.com/ui/#object/approved_document__v/V5O000000006001", "RXULTI - Comparativa antipsicóticos")</f>
        <v>RXULTI - Comparativa antipsicóticos</v>
      </c>
      <c r="E8376" s="10" t="str">
        <f>HYPERLINK("https://otsuka-europe-crm.veevavault.com/ui/#object/sent_email__v/VBL00000003H106", "SE-001448421")</f>
        <v>SE-001448421</v>
      </c>
      <c r="F8376" s="11"/>
      <c r="G8376" s="12">
        <v>0</v>
      </c>
      <c r="H8376" s="12">
        <v>0</v>
      </c>
      <c r="I8376" s="12">
        <v>0</v>
      </c>
      <c r="J8376" s="11"/>
      <c r="K8376" s="12">
        <v>0</v>
      </c>
      <c r="L8376" s="10" t="str">
        <f>HYPERLINK("https://otsuka-europe-crm.veevavault.com/ui/#object/approved_document__v/V5O000000006001", "RXULTI - Comparativa antipsicóticos")</f>
        <v>RXULTI - Comparativa antipsicóticos</v>
      </c>
      <c r="M8376" s="10" t="str">
        <f>HYPERLINK("mailto:jvillalain@crm.otsuka-europe.com", "jvillalain@crm.otsuka-europe.com")</f>
        <v>jvillalain@crm.otsuka-europe.com</v>
      </c>
      <c r="N8376" s="13">
        <v>46234.366319444445</v>
      </c>
      <c r="O8376" s="14" t="str">
        <f>HYPERLINK("https://otsuka-europe-crm.veevavault.com/ui/#object/email_activity__v/V8C00000004F094", "EN-002109994")</f>
        <v>EN-002109994</v>
      </c>
    </row>
    <row r="8377" spans="1:15" ht="16" x14ac:dyDescent="0.2">
      <c r="A8377" s="18" t="str">
        <f>HYPERLINK("https://otsuka-europe-crm.veevavault.com/ui/#object/account__v/V4TZ06G6O71TA6V", "RUTH GONZALEZ COLLANTES")</f>
        <v>RUTH GONZALEZ COLLANTES</v>
      </c>
      <c r="B8377" s="18" t="str">
        <f>HYPERLINK("https://otsuka-europe-crm.veevavault.com/ui/#object/vcountry__v/VENZ000004SONF5", "ES")</f>
        <v>ES</v>
      </c>
      <c r="C8377" s="20" t="s">
        <v>39</v>
      </c>
      <c r="D8377" s="21" t="str">
        <f>HYPERLINK("https://otsuka-europe-crm.veevavault.com/ui/#object/approved_document__v/V5O000000006001", "RXULTI - Comparativa antipsicóticos")</f>
        <v>RXULTI - Comparativa antipsicóticos</v>
      </c>
      <c r="E8377" s="22" t="str">
        <f>HYPERLINK("https://otsuka-europe-crm.veevavault.com/ui/#object/sent_email__v/VBL00000003H107", "SE-001448422")</f>
        <v>SE-001448422</v>
      </c>
      <c r="F8377" s="23"/>
      <c r="G8377" s="24">
        <v>0</v>
      </c>
      <c r="H8377" s="24">
        <v>0</v>
      </c>
      <c r="I8377" s="24">
        <v>0</v>
      </c>
      <c r="J8377" s="23"/>
      <c r="K8377" s="24">
        <v>0</v>
      </c>
      <c r="L8377" s="22" t="str">
        <f>HYPERLINK("https://otsuka-europe-crm.veevavault.com/ui/#object/approved_document__v/V5O000000006001", "RXULTI - Comparativa antipsicóticos")</f>
        <v>RXULTI - Comparativa antipsicóticos</v>
      </c>
      <c r="M8377" s="22" t="str">
        <f>HYPERLINK("mailto:jvillalain@crm.otsuka-europe.com", "jvillalain@crm.otsuka-europe.com")</f>
        <v>jvillalain@crm.otsuka-europe.com</v>
      </c>
      <c r="N8377" s="25">
        <v>46234.366319444445</v>
      </c>
      <c r="O8377" s="14" t="str">
        <f>HYPERLINK("https://otsuka-europe-crm.veevavault.com/ui/#object/email_activity__v/V8C00000004G125", "EN-002110013")</f>
        <v>EN-002110013</v>
      </c>
    </row>
    <row r="8378" spans="1:15" ht="16" x14ac:dyDescent="0.2">
      <c r="A8378" s="19"/>
      <c r="B8378" s="19"/>
      <c r="C8378" s="19"/>
      <c r="D8378" s="19"/>
      <c r="E8378" s="19"/>
      <c r="F8378" s="19"/>
      <c r="G8378" s="19"/>
      <c r="H8378" s="19"/>
      <c r="I8378" s="19"/>
      <c r="J8378" s="19"/>
      <c r="K8378" s="19"/>
      <c r="L8378" s="19"/>
      <c r="M8378" s="19"/>
      <c r="N8378" s="19"/>
      <c r="O8378" s="14" t="str">
        <f>HYPERLINK("https://otsuka-europe-crm.veevavault.com/ui/#object/email_activity__v/V8C00000004G603", "EN-002110796")</f>
        <v>EN-002110796</v>
      </c>
    </row>
    <row r="8379" spans="1:15" ht="32" x14ac:dyDescent="0.2">
      <c r="A8379" s="7" t="str">
        <f>HYPERLINK("https://otsuka-europe-crm.veevavault.com/ui/#object/account__v/V4TZ025E87IQOOD", "MARIA RIOS VAQUERO")</f>
        <v>MARIA RIOS VAQUERO</v>
      </c>
      <c r="B8379" s="7" t="str">
        <f>HYPERLINK("https://otsuka-europe-crm.veevavault.com/ui/#object/vcountry__v/VENZ000004SONF5", "ES")</f>
        <v>ES</v>
      </c>
      <c r="C8379" s="8" t="s">
        <v>39</v>
      </c>
      <c r="D8379" s="9" t="str">
        <f>HYPERLINK("https://otsuka-europe-crm.veevavault.com/ui/#object/approved_document__v/V5O000000006001", "RXULTI - Comparativa antipsicóticos")</f>
        <v>RXULTI - Comparativa antipsicóticos</v>
      </c>
      <c r="E8379" s="10" t="str">
        <f>HYPERLINK("https://otsuka-europe-crm.veevavault.com/ui/#object/sent_email__v/VBL00000003H108", "SE-001448423")</f>
        <v>SE-001448423</v>
      </c>
      <c r="F8379" s="11"/>
      <c r="G8379" s="12">
        <v>0</v>
      </c>
      <c r="H8379" s="12">
        <v>0</v>
      </c>
      <c r="I8379" s="12">
        <v>0</v>
      </c>
      <c r="J8379" s="11"/>
      <c r="K8379" s="12">
        <v>0</v>
      </c>
      <c r="L8379" s="10" t="str">
        <f>HYPERLINK("https://otsuka-europe-crm.veevavault.com/ui/#object/approved_document__v/V5O000000006001", "RXULTI - Comparativa antipsicóticos")</f>
        <v>RXULTI - Comparativa antipsicóticos</v>
      </c>
      <c r="M8379" s="10" t="str">
        <f>HYPERLINK("mailto:jvillalain@crm.otsuka-europe.com", "jvillalain@crm.otsuka-europe.com")</f>
        <v>jvillalain@crm.otsuka-europe.com</v>
      </c>
      <c r="N8379" s="13">
        <v>46234.366319444445</v>
      </c>
      <c r="O8379" s="14" t="str">
        <f>HYPERLINK("https://otsuka-europe-crm.veevavault.com/ui/#object/email_activity__v/V8C00000004F065", "EN-002109937")</f>
        <v>EN-002109937</v>
      </c>
    </row>
    <row r="8380" spans="1:15" ht="16" x14ac:dyDescent="0.2">
      <c r="A8380" s="18" t="str">
        <f>HYPERLINK("https://otsuka-europe-crm.veevavault.com/ui/#object/account__v/V4TZ06G6O71T7SB", "MARTA SARAY HERNANDEZ GARCIA")</f>
        <v>MARTA SARAY HERNANDEZ GARCIA</v>
      </c>
      <c r="B8380" s="18" t="str">
        <f>HYPERLINK("https://otsuka-europe-crm.veevavault.com/ui/#object/vcountry__v/VENZ000004SONF5", "ES")</f>
        <v>ES</v>
      </c>
      <c r="C8380" s="20" t="s">
        <v>39</v>
      </c>
      <c r="D8380" s="21" t="str">
        <f>HYPERLINK("https://otsuka-europe-crm.veevavault.com/ui/#object/approved_document__v/V5O000000006001", "RXULTI - Comparativa antipsicóticos")</f>
        <v>RXULTI - Comparativa antipsicóticos</v>
      </c>
      <c r="E8380" s="22" t="str">
        <f>HYPERLINK("https://otsuka-europe-crm.veevavault.com/ui/#object/sent_email__v/VBL00000003H109", "SE-001448424")</f>
        <v>SE-001448424</v>
      </c>
      <c r="F8380" s="23"/>
      <c r="G8380" s="24">
        <v>0</v>
      </c>
      <c r="H8380" s="24">
        <v>0</v>
      </c>
      <c r="I8380" s="24">
        <v>0</v>
      </c>
      <c r="J8380" s="23"/>
      <c r="K8380" s="24">
        <v>0</v>
      </c>
      <c r="L8380" s="22" t="str">
        <f>HYPERLINK("https://otsuka-europe-crm.veevavault.com/ui/#object/approved_document__v/V5O000000006001", "RXULTI - Comparativa antipsicóticos")</f>
        <v>RXULTI - Comparativa antipsicóticos</v>
      </c>
      <c r="M8380" s="22" t="str">
        <f>HYPERLINK("mailto:jvillalain@crm.otsuka-europe.com", "jvillalain@crm.otsuka-europe.com")</f>
        <v>jvillalain@crm.otsuka-europe.com</v>
      </c>
      <c r="N8380" s="25">
        <v>46234.366354166668</v>
      </c>
      <c r="O8380" s="14" t="str">
        <f>HYPERLINK("https://otsuka-europe-crm.veevavault.com/ui/#object/email_activity__v/V8C00000004F162", "EN-002110120")</f>
        <v>EN-002110120</v>
      </c>
    </row>
    <row r="8381" spans="1:15" ht="16" x14ac:dyDescent="0.2">
      <c r="A8381" s="19"/>
      <c r="B8381" s="19"/>
      <c r="C8381" s="19"/>
      <c r="D8381" s="19"/>
      <c r="E8381" s="19"/>
      <c r="F8381" s="19"/>
      <c r="G8381" s="19"/>
      <c r="H8381" s="19"/>
      <c r="I8381" s="19"/>
      <c r="J8381" s="19"/>
      <c r="K8381" s="19"/>
      <c r="L8381" s="19"/>
      <c r="M8381" s="19"/>
      <c r="N8381" s="19"/>
      <c r="O8381" s="14" t="str">
        <f>HYPERLINK("https://otsuka-europe-crm.veevavault.com/ui/#object/email_activity__v/V8C00000004G089", "EN-002109950")</f>
        <v>EN-002109950</v>
      </c>
    </row>
    <row r="8382" spans="1:15" ht="16" x14ac:dyDescent="0.2">
      <c r="A8382" s="18" t="str">
        <f>HYPERLINK("https://otsuka-europe-crm.veevavault.com/ui/#object/account__v/V4TZ06G6O71TAYT", "ANA MARIA MENCIA PRESA")</f>
        <v>ANA MARIA MENCIA PRESA</v>
      </c>
      <c r="B8382" s="18" t="str">
        <f>HYPERLINK("https://otsuka-europe-crm.veevavault.com/ui/#object/vcountry__v/VENZ000004SONF5", "ES")</f>
        <v>ES</v>
      </c>
      <c r="C8382" s="20" t="s">
        <v>39</v>
      </c>
      <c r="D8382" s="21" t="str">
        <f>HYPERLINK("https://otsuka-europe-crm.veevavault.com/ui/#object/approved_document__v/V5O000000006001", "RXULTI - Comparativa antipsicóticos")</f>
        <v>RXULTI - Comparativa antipsicóticos</v>
      </c>
      <c r="E8382" s="22" t="str">
        <f>HYPERLINK("https://otsuka-europe-crm.veevavault.com/ui/#object/sent_email__v/VBL00000003H110", "SE-001448425")</f>
        <v>SE-001448425</v>
      </c>
      <c r="F8382" s="25">
        <v>46234.912175925929</v>
      </c>
      <c r="G8382" s="24">
        <v>1</v>
      </c>
      <c r="H8382" s="24">
        <v>6</v>
      </c>
      <c r="I8382" s="24">
        <v>0</v>
      </c>
      <c r="J8382" s="23"/>
      <c r="K8382" s="24">
        <v>0</v>
      </c>
      <c r="L8382" s="22" t="str">
        <f>HYPERLINK("https://otsuka-europe-crm.veevavault.com/ui/#object/approved_document__v/V5O000000006001", "RXULTI - Comparativa antipsicóticos")</f>
        <v>RXULTI - Comparativa antipsicóticos</v>
      </c>
      <c r="M8382" s="22" t="str">
        <f>HYPERLINK("mailto:jvillalain@crm.otsuka-europe.com", "jvillalain@crm.otsuka-europe.com")</f>
        <v>jvillalain@crm.otsuka-europe.com</v>
      </c>
      <c r="N8382" s="25">
        <v>46234.366319444445</v>
      </c>
      <c r="O8382" s="14" t="str">
        <f>HYPERLINK("https://otsuka-europe-crm.veevavault.com/ui/#object/email_activity__v/V8C00000004F485", "EN-002110916")</f>
        <v>EN-002110916</v>
      </c>
    </row>
    <row r="8383" spans="1:15" ht="16" x14ac:dyDescent="0.2">
      <c r="A8383" s="26"/>
      <c r="B8383" s="26"/>
      <c r="C8383" s="26"/>
      <c r="D8383" s="26"/>
      <c r="E8383" s="26"/>
      <c r="F8383" s="26"/>
      <c r="G8383" s="26"/>
      <c r="H8383" s="26"/>
      <c r="I8383" s="26"/>
      <c r="J8383" s="26"/>
      <c r="K8383" s="26"/>
      <c r="L8383" s="26"/>
      <c r="M8383" s="26"/>
      <c r="N8383" s="26"/>
      <c r="O8383" s="14" t="str">
        <f>HYPERLINK("https://otsuka-europe-crm.veevavault.com/ui/#object/email_activity__v/V8C00000004F486", "EN-002110917")</f>
        <v>EN-002110917</v>
      </c>
    </row>
    <row r="8384" spans="1:15" ht="16" x14ac:dyDescent="0.2">
      <c r="A8384" s="26"/>
      <c r="B8384" s="26"/>
      <c r="C8384" s="26"/>
      <c r="D8384" s="26"/>
      <c r="E8384" s="26"/>
      <c r="F8384" s="26"/>
      <c r="G8384" s="26"/>
      <c r="H8384" s="26"/>
      <c r="I8384" s="26"/>
      <c r="J8384" s="26"/>
      <c r="K8384" s="26"/>
      <c r="L8384" s="26"/>
      <c r="M8384" s="26"/>
      <c r="N8384" s="26"/>
      <c r="O8384" s="14" t="str">
        <f>HYPERLINK("https://otsuka-europe-crm.veevavault.com/ui/#object/email_activity__v/V8C00000004F487", "EN-002110919")</f>
        <v>EN-002110919</v>
      </c>
    </row>
    <row r="8385" spans="1:15" ht="16" x14ac:dyDescent="0.2">
      <c r="A8385" s="26"/>
      <c r="B8385" s="26"/>
      <c r="C8385" s="26"/>
      <c r="D8385" s="26"/>
      <c r="E8385" s="26"/>
      <c r="F8385" s="26"/>
      <c r="G8385" s="26"/>
      <c r="H8385" s="26"/>
      <c r="I8385" s="26"/>
      <c r="J8385" s="26"/>
      <c r="K8385" s="26"/>
      <c r="L8385" s="26"/>
      <c r="M8385" s="26"/>
      <c r="N8385" s="26"/>
      <c r="O8385" s="14" t="str">
        <f>HYPERLINK("https://otsuka-europe-crm.veevavault.com/ui/#object/email_activity__v/V8C00000004F492", "EN-002110927")</f>
        <v>EN-002110927</v>
      </c>
    </row>
    <row r="8386" spans="1:15" ht="16" x14ac:dyDescent="0.2">
      <c r="A8386" s="26"/>
      <c r="B8386" s="26"/>
      <c r="C8386" s="26"/>
      <c r="D8386" s="26"/>
      <c r="E8386" s="26"/>
      <c r="F8386" s="26"/>
      <c r="G8386" s="26"/>
      <c r="H8386" s="26"/>
      <c r="I8386" s="26"/>
      <c r="J8386" s="26"/>
      <c r="K8386" s="26"/>
      <c r="L8386" s="26"/>
      <c r="M8386" s="26"/>
      <c r="N8386" s="26"/>
      <c r="O8386" s="14" t="str">
        <f>HYPERLINK("https://otsuka-europe-crm.veevavault.com/ui/#object/email_activity__v/V8C00000004G080", "EN-002109930")</f>
        <v>EN-002109930</v>
      </c>
    </row>
    <row r="8387" spans="1:15" ht="16" x14ac:dyDescent="0.2">
      <c r="A8387" s="26"/>
      <c r="B8387" s="26"/>
      <c r="C8387" s="26"/>
      <c r="D8387" s="26"/>
      <c r="E8387" s="26"/>
      <c r="F8387" s="26"/>
      <c r="G8387" s="26"/>
      <c r="H8387" s="26"/>
      <c r="I8387" s="26"/>
      <c r="J8387" s="26"/>
      <c r="K8387" s="26"/>
      <c r="L8387" s="26"/>
      <c r="M8387" s="26"/>
      <c r="N8387" s="26"/>
      <c r="O8387" s="14" t="str">
        <f>HYPERLINK("https://otsuka-europe-crm.veevavault.com/ui/#object/email_activity__v/V8C00000004G650", "EN-002110918")</f>
        <v>EN-002110918</v>
      </c>
    </row>
    <row r="8388" spans="1:15" ht="16" x14ac:dyDescent="0.2">
      <c r="A8388" s="19"/>
      <c r="B8388" s="19"/>
      <c r="C8388" s="19"/>
      <c r="D8388" s="19"/>
      <c r="E8388" s="19"/>
      <c r="F8388" s="19"/>
      <c r="G8388" s="19"/>
      <c r="H8388" s="19"/>
      <c r="I8388" s="19"/>
      <c r="J8388" s="19"/>
      <c r="K8388" s="19"/>
      <c r="L8388" s="19"/>
      <c r="M8388" s="19"/>
      <c r="N8388" s="19"/>
      <c r="O8388" s="14" t="str">
        <f>HYPERLINK("https://otsuka-europe-crm.veevavault.com/ui/#object/email_activity__v/V8C00000004G651", "EN-002110920")</f>
        <v>EN-002110920</v>
      </c>
    </row>
    <row r="8389" spans="1:15" ht="32" x14ac:dyDescent="0.2">
      <c r="A8389" s="7" t="str">
        <f>HYPERLINK("https://otsuka-europe-crm.veevavault.com/ui/#object/account__v/V4TZ06G6O71T7DS", "ROSA MARIA GARCIA MARTINEZ")</f>
        <v>ROSA MARIA GARCIA MARTINEZ</v>
      </c>
      <c r="B8389" s="7" t="str">
        <f>HYPERLINK("https://otsuka-europe-crm.veevavault.com/ui/#object/vcountry__v/VENZ000004SONF5", "ES")</f>
        <v>ES</v>
      </c>
      <c r="C8389" s="8" t="s">
        <v>39</v>
      </c>
      <c r="D8389" s="9" t="str">
        <f>HYPERLINK("https://otsuka-europe-crm.veevavault.com/ui/#object/approved_document__v/V5O000000006001", "RXULTI - Comparativa antipsicóticos")</f>
        <v>RXULTI - Comparativa antipsicóticos</v>
      </c>
      <c r="E8389" s="10" t="str">
        <f>HYPERLINK("https://otsuka-europe-crm.veevavault.com/ui/#object/sent_email__v/VBL00000003H111", "SE-001448426")</f>
        <v>SE-001448426</v>
      </c>
      <c r="F8389" s="11"/>
      <c r="G8389" s="12">
        <v>0</v>
      </c>
      <c r="H8389" s="12">
        <v>0</v>
      </c>
      <c r="I8389" s="12">
        <v>0</v>
      </c>
      <c r="J8389" s="11"/>
      <c r="K8389" s="12">
        <v>0</v>
      </c>
      <c r="L8389" s="10" t="str">
        <f>HYPERLINK("https://otsuka-europe-crm.veevavault.com/ui/#object/approved_document__v/V5O000000006001", "RXULTI - Comparativa antipsicóticos")</f>
        <v>RXULTI - Comparativa antipsicóticos</v>
      </c>
      <c r="M8389" s="10" t="str">
        <f>HYPERLINK("mailto:jvillalain@crm.otsuka-europe.com", "jvillalain@crm.otsuka-europe.com")</f>
        <v>jvillalain@crm.otsuka-europe.com</v>
      </c>
      <c r="N8389" s="13">
        <v>46234.366342592592</v>
      </c>
      <c r="O8389" s="14" t="str">
        <f>HYPERLINK("https://otsuka-europe-crm.veevavault.com/ui/#object/email_activity__v/V8C00000004G098", "EN-002109964")</f>
        <v>EN-002109964</v>
      </c>
    </row>
    <row r="8390" spans="1:15" ht="16" x14ac:dyDescent="0.2">
      <c r="A8390" s="18" t="str">
        <f>HYPERLINK("https://otsuka-europe-crm.veevavault.com/ui/#object/account__v/V4TZ04ASGGI2K1O", "MARIA FERNANDEZ LOZANO")</f>
        <v>MARIA FERNANDEZ LOZANO</v>
      </c>
      <c r="B8390" s="18" t="str">
        <f>HYPERLINK("https://otsuka-europe-crm.veevavault.com/ui/#object/vcountry__v/VENZ000004SONF5", "ES")</f>
        <v>ES</v>
      </c>
      <c r="C8390" s="20" t="s">
        <v>39</v>
      </c>
      <c r="D8390" s="21" t="str">
        <f>HYPERLINK("https://otsuka-europe-crm.veevavault.com/ui/#object/approved_document__v/V5O000000006001", "RXULTI - Comparativa antipsicóticos")</f>
        <v>RXULTI - Comparativa antipsicóticos</v>
      </c>
      <c r="E8390" s="22" t="str">
        <f>HYPERLINK("https://otsuka-europe-crm.veevavault.com/ui/#object/sent_email__v/VBL00000003H112", "SE-001448427")</f>
        <v>SE-001448427</v>
      </c>
      <c r="F8390" s="25">
        <v>46234.688217592593</v>
      </c>
      <c r="G8390" s="24">
        <v>1</v>
      </c>
      <c r="H8390" s="24">
        <v>4</v>
      </c>
      <c r="I8390" s="24">
        <v>0</v>
      </c>
      <c r="J8390" s="23"/>
      <c r="K8390" s="24">
        <v>0</v>
      </c>
      <c r="L8390" s="22" t="str">
        <f>HYPERLINK("https://otsuka-europe-crm.veevavault.com/ui/#object/approved_document__v/V5O000000006001", "RXULTI - Comparativa antipsicóticos")</f>
        <v>RXULTI - Comparativa antipsicóticos</v>
      </c>
      <c r="M8390" s="22" t="str">
        <f>HYPERLINK("mailto:jvillalain@crm.otsuka-europe.com", "jvillalain@crm.otsuka-europe.com")</f>
        <v>jvillalain@crm.otsuka-europe.com</v>
      </c>
      <c r="N8390" s="25">
        <v>46234.366319444445</v>
      </c>
      <c r="O8390" s="14" t="str">
        <f>HYPERLINK("https://otsuka-europe-crm.veevavault.com/ui/#object/email_activity__v/V8C00000004F122", "EN-002110059")</f>
        <v>EN-002110059</v>
      </c>
    </row>
    <row r="8391" spans="1:15" ht="16" x14ac:dyDescent="0.2">
      <c r="A8391" s="26"/>
      <c r="B8391" s="26"/>
      <c r="C8391" s="26"/>
      <c r="D8391" s="26"/>
      <c r="E8391" s="26"/>
      <c r="F8391" s="26"/>
      <c r="G8391" s="26"/>
      <c r="H8391" s="26"/>
      <c r="I8391" s="26"/>
      <c r="J8391" s="26"/>
      <c r="K8391" s="26"/>
      <c r="L8391" s="26"/>
      <c r="M8391" s="26"/>
      <c r="N8391" s="26"/>
      <c r="O8391" s="14" t="str">
        <f>HYPERLINK("https://otsuka-europe-crm.veevavault.com/ui/#object/email_activity__v/V8C00000004F123", "EN-002110060")</f>
        <v>EN-002110060</v>
      </c>
    </row>
    <row r="8392" spans="1:15" ht="16" x14ac:dyDescent="0.2">
      <c r="A8392" s="26"/>
      <c r="B8392" s="26"/>
      <c r="C8392" s="26"/>
      <c r="D8392" s="26"/>
      <c r="E8392" s="26"/>
      <c r="F8392" s="26"/>
      <c r="G8392" s="26"/>
      <c r="H8392" s="26"/>
      <c r="I8392" s="26"/>
      <c r="J8392" s="26"/>
      <c r="K8392" s="26"/>
      <c r="L8392" s="26"/>
      <c r="M8392" s="26"/>
      <c r="N8392" s="26"/>
      <c r="O8392" s="14" t="str">
        <f>HYPERLINK("https://otsuka-europe-crm.veevavault.com/ui/#object/email_activity__v/V8C00000004F426", "EN-002110821")</f>
        <v>EN-002110821</v>
      </c>
    </row>
    <row r="8393" spans="1:15" ht="16" x14ac:dyDescent="0.2">
      <c r="A8393" s="26"/>
      <c r="B8393" s="26"/>
      <c r="C8393" s="26"/>
      <c r="D8393" s="26"/>
      <c r="E8393" s="26"/>
      <c r="F8393" s="26"/>
      <c r="G8393" s="26"/>
      <c r="H8393" s="26"/>
      <c r="I8393" s="26"/>
      <c r="J8393" s="26"/>
      <c r="K8393" s="26"/>
      <c r="L8393" s="26"/>
      <c r="M8393" s="26"/>
      <c r="N8393" s="26"/>
      <c r="O8393" s="14" t="str">
        <f>HYPERLINK("https://otsuka-europe-crm.veevavault.com/ui/#object/email_activity__v/V8C00000004F427", "EN-002110822")</f>
        <v>EN-002110822</v>
      </c>
    </row>
    <row r="8394" spans="1:15" ht="16" x14ac:dyDescent="0.2">
      <c r="A8394" s="19"/>
      <c r="B8394" s="19"/>
      <c r="C8394" s="19"/>
      <c r="D8394" s="19"/>
      <c r="E8394" s="19"/>
      <c r="F8394" s="19"/>
      <c r="G8394" s="19"/>
      <c r="H8394" s="19"/>
      <c r="I8394" s="19"/>
      <c r="J8394" s="19"/>
      <c r="K8394" s="19"/>
      <c r="L8394" s="19"/>
      <c r="M8394" s="19"/>
      <c r="N8394" s="19"/>
      <c r="O8394" s="14" t="str">
        <f>HYPERLINK("https://otsuka-europe-crm.veevavault.com/ui/#object/email_activity__v/V8C00000004G079", "EN-002109929")</f>
        <v>EN-002109929</v>
      </c>
    </row>
    <row r="8395" spans="1:15" ht="16" x14ac:dyDescent="0.2">
      <c r="A8395" s="18" t="str">
        <f>HYPERLINK("https://otsuka-europe-crm.veevavault.com/ui/#object/account__v/V4TZ06G6O71TAYJ", "RICARDO MARTINEZ GALLARDO")</f>
        <v>RICARDO MARTINEZ GALLARDO</v>
      </c>
      <c r="B8395" s="18" t="str">
        <f>HYPERLINK("https://otsuka-europe-crm.veevavault.com/ui/#object/vcountry__v/VENZ000004SONF5", "ES")</f>
        <v>ES</v>
      </c>
      <c r="C8395" s="20" t="s">
        <v>39</v>
      </c>
      <c r="D8395" s="21" t="str">
        <f>HYPERLINK("https://otsuka-europe-crm.veevavault.com/ui/#object/approved_document__v/V5O000000006001", "RXULTI - Comparativa antipsicóticos")</f>
        <v>RXULTI - Comparativa antipsicóticos</v>
      </c>
      <c r="E8395" s="22" t="str">
        <f>HYPERLINK("https://otsuka-europe-crm.veevavault.com/ui/#object/sent_email__v/VBL00000003H113", "SE-001448428")</f>
        <v>SE-001448428</v>
      </c>
      <c r="F8395" s="25">
        <v>46234.761296296296</v>
      </c>
      <c r="G8395" s="24">
        <v>1</v>
      </c>
      <c r="H8395" s="24">
        <v>1</v>
      </c>
      <c r="I8395" s="24">
        <v>0</v>
      </c>
      <c r="J8395" s="23"/>
      <c r="K8395" s="24">
        <v>0</v>
      </c>
      <c r="L8395" s="22" t="str">
        <f>HYPERLINK("https://otsuka-europe-crm.veevavault.com/ui/#object/approved_document__v/V5O000000006001", "RXULTI - Comparativa antipsicóticos")</f>
        <v>RXULTI - Comparativa antipsicóticos</v>
      </c>
      <c r="M8395" s="22" t="str">
        <f>HYPERLINK("mailto:jvillalain@crm.otsuka-europe.com", "jvillalain@crm.otsuka-europe.com")</f>
        <v>jvillalain@crm.otsuka-europe.com</v>
      </c>
      <c r="N8395" s="25">
        <v>46234.366342592592</v>
      </c>
      <c r="O8395" s="14" t="str">
        <f>HYPERLINK("https://otsuka-europe-crm.veevavault.com/ui/#object/email_activity__v/V8C00000004F079", "EN-002109960")</f>
        <v>EN-002109960</v>
      </c>
    </row>
    <row r="8396" spans="1:15" ht="16" x14ac:dyDescent="0.2">
      <c r="A8396" s="19"/>
      <c r="B8396" s="19"/>
      <c r="C8396" s="19"/>
      <c r="D8396" s="19"/>
      <c r="E8396" s="19"/>
      <c r="F8396" s="19"/>
      <c r="G8396" s="19"/>
      <c r="H8396" s="19"/>
      <c r="I8396" s="19"/>
      <c r="J8396" s="19"/>
      <c r="K8396" s="19"/>
      <c r="L8396" s="19"/>
      <c r="M8396" s="19"/>
      <c r="N8396" s="19"/>
      <c r="O8396" s="14" t="str">
        <f>HYPERLINK("https://otsuka-europe-crm.veevavault.com/ui/#object/email_activity__v/V8C00000004F464", "EN-002110873")</f>
        <v>EN-002110873</v>
      </c>
    </row>
    <row r="8397" spans="1:15" ht="32" x14ac:dyDescent="0.2">
      <c r="A8397" s="7" t="str">
        <f>HYPERLINK("https://otsuka-europe-crm.veevavault.com/ui/#object/account__v/V4TZ06G6O71TAEU", "MARIA SOLEDAD CAMPOS BURGUI")</f>
        <v>MARIA SOLEDAD CAMPOS BURGUI</v>
      </c>
      <c r="B8397" s="7" t="str">
        <f>HYPERLINK("https://otsuka-europe-crm.veevavault.com/ui/#object/vcountry__v/VENZ000004SONF5", "ES")</f>
        <v>ES</v>
      </c>
      <c r="C8397" s="8" t="s">
        <v>39</v>
      </c>
      <c r="D8397" s="9" t="str">
        <f>HYPERLINK("https://otsuka-europe-crm.veevavault.com/ui/#object/approved_document__v/V5O000000006001", "RXULTI - Comparativa antipsicóticos")</f>
        <v>RXULTI - Comparativa antipsicóticos</v>
      </c>
      <c r="E8397" s="10" t="str">
        <f>HYPERLINK("https://otsuka-europe-crm.veevavault.com/ui/#object/sent_email__v/VBL00000003H114", "SE-001448429")</f>
        <v>SE-001448429</v>
      </c>
      <c r="F8397" s="11"/>
      <c r="G8397" s="12">
        <v>0</v>
      </c>
      <c r="H8397" s="12">
        <v>0</v>
      </c>
      <c r="I8397" s="12">
        <v>0</v>
      </c>
      <c r="J8397" s="11"/>
      <c r="K8397" s="12">
        <v>0</v>
      </c>
      <c r="L8397" s="10" t="str">
        <f>HYPERLINK("https://otsuka-europe-crm.veevavault.com/ui/#object/approved_document__v/V5O000000006001", "RXULTI - Comparativa antipsicóticos")</f>
        <v>RXULTI - Comparativa antipsicóticos</v>
      </c>
      <c r="M8397" s="10" t="str">
        <f>HYPERLINK("mailto:jvillalain@crm.otsuka-europe.com", "jvillalain@crm.otsuka-europe.com")</f>
        <v>jvillalain@crm.otsuka-europe.com</v>
      </c>
      <c r="N8397" s="13">
        <v>46234.366354166668</v>
      </c>
      <c r="O8397" s="14" t="str">
        <f>HYPERLINK("https://otsuka-europe-crm.veevavault.com/ui/#object/email_activity__v/V8C00000004G109", "EN-002109981")</f>
        <v>EN-002109981</v>
      </c>
    </row>
    <row r="8398" spans="1:15" ht="32" x14ac:dyDescent="0.2">
      <c r="A8398" s="7" t="str">
        <f>HYPERLINK("https://otsuka-europe-crm.veevavault.com/ui/#object/account__v/V4TZ06G6O71T9V1", "JUAN CARLOS FIORINI TALAVERA")</f>
        <v>JUAN CARLOS FIORINI TALAVERA</v>
      </c>
      <c r="B8398" s="7" t="str">
        <f>HYPERLINK("https://otsuka-europe-crm.veevavault.com/ui/#object/vcountry__v/VENZ000004SONF5", "ES")</f>
        <v>ES</v>
      </c>
      <c r="C8398" s="8" t="s">
        <v>39</v>
      </c>
      <c r="D8398" s="9" t="str">
        <f>HYPERLINK("https://otsuka-europe-crm.veevavault.com/ui/#object/approved_document__v/V5O000000006001", "RXULTI - Comparativa antipsicóticos")</f>
        <v>RXULTI - Comparativa antipsicóticos</v>
      </c>
      <c r="E8398" s="10" t="str">
        <f>HYPERLINK("https://otsuka-europe-crm.veevavault.com/ui/#object/sent_email__v/VBL00000003H115", "SE-001448430")</f>
        <v>SE-001448430</v>
      </c>
      <c r="F8398" s="11"/>
      <c r="G8398" s="12">
        <v>0</v>
      </c>
      <c r="H8398" s="12">
        <v>0</v>
      </c>
      <c r="I8398" s="12">
        <v>0</v>
      </c>
      <c r="J8398" s="11"/>
      <c r="K8398" s="12">
        <v>0</v>
      </c>
      <c r="L8398" s="10" t="str">
        <f>HYPERLINK("https://otsuka-europe-crm.veevavault.com/ui/#object/approved_document__v/V5O000000006001", "RXULTI - Comparativa antipsicóticos")</f>
        <v>RXULTI - Comparativa antipsicóticos</v>
      </c>
      <c r="M8398" s="10" t="str">
        <f>HYPERLINK("mailto:jvillalain@crm.otsuka-europe.com", "jvillalain@crm.otsuka-europe.com")</f>
        <v>jvillalain@crm.otsuka-europe.com</v>
      </c>
      <c r="N8398" s="13">
        <v>46234.366319444445</v>
      </c>
      <c r="O8398" s="14" t="str">
        <f>HYPERLINK("https://otsuka-europe-crm.veevavault.com/ui/#object/email_activity__v/V8C00000004F107", "EN-002110035")</f>
        <v>EN-002110035</v>
      </c>
    </row>
    <row r="8399" spans="1:15" ht="32" x14ac:dyDescent="0.2">
      <c r="A8399" s="7" t="str">
        <f>HYPERLINK("https://otsuka-europe-crm.veevavault.com/ui/#object/account__v/V4TZ06G6O71TB5L", "LUIS MINGUEZ MARTIN")</f>
        <v>LUIS MINGUEZ MARTIN</v>
      </c>
      <c r="B8399" s="7" t="str">
        <f>HYPERLINK("https://otsuka-europe-crm.veevavault.com/ui/#object/vcountry__v/VENZ000004SONF5", "ES")</f>
        <v>ES</v>
      </c>
      <c r="C8399" s="8" t="s">
        <v>39</v>
      </c>
      <c r="D8399" s="9" t="str">
        <f>HYPERLINK("https://otsuka-europe-crm.veevavault.com/ui/#object/approved_document__v/V5O000000006001", "RXULTI - Comparativa antipsicóticos")</f>
        <v>RXULTI - Comparativa antipsicóticos</v>
      </c>
      <c r="E8399" s="10" t="str">
        <f>HYPERLINK("https://otsuka-europe-crm.veevavault.com/ui/#object/sent_email__v/VBL00000003H116", "SE-001448431")</f>
        <v>SE-001448431</v>
      </c>
      <c r="F8399" s="11"/>
      <c r="G8399" s="12">
        <v>0</v>
      </c>
      <c r="H8399" s="12">
        <v>0</v>
      </c>
      <c r="I8399" s="12">
        <v>0</v>
      </c>
      <c r="J8399" s="11"/>
      <c r="K8399" s="12">
        <v>0</v>
      </c>
      <c r="L8399" s="10" t="str">
        <f>HYPERLINK("https://otsuka-europe-crm.veevavault.com/ui/#object/approved_document__v/V5O000000006001", "RXULTI - Comparativa antipsicóticos")</f>
        <v>RXULTI - Comparativa antipsicóticos</v>
      </c>
      <c r="M8399" s="10" t="str">
        <f>HYPERLINK("mailto:jvillalain@crm.otsuka-europe.com", "jvillalain@crm.otsuka-europe.com")</f>
        <v>jvillalain@crm.otsuka-europe.com</v>
      </c>
      <c r="N8399" s="13">
        <v>46234.366319444445</v>
      </c>
      <c r="O8399" s="14" t="str">
        <f>HYPERLINK("https://otsuka-europe-crm.veevavault.com/ui/#object/email_activity__v/V8C00000004G117", "EN-002110000")</f>
        <v>EN-002110000</v>
      </c>
    </row>
    <row r="8400" spans="1:15" ht="32" x14ac:dyDescent="0.2">
      <c r="A8400" s="7" t="str">
        <f>HYPERLINK("https://otsuka-europe-crm.veevavault.com/ui/#object/account__v/V4TZ025E87I0M91", "IGNACIO ALVAREZ PEREZ")</f>
        <v>IGNACIO ALVAREZ PEREZ</v>
      </c>
      <c r="B8400" s="7" t="str">
        <f>HYPERLINK("https://otsuka-europe-crm.veevavault.com/ui/#object/vcountry__v/VENZ000004SONF5", "ES")</f>
        <v>ES</v>
      </c>
      <c r="C8400" s="8" t="s">
        <v>39</v>
      </c>
      <c r="D8400" s="9" t="str">
        <f>HYPERLINK("https://otsuka-europe-crm.veevavault.com/ui/#object/approved_document__v/V5O000000006001", "RXULTI - Comparativa antipsicóticos")</f>
        <v>RXULTI - Comparativa antipsicóticos</v>
      </c>
      <c r="E8400" s="10" t="str">
        <f>HYPERLINK("https://otsuka-europe-crm.veevavault.com/ui/#object/sent_email__v/VBL00000003H117", "SE-001448432")</f>
        <v>SE-001448432</v>
      </c>
      <c r="F8400" s="11"/>
      <c r="G8400" s="12">
        <v>0</v>
      </c>
      <c r="H8400" s="12">
        <v>0</v>
      </c>
      <c r="I8400" s="12">
        <v>0</v>
      </c>
      <c r="J8400" s="11"/>
      <c r="K8400" s="12">
        <v>0</v>
      </c>
      <c r="L8400" s="10" t="str">
        <f>HYPERLINK("https://otsuka-europe-crm.veevavault.com/ui/#object/approved_document__v/V5O000000006001", "RXULTI - Comparativa antipsicóticos")</f>
        <v>RXULTI - Comparativa antipsicóticos</v>
      </c>
      <c r="M8400" s="10" t="str">
        <f>HYPERLINK("mailto:jvillalain@crm.otsuka-europe.com", "jvillalain@crm.otsuka-europe.com")</f>
        <v>jvillalain@crm.otsuka-europe.com</v>
      </c>
      <c r="N8400" s="13">
        <v>46234.366354166668</v>
      </c>
      <c r="O8400" s="14" t="str">
        <f>HYPERLINK("https://otsuka-europe-crm.veevavault.com/ui/#object/email_activity__v/V8C00000004G112", "EN-002109984")</f>
        <v>EN-002109984</v>
      </c>
    </row>
    <row r="8401" spans="1:15" ht="16" x14ac:dyDescent="0.2">
      <c r="A8401" s="18" t="str">
        <f>HYPERLINK("https://otsuka-europe-crm.veevavault.com/ui/#object/account__v/V4TZ06G6O71T7KB", "ANDRES FELIPE CORREA PALACIO")</f>
        <v>ANDRES FELIPE CORREA PALACIO</v>
      </c>
      <c r="B8401" s="18" t="str">
        <f>HYPERLINK("https://otsuka-europe-crm.veevavault.com/ui/#object/vcountry__v/VENZ000004SONF5", "ES")</f>
        <v>ES</v>
      </c>
      <c r="C8401" s="20" t="s">
        <v>39</v>
      </c>
      <c r="D8401" s="21" t="str">
        <f>HYPERLINK("https://otsuka-europe-crm.veevavault.com/ui/#object/approved_document__v/V5O000000006001", "RXULTI - Comparativa antipsicóticos")</f>
        <v>RXULTI - Comparativa antipsicóticos</v>
      </c>
      <c r="E8401" s="22" t="str">
        <f>HYPERLINK("https://otsuka-europe-crm.veevavault.com/ui/#object/sent_email__v/VBL00000003H118", "SE-001448433")</f>
        <v>SE-001448433</v>
      </c>
      <c r="F8401" s="25">
        <v>46234.652303240742</v>
      </c>
      <c r="G8401" s="24">
        <v>1</v>
      </c>
      <c r="H8401" s="24">
        <v>4</v>
      </c>
      <c r="I8401" s="24">
        <v>0</v>
      </c>
      <c r="J8401" s="23"/>
      <c r="K8401" s="24">
        <v>0</v>
      </c>
      <c r="L8401" s="22" t="str">
        <f>HYPERLINK("https://otsuka-europe-crm.veevavault.com/ui/#object/approved_document__v/V5O000000006001", "RXULTI - Comparativa antipsicóticos")</f>
        <v>RXULTI - Comparativa antipsicóticos</v>
      </c>
      <c r="M8401" s="22" t="str">
        <f>HYPERLINK("mailto:jvillalain@crm.otsuka-europe.com", "jvillalain@crm.otsuka-europe.com")</f>
        <v>jvillalain@crm.otsuka-europe.com</v>
      </c>
      <c r="N8401" s="25">
        <v>46234.366319444445</v>
      </c>
      <c r="O8401" s="14" t="str">
        <f>HYPERLINK("https://otsuka-europe-crm.veevavault.com/ui/#object/email_activity__v/V8C00000004F413", "EN-002110801")</f>
        <v>EN-002110801</v>
      </c>
    </row>
    <row r="8402" spans="1:15" ht="16" x14ac:dyDescent="0.2">
      <c r="A8402" s="26"/>
      <c r="B8402" s="26"/>
      <c r="C8402" s="26"/>
      <c r="D8402" s="26"/>
      <c r="E8402" s="26"/>
      <c r="F8402" s="26"/>
      <c r="G8402" s="26"/>
      <c r="H8402" s="26"/>
      <c r="I8402" s="26"/>
      <c r="J8402" s="26"/>
      <c r="K8402" s="26"/>
      <c r="L8402" s="26"/>
      <c r="M8402" s="26"/>
      <c r="N8402" s="26"/>
      <c r="O8402" s="14" t="str">
        <f>HYPERLINK("https://otsuka-europe-crm.veevavault.com/ui/#object/email_activity__v/V8C00000004F414", "EN-002110802")</f>
        <v>EN-002110802</v>
      </c>
    </row>
    <row r="8403" spans="1:15" ht="16" x14ac:dyDescent="0.2">
      <c r="A8403" s="26"/>
      <c r="B8403" s="26"/>
      <c r="C8403" s="26"/>
      <c r="D8403" s="26"/>
      <c r="E8403" s="26"/>
      <c r="F8403" s="26"/>
      <c r="G8403" s="26"/>
      <c r="H8403" s="26"/>
      <c r="I8403" s="26"/>
      <c r="J8403" s="26"/>
      <c r="K8403" s="26"/>
      <c r="L8403" s="26"/>
      <c r="M8403" s="26"/>
      <c r="N8403" s="26"/>
      <c r="O8403" s="14" t="str">
        <f>HYPERLINK("https://otsuka-europe-crm.veevavault.com/ui/#object/email_activity__v/V8C00000004G074", "EN-002109924")</f>
        <v>EN-002109924</v>
      </c>
    </row>
    <row r="8404" spans="1:15" ht="16" x14ac:dyDescent="0.2">
      <c r="A8404" s="26"/>
      <c r="B8404" s="26"/>
      <c r="C8404" s="26"/>
      <c r="D8404" s="26"/>
      <c r="E8404" s="26"/>
      <c r="F8404" s="26"/>
      <c r="G8404" s="26"/>
      <c r="H8404" s="26"/>
      <c r="I8404" s="26"/>
      <c r="J8404" s="26"/>
      <c r="K8404" s="26"/>
      <c r="L8404" s="26"/>
      <c r="M8404" s="26"/>
      <c r="N8404" s="26"/>
      <c r="O8404" s="14" t="str">
        <f>HYPERLINK("https://otsuka-europe-crm.veevavault.com/ui/#object/email_activity__v/V8C00000004G392", "EN-002110444")</f>
        <v>EN-002110444</v>
      </c>
    </row>
    <row r="8405" spans="1:15" ht="16" x14ac:dyDescent="0.2">
      <c r="A8405" s="19"/>
      <c r="B8405" s="19"/>
      <c r="C8405" s="19"/>
      <c r="D8405" s="19"/>
      <c r="E8405" s="19"/>
      <c r="F8405" s="19"/>
      <c r="G8405" s="19"/>
      <c r="H8405" s="19"/>
      <c r="I8405" s="19"/>
      <c r="J8405" s="19"/>
      <c r="K8405" s="19"/>
      <c r="L8405" s="19"/>
      <c r="M8405" s="19"/>
      <c r="N8405" s="19"/>
      <c r="O8405" s="14" t="str">
        <f>HYPERLINK("https://otsuka-europe-crm.veevavault.com/ui/#object/email_activity__v/V8C00000004G393", "EN-002110445")</f>
        <v>EN-002110445</v>
      </c>
    </row>
    <row r="8406" spans="1:15" ht="32" x14ac:dyDescent="0.2">
      <c r="A8406" s="7" t="str">
        <f>HYPERLINK("https://otsuka-europe-crm.veevavault.com/ui/#object/account__v/V4TZ06G6O71T87T", "ESTER LOPEZ FERNANDEZ")</f>
        <v>ESTER LOPEZ FERNANDEZ</v>
      </c>
      <c r="B8406" s="7" t="str">
        <f>HYPERLINK("https://otsuka-europe-crm.veevavault.com/ui/#object/vcountry__v/VENZ000004SONF5", "ES")</f>
        <v>ES</v>
      </c>
      <c r="C8406" s="8" t="s">
        <v>39</v>
      </c>
      <c r="D8406" s="9" t="str">
        <f>HYPERLINK("https://otsuka-europe-crm.veevavault.com/ui/#object/approved_document__v/V5O000000006001", "RXULTI - Comparativa antipsicóticos")</f>
        <v>RXULTI - Comparativa antipsicóticos</v>
      </c>
      <c r="E8406" s="10" t="str">
        <f>HYPERLINK("https://otsuka-europe-crm.veevavault.com/ui/#object/sent_email__v/VBL00000003H119", "SE-001448434")</f>
        <v>SE-001448434</v>
      </c>
      <c r="F8406" s="11"/>
      <c r="G8406" s="12">
        <v>0</v>
      </c>
      <c r="H8406" s="12">
        <v>0</v>
      </c>
      <c r="I8406" s="12">
        <v>0</v>
      </c>
      <c r="J8406" s="11"/>
      <c r="K8406" s="12">
        <v>0</v>
      </c>
      <c r="L8406" s="10" t="str">
        <f>HYPERLINK("https://otsuka-europe-crm.veevavault.com/ui/#object/approved_document__v/V5O000000006001", "RXULTI - Comparativa antipsicóticos")</f>
        <v>RXULTI - Comparativa antipsicóticos</v>
      </c>
      <c r="M8406" s="10" t="str">
        <f>HYPERLINK("mailto:jvillalain@crm.otsuka-europe.com", "jvillalain@crm.otsuka-europe.com")</f>
        <v>jvillalain@crm.otsuka-europe.com</v>
      </c>
      <c r="N8406" s="13">
        <v>46234.366354166668</v>
      </c>
      <c r="O8406" s="14" t="str">
        <f>HYPERLINK("https://otsuka-europe-crm.veevavault.com/ui/#object/email_activity__v/V8C00000004G111", "EN-002109983")</f>
        <v>EN-002109983</v>
      </c>
    </row>
    <row r="8407" spans="1:15" ht="16" x14ac:dyDescent="0.2">
      <c r="A8407" s="18" t="str">
        <f>HYPERLINK("https://otsuka-europe-crm.veevavault.com/ui/#object/account__v/V4TZ06G6O71TBZ5", "ANGEL ROYUELA RICO")</f>
        <v>ANGEL ROYUELA RICO</v>
      </c>
      <c r="B8407" s="18" t="str">
        <f>HYPERLINK("https://otsuka-europe-crm.veevavault.com/ui/#object/vcountry__v/VENZ000004SONF5", "ES")</f>
        <v>ES</v>
      </c>
      <c r="C8407" s="20" t="s">
        <v>39</v>
      </c>
      <c r="D8407" s="21" t="str">
        <f>HYPERLINK("https://otsuka-europe-crm.veevavault.com/ui/#object/approved_document__v/V5O000000006001", "RXULTI - Comparativa antipsicóticos")</f>
        <v>RXULTI - Comparativa antipsicóticos</v>
      </c>
      <c r="E8407" s="22" t="str">
        <f>HYPERLINK("https://otsuka-europe-crm.veevavault.com/ui/#object/sent_email__v/VBL00000003H120", "SE-001448435")</f>
        <v>SE-001448435</v>
      </c>
      <c r="F8407" s="25">
        <v>46234.740717592591</v>
      </c>
      <c r="G8407" s="24">
        <v>1</v>
      </c>
      <c r="H8407" s="24">
        <v>2</v>
      </c>
      <c r="I8407" s="24">
        <v>1</v>
      </c>
      <c r="J8407" s="25">
        <v>46234.740937499999</v>
      </c>
      <c r="K8407" s="24">
        <v>2</v>
      </c>
      <c r="L8407" s="22" t="str">
        <f>HYPERLINK("https://otsuka-europe-crm.veevavault.com/ui/#object/approved_document__v/V5O000000006001", "RXULTI - Comparativa antipsicóticos")</f>
        <v>RXULTI - Comparativa antipsicóticos</v>
      </c>
      <c r="M8407" s="22" t="str">
        <f>HYPERLINK("mailto:jvillalain@crm.otsuka-europe.com", "jvillalain@crm.otsuka-europe.com")</f>
        <v>jvillalain@crm.otsuka-europe.com</v>
      </c>
      <c r="N8407" s="25">
        <v>46234.366319444445</v>
      </c>
      <c r="O8407" s="14" t="str">
        <f>HYPERLINK("https://otsuka-europe-crm.veevavault.com/ui/#object/email_activity__v/V8C00000004F100", "EN-002110006")</f>
        <v>EN-002110006</v>
      </c>
    </row>
    <row r="8408" spans="1:15" ht="16" x14ac:dyDescent="0.2">
      <c r="A8408" s="26"/>
      <c r="B8408" s="26"/>
      <c r="C8408" s="26"/>
      <c r="D8408" s="26"/>
      <c r="E8408" s="26"/>
      <c r="F8408" s="26"/>
      <c r="G8408" s="26"/>
      <c r="H8408" s="26"/>
      <c r="I8408" s="26"/>
      <c r="J8408" s="26"/>
      <c r="K8408" s="26"/>
      <c r="L8408" s="26"/>
      <c r="M8408" s="26"/>
      <c r="N8408" s="26"/>
      <c r="O8408" s="14" t="str">
        <f>HYPERLINK("https://otsuka-europe-crm.veevavault.com/ui/#object/email_activity__v/V8C00000004F457", "EN-002110862")</f>
        <v>EN-002110862</v>
      </c>
    </row>
    <row r="8409" spans="1:15" ht="16" x14ac:dyDescent="0.2">
      <c r="A8409" s="26"/>
      <c r="B8409" s="26"/>
      <c r="C8409" s="26"/>
      <c r="D8409" s="26"/>
      <c r="E8409" s="26"/>
      <c r="F8409" s="26"/>
      <c r="G8409" s="26"/>
      <c r="H8409" s="26"/>
      <c r="I8409" s="26"/>
      <c r="J8409" s="26"/>
      <c r="K8409" s="26"/>
      <c r="L8409" s="26"/>
      <c r="M8409" s="26"/>
      <c r="N8409" s="26"/>
      <c r="O8409" s="14" t="str">
        <f>HYPERLINK("https://otsuka-europe-crm.veevavault.com/ui/#object/email_activity__v/V8C00000004F458", "EN-002110863")</f>
        <v>EN-002110863</v>
      </c>
    </row>
    <row r="8410" spans="1:15" ht="16" x14ac:dyDescent="0.2">
      <c r="A8410" s="26"/>
      <c r="B8410" s="26"/>
      <c r="C8410" s="26"/>
      <c r="D8410" s="26"/>
      <c r="E8410" s="26"/>
      <c r="F8410" s="26"/>
      <c r="G8410" s="26"/>
      <c r="H8410" s="26"/>
      <c r="I8410" s="26"/>
      <c r="J8410" s="26"/>
      <c r="K8410" s="26"/>
      <c r="L8410" s="26"/>
      <c r="M8410" s="26"/>
      <c r="N8410" s="26"/>
      <c r="O8410" s="14" t="str">
        <f>HYPERLINK("https://otsuka-europe-crm.veevavault.com/ui/#object/email_activity__v/V8C00000004F459", "EN-002110864")</f>
        <v>EN-002110864</v>
      </c>
    </row>
    <row r="8411" spans="1:15" ht="16" x14ac:dyDescent="0.2">
      <c r="A8411" s="26"/>
      <c r="B8411" s="26"/>
      <c r="C8411" s="26"/>
      <c r="D8411" s="26"/>
      <c r="E8411" s="26"/>
      <c r="F8411" s="26"/>
      <c r="G8411" s="26"/>
      <c r="H8411" s="26"/>
      <c r="I8411" s="26"/>
      <c r="J8411" s="26"/>
      <c r="K8411" s="26"/>
      <c r="L8411" s="26"/>
      <c r="M8411" s="26"/>
      <c r="N8411" s="26"/>
      <c r="O8411" s="14" t="str">
        <f>HYPERLINK("https://otsuka-europe-crm.veevavault.com/ui/#object/email_activity__v/V8C00000004F462", "EN-002110870")</f>
        <v>EN-002110870</v>
      </c>
    </row>
    <row r="8412" spans="1:15" ht="16" x14ac:dyDescent="0.2">
      <c r="A8412" s="26"/>
      <c r="B8412" s="26"/>
      <c r="C8412" s="26"/>
      <c r="D8412" s="26"/>
      <c r="E8412" s="26"/>
      <c r="F8412" s="26"/>
      <c r="G8412" s="26"/>
      <c r="H8412" s="26"/>
      <c r="I8412" s="26"/>
      <c r="J8412" s="26"/>
      <c r="K8412" s="26"/>
      <c r="L8412" s="26"/>
      <c r="M8412" s="26"/>
      <c r="N8412" s="26"/>
      <c r="O8412" s="14" t="str">
        <f>HYPERLINK("https://otsuka-europe-crm.veevavault.com/ui/#object/email_activity__v/V8C00000004F463", "EN-002110871")</f>
        <v>EN-002110871</v>
      </c>
    </row>
    <row r="8413" spans="1:15" ht="16" x14ac:dyDescent="0.2">
      <c r="A8413" s="26"/>
      <c r="B8413" s="26"/>
      <c r="C8413" s="26"/>
      <c r="D8413" s="26"/>
      <c r="E8413" s="26"/>
      <c r="F8413" s="26"/>
      <c r="G8413" s="26"/>
      <c r="H8413" s="26"/>
      <c r="I8413" s="26"/>
      <c r="J8413" s="26"/>
      <c r="K8413" s="26"/>
      <c r="L8413" s="26"/>
      <c r="M8413" s="26"/>
      <c r="N8413" s="26"/>
      <c r="O8413" s="14" t="str">
        <f>HYPERLINK("https://otsuka-europe-crm.veevavault.com/ui/#object/email_activity__v/V8C00000004G624", "EN-002110865")</f>
        <v>EN-002110865</v>
      </c>
    </row>
    <row r="8414" spans="1:15" ht="16" x14ac:dyDescent="0.2">
      <c r="A8414" s="19"/>
      <c r="B8414" s="19"/>
      <c r="C8414" s="19"/>
      <c r="D8414" s="19"/>
      <c r="E8414" s="19"/>
      <c r="F8414" s="19"/>
      <c r="G8414" s="19"/>
      <c r="H8414" s="19"/>
      <c r="I8414" s="19"/>
      <c r="J8414" s="19"/>
      <c r="K8414" s="19"/>
      <c r="L8414" s="19"/>
      <c r="M8414" s="19"/>
      <c r="N8414" s="19"/>
      <c r="O8414" s="14" t="str">
        <f>HYPERLINK("https://otsuka-europe-crm.veevavault.com/ui/#object/email_activity__v/V8C00000004I168", "EN-002111352")</f>
        <v>EN-002111352</v>
      </c>
    </row>
    <row r="8415" spans="1:15" ht="16" x14ac:dyDescent="0.2">
      <c r="A8415" s="18" t="str">
        <f>HYPERLINK("https://otsuka-europe-crm.veevavault.com/ui/#object/account__v/V4TZ06G6O71T8ZA", "PALOMA ALONSO QUINTANILLA")</f>
        <v>PALOMA ALONSO QUINTANILLA</v>
      </c>
      <c r="B8415" s="18" t="str">
        <f>HYPERLINK("https://otsuka-europe-crm.veevavault.com/ui/#object/vcountry__v/VENZ000004SONF5", "ES")</f>
        <v>ES</v>
      </c>
      <c r="C8415" s="20" t="s">
        <v>39</v>
      </c>
      <c r="D8415" s="21" t="str">
        <f>HYPERLINK("https://otsuka-europe-crm.veevavault.com/ui/#object/approved_document__v/V5O000000006001", "RXULTI - Comparativa antipsicóticos")</f>
        <v>RXULTI - Comparativa antipsicóticos</v>
      </c>
      <c r="E8415" s="22" t="str">
        <f>HYPERLINK("https://otsuka-europe-crm.veevavault.com/ui/#object/sent_email__v/VBL00000003H121", "SE-001448436")</f>
        <v>SE-001448436</v>
      </c>
      <c r="F8415" s="25">
        <v>46234.37358796296</v>
      </c>
      <c r="G8415" s="24">
        <v>1</v>
      </c>
      <c r="H8415" s="24">
        <v>1</v>
      </c>
      <c r="I8415" s="24">
        <v>0</v>
      </c>
      <c r="J8415" s="23"/>
      <c r="K8415" s="24">
        <v>0</v>
      </c>
      <c r="L8415" s="22" t="str">
        <f>HYPERLINK("https://otsuka-europe-crm.veevavault.com/ui/#object/approved_document__v/V5O000000006001", "RXULTI - Comparativa antipsicóticos")</f>
        <v>RXULTI - Comparativa antipsicóticos</v>
      </c>
      <c r="M8415" s="22" t="str">
        <f>HYPERLINK("mailto:jvillalain@crm.otsuka-europe.com", "jvillalain@crm.otsuka-europe.com")</f>
        <v>jvillalain@crm.otsuka-europe.com</v>
      </c>
      <c r="N8415" s="25">
        <v>46234.366342592592</v>
      </c>
      <c r="O8415" s="14" t="str">
        <f>HYPERLINK("https://otsuka-europe-crm.veevavault.com/ui/#object/email_activity__v/V8C00000004F085", "EN-002109977")</f>
        <v>EN-002109977</v>
      </c>
    </row>
    <row r="8416" spans="1:15" ht="16" x14ac:dyDescent="0.2">
      <c r="A8416" s="19"/>
      <c r="B8416" s="19"/>
      <c r="C8416" s="19"/>
      <c r="D8416" s="19"/>
      <c r="E8416" s="19"/>
      <c r="F8416" s="19"/>
      <c r="G8416" s="19"/>
      <c r="H8416" s="19"/>
      <c r="I8416" s="19"/>
      <c r="J8416" s="19"/>
      <c r="K8416" s="19"/>
      <c r="L8416" s="19"/>
      <c r="M8416" s="19"/>
      <c r="N8416" s="19"/>
      <c r="O8416" s="14" t="str">
        <f>HYPERLINK("https://otsuka-europe-crm.veevavault.com/ui/#object/email_activity__v/V8C00000004F115", "EN-002110047")</f>
        <v>EN-002110047</v>
      </c>
    </row>
    <row r="8417" spans="1:15" ht="16" x14ac:dyDescent="0.2">
      <c r="A8417" s="18" t="str">
        <f>HYPERLINK("https://otsuka-europe-crm.veevavault.com/ui/#object/account__v/V4TZ06G6O71T7MY", "BATIRTZE GOITIA ARITXA")</f>
        <v>BATIRTZE GOITIA ARITXA</v>
      </c>
      <c r="B8417" s="18" t="str">
        <f>HYPERLINK("https://otsuka-europe-crm.veevavault.com/ui/#object/vcountry__v/VENZ000004SONF5", "ES")</f>
        <v>ES</v>
      </c>
      <c r="C8417" s="20" t="s">
        <v>39</v>
      </c>
      <c r="D8417" s="21" t="str">
        <f>HYPERLINK("https://otsuka-europe-crm.veevavault.com/ui/#object/approved_document__v/V5O000000006001", "RXULTI - Comparativa antipsicóticos")</f>
        <v>RXULTI - Comparativa antipsicóticos</v>
      </c>
      <c r="E8417" s="22" t="str">
        <f>HYPERLINK("https://otsuka-europe-crm.veevavault.com/ui/#object/sent_email__v/VBL00000003H122", "SE-001448437")</f>
        <v>SE-001448437</v>
      </c>
      <c r="F8417" s="23"/>
      <c r="G8417" s="24">
        <v>0</v>
      </c>
      <c r="H8417" s="24">
        <v>0</v>
      </c>
      <c r="I8417" s="24">
        <v>0</v>
      </c>
      <c r="J8417" s="23"/>
      <c r="K8417" s="24">
        <v>0</v>
      </c>
      <c r="L8417" s="22" t="str">
        <f>HYPERLINK("https://otsuka-europe-crm.veevavault.com/ui/#object/approved_document__v/V5O000000006001", "RXULTI - Comparativa antipsicóticos")</f>
        <v>RXULTI - Comparativa antipsicóticos</v>
      </c>
      <c r="M8417" s="22" t="str">
        <f>HYPERLINK("mailto:jvillalain@crm.otsuka-europe.com", "jvillalain@crm.otsuka-europe.com")</f>
        <v>jvillalain@crm.otsuka-europe.com</v>
      </c>
      <c r="N8417" s="25">
        <v>46234.366319444445</v>
      </c>
      <c r="O8417" s="14" t="str">
        <f>HYPERLINK("https://otsuka-europe-crm.veevavault.com/ui/#object/email_activity__v/V8C00000004F066", "EN-002109938")</f>
        <v>EN-002109938</v>
      </c>
    </row>
    <row r="8418" spans="1:15" ht="16" x14ac:dyDescent="0.2">
      <c r="A8418" s="19"/>
      <c r="B8418" s="19"/>
      <c r="C8418" s="19"/>
      <c r="D8418" s="19"/>
      <c r="E8418" s="19"/>
      <c r="F8418" s="19"/>
      <c r="G8418" s="19"/>
      <c r="H8418" s="19"/>
      <c r="I8418" s="19"/>
      <c r="J8418" s="19"/>
      <c r="K8418" s="19"/>
      <c r="L8418" s="19"/>
      <c r="M8418" s="19"/>
      <c r="N8418" s="19"/>
      <c r="O8418" s="14" t="str">
        <f>HYPERLINK("https://otsuka-europe-crm.veevavault.com/ui/#object/email_activity__v/V8C00000004F134", "EN-002110071")</f>
        <v>EN-002110071</v>
      </c>
    </row>
    <row r="8419" spans="1:15" ht="16" x14ac:dyDescent="0.2">
      <c r="A8419" s="18" t="str">
        <f>HYPERLINK("https://otsuka-europe-crm.veevavault.com/ui/#object/account__v/V4TZ06G6O71TBE9", "MIGUEL ANGEL ORTEGA ESTEBAN")</f>
        <v>MIGUEL ANGEL ORTEGA ESTEBAN</v>
      </c>
      <c r="B8419" s="18" t="str">
        <f>HYPERLINK("https://otsuka-europe-crm.veevavault.com/ui/#object/vcountry__v/VENZ000004SONF5", "ES")</f>
        <v>ES</v>
      </c>
      <c r="C8419" s="20" t="s">
        <v>39</v>
      </c>
      <c r="D8419" s="21" t="str">
        <f>HYPERLINK("https://otsuka-europe-crm.veevavault.com/ui/#object/approved_document__v/V5O000000006001", "RXULTI - Comparativa antipsicóticos")</f>
        <v>RXULTI - Comparativa antipsicóticos</v>
      </c>
      <c r="E8419" s="22" t="str">
        <f>HYPERLINK("https://otsuka-europe-crm.veevavault.com/ui/#object/sent_email__v/VBL00000003H123", "SE-001448438")</f>
        <v>SE-001448438</v>
      </c>
      <c r="F8419" s="25">
        <v>46234.631805555553</v>
      </c>
      <c r="G8419" s="24">
        <v>1</v>
      </c>
      <c r="H8419" s="24">
        <v>5</v>
      </c>
      <c r="I8419" s="24">
        <v>0</v>
      </c>
      <c r="J8419" s="23"/>
      <c r="K8419" s="24">
        <v>0</v>
      </c>
      <c r="L8419" s="22" t="str">
        <f>HYPERLINK("https://otsuka-europe-crm.veevavault.com/ui/#object/approved_document__v/V5O000000006001", "RXULTI - Comparativa antipsicóticos")</f>
        <v>RXULTI - Comparativa antipsicóticos</v>
      </c>
      <c r="M8419" s="22" t="str">
        <f>HYPERLINK("mailto:jvillalain@crm.otsuka-europe.com", "jvillalain@crm.otsuka-europe.com")</f>
        <v>jvillalain@crm.otsuka-europe.com</v>
      </c>
      <c r="N8419" s="25">
        <v>46234.366319444445</v>
      </c>
      <c r="O8419" s="14" t="str">
        <f>HYPERLINK("https://otsuka-europe-crm.veevavault.com/ui/#object/email_activity__v/V8C00000004F096", "EN-002109996")</f>
        <v>EN-002109996</v>
      </c>
    </row>
    <row r="8420" spans="1:15" ht="16" x14ac:dyDescent="0.2">
      <c r="A8420" s="26"/>
      <c r="B8420" s="26"/>
      <c r="C8420" s="26"/>
      <c r="D8420" s="26"/>
      <c r="E8420" s="26"/>
      <c r="F8420" s="26"/>
      <c r="G8420" s="26"/>
      <c r="H8420" s="26"/>
      <c r="I8420" s="26"/>
      <c r="J8420" s="26"/>
      <c r="K8420" s="26"/>
      <c r="L8420" s="26"/>
      <c r="M8420" s="26"/>
      <c r="N8420" s="26"/>
      <c r="O8420" s="14" t="str">
        <f>HYPERLINK("https://otsuka-europe-crm.veevavault.com/ui/#object/email_activity__v/V8C00000004F117", "EN-002110053")</f>
        <v>EN-002110053</v>
      </c>
    </row>
    <row r="8421" spans="1:15" ht="16" x14ac:dyDescent="0.2">
      <c r="A8421" s="26"/>
      <c r="B8421" s="26"/>
      <c r="C8421" s="26"/>
      <c r="D8421" s="26"/>
      <c r="E8421" s="26"/>
      <c r="F8421" s="26"/>
      <c r="G8421" s="26"/>
      <c r="H8421" s="26"/>
      <c r="I8421" s="26"/>
      <c r="J8421" s="26"/>
      <c r="K8421" s="26"/>
      <c r="L8421" s="26"/>
      <c r="M8421" s="26"/>
      <c r="N8421" s="26"/>
      <c r="O8421" s="14" t="str">
        <f>HYPERLINK("https://otsuka-europe-crm.veevavault.com/ui/#object/email_activity__v/V8C00000004F119", "EN-002110055")</f>
        <v>EN-002110055</v>
      </c>
    </row>
    <row r="8422" spans="1:15" ht="16" x14ac:dyDescent="0.2">
      <c r="A8422" s="26"/>
      <c r="B8422" s="26"/>
      <c r="C8422" s="26"/>
      <c r="D8422" s="26"/>
      <c r="E8422" s="26"/>
      <c r="F8422" s="26"/>
      <c r="G8422" s="26"/>
      <c r="H8422" s="26"/>
      <c r="I8422" s="26"/>
      <c r="J8422" s="26"/>
      <c r="K8422" s="26"/>
      <c r="L8422" s="26"/>
      <c r="M8422" s="26"/>
      <c r="N8422" s="26"/>
      <c r="O8422" s="14" t="str">
        <f>HYPERLINK("https://otsuka-europe-crm.veevavault.com/ui/#object/email_activity__v/V8C00000004F172", "EN-002110149")</f>
        <v>EN-002110149</v>
      </c>
    </row>
    <row r="8423" spans="1:15" ht="16" x14ac:dyDescent="0.2">
      <c r="A8423" s="26"/>
      <c r="B8423" s="26"/>
      <c r="C8423" s="26"/>
      <c r="D8423" s="26"/>
      <c r="E8423" s="26"/>
      <c r="F8423" s="26"/>
      <c r="G8423" s="26"/>
      <c r="H8423" s="26"/>
      <c r="I8423" s="26"/>
      <c r="J8423" s="26"/>
      <c r="K8423" s="26"/>
      <c r="L8423" s="26"/>
      <c r="M8423" s="26"/>
      <c r="N8423" s="26"/>
      <c r="O8423" s="14" t="str">
        <f>HYPERLINK("https://otsuka-europe-crm.veevavault.com/ui/#object/email_activity__v/V8C00000004F407", "EN-002110789")</f>
        <v>EN-002110789</v>
      </c>
    </row>
    <row r="8424" spans="1:15" ht="16" x14ac:dyDescent="0.2">
      <c r="A8424" s="19"/>
      <c r="B8424" s="19"/>
      <c r="C8424" s="19"/>
      <c r="D8424" s="19"/>
      <c r="E8424" s="19"/>
      <c r="F8424" s="19"/>
      <c r="G8424" s="19"/>
      <c r="H8424" s="19"/>
      <c r="I8424" s="19"/>
      <c r="J8424" s="19"/>
      <c r="K8424" s="19"/>
      <c r="L8424" s="19"/>
      <c r="M8424" s="19"/>
      <c r="N8424" s="19"/>
      <c r="O8424" s="14" t="str">
        <f>HYPERLINK("https://otsuka-europe-crm.veevavault.com/ui/#object/email_activity__v/V8C00000004G192", "EN-002110150")</f>
        <v>EN-002110150</v>
      </c>
    </row>
    <row r="8425" spans="1:15" ht="16" x14ac:dyDescent="0.2">
      <c r="A8425" s="18" t="str">
        <f>HYPERLINK("https://otsuka-europe-crm.veevavault.com/ui/#object/account__v/V4TZ06G6O8AHUVF", "FRANCISCO JAVIER DOMINGUEZ BELLOSO")</f>
        <v>FRANCISCO JAVIER DOMINGUEZ BELLOSO</v>
      </c>
      <c r="B8425" s="18" t="str">
        <f>HYPERLINK("https://otsuka-europe-crm.veevavault.com/ui/#object/vcountry__v/VENZ000004SONF5", "ES")</f>
        <v>ES</v>
      </c>
      <c r="C8425" s="20" t="s">
        <v>39</v>
      </c>
      <c r="D8425" s="21" t="str">
        <f>HYPERLINK("https://otsuka-europe-crm.veevavault.com/ui/#object/approved_document__v/V5O000000006001", "RXULTI - Comparativa antipsicóticos")</f>
        <v>RXULTI - Comparativa antipsicóticos</v>
      </c>
      <c r="E8425" s="22" t="str">
        <f>HYPERLINK("https://otsuka-europe-crm.veevavault.com/ui/#object/sent_email__v/VBL00000003H124", "SE-001448439")</f>
        <v>SE-001448439</v>
      </c>
      <c r="F8425" s="25">
        <v>46235.853518518517</v>
      </c>
      <c r="G8425" s="24">
        <v>1</v>
      </c>
      <c r="H8425" s="24">
        <v>1</v>
      </c>
      <c r="I8425" s="24">
        <v>1</v>
      </c>
      <c r="J8425" s="25">
        <v>46235.854108796295</v>
      </c>
      <c r="K8425" s="24">
        <v>3</v>
      </c>
      <c r="L8425" s="22" t="str">
        <f>HYPERLINK("https://otsuka-europe-crm.veevavault.com/ui/#object/approved_document__v/V5O000000006001", "RXULTI - Comparativa antipsicóticos")</f>
        <v>RXULTI - Comparativa antipsicóticos</v>
      </c>
      <c r="M8425" s="22" t="str">
        <f>HYPERLINK("mailto:jvillalain@crm.otsuka-europe.com", "jvillalain@crm.otsuka-europe.com")</f>
        <v>jvillalain@crm.otsuka-europe.com</v>
      </c>
      <c r="N8425" s="25">
        <v>46234.366319444445</v>
      </c>
      <c r="O8425" s="14" t="str">
        <f>HYPERLINK("https://otsuka-europe-crm.veevavault.com/ui/#object/email_activity__v/V8C00000004G081", "EN-002109931")</f>
        <v>EN-002109931</v>
      </c>
    </row>
    <row r="8426" spans="1:15" ht="16" x14ac:dyDescent="0.2">
      <c r="A8426" s="26"/>
      <c r="B8426" s="26"/>
      <c r="C8426" s="26"/>
      <c r="D8426" s="26"/>
      <c r="E8426" s="26"/>
      <c r="F8426" s="26"/>
      <c r="G8426" s="26"/>
      <c r="H8426" s="26"/>
      <c r="I8426" s="26"/>
      <c r="J8426" s="26"/>
      <c r="K8426" s="26"/>
      <c r="L8426" s="26"/>
      <c r="M8426" s="26"/>
      <c r="N8426" s="26"/>
      <c r="O8426" s="14" t="str">
        <f>HYPERLINK("https://otsuka-europe-crm.veevavault.com/ui/#object/email_activity__v/V8C00000004H074", "EN-002111070")</f>
        <v>EN-002111070</v>
      </c>
    </row>
    <row r="8427" spans="1:15" ht="16" x14ac:dyDescent="0.2">
      <c r="A8427" s="26"/>
      <c r="B8427" s="26"/>
      <c r="C8427" s="26"/>
      <c r="D8427" s="26"/>
      <c r="E8427" s="26"/>
      <c r="F8427" s="26"/>
      <c r="G8427" s="26"/>
      <c r="H8427" s="26"/>
      <c r="I8427" s="26"/>
      <c r="J8427" s="26"/>
      <c r="K8427" s="26"/>
      <c r="L8427" s="26"/>
      <c r="M8427" s="26"/>
      <c r="N8427" s="26"/>
      <c r="O8427" s="14" t="str">
        <f>HYPERLINK("https://otsuka-europe-crm.veevavault.com/ui/#object/email_activity__v/V8C00000004I045", "EN-002111069")</f>
        <v>EN-002111069</v>
      </c>
    </row>
    <row r="8428" spans="1:15" ht="16" x14ac:dyDescent="0.2">
      <c r="A8428" s="26"/>
      <c r="B8428" s="26"/>
      <c r="C8428" s="26"/>
      <c r="D8428" s="26"/>
      <c r="E8428" s="26"/>
      <c r="F8428" s="26"/>
      <c r="G8428" s="26"/>
      <c r="H8428" s="26"/>
      <c r="I8428" s="26"/>
      <c r="J8428" s="26"/>
      <c r="K8428" s="26"/>
      <c r="L8428" s="26"/>
      <c r="M8428" s="26"/>
      <c r="N8428" s="26"/>
      <c r="O8428" s="14" t="str">
        <f>HYPERLINK("https://otsuka-europe-crm.veevavault.com/ui/#object/email_activity__v/V8C00000004I046", "EN-002111068")</f>
        <v>EN-002111068</v>
      </c>
    </row>
    <row r="8429" spans="1:15" ht="16" x14ac:dyDescent="0.2">
      <c r="A8429" s="26"/>
      <c r="B8429" s="26"/>
      <c r="C8429" s="26"/>
      <c r="D8429" s="26"/>
      <c r="E8429" s="26"/>
      <c r="F8429" s="26"/>
      <c r="G8429" s="26"/>
      <c r="H8429" s="26"/>
      <c r="I8429" s="26"/>
      <c r="J8429" s="26"/>
      <c r="K8429" s="26"/>
      <c r="L8429" s="26"/>
      <c r="M8429" s="26"/>
      <c r="N8429" s="26"/>
      <c r="O8429" s="14" t="str">
        <f>HYPERLINK("https://otsuka-europe-crm.veevavault.com/ui/#object/email_activity__v/V8C00000004I047", "EN-002111071")</f>
        <v>EN-002111071</v>
      </c>
    </row>
    <row r="8430" spans="1:15" ht="16" x14ac:dyDescent="0.2">
      <c r="A8430" s="26"/>
      <c r="B8430" s="26"/>
      <c r="C8430" s="26"/>
      <c r="D8430" s="26"/>
      <c r="E8430" s="26"/>
      <c r="F8430" s="26"/>
      <c r="G8430" s="26"/>
      <c r="H8430" s="26"/>
      <c r="I8430" s="26"/>
      <c r="J8430" s="26"/>
      <c r="K8430" s="26"/>
      <c r="L8430" s="26"/>
      <c r="M8430" s="26"/>
      <c r="N8430" s="26"/>
      <c r="O8430" s="14" t="str">
        <f>HYPERLINK("https://otsuka-europe-crm.veevavault.com/ui/#object/email_activity__v/V8C00000004I048", "EN-002111072")</f>
        <v>EN-002111072</v>
      </c>
    </row>
    <row r="8431" spans="1:15" ht="16" x14ac:dyDescent="0.2">
      <c r="A8431" s="26"/>
      <c r="B8431" s="26"/>
      <c r="C8431" s="26"/>
      <c r="D8431" s="26"/>
      <c r="E8431" s="26"/>
      <c r="F8431" s="26"/>
      <c r="G8431" s="26"/>
      <c r="H8431" s="26"/>
      <c r="I8431" s="26"/>
      <c r="J8431" s="26"/>
      <c r="K8431" s="26"/>
      <c r="L8431" s="26"/>
      <c r="M8431" s="26"/>
      <c r="N8431" s="26"/>
      <c r="O8431" s="14" t="str">
        <f>HYPERLINK("https://otsuka-europe-crm.veevavault.com/ui/#object/email_activity__v/V8C00000004I049", "EN-002111073")</f>
        <v>EN-002111073</v>
      </c>
    </row>
    <row r="8432" spans="1:15" ht="16" x14ac:dyDescent="0.2">
      <c r="A8432" s="26"/>
      <c r="B8432" s="26"/>
      <c r="C8432" s="26"/>
      <c r="D8432" s="26"/>
      <c r="E8432" s="26"/>
      <c r="F8432" s="26"/>
      <c r="G8432" s="26"/>
      <c r="H8432" s="26"/>
      <c r="I8432" s="26"/>
      <c r="J8432" s="26"/>
      <c r="K8432" s="26"/>
      <c r="L8432" s="26"/>
      <c r="M8432" s="26"/>
      <c r="N8432" s="26"/>
      <c r="O8432" s="14" t="str">
        <f>HYPERLINK("https://otsuka-europe-crm.veevavault.com/ui/#object/email_activity__v/V8C00000004I050", "EN-002111074")</f>
        <v>EN-002111074</v>
      </c>
    </row>
    <row r="8433" spans="1:15" ht="16" x14ac:dyDescent="0.2">
      <c r="A8433" s="26"/>
      <c r="B8433" s="26"/>
      <c r="C8433" s="26"/>
      <c r="D8433" s="26"/>
      <c r="E8433" s="26"/>
      <c r="F8433" s="26"/>
      <c r="G8433" s="26"/>
      <c r="H8433" s="26"/>
      <c r="I8433" s="26"/>
      <c r="J8433" s="26"/>
      <c r="K8433" s="26"/>
      <c r="L8433" s="26"/>
      <c r="M8433" s="26"/>
      <c r="N8433" s="26"/>
      <c r="O8433" s="14" t="str">
        <f>HYPERLINK("https://otsuka-europe-crm.veevavault.com/ui/#object/email_activity__v/V8C00000004I051", "EN-002111075")</f>
        <v>EN-002111075</v>
      </c>
    </row>
    <row r="8434" spans="1:15" ht="16" x14ac:dyDescent="0.2">
      <c r="A8434" s="19"/>
      <c r="B8434" s="19"/>
      <c r="C8434" s="19"/>
      <c r="D8434" s="19"/>
      <c r="E8434" s="19"/>
      <c r="F8434" s="19"/>
      <c r="G8434" s="19"/>
      <c r="H8434" s="19"/>
      <c r="I8434" s="19"/>
      <c r="J8434" s="19"/>
      <c r="K8434" s="19"/>
      <c r="L8434" s="19"/>
      <c r="M8434" s="19"/>
      <c r="N8434" s="19"/>
      <c r="O8434" s="14" t="str">
        <f>HYPERLINK("https://otsuka-europe-crm.veevavault.com/ui/#object/email_activity__v/V8C00000004I052", "EN-002111076")</f>
        <v>EN-002111076</v>
      </c>
    </row>
    <row r="8435" spans="1:15" ht="16" x14ac:dyDescent="0.2">
      <c r="A8435" s="18" t="str">
        <f>HYPERLINK("https://otsuka-europe-crm.veevavault.com/ui/#object/account__v/V4TZ06G6O71TBIL", "RUBEN HORTIGUELA ARROYO")</f>
        <v>RUBEN HORTIGUELA ARROYO</v>
      </c>
      <c r="B8435" s="18" t="str">
        <f>HYPERLINK("https://otsuka-europe-crm.veevavault.com/ui/#object/vcountry__v/VENZ000004SONF5", "ES")</f>
        <v>ES</v>
      </c>
      <c r="C8435" s="20" t="s">
        <v>39</v>
      </c>
      <c r="D8435" s="21" t="str">
        <f>HYPERLINK("https://otsuka-europe-crm.veevavault.com/ui/#object/approved_document__v/V5O000000006001", "RXULTI - Comparativa antipsicóticos")</f>
        <v>RXULTI - Comparativa antipsicóticos</v>
      </c>
      <c r="E8435" s="22" t="str">
        <f>HYPERLINK("https://otsuka-europe-crm.veevavault.com/ui/#object/sent_email__v/VBL00000003H125", "SE-001448440")</f>
        <v>SE-001448440</v>
      </c>
      <c r="F8435" s="25">
        <v>46234.758449074077</v>
      </c>
      <c r="G8435" s="24">
        <v>1</v>
      </c>
      <c r="H8435" s="24">
        <v>1</v>
      </c>
      <c r="I8435" s="24">
        <v>0</v>
      </c>
      <c r="J8435" s="23"/>
      <c r="K8435" s="24">
        <v>0</v>
      </c>
      <c r="L8435" s="22" t="str">
        <f>HYPERLINK("https://otsuka-europe-crm.veevavault.com/ui/#object/approved_document__v/V5O000000006001", "RXULTI - Comparativa antipsicóticos")</f>
        <v>RXULTI - Comparativa antipsicóticos</v>
      </c>
      <c r="M8435" s="22" t="str">
        <f>HYPERLINK("mailto:jvillalain@crm.otsuka-europe.com", "jvillalain@crm.otsuka-europe.com")</f>
        <v>jvillalain@crm.otsuka-europe.com</v>
      </c>
      <c r="N8435" s="25">
        <v>46234.366319444445</v>
      </c>
      <c r="O8435" s="14" t="str">
        <f>HYPERLINK("https://otsuka-europe-crm.veevavault.com/ui/#object/email_activity__v/V8C00000004G137", "EN-002110025")</f>
        <v>EN-002110025</v>
      </c>
    </row>
    <row r="8436" spans="1:15" ht="16" x14ac:dyDescent="0.2">
      <c r="A8436" s="19"/>
      <c r="B8436" s="19"/>
      <c r="C8436" s="19"/>
      <c r="D8436" s="19"/>
      <c r="E8436" s="19"/>
      <c r="F8436" s="19"/>
      <c r="G8436" s="19"/>
      <c r="H8436" s="19"/>
      <c r="I8436" s="19"/>
      <c r="J8436" s="19"/>
      <c r="K8436" s="19"/>
      <c r="L8436" s="19"/>
      <c r="M8436" s="19"/>
      <c r="N8436" s="19"/>
      <c r="O8436" s="14" t="str">
        <f>HYPERLINK("https://otsuka-europe-crm.veevavault.com/ui/#object/email_activity__v/V8C00000004G627", "EN-002110872")</f>
        <v>EN-002110872</v>
      </c>
    </row>
    <row r="8437" spans="1:15" ht="32" x14ac:dyDescent="0.2">
      <c r="A8437" s="7" t="str">
        <f>HYPERLINK("https://otsuka-europe-crm.veevavault.com/ui/#object/account__v/V4TZ06G6O71T76H", "RICARDO GALLARDO PONCE")</f>
        <v>RICARDO GALLARDO PONCE</v>
      </c>
      <c r="B8437" s="7" t="str">
        <f>HYPERLINK("https://otsuka-europe-crm.veevavault.com/ui/#object/vcountry__v/VENZ000004SONF5", "ES")</f>
        <v>ES</v>
      </c>
      <c r="C8437" s="8" t="s">
        <v>39</v>
      </c>
      <c r="D8437" s="9" t="str">
        <f>HYPERLINK("https://otsuka-europe-crm.veevavault.com/ui/#object/approved_document__v/V5O000000006001", "RXULTI - Comparativa antipsicóticos")</f>
        <v>RXULTI - Comparativa antipsicóticos</v>
      </c>
      <c r="E8437" s="10" t="str">
        <f>HYPERLINK("https://otsuka-europe-crm.veevavault.com/ui/#object/sent_email__v/VBL00000003H126", "SE-001448441")</f>
        <v>SE-001448441</v>
      </c>
      <c r="F8437" s="11"/>
      <c r="G8437" s="12">
        <v>0</v>
      </c>
      <c r="H8437" s="12">
        <v>0</v>
      </c>
      <c r="I8437" s="12">
        <v>0</v>
      </c>
      <c r="J8437" s="11"/>
      <c r="K8437" s="12">
        <v>0</v>
      </c>
      <c r="L8437" s="10" t="str">
        <f>HYPERLINK("https://otsuka-europe-crm.veevavault.com/ui/#object/approved_document__v/V5O000000006001", "RXULTI - Comparativa antipsicóticos")</f>
        <v>RXULTI - Comparativa antipsicóticos</v>
      </c>
      <c r="M8437" s="10" t="str">
        <f>HYPERLINK("mailto:jvillalain@crm.otsuka-europe.com", "jvillalain@crm.otsuka-europe.com")</f>
        <v>jvillalain@crm.otsuka-europe.com</v>
      </c>
      <c r="N8437" s="13">
        <v>46234.366319444445</v>
      </c>
      <c r="O8437" s="14" t="str">
        <f>HYPERLINK("https://otsuka-europe-crm.veevavault.com/ui/#object/email_activity__v/V8C00000004G082", "EN-002109932")</f>
        <v>EN-002109932</v>
      </c>
    </row>
    <row r="8438" spans="1:15" ht="16" x14ac:dyDescent="0.2">
      <c r="A8438" s="18" t="str">
        <f>HYPERLINK("https://otsuka-europe-crm.veevavault.com/ui/#object/account__v/V4TZ06G6O71TASI", "MARIA LUISA LOPEZ LUCAS")</f>
        <v>MARIA LUISA LOPEZ LUCAS</v>
      </c>
      <c r="B8438" s="18" t="str">
        <f>HYPERLINK("https://otsuka-europe-crm.veevavault.com/ui/#object/vcountry__v/VENZ000004SONF5", "ES")</f>
        <v>ES</v>
      </c>
      <c r="C8438" s="20" t="s">
        <v>39</v>
      </c>
      <c r="D8438" s="21" t="str">
        <f>HYPERLINK("https://otsuka-europe-crm.veevavault.com/ui/#object/approved_document__v/V5O000000006001", "RXULTI - Comparativa antipsicóticos")</f>
        <v>RXULTI - Comparativa antipsicóticos</v>
      </c>
      <c r="E8438" s="22" t="str">
        <f>HYPERLINK("https://otsuka-europe-crm.veevavault.com/ui/#object/sent_email__v/VBL00000003H127", "SE-001448442")</f>
        <v>SE-001448442</v>
      </c>
      <c r="F8438" s="25">
        <v>46234.81181712963</v>
      </c>
      <c r="G8438" s="24">
        <v>1</v>
      </c>
      <c r="H8438" s="24">
        <v>1</v>
      </c>
      <c r="I8438" s="24">
        <v>0</v>
      </c>
      <c r="J8438" s="23"/>
      <c r="K8438" s="24">
        <v>0</v>
      </c>
      <c r="L8438" s="22" t="str">
        <f>HYPERLINK("https://otsuka-europe-crm.veevavault.com/ui/#object/approved_document__v/V5O000000006001", "RXULTI - Comparativa antipsicóticos")</f>
        <v>RXULTI - Comparativa antipsicóticos</v>
      </c>
      <c r="M8438" s="22" t="str">
        <f>HYPERLINK("mailto:jvillalain@crm.otsuka-europe.com", "jvillalain@crm.otsuka-europe.com")</f>
        <v>jvillalain@crm.otsuka-europe.com</v>
      </c>
      <c r="N8438" s="25">
        <v>46234.366319444445</v>
      </c>
      <c r="O8438" s="14" t="str">
        <f>HYPERLINK("https://otsuka-europe-crm.veevavault.com/ui/#object/email_activity__v/V8C00000004F476", "EN-002110897")</f>
        <v>EN-002110897</v>
      </c>
    </row>
    <row r="8439" spans="1:15" ht="16" x14ac:dyDescent="0.2">
      <c r="A8439" s="19"/>
      <c r="B8439" s="19"/>
      <c r="C8439" s="19"/>
      <c r="D8439" s="19"/>
      <c r="E8439" s="19"/>
      <c r="F8439" s="19"/>
      <c r="G8439" s="19"/>
      <c r="H8439" s="19"/>
      <c r="I8439" s="19"/>
      <c r="J8439" s="19"/>
      <c r="K8439" s="19"/>
      <c r="L8439" s="19"/>
      <c r="M8439" s="19"/>
      <c r="N8439" s="19"/>
      <c r="O8439" s="14" t="str">
        <f>HYPERLINK("https://otsuka-europe-crm.veevavault.com/ui/#object/email_activity__v/V8C00000004G078", "EN-002109928")</f>
        <v>EN-002109928</v>
      </c>
    </row>
    <row r="8440" spans="1:15" ht="32" x14ac:dyDescent="0.2">
      <c r="A8440" s="7" t="str">
        <f>HYPERLINK("https://otsuka-europe-crm.veevavault.com/ui/#object/account__v/V4TZ06G6O8T9OBY", "JOANA ISABEL GONÇALVES CEREJEIRA")</f>
        <v>JOANA ISABEL GONÇALVES CEREJEIRA</v>
      </c>
      <c r="B8440" s="7" t="str">
        <f>HYPERLINK("https://otsuka-europe-crm.veevavault.com/ui/#object/vcountry__v/VENZ000004SONF5", "ES")</f>
        <v>ES</v>
      </c>
      <c r="C8440" s="8" t="s">
        <v>39</v>
      </c>
      <c r="D8440" s="9" t="str">
        <f>HYPERLINK("https://otsuka-europe-crm.veevavault.com/ui/#object/approved_document__v/V5O000000006001", "RXULTI - Comparativa antipsicóticos")</f>
        <v>RXULTI - Comparativa antipsicóticos</v>
      </c>
      <c r="E8440" s="10" t="str">
        <f>HYPERLINK("https://otsuka-europe-crm.veevavault.com/ui/#object/sent_email__v/VBL00000003H128", "SE-001448443")</f>
        <v>SE-001448443</v>
      </c>
      <c r="F8440" s="11"/>
      <c r="G8440" s="12">
        <v>0</v>
      </c>
      <c r="H8440" s="12">
        <v>0</v>
      </c>
      <c r="I8440" s="12">
        <v>0</v>
      </c>
      <c r="J8440" s="11"/>
      <c r="K8440" s="12">
        <v>0</v>
      </c>
      <c r="L8440" s="10" t="str">
        <f>HYPERLINK("https://otsuka-europe-crm.veevavault.com/ui/#object/approved_document__v/V5O000000006001", "RXULTI - Comparativa antipsicóticos")</f>
        <v>RXULTI - Comparativa antipsicóticos</v>
      </c>
      <c r="M8440" s="10" t="str">
        <f>HYPERLINK("mailto:jvillalain@crm.otsuka-europe.com", "jvillalain@crm.otsuka-europe.com")</f>
        <v>jvillalain@crm.otsuka-europe.com</v>
      </c>
      <c r="N8440" s="13">
        <v>46234.366342592592</v>
      </c>
      <c r="O8440" s="14" t="str">
        <f>HYPERLINK("https://otsuka-europe-crm.veevavault.com/ui/#object/email_activity__v/V8C00000004F074", "EN-002109946")</f>
        <v>EN-002109946</v>
      </c>
    </row>
    <row r="8441" spans="1:15" ht="16" x14ac:dyDescent="0.2">
      <c r="A8441" s="18" t="str">
        <f>HYPERLINK("https://otsuka-europe-crm.veevavault.com/ui/#object/account__v/V4TZ06G6O71T9A5", "JOSE ANTONIO BLANCO GARROTE")</f>
        <v>JOSE ANTONIO BLANCO GARROTE</v>
      </c>
      <c r="B8441" s="18" t="str">
        <f>HYPERLINK("https://otsuka-europe-crm.veevavault.com/ui/#object/vcountry__v/VENZ000004SONF5", "ES")</f>
        <v>ES</v>
      </c>
      <c r="C8441" s="20" t="s">
        <v>39</v>
      </c>
      <c r="D8441" s="21" t="str">
        <f>HYPERLINK("https://otsuka-europe-crm.veevavault.com/ui/#object/approved_document__v/V5O000000006001", "RXULTI - Comparativa antipsicóticos")</f>
        <v>RXULTI - Comparativa antipsicóticos</v>
      </c>
      <c r="E8441" s="22" t="str">
        <f>HYPERLINK("https://otsuka-europe-crm.veevavault.com/ui/#object/sent_email__v/VBL00000003H129", "SE-001448444")</f>
        <v>SE-001448444</v>
      </c>
      <c r="F8441" s="23"/>
      <c r="G8441" s="24">
        <v>0</v>
      </c>
      <c r="H8441" s="24">
        <v>0</v>
      </c>
      <c r="I8441" s="24">
        <v>0</v>
      </c>
      <c r="J8441" s="23"/>
      <c r="K8441" s="24">
        <v>0</v>
      </c>
      <c r="L8441" s="22" t="str">
        <f>HYPERLINK("https://otsuka-europe-crm.veevavault.com/ui/#object/approved_document__v/V5O000000006001", "RXULTI - Comparativa antipsicóticos")</f>
        <v>RXULTI - Comparativa antipsicóticos</v>
      </c>
      <c r="M8441" s="22" t="str">
        <f>HYPERLINK("mailto:jvillalain@crm.otsuka-europe.com", "jvillalain@crm.otsuka-europe.com")</f>
        <v>jvillalain@crm.otsuka-europe.com</v>
      </c>
      <c r="N8441" s="25">
        <v>46234.366319444445</v>
      </c>
      <c r="O8441" s="14" t="str">
        <f>HYPERLINK("https://otsuka-europe-crm.veevavault.com/ui/#object/email_activity__v/V8C00000004F501", "EN-002110947")</f>
        <v>EN-002110947</v>
      </c>
    </row>
    <row r="8442" spans="1:15" ht="16" x14ac:dyDescent="0.2">
      <c r="A8442" s="19"/>
      <c r="B8442" s="19"/>
      <c r="C8442" s="19"/>
      <c r="D8442" s="19"/>
      <c r="E8442" s="19"/>
      <c r="F8442" s="19"/>
      <c r="G8442" s="19"/>
      <c r="H8442" s="19"/>
      <c r="I8442" s="19"/>
      <c r="J8442" s="19"/>
      <c r="K8442" s="19"/>
      <c r="L8442" s="19"/>
      <c r="M8442" s="19"/>
      <c r="N8442" s="19"/>
      <c r="O8442" s="14" t="str">
        <f>HYPERLINK("https://otsuka-europe-crm.veevavault.com/ui/#object/email_activity__v/V8C00000004G069", "EN-002109919")</f>
        <v>EN-002109919</v>
      </c>
    </row>
    <row r="8443" spans="1:15" ht="32" x14ac:dyDescent="0.2">
      <c r="A8443" s="7" t="str">
        <f>HYPERLINK("https://otsuka-europe-crm.veevavault.com/ui/#object/account__v/V4TZ06G6O71TCK8", "MARIA ASUNCION VELASCO ARGUELLO")</f>
        <v>MARIA ASUNCION VELASCO ARGUELLO</v>
      </c>
      <c r="B8443" s="7" t="str">
        <f>HYPERLINK("https://otsuka-europe-crm.veevavault.com/ui/#object/vcountry__v/VENZ000004SONF5", "ES")</f>
        <v>ES</v>
      </c>
      <c r="C8443" s="8" t="s">
        <v>39</v>
      </c>
      <c r="D8443" s="9" t="str">
        <f>HYPERLINK("https://otsuka-europe-crm.veevavault.com/ui/#object/approved_document__v/V5O000000006001", "RXULTI - Comparativa antipsicóticos")</f>
        <v>RXULTI - Comparativa antipsicóticos</v>
      </c>
      <c r="E8443" s="10" t="str">
        <f>HYPERLINK("https://otsuka-europe-crm.veevavault.com/ui/#object/sent_email__v/VBL00000003H130", "SE-001448445")</f>
        <v>SE-001448445</v>
      </c>
      <c r="F8443" s="11"/>
      <c r="G8443" s="12">
        <v>0</v>
      </c>
      <c r="H8443" s="12">
        <v>0</v>
      </c>
      <c r="I8443" s="12">
        <v>0</v>
      </c>
      <c r="J8443" s="11"/>
      <c r="K8443" s="12">
        <v>0</v>
      </c>
      <c r="L8443" s="10" t="str">
        <f>HYPERLINK("https://otsuka-europe-crm.veevavault.com/ui/#object/approved_document__v/V5O000000006001", "RXULTI - Comparativa antipsicóticos")</f>
        <v>RXULTI - Comparativa antipsicóticos</v>
      </c>
      <c r="M8443" s="10" t="str">
        <f>HYPERLINK("mailto:jvillalain@crm.otsuka-europe.com", "jvillalain@crm.otsuka-europe.com")</f>
        <v>jvillalain@crm.otsuka-europe.com</v>
      </c>
      <c r="N8443" s="13">
        <v>46234.366331018522</v>
      </c>
      <c r="O8443" s="14" t="str">
        <f>HYPERLINK("https://otsuka-europe-crm.veevavault.com/ui/#object/email_activity__v/V8C00000004G102", "EN-002109968")</f>
        <v>EN-002109968</v>
      </c>
    </row>
    <row r="8444" spans="1:15" ht="32" x14ac:dyDescent="0.2">
      <c r="A8444" s="7" t="str">
        <f>HYPERLINK("https://otsuka-europe-crm.veevavault.com/ui/#object/account__v/V4TZ06G6O71T9P4", "ANA BELEN DIAZ-CERIO MARTINEZ-BUJANDA")</f>
        <v>ANA BELEN DIAZ-CERIO MARTINEZ-BUJANDA</v>
      </c>
      <c r="B8444" s="7" t="str">
        <f>HYPERLINK("https://otsuka-europe-crm.veevavault.com/ui/#object/vcountry__v/VENZ000004SONF5", "ES")</f>
        <v>ES</v>
      </c>
      <c r="C8444" s="8" t="s">
        <v>39</v>
      </c>
      <c r="D8444" s="9" t="str">
        <f>HYPERLINK("https://otsuka-europe-crm.veevavault.com/ui/#object/approved_document__v/V5O000000006001", "RXULTI - Comparativa antipsicóticos")</f>
        <v>RXULTI - Comparativa antipsicóticos</v>
      </c>
      <c r="E8444" s="10" t="str">
        <f>HYPERLINK("https://otsuka-europe-crm.veevavault.com/ui/#object/sent_email__v/VBL00000003H131", "SE-001448446")</f>
        <v>SE-001448446</v>
      </c>
      <c r="F8444" s="11"/>
      <c r="G8444" s="12">
        <v>0</v>
      </c>
      <c r="H8444" s="12">
        <v>0</v>
      </c>
      <c r="I8444" s="12">
        <v>0</v>
      </c>
      <c r="J8444" s="11"/>
      <c r="K8444" s="12">
        <v>0</v>
      </c>
      <c r="L8444" s="10" t="str">
        <f>HYPERLINK("https://otsuka-europe-crm.veevavault.com/ui/#object/approved_document__v/V5O000000006001", "RXULTI - Comparativa antipsicóticos")</f>
        <v>RXULTI - Comparativa antipsicóticos</v>
      </c>
      <c r="M8444" s="10" t="str">
        <f>HYPERLINK("mailto:jvillalain@crm.otsuka-europe.com", "jvillalain@crm.otsuka-europe.com")</f>
        <v>jvillalain@crm.otsuka-europe.com</v>
      </c>
      <c r="N8444" s="13">
        <v>46234.366319444445</v>
      </c>
      <c r="O8444" s="14" t="str">
        <f>HYPERLINK("https://otsuka-europe-crm.veevavault.com/ui/#object/email_activity__v/V8C00000004G141", "EN-002110029")</f>
        <v>EN-002110029</v>
      </c>
    </row>
    <row r="8445" spans="1:15" ht="32" x14ac:dyDescent="0.2">
      <c r="A8445" s="7" t="str">
        <f>HYPERLINK("https://otsuka-europe-crm.veevavault.com/ui/#object/account__v/V4TZ06G6O71TBRU", "MARTA REQUEJO GUTIERREZ")</f>
        <v>MARTA REQUEJO GUTIERREZ</v>
      </c>
      <c r="B8445" s="7" t="str">
        <f>HYPERLINK("https://otsuka-europe-crm.veevavault.com/ui/#object/vcountry__v/VENZ000004SONF5", "ES")</f>
        <v>ES</v>
      </c>
      <c r="C8445" s="8" t="s">
        <v>39</v>
      </c>
      <c r="D8445" s="9" t="str">
        <f>HYPERLINK("https://otsuka-europe-crm.veevavault.com/ui/#object/approved_document__v/V5O000000006001", "RXULTI - Comparativa antipsicóticos")</f>
        <v>RXULTI - Comparativa antipsicóticos</v>
      </c>
      <c r="E8445" s="10" t="str">
        <f>HYPERLINK("https://otsuka-europe-crm.veevavault.com/ui/#object/sent_email__v/VBL00000003H132", "SE-001448447")</f>
        <v>SE-001448447</v>
      </c>
      <c r="F8445" s="11"/>
      <c r="G8445" s="12">
        <v>0</v>
      </c>
      <c r="H8445" s="12">
        <v>0</v>
      </c>
      <c r="I8445" s="12">
        <v>0</v>
      </c>
      <c r="J8445" s="11"/>
      <c r="K8445" s="12">
        <v>0</v>
      </c>
      <c r="L8445" s="10" t="str">
        <f>HYPERLINK("https://otsuka-europe-crm.veevavault.com/ui/#object/approved_document__v/V5O000000006001", "RXULTI - Comparativa antipsicóticos")</f>
        <v>RXULTI - Comparativa antipsicóticos</v>
      </c>
      <c r="M8445" s="10" t="str">
        <f>HYPERLINK("mailto:jvillalain@crm.otsuka-europe.com", "jvillalain@crm.otsuka-europe.com")</f>
        <v>jvillalain@crm.otsuka-europe.com</v>
      </c>
      <c r="N8445" s="13">
        <v>46234.366319444445</v>
      </c>
      <c r="O8445" s="14" t="str">
        <f>HYPERLINK("https://otsuka-europe-crm.veevavault.com/ui/#object/email_activity__v/V8C00000004G077", "EN-002109927")</f>
        <v>EN-002109927</v>
      </c>
    </row>
    <row r="8446" spans="1:15" ht="16" x14ac:dyDescent="0.2">
      <c r="A8446" s="18" t="str">
        <f>HYPERLINK("https://otsuka-europe-crm.veevavault.com/ui/#object/account__v/V4TZ025E85UXDUH", "JOSE BARANA JUNIOR")</f>
        <v>JOSE BARANA JUNIOR</v>
      </c>
      <c r="B8446" s="18" t="str">
        <f>HYPERLINK("https://otsuka-europe-crm.veevavault.com/ui/#object/vcountry__v/VENZ000004SONF5", "ES")</f>
        <v>ES</v>
      </c>
      <c r="C8446" s="20" t="s">
        <v>39</v>
      </c>
      <c r="D8446" s="21" t="str">
        <f>HYPERLINK("https://otsuka-europe-crm.veevavault.com/ui/#object/approved_document__v/V5O000000006001", "RXULTI - Comparativa antipsicóticos")</f>
        <v>RXULTI - Comparativa antipsicóticos</v>
      </c>
      <c r="E8446" s="22" t="str">
        <f>HYPERLINK("https://otsuka-europe-crm.veevavault.com/ui/#object/sent_email__v/VBL00000003H133", "SE-001448448")</f>
        <v>SE-001448448</v>
      </c>
      <c r="F8446" s="25">
        <v>46235.363703703704</v>
      </c>
      <c r="G8446" s="24">
        <v>1</v>
      </c>
      <c r="H8446" s="24">
        <v>3</v>
      </c>
      <c r="I8446" s="24">
        <v>0</v>
      </c>
      <c r="J8446" s="23"/>
      <c r="K8446" s="24">
        <v>0</v>
      </c>
      <c r="L8446" s="22" t="str">
        <f>HYPERLINK("https://otsuka-europe-crm.veevavault.com/ui/#object/approved_document__v/V5O000000006001", "RXULTI - Comparativa antipsicóticos")</f>
        <v>RXULTI - Comparativa antipsicóticos</v>
      </c>
      <c r="M8446" s="22" t="str">
        <f>HYPERLINK("mailto:jvillalain@crm.otsuka-europe.com", "jvillalain@crm.otsuka-europe.com")</f>
        <v>jvillalain@crm.otsuka-europe.com</v>
      </c>
      <c r="N8446" s="25">
        <v>46234.366319444445</v>
      </c>
      <c r="O8446" s="14" t="str">
        <f>HYPERLINK("https://otsuka-europe-crm.veevavault.com/ui/#object/email_activity__v/V8C00000004F063", "EN-002109913")</f>
        <v>EN-002109913</v>
      </c>
    </row>
    <row r="8447" spans="1:15" ht="16" x14ac:dyDescent="0.2">
      <c r="A8447" s="26"/>
      <c r="B8447" s="26"/>
      <c r="C8447" s="26"/>
      <c r="D8447" s="26"/>
      <c r="E8447" s="26"/>
      <c r="F8447" s="26"/>
      <c r="G8447" s="26"/>
      <c r="H8447" s="26"/>
      <c r="I8447" s="26"/>
      <c r="J8447" s="26"/>
      <c r="K8447" s="26"/>
      <c r="L8447" s="26"/>
      <c r="M8447" s="26"/>
      <c r="N8447" s="26"/>
      <c r="O8447" s="14" t="str">
        <f>HYPERLINK("https://otsuka-europe-crm.veevavault.com/ui/#object/email_activity__v/V8C00000004F469", "EN-002110888")</f>
        <v>EN-002110888</v>
      </c>
    </row>
    <row r="8448" spans="1:15" ht="16" x14ac:dyDescent="0.2">
      <c r="A8448" s="26"/>
      <c r="B8448" s="26"/>
      <c r="C8448" s="26"/>
      <c r="D8448" s="26"/>
      <c r="E8448" s="26"/>
      <c r="F8448" s="26"/>
      <c r="G8448" s="26"/>
      <c r="H8448" s="26"/>
      <c r="I8448" s="26"/>
      <c r="J8448" s="26"/>
      <c r="K8448" s="26"/>
      <c r="L8448" s="26"/>
      <c r="M8448" s="26"/>
      <c r="N8448" s="26"/>
      <c r="O8448" s="14" t="str">
        <f>HYPERLINK("https://otsuka-europe-crm.veevavault.com/ui/#object/email_activity__v/V8C00000004H046", "EN-002111004")</f>
        <v>EN-002111004</v>
      </c>
    </row>
    <row r="8449" spans="1:15" ht="16" x14ac:dyDescent="0.2">
      <c r="A8449" s="19"/>
      <c r="B8449" s="19"/>
      <c r="C8449" s="19"/>
      <c r="D8449" s="19"/>
      <c r="E8449" s="19"/>
      <c r="F8449" s="19"/>
      <c r="G8449" s="19"/>
      <c r="H8449" s="19"/>
      <c r="I8449" s="19"/>
      <c r="J8449" s="19"/>
      <c r="K8449" s="19"/>
      <c r="L8449" s="19"/>
      <c r="M8449" s="19"/>
      <c r="N8449" s="19"/>
      <c r="O8449" s="14" t="str">
        <f>HYPERLINK("https://otsuka-europe-crm.veevavault.com/ui/#object/email_activity__v/V8C00000004H049", "EN-002111007")</f>
        <v>EN-002111007</v>
      </c>
    </row>
    <row r="8450" spans="1:15" ht="32" x14ac:dyDescent="0.2">
      <c r="A8450" s="7" t="str">
        <f>HYPERLINK("https://otsuka-europe-crm.veevavault.com/ui/#object/account__v/V4TZ06G6O71TCAF", "ANA MARIA SANTAMARTA ARGÜELLO")</f>
        <v>ANA MARIA SANTAMARTA ARGÜELLO</v>
      </c>
      <c r="B8450" s="7" t="str">
        <f>HYPERLINK("https://otsuka-europe-crm.veevavault.com/ui/#object/vcountry__v/VENZ000004SONF5", "ES")</f>
        <v>ES</v>
      </c>
      <c r="C8450" s="8" t="s">
        <v>39</v>
      </c>
      <c r="D8450" s="9" t="str">
        <f>HYPERLINK("https://otsuka-europe-crm.veevavault.com/ui/#object/approved_document__v/V5O000000006001", "RXULTI - Comparativa antipsicóticos")</f>
        <v>RXULTI - Comparativa antipsicóticos</v>
      </c>
      <c r="E8450" s="10" t="str">
        <f>HYPERLINK("https://otsuka-europe-crm.veevavault.com/ui/#object/sent_email__v/VBL00000003H134", "SE-001448449")</f>
        <v>SE-001448449</v>
      </c>
      <c r="F8450" s="11"/>
      <c r="G8450" s="12">
        <v>0</v>
      </c>
      <c r="H8450" s="12">
        <v>0</v>
      </c>
      <c r="I8450" s="12">
        <v>0</v>
      </c>
      <c r="J8450" s="11"/>
      <c r="K8450" s="12">
        <v>0</v>
      </c>
      <c r="L8450" s="10" t="str">
        <f>HYPERLINK("https://otsuka-europe-crm.veevavault.com/ui/#object/approved_document__v/V5O000000006001", "RXULTI - Comparativa antipsicóticos")</f>
        <v>RXULTI - Comparativa antipsicóticos</v>
      </c>
      <c r="M8450" s="10" t="str">
        <f>HYPERLINK("mailto:jvillalain@crm.otsuka-europe.com", "jvillalain@crm.otsuka-europe.com")</f>
        <v>jvillalain@crm.otsuka-europe.com</v>
      </c>
      <c r="N8450" s="13">
        <v>46234.366354166668</v>
      </c>
      <c r="O8450" s="14" t="str">
        <f>HYPERLINK("https://otsuka-europe-crm.veevavault.com/ui/#object/email_activity__v/V8C00000004G087", "EN-002109948")</f>
        <v>EN-002109948</v>
      </c>
    </row>
    <row r="8451" spans="1:15" ht="32" x14ac:dyDescent="0.2">
      <c r="A8451" s="7" t="str">
        <f>HYPERLINK("https://otsuka-europe-crm.veevavault.com/ui/#object/account__v/V4TZ025E82SAEA0", "ANA HERNANDEZ GARCIA")</f>
        <v>ANA HERNANDEZ GARCIA</v>
      </c>
      <c r="B8451" s="7" t="str">
        <f>HYPERLINK("https://otsuka-europe-crm.veevavault.com/ui/#object/vcountry__v/VENZ000004SONF5", "ES")</f>
        <v>ES</v>
      </c>
      <c r="C8451" s="8" t="s">
        <v>39</v>
      </c>
      <c r="D8451" s="9" t="str">
        <f>HYPERLINK("https://otsuka-europe-crm.veevavault.com/ui/#object/approved_document__v/V5O000000006001", "RXULTI - Comparativa antipsicóticos")</f>
        <v>RXULTI - Comparativa antipsicóticos</v>
      </c>
      <c r="E8451" s="10" t="str">
        <f>HYPERLINK("https://otsuka-europe-crm.veevavault.com/ui/#object/sent_email__v/VBL00000003H135", "SE-001448450")</f>
        <v>SE-001448450</v>
      </c>
      <c r="F8451" s="11"/>
      <c r="G8451" s="12">
        <v>0</v>
      </c>
      <c r="H8451" s="12">
        <v>0</v>
      </c>
      <c r="I8451" s="12">
        <v>0</v>
      </c>
      <c r="J8451" s="11"/>
      <c r="K8451" s="12">
        <v>0</v>
      </c>
      <c r="L8451" s="10" t="str">
        <f>HYPERLINK("https://otsuka-europe-crm.veevavault.com/ui/#object/approved_document__v/V5O000000006001", "RXULTI - Comparativa antipsicóticos")</f>
        <v>RXULTI - Comparativa antipsicóticos</v>
      </c>
      <c r="M8451" s="10" t="str">
        <f>HYPERLINK("mailto:jvillalain@crm.otsuka-europe.com", "jvillalain@crm.otsuka-europe.com")</f>
        <v>jvillalain@crm.otsuka-europe.com</v>
      </c>
      <c r="N8451" s="13">
        <v>46234.366342592592</v>
      </c>
      <c r="O8451" s="14" t="str">
        <f>HYPERLINK("https://otsuka-europe-crm.veevavault.com/ui/#object/email_activity__v/V8C00000004G101", "EN-002109967")</f>
        <v>EN-002109967</v>
      </c>
    </row>
    <row r="8452" spans="1:15" ht="16" x14ac:dyDescent="0.2">
      <c r="A8452" s="18" t="str">
        <f>HYPERLINK("https://otsuka-europe-crm.veevavault.com/ui/#object/account__v/V4TZ06G6O71TBH8", "MONICA PASTOR GIL")</f>
        <v>MONICA PASTOR GIL</v>
      </c>
      <c r="B8452" s="18" t="str">
        <f>HYPERLINK("https://otsuka-europe-crm.veevavault.com/ui/#object/vcountry__v/VENZ000004SONF5", "ES")</f>
        <v>ES</v>
      </c>
      <c r="C8452" s="20" t="s">
        <v>39</v>
      </c>
      <c r="D8452" s="21" t="str">
        <f>HYPERLINK("https://otsuka-europe-crm.veevavault.com/ui/#object/approved_document__v/V5O000000006001", "RXULTI - Comparativa antipsicóticos")</f>
        <v>RXULTI - Comparativa antipsicóticos</v>
      </c>
      <c r="E8452" s="22" t="str">
        <f>HYPERLINK("https://otsuka-europe-crm.veevavault.com/ui/#object/sent_email__v/VBL00000003H136", "SE-001448451")</f>
        <v>SE-001448451</v>
      </c>
      <c r="F8452" s="25">
        <v>46237.698564814818</v>
      </c>
      <c r="G8452" s="24">
        <v>1</v>
      </c>
      <c r="H8452" s="24">
        <v>3</v>
      </c>
      <c r="I8452" s="24">
        <v>0</v>
      </c>
      <c r="J8452" s="23"/>
      <c r="K8452" s="24">
        <v>0</v>
      </c>
      <c r="L8452" s="22" t="str">
        <f>HYPERLINK("https://otsuka-europe-crm.veevavault.com/ui/#object/approved_document__v/V5O000000006001", "RXULTI - Comparativa antipsicóticos")</f>
        <v>RXULTI - Comparativa antipsicóticos</v>
      </c>
      <c r="M8452" s="22" t="str">
        <f>HYPERLINK("mailto:jvillalain@crm.otsuka-europe.com", "jvillalain@crm.otsuka-europe.com")</f>
        <v>jvillalain@crm.otsuka-europe.com</v>
      </c>
      <c r="N8452" s="25">
        <v>46234.366319444445</v>
      </c>
      <c r="O8452" s="14" t="str">
        <f>HYPERLINK("https://otsuka-europe-crm.veevavault.com/ui/#object/email_activity__v/V8C00000004F054", "EN-002109904")</f>
        <v>EN-002109904</v>
      </c>
    </row>
    <row r="8453" spans="1:15" ht="16" x14ac:dyDescent="0.2">
      <c r="A8453" s="26"/>
      <c r="B8453" s="26"/>
      <c r="C8453" s="26"/>
      <c r="D8453" s="26"/>
      <c r="E8453" s="26"/>
      <c r="F8453" s="26"/>
      <c r="G8453" s="26"/>
      <c r="H8453" s="26"/>
      <c r="I8453" s="26"/>
      <c r="J8453" s="26"/>
      <c r="K8453" s="26"/>
      <c r="L8453" s="26"/>
      <c r="M8453" s="26"/>
      <c r="N8453" s="26"/>
      <c r="O8453" s="14" t="str">
        <f>HYPERLINK("https://otsuka-europe-crm.veevavault.com/ui/#object/email_activity__v/V8C00000004G654", "EN-002110929")</f>
        <v>EN-002110929</v>
      </c>
    </row>
    <row r="8454" spans="1:15" ht="16" x14ac:dyDescent="0.2">
      <c r="A8454" s="26"/>
      <c r="B8454" s="26"/>
      <c r="C8454" s="26"/>
      <c r="D8454" s="26"/>
      <c r="E8454" s="26"/>
      <c r="F8454" s="26"/>
      <c r="G8454" s="26"/>
      <c r="H8454" s="26"/>
      <c r="I8454" s="26"/>
      <c r="J8454" s="26"/>
      <c r="K8454" s="26"/>
      <c r="L8454" s="26"/>
      <c r="M8454" s="26"/>
      <c r="N8454" s="26"/>
      <c r="O8454" s="14" t="str">
        <f>HYPERLINK("https://otsuka-europe-crm.veevavault.com/ui/#object/email_activity__v/V8C00000004H232", "EN-002111348")</f>
        <v>EN-002111348</v>
      </c>
    </row>
    <row r="8455" spans="1:15" ht="16" x14ac:dyDescent="0.2">
      <c r="A8455" s="19"/>
      <c r="B8455" s="19"/>
      <c r="C8455" s="19"/>
      <c r="D8455" s="19"/>
      <c r="E8455" s="19"/>
      <c r="F8455" s="19"/>
      <c r="G8455" s="19"/>
      <c r="H8455" s="19"/>
      <c r="I8455" s="19"/>
      <c r="J8455" s="19"/>
      <c r="K8455" s="19"/>
      <c r="L8455" s="19"/>
      <c r="M8455" s="19"/>
      <c r="N8455" s="19"/>
      <c r="O8455" s="14" t="str">
        <f>HYPERLINK("https://otsuka-europe-crm.veevavault.com/ui/#object/email_activity__v/V8C00000004H233", "EN-002111349")</f>
        <v>EN-002111349</v>
      </c>
    </row>
    <row r="8456" spans="1:15" ht="16" x14ac:dyDescent="0.2">
      <c r="A8456" s="18" t="str">
        <f>HYPERLINK("https://otsuka-europe-crm.veevavault.com/ui/#object/account__v/V4TZ06G6O71TC5A", "ELISA SEIJO ZAZO")</f>
        <v>ELISA SEIJO ZAZO</v>
      </c>
      <c r="B8456" s="18" t="str">
        <f>HYPERLINK("https://otsuka-europe-crm.veevavault.com/ui/#object/vcountry__v/VENZ000004SONF5", "ES")</f>
        <v>ES</v>
      </c>
      <c r="C8456" s="20" t="s">
        <v>39</v>
      </c>
      <c r="D8456" s="21" t="str">
        <f>HYPERLINK("https://otsuka-europe-crm.veevavault.com/ui/#object/approved_document__v/V5O000000006001", "RXULTI - Comparativa antipsicóticos")</f>
        <v>RXULTI - Comparativa antipsicóticos</v>
      </c>
      <c r="E8456" s="22" t="str">
        <f>HYPERLINK("https://otsuka-europe-crm.veevavault.com/ui/#object/sent_email__v/VBL00000003H137", "SE-001448452")</f>
        <v>SE-001448452</v>
      </c>
      <c r="F8456" s="25">
        <v>46234.466874999998</v>
      </c>
      <c r="G8456" s="24">
        <v>1</v>
      </c>
      <c r="H8456" s="24">
        <v>1</v>
      </c>
      <c r="I8456" s="24">
        <v>0</v>
      </c>
      <c r="J8456" s="23"/>
      <c r="K8456" s="24">
        <v>0</v>
      </c>
      <c r="L8456" s="22" t="str">
        <f>HYPERLINK("https://otsuka-europe-crm.veevavault.com/ui/#object/approved_document__v/V5O000000006001", "RXULTI - Comparativa antipsicóticos")</f>
        <v>RXULTI - Comparativa antipsicóticos</v>
      </c>
      <c r="M8456" s="22" t="str">
        <f>HYPERLINK("mailto:jvillalain@crm.otsuka-europe.com", "jvillalain@crm.otsuka-europe.com")</f>
        <v>jvillalain@crm.otsuka-europe.com</v>
      </c>
      <c r="N8456" s="25">
        <v>46234.366319444445</v>
      </c>
      <c r="O8456" s="14" t="str">
        <f>HYPERLINK("https://otsuka-europe-crm.veevavault.com/ui/#object/email_activity__v/V8C00000004F276", "EN-002110474")</f>
        <v>EN-002110474</v>
      </c>
    </row>
    <row r="8457" spans="1:15" ht="16" x14ac:dyDescent="0.2">
      <c r="A8457" s="19"/>
      <c r="B8457" s="19"/>
      <c r="C8457" s="19"/>
      <c r="D8457" s="19"/>
      <c r="E8457" s="19"/>
      <c r="F8457" s="19"/>
      <c r="G8457" s="19"/>
      <c r="H8457" s="19"/>
      <c r="I8457" s="19"/>
      <c r="J8457" s="19"/>
      <c r="K8457" s="19"/>
      <c r="L8457" s="19"/>
      <c r="M8457" s="19"/>
      <c r="N8457" s="19"/>
      <c r="O8457" s="14" t="str">
        <f>HYPERLINK("https://otsuka-europe-crm.veevavault.com/ui/#object/email_activity__v/V8C00000004G119", "EN-002110002")</f>
        <v>EN-002110002</v>
      </c>
    </row>
    <row r="8458" spans="1:15" ht="16" x14ac:dyDescent="0.2">
      <c r="A8458" s="18" t="str">
        <f>HYPERLINK("https://otsuka-europe-crm.veevavault.com/ui/#object/account__v/V4TZ06G6OB43WKJ", "LUCIA MARTIN DE FRANCISCO MURGA")</f>
        <v>LUCIA MARTIN DE FRANCISCO MURGA</v>
      </c>
      <c r="B8458" s="18" t="str">
        <f>HYPERLINK("https://otsuka-europe-crm.veevavault.com/ui/#object/vcountry__v/VENZ000004SONF5", "ES")</f>
        <v>ES</v>
      </c>
      <c r="C8458" s="20" t="s">
        <v>39</v>
      </c>
      <c r="D8458" s="21" t="str">
        <f>HYPERLINK("https://otsuka-europe-crm.veevavault.com/ui/#object/approved_document__v/V5O000000006001", "RXULTI - Comparativa antipsicóticos")</f>
        <v>RXULTI - Comparativa antipsicóticos</v>
      </c>
      <c r="E8458" s="22" t="str">
        <f>HYPERLINK("https://otsuka-europe-crm.veevavault.com/ui/#object/sent_email__v/VBL00000003H138", "SE-001448453")</f>
        <v>SE-001448453</v>
      </c>
      <c r="F8458" s="23"/>
      <c r="G8458" s="24">
        <v>0</v>
      </c>
      <c r="H8458" s="24">
        <v>0</v>
      </c>
      <c r="I8458" s="24">
        <v>0</v>
      </c>
      <c r="J8458" s="23"/>
      <c r="K8458" s="24">
        <v>0</v>
      </c>
      <c r="L8458" s="22" t="str">
        <f>HYPERLINK("https://otsuka-europe-crm.veevavault.com/ui/#object/approved_document__v/V5O000000006001", "RXULTI - Comparativa antipsicóticos")</f>
        <v>RXULTI - Comparativa antipsicóticos</v>
      </c>
      <c r="M8458" s="22" t="str">
        <f>HYPERLINK("mailto:jvillalain@crm.otsuka-europe.com", "jvillalain@crm.otsuka-europe.com")</f>
        <v>jvillalain@crm.otsuka-europe.com</v>
      </c>
      <c r="N8458" s="25">
        <v>46234.366319444445</v>
      </c>
      <c r="O8458" s="14" t="str">
        <f>HYPERLINK("https://otsuka-europe-crm.veevavault.com/ui/#object/email_activity__v/V8C00000004G139", "EN-002110027")</f>
        <v>EN-002110027</v>
      </c>
    </row>
    <row r="8459" spans="1:15" ht="16" x14ac:dyDescent="0.2">
      <c r="A8459" s="19"/>
      <c r="B8459" s="19"/>
      <c r="C8459" s="19"/>
      <c r="D8459" s="19"/>
      <c r="E8459" s="19"/>
      <c r="F8459" s="19"/>
      <c r="G8459" s="19"/>
      <c r="H8459" s="19"/>
      <c r="I8459" s="19"/>
      <c r="J8459" s="19"/>
      <c r="K8459" s="19"/>
      <c r="L8459" s="19"/>
      <c r="M8459" s="19"/>
      <c r="N8459" s="19"/>
      <c r="O8459" s="14" t="str">
        <f>HYPERLINK("https://otsuka-europe-crm.veevavault.com/ui/#object/email_activity__v/V8C00000004G597", "EN-002110786")</f>
        <v>EN-002110786</v>
      </c>
    </row>
    <row r="8460" spans="1:15" ht="16" x14ac:dyDescent="0.2">
      <c r="A8460" s="18" t="str">
        <f>HYPERLINK("https://otsuka-europe-crm.veevavault.com/ui/#object/account__v/V4TZ06G6O71T9CR", "BEATRIZ BERMEJO SAIZ")</f>
        <v>BEATRIZ BERMEJO SAIZ</v>
      </c>
      <c r="B8460" s="18" t="str">
        <f>HYPERLINK("https://otsuka-europe-crm.veevavault.com/ui/#object/vcountry__v/VENZ000004SONF5", "ES")</f>
        <v>ES</v>
      </c>
      <c r="C8460" s="20" t="s">
        <v>39</v>
      </c>
      <c r="D8460" s="21" t="str">
        <f>HYPERLINK("https://otsuka-europe-crm.veevavault.com/ui/#object/approved_document__v/V5O000000006001", "RXULTI - Comparativa antipsicóticos")</f>
        <v>RXULTI - Comparativa antipsicóticos</v>
      </c>
      <c r="E8460" s="22" t="str">
        <f>HYPERLINK("https://otsuka-europe-crm.veevavault.com/ui/#object/sent_email__v/VBL00000003H139", "SE-001448454")</f>
        <v>SE-001448454</v>
      </c>
      <c r="F8460" s="23"/>
      <c r="G8460" s="24">
        <v>0</v>
      </c>
      <c r="H8460" s="24">
        <v>0</v>
      </c>
      <c r="I8460" s="24">
        <v>0</v>
      </c>
      <c r="J8460" s="23"/>
      <c r="K8460" s="24">
        <v>0</v>
      </c>
      <c r="L8460" s="22" t="str">
        <f>HYPERLINK("https://otsuka-europe-crm.veevavault.com/ui/#object/approved_document__v/V5O000000006001", "RXULTI - Comparativa antipsicóticos")</f>
        <v>RXULTI - Comparativa antipsicóticos</v>
      </c>
      <c r="M8460" s="22" t="str">
        <f>HYPERLINK("mailto:jvillalain@crm.otsuka-europe.com", "jvillalain@crm.otsuka-europe.com")</f>
        <v>jvillalain@crm.otsuka-europe.com</v>
      </c>
      <c r="N8460" s="25">
        <v>46234.366342592592</v>
      </c>
      <c r="O8460" s="14" t="str">
        <f>HYPERLINK("https://otsuka-europe-crm.veevavault.com/ui/#object/email_activity__v/V8C00000004F071", "EN-002109943")</f>
        <v>EN-002109943</v>
      </c>
    </row>
    <row r="8461" spans="1:15" ht="16" x14ac:dyDescent="0.2">
      <c r="A8461" s="19"/>
      <c r="B8461" s="19"/>
      <c r="C8461" s="19"/>
      <c r="D8461" s="19"/>
      <c r="E8461" s="19"/>
      <c r="F8461" s="19"/>
      <c r="G8461" s="19"/>
      <c r="H8461" s="19"/>
      <c r="I8461" s="19"/>
      <c r="J8461" s="19"/>
      <c r="K8461" s="19"/>
      <c r="L8461" s="19"/>
      <c r="M8461" s="19"/>
      <c r="N8461" s="19"/>
      <c r="O8461" s="14" t="str">
        <f>HYPERLINK("https://otsuka-europe-crm.veevavault.com/ui/#object/email_activity__v/V8C00000004G143", "EN-002110039")</f>
        <v>EN-002110039</v>
      </c>
    </row>
    <row r="8462" spans="1:15" ht="16" x14ac:dyDescent="0.2">
      <c r="A8462" s="18" t="str">
        <f>HYPERLINK("https://otsuka-europe-crm.veevavault.com/ui/#object/account__v/V4TZ06G6O71TC2R", "MARIA LOURDES SANCHEZ CALDEVILLA")</f>
        <v>MARIA LOURDES SANCHEZ CALDEVILLA</v>
      </c>
      <c r="B8462" s="18" t="str">
        <f>HYPERLINK("https://otsuka-europe-crm.veevavault.com/ui/#object/vcountry__v/VENZ000004SONF5", "ES")</f>
        <v>ES</v>
      </c>
      <c r="C8462" s="20" t="s">
        <v>39</v>
      </c>
      <c r="D8462" s="21" t="str">
        <f>HYPERLINK("https://otsuka-europe-crm.veevavault.com/ui/#object/approved_document__v/V5O000000006001", "RXULTI - Comparativa antipsicóticos")</f>
        <v>RXULTI - Comparativa antipsicóticos</v>
      </c>
      <c r="E8462" s="22" t="str">
        <f>HYPERLINK("https://otsuka-europe-crm.veevavault.com/ui/#object/sent_email__v/VBL00000003H140", "SE-001448455")</f>
        <v>SE-001448455</v>
      </c>
      <c r="F8462" s="25">
        <v>46234.640810185185</v>
      </c>
      <c r="G8462" s="24">
        <v>1</v>
      </c>
      <c r="H8462" s="24">
        <v>1</v>
      </c>
      <c r="I8462" s="24">
        <v>0</v>
      </c>
      <c r="J8462" s="23"/>
      <c r="K8462" s="24">
        <v>0</v>
      </c>
      <c r="L8462" s="22" t="str">
        <f>HYPERLINK("https://otsuka-europe-crm.veevavault.com/ui/#object/approved_document__v/V5O000000006001", "RXULTI - Comparativa antipsicóticos")</f>
        <v>RXULTI - Comparativa antipsicóticos</v>
      </c>
      <c r="M8462" s="22" t="str">
        <f>HYPERLINK("mailto:jvillalain@crm.otsuka-europe.com", "jvillalain@crm.otsuka-europe.com")</f>
        <v>jvillalain@crm.otsuka-europe.com</v>
      </c>
      <c r="N8462" s="25">
        <v>46234.366006944445</v>
      </c>
      <c r="O8462" s="14" t="str">
        <f>HYPERLINK("https://otsuka-europe-crm.veevavault.com/ui/#object/email_activity__v/V8C00000004F050", "EN-002109900")</f>
        <v>EN-002109900</v>
      </c>
    </row>
    <row r="8463" spans="1:15" ht="16" x14ac:dyDescent="0.2">
      <c r="A8463" s="19"/>
      <c r="B8463" s="19"/>
      <c r="C8463" s="19"/>
      <c r="D8463" s="19"/>
      <c r="E8463" s="19"/>
      <c r="F8463" s="19"/>
      <c r="G8463" s="19"/>
      <c r="H8463" s="19"/>
      <c r="I8463" s="19"/>
      <c r="J8463" s="19"/>
      <c r="K8463" s="19"/>
      <c r="L8463" s="19"/>
      <c r="M8463" s="19"/>
      <c r="N8463" s="19"/>
      <c r="O8463" s="14" t="str">
        <f>HYPERLINK("https://otsuka-europe-crm.veevavault.com/ui/#object/email_activity__v/V8C00000004G600", "EN-002110793")</f>
        <v>EN-002110793</v>
      </c>
    </row>
    <row r="8464" spans="1:15" ht="32" x14ac:dyDescent="0.2">
      <c r="A8464" s="7" t="str">
        <f>HYPERLINK("https://otsuka-europe-crm.veevavault.com/ui/#object/account__v/V4TZ025E86U9Z49", "ELENA DOMINGUEZ ALVAREZ")</f>
        <v>ELENA DOMINGUEZ ALVAREZ</v>
      </c>
      <c r="B8464" s="7" t="str">
        <f>HYPERLINK("https://otsuka-europe-crm.veevavault.com/ui/#object/vcountry__v/VENZ000004SONF5", "ES")</f>
        <v>ES</v>
      </c>
      <c r="C8464" s="8" t="s">
        <v>39</v>
      </c>
      <c r="D8464" s="9" t="str">
        <f>HYPERLINK("https://otsuka-europe-crm.veevavault.com/ui/#object/approved_document__v/V5O000000006001", "RXULTI - Comparativa antipsicóticos")</f>
        <v>RXULTI - Comparativa antipsicóticos</v>
      </c>
      <c r="E8464" s="10" t="str">
        <f>HYPERLINK("https://otsuka-europe-crm.veevavault.com/ui/#object/sent_email__v/VBL00000003H141", "SE-001448456")</f>
        <v>SE-001448456</v>
      </c>
      <c r="F8464" s="11"/>
      <c r="G8464" s="12">
        <v>0</v>
      </c>
      <c r="H8464" s="12">
        <v>0</v>
      </c>
      <c r="I8464" s="12">
        <v>0</v>
      </c>
      <c r="J8464" s="11"/>
      <c r="K8464" s="12">
        <v>0</v>
      </c>
      <c r="L8464" s="10" t="str">
        <f>HYPERLINK("https://otsuka-europe-crm.veevavault.com/ui/#object/approved_document__v/V5O000000006001", "RXULTI - Comparativa antipsicóticos")</f>
        <v>RXULTI - Comparativa antipsicóticos</v>
      </c>
      <c r="M8464" s="10" t="str">
        <f>HYPERLINK("mailto:jvillalain@crm.otsuka-europe.com", "jvillalain@crm.otsuka-europe.com")</f>
        <v>jvillalain@crm.otsuka-europe.com</v>
      </c>
      <c r="N8464" s="13">
        <v>46234.366342592592</v>
      </c>
      <c r="O8464" s="14" t="str">
        <f>HYPERLINK("https://otsuka-europe-crm.veevavault.com/ui/#object/email_activity__v/V8C00000004F072", "EN-002109944")</f>
        <v>EN-002109944</v>
      </c>
    </row>
    <row r="8465" spans="1:15" ht="32" x14ac:dyDescent="0.2">
      <c r="A8465" s="7" t="str">
        <f>HYPERLINK("https://otsuka-europe-crm.veevavault.com/ui/#object/account__v/V4TZ06G6O71T7RS", "ENRIQUE BERMUDEZ NAVAS")</f>
        <v>ENRIQUE BERMUDEZ NAVAS</v>
      </c>
      <c r="B8465" s="7" t="str">
        <f>HYPERLINK("https://otsuka-europe-crm.veevavault.com/ui/#object/vcountry__v/VENZ000004SONF5", "ES")</f>
        <v>ES</v>
      </c>
      <c r="C8465" s="8" t="s">
        <v>39</v>
      </c>
      <c r="D8465" s="9" t="str">
        <f>HYPERLINK("https://otsuka-europe-crm.veevavault.com/ui/#object/approved_document__v/V5O000000006001", "RXULTI - Comparativa antipsicóticos")</f>
        <v>RXULTI - Comparativa antipsicóticos</v>
      </c>
      <c r="E8465" s="10" t="str">
        <f>HYPERLINK("https://otsuka-europe-crm.veevavault.com/ui/#object/sent_email__v/VBL00000003H142", "SE-001448457")</f>
        <v>SE-001448457</v>
      </c>
      <c r="F8465" s="11"/>
      <c r="G8465" s="12">
        <v>0</v>
      </c>
      <c r="H8465" s="12">
        <v>0</v>
      </c>
      <c r="I8465" s="12">
        <v>0</v>
      </c>
      <c r="J8465" s="11"/>
      <c r="K8465" s="12">
        <v>0</v>
      </c>
      <c r="L8465" s="10" t="str">
        <f>HYPERLINK("https://otsuka-europe-crm.veevavault.com/ui/#object/approved_document__v/V5O000000006001", "RXULTI - Comparativa antipsicóticos")</f>
        <v>RXULTI - Comparativa antipsicóticos</v>
      </c>
      <c r="M8465" s="10" t="str">
        <f>HYPERLINK("mailto:jvillalain@crm.otsuka-europe.com", "jvillalain@crm.otsuka-europe.com")</f>
        <v>jvillalain@crm.otsuka-europe.com</v>
      </c>
      <c r="N8465" s="13">
        <v>46234.366342592592</v>
      </c>
      <c r="O8465" s="14" t="str">
        <f>HYPERLINK("https://otsuka-europe-crm.veevavault.com/ui/#object/email_activity__v/V8C00000004G099", "EN-002109965")</f>
        <v>EN-002109965</v>
      </c>
    </row>
    <row r="8466" spans="1:15" ht="16" x14ac:dyDescent="0.2">
      <c r="A8466" s="18" t="str">
        <f>HYPERLINK("https://otsuka-europe-crm.veevavault.com/ui/#object/account__v/V4TZ06G6O71T97V", "JOSE ANTONIO ARENAS GARCIA")</f>
        <v>JOSE ANTONIO ARENAS GARCIA</v>
      </c>
      <c r="B8466" s="18" t="str">
        <f>HYPERLINK("https://otsuka-europe-crm.veevavault.com/ui/#object/vcountry__v/VENZ000004SONF5", "ES")</f>
        <v>ES</v>
      </c>
      <c r="C8466" s="20" t="s">
        <v>39</v>
      </c>
      <c r="D8466" s="21" t="str">
        <f>HYPERLINK("https://otsuka-europe-crm.veevavault.com/ui/#object/approved_document__v/V5O000000006001", "RXULTI - Comparativa antipsicóticos")</f>
        <v>RXULTI - Comparativa antipsicóticos</v>
      </c>
      <c r="E8466" s="22" t="str">
        <f>HYPERLINK("https://otsuka-europe-crm.veevavault.com/ui/#object/sent_email__v/VBL00000003H143", "SE-001448458")</f>
        <v>SE-001448458</v>
      </c>
      <c r="F8466" s="25">
        <v>46237.933923611112</v>
      </c>
      <c r="G8466" s="24">
        <v>1</v>
      </c>
      <c r="H8466" s="24">
        <v>3</v>
      </c>
      <c r="I8466" s="24">
        <v>0</v>
      </c>
      <c r="J8466" s="23"/>
      <c r="K8466" s="24">
        <v>0</v>
      </c>
      <c r="L8466" s="22" t="str">
        <f>HYPERLINK("https://otsuka-europe-crm.veevavault.com/ui/#object/approved_document__v/V5O000000006001", "RXULTI - Comparativa antipsicóticos")</f>
        <v>RXULTI - Comparativa antipsicóticos</v>
      </c>
      <c r="M8466" s="22" t="str">
        <f>HYPERLINK("mailto:jvillalain@crm.otsuka-europe.com", "jvillalain@crm.otsuka-europe.com")</f>
        <v>jvillalain@crm.otsuka-europe.com</v>
      </c>
      <c r="N8466" s="25">
        <v>46234.366319444445</v>
      </c>
      <c r="O8466" s="14" t="str">
        <f>HYPERLINK("https://otsuka-europe-crm.veevavault.com/ui/#object/email_activity__v/V8C00000004F069", "EN-002109941")</f>
        <v>EN-002109941</v>
      </c>
    </row>
    <row r="8467" spans="1:15" ht="16" x14ac:dyDescent="0.2">
      <c r="A8467" s="26"/>
      <c r="B8467" s="26"/>
      <c r="C8467" s="26"/>
      <c r="D8467" s="26"/>
      <c r="E8467" s="26"/>
      <c r="F8467" s="26"/>
      <c r="G8467" s="26"/>
      <c r="H8467" s="26"/>
      <c r="I8467" s="26"/>
      <c r="J8467" s="26"/>
      <c r="K8467" s="26"/>
      <c r="L8467" s="26"/>
      <c r="M8467" s="26"/>
      <c r="N8467" s="26"/>
      <c r="O8467" s="14" t="str">
        <f>HYPERLINK("https://otsuka-europe-crm.veevavault.com/ui/#object/email_activity__v/V8C00000004H243", "EN-002111372")</f>
        <v>EN-002111372</v>
      </c>
    </row>
    <row r="8468" spans="1:15" ht="16" x14ac:dyDescent="0.2">
      <c r="A8468" s="26"/>
      <c r="B8468" s="26"/>
      <c r="C8468" s="26"/>
      <c r="D8468" s="26"/>
      <c r="E8468" s="26"/>
      <c r="F8468" s="26"/>
      <c r="G8468" s="26"/>
      <c r="H8468" s="26"/>
      <c r="I8468" s="26"/>
      <c r="J8468" s="26"/>
      <c r="K8468" s="26"/>
      <c r="L8468" s="26"/>
      <c r="M8468" s="26"/>
      <c r="N8468" s="26"/>
      <c r="O8468" s="14" t="str">
        <f>HYPERLINK("https://otsuka-europe-crm.veevavault.com/ui/#object/email_activity__v/V8C00000004I091", "EN-002111164")</f>
        <v>EN-002111164</v>
      </c>
    </row>
    <row r="8469" spans="1:15" ht="16" x14ac:dyDescent="0.2">
      <c r="A8469" s="19"/>
      <c r="B8469" s="19"/>
      <c r="C8469" s="19"/>
      <c r="D8469" s="19"/>
      <c r="E8469" s="19"/>
      <c r="F8469" s="19"/>
      <c r="G8469" s="19"/>
      <c r="H8469" s="19"/>
      <c r="I8469" s="19"/>
      <c r="J8469" s="19"/>
      <c r="K8469" s="19"/>
      <c r="L8469" s="19"/>
      <c r="M8469" s="19"/>
      <c r="N8469" s="19"/>
      <c r="O8469" s="14" t="str">
        <f>HYPERLINK("https://otsuka-europe-crm.veevavault.com/ui/#object/email_activity__v/V8C00000004I179", "EN-002111371")</f>
        <v>EN-002111371</v>
      </c>
    </row>
    <row r="8470" spans="1:15" ht="16" x14ac:dyDescent="0.2">
      <c r="A8470" s="18" t="str">
        <f>HYPERLINK("https://otsuka-europe-crm.veevavault.com/ui/#object/account__v/V4TZ025E859R4PY", "ZAHIRA MARTIN GARCIA")</f>
        <v>ZAHIRA MARTIN GARCIA</v>
      </c>
      <c r="B8470" s="18" t="str">
        <f>HYPERLINK("https://otsuka-europe-crm.veevavault.com/ui/#object/vcountry__v/VENZ000004SONF5", "ES")</f>
        <v>ES</v>
      </c>
      <c r="C8470" s="20" t="s">
        <v>39</v>
      </c>
      <c r="D8470" s="21" t="str">
        <f>HYPERLINK("https://otsuka-europe-crm.veevavault.com/ui/#object/approved_document__v/V5O000000006001", "RXULTI - Comparativa antipsicóticos")</f>
        <v>RXULTI - Comparativa antipsicóticos</v>
      </c>
      <c r="E8470" s="22" t="str">
        <f>HYPERLINK("https://otsuka-europe-crm.veevavault.com/ui/#object/sent_email__v/VBL00000003H144", "SE-001448459")</f>
        <v>SE-001448459</v>
      </c>
      <c r="F8470" s="25">
        <v>46234.567858796298</v>
      </c>
      <c r="G8470" s="24">
        <v>1</v>
      </c>
      <c r="H8470" s="24">
        <v>1</v>
      </c>
      <c r="I8470" s="24">
        <v>0</v>
      </c>
      <c r="J8470" s="23"/>
      <c r="K8470" s="24">
        <v>0</v>
      </c>
      <c r="L8470" s="22" t="str">
        <f>HYPERLINK("https://otsuka-europe-crm.veevavault.com/ui/#object/approved_document__v/V5O000000006001", "RXULTI - Comparativa antipsicóticos")</f>
        <v>RXULTI - Comparativa antipsicóticos</v>
      </c>
      <c r="M8470" s="22" t="str">
        <f>HYPERLINK("mailto:jvillalain@crm.otsuka-europe.com", "jvillalain@crm.otsuka-europe.com")</f>
        <v>jvillalain@crm.otsuka-europe.com</v>
      </c>
      <c r="N8470" s="25">
        <v>46234.366319444445</v>
      </c>
      <c r="O8470" s="14" t="str">
        <f>HYPERLINK("https://otsuka-europe-crm.veevavault.com/ui/#object/email_activity__v/V8C00000004F397", "EN-002110760")</f>
        <v>EN-002110760</v>
      </c>
    </row>
    <row r="8471" spans="1:15" ht="16" x14ac:dyDescent="0.2">
      <c r="A8471" s="19"/>
      <c r="B8471" s="19"/>
      <c r="C8471" s="19"/>
      <c r="D8471" s="19"/>
      <c r="E8471" s="19"/>
      <c r="F8471" s="19"/>
      <c r="G8471" s="19"/>
      <c r="H8471" s="19"/>
      <c r="I8471" s="19"/>
      <c r="J8471" s="19"/>
      <c r="K8471" s="19"/>
      <c r="L8471" s="19"/>
      <c r="M8471" s="19"/>
      <c r="N8471" s="19"/>
      <c r="O8471" s="14" t="str">
        <f>HYPERLINK("https://otsuka-europe-crm.veevavault.com/ui/#object/email_activity__v/V8C00000004G122", "EN-002110010")</f>
        <v>EN-002110010</v>
      </c>
    </row>
    <row r="8472" spans="1:15" ht="32" x14ac:dyDescent="0.2">
      <c r="A8472" s="7" t="str">
        <f>HYPERLINK("https://otsuka-europe-crm.veevavault.com/ui/#object/account__v/V4TZ025E878G2E7", "RAFAEL FERNANDEZ DIAZ")</f>
        <v>RAFAEL FERNANDEZ DIAZ</v>
      </c>
      <c r="B8472" s="7" t="str">
        <f>HYPERLINK("https://otsuka-europe-crm.veevavault.com/ui/#object/vcountry__v/VENZ000004SONF5", "ES")</f>
        <v>ES</v>
      </c>
      <c r="C8472" s="8" t="s">
        <v>39</v>
      </c>
      <c r="D8472" s="9" t="str">
        <f>HYPERLINK("https://otsuka-europe-crm.veevavault.com/ui/#object/approved_document__v/V5O000000006001", "RXULTI - Comparativa antipsicóticos")</f>
        <v>RXULTI - Comparativa antipsicóticos</v>
      </c>
      <c r="E8472" s="10" t="str">
        <f>HYPERLINK("https://otsuka-europe-crm.veevavault.com/ui/#object/sent_email__v/VBL00000003H145", "SE-001448460")</f>
        <v>SE-001448460</v>
      </c>
      <c r="F8472" s="11"/>
      <c r="G8472" s="12">
        <v>0</v>
      </c>
      <c r="H8472" s="12">
        <v>0</v>
      </c>
      <c r="I8472" s="12">
        <v>0</v>
      </c>
      <c r="J8472" s="11"/>
      <c r="K8472" s="12">
        <v>0</v>
      </c>
      <c r="L8472" s="10" t="str">
        <f>HYPERLINK("https://otsuka-europe-crm.veevavault.com/ui/#object/approved_document__v/V5O000000006001", "RXULTI - Comparativa antipsicóticos")</f>
        <v>RXULTI - Comparativa antipsicóticos</v>
      </c>
      <c r="M8472" s="10" t="str">
        <f>HYPERLINK("mailto:jvillalain@crm.otsuka-europe.com", "jvillalain@crm.otsuka-europe.com")</f>
        <v>jvillalain@crm.otsuka-europe.com</v>
      </c>
      <c r="N8472" s="13">
        <v>46234.366331018522</v>
      </c>
      <c r="O8472" s="14" t="str">
        <f>HYPERLINK("https://otsuka-europe-crm.veevavault.com/ui/#object/email_activity__v/V8C00000004G104", "EN-002109970")</f>
        <v>EN-002109970</v>
      </c>
    </row>
    <row r="8473" spans="1:15" ht="32" x14ac:dyDescent="0.2">
      <c r="A8473" s="7" t="str">
        <f>HYPERLINK("https://otsuka-europe-crm.veevavault.com/ui/#object/account__v/V4TZ06G6O71T84R", "ELSA CATALINA ARRUA DUARTE")</f>
        <v>ELSA CATALINA ARRUA DUARTE</v>
      </c>
      <c r="B8473" s="7" t="str">
        <f>HYPERLINK("https://otsuka-europe-crm.veevavault.com/ui/#object/vcountry__v/VENZ000004SONF5", "ES")</f>
        <v>ES</v>
      </c>
      <c r="C8473" s="8" t="s">
        <v>39</v>
      </c>
      <c r="D8473" s="9" t="str">
        <f>HYPERLINK("https://otsuka-europe-crm.veevavault.com/ui/#object/approved_document__v/V5O000000006001", "RXULTI - Comparativa antipsicóticos")</f>
        <v>RXULTI - Comparativa antipsicóticos</v>
      </c>
      <c r="E8473" s="10" t="str">
        <f>HYPERLINK("https://otsuka-europe-crm.veevavault.com/ui/#object/sent_email__v/VBL00000003H146", "SE-001448461")</f>
        <v>SE-001448461</v>
      </c>
      <c r="F8473" s="11"/>
      <c r="G8473" s="12">
        <v>0</v>
      </c>
      <c r="H8473" s="12">
        <v>0</v>
      </c>
      <c r="I8473" s="12">
        <v>0</v>
      </c>
      <c r="J8473" s="11"/>
      <c r="K8473" s="12">
        <v>0</v>
      </c>
      <c r="L8473" s="10" t="str">
        <f>HYPERLINK("https://otsuka-europe-crm.veevavault.com/ui/#object/approved_document__v/V5O000000006001", "RXULTI - Comparativa antipsicóticos")</f>
        <v>RXULTI - Comparativa antipsicóticos</v>
      </c>
      <c r="M8473" s="10" t="str">
        <f>HYPERLINK("mailto:jvillalain@crm.otsuka-europe.com", "jvillalain@crm.otsuka-europe.com")</f>
        <v>jvillalain@crm.otsuka-europe.com</v>
      </c>
      <c r="N8473" s="13">
        <v>46234.366331018522</v>
      </c>
      <c r="O8473" s="14" t="str">
        <f>HYPERLINK("https://otsuka-europe-crm.veevavault.com/ui/#object/email_activity__v/V8C00000004G105", "EN-002109971")</f>
        <v>EN-002109971</v>
      </c>
    </row>
    <row r="8474" spans="1:15" ht="16" x14ac:dyDescent="0.2">
      <c r="A8474" s="18" t="str">
        <f>HYPERLINK("https://otsuka-europe-crm.veevavault.com/ui/#object/account__v/V4TZ06G6OB3XOET", "MARIA MILAGROS MARTIN MERINO")</f>
        <v>MARIA MILAGROS MARTIN MERINO</v>
      </c>
      <c r="B8474" s="18" t="str">
        <f>HYPERLINK("https://otsuka-europe-crm.veevavault.com/ui/#object/vcountry__v/VENZ000004SONF5", "ES")</f>
        <v>ES</v>
      </c>
      <c r="C8474" s="20" t="s">
        <v>39</v>
      </c>
      <c r="D8474" s="21" t="str">
        <f>HYPERLINK("https://otsuka-europe-crm.veevavault.com/ui/#object/approved_document__v/V5O000000006001", "RXULTI - Comparativa antipsicóticos")</f>
        <v>RXULTI - Comparativa antipsicóticos</v>
      </c>
      <c r="E8474" s="22" t="str">
        <f>HYPERLINK("https://otsuka-europe-crm.veevavault.com/ui/#object/sent_email__v/VBL00000003H147", "SE-001448462")</f>
        <v>SE-001448462</v>
      </c>
      <c r="F8474" s="25">
        <v>46236.854317129626</v>
      </c>
      <c r="G8474" s="24">
        <v>1</v>
      </c>
      <c r="H8474" s="24">
        <v>2</v>
      </c>
      <c r="I8474" s="24">
        <v>1</v>
      </c>
      <c r="J8474" s="25">
        <v>46236.855752314812</v>
      </c>
      <c r="K8474" s="24">
        <v>4</v>
      </c>
      <c r="L8474" s="22" t="str">
        <f>HYPERLINK("https://otsuka-europe-crm.veevavault.com/ui/#object/approved_document__v/V5O000000006001", "RXULTI - Comparativa antipsicóticos")</f>
        <v>RXULTI - Comparativa antipsicóticos</v>
      </c>
      <c r="M8474" s="22" t="str">
        <f>HYPERLINK("mailto:jvillalain@crm.otsuka-europe.com", "jvillalain@crm.otsuka-europe.com")</f>
        <v>jvillalain@crm.otsuka-europe.com</v>
      </c>
      <c r="N8474" s="25">
        <v>46234.366319444445</v>
      </c>
      <c r="O8474" s="14" t="str">
        <f>HYPERLINK("https://otsuka-europe-crm.veevavault.com/ui/#object/email_activity__v/V8C00000004F060", "EN-002109910")</f>
        <v>EN-002109910</v>
      </c>
    </row>
    <row r="8475" spans="1:15" ht="16" x14ac:dyDescent="0.2">
      <c r="A8475" s="26"/>
      <c r="B8475" s="26"/>
      <c r="C8475" s="26"/>
      <c r="D8475" s="26"/>
      <c r="E8475" s="26"/>
      <c r="F8475" s="26"/>
      <c r="G8475" s="26"/>
      <c r="H8475" s="26"/>
      <c r="I8475" s="26"/>
      <c r="J8475" s="26"/>
      <c r="K8475" s="26"/>
      <c r="L8475" s="26"/>
      <c r="M8475" s="26"/>
      <c r="N8475" s="26"/>
      <c r="O8475" s="14" t="str">
        <f>HYPERLINK("https://otsuka-europe-crm.veevavault.com/ui/#object/email_activity__v/V8C00000004F481", "EN-002110908")</f>
        <v>EN-002110908</v>
      </c>
    </row>
    <row r="8476" spans="1:15" ht="16" x14ac:dyDescent="0.2">
      <c r="A8476" s="26"/>
      <c r="B8476" s="26"/>
      <c r="C8476" s="26"/>
      <c r="D8476" s="26"/>
      <c r="E8476" s="26"/>
      <c r="F8476" s="26"/>
      <c r="G8476" s="26"/>
      <c r="H8476" s="26"/>
      <c r="I8476" s="26"/>
      <c r="J8476" s="26"/>
      <c r="K8476" s="26"/>
      <c r="L8476" s="26"/>
      <c r="M8476" s="26"/>
      <c r="N8476" s="26"/>
      <c r="O8476" s="14" t="str">
        <f>HYPERLINK("https://otsuka-europe-crm.veevavault.com/ui/#object/email_activity__v/V8C00000004G638", "EN-002110895")</f>
        <v>EN-002110895</v>
      </c>
    </row>
    <row r="8477" spans="1:15" ht="16" x14ac:dyDescent="0.2">
      <c r="A8477" s="26"/>
      <c r="B8477" s="26"/>
      <c r="C8477" s="26"/>
      <c r="D8477" s="26"/>
      <c r="E8477" s="26"/>
      <c r="F8477" s="26"/>
      <c r="G8477" s="26"/>
      <c r="H8477" s="26"/>
      <c r="I8477" s="26"/>
      <c r="J8477" s="26"/>
      <c r="K8477" s="26"/>
      <c r="L8477" s="26"/>
      <c r="M8477" s="26"/>
      <c r="N8477" s="26"/>
      <c r="O8477" s="14" t="str">
        <f>HYPERLINK("https://otsuka-europe-crm.veevavault.com/ui/#object/email_activity__v/V8C00000004G639", "EN-002110896")</f>
        <v>EN-002110896</v>
      </c>
    </row>
    <row r="8478" spans="1:15" ht="16" x14ac:dyDescent="0.2">
      <c r="A8478" s="26"/>
      <c r="B8478" s="26"/>
      <c r="C8478" s="26"/>
      <c r="D8478" s="26"/>
      <c r="E8478" s="26"/>
      <c r="F8478" s="26"/>
      <c r="G8478" s="26"/>
      <c r="H8478" s="26"/>
      <c r="I8478" s="26"/>
      <c r="J8478" s="26"/>
      <c r="K8478" s="26"/>
      <c r="L8478" s="26"/>
      <c r="M8478" s="26"/>
      <c r="N8478" s="26"/>
      <c r="O8478" s="14" t="str">
        <f>HYPERLINK("https://otsuka-europe-crm.veevavault.com/ui/#object/email_activity__v/V8C00000004H111", "EN-002111147")</f>
        <v>EN-002111147</v>
      </c>
    </row>
    <row r="8479" spans="1:15" ht="16" x14ac:dyDescent="0.2">
      <c r="A8479" s="26"/>
      <c r="B8479" s="26"/>
      <c r="C8479" s="26"/>
      <c r="D8479" s="26"/>
      <c r="E8479" s="26"/>
      <c r="F8479" s="26"/>
      <c r="G8479" s="26"/>
      <c r="H8479" s="26"/>
      <c r="I8479" s="26"/>
      <c r="J8479" s="26"/>
      <c r="K8479" s="26"/>
      <c r="L8479" s="26"/>
      <c r="M8479" s="26"/>
      <c r="N8479" s="26"/>
      <c r="O8479" s="14" t="str">
        <f>HYPERLINK("https://otsuka-europe-crm.veevavault.com/ui/#object/email_activity__v/V8C00000004H112", "EN-002111148")</f>
        <v>EN-002111148</v>
      </c>
    </row>
    <row r="8480" spans="1:15" ht="16" x14ac:dyDescent="0.2">
      <c r="A8480" s="26"/>
      <c r="B8480" s="26"/>
      <c r="C8480" s="26"/>
      <c r="D8480" s="26"/>
      <c r="E8480" s="26"/>
      <c r="F8480" s="26"/>
      <c r="G8480" s="26"/>
      <c r="H8480" s="26"/>
      <c r="I8480" s="26"/>
      <c r="J8480" s="26"/>
      <c r="K8480" s="26"/>
      <c r="L8480" s="26"/>
      <c r="M8480" s="26"/>
      <c r="N8480" s="26"/>
      <c r="O8480" s="14" t="str">
        <f>HYPERLINK("https://otsuka-europe-crm.veevavault.com/ui/#object/email_activity__v/V8C00000004H113", "EN-002111149")</f>
        <v>EN-002111149</v>
      </c>
    </row>
    <row r="8481" spans="1:15" ht="16" x14ac:dyDescent="0.2">
      <c r="A8481" s="26"/>
      <c r="B8481" s="26"/>
      <c r="C8481" s="26"/>
      <c r="D8481" s="26"/>
      <c r="E8481" s="26"/>
      <c r="F8481" s="26"/>
      <c r="G8481" s="26"/>
      <c r="H8481" s="26"/>
      <c r="I8481" s="26"/>
      <c r="J8481" s="26"/>
      <c r="K8481" s="26"/>
      <c r="L8481" s="26"/>
      <c r="M8481" s="26"/>
      <c r="N8481" s="26"/>
      <c r="O8481" s="14" t="str">
        <f>HYPERLINK("https://otsuka-europe-crm.veevavault.com/ui/#object/email_activity__v/V8C00000004H114", "EN-002111150")</f>
        <v>EN-002111150</v>
      </c>
    </row>
    <row r="8482" spans="1:15" ht="16" x14ac:dyDescent="0.2">
      <c r="A8482" s="26"/>
      <c r="B8482" s="26"/>
      <c r="C8482" s="26"/>
      <c r="D8482" s="26"/>
      <c r="E8482" s="26"/>
      <c r="F8482" s="26"/>
      <c r="G8482" s="26"/>
      <c r="H8482" s="26"/>
      <c r="I8482" s="26"/>
      <c r="J8482" s="26"/>
      <c r="K8482" s="26"/>
      <c r="L8482" s="26"/>
      <c r="M8482" s="26"/>
      <c r="N8482" s="26"/>
      <c r="O8482" s="14" t="str">
        <f>HYPERLINK("https://otsuka-europe-crm.veevavault.com/ui/#object/email_activity__v/V8C00000004H115", "EN-002111151")</f>
        <v>EN-002111151</v>
      </c>
    </row>
    <row r="8483" spans="1:15" ht="16" x14ac:dyDescent="0.2">
      <c r="A8483" s="26"/>
      <c r="B8483" s="26"/>
      <c r="C8483" s="26"/>
      <c r="D8483" s="26"/>
      <c r="E8483" s="26"/>
      <c r="F8483" s="26"/>
      <c r="G8483" s="26"/>
      <c r="H8483" s="26"/>
      <c r="I8483" s="26"/>
      <c r="J8483" s="26"/>
      <c r="K8483" s="26"/>
      <c r="L8483" s="26"/>
      <c r="M8483" s="26"/>
      <c r="N8483" s="26"/>
      <c r="O8483" s="14" t="str">
        <f>HYPERLINK("https://otsuka-europe-crm.veevavault.com/ui/#object/email_activity__v/V8C00000004H116", "EN-002111152")</f>
        <v>EN-002111152</v>
      </c>
    </row>
    <row r="8484" spans="1:15" ht="16" x14ac:dyDescent="0.2">
      <c r="A8484" s="26"/>
      <c r="B8484" s="26"/>
      <c r="C8484" s="26"/>
      <c r="D8484" s="26"/>
      <c r="E8484" s="26"/>
      <c r="F8484" s="26"/>
      <c r="G8484" s="26"/>
      <c r="H8484" s="26"/>
      <c r="I8484" s="26"/>
      <c r="J8484" s="26"/>
      <c r="K8484" s="26"/>
      <c r="L8484" s="26"/>
      <c r="M8484" s="26"/>
      <c r="N8484" s="26"/>
      <c r="O8484" s="14" t="str">
        <f>HYPERLINK("https://otsuka-europe-crm.veevavault.com/ui/#object/email_activity__v/V8C00000004H117", "EN-002111153")</f>
        <v>EN-002111153</v>
      </c>
    </row>
    <row r="8485" spans="1:15" ht="16" x14ac:dyDescent="0.2">
      <c r="A8485" s="26"/>
      <c r="B8485" s="26"/>
      <c r="C8485" s="26"/>
      <c r="D8485" s="26"/>
      <c r="E8485" s="26"/>
      <c r="F8485" s="26"/>
      <c r="G8485" s="26"/>
      <c r="H8485" s="26"/>
      <c r="I8485" s="26"/>
      <c r="J8485" s="26"/>
      <c r="K8485" s="26"/>
      <c r="L8485" s="26"/>
      <c r="M8485" s="26"/>
      <c r="N8485" s="26"/>
      <c r="O8485" s="14" t="str">
        <f>HYPERLINK("https://otsuka-europe-crm.veevavault.com/ui/#object/email_activity__v/V8C00000004I083", "EN-002111142")</f>
        <v>EN-002111142</v>
      </c>
    </row>
    <row r="8486" spans="1:15" ht="16" x14ac:dyDescent="0.2">
      <c r="A8486" s="26"/>
      <c r="B8486" s="26"/>
      <c r="C8486" s="26"/>
      <c r="D8486" s="26"/>
      <c r="E8486" s="26"/>
      <c r="F8486" s="26"/>
      <c r="G8486" s="26"/>
      <c r="H8486" s="26"/>
      <c r="I8486" s="26"/>
      <c r="J8486" s="26"/>
      <c r="K8486" s="26"/>
      <c r="L8486" s="26"/>
      <c r="M8486" s="26"/>
      <c r="N8486" s="26"/>
      <c r="O8486" s="14" t="str">
        <f>HYPERLINK("https://otsuka-europe-crm.veevavault.com/ui/#object/email_activity__v/V8C00000004I084", "EN-002111143")</f>
        <v>EN-002111143</v>
      </c>
    </row>
    <row r="8487" spans="1:15" ht="16" x14ac:dyDescent="0.2">
      <c r="A8487" s="26"/>
      <c r="B8487" s="26"/>
      <c r="C8487" s="26"/>
      <c r="D8487" s="26"/>
      <c r="E8487" s="26"/>
      <c r="F8487" s="26"/>
      <c r="G8487" s="26"/>
      <c r="H8487" s="26"/>
      <c r="I8487" s="26"/>
      <c r="J8487" s="26"/>
      <c r="K8487" s="26"/>
      <c r="L8487" s="26"/>
      <c r="M8487" s="26"/>
      <c r="N8487" s="26"/>
      <c r="O8487" s="14" t="str">
        <f>HYPERLINK("https://otsuka-europe-crm.veevavault.com/ui/#object/email_activity__v/V8C00000004I085", "EN-002111144")</f>
        <v>EN-002111144</v>
      </c>
    </row>
    <row r="8488" spans="1:15" ht="16" x14ac:dyDescent="0.2">
      <c r="A8488" s="19"/>
      <c r="B8488" s="19"/>
      <c r="C8488" s="19"/>
      <c r="D8488" s="19"/>
      <c r="E8488" s="19"/>
      <c r="F8488" s="19"/>
      <c r="G8488" s="19"/>
      <c r="H8488" s="19"/>
      <c r="I8488" s="19"/>
      <c r="J8488" s="19"/>
      <c r="K8488" s="19"/>
      <c r="L8488" s="19"/>
      <c r="M8488" s="19"/>
      <c r="N8488" s="19"/>
      <c r="O8488" s="14" t="str">
        <f>HYPERLINK("https://otsuka-europe-crm.veevavault.com/ui/#object/email_activity__v/V8C00000004I086", "EN-002111145")</f>
        <v>EN-002111145</v>
      </c>
    </row>
    <row r="8489" spans="1:15" ht="32" x14ac:dyDescent="0.2">
      <c r="A8489" s="7" t="str">
        <f>HYPERLINK("https://otsuka-europe-crm.veevavault.com/ui/#object/account__v/V4TZ06G6O71T8QM", "MARIA NIEVES DE URIBE VILORIA")</f>
        <v>MARIA NIEVES DE URIBE VILORIA</v>
      </c>
      <c r="B8489" s="7" t="str">
        <f t="shared" ref="B8489:B8497" si="307">HYPERLINK("https://otsuka-europe-crm.veevavault.com/ui/#object/vcountry__v/VENZ000004SONF5", "ES")</f>
        <v>ES</v>
      </c>
      <c r="C8489" s="8" t="s">
        <v>39</v>
      </c>
      <c r="D8489" s="9" t="str">
        <f t="shared" ref="D8489:D8496" si="308">HYPERLINK("https://otsuka-europe-crm.veevavault.com/ui/#object/approved_document__v/V5O000000006001", "RXULTI - Comparativa antipsicóticos")</f>
        <v>RXULTI - Comparativa antipsicóticos</v>
      </c>
      <c r="E8489" s="10" t="str">
        <f>HYPERLINK("https://otsuka-europe-crm.veevavault.com/ui/#object/sent_email__v/VBL00000003H148", "SE-001448463")</f>
        <v>SE-001448463</v>
      </c>
      <c r="F8489" s="11"/>
      <c r="G8489" s="12">
        <v>0</v>
      </c>
      <c r="H8489" s="12">
        <v>0</v>
      </c>
      <c r="I8489" s="12">
        <v>0</v>
      </c>
      <c r="J8489" s="11"/>
      <c r="K8489" s="12">
        <v>0</v>
      </c>
      <c r="L8489" s="10" t="str">
        <f t="shared" ref="L8489:L8496" si="309">HYPERLINK("https://otsuka-europe-crm.veevavault.com/ui/#object/approved_document__v/V5O000000006001", "RXULTI - Comparativa antipsicóticos")</f>
        <v>RXULTI - Comparativa antipsicóticos</v>
      </c>
      <c r="M8489" s="10" t="str">
        <f t="shared" ref="M8489:M8496" si="310">HYPERLINK("mailto:jvillalain@crm.otsuka-europe.com", "jvillalain@crm.otsuka-europe.com")</f>
        <v>jvillalain@crm.otsuka-europe.com</v>
      </c>
      <c r="N8489" s="13">
        <v>46234.365995370368</v>
      </c>
      <c r="O8489" s="14" t="str">
        <f>HYPERLINK("https://otsuka-europe-crm.veevavault.com/ui/#object/email_activity__v/V8C00000004F045", "EN-002109895")</f>
        <v>EN-002109895</v>
      </c>
    </row>
    <row r="8490" spans="1:15" ht="32" x14ac:dyDescent="0.2">
      <c r="A8490" s="7" t="str">
        <f>HYPERLINK("https://otsuka-europe-crm.veevavault.com/ui/#object/account__v/V4TZ06G6OB4B663", "SARA CABEZAS GUTIERREZ")</f>
        <v>SARA CABEZAS GUTIERREZ</v>
      </c>
      <c r="B8490" s="7" t="str">
        <f t="shared" si="307"/>
        <v>ES</v>
      </c>
      <c r="C8490" s="8" t="s">
        <v>39</v>
      </c>
      <c r="D8490" s="9" t="str">
        <f t="shared" si="308"/>
        <v>RXULTI - Comparativa antipsicóticos</v>
      </c>
      <c r="E8490" s="10" t="str">
        <f>HYPERLINK("https://otsuka-europe-crm.veevavault.com/ui/#object/sent_email__v/VBL00000003H149", "SE-001448464")</f>
        <v>SE-001448464</v>
      </c>
      <c r="F8490" s="11"/>
      <c r="G8490" s="12">
        <v>0</v>
      </c>
      <c r="H8490" s="12">
        <v>0</v>
      </c>
      <c r="I8490" s="12">
        <v>0</v>
      </c>
      <c r="J8490" s="11"/>
      <c r="K8490" s="12">
        <v>0</v>
      </c>
      <c r="L8490" s="10" t="str">
        <f t="shared" si="309"/>
        <v>RXULTI - Comparativa antipsicóticos</v>
      </c>
      <c r="M8490" s="10" t="str">
        <f t="shared" si="310"/>
        <v>jvillalain@crm.otsuka-europe.com</v>
      </c>
      <c r="N8490" s="13">
        <v>46234.366006944445</v>
      </c>
      <c r="O8490" s="14" t="str">
        <f>HYPERLINK("https://otsuka-europe-crm.veevavault.com/ui/#object/email_activity__v/V8C00000004F047", "EN-002109897")</f>
        <v>EN-002109897</v>
      </c>
    </row>
    <row r="8491" spans="1:15" ht="32" x14ac:dyDescent="0.2">
      <c r="A8491" s="7" t="str">
        <f>HYPERLINK("https://otsuka-europe-crm.veevavault.com/ui/#object/account__v/V4TZ06G6O8S6NNG", "RAMON PALENCIA ERCILLA")</f>
        <v>RAMON PALENCIA ERCILLA</v>
      </c>
      <c r="B8491" s="7" t="str">
        <f t="shared" si="307"/>
        <v>ES</v>
      </c>
      <c r="C8491" s="8" t="s">
        <v>39</v>
      </c>
      <c r="D8491" s="9" t="str">
        <f t="shared" si="308"/>
        <v>RXULTI - Comparativa antipsicóticos</v>
      </c>
      <c r="E8491" s="10" t="str">
        <f>HYPERLINK("https://otsuka-europe-crm.veevavault.com/ui/#object/sent_email__v/VBL00000003H150", "SE-001448465")</f>
        <v>SE-001448465</v>
      </c>
      <c r="F8491" s="11"/>
      <c r="G8491" s="12">
        <v>0</v>
      </c>
      <c r="H8491" s="12">
        <v>0</v>
      </c>
      <c r="I8491" s="12">
        <v>0</v>
      </c>
      <c r="J8491" s="11"/>
      <c r="K8491" s="12">
        <v>0</v>
      </c>
      <c r="L8491" s="10" t="str">
        <f t="shared" si="309"/>
        <v>RXULTI - Comparativa antipsicóticos</v>
      </c>
      <c r="M8491" s="10" t="str">
        <f t="shared" si="310"/>
        <v>jvillalain@crm.otsuka-europe.com</v>
      </c>
      <c r="N8491" s="13">
        <v>46234.366319444445</v>
      </c>
      <c r="O8491" s="14" t="str">
        <f>HYPERLINK("https://otsuka-europe-crm.veevavault.com/ui/#object/email_activity__v/V8C00000004F095", "EN-002109995")</f>
        <v>EN-002109995</v>
      </c>
    </row>
    <row r="8492" spans="1:15" ht="32" x14ac:dyDescent="0.2">
      <c r="A8492" s="7" t="str">
        <f>HYPERLINK("https://otsuka-europe-crm.veevavault.com/ui/#object/account__v/V4TZ06G6O71TBM5", "ENRIQUE PEREZ RUIZ")</f>
        <v>ENRIQUE PEREZ RUIZ</v>
      </c>
      <c r="B8492" s="7" t="str">
        <f t="shared" si="307"/>
        <v>ES</v>
      </c>
      <c r="C8492" s="8" t="s">
        <v>39</v>
      </c>
      <c r="D8492" s="9" t="str">
        <f t="shared" si="308"/>
        <v>RXULTI - Comparativa antipsicóticos</v>
      </c>
      <c r="E8492" s="10" t="str">
        <f>HYPERLINK("https://otsuka-europe-crm.veevavault.com/ui/#object/sent_email__v/VBL00000003H151", "SE-001448466")</f>
        <v>SE-001448466</v>
      </c>
      <c r="F8492" s="11"/>
      <c r="G8492" s="12">
        <v>0</v>
      </c>
      <c r="H8492" s="12">
        <v>0</v>
      </c>
      <c r="I8492" s="12">
        <v>0</v>
      </c>
      <c r="J8492" s="11"/>
      <c r="K8492" s="12">
        <v>0</v>
      </c>
      <c r="L8492" s="10" t="str">
        <f t="shared" si="309"/>
        <v>RXULTI - Comparativa antipsicóticos</v>
      </c>
      <c r="M8492" s="10" t="str">
        <f t="shared" si="310"/>
        <v>jvillalain@crm.otsuka-europe.com</v>
      </c>
      <c r="N8492" s="13">
        <v>46234.366319444445</v>
      </c>
      <c r="O8492" s="14" t="str">
        <f>HYPERLINK("https://otsuka-europe-crm.veevavault.com/ui/#object/email_activity__v/V8C00000004F099", "EN-002110005")</f>
        <v>EN-002110005</v>
      </c>
    </row>
    <row r="8493" spans="1:15" ht="32" x14ac:dyDescent="0.2">
      <c r="A8493" s="7" t="str">
        <f>HYPERLINK("https://otsuka-europe-crm.veevavault.com/ui/#object/account__v/V4T000000011055", "ANDREA GARCIA GONZALEZ")</f>
        <v>ANDREA GARCIA GONZALEZ</v>
      </c>
      <c r="B8493" s="7" t="str">
        <f t="shared" si="307"/>
        <v>ES</v>
      </c>
      <c r="C8493" s="8" t="s">
        <v>39</v>
      </c>
      <c r="D8493" s="9" t="str">
        <f t="shared" si="308"/>
        <v>RXULTI - Comparativa antipsicóticos</v>
      </c>
      <c r="E8493" s="10" t="str">
        <f>HYPERLINK("https://otsuka-europe-crm.veevavault.com/ui/#object/sent_email__v/VBL00000003H152", "SE-001448467")</f>
        <v>SE-001448467</v>
      </c>
      <c r="F8493" s="11"/>
      <c r="G8493" s="12">
        <v>0</v>
      </c>
      <c r="H8493" s="12">
        <v>0</v>
      </c>
      <c r="I8493" s="12">
        <v>0</v>
      </c>
      <c r="J8493" s="11"/>
      <c r="K8493" s="12">
        <v>0</v>
      </c>
      <c r="L8493" s="10" t="str">
        <f t="shared" si="309"/>
        <v>RXULTI - Comparativa antipsicóticos</v>
      </c>
      <c r="M8493" s="10" t="str">
        <f t="shared" si="310"/>
        <v>jvillalain@crm.otsuka-europe.com</v>
      </c>
      <c r="N8493" s="13">
        <v>46234.366319444445</v>
      </c>
      <c r="O8493" s="14" t="str">
        <f>HYPERLINK("https://otsuka-europe-crm.veevavault.com/ui/#object/email_activity__v/V8C00000004F055", "EN-002109905")</f>
        <v>EN-002109905</v>
      </c>
    </row>
    <row r="8494" spans="1:15" ht="32" x14ac:dyDescent="0.2">
      <c r="A8494" s="7" t="str">
        <f>HYPERLINK("https://otsuka-europe-crm.veevavault.com/ui/#object/account__v/V4TZ06G6OB43WLS", "ESPERANZA GOMEZ FERNANDEZ")</f>
        <v>ESPERANZA GOMEZ FERNANDEZ</v>
      </c>
      <c r="B8494" s="7" t="str">
        <f t="shared" si="307"/>
        <v>ES</v>
      </c>
      <c r="C8494" s="8" t="s">
        <v>39</v>
      </c>
      <c r="D8494" s="9" t="str">
        <f t="shared" si="308"/>
        <v>RXULTI - Comparativa antipsicóticos</v>
      </c>
      <c r="E8494" s="10" t="str">
        <f>HYPERLINK("https://otsuka-europe-crm.veevavault.com/ui/#object/sent_email__v/VBL00000003H153", "SE-001448468")</f>
        <v>SE-001448468</v>
      </c>
      <c r="F8494" s="11"/>
      <c r="G8494" s="12">
        <v>0</v>
      </c>
      <c r="H8494" s="12">
        <v>0</v>
      </c>
      <c r="I8494" s="12">
        <v>0</v>
      </c>
      <c r="J8494" s="11"/>
      <c r="K8494" s="12">
        <v>0</v>
      </c>
      <c r="L8494" s="10" t="str">
        <f t="shared" si="309"/>
        <v>RXULTI - Comparativa antipsicóticos</v>
      </c>
      <c r="M8494" s="10" t="str">
        <f t="shared" si="310"/>
        <v>jvillalain@crm.otsuka-europe.com</v>
      </c>
      <c r="N8494" s="13">
        <v>46234.366319444445</v>
      </c>
      <c r="O8494" s="14" t="str">
        <f>HYPERLINK("https://otsuka-europe-crm.veevavault.com/ui/#object/email_activity__v/V8C00000004G133", "EN-002110021")</f>
        <v>EN-002110021</v>
      </c>
    </row>
    <row r="8495" spans="1:15" ht="32" x14ac:dyDescent="0.2">
      <c r="A8495" s="7" t="str">
        <f>HYPERLINK("https://otsuka-europe-crm.veevavault.com/ui/#object/account__v/V4TZ04ASG88DBC7", "MARIA CARMEN VALLECILLO ADAME")</f>
        <v>MARIA CARMEN VALLECILLO ADAME</v>
      </c>
      <c r="B8495" s="7" t="str">
        <f t="shared" si="307"/>
        <v>ES</v>
      </c>
      <c r="C8495" s="8" t="s">
        <v>39</v>
      </c>
      <c r="D8495" s="9" t="str">
        <f t="shared" si="308"/>
        <v>RXULTI - Comparativa antipsicóticos</v>
      </c>
      <c r="E8495" s="10" t="str">
        <f>HYPERLINK("https://otsuka-europe-crm.veevavault.com/ui/#object/sent_email__v/VBL00000003H154", "SE-001448469")</f>
        <v>SE-001448469</v>
      </c>
      <c r="F8495" s="11"/>
      <c r="G8495" s="12">
        <v>0</v>
      </c>
      <c r="H8495" s="12">
        <v>0</v>
      </c>
      <c r="I8495" s="12">
        <v>0</v>
      </c>
      <c r="J8495" s="11"/>
      <c r="K8495" s="12">
        <v>0</v>
      </c>
      <c r="L8495" s="10" t="str">
        <f t="shared" si="309"/>
        <v>RXULTI - Comparativa antipsicóticos</v>
      </c>
      <c r="M8495" s="10" t="str">
        <f t="shared" si="310"/>
        <v>jvillalain@crm.otsuka-europe.com</v>
      </c>
      <c r="N8495" s="13">
        <v>46234.366319444445</v>
      </c>
      <c r="O8495" s="14" t="str">
        <f>HYPERLINK("https://otsuka-europe-crm.veevavault.com/ui/#object/email_activity__v/V8C00000004G138", "EN-002110026")</f>
        <v>EN-002110026</v>
      </c>
    </row>
    <row r="8496" spans="1:15" ht="32" x14ac:dyDescent="0.2">
      <c r="A8496" s="7" t="str">
        <f>HYPERLINK("https://otsuka-europe-crm.veevavault.com/ui/#object/account__v/V4TZ06G6O71TCBT", "ANA CRISTINA TORCAL PENA")</f>
        <v>ANA CRISTINA TORCAL PENA</v>
      </c>
      <c r="B8496" s="7" t="str">
        <f t="shared" si="307"/>
        <v>ES</v>
      </c>
      <c r="C8496" s="8" t="s">
        <v>39</v>
      </c>
      <c r="D8496" s="9" t="str">
        <f t="shared" si="308"/>
        <v>RXULTI - Comparativa antipsicóticos</v>
      </c>
      <c r="E8496" s="10" t="str">
        <f>HYPERLINK("https://otsuka-europe-crm.veevavault.com/ui/#object/sent_email__v/VBL00000003H155", "SE-001448470")</f>
        <v>SE-001448470</v>
      </c>
      <c r="F8496" s="11"/>
      <c r="G8496" s="12">
        <v>0</v>
      </c>
      <c r="H8496" s="12">
        <v>0</v>
      </c>
      <c r="I8496" s="12">
        <v>0</v>
      </c>
      <c r="J8496" s="11"/>
      <c r="K8496" s="12">
        <v>0</v>
      </c>
      <c r="L8496" s="10" t="str">
        <f t="shared" si="309"/>
        <v>RXULTI - Comparativa antipsicóticos</v>
      </c>
      <c r="M8496" s="10" t="str">
        <f t="shared" si="310"/>
        <v>jvillalain@crm.otsuka-europe.com</v>
      </c>
      <c r="N8496" s="13">
        <v>46234.366319444445</v>
      </c>
      <c r="O8496" s="14" t="str">
        <f>HYPERLINK("https://otsuka-europe-crm.veevavault.com/ui/#object/email_activity__v/V8C00000004G076", "EN-002109926")</f>
        <v>EN-002109926</v>
      </c>
    </row>
    <row r="8497" spans="1:15" ht="16" x14ac:dyDescent="0.2">
      <c r="A8497" s="18" t="str">
        <f>HYPERLINK("https://otsuka-europe-crm.veevavault.com/ui/#object/account__v/V4TZ04ASGEI38TH", "JOSE MIGUEL GUTIERREZ CARRILLO")</f>
        <v>JOSE MIGUEL GUTIERREZ CARRILLO</v>
      </c>
      <c r="B8497" s="18" t="str">
        <f t="shared" si="307"/>
        <v>ES</v>
      </c>
      <c r="C8497" s="20" t="s">
        <v>39</v>
      </c>
      <c r="D8497" s="21" t="str">
        <f>HYPERLINK("https://otsuka-europe-crm.veevavault.com/ui/#object/approved_document__v/V5O00000000L011", "Libro IA en psiquiatría")</f>
        <v>Libro IA en psiquiatría</v>
      </c>
      <c r="E8497" s="22" t="str">
        <f>HYPERLINK("https://otsuka-europe-crm.veevavault.com/ui/#object/sent_email__v/VBL00000003G019", "SE-001448471")</f>
        <v>SE-001448471</v>
      </c>
      <c r="F8497" s="25">
        <v>46237.790405092594</v>
      </c>
      <c r="G8497" s="24">
        <v>1</v>
      </c>
      <c r="H8497" s="24">
        <v>5</v>
      </c>
      <c r="I8497" s="24">
        <v>1</v>
      </c>
      <c r="J8497" s="25">
        <v>46237.790532407409</v>
      </c>
      <c r="K8497" s="24">
        <v>4</v>
      </c>
      <c r="L8497" s="22" t="str">
        <f>HYPERLINK("https://otsuka-europe-crm.veevavault.com/ui/#object/approved_document__v/V5O00000000L011", "Libro IA en psiquiatría")</f>
        <v>Libro IA en psiquiatría</v>
      </c>
      <c r="M8497" s="22" t="str">
        <f>HYPERLINK("mailto:sdiez@crm.otsuka-europe.com", "sdiez@crm.otsuka-europe.com")</f>
        <v>sdiez@crm.otsuka-europe.com</v>
      </c>
      <c r="N8497" s="25">
        <v>46234.417974537035</v>
      </c>
      <c r="O8497" s="14" t="str">
        <f>HYPERLINK("https://otsuka-europe-crm.veevavault.com/ui/#object/email_activity__v/V8C00000004F139", "EN-002110079")</f>
        <v>EN-002110079</v>
      </c>
    </row>
    <row r="8498" spans="1:15" ht="16" x14ac:dyDescent="0.2">
      <c r="A8498" s="26"/>
      <c r="B8498" s="26"/>
      <c r="C8498" s="26"/>
      <c r="D8498" s="26"/>
      <c r="E8498" s="26"/>
      <c r="F8498" s="26"/>
      <c r="G8498" s="26"/>
      <c r="H8498" s="26"/>
      <c r="I8498" s="26"/>
      <c r="J8498" s="26"/>
      <c r="K8498" s="26"/>
      <c r="L8498" s="26"/>
      <c r="M8498" s="26"/>
      <c r="N8498" s="26"/>
      <c r="O8498" s="14" t="str">
        <f>HYPERLINK("https://otsuka-europe-crm.veevavault.com/ui/#object/email_activity__v/V8C00000004G191", "EN-002110145")</f>
        <v>EN-002110145</v>
      </c>
    </row>
    <row r="8499" spans="1:15" ht="16" x14ac:dyDescent="0.2">
      <c r="A8499" s="26"/>
      <c r="B8499" s="26"/>
      <c r="C8499" s="26"/>
      <c r="D8499" s="26"/>
      <c r="E8499" s="26"/>
      <c r="F8499" s="26"/>
      <c r="G8499" s="26"/>
      <c r="H8499" s="26"/>
      <c r="I8499" s="26"/>
      <c r="J8499" s="26"/>
      <c r="K8499" s="26"/>
      <c r="L8499" s="26"/>
      <c r="M8499" s="26"/>
      <c r="N8499" s="26"/>
      <c r="O8499" s="14" t="str">
        <f>HYPERLINK("https://otsuka-europe-crm.veevavault.com/ui/#object/email_activity__v/V8C00000004G509", "EN-002110651")</f>
        <v>EN-002110651</v>
      </c>
    </row>
    <row r="8500" spans="1:15" ht="16" x14ac:dyDescent="0.2">
      <c r="A8500" s="26"/>
      <c r="B8500" s="26"/>
      <c r="C8500" s="26"/>
      <c r="D8500" s="26"/>
      <c r="E8500" s="26"/>
      <c r="F8500" s="26"/>
      <c r="G8500" s="26"/>
      <c r="H8500" s="26"/>
      <c r="I8500" s="26"/>
      <c r="J8500" s="26"/>
      <c r="K8500" s="26"/>
      <c r="L8500" s="26"/>
      <c r="M8500" s="26"/>
      <c r="N8500" s="26"/>
      <c r="O8500" s="14" t="str">
        <f>HYPERLINK("https://otsuka-europe-crm.veevavault.com/ui/#object/email_activity__v/V8C00000004G512", "EN-002110654")</f>
        <v>EN-002110654</v>
      </c>
    </row>
    <row r="8501" spans="1:15" ht="16" x14ac:dyDescent="0.2">
      <c r="A8501" s="26"/>
      <c r="B8501" s="26"/>
      <c r="C8501" s="26"/>
      <c r="D8501" s="26"/>
      <c r="E8501" s="26"/>
      <c r="F8501" s="26"/>
      <c r="G8501" s="26"/>
      <c r="H8501" s="26"/>
      <c r="I8501" s="26"/>
      <c r="J8501" s="26"/>
      <c r="K8501" s="26"/>
      <c r="L8501" s="26"/>
      <c r="M8501" s="26"/>
      <c r="N8501" s="26"/>
      <c r="O8501" s="14" t="str">
        <f>HYPERLINK("https://otsuka-europe-crm.veevavault.com/ui/#object/email_activity__v/V8C00000004G580", "EN-002110761")</f>
        <v>EN-002110761</v>
      </c>
    </row>
    <row r="8502" spans="1:15" ht="16" x14ac:dyDescent="0.2">
      <c r="A8502" s="26"/>
      <c r="B8502" s="26"/>
      <c r="C8502" s="26"/>
      <c r="D8502" s="26"/>
      <c r="E8502" s="26"/>
      <c r="F8502" s="26"/>
      <c r="G8502" s="26"/>
      <c r="H8502" s="26"/>
      <c r="I8502" s="26"/>
      <c r="J8502" s="26"/>
      <c r="K8502" s="26"/>
      <c r="L8502" s="26"/>
      <c r="M8502" s="26"/>
      <c r="N8502" s="26"/>
      <c r="O8502" s="14" t="str">
        <f>HYPERLINK("https://otsuka-europe-crm.veevavault.com/ui/#object/email_activity__v/V8C00000004G616", "EN-002110827")</f>
        <v>EN-002110827</v>
      </c>
    </row>
    <row r="8503" spans="1:15" ht="16" x14ac:dyDescent="0.2">
      <c r="A8503" s="26"/>
      <c r="B8503" s="26"/>
      <c r="C8503" s="26"/>
      <c r="D8503" s="26"/>
      <c r="E8503" s="26"/>
      <c r="F8503" s="26"/>
      <c r="G8503" s="26"/>
      <c r="H8503" s="26"/>
      <c r="I8503" s="26"/>
      <c r="J8503" s="26"/>
      <c r="K8503" s="26"/>
      <c r="L8503" s="26"/>
      <c r="M8503" s="26"/>
      <c r="N8503" s="26"/>
      <c r="O8503" s="14" t="str">
        <f>HYPERLINK("https://otsuka-europe-crm.veevavault.com/ui/#object/email_activity__v/V8C00000004H072", "EN-002111066")</f>
        <v>EN-002111066</v>
      </c>
    </row>
    <row r="8504" spans="1:15" ht="16" x14ac:dyDescent="0.2">
      <c r="A8504" s="26"/>
      <c r="B8504" s="26"/>
      <c r="C8504" s="26"/>
      <c r="D8504" s="26"/>
      <c r="E8504" s="26"/>
      <c r="F8504" s="26"/>
      <c r="G8504" s="26"/>
      <c r="H8504" s="26"/>
      <c r="I8504" s="26"/>
      <c r="J8504" s="26"/>
      <c r="K8504" s="26"/>
      <c r="L8504" s="26"/>
      <c r="M8504" s="26"/>
      <c r="N8504" s="26"/>
      <c r="O8504" s="14" t="str">
        <f>HYPERLINK("https://otsuka-europe-crm.veevavault.com/ui/#object/email_activity__v/V8C00000004H073", "EN-002111067")</f>
        <v>EN-002111067</v>
      </c>
    </row>
    <row r="8505" spans="1:15" ht="16" x14ac:dyDescent="0.2">
      <c r="A8505" s="26"/>
      <c r="B8505" s="26"/>
      <c r="C8505" s="26"/>
      <c r="D8505" s="26"/>
      <c r="E8505" s="26"/>
      <c r="F8505" s="26"/>
      <c r="G8505" s="26"/>
      <c r="H8505" s="26"/>
      <c r="I8505" s="26"/>
      <c r="J8505" s="26"/>
      <c r="K8505" s="26"/>
      <c r="L8505" s="26"/>
      <c r="M8505" s="26"/>
      <c r="N8505" s="26"/>
      <c r="O8505" s="14" t="str">
        <f>HYPERLINK("https://otsuka-europe-crm.veevavault.com/ui/#object/email_activity__v/V8C00000004I124", "EN-002111231")</f>
        <v>EN-002111231</v>
      </c>
    </row>
    <row r="8506" spans="1:15" ht="16" x14ac:dyDescent="0.2">
      <c r="A8506" s="26"/>
      <c r="B8506" s="26"/>
      <c r="C8506" s="26"/>
      <c r="D8506" s="26"/>
      <c r="E8506" s="26"/>
      <c r="F8506" s="26"/>
      <c r="G8506" s="26"/>
      <c r="H8506" s="26"/>
      <c r="I8506" s="26"/>
      <c r="J8506" s="26"/>
      <c r="K8506" s="26"/>
      <c r="L8506" s="26"/>
      <c r="M8506" s="26"/>
      <c r="N8506" s="26"/>
      <c r="O8506" s="14" t="str">
        <f>HYPERLINK("https://otsuka-europe-crm.veevavault.com/ui/#object/email_activity__v/V8C00000004I173", "EN-002111360")</f>
        <v>EN-002111360</v>
      </c>
    </row>
    <row r="8507" spans="1:15" ht="16" x14ac:dyDescent="0.2">
      <c r="A8507" s="26"/>
      <c r="B8507" s="26"/>
      <c r="C8507" s="26"/>
      <c r="D8507" s="26"/>
      <c r="E8507" s="26"/>
      <c r="F8507" s="26"/>
      <c r="G8507" s="26"/>
      <c r="H8507" s="26"/>
      <c r="I8507" s="26"/>
      <c r="J8507" s="26"/>
      <c r="K8507" s="26"/>
      <c r="L8507" s="26"/>
      <c r="M8507" s="26"/>
      <c r="N8507" s="26"/>
      <c r="O8507" s="14" t="str">
        <f>HYPERLINK("https://otsuka-europe-crm.veevavault.com/ui/#object/email_activity__v/V8C00000004I174", "EN-002111361")</f>
        <v>EN-002111361</v>
      </c>
    </row>
    <row r="8508" spans="1:15" ht="16" x14ac:dyDescent="0.2">
      <c r="A8508" s="19"/>
      <c r="B8508" s="19"/>
      <c r="C8508" s="19"/>
      <c r="D8508" s="19"/>
      <c r="E8508" s="19"/>
      <c r="F8508" s="19"/>
      <c r="G8508" s="19"/>
      <c r="H8508" s="19"/>
      <c r="I8508" s="19"/>
      <c r="J8508" s="19"/>
      <c r="K8508" s="19"/>
      <c r="L8508" s="19"/>
      <c r="M8508" s="19"/>
      <c r="N8508" s="19"/>
      <c r="O8508" s="14" t="str">
        <f>HYPERLINK("https://otsuka-europe-crm.veevavault.com/ui/#object/email_activity__v/V8C00000004I175", "EN-002111362")</f>
        <v>EN-002111362</v>
      </c>
    </row>
    <row r="8509" spans="1:15" ht="32" x14ac:dyDescent="0.2">
      <c r="A8509" s="7" t="str">
        <f>HYPERLINK("https://otsuka-europe-crm.veevavault.com/ui/#object/account__v/V4TZ06G6O71TB5C", "CARMEN MIÑAMBRES VILLAR")</f>
        <v>CARMEN MIÑAMBRES VILLAR</v>
      </c>
      <c r="B8509" s="7" t="str">
        <f>HYPERLINK("https://otsuka-europe-crm.veevavault.com/ui/#object/vcountry__v/VENZ000004SONF5", "ES")</f>
        <v>ES</v>
      </c>
      <c r="C8509" s="8" t="s">
        <v>39</v>
      </c>
      <c r="D8509" s="9" t="str">
        <f>HYPERLINK("https://otsuka-europe-crm.veevavault.com/ui/#object/approved_document__v/V5O00000000L011", "Libro IA en psiquiatría")</f>
        <v>Libro IA en psiquiatría</v>
      </c>
      <c r="E8509" s="10" t="str">
        <f>HYPERLINK("https://otsuka-europe-crm.veevavault.com/ui/#object/sent_email__v/VBL00000003G020", "SE-001448472")</f>
        <v>SE-001448472</v>
      </c>
      <c r="F8509" s="11"/>
      <c r="G8509" s="12">
        <v>0</v>
      </c>
      <c r="H8509" s="12">
        <v>0</v>
      </c>
      <c r="I8509" s="12">
        <v>0</v>
      </c>
      <c r="J8509" s="11"/>
      <c r="K8509" s="12">
        <v>0</v>
      </c>
      <c r="L8509" s="10" t="str">
        <f>HYPERLINK("https://otsuka-europe-crm.veevavault.com/ui/#object/approved_document__v/V5O00000000L011", "Libro IA en psiquiatría")</f>
        <v>Libro IA en psiquiatría</v>
      </c>
      <c r="M8509" s="10" t="str">
        <f>HYPERLINK("mailto:sdiez@crm.otsuka-europe.com", "sdiez@crm.otsuka-europe.com")</f>
        <v>sdiez@crm.otsuka-europe.com</v>
      </c>
      <c r="N8509" s="13">
        <v>46234.417986111112</v>
      </c>
      <c r="O8509" s="14" t="str">
        <f>HYPERLINK("https://otsuka-europe-crm.veevavault.com/ui/#object/email_activity__v/V8C00000004G162", "EN-002110097")</f>
        <v>EN-002110097</v>
      </c>
    </row>
    <row r="8510" spans="1:15" ht="16" x14ac:dyDescent="0.2">
      <c r="A8510" s="18" t="str">
        <f>HYPERLINK("https://otsuka-europe-crm.veevavault.com/ui/#object/account__v/V4T00000000D021", "TOMAS MADRUGA MIRANDA")</f>
        <v>TOMAS MADRUGA MIRANDA</v>
      </c>
      <c r="B8510" s="18" t="str">
        <f>HYPERLINK("https://otsuka-europe-crm.veevavault.com/ui/#object/vcountry__v/VENZ000004SONF5", "ES")</f>
        <v>ES</v>
      </c>
      <c r="C8510" s="20" t="s">
        <v>39</v>
      </c>
      <c r="D8510" s="21" t="str">
        <f>HYPERLINK("https://otsuka-europe-crm.veevavault.com/ui/#object/approved_document__v/V5O00000000L011", "Libro IA en psiquiatría")</f>
        <v>Libro IA en psiquiatría</v>
      </c>
      <c r="E8510" s="22" t="str">
        <f>HYPERLINK("https://otsuka-europe-crm.veevavault.com/ui/#object/sent_email__v/VBL00000003G021", "SE-001448473")</f>
        <v>SE-001448473</v>
      </c>
      <c r="F8510" s="25">
        <v>46234.472719907404</v>
      </c>
      <c r="G8510" s="24">
        <v>1</v>
      </c>
      <c r="H8510" s="24">
        <v>2</v>
      </c>
      <c r="I8510" s="24">
        <v>0</v>
      </c>
      <c r="J8510" s="23"/>
      <c r="K8510" s="24">
        <v>0</v>
      </c>
      <c r="L8510" s="22" t="str">
        <f>HYPERLINK("https://otsuka-europe-crm.veevavault.com/ui/#object/approved_document__v/V5O00000000L011", "Libro IA en psiquiatría")</f>
        <v>Libro IA en psiquiatría</v>
      </c>
      <c r="M8510" s="22" t="str">
        <f>HYPERLINK("mailto:sdiez@crm.otsuka-europe.com", "sdiez@crm.otsuka-europe.com")</f>
        <v>sdiez@crm.otsuka-europe.com</v>
      </c>
      <c r="N8510" s="25">
        <v>46234.417974537035</v>
      </c>
      <c r="O8510" s="14" t="str">
        <f>HYPERLINK("https://otsuka-europe-crm.veevavault.com/ui/#object/email_activity__v/V8C00000004F146", "EN-002110086")</f>
        <v>EN-002110086</v>
      </c>
    </row>
    <row r="8511" spans="1:15" ht="16" x14ac:dyDescent="0.2">
      <c r="A8511" s="26"/>
      <c r="B8511" s="26"/>
      <c r="C8511" s="26"/>
      <c r="D8511" s="26"/>
      <c r="E8511" s="26"/>
      <c r="F8511" s="26"/>
      <c r="G8511" s="26"/>
      <c r="H8511" s="26"/>
      <c r="I8511" s="26"/>
      <c r="J8511" s="26"/>
      <c r="K8511" s="26"/>
      <c r="L8511" s="26"/>
      <c r="M8511" s="26"/>
      <c r="N8511" s="26"/>
      <c r="O8511" s="14" t="str">
        <f>HYPERLINK("https://otsuka-europe-crm.veevavault.com/ui/#object/email_activity__v/V8C00000004F279", "EN-002110477")</f>
        <v>EN-002110477</v>
      </c>
    </row>
    <row r="8512" spans="1:15" ht="16" x14ac:dyDescent="0.2">
      <c r="A8512" s="19"/>
      <c r="B8512" s="19"/>
      <c r="C8512" s="19"/>
      <c r="D8512" s="19"/>
      <c r="E8512" s="19"/>
      <c r="F8512" s="19"/>
      <c r="G8512" s="19"/>
      <c r="H8512" s="19"/>
      <c r="I8512" s="19"/>
      <c r="J8512" s="19"/>
      <c r="K8512" s="19"/>
      <c r="L8512" s="19"/>
      <c r="M8512" s="19"/>
      <c r="N8512" s="19"/>
      <c r="O8512" s="14" t="str">
        <f>HYPERLINK("https://otsuka-europe-crm.veevavault.com/ui/#object/email_activity__v/V8C00000004F280", "EN-002110478")</f>
        <v>EN-002110478</v>
      </c>
    </row>
    <row r="8513" spans="1:15" ht="32" x14ac:dyDescent="0.2">
      <c r="A8513" s="7" t="str">
        <f>HYPERLINK("https://otsuka-europe-crm.veevavault.com/ui/#object/account__v/V4TZ06G6O71T8PI", "ESTER PEÑA HERRERO")</f>
        <v>ESTER PEÑA HERRERO</v>
      </c>
      <c r="B8513" s="7" t="str">
        <f>HYPERLINK("https://otsuka-europe-crm.veevavault.com/ui/#object/vcountry__v/VENZ000004SONF5", "ES")</f>
        <v>ES</v>
      </c>
      <c r="C8513" s="8" t="s">
        <v>39</v>
      </c>
      <c r="D8513" s="9" t="str">
        <f>HYPERLINK("https://otsuka-europe-crm.veevavault.com/ui/#object/approved_document__v/V5O00000000L011", "Libro IA en psiquiatría")</f>
        <v>Libro IA en psiquiatría</v>
      </c>
      <c r="E8513" s="10" t="str">
        <f>HYPERLINK("https://otsuka-europe-crm.veevavault.com/ui/#object/sent_email__v/VBL00000003G022", "SE-001448474")</f>
        <v>SE-001448474</v>
      </c>
      <c r="F8513" s="11"/>
      <c r="G8513" s="12">
        <v>0</v>
      </c>
      <c r="H8513" s="12">
        <v>0</v>
      </c>
      <c r="I8513" s="12">
        <v>0</v>
      </c>
      <c r="J8513" s="11"/>
      <c r="K8513" s="12">
        <v>0</v>
      </c>
      <c r="L8513" s="10" t="str">
        <f>HYPERLINK("https://otsuka-europe-crm.veevavault.com/ui/#object/approved_document__v/V5O00000000L011", "Libro IA en psiquiatría")</f>
        <v>Libro IA en psiquiatría</v>
      </c>
      <c r="M8513" s="10" t="str">
        <f>HYPERLINK("mailto:sdiez@crm.otsuka-europe.com", "sdiez@crm.otsuka-europe.com")</f>
        <v>sdiez@crm.otsuka-europe.com</v>
      </c>
      <c r="N8513" s="13">
        <v>46234.417997685188</v>
      </c>
      <c r="O8513" s="14" t="str">
        <f>HYPERLINK("https://otsuka-europe-crm.veevavault.com/ui/#object/email_activity__v/V8C00000004G159", "EN-002110094")</f>
        <v>EN-002110094</v>
      </c>
    </row>
    <row r="8514" spans="1:15" ht="16" x14ac:dyDescent="0.2">
      <c r="A8514" s="18" t="str">
        <f>HYPERLINK("https://otsuka-europe-crm.veevavault.com/ui/#object/account__v/V4TZ06G6O71TA1K", "JUAN JOSE FERNANDEZ MIRANDA")</f>
        <v>JUAN JOSE FERNANDEZ MIRANDA</v>
      </c>
      <c r="B8514" s="18" t="str">
        <f>HYPERLINK("https://otsuka-europe-crm.veevavault.com/ui/#object/vcountry__v/VENZ000004SONF5", "ES")</f>
        <v>ES</v>
      </c>
      <c r="C8514" s="20" t="s">
        <v>39</v>
      </c>
      <c r="D8514" s="21" t="str">
        <f>HYPERLINK("https://otsuka-europe-crm.veevavault.com/ui/#object/approved_document__v/V5O00000000L011", "Libro IA en psiquiatría")</f>
        <v>Libro IA en psiquiatría</v>
      </c>
      <c r="E8514" s="22" t="str">
        <f>HYPERLINK("https://otsuka-europe-crm.veevavault.com/ui/#object/sent_email__v/VBL00000003G023", "SE-001448475")</f>
        <v>SE-001448475</v>
      </c>
      <c r="F8514" s="25">
        <v>46237.432581018518</v>
      </c>
      <c r="G8514" s="24">
        <v>1</v>
      </c>
      <c r="H8514" s="24">
        <v>2</v>
      </c>
      <c r="I8514" s="24">
        <v>0</v>
      </c>
      <c r="J8514" s="23"/>
      <c r="K8514" s="24">
        <v>0</v>
      </c>
      <c r="L8514" s="22" t="str">
        <f>HYPERLINK("https://otsuka-europe-crm.veevavault.com/ui/#object/approved_document__v/V5O00000000L011", "Libro IA en psiquiatría")</f>
        <v>Libro IA en psiquiatría</v>
      </c>
      <c r="M8514" s="22" t="str">
        <f>HYPERLINK("mailto:sdiez@crm.otsuka-europe.com", "sdiez@crm.otsuka-europe.com")</f>
        <v>sdiez@crm.otsuka-europe.com</v>
      </c>
      <c r="N8514" s="25">
        <v>46234.417974537035</v>
      </c>
      <c r="O8514" s="14" t="str">
        <f>HYPERLINK("https://otsuka-europe-crm.veevavault.com/ui/#object/email_activity__v/V8C00000004F147", "EN-002110087")</f>
        <v>EN-002110087</v>
      </c>
    </row>
    <row r="8515" spans="1:15" ht="16" x14ac:dyDescent="0.2">
      <c r="A8515" s="26"/>
      <c r="B8515" s="26"/>
      <c r="C8515" s="26"/>
      <c r="D8515" s="26"/>
      <c r="E8515" s="26"/>
      <c r="F8515" s="26"/>
      <c r="G8515" s="26"/>
      <c r="H8515" s="26"/>
      <c r="I8515" s="26"/>
      <c r="J8515" s="26"/>
      <c r="K8515" s="26"/>
      <c r="L8515" s="26"/>
      <c r="M8515" s="26"/>
      <c r="N8515" s="26"/>
      <c r="O8515" s="14" t="str">
        <f>HYPERLINK("https://otsuka-europe-crm.veevavault.com/ui/#object/email_activity__v/V8C00000004F277", "EN-002110475")</f>
        <v>EN-002110475</v>
      </c>
    </row>
    <row r="8516" spans="1:15" ht="16" x14ac:dyDescent="0.2">
      <c r="A8516" s="19"/>
      <c r="B8516" s="19"/>
      <c r="C8516" s="19"/>
      <c r="D8516" s="19"/>
      <c r="E8516" s="19"/>
      <c r="F8516" s="19"/>
      <c r="G8516" s="19"/>
      <c r="H8516" s="19"/>
      <c r="I8516" s="19"/>
      <c r="J8516" s="19"/>
      <c r="K8516" s="19"/>
      <c r="L8516" s="19"/>
      <c r="M8516" s="19"/>
      <c r="N8516" s="19"/>
      <c r="O8516" s="14" t="str">
        <f>HYPERLINK("https://otsuka-europe-crm.veevavault.com/ui/#object/email_activity__v/V8C00000004H140", "EN-002111203")</f>
        <v>EN-002111203</v>
      </c>
    </row>
    <row r="8517" spans="1:15" ht="32" x14ac:dyDescent="0.2">
      <c r="A8517" s="7" t="str">
        <f>HYPERLINK("https://otsuka-europe-crm.veevavault.com/ui/#object/account__v/V4TZ04ASG9BAZIG", "SILVIA VICTORIA RIVAS ENCINAS")</f>
        <v>SILVIA VICTORIA RIVAS ENCINAS</v>
      </c>
      <c r="B8517" s="7" t="str">
        <f>HYPERLINK("https://otsuka-europe-crm.veevavault.com/ui/#object/vcountry__v/VENZ000004SONF5", "ES")</f>
        <v>ES</v>
      </c>
      <c r="C8517" s="8" t="s">
        <v>39</v>
      </c>
      <c r="D8517" s="9" t="str">
        <f>HYPERLINK("https://otsuka-europe-crm.veevavault.com/ui/#object/approved_document__v/V5O00000000L011", "Libro IA en psiquiatría")</f>
        <v>Libro IA en psiquiatría</v>
      </c>
      <c r="E8517" s="10" t="str">
        <f>HYPERLINK("https://otsuka-europe-crm.veevavault.com/ui/#object/sent_email__v/VBL00000003G024", "SE-001448476")</f>
        <v>SE-001448476</v>
      </c>
      <c r="F8517" s="11"/>
      <c r="G8517" s="12">
        <v>0</v>
      </c>
      <c r="H8517" s="12">
        <v>0</v>
      </c>
      <c r="I8517" s="12">
        <v>0</v>
      </c>
      <c r="J8517" s="11"/>
      <c r="K8517" s="12">
        <v>0</v>
      </c>
      <c r="L8517" s="10" t="str">
        <f>HYPERLINK("https://otsuka-europe-crm.veevavault.com/ui/#object/approved_document__v/V5O00000000L011", "Libro IA en psiquiatría")</f>
        <v>Libro IA en psiquiatría</v>
      </c>
      <c r="M8517" s="10" t="str">
        <f>HYPERLINK("mailto:sdiez@crm.otsuka-europe.com", "sdiez@crm.otsuka-europe.com")</f>
        <v>sdiez@crm.otsuka-europe.com</v>
      </c>
      <c r="N8517" s="13">
        <v>46234.417986111112</v>
      </c>
      <c r="O8517" s="14" t="str">
        <f>HYPERLINK("https://otsuka-europe-crm.veevavault.com/ui/#object/email_activity__v/V8C00000004F150", "EN-002110102")</f>
        <v>EN-002110102</v>
      </c>
    </row>
    <row r="8518" spans="1:15" ht="16" x14ac:dyDescent="0.2">
      <c r="A8518" s="18" t="str">
        <f>HYPERLINK("https://otsuka-europe-crm.veevavault.com/ui/#object/account__v/V4TZ06G6O71TAXB", "ISABEL MENENDEZ MIRANDA")</f>
        <v>ISABEL MENENDEZ MIRANDA</v>
      </c>
      <c r="B8518" s="18" t="str">
        <f>HYPERLINK("https://otsuka-europe-crm.veevavault.com/ui/#object/vcountry__v/VENZ000004SONF5", "ES")</f>
        <v>ES</v>
      </c>
      <c r="C8518" s="20" t="s">
        <v>39</v>
      </c>
      <c r="D8518" s="21" t="str">
        <f>HYPERLINK("https://otsuka-europe-crm.veevavault.com/ui/#object/approved_document__v/V5O00000000L011", "Libro IA en psiquiatría")</f>
        <v>Libro IA en psiquiatría</v>
      </c>
      <c r="E8518" s="22" t="str">
        <f>HYPERLINK("https://otsuka-europe-crm.veevavault.com/ui/#object/sent_email__v/VBL00000003G025", "SE-001448477")</f>
        <v>SE-001448477</v>
      </c>
      <c r="F8518" s="23"/>
      <c r="G8518" s="24">
        <v>0</v>
      </c>
      <c r="H8518" s="24">
        <v>0</v>
      </c>
      <c r="I8518" s="24">
        <v>0</v>
      </c>
      <c r="J8518" s="23"/>
      <c r="K8518" s="24">
        <v>0</v>
      </c>
      <c r="L8518" s="22" t="str">
        <f>HYPERLINK("https://otsuka-europe-crm.veevavault.com/ui/#object/approved_document__v/V5O00000000L011", "Libro IA en psiquiatría")</f>
        <v>Libro IA en psiquiatría</v>
      </c>
      <c r="M8518" s="22" t="str">
        <f>HYPERLINK("mailto:sdiez@crm.otsuka-europe.com", "sdiez@crm.otsuka-europe.com")</f>
        <v>sdiez@crm.otsuka-europe.com</v>
      </c>
      <c r="N8518" s="25">
        <v>46234.417997685188</v>
      </c>
      <c r="O8518" s="14" t="str">
        <f>HYPERLINK("https://otsuka-europe-crm.veevavault.com/ui/#object/email_activity__v/V8C00000004F152", "EN-002110104")</f>
        <v>EN-002110104</v>
      </c>
    </row>
    <row r="8519" spans="1:15" ht="16" x14ac:dyDescent="0.2">
      <c r="A8519" s="19"/>
      <c r="B8519" s="19"/>
      <c r="C8519" s="19"/>
      <c r="D8519" s="19"/>
      <c r="E8519" s="19"/>
      <c r="F8519" s="19"/>
      <c r="G8519" s="19"/>
      <c r="H8519" s="19"/>
      <c r="I8519" s="19"/>
      <c r="J8519" s="19"/>
      <c r="K8519" s="19"/>
      <c r="L8519" s="19"/>
      <c r="M8519" s="19"/>
      <c r="N8519" s="19"/>
      <c r="O8519" s="14" t="str">
        <f>HYPERLINK("https://otsuka-europe-crm.veevavault.com/ui/#object/email_activity__v/V8C00000004I065", "EN-002111114")</f>
        <v>EN-002111114</v>
      </c>
    </row>
    <row r="8520" spans="1:15" ht="16" x14ac:dyDescent="0.2">
      <c r="A8520" s="18" t="str">
        <f>HYPERLINK("https://otsuka-europe-crm.veevavault.com/ui/#object/account__v/V4TZ06G6O71TCNH", "CELSO IGLESIAS GARCIA")</f>
        <v>CELSO IGLESIAS GARCIA</v>
      </c>
      <c r="B8520" s="18" t="str">
        <f>HYPERLINK("https://otsuka-europe-crm.veevavault.com/ui/#object/vcountry__v/VENZ000004SONF5", "ES")</f>
        <v>ES</v>
      </c>
      <c r="C8520" s="20" t="s">
        <v>39</v>
      </c>
      <c r="D8520" s="21" t="str">
        <f>HYPERLINK("https://otsuka-europe-crm.veevavault.com/ui/#object/approved_document__v/V5O00000000L011", "Libro IA en psiquiatría")</f>
        <v>Libro IA en psiquiatría</v>
      </c>
      <c r="E8520" s="22" t="str">
        <f>HYPERLINK("https://otsuka-europe-crm.veevavault.com/ui/#object/sent_email__v/VBL00000003G026", "SE-001448478")</f>
        <v>SE-001448478</v>
      </c>
      <c r="F8520" s="25">
        <v>46234.858680555553</v>
      </c>
      <c r="G8520" s="24">
        <v>1</v>
      </c>
      <c r="H8520" s="24">
        <v>1</v>
      </c>
      <c r="I8520" s="24">
        <v>1</v>
      </c>
      <c r="J8520" s="25">
        <v>46234.858807870369</v>
      </c>
      <c r="K8520" s="24">
        <v>1</v>
      </c>
      <c r="L8520" s="22" t="str">
        <f>HYPERLINK("https://otsuka-europe-crm.veevavault.com/ui/#object/approved_document__v/V5O00000000L011", "Libro IA en psiquiatría")</f>
        <v>Libro IA en psiquiatría</v>
      </c>
      <c r="M8520" s="22" t="str">
        <f>HYPERLINK("mailto:sdiez@crm.otsuka-europe.com", "sdiez@crm.otsuka-europe.com")</f>
        <v>sdiez@crm.otsuka-europe.com</v>
      </c>
      <c r="N8520" s="25">
        <v>46234.417997685188</v>
      </c>
      <c r="O8520" s="14" t="str">
        <f>HYPERLINK("https://otsuka-europe-crm.veevavault.com/ui/#object/email_activity__v/V8C00000004G160", "EN-002110095")</f>
        <v>EN-002110095</v>
      </c>
    </row>
    <row r="8521" spans="1:15" ht="16" x14ac:dyDescent="0.2">
      <c r="A8521" s="26"/>
      <c r="B8521" s="26"/>
      <c r="C8521" s="26"/>
      <c r="D8521" s="26"/>
      <c r="E8521" s="26"/>
      <c r="F8521" s="26"/>
      <c r="G8521" s="26"/>
      <c r="H8521" s="26"/>
      <c r="I8521" s="26"/>
      <c r="J8521" s="26"/>
      <c r="K8521" s="26"/>
      <c r="L8521" s="26"/>
      <c r="M8521" s="26"/>
      <c r="N8521" s="26"/>
      <c r="O8521" s="14" t="str">
        <f>HYPERLINK("https://otsuka-europe-crm.veevavault.com/ui/#object/email_activity__v/V8C00000004G648", "EN-002110911")</f>
        <v>EN-002110911</v>
      </c>
    </row>
    <row r="8522" spans="1:15" ht="16" x14ac:dyDescent="0.2">
      <c r="A8522" s="19"/>
      <c r="B8522" s="19"/>
      <c r="C8522" s="19"/>
      <c r="D8522" s="19"/>
      <c r="E8522" s="19"/>
      <c r="F8522" s="19"/>
      <c r="G8522" s="19"/>
      <c r="H8522" s="19"/>
      <c r="I8522" s="19"/>
      <c r="J8522" s="19"/>
      <c r="K8522" s="19"/>
      <c r="L8522" s="19"/>
      <c r="M8522" s="19"/>
      <c r="N8522" s="19"/>
      <c r="O8522" s="14" t="str">
        <f>HYPERLINK("https://otsuka-europe-crm.veevavault.com/ui/#object/email_activity__v/V8C00000004G649", "EN-002110912")</f>
        <v>EN-002110912</v>
      </c>
    </row>
    <row r="8523" spans="1:15" ht="32" x14ac:dyDescent="0.2">
      <c r="A8523" s="7" t="str">
        <f>HYPERLINK("https://otsuka-europe-crm.veevavault.com/ui/#object/account__v/V4TZ06G6O71T79E", "MARIA MARTA JALON URBINA")</f>
        <v>MARIA MARTA JALON URBINA</v>
      </c>
      <c r="B8523" s="7" t="str">
        <f>HYPERLINK("https://otsuka-europe-crm.veevavault.com/ui/#object/vcountry__v/VENZ000004SONF5", "ES")</f>
        <v>ES</v>
      </c>
      <c r="C8523" s="8" t="s">
        <v>39</v>
      </c>
      <c r="D8523" s="9" t="str">
        <f>HYPERLINK("https://otsuka-europe-crm.veevavault.com/ui/#object/approved_document__v/V5O00000000L011", "Libro IA en psiquiatría")</f>
        <v>Libro IA en psiquiatría</v>
      </c>
      <c r="E8523" s="10" t="str">
        <f>HYPERLINK("https://otsuka-europe-crm.veevavault.com/ui/#object/sent_email__v/VBL00000003G027", "SE-001448479")</f>
        <v>SE-001448479</v>
      </c>
      <c r="F8523" s="11"/>
      <c r="G8523" s="12">
        <v>0</v>
      </c>
      <c r="H8523" s="12">
        <v>0</v>
      </c>
      <c r="I8523" s="12">
        <v>0</v>
      </c>
      <c r="J8523" s="11"/>
      <c r="K8523" s="12">
        <v>0</v>
      </c>
      <c r="L8523" s="10" t="str">
        <f>HYPERLINK("https://otsuka-europe-crm.veevavault.com/ui/#object/approved_document__v/V5O00000000L011", "Libro IA en psiquiatría")</f>
        <v>Libro IA en psiquiatría</v>
      </c>
      <c r="M8523" s="10" t="str">
        <f>HYPERLINK("mailto:sdiez@crm.otsuka-europe.com", "sdiez@crm.otsuka-europe.com")</f>
        <v>sdiez@crm.otsuka-europe.com</v>
      </c>
      <c r="N8523" s="13">
        <v>46234.417986111112</v>
      </c>
      <c r="O8523" s="14" t="str">
        <f>HYPERLINK("https://otsuka-europe-crm.veevavault.com/ui/#object/email_activity__v/V8C00000004G166", "EN-002110101")</f>
        <v>EN-002110101</v>
      </c>
    </row>
    <row r="8524" spans="1:15" ht="32" x14ac:dyDescent="0.2">
      <c r="A8524" s="7" t="str">
        <f>HYPERLINK("https://otsuka-europe-crm.veevavault.com/ui/#object/account__v/V4TZ06G6O71TA64", "MARIA GONZALEZ MARTINEZ")</f>
        <v>MARIA GONZALEZ MARTINEZ</v>
      </c>
      <c r="B8524" s="7" t="str">
        <f>HYPERLINK("https://otsuka-europe-crm.veevavault.com/ui/#object/vcountry__v/VENZ000004SONF5", "ES")</f>
        <v>ES</v>
      </c>
      <c r="C8524" s="8" t="s">
        <v>39</v>
      </c>
      <c r="D8524" s="9" t="str">
        <f>HYPERLINK("https://otsuka-europe-crm.veevavault.com/ui/#object/approved_document__v/V5O00000000L011", "Libro IA en psiquiatría")</f>
        <v>Libro IA en psiquiatría</v>
      </c>
      <c r="E8524" s="10" t="str">
        <f>HYPERLINK("https://otsuka-europe-crm.veevavault.com/ui/#object/sent_email__v/VBL00000003G028", "SE-001448480")</f>
        <v>SE-001448480</v>
      </c>
      <c r="F8524" s="11"/>
      <c r="G8524" s="12">
        <v>0</v>
      </c>
      <c r="H8524" s="12">
        <v>0</v>
      </c>
      <c r="I8524" s="12">
        <v>0</v>
      </c>
      <c r="J8524" s="11"/>
      <c r="K8524" s="12">
        <v>0</v>
      </c>
      <c r="L8524" s="10" t="str">
        <f>HYPERLINK("https://otsuka-europe-crm.veevavault.com/ui/#object/approved_document__v/V5O00000000L011", "Libro IA en psiquiatría")</f>
        <v>Libro IA en psiquiatría</v>
      </c>
      <c r="M8524" s="10" t="str">
        <f>HYPERLINK("mailto:sdiez@crm.otsuka-europe.com", "sdiez@crm.otsuka-europe.com")</f>
        <v>sdiez@crm.otsuka-europe.com</v>
      </c>
      <c r="N8524" s="13">
        <v>46234.417974537035</v>
      </c>
      <c r="O8524" s="14" t="str">
        <f>HYPERLINK("https://otsuka-europe-crm.veevavault.com/ui/#object/email_activity__v/V8C00000004F157", "EN-002110109")</f>
        <v>EN-002110109</v>
      </c>
    </row>
    <row r="8525" spans="1:15" ht="16" x14ac:dyDescent="0.2">
      <c r="A8525" s="18" t="str">
        <f>HYPERLINK("https://otsuka-europe-crm.veevavault.com/ui/#object/account__v/V4TZ025E865909G", "MARTA GRANDA VILLANUEVA")</f>
        <v>MARTA GRANDA VILLANUEVA</v>
      </c>
      <c r="B8525" s="18" t="str">
        <f>HYPERLINK("https://otsuka-europe-crm.veevavault.com/ui/#object/vcountry__v/VENZ000004SONF5", "ES")</f>
        <v>ES</v>
      </c>
      <c r="C8525" s="20" t="s">
        <v>39</v>
      </c>
      <c r="D8525" s="21" t="str">
        <f>HYPERLINK("https://otsuka-europe-crm.veevavault.com/ui/#object/approved_document__v/V5O00000000L011", "Libro IA en psiquiatría")</f>
        <v>Libro IA en psiquiatría</v>
      </c>
      <c r="E8525" s="22" t="str">
        <f>HYPERLINK("https://otsuka-europe-crm.veevavault.com/ui/#object/sent_email__v/VBL00000003G029", "SE-001448481")</f>
        <v>SE-001448481</v>
      </c>
      <c r="F8525" s="23"/>
      <c r="G8525" s="24">
        <v>0</v>
      </c>
      <c r="H8525" s="24">
        <v>0</v>
      </c>
      <c r="I8525" s="24">
        <v>0</v>
      </c>
      <c r="J8525" s="23"/>
      <c r="K8525" s="24">
        <v>0</v>
      </c>
      <c r="L8525" s="22" t="str">
        <f>HYPERLINK("https://otsuka-europe-crm.veevavault.com/ui/#object/approved_document__v/V5O00000000L011", "Libro IA en psiquiatría")</f>
        <v>Libro IA en psiquiatría</v>
      </c>
      <c r="M8525" s="22" t="str">
        <f>HYPERLINK("mailto:sdiez@crm.otsuka-europe.com", "sdiez@crm.otsuka-europe.com")</f>
        <v>sdiez@crm.otsuka-europe.com</v>
      </c>
      <c r="N8525" s="25">
        <v>46234.417974537035</v>
      </c>
      <c r="O8525" s="14" t="str">
        <f>HYPERLINK("https://otsuka-europe-crm.veevavault.com/ui/#object/email_activity__v/V8C00000004F195", "EN-002110197")</f>
        <v>EN-002110197</v>
      </c>
    </row>
    <row r="8526" spans="1:15" ht="16" x14ac:dyDescent="0.2">
      <c r="A8526" s="19"/>
      <c r="B8526" s="19"/>
      <c r="C8526" s="19"/>
      <c r="D8526" s="19"/>
      <c r="E8526" s="19"/>
      <c r="F8526" s="19"/>
      <c r="G8526" s="19"/>
      <c r="H8526" s="19"/>
      <c r="I8526" s="19"/>
      <c r="J8526" s="19"/>
      <c r="K8526" s="19"/>
      <c r="L8526" s="19"/>
      <c r="M8526" s="19"/>
      <c r="N8526" s="19"/>
      <c r="O8526" s="14" t="str">
        <f>HYPERLINK("https://otsuka-europe-crm.veevavault.com/ui/#object/email_activity__v/V8C00000004G155", "EN-002110090")</f>
        <v>EN-002110090</v>
      </c>
    </row>
    <row r="8527" spans="1:15" ht="32" x14ac:dyDescent="0.2">
      <c r="A8527" s="7" t="str">
        <f>HYPERLINK("https://otsuka-europe-crm.veevavault.com/ui/#object/account__v/V4TZ06G6O71T9EX", "MARIA ISABEL BARRERA SALAS")</f>
        <v>MARIA ISABEL BARRERA SALAS</v>
      </c>
      <c r="B8527" s="7" t="str">
        <f>HYPERLINK("https://otsuka-europe-crm.veevavault.com/ui/#object/vcountry__v/VENZ000004SONF5", "ES")</f>
        <v>ES</v>
      </c>
      <c r="C8527" s="8" t="s">
        <v>39</v>
      </c>
      <c r="D8527" s="9" t="str">
        <f>HYPERLINK("https://otsuka-europe-crm.veevavault.com/ui/#object/approved_document__v/V5O00000000L011", "Libro IA en psiquiatría")</f>
        <v>Libro IA en psiquiatría</v>
      </c>
      <c r="E8527" s="10" t="str">
        <f>HYPERLINK("https://otsuka-europe-crm.veevavault.com/ui/#object/sent_email__v/VBL00000003G030", "SE-001448482")</f>
        <v>SE-001448482</v>
      </c>
      <c r="F8527" s="11"/>
      <c r="G8527" s="12">
        <v>0</v>
      </c>
      <c r="H8527" s="12">
        <v>0</v>
      </c>
      <c r="I8527" s="12">
        <v>0</v>
      </c>
      <c r="J8527" s="11"/>
      <c r="K8527" s="12">
        <v>0</v>
      </c>
      <c r="L8527" s="10" t="str">
        <f>HYPERLINK("https://otsuka-europe-crm.veevavault.com/ui/#object/approved_document__v/V5O00000000L011", "Libro IA en psiquiatría")</f>
        <v>Libro IA en psiquiatría</v>
      </c>
      <c r="M8527" s="10" t="str">
        <f>HYPERLINK("mailto:sdiez@crm.otsuka-europe.com", "sdiez@crm.otsuka-europe.com")</f>
        <v>sdiez@crm.otsuka-europe.com</v>
      </c>
      <c r="N8527" s="13">
        <v>46234.417974537035</v>
      </c>
      <c r="O8527" s="14" t="str">
        <f>HYPERLINK("https://otsuka-europe-crm.veevavault.com/ui/#object/email_activity__v/V8C00000004F144", "EN-002110084")</f>
        <v>EN-002110084</v>
      </c>
    </row>
    <row r="8528" spans="1:15" ht="16" x14ac:dyDescent="0.2">
      <c r="A8528" s="18" t="str">
        <f>HYPERLINK("https://otsuka-europe-crm.veevavault.com/ui/#object/account__v/V4TZ06G6O71T9D6", "LEONARDA BROX MARTINEZ")</f>
        <v>LEONARDA BROX MARTINEZ</v>
      </c>
      <c r="B8528" s="18" t="str">
        <f>HYPERLINK("https://otsuka-europe-crm.veevavault.com/ui/#object/vcountry__v/VENZ000004SONF5", "ES")</f>
        <v>ES</v>
      </c>
      <c r="C8528" s="20" t="s">
        <v>39</v>
      </c>
      <c r="D8528" s="21" t="str">
        <f>HYPERLINK("https://otsuka-europe-crm.veevavault.com/ui/#object/approved_document__v/V5O00000000L011", "Libro IA en psiquiatría")</f>
        <v>Libro IA en psiquiatría</v>
      </c>
      <c r="E8528" s="22" t="str">
        <f>HYPERLINK("https://otsuka-europe-crm.veevavault.com/ui/#object/sent_email__v/VBL00000003G031", "SE-001448483")</f>
        <v>SE-001448483</v>
      </c>
      <c r="F8528" s="25">
        <v>46238.906585648147</v>
      </c>
      <c r="G8528" s="24">
        <v>1</v>
      </c>
      <c r="H8528" s="24">
        <v>7</v>
      </c>
      <c r="I8528" s="24">
        <v>0</v>
      </c>
      <c r="J8528" s="23"/>
      <c r="K8528" s="24">
        <v>0</v>
      </c>
      <c r="L8528" s="22" t="str">
        <f>HYPERLINK("https://otsuka-europe-crm.veevavault.com/ui/#object/approved_document__v/V5O00000000L011", "Libro IA en psiquiatría")</f>
        <v>Libro IA en psiquiatría</v>
      </c>
      <c r="M8528" s="22" t="str">
        <f>HYPERLINK("mailto:sdiez@crm.otsuka-europe.com", "sdiez@crm.otsuka-europe.com")</f>
        <v>sdiez@crm.otsuka-europe.com</v>
      </c>
      <c r="N8528" s="25">
        <v>46234.417974537035</v>
      </c>
      <c r="O8528" s="14" t="str">
        <f>HYPERLINK("https://otsuka-europe-crm.veevavault.com/ui/#object/email_activity__v/V8C00000004F404", "EN-002110776")</f>
        <v>EN-002110776</v>
      </c>
    </row>
    <row r="8529" spans="1:15" ht="16" x14ac:dyDescent="0.2">
      <c r="A8529" s="26"/>
      <c r="B8529" s="26"/>
      <c r="C8529" s="26"/>
      <c r="D8529" s="26"/>
      <c r="E8529" s="26"/>
      <c r="F8529" s="26"/>
      <c r="G8529" s="26"/>
      <c r="H8529" s="26"/>
      <c r="I8529" s="26"/>
      <c r="J8529" s="26"/>
      <c r="K8529" s="26"/>
      <c r="L8529" s="26"/>
      <c r="M8529" s="26"/>
      <c r="N8529" s="26"/>
      <c r="O8529" s="14" t="str">
        <f>HYPERLINK("https://otsuka-europe-crm.veevavault.com/ui/#object/email_activity__v/V8C00000004G168", "EN-002110111")</f>
        <v>EN-002110111</v>
      </c>
    </row>
    <row r="8530" spans="1:15" ht="16" x14ac:dyDescent="0.2">
      <c r="A8530" s="26"/>
      <c r="B8530" s="26"/>
      <c r="C8530" s="26"/>
      <c r="D8530" s="26"/>
      <c r="E8530" s="26"/>
      <c r="F8530" s="26"/>
      <c r="G8530" s="26"/>
      <c r="H8530" s="26"/>
      <c r="I8530" s="26"/>
      <c r="J8530" s="26"/>
      <c r="K8530" s="26"/>
      <c r="L8530" s="26"/>
      <c r="M8530" s="26"/>
      <c r="N8530" s="26"/>
      <c r="O8530" s="14" t="str">
        <f>HYPERLINK("https://otsuka-europe-crm.veevavault.com/ui/#object/email_activity__v/V8C00000004G586", "EN-002110773")</f>
        <v>EN-002110773</v>
      </c>
    </row>
    <row r="8531" spans="1:15" ht="16" x14ac:dyDescent="0.2">
      <c r="A8531" s="26"/>
      <c r="B8531" s="26"/>
      <c r="C8531" s="26"/>
      <c r="D8531" s="26"/>
      <c r="E8531" s="26"/>
      <c r="F8531" s="26"/>
      <c r="G8531" s="26"/>
      <c r="H8531" s="26"/>
      <c r="I8531" s="26"/>
      <c r="J8531" s="26"/>
      <c r="K8531" s="26"/>
      <c r="L8531" s="26"/>
      <c r="M8531" s="26"/>
      <c r="N8531" s="26"/>
      <c r="O8531" s="14" t="str">
        <f>HYPERLINK("https://otsuka-europe-crm.veevavault.com/ui/#object/email_activity__v/V8C00000004G587", "EN-002110774")</f>
        <v>EN-002110774</v>
      </c>
    </row>
    <row r="8532" spans="1:15" ht="16" x14ac:dyDescent="0.2">
      <c r="A8532" s="26"/>
      <c r="B8532" s="26"/>
      <c r="C8532" s="26"/>
      <c r="D8532" s="26"/>
      <c r="E8532" s="26"/>
      <c r="F8532" s="26"/>
      <c r="G8532" s="26"/>
      <c r="H8532" s="26"/>
      <c r="I8532" s="26"/>
      <c r="J8532" s="26"/>
      <c r="K8532" s="26"/>
      <c r="L8532" s="26"/>
      <c r="M8532" s="26"/>
      <c r="N8532" s="26"/>
      <c r="O8532" s="14" t="str">
        <f>HYPERLINK("https://otsuka-europe-crm.veevavault.com/ui/#object/email_activity__v/V8C00000004G588", "EN-002110775")</f>
        <v>EN-002110775</v>
      </c>
    </row>
    <row r="8533" spans="1:15" ht="16" x14ac:dyDescent="0.2">
      <c r="A8533" s="26"/>
      <c r="B8533" s="26"/>
      <c r="C8533" s="26"/>
      <c r="D8533" s="26"/>
      <c r="E8533" s="26"/>
      <c r="F8533" s="26"/>
      <c r="G8533" s="26"/>
      <c r="H8533" s="26"/>
      <c r="I8533" s="26"/>
      <c r="J8533" s="26"/>
      <c r="K8533" s="26"/>
      <c r="L8533" s="26"/>
      <c r="M8533" s="26"/>
      <c r="N8533" s="26"/>
      <c r="O8533" s="14" t="str">
        <f>HYPERLINK("https://otsuka-europe-crm.veevavault.com/ui/#object/email_activity__v/V8C00000004H347", "EN-002111565")</f>
        <v>EN-002111565</v>
      </c>
    </row>
    <row r="8534" spans="1:15" ht="16" x14ac:dyDescent="0.2">
      <c r="A8534" s="26"/>
      <c r="B8534" s="26"/>
      <c r="C8534" s="26"/>
      <c r="D8534" s="26"/>
      <c r="E8534" s="26"/>
      <c r="F8534" s="26"/>
      <c r="G8534" s="26"/>
      <c r="H8534" s="26"/>
      <c r="I8534" s="26"/>
      <c r="J8534" s="26"/>
      <c r="K8534" s="26"/>
      <c r="L8534" s="26"/>
      <c r="M8534" s="26"/>
      <c r="N8534" s="26"/>
      <c r="O8534" s="14" t="str">
        <f>HYPERLINK("https://otsuka-europe-crm.veevavault.com/ui/#object/email_activity__v/V8C00000004H348", "EN-002111566")</f>
        <v>EN-002111566</v>
      </c>
    </row>
    <row r="8535" spans="1:15" ht="16" x14ac:dyDescent="0.2">
      <c r="A8535" s="19"/>
      <c r="B8535" s="19"/>
      <c r="C8535" s="19"/>
      <c r="D8535" s="19"/>
      <c r="E8535" s="19"/>
      <c r="F8535" s="19"/>
      <c r="G8535" s="19"/>
      <c r="H8535" s="19"/>
      <c r="I8535" s="19"/>
      <c r="J8535" s="19"/>
      <c r="K8535" s="19"/>
      <c r="L8535" s="19"/>
      <c r="M8535" s="19"/>
      <c r="N8535" s="19"/>
      <c r="O8535" s="14" t="str">
        <f>HYPERLINK("https://otsuka-europe-crm.veevavault.com/ui/#object/email_activity__v/V8C00000004I159", "EN-002111337")</f>
        <v>EN-002111337</v>
      </c>
    </row>
    <row r="8536" spans="1:15" ht="16" x14ac:dyDescent="0.2">
      <c r="A8536" s="18" t="str">
        <f>HYPERLINK("https://otsuka-europe-crm.veevavault.com/ui/#object/account__v/V4TZ06G6O71TAQM", "IGNACIO LOPEZ FERNANDEZ")</f>
        <v>IGNACIO LOPEZ FERNANDEZ</v>
      </c>
      <c r="B8536" s="18" t="str">
        <f>HYPERLINK("https://otsuka-europe-crm.veevavault.com/ui/#object/vcountry__v/VENZ000004SONF5", "ES")</f>
        <v>ES</v>
      </c>
      <c r="C8536" s="20" t="s">
        <v>39</v>
      </c>
      <c r="D8536" s="21" t="str">
        <f>HYPERLINK("https://otsuka-europe-crm.veevavault.com/ui/#object/approved_document__v/V5O00000000L011", "Libro IA en psiquiatría")</f>
        <v>Libro IA en psiquiatría</v>
      </c>
      <c r="E8536" s="22" t="str">
        <f>HYPERLINK("https://otsuka-europe-crm.veevavault.com/ui/#object/sent_email__v/VBL00000003G032", "SE-001448484")</f>
        <v>SE-001448484</v>
      </c>
      <c r="F8536" s="23"/>
      <c r="G8536" s="24">
        <v>0</v>
      </c>
      <c r="H8536" s="24">
        <v>0</v>
      </c>
      <c r="I8536" s="24">
        <v>0</v>
      </c>
      <c r="J8536" s="23"/>
      <c r="K8536" s="24">
        <v>0</v>
      </c>
      <c r="L8536" s="22" t="str">
        <f>HYPERLINK("https://otsuka-europe-crm.veevavault.com/ui/#object/approved_document__v/V5O00000000L011", "Libro IA en psiquiatría")</f>
        <v>Libro IA en psiquiatría</v>
      </c>
      <c r="M8536" s="22" t="str">
        <f>HYPERLINK("mailto:sdiez@crm.otsuka-europe.com", "sdiez@crm.otsuka-europe.com")</f>
        <v>sdiez@crm.otsuka-europe.com</v>
      </c>
      <c r="N8536" s="25">
        <v>46234.417974537035</v>
      </c>
      <c r="O8536" s="14" t="str">
        <f>HYPERLINK("https://otsuka-europe-crm.veevavault.com/ui/#object/email_activity__v/V8C00000004G167", "EN-002110110")</f>
        <v>EN-002110110</v>
      </c>
    </row>
    <row r="8537" spans="1:15" ht="16" x14ac:dyDescent="0.2">
      <c r="A8537" s="26"/>
      <c r="B8537" s="26"/>
      <c r="C8537" s="26"/>
      <c r="D8537" s="26"/>
      <c r="E8537" s="26"/>
      <c r="F8537" s="26"/>
      <c r="G8537" s="26"/>
      <c r="H8537" s="26"/>
      <c r="I8537" s="26"/>
      <c r="J8537" s="26"/>
      <c r="K8537" s="26"/>
      <c r="L8537" s="26"/>
      <c r="M8537" s="26"/>
      <c r="N8537" s="26"/>
      <c r="O8537" s="14" t="str">
        <f>HYPERLINK("https://otsuka-europe-crm.veevavault.com/ui/#object/email_activity__v/V8C00000004G635", "EN-002110885")</f>
        <v>EN-002110885</v>
      </c>
    </row>
    <row r="8538" spans="1:15" ht="16" x14ac:dyDescent="0.2">
      <c r="A8538" s="19"/>
      <c r="B8538" s="19"/>
      <c r="C8538" s="19"/>
      <c r="D8538" s="19"/>
      <c r="E8538" s="19"/>
      <c r="F8538" s="19"/>
      <c r="G8538" s="19"/>
      <c r="H8538" s="19"/>
      <c r="I8538" s="19"/>
      <c r="J8538" s="19"/>
      <c r="K8538" s="19"/>
      <c r="L8538" s="19"/>
      <c r="M8538" s="19"/>
      <c r="N8538" s="19"/>
      <c r="O8538" s="14" t="str">
        <f>HYPERLINK("https://otsuka-europe-crm.veevavault.com/ui/#object/email_activity__v/V8C00000004H346", "EN-002111564")</f>
        <v>EN-002111564</v>
      </c>
    </row>
    <row r="8539" spans="1:15" ht="16" x14ac:dyDescent="0.2">
      <c r="A8539" s="18" t="str">
        <f>HYPERLINK("https://otsuka-europe-crm.veevavault.com/ui/#object/account__v/V4TZ06G6O71T794", "ENRIQUE ALVAREZ DE MORALES GOMEZ MORENO")</f>
        <v>ENRIQUE ALVAREZ DE MORALES GOMEZ MORENO</v>
      </c>
      <c r="B8539" s="18" t="str">
        <f>HYPERLINK("https://otsuka-europe-crm.veevavault.com/ui/#object/vcountry__v/VENZ000004SONF5", "ES")</f>
        <v>ES</v>
      </c>
      <c r="C8539" s="20" t="s">
        <v>39</v>
      </c>
      <c r="D8539" s="21" t="str">
        <f>HYPERLINK("https://otsuka-europe-crm.veevavault.com/ui/#object/approved_document__v/V5O00000000L011", "Libro IA en psiquiatría")</f>
        <v>Libro IA en psiquiatría</v>
      </c>
      <c r="E8539" s="22" t="str">
        <f>HYPERLINK("https://otsuka-europe-crm.veevavault.com/ui/#object/sent_email__v/VBL00000003G033", "SE-001448485")</f>
        <v>SE-001448485</v>
      </c>
      <c r="F8539" s="23"/>
      <c r="G8539" s="24">
        <v>0</v>
      </c>
      <c r="H8539" s="24">
        <v>0</v>
      </c>
      <c r="I8539" s="24">
        <v>0</v>
      </c>
      <c r="J8539" s="23"/>
      <c r="K8539" s="24">
        <v>0</v>
      </c>
      <c r="L8539" s="22" t="str">
        <f>HYPERLINK("https://otsuka-europe-crm.veevavault.com/ui/#object/approved_document__v/V5O00000000L011", "Libro IA en psiquiatría")</f>
        <v>Libro IA en psiquiatría</v>
      </c>
      <c r="M8539" s="22" t="str">
        <f>HYPERLINK("mailto:sdiez@crm.otsuka-europe.com", "sdiez@crm.otsuka-europe.com")</f>
        <v>sdiez@crm.otsuka-europe.com</v>
      </c>
      <c r="N8539" s="25">
        <v>46234.417974537035</v>
      </c>
      <c r="O8539" s="14" t="str">
        <f>HYPERLINK("https://otsuka-europe-crm.veevavault.com/ui/#object/email_activity__v/V8C00000004F155", "EN-002110107")</f>
        <v>EN-002110107</v>
      </c>
    </row>
    <row r="8540" spans="1:15" ht="16" x14ac:dyDescent="0.2">
      <c r="A8540" s="19"/>
      <c r="B8540" s="19"/>
      <c r="C8540" s="19"/>
      <c r="D8540" s="19"/>
      <c r="E8540" s="19"/>
      <c r="F8540" s="19"/>
      <c r="G8540" s="19"/>
      <c r="H8540" s="19"/>
      <c r="I8540" s="19"/>
      <c r="J8540" s="19"/>
      <c r="K8540" s="19"/>
      <c r="L8540" s="19"/>
      <c r="M8540" s="19"/>
      <c r="N8540" s="19"/>
      <c r="O8540" s="14" t="str">
        <f>HYPERLINK("https://otsuka-europe-crm.veevavault.com/ui/#object/email_activity__v/V8C00000004F194", "EN-002110196")</f>
        <v>EN-002110196</v>
      </c>
    </row>
    <row r="8541" spans="1:15" ht="32" x14ac:dyDescent="0.2">
      <c r="A8541" s="7" t="str">
        <f>HYPERLINK("https://otsuka-europe-crm.veevavault.com/ui/#object/account__v/V4TZ06G6O71TAIS", "MARIA ANGELES HEVIA MAROTO")</f>
        <v>MARIA ANGELES HEVIA MAROTO</v>
      </c>
      <c r="B8541" s="7" t="str">
        <f>HYPERLINK("https://otsuka-europe-crm.veevavault.com/ui/#object/vcountry__v/VENZ000004SONF5", "ES")</f>
        <v>ES</v>
      </c>
      <c r="C8541" s="8" t="s">
        <v>39</v>
      </c>
      <c r="D8541" s="9" t="str">
        <f>HYPERLINK("https://otsuka-europe-crm.veevavault.com/ui/#object/approved_document__v/V5O00000000L011", "Libro IA en psiquiatría")</f>
        <v>Libro IA en psiquiatría</v>
      </c>
      <c r="E8541" s="10" t="str">
        <f>HYPERLINK("https://otsuka-europe-crm.veevavault.com/ui/#object/sent_email__v/VBL00000003G034", "SE-001448486")</f>
        <v>SE-001448486</v>
      </c>
      <c r="F8541" s="11"/>
      <c r="G8541" s="12">
        <v>0</v>
      </c>
      <c r="H8541" s="12">
        <v>0</v>
      </c>
      <c r="I8541" s="12">
        <v>0</v>
      </c>
      <c r="J8541" s="11"/>
      <c r="K8541" s="12">
        <v>0</v>
      </c>
      <c r="L8541" s="10" t="str">
        <f>HYPERLINK("https://otsuka-europe-crm.veevavault.com/ui/#object/approved_document__v/V5O00000000L011", "Libro IA en psiquiatría")</f>
        <v>Libro IA en psiquiatría</v>
      </c>
      <c r="M8541" s="10" t="str">
        <f>HYPERLINK("mailto:sdiez@crm.otsuka-europe.com", "sdiez@crm.otsuka-europe.com")</f>
        <v>sdiez@crm.otsuka-europe.com</v>
      </c>
      <c r="N8541" s="13">
        <v>46234.417986111112</v>
      </c>
      <c r="O8541" s="14" t="str">
        <f>HYPERLINK("https://otsuka-europe-crm.veevavault.com/ui/#object/email_activity__v/V8C00000004F154", "EN-002110106")</f>
        <v>EN-002110106</v>
      </c>
    </row>
    <row r="8542" spans="1:15" ht="16" x14ac:dyDescent="0.2">
      <c r="A8542" s="18" t="str">
        <f>HYPERLINK("https://otsuka-europe-crm.veevavault.com/ui/#object/account__v/V4TZ025E86LZ1UQ", "MARIA AMALIA GAYA RAMON")</f>
        <v>MARIA AMALIA GAYA RAMON</v>
      </c>
      <c r="B8542" s="18" t="str">
        <f>HYPERLINK("https://otsuka-europe-crm.veevavault.com/ui/#object/vcountry__v/VENZ000004SONF5", "ES")</f>
        <v>ES</v>
      </c>
      <c r="C8542" s="20" t="s">
        <v>39</v>
      </c>
      <c r="D8542" s="21" t="str">
        <f>HYPERLINK("https://otsuka-europe-crm.veevavault.com/ui/#object/approved_document__v/V5O00000000L011", "Libro IA en psiquiatría")</f>
        <v>Libro IA en psiquiatría</v>
      </c>
      <c r="E8542" s="22" t="str">
        <f>HYPERLINK("https://otsuka-europe-crm.veevavault.com/ui/#object/sent_email__v/VBL00000003G035", "SE-001448487")</f>
        <v>SE-001448487</v>
      </c>
      <c r="F8542" s="25">
        <v>46234.581365740742</v>
      </c>
      <c r="G8542" s="24">
        <v>1</v>
      </c>
      <c r="H8542" s="24">
        <v>1</v>
      </c>
      <c r="I8542" s="24">
        <v>0</v>
      </c>
      <c r="J8542" s="23"/>
      <c r="K8542" s="24">
        <v>0</v>
      </c>
      <c r="L8542" s="22" t="str">
        <f>HYPERLINK("https://otsuka-europe-crm.veevavault.com/ui/#object/approved_document__v/V5O00000000L011", "Libro IA en psiquiatría")</f>
        <v>Libro IA en psiquiatría</v>
      </c>
      <c r="M8542" s="22" t="str">
        <f>HYPERLINK("mailto:sdiez@crm.otsuka-europe.com", "sdiez@crm.otsuka-europe.com")</f>
        <v>sdiez@crm.otsuka-europe.com</v>
      </c>
      <c r="N8542" s="25">
        <v>46234.417870370373</v>
      </c>
      <c r="O8542" s="14" t="str">
        <f>HYPERLINK("https://otsuka-europe-crm.veevavault.com/ui/#object/email_activity__v/V8C00000004F140", "EN-002110080")</f>
        <v>EN-002110080</v>
      </c>
    </row>
    <row r="8543" spans="1:15" ht="16" x14ac:dyDescent="0.2">
      <c r="A8543" s="19"/>
      <c r="B8543" s="19"/>
      <c r="C8543" s="19"/>
      <c r="D8543" s="19"/>
      <c r="E8543" s="19"/>
      <c r="F8543" s="19"/>
      <c r="G8543" s="19"/>
      <c r="H8543" s="19"/>
      <c r="I8543" s="19"/>
      <c r="J8543" s="19"/>
      <c r="K8543" s="19"/>
      <c r="L8543" s="19"/>
      <c r="M8543" s="19"/>
      <c r="N8543" s="19"/>
      <c r="O8543" s="14" t="str">
        <f>HYPERLINK("https://otsuka-europe-crm.veevavault.com/ui/#object/email_activity__v/V8C00000004F401", "EN-002110767")</f>
        <v>EN-002110767</v>
      </c>
    </row>
    <row r="8544" spans="1:15" ht="32" x14ac:dyDescent="0.2">
      <c r="A8544" s="7" t="str">
        <f>HYPERLINK("https://otsuka-europe-crm.veevavault.com/ui/#object/account__v/V4TZ04ASG8V9Z4G", "NATALIA ALVAREZ ALVARGONZALEZ")</f>
        <v>NATALIA ALVAREZ ALVARGONZALEZ</v>
      </c>
      <c r="B8544" s="7" t="str">
        <f>HYPERLINK("https://otsuka-europe-crm.veevavault.com/ui/#object/vcountry__v/VENZ000004SONF5", "ES")</f>
        <v>ES</v>
      </c>
      <c r="C8544" s="8" t="s">
        <v>39</v>
      </c>
      <c r="D8544" s="9" t="str">
        <f>HYPERLINK("https://otsuka-europe-crm.veevavault.com/ui/#object/approved_document__v/V5O00000000L011", "Libro IA en psiquiatría")</f>
        <v>Libro IA en psiquiatría</v>
      </c>
      <c r="E8544" s="10" t="str">
        <f>HYPERLINK("https://otsuka-europe-crm.veevavault.com/ui/#object/sent_email__v/VBL00000003G036", "SE-001448488")</f>
        <v>SE-001448488</v>
      </c>
      <c r="F8544" s="11"/>
      <c r="G8544" s="12">
        <v>0</v>
      </c>
      <c r="H8544" s="12">
        <v>0</v>
      </c>
      <c r="I8544" s="12">
        <v>0</v>
      </c>
      <c r="J8544" s="11"/>
      <c r="K8544" s="12">
        <v>0</v>
      </c>
      <c r="L8544" s="10" t="str">
        <f>HYPERLINK("https://otsuka-europe-crm.veevavault.com/ui/#object/approved_document__v/V5O00000000L011", "Libro IA en psiquiatría")</f>
        <v>Libro IA en psiquiatría</v>
      </c>
      <c r="M8544" s="10" t="str">
        <f>HYPERLINK("mailto:sdiez@crm.otsuka-europe.com", "sdiez@crm.otsuka-europe.com")</f>
        <v>sdiez@crm.otsuka-europe.com</v>
      </c>
      <c r="N8544" s="13">
        <v>46234.417870370373</v>
      </c>
      <c r="O8544" s="14" t="str">
        <f>HYPERLINK("https://otsuka-europe-crm.veevavault.com/ui/#object/email_activity__v/V8C00000004G154", "EN-002110077")</f>
        <v>EN-002110077</v>
      </c>
    </row>
    <row r="8545" spans="1:15" ht="16" x14ac:dyDescent="0.2">
      <c r="A8545" s="18" t="str">
        <f>HYPERLINK("https://otsuka-europe-crm.veevavault.com/ui/#object/account__v/V4TZ06G6O71TBS6", "EVA AMADA POVEDANO SUAREZ")</f>
        <v>EVA AMADA POVEDANO SUAREZ</v>
      </c>
      <c r="B8545" s="18" t="str">
        <f>HYPERLINK("https://otsuka-europe-crm.veevavault.com/ui/#object/vcountry__v/VENZ000004SONF5", "ES")</f>
        <v>ES</v>
      </c>
      <c r="C8545" s="20" t="s">
        <v>39</v>
      </c>
      <c r="D8545" s="21" t="str">
        <f>HYPERLINK("https://otsuka-europe-crm.veevavault.com/ui/#object/approved_document__v/V5O00000000L011", "Libro IA en psiquiatría")</f>
        <v>Libro IA en psiquiatría</v>
      </c>
      <c r="E8545" s="22" t="str">
        <f>HYPERLINK("https://otsuka-europe-crm.veevavault.com/ui/#object/sent_email__v/VBL00000003G037", "SE-001448489")</f>
        <v>SE-001448489</v>
      </c>
      <c r="F8545" s="25">
        <v>46234.793298611112</v>
      </c>
      <c r="G8545" s="24">
        <v>1</v>
      </c>
      <c r="H8545" s="24">
        <v>3</v>
      </c>
      <c r="I8545" s="24">
        <v>0</v>
      </c>
      <c r="J8545" s="23"/>
      <c r="K8545" s="24">
        <v>0</v>
      </c>
      <c r="L8545" s="22" t="str">
        <f>HYPERLINK("https://otsuka-europe-crm.veevavault.com/ui/#object/approved_document__v/V5O00000000L011", "Libro IA en psiquiatría")</f>
        <v>Libro IA en psiquiatría</v>
      </c>
      <c r="M8545" s="22" t="str">
        <f>HYPERLINK("mailto:sdiez@crm.otsuka-europe.com", "sdiez@crm.otsuka-europe.com")</f>
        <v>sdiez@crm.otsuka-europe.com</v>
      </c>
      <c r="N8545" s="25">
        <v>46234.417974537035</v>
      </c>
      <c r="O8545" s="14" t="str">
        <f>HYPERLINK("https://otsuka-europe-crm.veevavault.com/ui/#object/email_activity__v/V8C00000004F158", "EN-002110116")</f>
        <v>EN-002110116</v>
      </c>
    </row>
    <row r="8546" spans="1:15" ht="16" x14ac:dyDescent="0.2">
      <c r="A8546" s="26"/>
      <c r="B8546" s="26"/>
      <c r="C8546" s="26"/>
      <c r="D8546" s="26"/>
      <c r="E8546" s="26"/>
      <c r="F8546" s="26"/>
      <c r="G8546" s="26"/>
      <c r="H8546" s="26"/>
      <c r="I8546" s="26"/>
      <c r="J8546" s="26"/>
      <c r="K8546" s="26"/>
      <c r="L8546" s="26"/>
      <c r="M8546" s="26"/>
      <c r="N8546" s="26"/>
      <c r="O8546" s="14" t="str">
        <f>HYPERLINK("https://otsuka-europe-crm.veevavault.com/ui/#object/email_activity__v/V8C00000004F227", "EN-002110267")</f>
        <v>EN-002110267</v>
      </c>
    </row>
    <row r="8547" spans="1:15" ht="16" x14ac:dyDescent="0.2">
      <c r="A8547" s="26"/>
      <c r="B8547" s="26"/>
      <c r="C8547" s="26"/>
      <c r="D8547" s="26"/>
      <c r="E8547" s="26"/>
      <c r="F8547" s="26"/>
      <c r="G8547" s="26"/>
      <c r="H8547" s="26"/>
      <c r="I8547" s="26"/>
      <c r="J8547" s="26"/>
      <c r="K8547" s="26"/>
      <c r="L8547" s="26"/>
      <c r="M8547" s="26"/>
      <c r="N8547" s="26"/>
      <c r="O8547" s="14" t="str">
        <f>HYPERLINK("https://otsuka-europe-crm.veevavault.com/ui/#object/email_activity__v/V8C00000004F470", "EN-002110889")</f>
        <v>EN-002110889</v>
      </c>
    </row>
    <row r="8548" spans="1:15" ht="16" x14ac:dyDescent="0.2">
      <c r="A8548" s="19"/>
      <c r="B8548" s="19"/>
      <c r="C8548" s="19"/>
      <c r="D8548" s="19"/>
      <c r="E8548" s="19"/>
      <c r="F8548" s="19"/>
      <c r="G8548" s="19"/>
      <c r="H8548" s="19"/>
      <c r="I8548" s="19"/>
      <c r="J8548" s="19"/>
      <c r="K8548" s="19"/>
      <c r="L8548" s="19"/>
      <c r="M8548" s="19"/>
      <c r="N8548" s="19"/>
      <c r="O8548" s="14" t="str">
        <f>HYPERLINK("https://otsuka-europe-crm.veevavault.com/ui/#object/email_activity__v/V8C00000004G251", "EN-002110263")</f>
        <v>EN-002110263</v>
      </c>
    </row>
    <row r="8549" spans="1:15" ht="16" x14ac:dyDescent="0.2">
      <c r="A8549" s="18" t="str">
        <f>HYPERLINK("https://otsuka-europe-crm.veevavault.com/ui/#object/account__v/V4TZ06G6O71T9R5", "MARIA MAR FERNANDEZ FERNANDEZ")</f>
        <v>MARIA MAR FERNANDEZ FERNANDEZ</v>
      </c>
      <c r="B8549" s="18" t="str">
        <f>HYPERLINK("https://otsuka-europe-crm.veevavault.com/ui/#object/vcountry__v/VENZ000004SONF5", "ES")</f>
        <v>ES</v>
      </c>
      <c r="C8549" s="20" t="s">
        <v>39</v>
      </c>
      <c r="D8549" s="21" t="str">
        <f>HYPERLINK("https://otsuka-europe-crm.veevavault.com/ui/#object/approved_document__v/V5O00000000L011", "Libro IA en psiquiatría")</f>
        <v>Libro IA en psiquiatría</v>
      </c>
      <c r="E8549" s="22" t="str">
        <f>HYPERLINK("https://otsuka-europe-crm.veevavault.com/ui/#object/sent_email__v/VBL00000003G038", "SE-001448490")</f>
        <v>SE-001448490</v>
      </c>
      <c r="F8549" s="25">
        <v>46234.427245370367</v>
      </c>
      <c r="G8549" s="24">
        <v>1</v>
      </c>
      <c r="H8549" s="24">
        <v>1</v>
      </c>
      <c r="I8549" s="24">
        <v>0</v>
      </c>
      <c r="J8549" s="23"/>
      <c r="K8549" s="24">
        <v>0</v>
      </c>
      <c r="L8549" s="22" t="str">
        <f>HYPERLINK("https://otsuka-europe-crm.veevavault.com/ui/#object/approved_document__v/V5O00000000L011", "Libro IA en psiquiatría")</f>
        <v>Libro IA en psiquiatría</v>
      </c>
      <c r="M8549" s="22" t="str">
        <f>HYPERLINK("mailto:sdiez@crm.otsuka-europe.com", "sdiez@crm.otsuka-europe.com")</f>
        <v>sdiez@crm.otsuka-europe.com</v>
      </c>
      <c r="N8549" s="25">
        <v>46234.417974537035</v>
      </c>
      <c r="O8549" s="14" t="str">
        <f>HYPERLINK("https://otsuka-europe-crm.veevavault.com/ui/#object/email_activity__v/V8C00000004F156", "EN-002110108")</f>
        <v>EN-002110108</v>
      </c>
    </row>
    <row r="8550" spans="1:15" ht="16" x14ac:dyDescent="0.2">
      <c r="A8550" s="19"/>
      <c r="B8550" s="19"/>
      <c r="C8550" s="19"/>
      <c r="D8550" s="19"/>
      <c r="E8550" s="19"/>
      <c r="F8550" s="19"/>
      <c r="G8550" s="19"/>
      <c r="H8550" s="19"/>
      <c r="I8550" s="19"/>
      <c r="J8550" s="19"/>
      <c r="K8550" s="19"/>
      <c r="L8550" s="19"/>
      <c r="M8550" s="19"/>
      <c r="N8550" s="19"/>
      <c r="O8550" s="14" t="str">
        <f>HYPERLINK("https://otsuka-europe-crm.veevavault.com/ui/#object/email_activity__v/V8C00000004F173", "EN-002110151")</f>
        <v>EN-002110151</v>
      </c>
    </row>
    <row r="8551" spans="1:15" ht="32" x14ac:dyDescent="0.2">
      <c r="A8551" s="7" t="str">
        <f>HYPERLINK("https://otsuka-europe-crm.veevavault.com/ui/#object/account__v/V4TZ06G6O71TA19", "ANGEL ROBERTO FERNANDEZ GARCIA")</f>
        <v>ANGEL ROBERTO FERNANDEZ GARCIA</v>
      </c>
      <c r="B8551" s="7" t="str">
        <f>HYPERLINK("https://otsuka-europe-crm.veevavault.com/ui/#object/vcountry__v/VENZ000004SONF5", "ES")</f>
        <v>ES</v>
      </c>
      <c r="C8551" s="8" t="s">
        <v>39</v>
      </c>
      <c r="D8551" s="9" t="str">
        <f>HYPERLINK("https://otsuka-europe-crm.veevavault.com/ui/#object/approved_document__v/V5O00000000L011", "Libro IA en psiquiatría")</f>
        <v>Libro IA en psiquiatría</v>
      </c>
      <c r="E8551" s="10" t="str">
        <f>HYPERLINK("https://otsuka-europe-crm.veevavault.com/ui/#object/sent_email__v/VBL00000003G039", "SE-001448491")</f>
        <v>SE-001448491</v>
      </c>
      <c r="F8551" s="11"/>
      <c r="G8551" s="12">
        <v>0</v>
      </c>
      <c r="H8551" s="12">
        <v>0</v>
      </c>
      <c r="I8551" s="12">
        <v>0</v>
      </c>
      <c r="J8551" s="11"/>
      <c r="K8551" s="12">
        <v>0</v>
      </c>
      <c r="L8551" s="10" t="str">
        <f>HYPERLINK("https://otsuka-europe-crm.veevavault.com/ui/#object/approved_document__v/V5O00000000L011", "Libro IA en psiquiatría")</f>
        <v>Libro IA en psiquiatría</v>
      </c>
      <c r="M8551" s="10" t="str">
        <f>HYPERLINK("mailto:sdiez@crm.otsuka-europe.com", "sdiez@crm.otsuka-europe.com")</f>
        <v>sdiez@crm.otsuka-europe.com</v>
      </c>
      <c r="N8551" s="13">
        <v>46234.417974537035</v>
      </c>
      <c r="O8551" s="14" t="str">
        <f>HYPERLINK("https://otsuka-europe-crm.veevavault.com/ui/#object/email_activity__v/V8C00000004G169", "EN-002110112")</f>
        <v>EN-002110112</v>
      </c>
    </row>
    <row r="8552" spans="1:15" ht="32" x14ac:dyDescent="0.2">
      <c r="A8552" s="7" t="str">
        <f>HYPERLINK("https://otsuka-europe-crm.veevavault.com/ui/#object/account__v/V4TZ04ASGBJQTJ9", "ESTHER GARCIA EGEA")</f>
        <v>ESTHER GARCIA EGEA</v>
      </c>
      <c r="B8552" s="7" t="str">
        <f>HYPERLINK("https://otsuka-europe-crm.veevavault.com/ui/#object/vcountry__v/VENZ000004SONF5", "ES")</f>
        <v>ES</v>
      </c>
      <c r="C8552" s="8" t="s">
        <v>39</v>
      </c>
      <c r="D8552" s="9" t="str">
        <f>HYPERLINK("https://otsuka-europe-crm.veevavault.com/ui/#object/approved_document__v/V5O00000000L011", "Libro IA en psiquiatría")</f>
        <v>Libro IA en psiquiatría</v>
      </c>
      <c r="E8552" s="10" t="str">
        <f>HYPERLINK("https://otsuka-europe-crm.veevavault.com/ui/#object/sent_email__v/VBL00000003G040", "SE-001448492")</f>
        <v>SE-001448492</v>
      </c>
      <c r="F8552" s="11"/>
      <c r="G8552" s="12">
        <v>0</v>
      </c>
      <c r="H8552" s="12">
        <v>0</v>
      </c>
      <c r="I8552" s="12">
        <v>0</v>
      </c>
      <c r="J8552" s="11"/>
      <c r="K8552" s="12">
        <v>0</v>
      </c>
      <c r="L8552" s="10" t="str">
        <f>HYPERLINK("https://otsuka-europe-crm.veevavault.com/ui/#object/approved_document__v/V5O00000000L011", "Libro IA en psiquiatría")</f>
        <v>Libro IA en psiquiatría</v>
      </c>
      <c r="M8552" s="10" t="str">
        <f>HYPERLINK("mailto:sdiez@crm.otsuka-europe.com", "sdiez@crm.otsuka-europe.com")</f>
        <v>sdiez@crm.otsuka-europe.com</v>
      </c>
      <c r="N8552" s="13">
        <v>46234.417974537035</v>
      </c>
      <c r="O8552" s="14" t="str">
        <f>HYPERLINK("https://otsuka-europe-crm.veevavault.com/ui/#object/email_activity__v/V8C00000004G172", "EN-002110115")</f>
        <v>EN-002110115</v>
      </c>
    </row>
    <row r="8553" spans="1:15" ht="32" x14ac:dyDescent="0.2">
      <c r="A8553" s="7" t="str">
        <f>HYPERLINK("https://otsuka-europe-crm.veevavault.com/ui/#object/account__v/V4TZ06G6O71TBT0", "JOSE DOROTEO RIVAS PEREZ")</f>
        <v>JOSE DOROTEO RIVAS PEREZ</v>
      </c>
      <c r="B8553" s="7" t="str">
        <f>HYPERLINK("https://otsuka-europe-crm.veevavault.com/ui/#object/vcountry__v/VENZ000004SONF5", "ES")</f>
        <v>ES</v>
      </c>
      <c r="C8553" s="8" t="s">
        <v>39</v>
      </c>
      <c r="D8553" s="9" t="str">
        <f>HYPERLINK("https://otsuka-europe-crm.veevavault.com/ui/#object/approved_document__v/V5O00000000L011", "Libro IA en psiquiatría")</f>
        <v>Libro IA en psiquiatría</v>
      </c>
      <c r="E8553" s="10" t="str">
        <f>HYPERLINK("https://otsuka-europe-crm.veevavault.com/ui/#object/sent_email__v/VBL00000003G041", "SE-001448493")</f>
        <v>SE-001448493</v>
      </c>
      <c r="F8553" s="11"/>
      <c r="G8553" s="12">
        <v>0</v>
      </c>
      <c r="H8553" s="12">
        <v>0</v>
      </c>
      <c r="I8553" s="12">
        <v>0</v>
      </c>
      <c r="J8553" s="11"/>
      <c r="K8553" s="12">
        <v>0</v>
      </c>
      <c r="L8553" s="10" t="str">
        <f>HYPERLINK("https://otsuka-europe-crm.veevavault.com/ui/#object/approved_document__v/V5O00000000L011", "Libro IA en psiquiatría")</f>
        <v>Libro IA en psiquiatría</v>
      </c>
      <c r="M8553" s="10" t="str">
        <f>HYPERLINK("mailto:sdiez@crm.otsuka-europe.com", "sdiez@crm.otsuka-europe.com")</f>
        <v>sdiez@crm.otsuka-europe.com</v>
      </c>
      <c r="N8553" s="13">
        <v>46234.417974537035</v>
      </c>
      <c r="O8553" s="14" t="str">
        <f>HYPERLINK("https://otsuka-europe-crm.veevavault.com/ui/#object/email_activity__v/V8C00000004G158", "EN-002110093")</f>
        <v>EN-002110093</v>
      </c>
    </row>
    <row r="8554" spans="1:15" ht="16" x14ac:dyDescent="0.2">
      <c r="A8554" s="18" t="str">
        <f>HYPERLINK("https://otsuka-europe-crm.veevavault.com/ui/#object/account__v/V4TZ06G6O71TAM7", "JUAN ANTONIO BERMUDEZ RIVERA")</f>
        <v>JUAN ANTONIO BERMUDEZ RIVERA</v>
      </c>
      <c r="B8554" s="18" t="str">
        <f>HYPERLINK("https://otsuka-europe-crm.veevavault.com/ui/#object/vcountry__v/VENZ000004SONF5", "ES")</f>
        <v>ES</v>
      </c>
      <c r="C8554" s="20" t="s">
        <v>39</v>
      </c>
      <c r="D8554" s="21" t="str">
        <f>HYPERLINK("https://otsuka-europe-crm.veevavault.com/ui/#object/approved_document__v/V5O00000000L011", "Libro IA en psiquiatría")</f>
        <v>Libro IA en psiquiatría</v>
      </c>
      <c r="E8554" s="22" t="str">
        <f>HYPERLINK("https://otsuka-europe-crm.veevavault.com/ui/#object/sent_email__v/VBL00000003G042", "SE-001448494")</f>
        <v>SE-001448494</v>
      </c>
      <c r="F8554" s="23"/>
      <c r="G8554" s="24">
        <v>0</v>
      </c>
      <c r="H8554" s="24">
        <v>0</v>
      </c>
      <c r="I8554" s="24">
        <v>0</v>
      </c>
      <c r="J8554" s="23"/>
      <c r="K8554" s="24">
        <v>0</v>
      </c>
      <c r="L8554" s="22" t="str">
        <f>HYPERLINK("https://otsuka-europe-crm.veevavault.com/ui/#object/approved_document__v/V5O00000000L011", "Libro IA en psiquiatría")</f>
        <v>Libro IA en psiquiatría</v>
      </c>
      <c r="M8554" s="22" t="str">
        <f>HYPERLINK("mailto:sdiez@crm.otsuka-europe.com", "sdiez@crm.otsuka-europe.com")</f>
        <v>sdiez@crm.otsuka-europe.com</v>
      </c>
      <c r="N8554" s="25">
        <v>46234.417974537035</v>
      </c>
      <c r="O8554" s="14" t="str">
        <f>HYPERLINK("https://otsuka-europe-crm.veevavault.com/ui/#object/email_activity__v/V8C00000004G157", "EN-002110092")</f>
        <v>EN-002110092</v>
      </c>
    </row>
    <row r="8555" spans="1:15" ht="16" x14ac:dyDescent="0.2">
      <c r="A8555" s="19"/>
      <c r="B8555" s="19"/>
      <c r="C8555" s="19"/>
      <c r="D8555" s="19"/>
      <c r="E8555" s="19"/>
      <c r="F8555" s="19"/>
      <c r="G8555" s="19"/>
      <c r="H8555" s="19"/>
      <c r="I8555" s="19"/>
      <c r="J8555" s="19"/>
      <c r="K8555" s="19"/>
      <c r="L8555" s="19"/>
      <c r="M8555" s="19"/>
      <c r="N8555" s="19"/>
      <c r="O8555" s="14" t="str">
        <f>HYPERLINK("https://otsuka-europe-crm.veevavault.com/ui/#object/email_activity__v/V8C00000004H102", "EN-002111122")</f>
        <v>EN-002111122</v>
      </c>
    </row>
    <row r="8556" spans="1:15" ht="32" x14ac:dyDescent="0.2">
      <c r="A8556" s="7" t="str">
        <f>HYPERLINK("https://otsuka-europe-crm.veevavault.com/ui/#object/account__v/V4TZ04ASGEC3J6H", "ELENA LANZA QUINTANA")</f>
        <v>ELENA LANZA QUINTANA</v>
      </c>
      <c r="B8556" s="7" t="str">
        <f>HYPERLINK("https://otsuka-europe-crm.veevavault.com/ui/#object/vcountry__v/VENZ000004SONF5", "ES")</f>
        <v>ES</v>
      </c>
      <c r="C8556" s="8" t="s">
        <v>39</v>
      </c>
      <c r="D8556" s="9" t="str">
        <f>HYPERLINK("https://otsuka-europe-crm.veevavault.com/ui/#object/approved_document__v/V5O00000000L011", "Libro IA en psiquiatría")</f>
        <v>Libro IA en psiquiatría</v>
      </c>
      <c r="E8556" s="10" t="str">
        <f>HYPERLINK("https://otsuka-europe-crm.veevavault.com/ui/#object/sent_email__v/VBL00000003G043", "SE-001448495")</f>
        <v>SE-001448495</v>
      </c>
      <c r="F8556" s="11"/>
      <c r="G8556" s="12">
        <v>0</v>
      </c>
      <c r="H8556" s="12">
        <v>0</v>
      </c>
      <c r="I8556" s="12">
        <v>0</v>
      </c>
      <c r="J8556" s="11"/>
      <c r="K8556" s="12">
        <v>0</v>
      </c>
      <c r="L8556" s="10" t="str">
        <f>HYPERLINK("https://otsuka-europe-crm.veevavault.com/ui/#object/approved_document__v/V5O00000000L011", "Libro IA en psiquiatría")</f>
        <v>Libro IA en psiquiatría</v>
      </c>
      <c r="M8556" s="10" t="str">
        <f>HYPERLINK("mailto:sdiez@crm.otsuka-europe.com", "sdiez@crm.otsuka-europe.com")</f>
        <v>sdiez@crm.otsuka-europe.com</v>
      </c>
      <c r="N8556" s="13">
        <v>46234.417986111112</v>
      </c>
      <c r="O8556" s="14" t="str">
        <f>HYPERLINK("https://otsuka-europe-crm.veevavault.com/ui/#object/email_activity__v/V8C00000004G165", "EN-002110100")</f>
        <v>EN-002110100</v>
      </c>
    </row>
    <row r="8557" spans="1:15" ht="32" x14ac:dyDescent="0.2">
      <c r="A8557" s="7" t="str">
        <f>HYPERLINK("https://otsuka-europe-crm.veevavault.com/ui/#object/account__v/V4TZ06G6O80S1A1", "GONZALO GUTIERREZ VAZQUEZ")</f>
        <v>GONZALO GUTIERREZ VAZQUEZ</v>
      </c>
      <c r="B8557" s="7" t="str">
        <f>HYPERLINK("https://otsuka-europe-crm.veevavault.com/ui/#object/vcountry__v/VENZ000004SONF5", "ES")</f>
        <v>ES</v>
      </c>
      <c r="C8557" s="8" t="s">
        <v>39</v>
      </c>
      <c r="D8557" s="9" t="str">
        <f>HYPERLINK("https://otsuka-europe-crm.veevavault.com/ui/#object/approved_document__v/V5O00000000L011", "Libro IA en psiquiatría")</f>
        <v>Libro IA en psiquiatría</v>
      </c>
      <c r="E8557" s="10" t="str">
        <f>HYPERLINK("https://otsuka-europe-crm.veevavault.com/ui/#object/sent_email__v/VBL00000003G044", "SE-001448496")</f>
        <v>SE-001448496</v>
      </c>
      <c r="F8557" s="11"/>
      <c r="G8557" s="12">
        <v>0</v>
      </c>
      <c r="H8557" s="12">
        <v>0</v>
      </c>
      <c r="I8557" s="12">
        <v>0</v>
      </c>
      <c r="J8557" s="11"/>
      <c r="K8557" s="12">
        <v>0</v>
      </c>
      <c r="L8557" s="10" t="str">
        <f>HYPERLINK("https://otsuka-europe-crm.veevavault.com/ui/#object/approved_document__v/V5O00000000L011", "Libro IA en psiquiatría")</f>
        <v>Libro IA en psiquiatría</v>
      </c>
      <c r="M8557" s="10" t="str">
        <f>HYPERLINK("mailto:sdiez@crm.otsuka-europe.com", "sdiez@crm.otsuka-europe.com")</f>
        <v>sdiez@crm.otsuka-europe.com</v>
      </c>
      <c r="N8557" s="13">
        <v>46234.417974537035</v>
      </c>
      <c r="O8557" s="14" t="str">
        <f>HYPERLINK("https://otsuka-europe-crm.veevavault.com/ui/#object/email_activity__v/V8C00000004F145", "EN-002110085")</f>
        <v>EN-002110085</v>
      </c>
    </row>
    <row r="8558" spans="1:15" ht="16" x14ac:dyDescent="0.2">
      <c r="A8558" s="18" t="str">
        <f>HYPERLINK("https://otsuka-europe-crm.veevavault.com/ui/#object/account__v/V4T00000001Q090", "JOSE MARCOS GLASSCOCK GIL")</f>
        <v>JOSE MARCOS GLASSCOCK GIL</v>
      </c>
      <c r="B8558" s="18" t="str">
        <f>HYPERLINK("https://otsuka-europe-crm.veevavault.com/ui/#object/vcountry__v/VENZ000004SONF5", "ES")</f>
        <v>ES</v>
      </c>
      <c r="C8558" s="20" t="s">
        <v>39</v>
      </c>
      <c r="D8558" s="21" t="str">
        <f>HYPERLINK("https://otsuka-europe-crm.veevavault.com/ui/#object/approved_document__v/V5O00000000L011", "Libro IA en psiquiatría")</f>
        <v>Libro IA en psiquiatría</v>
      </c>
      <c r="E8558" s="22" t="str">
        <f>HYPERLINK("https://otsuka-europe-crm.veevavault.com/ui/#object/sent_email__v/VBL00000003G045", "SE-001448497")</f>
        <v>SE-001448497</v>
      </c>
      <c r="F8558" s="25">
        <v>46238.748715277776</v>
      </c>
      <c r="G8558" s="24">
        <v>1</v>
      </c>
      <c r="H8558" s="24">
        <v>5</v>
      </c>
      <c r="I8558" s="24">
        <v>1</v>
      </c>
      <c r="J8558" s="25">
        <v>46238.748773148145</v>
      </c>
      <c r="K8558" s="24">
        <v>4</v>
      </c>
      <c r="L8558" s="22" t="str">
        <f>HYPERLINK("https://otsuka-europe-crm.veevavault.com/ui/#object/approved_document__v/V5O00000000L011", "Libro IA en psiquiatría")</f>
        <v>Libro IA en psiquiatría</v>
      </c>
      <c r="M8558" s="22" t="str">
        <f>HYPERLINK("mailto:sdiez@crm.otsuka-europe.com", "sdiez@crm.otsuka-europe.com")</f>
        <v>sdiez@crm.otsuka-europe.com</v>
      </c>
      <c r="N8558" s="25">
        <v>46234.417986111112</v>
      </c>
      <c r="O8558" s="14" t="str">
        <f>HYPERLINK("https://otsuka-europe-crm.veevavault.com/ui/#object/email_activity__v/V8C00000004F151", "EN-002110103")</f>
        <v>EN-002110103</v>
      </c>
    </row>
    <row r="8559" spans="1:15" ht="16" x14ac:dyDescent="0.2">
      <c r="A8559" s="26"/>
      <c r="B8559" s="26"/>
      <c r="C8559" s="26"/>
      <c r="D8559" s="26"/>
      <c r="E8559" s="26"/>
      <c r="F8559" s="26"/>
      <c r="G8559" s="26"/>
      <c r="H8559" s="26"/>
      <c r="I8559" s="26"/>
      <c r="J8559" s="26"/>
      <c r="K8559" s="26"/>
      <c r="L8559" s="26"/>
      <c r="M8559" s="26"/>
      <c r="N8559" s="26"/>
      <c r="O8559" s="14" t="str">
        <f>HYPERLINK("https://otsuka-europe-crm.veevavault.com/ui/#object/email_activity__v/V8C00000004H064", "EN-002111050")</f>
        <v>EN-002111050</v>
      </c>
    </row>
    <row r="8560" spans="1:15" ht="16" x14ac:dyDescent="0.2">
      <c r="A8560" s="26"/>
      <c r="B8560" s="26"/>
      <c r="C8560" s="26"/>
      <c r="D8560" s="26"/>
      <c r="E8560" s="26"/>
      <c r="F8560" s="26"/>
      <c r="G8560" s="26"/>
      <c r="H8560" s="26"/>
      <c r="I8560" s="26"/>
      <c r="J8560" s="26"/>
      <c r="K8560" s="26"/>
      <c r="L8560" s="26"/>
      <c r="M8560" s="26"/>
      <c r="N8560" s="26"/>
      <c r="O8560" s="14" t="str">
        <f>HYPERLINK("https://otsuka-europe-crm.veevavault.com/ui/#object/email_activity__v/V8C00000004H065", "EN-002111051")</f>
        <v>EN-002111051</v>
      </c>
    </row>
    <row r="8561" spans="1:15" ht="16" x14ac:dyDescent="0.2">
      <c r="A8561" s="26"/>
      <c r="B8561" s="26"/>
      <c r="C8561" s="26"/>
      <c r="D8561" s="26"/>
      <c r="E8561" s="26"/>
      <c r="F8561" s="26"/>
      <c r="G8561" s="26"/>
      <c r="H8561" s="26"/>
      <c r="I8561" s="26"/>
      <c r="J8561" s="26"/>
      <c r="K8561" s="26"/>
      <c r="L8561" s="26"/>
      <c r="M8561" s="26"/>
      <c r="N8561" s="26"/>
      <c r="O8561" s="14" t="str">
        <f>HYPERLINK("https://otsuka-europe-crm.veevavault.com/ui/#object/email_activity__v/V8C00000004H067", "EN-002111056")</f>
        <v>EN-002111056</v>
      </c>
    </row>
    <row r="8562" spans="1:15" ht="16" x14ac:dyDescent="0.2">
      <c r="A8562" s="26"/>
      <c r="B8562" s="26"/>
      <c r="C8562" s="26"/>
      <c r="D8562" s="26"/>
      <c r="E8562" s="26"/>
      <c r="F8562" s="26"/>
      <c r="G8562" s="26"/>
      <c r="H8562" s="26"/>
      <c r="I8562" s="26"/>
      <c r="J8562" s="26"/>
      <c r="K8562" s="26"/>
      <c r="L8562" s="26"/>
      <c r="M8562" s="26"/>
      <c r="N8562" s="26"/>
      <c r="O8562" s="14" t="str">
        <f>HYPERLINK("https://otsuka-europe-crm.veevavault.com/ui/#object/email_activity__v/V8C00000004H108", "EN-002111140")</f>
        <v>EN-002111140</v>
      </c>
    </row>
    <row r="8563" spans="1:15" ht="16" x14ac:dyDescent="0.2">
      <c r="A8563" s="26"/>
      <c r="B8563" s="26"/>
      <c r="C8563" s="26"/>
      <c r="D8563" s="26"/>
      <c r="E8563" s="26"/>
      <c r="F8563" s="26"/>
      <c r="G8563" s="26"/>
      <c r="H8563" s="26"/>
      <c r="I8563" s="26"/>
      <c r="J8563" s="26"/>
      <c r="K8563" s="26"/>
      <c r="L8563" s="26"/>
      <c r="M8563" s="26"/>
      <c r="N8563" s="26"/>
      <c r="O8563" s="14" t="str">
        <f>HYPERLINK("https://otsuka-europe-crm.veevavault.com/ui/#object/email_activity__v/V8C00000004H109", "EN-002111141")</f>
        <v>EN-002111141</v>
      </c>
    </row>
    <row r="8564" spans="1:15" ht="16" x14ac:dyDescent="0.2">
      <c r="A8564" s="26"/>
      <c r="B8564" s="26"/>
      <c r="C8564" s="26"/>
      <c r="D8564" s="26"/>
      <c r="E8564" s="26"/>
      <c r="F8564" s="26"/>
      <c r="G8564" s="26"/>
      <c r="H8564" s="26"/>
      <c r="I8564" s="26"/>
      <c r="J8564" s="26"/>
      <c r="K8564" s="26"/>
      <c r="L8564" s="26"/>
      <c r="M8564" s="26"/>
      <c r="N8564" s="26"/>
      <c r="O8564" s="14" t="str">
        <f>HYPERLINK("https://otsuka-europe-crm.veevavault.com/ui/#object/email_activity__v/V8C00000004H119", "EN-002111155")</f>
        <v>EN-002111155</v>
      </c>
    </row>
    <row r="8565" spans="1:15" ht="16" x14ac:dyDescent="0.2">
      <c r="A8565" s="26"/>
      <c r="B8565" s="26"/>
      <c r="C8565" s="26"/>
      <c r="D8565" s="26"/>
      <c r="E8565" s="26"/>
      <c r="F8565" s="26"/>
      <c r="G8565" s="26"/>
      <c r="H8565" s="26"/>
      <c r="I8565" s="26"/>
      <c r="J8565" s="26"/>
      <c r="K8565" s="26"/>
      <c r="L8565" s="26"/>
      <c r="M8565" s="26"/>
      <c r="N8565" s="26"/>
      <c r="O8565" s="14" t="str">
        <f>HYPERLINK("https://otsuka-europe-crm.veevavault.com/ui/#object/email_activity__v/V8C00000004H339", "EN-002111550")</f>
        <v>EN-002111550</v>
      </c>
    </row>
    <row r="8566" spans="1:15" ht="16" x14ac:dyDescent="0.2">
      <c r="A8566" s="26"/>
      <c r="B8566" s="26"/>
      <c r="C8566" s="26"/>
      <c r="D8566" s="26"/>
      <c r="E8566" s="26"/>
      <c r="F8566" s="26"/>
      <c r="G8566" s="26"/>
      <c r="H8566" s="26"/>
      <c r="I8566" s="26"/>
      <c r="J8566" s="26"/>
      <c r="K8566" s="26"/>
      <c r="L8566" s="26"/>
      <c r="M8566" s="26"/>
      <c r="N8566" s="26"/>
      <c r="O8566" s="14" t="str">
        <f>HYPERLINK("https://otsuka-europe-crm.veevavault.com/ui/#object/email_activity__v/V8C00000004H340", "EN-002111551")</f>
        <v>EN-002111551</v>
      </c>
    </row>
    <row r="8567" spans="1:15" ht="16" x14ac:dyDescent="0.2">
      <c r="A8567" s="19"/>
      <c r="B8567" s="19"/>
      <c r="C8567" s="19"/>
      <c r="D8567" s="19"/>
      <c r="E8567" s="19"/>
      <c r="F8567" s="19"/>
      <c r="G8567" s="19"/>
      <c r="H8567" s="19"/>
      <c r="I8567" s="19"/>
      <c r="J8567" s="19"/>
      <c r="K8567" s="19"/>
      <c r="L8567" s="19"/>
      <c r="M8567" s="19"/>
      <c r="N8567" s="19"/>
      <c r="O8567" s="14" t="str">
        <f>HYPERLINK("https://otsuka-europe-crm.veevavault.com/ui/#object/email_activity__v/V8C00000004I040", "EN-002111057")</f>
        <v>EN-002111057</v>
      </c>
    </row>
    <row r="8568" spans="1:15" ht="32" x14ac:dyDescent="0.2">
      <c r="A8568" s="7" t="str">
        <f>HYPERLINK("https://otsuka-europe-crm.veevavault.com/ui/#object/account__v/V4TZ06G6O71T911", "JORGE ANTOLIN SUAREZ")</f>
        <v>JORGE ANTOLIN SUAREZ</v>
      </c>
      <c r="B8568" s="7" t="str">
        <f>HYPERLINK("https://otsuka-europe-crm.veevavault.com/ui/#object/vcountry__v/VENZ000004SONF5", "ES")</f>
        <v>ES</v>
      </c>
      <c r="C8568" s="8" t="s">
        <v>39</v>
      </c>
      <c r="D8568" s="9" t="str">
        <f>HYPERLINK("https://otsuka-europe-crm.veevavault.com/ui/#object/approved_document__v/V5O00000000L011", "Libro IA en psiquiatría")</f>
        <v>Libro IA en psiquiatría</v>
      </c>
      <c r="E8568" s="10" t="str">
        <f>HYPERLINK("https://otsuka-europe-crm.veevavault.com/ui/#object/sent_email__v/VBL00000003G046", "SE-001448498")</f>
        <v>SE-001448498</v>
      </c>
      <c r="F8568" s="11"/>
      <c r="G8568" s="12">
        <v>0</v>
      </c>
      <c r="H8568" s="12">
        <v>0</v>
      </c>
      <c r="I8568" s="12">
        <v>0</v>
      </c>
      <c r="J8568" s="11"/>
      <c r="K8568" s="12">
        <v>0</v>
      </c>
      <c r="L8568" s="10" t="str">
        <f>HYPERLINK("https://otsuka-europe-crm.veevavault.com/ui/#object/approved_document__v/V5O00000000L011", "Libro IA en psiquiatría")</f>
        <v>Libro IA en psiquiatría</v>
      </c>
      <c r="M8568" s="10" t="str">
        <f>HYPERLINK("mailto:sdiez@crm.otsuka-europe.com", "sdiez@crm.otsuka-europe.com")</f>
        <v>sdiez@crm.otsuka-europe.com</v>
      </c>
      <c r="N8568" s="13">
        <v>46234.417986111112</v>
      </c>
      <c r="O8568" s="14" t="str">
        <f>HYPERLINK("https://otsuka-europe-crm.veevavault.com/ui/#object/email_activity__v/V8C00000004G163", "EN-002110098")</f>
        <v>EN-002110098</v>
      </c>
    </row>
    <row r="8569" spans="1:15" ht="16" x14ac:dyDescent="0.2">
      <c r="A8569" s="18" t="str">
        <f>HYPERLINK("https://otsuka-europe-crm.veevavault.com/ui/#object/account__v/V4TZ06G6O71TAHB", "MARIO JAVIER HERNANDEZ GONZALEZ")</f>
        <v>MARIO JAVIER HERNANDEZ GONZALEZ</v>
      </c>
      <c r="B8569" s="18" t="str">
        <f>HYPERLINK("https://otsuka-europe-crm.veevavault.com/ui/#object/vcountry__v/VENZ000004SONF5", "ES")</f>
        <v>ES</v>
      </c>
      <c r="C8569" s="20" t="s">
        <v>39</v>
      </c>
      <c r="D8569" s="21" t="str">
        <f>HYPERLINK("https://otsuka-europe-crm.veevavault.com/ui/#object/approved_document__v/V5O00000000L011", "Libro IA en psiquiatría")</f>
        <v>Libro IA en psiquiatría</v>
      </c>
      <c r="E8569" s="22" t="str">
        <f>HYPERLINK("https://otsuka-europe-crm.veevavault.com/ui/#object/sent_email__v/VBL00000003G047", "SE-001448499")</f>
        <v>SE-001448499</v>
      </c>
      <c r="F8569" s="25">
        <v>46234.468553240738</v>
      </c>
      <c r="G8569" s="24">
        <v>1</v>
      </c>
      <c r="H8569" s="24">
        <v>1</v>
      </c>
      <c r="I8569" s="24">
        <v>0</v>
      </c>
      <c r="J8569" s="23"/>
      <c r="K8569" s="24">
        <v>0</v>
      </c>
      <c r="L8569" s="22" t="str">
        <f>HYPERLINK("https://otsuka-europe-crm.veevavault.com/ui/#object/approved_document__v/V5O00000000L011", "Libro IA en psiquiatría")</f>
        <v>Libro IA en psiquiatría</v>
      </c>
      <c r="M8569" s="22" t="str">
        <f>HYPERLINK("mailto:sdiez@crm.otsuka-europe.com", "sdiez@crm.otsuka-europe.com")</f>
        <v>sdiez@crm.otsuka-europe.com</v>
      </c>
      <c r="N8569" s="25">
        <v>46234.417974537035</v>
      </c>
      <c r="O8569" s="14" t="str">
        <f>HYPERLINK("https://otsuka-europe-crm.veevavault.com/ui/#object/email_activity__v/V8C00000004F143", "EN-002110083")</f>
        <v>EN-002110083</v>
      </c>
    </row>
    <row r="8570" spans="1:15" ht="16" x14ac:dyDescent="0.2">
      <c r="A8570" s="19"/>
      <c r="B8570" s="19"/>
      <c r="C8570" s="19"/>
      <c r="D8570" s="19"/>
      <c r="E8570" s="19"/>
      <c r="F8570" s="19"/>
      <c r="G8570" s="19"/>
      <c r="H8570" s="19"/>
      <c r="I8570" s="19"/>
      <c r="J8570" s="19"/>
      <c r="K8570" s="19"/>
      <c r="L8570" s="19"/>
      <c r="M8570" s="19"/>
      <c r="N8570" s="19"/>
      <c r="O8570" s="14" t="str">
        <f>HYPERLINK("https://otsuka-europe-crm.veevavault.com/ui/#object/email_activity__v/V8C00000004F278", "EN-002110476")</f>
        <v>EN-002110476</v>
      </c>
    </row>
    <row r="8571" spans="1:15" ht="16" x14ac:dyDescent="0.2">
      <c r="A8571" s="18" t="str">
        <f>HYPERLINK("https://otsuka-europe-crm.veevavault.com/ui/#object/account__v/V4TZ025E879CQ8Q", "ADRIANA RINCON COSTA")</f>
        <v>ADRIANA RINCON COSTA</v>
      </c>
      <c r="B8571" s="18" t="str">
        <f>HYPERLINK("https://otsuka-europe-crm.veevavault.com/ui/#object/vcountry__v/VENZ000004SONF5", "ES")</f>
        <v>ES</v>
      </c>
      <c r="C8571" s="20" t="s">
        <v>39</v>
      </c>
      <c r="D8571" s="21" t="str">
        <f>HYPERLINK("https://otsuka-europe-crm.veevavault.com/ui/#object/approved_document__v/V5O00000000L011", "Libro IA en psiquiatría")</f>
        <v>Libro IA en psiquiatría</v>
      </c>
      <c r="E8571" s="22" t="str">
        <f>HYPERLINK("https://otsuka-europe-crm.veevavault.com/ui/#object/sent_email__v/VBL00000003G048", "SE-001448500")</f>
        <v>SE-001448500</v>
      </c>
      <c r="F8571" s="25">
        <v>46236.682986111111</v>
      </c>
      <c r="G8571" s="24">
        <v>1</v>
      </c>
      <c r="H8571" s="24">
        <v>2</v>
      </c>
      <c r="I8571" s="24">
        <v>0</v>
      </c>
      <c r="J8571" s="23"/>
      <c r="K8571" s="24">
        <v>0</v>
      </c>
      <c r="L8571" s="22" t="str">
        <f>HYPERLINK("https://otsuka-europe-crm.veevavault.com/ui/#object/approved_document__v/V5O00000000L011", "Libro IA en psiquiatría")</f>
        <v>Libro IA en psiquiatría</v>
      </c>
      <c r="M8571" s="22" t="str">
        <f>HYPERLINK("mailto:sdiez@crm.otsuka-europe.com", "sdiez@crm.otsuka-europe.com")</f>
        <v>sdiez@crm.otsuka-europe.com</v>
      </c>
      <c r="N8571" s="25">
        <v>46234.417974537035</v>
      </c>
      <c r="O8571" s="14" t="str">
        <f>HYPERLINK("https://otsuka-europe-crm.veevavault.com/ui/#object/email_activity__v/V8C00000004G171", "EN-002110114")</f>
        <v>EN-002110114</v>
      </c>
    </row>
    <row r="8572" spans="1:15" ht="16" x14ac:dyDescent="0.2">
      <c r="A8572" s="26"/>
      <c r="B8572" s="26"/>
      <c r="C8572" s="26"/>
      <c r="D8572" s="26"/>
      <c r="E8572" s="26"/>
      <c r="F8572" s="26"/>
      <c r="G8572" s="26"/>
      <c r="H8572" s="26"/>
      <c r="I8572" s="26"/>
      <c r="J8572" s="26"/>
      <c r="K8572" s="26"/>
      <c r="L8572" s="26"/>
      <c r="M8572" s="26"/>
      <c r="N8572" s="26"/>
      <c r="O8572" s="14" t="str">
        <f>HYPERLINK("https://otsuka-europe-crm.veevavault.com/ui/#object/email_activity__v/V8C00000004H105", "EN-002111128")</f>
        <v>EN-002111128</v>
      </c>
    </row>
    <row r="8573" spans="1:15" ht="16" x14ac:dyDescent="0.2">
      <c r="A8573" s="19"/>
      <c r="B8573" s="19"/>
      <c r="C8573" s="19"/>
      <c r="D8573" s="19"/>
      <c r="E8573" s="19"/>
      <c r="F8573" s="19"/>
      <c r="G8573" s="19"/>
      <c r="H8573" s="19"/>
      <c r="I8573" s="19"/>
      <c r="J8573" s="19"/>
      <c r="K8573" s="19"/>
      <c r="L8573" s="19"/>
      <c r="M8573" s="19"/>
      <c r="N8573" s="19"/>
      <c r="O8573" s="14" t="str">
        <f>HYPERLINK("https://otsuka-europe-crm.veevavault.com/ui/#object/email_activity__v/V8C00000004H106", "EN-002111129")</f>
        <v>EN-002111129</v>
      </c>
    </row>
    <row r="8574" spans="1:15" ht="32" x14ac:dyDescent="0.2">
      <c r="A8574" s="7" t="str">
        <f>HYPERLINK("https://otsuka-europe-crm.veevavault.com/ui/#object/account__v/V4TZ06G6O71T9Z1", "LORETO GARCIA GARCIA")</f>
        <v>LORETO GARCIA GARCIA</v>
      </c>
      <c r="B8574" s="7" t="str">
        <f>HYPERLINK("https://otsuka-europe-crm.veevavault.com/ui/#object/vcountry__v/VENZ000004SONF5", "ES")</f>
        <v>ES</v>
      </c>
      <c r="C8574" s="8" t="s">
        <v>39</v>
      </c>
      <c r="D8574" s="9" t="str">
        <f>HYPERLINK("https://otsuka-europe-crm.veevavault.com/ui/#object/approved_document__v/V5O00000000L011", "Libro IA en psiquiatría")</f>
        <v>Libro IA en psiquiatría</v>
      </c>
      <c r="E8574" s="10" t="str">
        <f>HYPERLINK("https://otsuka-europe-crm.veevavault.com/ui/#object/sent_email__v/VBL00000003G049", "SE-001448501")</f>
        <v>SE-001448501</v>
      </c>
      <c r="F8574" s="11"/>
      <c r="G8574" s="12">
        <v>0</v>
      </c>
      <c r="H8574" s="12">
        <v>0</v>
      </c>
      <c r="I8574" s="12">
        <v>0</v>
      </c>
      <c r="J8574" s="11"/>
      <c r="K8574" s="12">
        <v>0</v>
      </c>
      <c r="L8574" s="10" t="str">
        <f>HYPERLINK("https://otsuka-europe-crm.veevavault.com/ui/#object/approved_document__v/V5O00000000L011", "Libro IA en psiquiatría")</f>
        <v>Libro IA en psiquiatría</v>
      </c>
      <c r="M8574" s="10" t="str">
        <f>HYPERLINK("mailto:sdiez@crm.otsuka-europe.com", "sdiez@crm.otsuka-europe.com")</f>
        <v>sdiez@crm.otsuka-europe.com</v>
      </c>
      <c r="N8574" s="13">
        <v>46234.417997685188</v>
      </c>
      <c r="O8574" s="14" t="str">
        <f>HYPERLINK("https://otsuka-europe-crm.veevavault.com/ui/#object/email_activity__v/V8C00000004F153", "EN-002110105")</f>
        <v>EN-002110105</v>
      </c>
    </row>
    <row r="8575" spans="1:15" ht="16" x14ac:dyDescent="0.2">
      <c r="A8575" s="18" t="str">
        <f>HYPERLINK("https://otsuka-europe-crm.veevavault.com/ui/#object/account__v/V4TZ04ASGE088PF", "ANA FE FERNANDEZ MELENDEZ")</f>
        <v>ANA FE FERNANDEZ MELENDEZ</v>
      </c>
      <c r="B8575" s="18" t="str">
        <f>HYPERLINK("https://otsuka-europe-crm.veevavault.com/ui/#object/vcountry__v/VENZ000004SONF5", "ES")</f>
        <v>ES</v>
      </c>
      <c r="C8575" s="20" t="s">
        <v>39</v>
      </c>
      <c r="D8575" s="21" t="str">
        <f>HYPERLINK("https://otsuka-europe-crm.veevavault.com/ui/#object/approved_document__v/V5O00000000L011", "Libro IA en psiquiatría")</f>
        <v>Libro IA en psiquiatría</v>
      </c>
      <c r="E8575" s="22" t="str">
        <f>HYPERLINK("https://otsuka-europe-crm.veevavault.com/ui/#object/sent_email__v/VBL00000003G050", "SE-001448502")</f>
        <v>SE-001448502</v>
      </c>
      <c r="F8575" s="25">
        <v>46234.548634259256</v>
      </c>
      <c r="G8575" s="24">
        <v>1</v>
      </c>
      <c r="H8575" s="24">
        <v>1</v>
      </c>
      <c r="I8575" s="24">
        <v>0</v>
      </c>
      <c r="J8575" s="23"/>
      <c r="K8575" s="24">
        <v>0</v>
      </c>
      <c r="L8575" s="22" t="str">
        <f>HYPERLINK("https://otsuka-europe-crm.veevavault.com/ui/#object/approved_document__v/V5O00000000L011", "Libro IA en psiquiatría")</f>
        <v>Libro IA en psiquiatría</v>
      </c>
      <c r="M8575" s="22" t="str">
        <f>HYPERLINK("mailto:sdiez@crm.otsuka-europe.com", "sdiez@crm.otsuka-europe.com")</f>
        <v>sdiez@crm.otsuka-europe.com</v>
      </c>
      <c r="N8575" s="25">
        <v>46234.417974537035</v>
      </c>
      <c r="O8575" s="14" t="str">
        <f>HYPERLINK("https://otsuka-europe-crm.veevavault.com/ui/#object/email_activity__v/V8C00000004G156", "EN-002110091")</f>
        <v>EN-002110091</v>
      </c>
    </row>
    <row r="8576" spans="1:15" ht="16" x14ac:dyDescent="0.2">
      <c r="A8576" s="19"/>
      <c r="B8576" s="19"/>
      <c r="C8576" s="19"/>
      <c r="D8576" s="19"/>
      <c r="E8576" s="19"/>
      <c r="F8576" s="19"/>
      <c r="G8576" s="19"/>
      <c r="H8576" s="19"/>
      <c r="I8576" s="19"/>
      <c r="J8576" s="19"/>
      <c r="K8576" s="19"/>
      <c r="L8576" s="19"/>
      <c r="M8576" s="19"/>
      <c r="N8576" s="19"/>
      <c r="O8576" s="14" t="str">
        <f>HYPERLINK("https://otsuka-europe-crm.veevavault.com/ui/#object/email_activity__v/V8C00000004G574", "EN-002110747")</f>
        <v>EN-002110747</v>
      </c>
    </row>
    <row r="8577" spans="1:15" ht="32" x14ac:dyDescent="0.2">
      <c r="A8577" s="7" t="str">
        <f>HYPERLINK("https://otsuka-europe-crm.veevavault.com/ui/#object/account__v/V4TZ06G6OBULSMK", "PABLO DIAZ FERNANDEZ")</f>
        <v>PABLO DIAZ FERNANDEZ</v>
      </c>
      <c r="B8577" s="7" t="str">
        <f>HYPERLINK("https://otsuka-europe-crm.veevavault.com/ui/#object/vcountry__v/VENZ000004SONF5", "ES")</f>
        <v>ES</v>
      </c>
      <c r="C8577" s="8" t="s">
        <v>39</v>
      </c>
      <c r="D8577" s="9" t="str">
        <f>HYPERLINK("https://otsuka-europe-crm.veevavault.com/ui/#object/approved_document__v/V5O00000000L011", "Libro IA en psiquiatría")</f>
        <v>Libro IA en psiquiatría</v>
      </c>
      <c r="E8577" s="10" t="str">
        <f>HYPERLINK("https://otsuka-europe-crm.veevavault.com/ui/#object/sent_email__v/VBL00000003G051", "SE-001448503")</f>
        <v>SE-001448503</v>
      </c>
      <c r="F8577" s="11"/>
      <c r="G8577" s="12">
        <v>0</v>
      </c>
      <c r="H8577" s="12">
        <v>0</v>
      </c>
      <c r="I8577" s="12">
        <v>0</v>
      </c>
      <c r="J8577" s="11"/>
      <c r="K8577" s="12">
        <v>0</v>
      </c>
      <c r="L8577" s="10" t="str">
        <f>HYPERLINK("https://otsuka-europe-crm.veevavault.com/ui/#object/approved_document__v/V5O00000000L011", "Libro IA en psiquiatría")</f>
        <v>Libro IA en psiquiatría</v>
      </c>
      <c r="M8577" s="10" t="str">
        <f>HYPERLINK("mailto:sdiez@crm.otsuka-europe.com", "sdiez@crm.otsuka-europe.com")</f>
        <v>sdiez@crm.otsuka-europe.com</v>
      </c>
      <c r="N8577" s="13">
        <v>46234.417974537035</v>
      </c>
      <c r="O8577" s="14" t="str">
        <f>HYPERLINK("https://otsuka-europe-crm.veevavault.com/ui/#object/email_activity__v/V8C00000004F149", "EN-002110089")</f>
        <v>EN-002110089</v>
      </c>
    </row>
    <row r="8578" spans="1:15" ht="16" x14ac:dyDescent="0.2">
      <c r="A8578" s="18" t="str">
        <f>HYPERLINK("https://otsuka-europe-crm.veevavault.com/ui/#object/account__v/V4TZ06G6O71TAB8", "JUAN JOSE MARTINEZ JAMBRINA")</f>
        <v>JUAN JOSE MARTINEZ JAMBRINA</v>
      </c>
      <c r="B8578" s="18" t="str">
        <f>HYPERLINK("https://otsuka-europe-crm.veevavault.com/ui/#object/vcountry__v/VENZ000004SONF5", "ES")</f>
        <v>ES</v>
      </c>
      <c r="C8578" s="20" t="s">
        <v>39</v>
      </c>
      <c r="D8578" s="21" t="str">
        <f>HYPERLINK("https://otsuka-europe-crm.veevavault.com/ui/#object/approved_document__v/V5O00000000L011", "Libro IA en psiquiatría")</f>
        <v>Libro IA en psiquiatría</v>
      </c>
      <c r="E8578" s="22" t="str">
        <f>HYPERLINK("https://otsuka-europe-crm.veevavault.com/ui/#object/sent_email__v/VBL00000003G052", "SE-001448504")</f>
        <v>SE-001448504</v>
      </c>
      <c r="F8578" s="25">
        <v>46236.398923611108</v>
      </c>
      <c r="G8578" s="24">
        <v>1</v>
      </c>
      <c r="H8578" s="24">
        <v>5</v>
      </c>
      <c r="I8578" s="24">
        <v>1</v>
      </c>
      <c r="J8578" s="25">
        <v>46236.399062500001</v>
      </c>
      <c r="K8578" s="24">
        <v>2</v>
      </c>
      <c r="L8578" s="22" t="str">
        <f>HYPERLINK("https://otsuka-europe-crm.veevavault.com/ui/#object/approved_document__v/V5O00000000L011", "Libro IA en psiquiatría")</f>
        <v>Libro IA en psiquiatría</v>
      </c>
      <c r="M8578" s="22" t="str">
        <f>HYPERLINK("mailto:sdiez@crm.otsuka-europe.com", "sdiez@crm.otsuka-europe.com")</f>
        <v>sdiez@crm.otsuka-europe.com</v>
      </c>
      <c r="N8578" s="25">
        <v>46234.417974537035</v>
      </c>
      <c r="O8578" s="14" t="str">
        <f>HYPERLINK("https://otsuka-europe-crm.veevavault.com/ui/#object/email_activity__v/V8C00000004F142", "EN-002110082")</f>
        <v>EN-002110082</v>
      </c>
    </row>
    <row r="8579" spans="1:15" ht="16" x14ac:dyDescent="0.2">
      <c r="A8579" s="26"/>
      <c r="B8579" s="26"/>
      <c r="C8579" s="26"/>
      <c r="D8579" s="26"/>
      <c r="E8579" s="26"/>
      <c r="F8579" s="26"/>
      <c r="G8579" s="26"/>
      <c r="H8579" s="26"/>
      <c r="I8579" s="26"/>
      <c r="J8579" s="26"/>
      <c r="K8579" s="26"/>
      <c r="L8579" s="26"/>
      <c r="M8579" s="26"/>
      <c r="N8579" s="26"/>
      <c r="O8579" s="14" t="str">
        <f>HYPERLINK("https://otsuka-europe-crm.veevavault.com/ui/#object/email_activity__v/V8C00000004F193", "EN-002110195")</f>
        <v>EN-002110195</v>
      </c>
    </row>
    <row r="8580" spans="1:15" ht="16" x14ac:dyDescent="0.2">
      <c r="A8580" s="26"/>
      <c r="B8580" s="26"/>
      <c r="C8580" s="26"/>
      <c r="D8580" s="26"/>
      <c r="E8580" s="26"/>
      <c r="F8580" s="26"/>
      <c r="G8580" s="26"/>
      <c r="H8580" s="26"/>
      <c r="I8580" s="26"/>
      <c r="J8580" s="26"/>
      <c r="K8580" s="26"/>
      <c r="L8580" s="26"/>
      <c r="M8580" s="26"/>
      <c r="N8580" s="26"/>
      <c r="O8580" s="14" t="str">
        <f>HYPERLINK("https://otsuka-europe-crm.veevavault.com/ui/#object/email_activity__v/V8C00000004G584", "EN-002110771")</f>
        <v>EN-002110771</v>
      </c>
    </row>
    <row r="8581" spans="1:15" ht="16" x14ac:dyDescent="0.2">
      <c r="A8581" s="26"/>
      <c r="B8581" s="26"/>
      <c r="C8581" s="26"/>
      <c r="D8581" s="26"/>
      <c r="E8581" s="26"/>
      <c r="F8581" s="26"/>
      <c r="G8581" s="26"/>
      <c r="H8581" s="26"/>
      <c r="I8581" s="26"/>
      <c r="J8581" s="26"/>
      <c r="K8581" s="26"/>
      <c r="L8581" s="26"/>
      <c r="M8581" s="26"/>
      <c r="N8581" s="26"/>
      <c r="O8581" s="14" t="str">
        <f>HYPERLINK("https://otsuka-europe-crm.veevavault.com/ui/#object/email_activity__v/V8C00000004H082", "EN-002111092")</f>
        <v>EN-002111092</v>
      </c>
    </row>
    <row r="8582" spans="1:15" ht="16" x14ac:dyDescent="0.2">
      <c r="A8582" s="26"/>
      <c r="B8582" s="26"/>
      <c r="C8582" s="26"/>
      <c r="D8582" s="26"/>
      <c r="E8582" s="26"/>
      <c r="F8582" s="26"/>
      <c r="G8582" s="26"/>
      <c r="H8582" s="26"/>
      <c r="I8582" s="26"/>
      <c r="J8582" s="26"/>
      <c r="K8582" s="26"/>
      <c r="L8582" s="26"/>
      <c r="M8582" s="26"/>
      <c r="N8582" s="26"/>
      <c r="O8582" s="14" t="str">
        <f>HYPERLINK("https://otsuka-europe-crm.veevavault.com/ui/#object/email_activity__v/V8C00000004H083", "EN-002111093")</f>
        <v>EN-002111093</v>
      </c>
    </row>
    <row r="8583" spans="1:15" ht="16" x14ac:dyDescent="0.2">
      <c r="A8583" s="26"/>
      <c r="B8583" s="26"/>
      <c r="C8583" s="26"/>
      <c r="D8583" s="26"/>
      <c r="E8583" s="26"/>
      <c r="F8583" s="26"/>
      <c r="G8583" s="26"/>
      <c r="H8583" s="26"/>
      <c r="I8583" s="26"/>
      <c r="J8583" s="26"/>
      <c r="K8583" s="26"/>
      <c r="L8583" s="26"/>
      <c r="M8583" s="26"/>
      <c r="N8583" s="26"/>
      <c r="O8583" s="14" t="str">
        <f>HYPERLINK("https://otsuka-europe-crm.veevavault.com/ui/#object/email_activity__v/V8C00000004H084", "EN-002111094")</f>
        <v>EN-002111094</v>
      </c>
    </row>
    <row r="8584" spans="1:15" ht="16" x14ac:dyDescent="0.2">
      <c r="A8584" s="26"/>
      <c r="B8584" s="26"/>
      <c r="C8584" s="26"/>
      <c r="D8584" s="26"/>
      <c r="E8584" s="26"/>
      <c r="F8584" s="26"/>
      <c r="G8584" s="26"/>
      <c r="H8584" s="26"/>
      <c r="I8584" s="26"/>
      <c r="J8584" s="26"/>
      <c r="K8584" s="26"/>
      <c r="L8584" s="26"/>
      <c r="M8584" s="26"/>
      <c r="N8584" s="26"/>
      <c r="O8584" s="14" t="str">
        <f>HYPERLINK("https://otsuka-europe-crm.veevavault.com/ui/#object/email_activity__v/V8C00000004I060", "EN-002111091")</f>
        <v>EN-002111091</v>
      </c>
    </row>
    <row r="8585" spans="1:15" ht="16" x14ac:dyDescent="0.2">
      <c r="A8585" s="19"/>
      <c r="B8585" s="19"/>
      <c r="C8585" s="19"/>
      <c r="D8585" s="19"/>
      <c r="E8585" s="19"/>
      <c r="F8585" s="19"/>
      <c r="G8585" s="19"/>
      <c r="H8585" s="19"/>
      <c r="I8585" s="19"/>
      <c r="J8585" s="19"/>
      <c r="K8585" s="19"/>
      <c r="L8585" s="19"/>
      <c r="M8585" s="19"/>
      <c r="N8585" s="19"/>
      <c r="O8585" s="14" t="str">
        <f>HYPERLINK("https://otsuka-europe-crm.veevavault.com/ui/#object/email_activity__v/V8C00000004I061", "EN-002111095")</f>
        <v>EN-002111095</v>
      </c>
    </row>
    <row r="8586" spans="1:15" ht="32" x14ac:dyDescent="0.2">
      <c r="A8586" s="7" t="str">
        <f>HYPERLINK("https://otsuka-europe-crm.veevavault.com/ui/#object/account__v/V4TZ06G6OCBHRG8", "MARIA ALEJANDRA REYES CORTINA")</f>
        <v>MARIA ALEJANDRA REYES CORTINA</v>
      </c>
      <c r="B8586" s="7" t="str">
        <f>HYPERLINK("https://otsuka-europe-crm.veevavault.com/ui/#object/vcountry__v/VENZ000004SONF5", "ES")</f>
        <v>ES</v>
      </c>
      <c r="C8586" s="8" t="s">
        <v>39</v>
      </c>
      <c r="D8586" s="9" t="str">
        <f>HYPERLINK("https://otsuka-europe-crm.veevavault.com/ui/#object/approved_document__v/V5O00000000L011", "Libro IA en psiquiatría")</f>
        <v>Libro IA en psiquiatría</v>
      </c>
      <c r="E8586" s="10" t="str">
        <f>HYPERLINK("https://otsuka-europe-crm.veevavault.com/ui/#object/sent_email__v/VBL00000003G053", "SE-001448505")</f>
        <v>SE-001448505</v>
      </c>
      <c r="F8586" s="11"/>
      <c r="G8586" s="12">
        <v>0</v>
      </c>
      <c r="H8586" s="12">
        <v>0</v>
      </c>
      <c r="I8586" s="12">
        <v>0</v>
      </c>
      <c r="J8586" s="11"/>
      <c r="K8586" s="12">
        <v>0</v>
      </c>
      <c r="L8586" s="10" t="str">
        <f>HYPERLINK("https://otsuka-europe-crm.veevavault.com/ui/#object/approved_document__v/V5O00000000L011", "Libro IA en psiquiatría")</f>
        <v>Libro IA en psiquiatría</v>
      </c>
      <c r="M8586" s="10" t="str">
        <f>HYPERLINK("mailto:sdiez@crm.otsuka-europe.com", "sdiez@crm.otsuka-europe.com")</f>
        <v>sdiez@crm.otsuka-europe.com</v>
      </c>
      <c r="N8586" s="13">
        <v>46234.417974537035</v>
      </c>
      <c r="O8586" s="14" t="str">
        <f>HYPERLINK("https://otsuka-europe-crm.veevavault.com/ui/#object/email_activity__v/V8C00000004F160", "EN-002110118")</f>
        <v>EN-002110118</v>
      </c>
    </row>
    <row r="8587" spans="1:15" ht="16" x14ac:dyDescent="0.2">
      <c r="A8587" s="18" t="str">
        <f>HYPERLINK("https://otsuka-europe-crm.veevavault.com/ui/#object/account__v/V4TZ06G6O71TBFI", "HUGO BERNARDO PACHAS SANCHEZ")</f>
        <v>HUGO BERNARDO PACHAS SANCHEZ</v>
      </c>
      <c r="B8587" s="18" t="str">
        <f>HYPERLINK("https://otsuka-europe-crm.veevavault.com/ui/#object/vcountry__v/VENZ000004SONF5", "ES")</f>
        <v>ES</v>
      </c>
      <c r="C8587" s="20" t="s">
        <v>39</v>
      </c>
      <c r="D8587" s="21" t="str">
        <f>HYPERLINK("https://otsuka-europe-crm.veevavault.com/ui/#object/approved_document__v/V5O00000000L011", "Libro IA en psiquiatría")</f>
        <v>Libro IA en psiquiatría</v>
      </c>
      <c r="E8587" s="22" t="str">
        <f>HYPERLINK("https://otsuka-europe-crm.veevavault.com/ui/#object/sent_email__v/VBL00000003G054", "SE-001448506")</f>
        <v>SE-001448506</v>
      </c>
      <c r="F8587" s="25">
        <v>46238.447476851848</v>
      </c>
      <c r="G8587" s="24">
        <v>1</v>
      </c>
      <c r="H8587" s="24">
        <v>21</v>
      </c>
      <c r="I8587" s="24">
        <v>1</v>
      </c>
      <c r="J8587" s="25">
        <v>46234.904618055552</v>
      </c>
      <c r="K8587" s="24">
        <v>1</v>
      </c>
      <c r="L8587" s="22" t="str">
        <f>HYPERLINK("https://otsuka-europe-crm.veevavault.com/ui/#object/approved_document__v/V5O00000000L011", "Libro IA en psiquiatría")</f>
        <v>Libro IA en psiquiatría</v>
      </c>
      <c r="M8587" s="22" t="str">
        <f>HYPERLINK("mailto:sdiez@crm.otsuka-europe.com", "sdiez@crm.otsuka-europe.com")</f>
        <v>sdiez@crm.otsuka-europe.com</v>
      </c>
      <c r="N8587" s="25">
        <v>46234.417974537035</v>
      </c>
      <c r="O8587" s="14" t="str">
        <f>HYPERLINK("https://otsuka-europe-crm.veevavault.com/ui/#object/email_activity__v/V8C00000004F161", "EN-002110119")</f>
        <v>EN-002110119</v>
      </c>
    </row>
    <row r="8588" spans="1:15" ht="16" x14ac:dyDescent="0.2">
      <c r="A8588" s="26"/>
      <c r="B8588" s="26"/>
      <c r="C8588" s="26"/>
      <c r="D8588" s="26"/>
      <c r="E8588" s="26"/>
      <c r="F8588" s="26"/>
      <c r="G8588" s="26"/>
      <c r="H8588" s="26"/>
      <c r="I8588" s="26"/>
      <c r="J8588" s="26"/>
      <c r="K8588" s="26"/>
      <c r="L8588" s="26"/>
      <c r="M8588" s="26"/>
      <c r="N8588" s="26"/>
      <c r="O8588" s="14" t="str">
        <f>HYPERLINK("https://otsuka-europe-crm.veevavault.com/ui/#object/email_activity__v/V8C00000004F488", "EN-002110923")</f>
        <v>EN-002110923</v>
      </c>
    </row>
    <row r="8589" spans="1:15" ht="16" x14ac:dyDescent="0.2">
      <c r="A8589" s="26"/>
      <c r="B8589" s="26"/>
      <c r="C8589" s="26"/>
      <c r="D8589" s="26"/>
      <c r="E8589" s="26"/>
      <c r="F8589" s="26"/>
      <c r="G8589" s="26"/>
      <c r="H8589" s="26"/>
      <c r="I8589" s="26"/>
      <c r="J8589" s="26"/>
      <c r="K8589" s="26"/>
      <c r="L8589" s="26"/>
      <c r="M8589" s="26"/>
      <c r="N8589" s="26"/>
      <c r="O8589" s="14" t="str">
        <f>HYPERLINK("https://otsuka-europe-crm.veevavault.com/ui/#object/email_activity__v/V8C00000004F489", "EN-002110924")</f>
        <v>EN-002110924</v>
      </c>
    </row>
    <row r="8590" spans="1:15" ht="16" x14ac:dyDescent="0.2">
      <c r="A8590" s="26"/>
      <c r="B8590" s="26"/>
      <c r="C8590" s="26"/>
      <c r="D8590" s="26"/>
      <c r="E8590" s="26"/>
      <c r="F8590" s="26"/>
      <c r="G8590" s="26"/>
      <c r="H8590" s="26"/>
      <c r="I8590" s="26"/>
      <c r="J8590" s="26"/>
      <c r="K8590" s="26"/>
      <c r="L8590" s="26"/>
      <c r="M8590" s="26"/>
      <c r="N8590" s="26"/>
      <c r="O8590" s="14" t="str">
        <f>HYPERLINK("https://otsuka-europe-crm.veevavault.com/ui/#object/email_activity__v/V8C00000004G575", "EN-002110750")</f>
        <v>EN-002110750</v>
      </c>
    </row>
    <row r="8591" spans="1:15" ht="16" x14ac:dyDescent="0.2">
      <c r="A8591" s="26"/>
      <c r="B8591" s="26"/>
      <c r="C8591" s="26"/>
      <c r="D8591" s="26"/>
      <c r="E8591" s="26"/>
      <c r="F8591" s="26"/>
      <c r="G8591" s="26"/>
      <c r="H8591" s="26"/>
      <c r="I8591" s="26"/>
      <c r="J8591" s="26"/>
      <c r="K8591" s="26"/>
      <c r="L8591" s="26"/>
      <c r="M8591" s="26"/>
      <c r="N8591" s="26"/>
      <c r="O8591" s="14" t="str">
        <f>HYPERLINK("https://otsuka-europe-crm.veevavault.com/ui/#object/email_activity__v/V8C00000004G652", "EN-002110921")</f>
        <v>EN-002110921</v>
      </c>
    </row>
    <row r="8592" spans="1:15" ht="16" x14ac:dyDescent="0.2">
      <c r="A8592" s="26"/>
      <c r="B8592" s="26"/>
      <c r="C8592" s="26"/>
      <c r="D8592" s="26"/>
      <c r="E8592" s="26"/>
      <c r="F8592" s="26"/>
      <c r="G8592" s="26"/>
      <c r="H8592" s="26"/>
      <c r="I8592" s="26"/>
      <c r="J8592" s="26"/>
      <c r="K8592" s="26"/>
      <c r="L8592" s="26"/>
      <c r="M8592" s="26"/>
      <c r="N8592" s="26"/>
      <c r="O8592" s="14" t="str">
        <f>HYPERLINK("https://otsuka-europe-crm.veevavault.com/ui/#object/email_activity__v/V8C00000004G653", "EN-002110922")</f>
        <v>EN-002110922</v>
      </c>
    </row>
    <row r="8593" spans="1:15" ht="16" x14ac:dyDescent="0.2">
      <c r="A8593" s="26"/>
      <c r="B8593" s="26"/>
      <c r="C8593" s="26"/>
      <c r="D8593" s="26"/>
      <c r="E8593" s="26"/>
      <c r="F8593" s="26"/>
      <c r="G8593" s="26"/>
      <c r="H8593" s="26"/>
      <c r="I8593" s="26"/>
      <c r="J8593" s="26"/>
      <c r="K8593" s="26"/>
      <c r="L8593" s="26"/>
      <c r="M8593" s="26"/>
      <c r="N8593" s="26"/>
      <c r="O8593" s="14" t="str">
        <f>HYPERLINK("https://otsuka-europe-crm.veevavault.com/ui/#object/email_activity__v/V8C00000004H075", "EN-002111078")</f>
        <v>EN-002111078</v>
      </c>
    </row>
    <row r="8594" spans="1:15" ht="16" x14ac:dyDescent="0.2">
      <c r="A8594" s="26"/>
      <c r="B8594" s="26"/>
      <c r="C8594" s="26"/>
      <c r="D8594" s="26"/>
      <c r="E8594" s="26"/>
      <c r="F8594" s="26"/>
      <c r="G8594" s="26"/>
      <c r="H8594" s="26"/>
      <c r="I8594" s="26"/>
      <c r="J8594" s="26"/>
      <c r="K8594" s="26"/>
      <c r="L8594" s="26"/>
      <c r="M8594" s="26"/>
      <c r="N8594" s="26"/>
      <c r="O8594" s="14" t="str">
        <f>HYPERLINK("https://otsuka-europe-crm.veevavault.com/ui/#object/email_activity__v/V8C00000004H076", "EN-002111079")</f>
        <v>EN-002111079</v>
      </c>
    </row>
    <row r="8595" spans="1:15" ht="16" x14ac:dyDescent="0.2">
      <c r="A8595" s="26"/>
      <c r="B8595" s="26"/>
      <c r="C8595" s="26"/>
      <c r="D8595" s="26"/>
      <c r="E8595" s="26"/>
      <c r="F8595" s="26"/>
      <c r="G8595" s="26"/>
      <c r="H8595" s="26"/>
      <c r="I8595" s="26"/>
      <c r="J8595" s="26"/>
      <c r="K8595" s="26"/>
      <c r="L8595" s="26"/>
      <c r="M8595" s="26"/>
      <c r="N8595" s="26"/>
      <c r="O8595" s="14" t="str">
        <f>HYPERLINK("https://otsuka-europe-crm.veevavault.com/ui/#object/email_activity__v/V8C00000004H085", "EN-002111096")</f>
        <v>EN-002111096</v>
      </c>
    </row>
    <row r="8596" spans="1:15" ht="16" x14ac:dyDescent="0.2">
      <c r="A8596" s="26"/>
      <c r="B8596" s="26"/>
      <c r="C8596" s="26"/>
      <c r="D8596" s="26"/>
      <c r="E8596" s="26"/>
      <c r="F8596" s="26"/>
      <c r="G8596" s="26"/>
      <c r="H8596" s="26"/>
      <c r="I8596" s="26"/>
      <c r="J8596" s="26"/>
      <c r="K8596" s="26"/>
      <c r="L8596" s="26"/>
      <c r="M8596" s="26"/>
      <c r="N8596" s="26"/>
      <c r="O8596" s="14" t="str">
        <f>HYPERLINK("https://otsuka-europe-crm.veevavault.com/ui/#object/email_activity__v/V8C00000004H086", "EN-002111097")</f>
        <v>EN-002111097</v>
      </c>
    </row>
    <row r="8597" spans="1:15" ht="16" x14ac:dyDescent="0.2">
      <c r="A8597" s="26"/>
      <c r="B8597" s="26"/>
      <c r="C8597" s="26"/>
      <c r="D8597" s="26"/>
      <c r="E8597" s="26"/>
      <c r="F8597" s="26"/>
      <c r="G8597" s="26"/>
      <c r="H8597" s="26"/>
      <c r="I8597" s="26"/>
      <c r="J8597" s="26"/>
      <c r="K8597" s="26"/>
      <c r="L8597" s="26"/>
      <c r="M8597" s="26"/>
      <c r="N8597" s="26"/>
      <c r="O8597" s="14" t="str">
        <f>HYPERLINK("https://otsuka-europe-crm.veevavault.com/ui/#object/email_activity__v/V8C00000004H121", "EN-002111161")</f>
        <v>EN-002111161</v>
      </c>
    </row>
    <row r="8598" spans="1:15" ht="16" x14ac:dyDescent="0.2">
      <c r="A8598" s="26"/>
      <c r="B8598" s="26"/>
      <c r="C8598" s="26"/>
      <c r="D8598" s="26"/>
      <c r="E8598" s="26"/>
      <c r="F8598" s="26"/>
      <c r="G8598" s="26"/>
      <c r="H8598" s="26"/>
      <c r="I8598" s="26"/>
      <c r="J8598" s="26"/>
      <c r="K8598" s="26"/>
      <c r="L8598" s="26"/>
      <c r="M8598" s="26"/>
      <c r="N8598" s="26"/>
      <c r="O8598" s="14" t="str">
        <f>HYPERLINK("https://otsuka-europe-crm.veevavault.com/ui/#object/email_activity__v/V8C00000004H122", "EN-002111162")</f>
        <v>EN-002111162</v>
      </c>
    </row>
    <row r="8599" spans="1:15" ht="16" x14ac:dyDescent="0.2">
      <c r="A8599" s="26"/>
      <c r="B8599" s="26"/>
      <c r="C8599" s="26"/>
      <c r="D8599" s="26"/>
      <c r="E8599" s="26"/>
      <c r="F8599" s="26"/>
      <c r="G8599" s="26"/>
      <c r="H8599" s="26"/>
      <c r="I8599" s="26"/>
      <c r="J8599" s="26"/>
      <c r="K8599" s="26"/>
      <c r="L8599" s="26"/>
      <c r="M8599" s="26"/>
      <c r="N8599" s="26"/>
      <c r="O8599" s="14" t="str">
        <f>HYPERLINK("https://otsuka-europe-crm.veevavault.com/ui/#object/email_activity__v/V8C00000004H246", "EN-002111375")</f>
        <v>EN-002111375</v>
      </c>
    </row>
    <row r="8600" spans="1:15" ht="16" x14ac:dyDescent="0.2">
      <c r="A8600" s="26"/>
      <c r="B8600" s="26"/>
      <c r="C8600" s="26"/>
      <c r="D8600" s="26"/>
      <c r="E8600" s="26"/>
      <c r="F8600" s="26"/>
      <c r="G8600" s="26"/>
      <c r="H8600" s="26"/>
      <c r="I8600" s="26"/>
      <c r="J8600" s="26"/>
      <c r="K8600" s="26"/>
      <c r="L8600" s="26"/>
      <c r="M8600" s="26"/>
      <c r="N8600" s="26"/>
      <c r="O8600" s="14" t="str">
        <f>HYPERLINK("https://otsuka-europe-crm.veevavault.com/ui/#object/email_activity__v/V8C00000004H285", "EN-002111444")</f>
        <v>EN-002111444</v>
      </c>
    </row>
    <row r="8601" spans="1:15" ht="16" x14ac:dyDescent="0.2">
      <c r="A8601" s="26"/>
      <c r="B8601" s="26"/>
      <c r="C8601" s="26"/>
      <c r="D8601" s="26"/>
      <c r="E8601" s="26"/>
      <c r="F8601" s="26"/>
      <c r="G8601" s="26"/>
      <c r="H8601" s="26"/>
      <c r="I8601" s="26"/>
      <c r="J8601" s="26"/>
      <c r="K8601" s="26"/>
      <c r="L8601" s="26"/>
      <c r="M8601" s="26"/>
      <c r="N8601" s="26"/>
      <c r="O8601" s="14" t="str">
        <f>HYPERLINK("https://otsuka-europe-crm.veevavault.com/ui/#object/email_activity__v/V8C00000004H286", "EN-002111445")</f>
        <v>EN-002111445</v>
      </c>
    </row>
    <row r="8602" spans="1:15" ht="16" x14ac:dyDescent="0.2">
      <c r="A8602" s="26"/>
      <c r="B8602" s="26"/>
      <c r="C8602" s="26"/>
      <c r="D8602" s="26"/>
      <c r="E8602" s="26"/>
      <c r="F8602" s="26"/>
      <c r="G8602" s="26"/>
      <c r="H8602" s="26"/>
      <c r="I8602" s="26"/>
      <c r="J8602" s="26"/>
      <c r="K8602" s="26"/>
      <c r="L8602" s="26"/>
      <c r="M8602" s="26"/>
      <c r="N8602" s="26"/>
      <c r="O8602" s="14" t="str">
        <f>HYPERLINK("https://otsuka-europe-crm.veevavault.com/ui/#object/email_activity__v/V8C00000004H341", "EN-002111552")</f>
        <v>EN-002111552</v>
      </c>
    </row>
    <row r="8603" spans="1:15" ht="16" x14ac:dyDescent="0.2">
      <c r="A8603" s="26"/>
      <c r="B8603" s="26"/>
      <c r="C8603" s="26"/>
      <c r="D8603" s="26"/>
      <c r="E8603" s="26"/>
      <c r="F8603" s="26"/>
      <c r="G8603" s="26"/>
      <c r="H8603" s="26"/>
      <c r="I8603" s="26"/>
      <c r="J8603" s="26"/>
      <c r="K8603" s="26"/>
      <c r="L8603" s="26"/>
      <c r="M8603" s="26"/>
      <c r="N8603" s="26"/>
      <c r="O8603" s="14" t="str">
        <f>HYPERLINK("https://otsuka-europe-crm.veevavault.com/ui/#object/email_activity__v/V8C00000004I171", "EN-002111358")</f>
        <v>EN-002111358</v>
      </c>
    </row>
    <row r="8604" spans="1:15" ht="16" x14ac:dyDescent="0.2">
      <c r="A8604" s="26"/>
      <c r="B8604" s="26"/>
      <c r="C8604" s="26"/>
      <c r="D8604" s="26"/>
      <c r="E8604" s="26"/>
      <c r="F8604" s="26"/>
      <c r="G8604" s="26"/>
      <c r="H8604" s="26"/>
      <c r="I8604" s="26"/>
      <c r="J8604" s="26"/>
      <c r="K8604" s="26"/>
      <c r="L8604" s="26"/>
      <c r="M8604" s="26"/>
      <c r="N8604" s="26"/>
      <c r="O8604" s="14" t="str">
        <f>HYPERLINK("https://otsuka-europe-crm.veevavault.com/ui/#object/email_activity__v/V8C00000004I172", "EN-002111359")</f>
        <v>EN-002111359</v>
      </c>
    </row>
    <row r="8605" spans="1:15" ht="16" x14ac:dyDescent="0.2">
      <c r="A8605" s="26"/>
      <c r="B8605" s="26"/>
      <c r="C8605" s="26"/>
      <c r="D8605" s="26"/>
      <c r="E8605" s="26"/>
      <c r="F8605" s="26"/>
      <c r="G8605" s="26"/>
      <c r="H8605" s="26"/>
      <c r="I8605" s="26"/>
      <c r="J8605" s="26"/>
      <c r="K8605" s="26"/>
      <c r="L8605" s="26"/>
      <c r="M8605" s="26"/>
      <c r="N8605" s="26"/>
      <c r="O8605" s="14" t="str">
        <f>HYPERLINK("https://otsuka-europe-crm.veevavault.com/ui/#object/email_activity__v/V8C00000004I176", "EN-002111363")</f>
        <v>EN-002111363</v>
      </c>
    </row>
    <row r="8606" spans="1:15" ht="16" x14ac:dyDescent="0.2">
      <c r="A8606" s="26"/>
      <c r="B8606" s="26"/>
      <c r="C8606" s="26"/>
      <c r="D8606" s="26"/>
      <c r="E8606" s="26"/>
      <c r="F8606" s="26"/>
      <c r="G8606" s="26"/>
      <c r="H8606" s="26"/>
      <c r="I8606" s="26"/>
      <c r="J8606" s="26"/>
      <c r="K8606" s="26"/>
      <c r="L8606" s="26"/>
      <c r="M8606" s="26"/>
      <c r="N8606" s="26"/>
      <c r="O8606" s="14" t="str">
        <f>HYPERLINK("https://otsuka-europe-crm.veevavault.com/ui/#object/email_activity__v/V8C00000004I177", "EN-002111364")</f>
        <v>EN-002111364</v>
      </c>
    </row>
    <row r="8607" spans="1:15" ht="16" x14ac:dyDescent="0.2">
      <c r="A8607" s="26"/>
      <c r="B8607" s="26"/>
      <c r="C8607" s="26"/>
      <c r="D8607" s="26"/>
      <c r="E8607" s="26"/>
      <c r="F8607" s="26"/>
      <c r="G8607" s="26"/>
      <c r="H8607" s="26"/>
      <c r="I8607" s="26"/>
      <c r="J8607" s="26"/>
      <c r="K8607" s="26"/>
      <c r="L8607" s="26"/>
      <c r="M8607" s="26"/>
      <c r="N8607" s="26"/>
      <c r="O8607" s="14" t="str">
        <f>HYPERLINK("https://otsuka-europe-crm.veevavault.com/ui/#object/email_activity__v/V8C00000004I180", "EN-002111376")</f>
        <v>EN-002111376</v>
      </c>
    </row>
    <row r="8608" spans="1:15" ht="16" x14ac:dyDescent="0.2">
      <c r="A8608" s="26"/>
      <c r="B8608" s="26"/>
      <c r="C8608" s="26"/>
      <c r="D8608" s="26"/>
      <c r="E8608" s="26"/>
      <c r="F8608" s="26"/>
      <c r="G8608" s="26"/>
      <c r="H8608" s="26"/>
      <c r="I8608" s="26"/>
      <c r="J8608" s="26"/>
      <c r="K8608" s="26"/>
      <c r="L8608" s="26"/>
      <c r="M8608" s="26"/>
      <c r="N8608" s="26"/>
      <c r="O8608" s="14" t="str">
        <f>HYPERLINK("https://otsuka-europe-crm.veevavault.com/ui/#object/email_activity__v/V8C00000004I215", "EN-002111458")</f>
        <v>EN-002111458</v>
      </c>
    </row>
    <row r="8609" spans="1:15" ht="16" x14ac:dyDescent="0.2">
      <c r="A8609" s="26"/>
      <c r="B8609" s="26"/>
      <c r="C8609" s="26"/>
      <c r="D8609" s="26"/>
      <c r="E8609" s="26"/>
      <c r="F8609" s="26"/>
      <c r="G8609" s="26"/>
      <c r="H8609" s="26"/>
      <c r="I8609" s="26"/>
      <c r="J8609" s="26"/>
      <c r="K8609" s="26"/>
      <c r="L8609" s="26"/>
      <c r="M8609" s="26"/>
      <c r="N8609" s="26"/>
      <c r="O8609" s="14" t="str">
        <f>HYPERLINK("https://otsuka-europe-crm.veevavault.com/ui/#object/email_activity__v/V8C00000004I216", "EN-002111459")</f>
        <v>EN-002111459</v>
      </c>
    </row>
    <row r="8610" spans="1:15" ht="16" x14ac:dyDescent="0.2">
      <c r="A8610" s="19"/>
      <c r="B8610" s="19"/>
      <c r="C8610" s="19"/>
      <c r="D8610" s="19"/>
      <c r="E8610" s="19"/>
      <c r="F8610" s="19"/>
      <c r="G8610" s="19"/>
      <c r="H8610" s="19"/>
      <c r="I8610" s="19"/>
      <c r="J8610" s="19"/>
      <c r="K8610" s="19"/>
      <c r="L8610" s="19"/>
      <c r="M8610" s="19"/>
      <c r="N8610" s="19"/>
      <c r="O8610" s="14" t="str">
        <f>HYPERLINK("https://otsuka-europe-crm.veevavault.com/ui/#object/email_activity__v/V8C00000004I217", "EN-002111460")</f>
        <v>EN-002111460</v>
      </c>
    </row>
    <row r="8611" spans="1:15" ht="16" x14ac:dyDescent="0.2">
      <c r="A8611" s="18" t="str">
        <f>HYPERLINK("https://otsuka-europe-crm.veevavault.com/ui/#object/account__v/V4TZ06G6O71TCN9", "MARCOS HUERTA GONZALEZ")</f>
        <v>MARCOS HUERTA GONZALEZ</v>
      </c>
      <c r="B8611" s="18" t="str">
        <f>HYPERLINK("https://otsuka-europe-crm.veevavault.com/ui/#object/vcountry__v/VENZ000004SONF5", "ES")</f>
        <v>ES</v>
      </c>
      <c r="C8611" s="20" t="s">
        <v>39</v>
      </c>
      <c r="D8611" s="21" t="str">
        <f>HYPERLINK("https://otsuka-europe-crm.veevavault.com/ui/#object/approved_document__v/V5O00000000L011", "Libro IA en psiquiatría")</f>
        <v>Libro IA en psiquiatría</v>
      </c>
      <c r="E8611" s="22" t="str">
        <f>HYPERLINK("https://otsuka-europe-crm.veevavault.com/ui/#object/sent_email__v/VBL00000003G055", "SE-001448507")</f>
        <v>SE-001448507</v>
      </c>
      <c r="F8611" s="23"/>
      <c r="G8611" s="24">
        <v>0</v>
      </c>
      <c r="H8611" s="24">
        <v>0</v>
      </c>
      <c r="I8611" s="24">
        <v>0</v>
      </c>
      <c r="J8611" s="23"/>
      <c r="K8611" s="24">
        <v>0</v>
      </c>
      <c r="L8611" s="22" t="str">
        <f>HYPERLINK("https://otsuka-europe-crm.veevavault.com/ui/#object/approved_document__v/V5O00000000L011", "Libro IA en psiquiatría")</f>
        <v>Libro IA en psiquiatría</v>
      </c>
      <c r="M8611" s="22" t="str">
        <f>HYPERLINK("mailto:sdiez@crm.otsuka-europe.com", "sdiez@crm.otsuka-europe.com")</f>
        <v>sdiez@crm.otsuka-europe.com</v>
      </c>
      <c r="N8611" s="25">
        <v>46234.417974537035</v>
      </c>
      <c r="O8611" s="14" t="str">
        <f>HYPERLINK("https://otsuka-europe-crm.veevavault.com/ui/#object/email_activity__v/V8C00000004F148", "EN-002110088")</f>
        <v>EN-002110088</v>
      </c>
    </row>
    <row r="8612" spans="1:15" ht="16" x14ac:dyDescent="0.2">
      <c r="A8612" s="19"/>
      <c r="B8612" s="19"/>
      <c r="C8612" s="19"/>
      <c r="D8612" s="19"/>
      <c r="E8612" s="19"/>
      <c r="F8612" s="19"/>
      <c r="G8612" s="19"/>
      <c r="H8612" s="19"/>
      <c r="I8612" s="19"/>
      <c r="J8612" s="19"/>
      <c r="K8612" s="19"/>
      <c r="L8612" s="19"/>
      <c r="M8612" s="19"/>
      <c r="N8612" s="19"/>
      <c r="O8612" s="14" t="str">
        <f>HYPERLINK("https://otsuka-europe-crm.veevavault.com/ui/#object/email_activity__v/V8C00000004G660", "EN-002110938")</f>
        <v>EN-002110938</v>
      </c>
    </row>
    <row r="8613" spans="1:15" ht="16" x14ac:dyDescent="0.2">
      <c r="A8613" s="18" t="str">
        <f>HYPERLINK("https://otsuka-europe-crm.veevavault.com/ui/#object/account__v/V4TZ06G6O71T80O", "LAURA PEREZ GOMEZ")</f>
        <v>LAURA PEREZ GOMEZ</v>
      </c>
      <c r="B8613" s="18" t="str">
        <f>HYPERLINK("https://otsuka-europe-crm.veevavault.com/ui/#object/vcountry__v/VENZ000004SONF5", "ES")</f>
        <v>ES</v>
      </c>
      <c r="C8613" s="20" t="s">
        <v>39</v>
      </c>
      <c r="D8613" s="21" t="str">
        <f>HYPERLINK("https://otsuka-europe-crm.veevavault.com/ui/#object/approved_document__v/V5O00000000L011", "Libro IA en psiquiatría")</f>
        <v>Libro IA en psiquiatría</v>
      </c>
      <c r="E8613" s="22" t="str">
        <f>HYPERLINK("https://otsuka-europe-crm.veevavault.com/ui/#object/sent_email__v/VBL00000003G056", "SE-001448508")</f>
        <v>SE-001448508</v>
      </c>
      <c r="F8613" s="23"/>
      <c r="G8613" s="24">
        <v>0</v>
      </c>
      <c r="H8613" s="24">
        <v>0</v>
      </c>
      <c r="I8613" s="24">
        <v>0</v>
      </c>
      <c r="J8613" s="23"/>
      <c r="K8613" s="24">
        <v>0</v>
      </c>
      <c r="L8613" s="22" t="str">
        <f>HYPERLINK("https://otsuka-europe-crm.veevavault.com/ui/#object/approved_document__v/V5O00000000L011", "Libro IA en psiquiatría")</f>
        <v>Libro IA en psiquiatría</v>
      </c>
      <c r="M8613" s="22" t="str">
        <f>HYPERLINK("mailto:sdiez@crm.otsuka-europe.com", "sdiez@crm.otsuka-europe.com")</f>
        <v>sdiez@crm.otsuka-europe.com</v>
      </c>
      <c r="N8613" s="25">
        <v>46234.417986111112</v>
      </c>
      <c r="O8613" s="14" t="str">
        <f>HYPERLINK("https://otsuka-europe-crm.veevavault.com/ui/#object/email_activity__v/V8C00000004G164", "EN-002110099")</f>
        <v>EN-002110099</v>
      </c>
    </row>
    <row r="8614" spans="1:15" ht="16" x14ac:dyDescent="0.2">
      <c r="A8614" s="19"/>
      <c r="B8614" s="19"/>
      <c r="C8614" s="19"/>
      <c r="D8614" s="19"/>
      <c r="E8614" s="19"/>
      <c r="F8614" s="19"/>
      <c r="G8614" s="19"/>
      <c r="H8614" s="19"/>
      <c r="I8614" s="19"/>
      <c r="J8614" s="19"/>
      <c r="K8614" s="19"/>
      <c r="L8614" s="19"/>
      <c r="M8614" s="19"/>
      <c r="N8614" s="19"/>
      <c r="O8614" s="14" t="str">
        <f>HYPERLINK("https://otsuka-europe-crm.veevavault.com/ui/#object/email_activity__v/V8C00000004G352", "EN-002110402")</f>
        <v>EN-002110402</v>
      </c>
    </row>
    <row r="8615" spans="1:15" ht="32" x14ac:dyDescent="0.2">
      <c r="A8615" s="7" t="str">
        <f>HYPERLINK("https://otsuka-europe-crm.veevavault.com/ui/#object/account__v/V4TZ06G6O71TBUS", "MARIÑA REIMUNDO DIAZ-FIERROS")</f>
        <v>MARIÑA REIMUNDO DIAZ-FIERROS</v>
      </c>
      <c r="B8615" s="7" t="str">
        <f>HYPERLINK("https://otsuka-europe-crm.veevavault.com/ui/#object/vcountry__v/VENZ000004SONF5", "ES")</f>
        <v>ES</v>
      </c>
      <c r="C8615" s="8" t="s">
        <v>39</v>
      </c>
      <c r="D8615" s="9" t="str">
        <f>HYPERLINK("https://otsuka-europe-crm.veevavault.com/ui/#object/approved_document__v/V5O00000000L011", "Libro IA en psiquiatría")</f>
        <v>Libro IA en psiquiatría</v>
      </c>
      <c r="E8615" s="10" t="str">
        <f>HYPERLINK("https://otsuka-europe-crm.veevavault.com/ui/#object/sent_email__v/VBL00000003G057", "SE-001448509")</f>
        <v>SE-001448509</v>
      </c>
      <c r="F8615" s="11"/>
      <c r="G8615" s="12">
        <v>0</v>
      </c>
      <c r="H8615" s="12">
        <v>0</v>
      </c>
      <c r="I8615" s="12">
        <v>0</v>
      </c>
      <c r="J8615" s="11"/>
      <c r="K8615" s="12">
        <v>0</v>
      </c>
      <c r="L8615" s="10" t="str">
        <f>HYPERLINK("https://otsuka-europe-crm.veevavault.com/ui/#object/approved_document__v/V5O00000000L011", "Libro IA en psiquiatría")</f>
        <v>Libro IA en psiquiatría</v>
      </c>
      <c r="M8615" s="10" t="str">
        <f>HYPERLINK("mailto:sdiez@crm.otsuka-europe.com", "sdiez@crm.otsuka-europe.com")</f>
        <v>sdiez@crm.otsuka-europe.com</v>
      </c>
      <c r="N8615" s="13">
        <v>46234.417870370373</v>
      </c>
      <c r="O8615" s="14" t="str">
        <f>HYPERLINK("https://otsuka-europe-crm.veevavault.com/ui/#object/email_activity__v/V8C00000004F141", "EN-002110081")</f>
        <v>EN-002110081</v>
      </c>
    </row>
    <row r="8616" spans="1:15" ht="32" x14ac:dyDescent="0.2">
      <c r="A8616" s="7" t="str">
        <f>HYPERLINK("https://otsuka-europe-crm.veevavault.com/ui/#object/account__v/V4TZ06G6O71TA3C", "ISIDRO GOMEZ PEREZ")</f>
        <v>ISIDRO GOMEZ PEREZ</v>
      </c>
      <c r="B8616" s="7" t="str">
        <f>HYPERLINK("https://otsuka-europe-crm.veevavault.com/ui/#object/vcountry__v/VENZ000004SONF5", "ES")</f>
        <v>ES</v>
      </c>
      <c r="C8616" s="8" t="s">
        <v>39</v>
      </c>
      <c r="D8616" s="9" t="str">
        <f>HYPERLINK("https://otsuka-europe-crm.veevavault.com/ui/#object/approved_document__v/V5O00000000L011", "Libro IA en psiquiatría")</f>
        <v>Libro IA en psiquiatría</v>
      </c>
      <c r="E8616" s="10" t="str">
        <f>HYPERLINK("https://otsuka-europe-crm.veevavault.com/ui/#object/sent_email__v/VBL00000003G058", "SE-001448510")</f>
        <v>SE-001448510</v>
      </c>
      <c r="F8616" s="11"/>
      <c r="G8616" s="12">
        <v>0</v>
      </c>
      <c r="H8616" s="12">
        <v>0</v>
      </c>
      <c r="I8616" s="12">
        <v>0</v>
      </c>
      <c r="J8616" s="11"/>
      <c r="K8616" s="12">
        <v>0</v>
      </c>
      <c r="L8616" s="10" t="str">
        <f>HYPERLINK("https://otsuka-europe-crm.veevavault.com/ui/#object/approved_document__v/V5O00000000L011", "Libro IA en psiquiatría")</f>
        <v>Libro IA en psiquiatría</v>
      </c>
      <c r="M8616" s="10" t="str">
        <f>HYPERLINK("mailto:sdiez@crm.otsuka-europe.com", "sdiez@crm.otsuka-europe.com")</f>
        <v>sdiez@crm.otsuka-europe.com</v>
      </c>
      <c r="N8616" s="13">
        <v>46234.417870370373</v>
      </c>
      <c r="O8616" s="14" t="str">
        <f>HYPERLINK("https://otsuka-europe-crm.veevavault.com/ui/#object/email_activity__v/V8C00000004F138", "EN-002110078")</f>
        <v>EN-002110078</v>
      </c>
    </row>
    <row r="8617" spans="1:15" ht="16" x14ac:dyDescent="0.2">
      <c r="A8617" s="18" t="str">
        <f>HYPERLINK("https://otsuka-europe-crm.veevavault.com/ui/#object/account__v/V4TZ06G6O71T8JE", "GABRIEL GARCIA ALVAREZ")</f>
        <v>GABRIEL GARCIA ALVAREZ</v>
      </c>
      <c r="B8617" s="18" t="str">
        <f>HYPERLINK("https://otsuka-europe-crm.veevavault.com/ui/#object/vcountry__v/VENZ000004SONF5", "ES")</f>
        <v>ES</v>
      </c>
      <c r="C8617" s="20" t="s">
        <v>39</v>
      </c>
      <c r="D8617" s="21" t="str">
        <f>HYPERLINK("https://otsuka-europe-crm.veevavault.com/ui/#object/approved_document__v/V5O00000000L011", "Libro IA en psiquiatría")</f>
        <v>Libro IA en psiquiatría</v>
      </c>
      <c r="E8617" s="22" t="str">
        <f>HYPERLINK("https://otsuka-europe-crm.veevavault.com/ui/#object/sent_email__v/VBL00000003G059", "SE-001448511")</f>
        <v>SE-001448511</v>
      </c>
      <c r="F8617" s="25">
        <v>46234.449305555558</v>
      </c>
      <c r="G8617" s="24">
        <v>1</v>
      </c>
      <c r="H8617" s="24">
        <v>4</v>
      </c>
      <c r="I8617" s="24">
        <v>0</v>
      </c>
      <c r="J8617" s="23"/>
      <c r="K8617" s="24">
        <v>0</v>
      </c>
      <c r="L8617" s="22" t="str">
        <f>HYPERLINK("https://otsuka-europe-crm.veevavault.com/ui/#object/approved_document__v/V5O00000000L011", "Libro IA en psiquiatría")</f>
        <v>Libro IA en psiquiatría</v>
      </c>
      <c r="M8617" s="22" t="str">
        <f>HYPERLINK("mailto:sdiez@crm.otsuka-europe.com", "sdiez@crm.otsuka-europe.com")</f>
        <v>sdiez@crm.otsuka-europe.com</v>
      </c>
      <c r="N8617" s="25">
        <v>46234.417974537035</v>
      </c>
      <c r="O8617" s="14" t="str">
        <f>HYPERLINK("https://otsuka-europe-crm.veevavault.com/ui/#object/email_activity__v/V8C00000004F159", "EN-002110117")</f>
        <v>EN-002110117</v>
      </c>
    </row>
    <row r="8618" spans="1:15" ht="16" x14ac:dyDescent="0.2">
      <c r="A8618" s="26"/>
      <c r="B8618" s="26"/>
      <c r="C8618" s="26"/>
      <c r="D8618" s="26"/>
      <c r="E8618" s="26"/>
      <c r="F8618" s="26"/>
      <c r="G8618" s="26"/>
      <c r="H8618" s="26"/>
      <c r="I8618" s="26"/>
      <c r="J8618" s="26"/>
      <c r="K8618" s="26"/>
      <c r="L8618" s="26"/>
      <c r="M8618" s="26"/>
      <c r="N8618" s="26"/>
      <c r="O8618" s="14" t="str">
        <f>HYPERLINK("https://otsuka-europe-crm.veevavault.com/ui/#object/email_activity__v/V8C00000004F269", "EN-002110453")</f>
        <v>EN-002110453</v>
      </c>
    </row>
    <row r="8619" spans="1:15" ht="16" x14ac:dyDescent="0.2">
      <c r="A8619" s="26"/>
      <c r="B8619" s="26"/>
      <c r="C8619" s="26"/>
      <c r="D8619" s="26"/>
      <c r="E8619" s="26"/>
      <c r="F8619" s="26"/>
      <c r="G8619" s="26"/>
      <c r="H8619" s="26"/>
      <c r="I8619" s="26"/>
      <c r="J8619" s="26"/>
      <c r="K8619" s="26"/>
      <c r="L8619" s="26"/>
      <c r="M8619" s="26"/>
      <c r="N8619" s="26"/>
      <c r="O8619" s="14" t="str">
        <f>HYPERLINK("https://otsuka-europe-crm.veevavault.com/ui/#object/email_activity__v/V8C00000004F270", "EN-002110454")</f>
        <v>EN-002110454</v>
      </c>
    </row>
    <row r="8620" spans="1:15" ht="16" x14ac:dyDescent="0.2">
      <c r="A8620" s="26"/>
      <c r="B8620" s="26"/>
      <c r="C8620" s="26"/>
      <c r="D8620" s="26"/>
      <c r="E8620" s="26"/>
      <c r="F8620" s="26"/>
      <c r="G8620" s="26"/>
      <c r="H8620" s="26"/>
      <c r="I8620" s="26"/>
      <c r="J8620" s="26"/>
      <c r="K8620" s="26"/>
      <c r="L8620" s="26"/>
      <c r="M8620" s="26"/>
      <c r="N8620" s="26"/>
      <c r="O8620" s="14" t="str">
        <f>HYPERLINK("https://otsuka-europe-crm.veevavault.com/ui/#object/email_activity__v/V8C00000004F271", "EN-002110455")</f>
        <v>EN-002110455</v>
      </c>
    </row>
    <row r="8621" spans="1:15" ht="16" x14ac:dyDescent="0.2">
      <c r="A8621" s="19"/>
      <c r="B8621" s="19"/>
      <c r="C8621" s="19"/>
      <c r="D8621" s="19"/>
      <c r="E8621" s="19"/>
      <c r="F8621" s="19"/>
      <c r="G8621" s="19"/>
      <c r="H8621" s="19"/>
      <c r="I8621" s="19"/>
      <c r="J8621" s="19"/>
      <c r="K8621" s="19"/>
      <c r="L8621" s="19"/>
      <c r="M8621" s="19"/>
      <c r="N8621" s="19"/>
      <c r="O8621" s="14" t="str">
        <f>HYPERLINK("https://otsuka-europe-crm.veevavault.com/ui/#object/email_activity__v/V8C00000004G397", "EN-002110449")</f>
        <v>EN-002110449</v>
      </c>
    </row>
    <row r="8622" spans="1:15" ht="16" x14ac:dyDescent="0.2">
      <c r="A8622" s="18" t="str">
        <f>HYPERLINK("https://otsuka-europe-crm.veevavault.com/ui/#object/account__v/V4TZ04ASGDUDBTB", "PAULA CARRASCO CASTRO")</f>
        <v>PAULA CARRASCO CASTRO</v>
      </c>
      <c r="B8622" s="18" t="str">
        <f>HYPERLINK("https://otsuka-europe-crm.veevavault.com/ui/#object/vcountry__v/VENZ000004SONF5", "ES")</f>
        <v>ES</v>
      </c>
      <c r="C8622" s="20" t="s">
        <v>39</v>
      </c>
      <c r="D8622" s="21" t="str">
        <f>HYPERLINK("https://otsuka-europe-crm.veevavault.com/ui/#object/approved_document__v/V5O00000000L011", "Libro IA en psiquiatría")</f>
        <v>Libro IA en psiquiatría</v>
      </c>
      <c r="E8622" s="22" t="str">
        <f>HYPERLINK("https://otsuka-europe-crm.veevavault.com/ui/#object/sent_email__v/VBL00000003G060", "SE-001448512")</f>
        <v>SE-001448512</v>
      </c>
      <c r="F8622" s="23"/>
      <c r="G8622" s="24">
        <v>0</v>
      </c>
      <c r="H8622" s="24">
        <v>0</v>
      </c>
      <c r="I8622" s="24">
        <v>0</v>
      </c>
      <c r="J8622" s="23"/>
      <c r="K8622" s="24">
        <v>0</v>
      </c>
      <c r="L8622" s="22" t="str">
        <f>HYPERLINK("https://otsuka-europe-crm.veevavault.com/ui/#object/approved_document__v/V5O00000000L011", "Libro IA en psiquiatría")</f>
        <v>Libro IA en psiquiatría</v>
      </c>
      <c r="M8622" s="22" t="str">
        <f>HYPERLINK("mailto:sdiez@crm.otsuka-europe.com", "sdiez@crm.otsuka-europe.com")</f>
        <v>sdiez@crm.otsuka-europe.com</v>
      </c>
      <c r="N8622" s="25">
        <v>46234.417974537035</v>
      </c>
      <c r="O8622" s="14" t="str">
        <f>HYPERLINK("https://otsuka-europe-crm.veevavault.com/ui/#object/email_activity__v/V8C00000004G170", "EN-002110113")</f>
        <v>EN-002110113</v>
      </c>
    </row>
    <row r="8623" spans="1:15" ht="16" x14ac:dyDescent="0.2">
      <c r="A8623" s="19"/>
      <c r="B8623" s="19"/>
      <c r="C8623" s="19"/>
      <c r="D8623" s="19"/>
      <c r="E8623" s="19"/>
      <c r="F8623" s="19"/>
      <c r="G8623" s="19"/>
      <c r="H8623" s="19"/>
      <c r="I8623" s="19"/>
      <c r="J8623" s="19"/>
      <c r="K8623" s="19"/>
      <c r="L8623" s="19"/>
      <c r="M8623" s="19"/>
      <c r="N8623" s="19"/>
      <c r="O8623" s="14" t="str">
        <f>HYPERLINK("https://otsuka-europe-crm.veevavault.com/ui/#object/email_activity__v/V8C00000004G637", "EN-002110887")</f>
        <v>EN-002110887</v>
      </c>
    </row>
    <row r="8624" spans="1:15" ht="16" x14ac:dyDescent="0.2">
      <c r="A8624" s="18" t="str">
        <f>HYPERLINK("https://otsuka-europe-crm.veevavault.com/ui/#object/account__v/V4TZ06G6O71T8L9", "FELIX JACOBO ANTON")</f>
        <v>FELIX JACOBO ANTON</v>
      </c>
      <c r="B8624" s="18" t="str">
        <f>HYPERLINK("https://otsuka-europe-crm.veevavault.com/ui/#object/vcountry__v/VENZ000004SONF5", "ES")</f>
        <v>ES</v>
      </c>
      <c r="C8624" s="20" t="s">
        <v>39</v>
      </c>
      <c r="D8624" s="21" t="str">
        <f>HYPERLINK("https://otsuka-europe-crm.veevavault.com/ui/#object/approved_document__v/V5O00000000L011", "Libro IA en psiquiatría")</f>
        <v>Libro IA en psiquiatría</v>
      </c>
      <c r="E8624" s="22" t="str">
        <f>HYPERLINK("https://otsuka-europe-crm.veevavault.com/ui/#object/sent_email__v/VBL00000003G061", "SE-001448513")</f>
        <v>SE-001448513</v>
      </c>
      <c r="F8624" s="25">
        <v>46234.524201388886</v>
      </c>
      <c r="G8624" s="24">
        <v>1</v>
      </c>
      <c r="H8624" s="24">
        <v>2</v>
      </c>
      <c r="I8624" s="24">
        <v>0</v>
      </c>
      <c r="J8624" s="23"/>
      <c r="K8624" s="24">
        <v>0</v>
      </c>
      <c r="L8624" s="22" t="str">
        <f>HYPERLINK("https://otsuka-europe-crm.veevavault.com/ui/#object/approved_document__v/V5O00000000L011", "Libro IA en psiquiatría")</f>
        <v>Libro IA en psiquiatría</v>
      </c>
      <c r="M8624" s="22" t="str">
        <f>HYPERLINK("mailto:sdiez@crm.otsuka-europe.com", "sdiez@crm.otsuka-europe.com")</f>
        <v>sdiez@crm.otsuka-europe.com</v>
      </c>
      <c r="N8624" s="25">
        <v>46234.417986111112</v>
      </c>
      <c r="O8624" s="14" t="str">
        <f>HYPERLINK("https://otsuka-europe-crm.veevavault.com/ui/#object/email_activity__v/V8C00000004G161", "EN-002110096")</f>
        <v>EN-002110096</v>
      </c>
    </row>
    <row r="8625" spans="1:15" ht="16" x14ac:dyDescent="0.2">
      <c r="A8625" s="26"/>
      <c r="B8625" s="26"/>
      <c r="C8625" s="26"/>
      <c r="D8625" s="26"/>
      <c r="E8625" s="26"/>
      <c r="F8625" s="26"/>
      <c r="G8625" s="26"/>
      <c r="H8625" s="26"/>
      <c r="I8625" s="26"/>
      <c r="J8625" s="26"/>
      <c r="K8625" s="26"/>
      <c r="L8625" s="26"/>
      <c r="M8625" s="26"/>
      <c r="N8625" s="26"/>
      <c r="O8625" s="14" t="str">
        <f>HYPERLINK("https://otsuka-europe-crm.veevavault.com/ui/#object/email_activity__v/V8C00000004G556", "EN-002110725")</f>
        <v>EN-002110725</v>
      </c>
    </row>
    <row r="8626" spans="1:15" ht="16" x14ac:dyDescent="0.2">
      <c r="A8626" s="19"/>
      <c r="B8626" s="19"/>
      <c r="C8626" s="19"/>
      <c r="D8626" s="19"/>
      <c r="E8626" s="19"/>
      <c r="F8626" s="19"/>
      <c r="G8626" s="19"/>
      <c r="H8626" s="19"/>
      <c r="I8626" s="19"/>
      <c r="J8626" s="19"/>
      <c r="K8626" s="19"/>
      <c r="L8626" s="19"/>
      <c r="M8626" s="19"/>
      <c r="N8626" s="19"/>
      <c r="O8626" s="14" t="str">
        <f>HYPERLINK("https://otsuka-europe-crm.veevavault.com/ui/#object/email_activity__v/V8C00000004G558", "EN-002110727")</f>
        <v>EN-002110727</v>
      </c>
    </row>
    <row r="8627" spans="1:15" ht="16" x14ac:dyDescent="0.2">
      <c r="A8627" s="18" t="str">
        <f>HYPERLINK("https://otsuka-europe-crm.veevavault.com/ui/#object/account__v/V4TZ06G6O71TCCH", "GEMMA ISABEL SAN NARCISO IZQUIERDO")</f>
        <v>GEMMA ISABEL SAN NARCISO IZQUIERDO</v>
      </c>
      <c r="B8627" s="18" t="str">
        <f>HYPERLINK("https://otsuka-europe-crm.veevavault.com/ui/#object/vcountry__v/VENZ000004SONF5", "ES")</f>
        <v>ES</v>
      </c>
      <c r="C8627" s="20" t="s">
        <v>39</v>
      </c>
      <c r="D8627" s="21" t="str">
        <f>HYPERLINK("https://otsuka-europe-crm.veevavault.com/ui/#object/approved_document__v/V5O00000000L011", "Libro IA en psiquiatría")</f>
        <v>Libro IA en psiquiatría</v>
      </c>
      <c r="E8627" s="22" t="str">
        <f>HYPERLINK("https://otsuka-europe-crm.veevavault.com/ui/#object/sent_email__v/VBL00000003G062", "SE-001448514")</f>
        <v>SE-001448514</v>
      </c>
      <c r="F8627" s="25">
        <v>46234.435613425929</v>
      </c>
      <c r="G8627" s="24">
        <v>1</v>
      </c>
      <c r="H8627" s="24">
        <v>1</v>
      </c>
      <c r="I8627" s="24">
        <v>1</v>
      </c>
      <c r="J8627" s="25">
        <v>46234.438750000001</v>
      </c>
      <c r="K8627" s="24">
        <v>1</v>
      </c>
      <c r="L8627" s="22" t="str">
        <f>HYPERLINK("https://otsuka-europe-crm.veevavault.com/ui/#object/approved_document__v/V5O00000000L011", "Libro IA en psiquiatría")</f>
        <v>Libro IA en psiquiatría</v>
      </c>
      <c r="M8627" s="22" t="str">
        <f>HYPERLINK("mailto:sdiez@crm.otsuka-europe.com", "sdiez@crm.otsuka-europe.com")</f>
        <v>sdiez@crm.otsuka-europe.com</v>
      </c>
      <c r="N8627" s="25">
        <v>46234.419618055559</v>
      </c>
      <c r="O8627" s="14" t="str">
        <f>HYPERLINK("https://otsuka-europe-crm.veevavault.com/ui/#object/email_activity__v/V8C00000004F163", "EN-002110126")</f>
        <v>EN-002110126</v>
      </c>
    </row>
    <row r="8628" spans="1:15" ht="16" x14ac:dyDescent="0.2">
      <c r="A8628" s="26"/>
      <c r="B8628" s="26"/>
      <c r="C8628" s="26"/>
      <c r="D8628" s="26"/>
      <c r="E8628" s="26"/>
      <c r="F8628" s="26"/>
      <c r="G8628" s="26"/>
      <c r="H8628" s="26"/>
      <c r="I8628" s="26"/>
      <c r="J8628" s="26"/>
      <c r="K8628" s="26"/>
      <c r="L8628" s="26"/>
      <c r="M8628" s="26"/>
      <c r="N8628" s="26"/>
      <c r="O8628" s="14" t="str">
        <f>HYPERLINK("https://otsuka-europe-crm.veevavault.com/ui/#object/email_activity__v/V8C00000004G270", "EN-002110320")</f>
        <v>EN-002110320</v>
      </c>
    </row>
    <row r="8629" spans="1:15" ht="16" x14ac:dyDescent="0.2">
      <c r="A8629" s="19"/>
      <c r="B8629" s="19"/>
      <c r="C8629" s="19"/>
      <c r="D8629" s="19"/>
      <c r="E8629" s="19"/>
      <c r="F8629" s="19"/>
      <c r="G8629" s="19"/>
      <c r="H8629" s="19"/>
      <c r="I8629" s="19"/>
      <c r="J8629" s="19"/>
      <c r="K8629" s="19"/>
      <c r="L8629" s="19"/>
      <c r="M8629" s="19"/>
      <c r="N8629" s="19"/>
      <c r="O8629" s="14" t="str">
        <f>HYPERLINK("https://otsuka-europe-crm.veevavault.com/ui/#object/email_activity__v/V8C00000004G327", "EN-002110377")</f>
        <v>EN-002110377</v>
      </c>
    </row>
    <row r="8630" spans="1:15" ht="32" x14ac:dyDescent="0.2">
      <c r="A8630" s="7" t="str">
        <f>HYPERLINK("https://otsuka-europe-crm.veevavault.com/ui/#object/account__v/V4TZ06G6O71TBT0", "JOSE DOROTEO RIVAS PEREZ")</f>
        <v>JOSE DOROTEO RIVAS PEREZ</v>
      </c>
      <c r="B8630" s="7" t="str">
        <f>HYPERLINK("https://otsuka-europe-crm.veevavault.com/ui/#object/vcountry__v/VENZ000004SONF5", "ES")</f>
        <v>ES</v>
      </c>
      <c r="C8630" s="8" t="s">
        <v>39</v>
      </c>
      <c r="D8630" s="9" t="str">
        <f>HYPERLINK("https://otsuka-europe-crm.veevavault.com/ui/#object/approved_document__v/V5O00000000L011", "Libro IA en psiquiatría")</f>
        <v>Libro IA en psiquiatría</v>
      </c>
      <c r="E8630" s="10" t="str">
        <f>HYPERLINK("https://otsuka-europe-crm.veevavault.com/ui/#object/sent_email__v/VBL00000003G063", "SE-001448515")</f>
        <v>SE-001448515</v>
      </c>
      <c r="F8630" s="11"/>
      <c r="G8630" s="12">
        <v>0</v>
      </c>
      <c r="H8630" s="12">
        <v>0</v>
      </c>
      <c r="I8630" s="12">
        <v>0</v>
      </c>
      <c r="J8630" s="11"/>
      <c r="K8630" s="12">
        <v>0</v>
      </c>
      <c r="L8630" s="10" t="str">
        <f>HYPERLINK("https://otsuka-europe-crm.veevavault.com/ui/#object/approved_document__v/V5O00000000L011", "Libro IA en psiquiatría")</f>
        <v>Libro IA en psiquiatría</v>
      </c>
      <c r="M8630" s="10" t="str">
        <f>HYPERLINK("mailto:sdiez@crm.otsuka-europe.com", "sdiez@crm.otsuka-europe.com")</f>
        <v>sdiez@crm.otsuka-europe.com</v>
      </c>
      <c r="N8630" s="13">
        <v>46234.419618055559</v>
      </c>
      <c r="O8630" s="14" t="str">
        <f>HYPERLINK("https://otsuka-europe-crm.veevavault.com/ui/#object/email_activity__v/V8C00000004G183", "EN-002110136")</f>
        <v>EN-002110136</v>
      </c>
    </row>
    <row r="8631" spans="1:15" ht="32" x14ac:dyDescent="0.2">
      <c r="A8631" s="7" t="str">
        <f>HYPERLINK("https://otsuka-europe-crm.veevavault.com/ui/#object/account__v/V4TZ06G6O71T87C", "LUCIA SANCHEZ PERNAS")</f>
        <v>LUCIA SANCHEZ PERNAS</v>
      </c>
      <c r="B8631" s="7" t="str">
        <f>HYPERLINK("https://otsuka-europe-crm.veevavault.com/ui/#object/vcountry__v/VENZ000004SONF5", "ES")</f>
        <v>ES</v>
      </c>
      <c r="C8631" s="8" t="s">
        <v>39</v>
      </c>
      <c r="D8631" s="9" t="str">
        <f>HYPERLINK("https://otsuka-europe-crm.veevavault.com/ui/#object/approved_document__v/V5O00000000L011", "Libro IA en psiquiatría")</f>
        <v>Libro IA en psiquiatría</v>
      </c>
      <c r="E8631" s="10" t="str">
        <f>HYPERLINK("https://otsuka-europe-crm.veevavault.com/ui/#object/sent_email__v/VBL00000003G064", "SE-001448516")</f>
        <v>SE-001448516</v>
      </c>
      <c r="F8631" s="11"/>
      <c r="G8631" s="12">
        <v>0</v>
      </c>
      <c r="H8631" s="12">
        <v>0</v>
      </c>
      <c r="I8631" s="12">
        <v>0</v>
      </c>
      <c r="J8631" s="11"/>
      <c r="K8631" s="12">
        <v>0</v>
      </c>
      <c r="L8631" s="10" t="str">
        <f>HYPERLINK("https://otsuka-europe-crm.veevavault.com/ui/#object/approved_document__v/V5O00000000L011", "Libro IA en psiquiatría")</f>
        <v>Libro IA en psiquiatría</v>
      </c>
      <c r="M8631" s="10" t="str">
        <f>HYPERLINK("mailto:sdiez@crm.otsuka-europe.com", "sdiez@crm.otsuka-europe.com")</f>
        <v>sdiez@crm.otsuka-europe.com</v>
      </c>
      <c r="N8631" s="13">
        <v>46234.419618055559</v>
      </c>
      <c r="O8631" s="14" t="str">
        <f>HYPERLINK("https://otsuka-europe-crm.veevavault.com/ui/#object/email_activity__v/V8C00000004G182", "EN-002110135")</f>
        <v>EN-002110135</v>
      </c>
    </row>
    <row r="8632" spans="1:15" ht="16" x14ac:dyDescent="0.2">
      <c r="A8632" s="18" t="str">
        <f>HYPERLINK("https://otsuka-europe-crm.veevavault.com/ui/#object/account__v/V4TZ06G6O7VSV2O", "CARMEN FELISA RUEDA RODRIGUEZ")</f>
        <v>CARMEN FELISA RUEDA RODRIGUEZ</v>
      </c>
      <c r="B8632" s="18" t="str">
        <f>HYPERLINK("https://otsuka-europe-crm.veevavault.com/ui/#object/vcountry__v/VENZ000004SONF5", "ES")</f>
        <v>ES</v>
      </c>
      <c r="C8632" s="20" t="s">
        <v>39</v>
      </c>
      <c r="D8632" s="21" t="str">
        <f>HYPERLINK("https://otsuka-europe-crm.veevavault.com/ui/#object/approved_document__v/V5O00000000L011", "Libro IA en psiquiatría")</f>
        <v>Libro IA en psiquiatría</v>
      </c>
      <c r="E8632" s="22" t="str">
        <f>HYPERLINK("https://otsuka-europe-crm.veevavault.com/ui/#object/sent_email__v/VBL00000003G065", "SE-001448517")</f>
        <v>SE-001448517</v>
      </c>
      <c r="F8632" s="25">
        <v>46238.644756944443</v>
      </c>
      <c r="G8632" s="24">
        <v>1</v>
      </c>
      <c r="H8632" s="24">
        <v>17</v>
      </c>
      <c r="I8632" s="24">
        <v>0</v>
      </c>
      <c r="J8632" s="23"/>
      <c r="K8632" s="24">
        <v>0</v>
      </c>
      <c r="L8632" s="22" t="str">
        <f>HYPERLINK("https://otsuka-europe-crm.veevavault.com/ui/#object/approved_document__v/V5O00000000L011", "Libro IA en psiquiatría")</f>
        <v>Libro IA en psiquiatría</v>
      </c>
      <c r="M8632" s="22" t="str">
        <f>HYPERLINK("mailto:sdiez@crm.otsuka-europe.com", "sdiez@crm.otsuka-europe.com")</f>
        <v>sdiez@crm.otsuka-europe.com</v>
      </c>
      <c r="N8632" s="25">
        <v>46234.419618055559</v>
      </c>
      <c r="O8632" s="14" t="str">
        <f>HYPERLINK("https://otsuka-europe-crm.veevavault.com/ui/#object/email_activity__v/V8C00000004G177", "EN-002110125")</f>
        <v>EN-002110125</v>
      </c>
    </row>
    <row r="8633" spans="1:15" ht="16" x14ac:dyDescent="0.2">
      <c r="A8633" s="26"/>
      <c r="B8633" s="26"/>
      <c r="C8633" s="26"/>
      <c r="D8633" s="26"/>
      <c r="E8633" s="26"/>
      <c r="F8633" s="26"/>
      <c r="G8633" s="26"/>
      <c r="H8633" s="26"/>
      <c r="I8633" s="26"/>
      <c r="J8633" s="26"/>
      <c r="K8633" s="26"/>
      <c r="L8633" s="26"/>
      <c r="M8633" s="26"/>
      <c r="N8633" s="26"/>
      <c r="O8633" s="14" t="str">
        <f>HYPERLINK("https://otsuka-europe-crm.veevavault.com/ui/#object/email_activity__v/V8C00000004H318", "EN-002111514")</f>
        <v>EN-002111514</v>
      </c>
    </row>
    <row r="8634" spans="1:15" ht="16" x14ac:dyDescent="0.2">
      <c r="A8634" s="26"/>
      <c r="B8634" s="26"/>
      <c r="C8634" s="26"/>
      <c r="D8634" s="26"/>
      <c r="E8634" s="26"/>
      <c r="F8634" s="26"/>
      <c r="G8634" s="26"/>
      <c r="H8634" s="26"/>
      <c r="I8634" s="26"/>
      <c r="J8634" s="26"/>
      <c r="K8634" s="26"/>
      <c r="L8634" s="26"/>
      <c r="M8634" s="26"/>
      <c r="N8634" s="26"/>
      <c r="O8634" s="14" t="str">
        <f>HYPERLINK("https://otsuka-europe-crm.veevavault.com/ui/#object/email_activity__v/V8C00000004H319", "EN-002111515")</f>
        <v>EN-002111515</v>
      </c>
    </row>
    <row r="8635" spans="1:15" ht="16" x14ac:dyDescent="0.2">
      <c r="A8635" s="26"/>
      <c r="B8635" s="26"/>
      <c r="C8635" s="26"/>
      <c r="D8635" s="26"/>
      <c r="E8635" s="26"/>
      <c r="F8635" s="26"/>
      <c r="G8635" s="26"/>
      <c r="H8635" s="26"/>
      <c r="I8635" s="26"/>
      <c r="J8635" s="26"/>
      <c r="K8635" s="26"/>
      <c r="L8635" s="26"/>
      <c r="M8635" s="26"/>
      <c r="N8635" s="26"/>
      <c r="O8635" s="14" t="str">
        <f>HYPERLINK("https://otsuka-europe-crm.veevavault.com/ui/#object/email_activity__v/V8C00000004H320", "EN-002111516")</f>
        <v>EN-002111516</v>
      </c>
    </row>
    <row r="8636" spans="1:15" ht="16" x14ac:dyDescent="0.2">
      <c r="A8636" s="26"/>
      <c r="B8636" s="26"/>
      <c r="C8636" s="26"/>
      <c r="D8636" s="26"/>
      <c r="E8636" s="26"/>
      <c r="F8636" s="26"/>
      <c r="G8636" s="26"/>
      <c r="H8636" s="26"/>
      <c r="I8636" s="26"/>
      <c r="J8636" s="26"/>
      <c r="K8636" s="26"/>
      <c r="L8636" s="26"/>
      <c r="M8636" s="26"/>
      <c r="N8636" s="26"/>
      <c r="O8636" s="14" t="str">
        <f>HYPERLINK("https://otsuka-europe-crm.veevavault.com/ui/#object/email_activity__v/V8C00000004H321", "EN-002111518")</f>
        <v>EN-002111518</v>
      </c>
    </row>
    <row r="8637" spans="1:15" ht="16" x14ac:dyDescent="0.2">
      <c r="A8637" s="26"/>
      <c r="B8637" s="26"/>
      <c r="C8637" s="26"/>
      <c r="D8637" s="26"/>
      <c r="E8637" s="26"/>
      <c r="F8637" s="26"/>
      <c r="G8637" s="26"/>
      <c r="H8637" s="26"/>
      <c r="I8637" s="26"/>
      <c r="J8637" s="26"/>
      <c r="K8637" s="26"/>
      <c r="L8637" s="26"/>
      <c r="M8637" s="26"/>
      <c r="N8637" s="26"/>
      <c r="O8637" s="14" t="str">
        <f>HYPERLINK("https://otsuka-europe-crm.veevavault.com/ui/#object/email_activity__v/V8C00000004H322", "EN-002111519")</f>
        <v>EN-002111519</v>
      </c>
    </row>
    <row r="8638" spans="1:15" ht="16" x14ac:dyDescent="0.2">
      <c r="A8638" s="26"/>
      <c r="B8638" s="26"/>
      <c r="C8638" s="26"/>
      <c r="D8638" s="26"/>
      <c r="E8638" s="26"/>
      <c r="F8638" s="26"/>
      <c r="G8638" s="26"/>
      <c r="H8638" s="26"/>
      <c r="I8638" s="26"/>
      <c r="J8638" s="26"/>
      <c r="K8638" s="26"/>
      <c r="L8638" s="26"/>
      <c r="M8638" s="26"/>
      <c r="N8638" s="26"/>
      <c r="O8638" s="14" t="str">
        <f>HYPERLINK("https://otsuka-europe-crm.veevavault.com/ui/#object/email_activity__v/V8C00000004H323", "EN-002111520")</f>
        <v>EN-002111520</v>
      </c>
    </row>
    <row r="8639" spans="1:15" ht="16" x14ac:dyDescent="0.2">
      <c r="A8639" s="26"/>
      <c r="B8639" s="26"/>
      <c r="C8639" s="26"/>
      <c r="D8639" s="26"/>
      <c r="E8639" s="26"/>
      <c r="F8639" s="26"/>
      <c r="G8639" s="26"/>
      <c r="H8639" s="26"/>
      <c r="I8639" s="26"/>
      <c r="J8639" s="26"/>
      <c r="K8639" s="26"/>
      <c r="L8639" s="26"/>
      <c r="M8639" s="26"/>
      <c r="N8639" s="26"/>
      <c r="O8639" s="14" t="str">
        <f>HYPERLINK("https://otsuka-europe-crm.veevavault.com/ui/#object/email_activity__v/V8C00000004H324", "EN-002111521")</f>
        <v>EN-002111521</v>
      </c>
    </row>
    <row r="8640" spans="1:15" ht="16" x14ac:dyDescent="0.2">
      <c r="A8640" s="26"/>
      <c r="B8640" s="26"/>
      <c r="C8640" s="26"/>
      <c r="D8640" s="26"/>
      <c r="E8640" s="26"/>
      <c r="F8640" s="26"/>
      <c r="G8640" s="26"/>
      <c r="H8640" s="26"/>
      <c r="I8640" s="26"/>
      <c r="J8640" s="26"/>
      <c r="K8640" s="26"/>
      <c r="L8640" s="26"/>
      <c r="M8640" s="26"/>
      <c r="N8640" s="26"/>
      <c r="O8640" s="14" t="str">
        <f>HYPERLINK("https://otsuka-europe-crm.veevavault.com/ui/#object/email_activity__v/V8C00000004H325", "EN-002111523")</f>
        <v>EN-002111523</v>
      </c>
    </row>
    <row r="8641" spans="1:15" ht="16" x14ac:dyDescent="0.2">
      <c r="A8641" s="26"/>
      <c r="B8641" s="26"/>
      <c r="C8641" s="26"/>
      <c r="D8641" s="26"/>
      <c r="E8641" s="26"/>
      <c r="F8641" s="26"/>
      <c r="G8641" s="26"/>
      <c r="H8641" s="26"/>
      <c r="I8641" s="26"/>
      <c r="J8641" s="26"/>
      <c r="K8641" s="26"/>
      <c r="L8641" s="26"/>
      <c r="M8641" s="26"/>
      <c r="N8641" s="26"/>
      <c r="O8641" s="14" t="str">
        <f>HYPERLINK("https://otsuka-europe-crm.veevavault.com/ui/#object/email_activity__v/V8C00000004H326", "EN-002111527")</f>
        <v>EN-002111527</v>
      </c>
    </row>
    <row r="8642" spans="1:15" ht="16" x14ac:dyDescent="0.2">
      <c r="A8642" s="26"/>
      <c r="B8642" s="26"/>
      <c r="C8642" s="26"/>
      <c r="D8642" s="26"/>
      <c r="E8642" s="26"/>
      <c r="F8642" s="26"/>
      <c r="G8642" s="26"/>
      <c r="H8642" s="26"/>
      <c r="I8642" s="26"/>
      <c r="J8642" s="26"/>
      <c r="K8642" s="26"/>
      <c r="L8642" s="26"/>
      <c r="M8642" s="26"/>
      <c r="N8642" s="26"/>
      <c r="O8642" s="14" t="str">
        <f>HYPERLINK("https://otsuka-europe-crm.veevavault.com/ui/#object/email_activity__v/V8C00000004H327", "EN-002111528")</f>
        <v>EN-002111528</v>
      </c>
    </row>
    <row r="8643" spans="1:15" ht="16" x14ac:dyDescent="0.2">
      <c r="A8643" s="26"/>
      <c r="B8643" s="26"/>
      <c r="C8643" s="26"/>
      <c r="D8643" s="26"/>
      <c r="E8643" s="26"/>
      <c r="F8643" s="26"/>
      <c r="G8643" s="26"/>
      <c r="H8643" s="26"/>
      <c r="I8643" s="26"/>
      <c r="J8643" s="26"/>
      <c r="K8643" s="26"/>
      <c r="L8643" s="26"/>
      <c r="M8643" s="26"/>
      <c r="N8643" s="26"/>
      <c r="O8643" s="14" t="str">
        <f>HYPERLINK("https://otsuka-europe-crm.veevavault.com/ui/#object/email_activity__v/V8C00000004I247", "EN-002111517")</f>
        <v>EN-002111517</v>
      </c>
    </row>
    <row r="8644" spans="1:15" ht="16" x14ac:dyDescent="0.2">
      <c r="A8644" s="26"/>
      <c r="B8644" s="26"/>
      <c r="C8644" s="26"/>
      <c r="D8644" s="26"/>
      <c r="E8644" s="26"/>
      <c r="F8644" s="26"/>
      <c r="G8644" s="26"/>
      <c r="H8644" s="26"/>
      <c r="I8644" s="26"/>
      <c r="J8644" s="26"/>
      <c r="K8644" s="26"/>
      <c r="L8644" s="26"/>
      <c r="M8644" s="26"/>
      <c r="N8644" s="26"/>
      <c r="O8644" s="14" t="str">
        <f>HYPERLINK("https://otsuka-europe-crm.veevavault.com/ui/#object/email_activity__v/V8C00000004I248", "EN-002111522")</f>
        <v>EN-002111522</v>
      </c>
    </row>
    <row r="8645" spans="1:15" ht="16" x14ac:dyDescent="0.2">
      <c r="A8645" s="26"/>
      <c r="B8645" s="26"/>
      <c r="C8645" s="26"/>
      <c r="D8645" s="26"/>
      <c r="E8645" s="26"/>
      <c r="F8645" s="26"/>
      <c r="G8645" s="26"/>
      <c r="H8645" s="26"/>
      <c r="I8645" s="26"/>
      <c r="J8645" s="26"/>
      <c r="K8645" s="26"/>
      <c r="L8645" s="26"/>
      <c r="M8645" s="26"/>
      <c r="N8645" s="26"/>
      <c r="O8645" s="14" t="str">
        <f>HYPERLINK("https://otsuka-europe-crm.veevavault.com/ui/#object/email_activity__v/V8C00000004I249", "EN-002111524")</f>
        <v>EN-002111524</v>
      </c>
    </row>
    <row r="8646" spans="1:15" ht="16" x14ac:dyDescent="0.2">
      <c r="A8646" s="26"/>
      <c r="B8646" s="26"/>
      <c r="C8646" s="26"/>
      <c r="D8646" s="26"/>
      <c r="E8646" s="26"/>
      <c r="F8646" s="26"/>
      <c r="G8646" s="26"/>
      <c r="H8646" s="26"/>
      <c r="I8646" s="26"/>
      <c r="J8646" s="26"/>
      <c r="K8646" s="26"/>
      <c r="L8646" s="26"/>
      <c r="M8646" s="26"/>
      <c r="N8646" s="26"/>
      <c r="O8646" s="14" t="str">
        <f>HYPERLINK("https://otsuka-europe-crm.veevavault.com/ui/#object/email_activity__v/V8C00000004I250", "EN-002111525")</f>
        <v>EN-002111525</v>
      </c>
    </row>
    <row r="8647" spans="1:15" ht="16" x14ac:dyDescent="0.2">
      <c r="A8647" s="26"/>
      <c r="B8647" s="26"/>
      <c r="C8647" s="26"/>
      <c r="D8647" s="26"/>
      <c r="E8647" s="26"/>
      <c r="F8647" s="26"/>
      <c r="G8647" s="26"/>
      <c r="H8647" s="26"/>
      <c r="I8647" s="26"/>
      <c r="J8647" s="26"/>
      <c r="K8647" s="26"/>
      <c r="L8647" s="26"/>
      <c r="M8647" s="26"/>
      <c r="N8647" s="26"/>
      <c r="O8647" s="14" t="str">
        <f>HYPERLINK("https://otsuka-europe-crm.veevavault.com/ui/#object/email_activity__v/V8C00000004I251", "EN-002111526")</f>
        <v>EN-002111526</v>
      </c>
    </row>
    <row r="8648" spans="1:15" ht="16" x14ac:dyDescent="0.2">
      <c r="A8648" s="26"/>
      <c r="B8648" s="26"/>
      <c r="C8648" s="26"/>
      <c r="D8648" s="26"/>
      <c r="E8648" s="26"/>
      <c r="F8648" s="26"/>
      <c r="G8648" s="26"/>
      <c r="H8648" s="26"/>
      <c r="I8648" s="26"/>
      <c r="J8648" s="26"/>
      <c r="K8648" s="26"/>
      <c r="L8648" s="26"/>
      <c r="M8648" s="26"/>
      <c r="N8648" s="26"/>
      <c r="O8648" s="14" t="str">
        <f>HYPERLINK("https://otsuka-europe-crm.veevavault.com/ui/#object/email_activity__v/V8C00000004I252", "EN-002111529")</f>
        <v>EN-002111529</v>
      </c>
    </row>
    <row r="8649" spans="1:15" ht="16" x14ac:dyDescent="0.2">
      <c r="A8649" s="19"/>
      <c r="B8649" s="19"/>
      <c r="C8649" s="19"/>
      <c r="D8649" s="19"/>
      <c r="E8649" s="19"/>
      <c r="F8649" s="19"/>
      <c r="G8649" s="19"/>
      <c r="H8649" s="19"/>
      <c r="I8649" s="19"/>
      <c r="J8649" s="19"/>
      <c r="K8649" s="19"/>
      <c r="L8649" s="19"/>
      <c r="M8649" s="19"/>
      <c r="N8649" s="19"/>
      <c r="O8649" s="14" t="str">
        <f>HYPERLINK("https://otsuka-europe-crm.veevavault.com/ui/#object/email_activity__v/V8C00000004I253", "EN-002111530")</f>
        <v>EN-002111530</v>
      </c>
    </row>
    <row r="8650" spans="1:15" ht="32" x14ac:dyDescent="0.2">
      <c r="A8650" s="7" t="str">
        <f>HYPERLINK("https://otsuka-europe-crm.veevavault.com/ui/#object/account__v/V4TZ06G6O71TC7D", "MARIA ARANZAZU SANCHEZ GARCIA")</f>
        <v>MARIA ARANZAZU SANCHEZ GARCIA</v>
      </c>
      <c r="B8650" s="7" t="str">
        <f>HYPERLINK("https://otsuka-europe-crm.veevavault.com/ui/#object/vcountry__v/VENZ000004SONF5", "ES")</f>
        <v>ES</v>
      </c>
      <c r="C8650" s="8" t="s">
        <v>39</v>
      </c>
      <c r="D8650" s="9" t="str">
        <f>HYPERLINK("https://otsuka-europe-crm.veevavault.com/ui/#object/approved_document__v/V5O00000000L011", "Libro IA en psiquiatría")</f>
        <v>Libro IA en psiquiatría</v>
      </c>
      <c r="E8650" s="10" t="str">
        <f>HYPERLINK("https://otsuka-europe-crm.veevavault.com/ui/#object/sent_email__v/VBL00000003G066", "SE-001448518")</f>
        <v>SE-001448518</v>
      </c>
      <c r="F8650" s="11"/>
      <c r="G8650" s="12">
        <v>0</v>
      </c>
      <c r="H8650" s="12">
        <v>0</v>
      </c>
      <c r="I8650" s="12">
        <v>0</v>
      </c>
      <c r="J8650" s="11"/>
      <c r="K8650" s="12">
        <v>0</v>
      </c>
      <c r="L8650" s="10" t="str">
        <f>HYPERLINK("https://otsuka-europe-crm.veevavault.com/ui/#object/approved_document__v/V5O00000000L011", "Libro IA en psiquiatría")</f>
        <v>Libro IA en psiquiatría</v>
      </c>
      <c r="M8650" s="10" t="str">
        <f>HYPERLINK("mailto:sdiez@crm.otsuka-europe.com", "sdiez@crm.otsuka-europe.com")</f>
        <v>sdiez@crm.otsuka-europe.com</v>
      </c>
      <c r="N8650" s="13">
        <v>46234.419583333336</v>
      </c>
      <c r="O8650" s="14" t="str">
        <f>HYPERLINK("https://otsuka-europe-crm.veevavault.com/ui/#object/email_activity__v/V8C00000004G174", "EN-002110122")</f>
        <v>EN-002110122</v>
      </c>
    </row>
    <row r="8651" spans="1:15" ht="16" x14ac:dyDescent="0.2">
      <c r="A8651" s="18" t="str">
        <f>HYPERLINK("https://otsuka-europe-crm.veevavault.com/ui/#object/account__v/V4TZ06G6O71T7HC", "CARLOS MARIO RODRIGUEZ MERCADO")</f>
        <v>CARLOS MARIO RODRIGUEZ MERCADO</v>
      </c>
      <c r="B8651" s="18" t="str">
        <f>HYPERLINK("https://otsuka-europe-crm.veevavault.com/ui/#object/vcountry__v/VENZ000004SONF5", "ES")</f>
        <v>ES</v>
      </c>
      <c r="C8651" s="20" t="s">
        <v>39</v>
      </c>
      <c r="D8651" s="21" t="str">
        <f>HYPERLINK("https://otsuka-europe-crm.veevavault.com/ui/#object/approved_document__v/V5O00000000L011", "Libro IA en psiquiatría")</f>
        <v>Libro IA en psiquiatría</v>
      </c>
      <c r="E8651" s="22" t="str">
        <f>HYPERLINK("https://otsuka-europe-crm.veevavault.com/ui/#object/sent_email__v/VBL00000003G067", "SE-001448519")</f>
        <v>SE-001448519</v>
      </c>
      <c r="F8651" s="23"/>
      <c r="G8651" s="24">
        <v>0</v>
      </c>
      <c r="H8651" s="24">
        <v>0</v>
      </c>
      <c r="I8651" s="24">
        <v>0</v>
      </c>
      <c r="J8651" s="23"/>
      <c r="K8651" s="24">
        <v>0</v>
      </c>
      <c r="L8651" s="22" t="str">
        <f>HYPERLINK("https://otsuka-europe-crm.veevavault.com/ui/#object/approved_document__v/V5O00000000L011", "Libro IA en psiquiatría")</f>
        <v>Libro IA en psiquiatría</v>
      </c>
      <c r="M8651" s="22" t="str">
        <f>HYPERLINK("mailto:sdiez@crm.otsuka-europe.com", "sdiez@crm.otsuka-europe.com")</f>
        <v>sdiez@crm.otsuka-europe.com</v>
      </c>
      <c r="N8651" s="25">
        <v>46234.419583333336</v>
      </c>
      <c r="O8651" s="14" t="str">
        <f>HYPERLINK("https://otsuka-europe-crm.veevavault.com/ui/#object/email_activity__v/V8C00000004F165", "EN-002110129")</f>
        <v>EN-002110129</v>
      </c>
    </row>
    <row r="8652" spans="1:15" ht="16" x14ac:dyDescent="0.2">
      <c r="A8652" s="19"/>
      <c r="B8652" s="19"/>
      <c r="C8652" s="19"/>
      <c r="D8652" s="19"/>
      <c r="E8652" s="19"/>
      <c r="F8652" s="19"/>
      <c r="G8652" s="19"/>
      <c r="H8652" s="19"/>
      <c r="I8652" s="19"/>
      <c r="J8652" s="19"/>
      <c r="K8652" s="19"/>
      <c r="L8652" s="19"/>
      <c r="M8652" s="19"/>
      <c r="N8652" s="19"/>
      <c r="O8652" s="14" t="str">
        <f>HYPERLINK("https://otsuka-europe-crm.veevavault.com/ui/#object/email_activity__v/V8C00000004G646", "EN-002110909")</f>
        <v>EN-002110909</v>
      </c>
    </row>
    <row r="8653" spans="1:15" ht="16" x14ac:dyDescent="0.2">
      <c r="A8653" s="18" t="str">
        <f>HYPERLINK("https://otsuka-europe-crm.veevavault.com/ui/#object/account__v/V4TZ06G6O71T8R6", "CELIA RODRIGUEZ TURIEL")</f>
        <v>CELIA RODRIGUEZ TURIEL</v>
      </c>
      <c r="B8653" s="18" t="str">
        <f>HYPERLINK("https://otsuka-europe-crm.veevavault.com/ui/#object/vcountry__v/VENZ000004SONF5", "ES")</f>
        <v>ES</v>
      </c>
      <c r="C8653" s="20" t="s">
        <v>39</v>
      </c>
      <c r="D8653" s="21" t="str">
        <f>HYPERLINK("https://otsuka-europe-crm.veevavault.com/ui/#object/approved_document__v/V5O00000000L011", "Libro IA en psiquiatría")</f>
        <v>Libro IA en psiquiatría</v>
      </c>
      <c r="E8653" s="22" t="str">
        <f>HYPERLINK("https://otsuka-europe-crm.veevavault.com/ui/#object/sent_email__v/VBL00000003G068", "SE-001448520")</f>
        <v>SE-001448520</v>
      </c>
      <c r="F8653" s="25">
        <v>46234.420358796298</v>
      </c>
      <c r="G8653" s="24">
        <v>1</v>
      </c>
      <c r="H8653" s="24">
        <v>1</v>
      </c>
      <c r="I8653" s="24">
        <v>0</v>
      </c>
      <c r="J8653" s="23"/>
      <c r="K8653" s="24">
        <v>0</v>
      </c>
      <c r="L8653" s="22" t="str">
        <f>HYPERLINK("https://otsuka-europe-crm.veevavault.com/ui/#object/approved_document__v/V5O00000000L011", "Libro IA en psiquiatría")</f>
        <v>Libro IA en psiquiatría</v>
      </c>
      <c r="M8653" s="22" t="str">
        <f>HYPERLINK("mailto:sdiez@crm.otsuka-europe.com", "sdiez@crm.otsuka-europe.com")</f>
        <v>sdiez@crm.otsuka-europe.com</v>
      </c>
      <c r="N8653" s="25">
        <v>46234.419583333336</v>
      </c>
      <c r="O8653" s="14" t="str">
        <f>HYPERLINK("https://otsuka-europe-crm.veevavault.com/ui/#object/email_activity__v/V8C00000004F164", "EN-002110127")</f>
        <v>EN-002110127</v>
      </c>
    </row>
    <row r="8654" spans="1:15" ht="16" x14ac:dyDescent="0.2">
      <c r="A8654" s="19"/>
      <c r="B8654" s="19"/>
      <c r="C8654" s="19"/>
      <c r="D8654" s="19"/>
      <c r="E8654" s="19"/>
      <c r="F8654" s="19"/>
      <c r="G8654" s="19"/>
      <c r="H8654" s="19"/>
      <c r="I8654" s="19"/>
      <c r="J8654" s="19"/>
      <c r="K8654" s="19"/>
      <c r="L8654" s="19"/>
      <c r="M8654" s="19"/>
      <c r="N8654" s="19"/>
      <c r="O8654" s="14" t="str">
        <f>HYPERLINK("https://otsuka-europe-crm.veevavault.com/ui/#object/email_activity__v/V8C00000004F168", "EN-002110137")</f>
        <v>EN-002110137</v>
      </c>
    </row>
    <row r="8655" spans="1:15" ht="32" x14ac:dyDescent="0.2">
      <c r="A8655" s="7" t="str">
        <f>HYPERLINK("https://otsuka-europe-crm.veevavault.com/ui/#object/account__v/V4TZ06G6O71TBT2", "MARIA JOSE RIVAS SEOANE")</f>
        <v>MARIA JOSE RIVAS SEOANE</v>
      </c>
      <c r="B8655" s="7" t="str">
        <f>HYPERLINK("https://otsuka-europe-crm.veevavault.com/ui/#object/vcountry__v/VENZ000004SONF5", "ES")</f>
        <v>ES</v>
      </c>
      <c r="C8655" s="8" t="s">
        <v>39</v>
      </c>
      <c r="D8655" s="9" t="str">
        <f>HYPERLINK("https://otsuka-europe-crm.veevavault.com/ui/#object/approved_document__v/V5O00000000L011", "Libro IA en psiquiatría")</f>
        <v>Libro IA en psiquiatría</v>
      </c>
      <c r="E8655" s="10" t="str">
        <f>HYPERLINK("https://otsuka-europe-crm.veevavault.com/ui/#object/sent_email__v/VBL00000003G069", "SE-001448521")</f>
        <v>SE-001448521</v>
      </c>
      <c r="F8655" s="11"/>
      <c r="G8655" s="12">
        <v>0</v>
      </c>
      <c r="H8655" s="12">
        <v>0</v>
      </c>
      <c r="I8655" s="12">
        <v>0</v>
      </c>
      <c r="J8655" s="11"/>
      <c r="K8655" s="12">
        <v>0</v>
      </c>
      <c r="L8655" s="10" t="str">
        <f>HYPERLINK("https://otsuka-europe-crm.veevavault.com/ui/#object/approved_document__v/V5O00000000L011", "Libro IA en psiquiatría")</f>
        <v>Libro IA en psiquiatría</v>
      </c>
      <c r="M8655" s="10" t="str">
        <f>HYPERLINK("mailto:sdiez@crm.otsuka-europe.com", "sdiez@crm.otsuka-europe.com")</f>
        <v>sdiez@crm.otsuka-europe.com</v>
      </c>
      <c r="N8655" s="13">
        <v>46234.419583333336</v>
      </c>
      <c r="O8655" s="14" t="str">
        <f>HYPERLINK("https://otsuka-europe-crm.veevavault.com/ui/#object/email_activity__v/V8C00000004F166", "EN-002110130")</f>
        <v>EN-002110130</v>
      </c>
    </row>
    <row r="8656" spans="1:15" ht="32" x14ac:dyDescent="0.2">
      <c r="A8656" s="7" t="str">
        <f>HYPERLINK("https://otsuka-europe-crm.veevavault.com/ui/#object/account__v/V4TZ06G6O71TCM4", "ROCIO VILLA DIEZ")</f>
        <v>ROCIO VILLA DIEZ</v>
      </c>
      <c r="B8656" s="7" t="str">
        <f>HYPERLINK("https://otsuka-europe-crm.veevavault.com/ui/#object/vcountry__v/VENZ000004SONF5", "ES")</f>
        <v>ES</v>
      </c>
      <c r="C8656" s="8" t="s">
        <v>39</v>
      </c>
      <c r="D8656" s="9" t="str">
        <f>HYPERLINK("https://otsuka-europe-crm.veevavault.com/ui/#object/approved_document__v/V5O00000000L011", "Libro IA en psiquiatría")</f>
        <v>Libro IA en psiquiatría</v>
      </c>
      <c r="E8656" s="10" t="str">
        <f>HYPERLINK("https://otsuka-europe-crm.veevavault.com/ui/#object/sent_email__v/VBL00000003G070", "SE-001448522")</f>
        <v>SE-001448522</v>
      </c>
      <c r="F8656" s="11"/>
      <c r="G8656" s="12">
        <v>0</v>
      </c>
      <c r="H8656" s="12">
        <v>0</v>
      </c>
      <c r="I8656" s="12">
        <v>0</v>
      </c>
      <c r="J8656" s="11"/>
      <c r="K8656" s="12">
        <v>0</v>
      </c>
      <c r="L8656" s="10" t="str">
        <f>HYPERLINK("https://otsuka-europe-crm.veevavault.com/ui/#object/approved_document__v/V5O00000000L011", "Libro IA en psiquiatría")</f>
        <v>Libro IA en psiquiatría</v>
      </c>
      <c r="M8656" s="10" t="str">
        <f>HYPERLINK("mailto:sdiez@crm.otsuka-europe.com", "sdiez@crm.otsuka-europe.com")</f>
        <v>sdiez@crm.otsuka-europe.com</v>
      </c>
      <c r="N8656" s="13">
        <v>46234.419618055559</v>
      </c>
      <c r="O8656" s="14" t="str">
        <f>HYPERLINK("https://otsuka-europe-crm.veevavault.com/ui/#object/email_activity__v/V8C00000004F167", "EN-002110131")</f>
        <v>EN-002110131</v>
      </c>
    </row>
    <row r="8657" spans="1:15" ht="16" x14ac:dyDescent="0.2">
      <c r="A8657" s="18" t="str">
        <f>HYPERLINK("https://otsuka-europe-crm.veevavault.com/ui/#object/account__v/V4TZ06G6O71TAM8", "CESAR LUIS SANZ DE LA GARZA")</f>
        <v>CESAR LUIS SANZ DE LA GARZA</v>
      </c>
      <c r="B8657" s="18" t="str">
        <f>HYPERLINK("https://otsuka-europe-crm.veevavault.com/ui/#object/vcountry__v/VENZ000004SONF5", "ES")</f>
        <v>ES</v>
      </c>
      <c r="C8657" s="20" t="s">
        <v>39</v>
      </c>
      <c r="D8657" s="21" t="str">
        <f>HYPERLINK("https://otsuka-europe-crm.veevavault.com/ui/#object/approved_document__v/V5O00000000L011", "Libro IA en psiquiatría")</f>
        <v>Libro IA en psiquiatría</v>
      </c>
      <c r="E8657" s="22" t="str">
        <f>HYPERLINK("https://otsuka-europe-crm.veevavault.com/ui/#object/sent_email__v/VBL00000003G071", "SE-001448523")</f>
        <v>SE-001448523</v>
      </c>
      <c r="F8657" s="23"/>
      <c r="G8657" s="24">
        <v>0</v>
      </c>
      <c r="H8657" s="24">
        <v>0</v>
      </c>
      <c r="I8657" s="24">
        <v>0</v>
      </c>
      <c r="J8657" s="23"/>
      <c r="K8657" s="24">
        <v>0</v>
      </c>
      <c r="L8657" s="22" t="str">
        <f>HYPERLINK("https://otsuka-europe-crm.veevavault.com/ui/#object/approved_document__v/V5O00000000L011", "Libro IA en psiquiatría")</f>
        <v>Libro IA en psiquiatría</v>
      </c>
      <c r="M8657" s="22" t="str">
        <f>HYPERLINK("mailto:sdiez@crm.otsuka-europe.com", "sdiez@crm.otsuka-europe.com")</f>
        <v>sdiez@crm.otsuka-europe.com</v>
      </c>
      <c r="N8657" s="25">
        <v>46234.419618055559</v>
      </c>
      <c r="O8657" s="14" t="str">
        <f>HYPERLINK("https://otsuka-europe-crm.veevavault.com/ui/#object/email_activity__v/V8C00000004G176", "EN-002110124")</f>
        <v>EN-002110124</v>
      </c>
    </row>
    <row r="8658" spans="1:15" ht="16" x14ac:dyDescent="0.2">
      <c r="A8658" s="26"/>
      <c r="B8658" s="26"/>
      <c r="C8658" s="26"/>
      <c r="D8658" s="26"/>
      <c r="E8658" s="26"/>
      <c r="F8658" s="26"/>
      <c r="G8658" s="26"/>
      <c r="H8658" s="26"/>
      <c r="I8658" s="26"/>
      <c r="J8658" s="26"/>
      <c r="K8658" s="26"/>
      <c r="L8658" s="26"/>
      <c r="M8658" s="26"/>
      <c r="N8658" s="26"/>
      <c r="O8658" s="14" t="str">
        <f>HYPERLINK("https://otsuka-europe-crm.veevavault.com/ui/#object/email_activity__v/V8C00000004G543", "EN-002110701")</f>
        <v>EN-002110701</v>
      </c>
    </row>
    <row r="8659" spans="1:15" ht="16" x14ac:dyDescent="0.2">
      <c r="A8659" s="19"/>
      <c r="B8659" s="19"/>
      <c r="C8659" s="19"/>
      <c r="D8659" s="19"/>
      <c r="E8659" s="19"/>
      <c r="F8659" s="19"/>
      <c r="G8659" s="19"/>
      <c r="H8659" s="19"/>
      <c r="I8659" s="19"/>
      <c r="J8659" s="19"/>
      <c r="K8659" s="19"/>
      <c r="L8659" s="19"/>
      <c r="M8659" s="19"/>
      <c r="N8659" s="19"/>
      <c r="O8659" s="14" t="str">
        <f>HYPERLINK("https://otsuka-europe-crm.veevavault.com/ui/#object/email_activity__v/V8C00000004G632", "EN-002110881")</f>
        <v>EN-002110881</v>
      </c>
    </row>
    <row r="8660" spans="1:15" ht="16" x14ac:dyDescent="0.2">
      <c r="A8660" s="18" t="str">
        <f>HYPERLINK("https://otsuka-europe-crm.veevavault.com/ui/#object/account__v/V4TZ06G6OAAU61U", "GABRIEL JESUS RODRIGUEZ RODRIGUEZ")</f>
        <v>GABRIEL JESUS RODRIGUEZ RODRIGUEZ</v>
      </c>
      <c r="B8660" s="18" t="str">
        <f>HYPERLINK("https://otsuka-europe-crm.veevavault.com/ui/#object/vcountry__v/VENZ000004SONF5", "ES")</f>
        <v>ES</v>
      </c>
      <c r="C8660" s="20" t="s">
        <v>39</v>
      </c>
      <c r="D8660" s="21" t="str">
        <f>HYPERLINK("https://otsuka-europe-crm.veevavault.com/ui/#object/approved_document__v/V5O00000000L011", "Libro IA en psiquiatría")</f>
        <v>Libro IA en psiquiatría</v>
      </c>
      <c r="E8660" s="22" t="str">
        <f>HYPERLINK("https://otsuka-europe-crm.veevavault.com/ui/#object/sent_email__v/VBL00000003G072", "SE-001448524")</f>
        <v>SE-001448524</v>
      </c>
      <c r="F8660" s="23"/>
      <c r="G8660" s="24">
        <v>0</v>
      </c>
      <c r="H8660" s="24">
        <v>0</v>
      </c>
      <c r="I8660" s="24">
        <v>0</v>
      </c>
      <c r="J8660" s="23"/>
      <c r="K8660" s="24">
        <v>0</v>
      </c>
      <c r="L8660" s="22" t="str">
        <f>HYPERLINK("https://otsuka-europe-crm.veevavault.com/ui/#object/approved_document__v/V5O00000000L011", "Libro IA en psiquiatría")</f>
        <v>Libro IA en psiquiatría</v>
      </c>
      <c r="M8660" s="22" t="str">
        <f>HYPERLINK("mailto:sdiez@crm.otsuka-europe.com", "sdiez@crm.otsuka-europe.com")</f>
        <v>sdiez@crm.otsuka-europe.com</v>
      </c>
      <c r="N8660" s="25">
        <v>46234.419618055559</v>
      </c>
      <c r="O8660" s="14" t="str">
        <f>HYPERLINK("https://otsuka-europe-crm.veevavault.com/ui/#object/email_activity__v/V8C00000004F273", "EN-002110467")</f>
        <v>EN-002110467</v>
      </c>
    </row>
    <row r="8661" spans="1:15" ht="16" x14ac:dyDescent="0.2">
      <c r="A8661" s="19"/>
      <c r="B8661" s="19"/>
      <c r="C8661" s="19"/>
      <c r="D8661" s="19"/>
      <c r="E8661" s="19"/>
      <c r="F8661" s="19"/>
      <c r="G8661" s="19"/>
      <c r="H8661" s="19"/>
      <c r="I8661" s="19"/>
      <c r="J8661" s="19"/>
      <c r="K8661" s="19"/>
      <c r="L8661" s="19"/>
      <c r="M8661" s="19"/>
      <c r="N8661" s="19"/>
      <c r="O8661" s="14" t="str">
        <f>HYPERLINK("https://otsuka-europe-crm.veevavault.com/ui/#object/email_activity__v/V8C00000004G175", "EN-002110123")</f>
        <v>EN-002110123</v>
      </c>
    </row>
    <row r="8662" spans="1:15" ht="32" x14ac:dyDescent="0.2">
      <c r="A8662" s="7" t="str">
        <f>HYPERLINK("https://otsuka-europe-crm.veevavault.com/ui/#object/account__v/V4TZ06G6O71T87I", "JAVIER VALDES VALDAZO")</f>
        <v>JAVIER VALDES VALDAZO</v>
      </c>
      <c r="B8662" s="7" t="str">
        <f>HYPERLINK("https://otsuka-europe-crm.veevavault.com/ui/#object/vcountry__v/VENZ000004SONF5", "ES")</f>
        <v>ES</v>
      </c>
      <c r="C8662" s="8" t="s">
        <v>39</v>
      </c>
      <c r="D8662" s="9" t="str">
        <f>HYPERLINK("https://otsuka-europe-crm.veevavault.com/ui/#object/approved_document__v/V5O00000000L011", "Libro IA en psiquiatría")</f>
        <v>Libro IA en psiquiatría</v>
      </c>
      <c r="E8662" s="10" t="str">
        <f>HYPERLINK("https://otsuka-europe-crm.veevavault.com/ui/#object/sent_email__v/VBL00000003G073", "SE-001448525")</f>
        <v>SE-001448525</v>
      </c>
      <c r="F8662" s="11"/>
      <c r="G8662" s="12">
        <v>0</v>
      </c>
      <c r="H8662" s="12">
        <v>0</v>
      </c>
      <c r="I8662" s="12">
        <v>0</v>
      </c>
      <c r="J8662" s="11"/>
      <c r="K8662" s="12">
        <v>0</v>
      </c>
      <c r="L8662" s="10" t="str">
        <f>HYPERLINK("https://otsuka-europe-crm.veevavault.com/ui/#object/approved_document__v/V5O00000000L011", "Libro IA en psiquiatría")</f>
        <v>Libro IA en psiquiatría</v>
      </c>
      <c r="M8662" s="10" t="str">
        <f>HYPERLINK("mailto:sdiez@crm.otsuka-europe.com", "sdiez@crm.otsuka-europe.com")</f>
        <v>sdiez@crm.otsuka-europe.com</v>
      </c>
      <c r="N8662" s="13">
        <v>46234.419618055559</v>
      </c>
      <c r="O8662" s="14" t="str">
        <f>HYPERLINK("https://otsuka-europe-crm.veevavault.com/ui/#object/email_activity__v/V8C00000004G180", "EN-002110133")</f>
        <v>EN-002110133</v>
      </c>
    </row>
    <row r="8663" spans="1:15" ht="16" x14ac:dyDescent="0.2">
      <c r="A8663" s="18" t="str">
        <f>HYPERLINK("https://otsuka-europe-crm.veevavault.com/ui/#object/account__v/V4TZ025E891R9AI", "ANA MARIA VEGA DIEZ")</f>
        <v>ANA MARIA VEGA DIEZ</v>
      </c>
      <c r="B8663" s="18" t="str">
        <f>HYPERLINK("https://otsuka-europe-crm.veevavault.com/ui/#object/vcountry__v/VENZ000004SONF5", "ES")</f>
        <v>ES</v>
      </c>
      <c r="C8663" s="20" t="s">
        <v>39</v>
      </c>
      <c r="D8663" s="21" t="str">
        <f>HYPERLINK("https://otsuka-europe-crm.veevavault.com/ui/#object/approved_document__v/V5O00000000L011", "Libro IA en psiquiatría")</f>
        <v>Libro IA en psiquiatría</v>
      </c>
      <c r="E8663" s="22" t="str">
        <f>HYPERLINK("https://otsuka-europe-crm.veevavault.com/ui/#object/sent_email__v/VBL00000003G074", "SE-001448526")</f>
        <v>SE-001448526</v>
      </c>
      <c r="F8663" s="25">
        <v>46234.861805555556</v>
      </c>
      <c r="G8663" s="24">
        <v>1</v>
      </c>
      <c r="H8663" s="24">
        <v>1</v>
      </c>
      <c r="I8663" s="24">
        <v>0</v>
      </c>
      <c r="J8663" s="23"/>
      <c r="K8663" s="24">
        <v>0</v>
      </c>
      <c r="L8663" s="22" t="str">
        <f>HYPERLINK("https://otsuka-europe-crm.veevavault.com/ui/#object/approved_document__v/V5O00000000L011", "Libro IA en psiquiatría")</f>
        <v>Libro IA en psiquiatría</v>
      </c>
      <c r="M8663" s="22" t="str">
        <f>HYPERLINK("mailto:sdiez@crm.otsuka-europe.com", "sdiez@crm.otsuka-europe.com")</f>
        <v>sdiez@crm.otsuka-europe.com</v>
      </c>
      <c r="N8663" s="25">
        <v>46234.419618055559</v>
      </c>
      <c r="O8663" s="14" t="str">
        <f>HYPERLINK("https://otsuka-europe-crm.veevavault.com/ui/#object/email_activity__v/V8C00000004F483", "EN-002110914")</f>
        <v>EN-002110914</v>
      </c>
    </row>
    <row r="8664" spans="1:15" ht="16" x14ac:dyDescent="0.2">
      <c r="A8664" s="19"/>
      <c r="B8664" s="19"/>
      <c r="C8664" s="19"/>
      <c r="D8664" s="19"/>
      <c r="E8664" s="19"/>
      <c r="F8664" s="19"/>
      <c r="G8664" s="19"/>
      <c r="H8664" s="19"/>
      <c r="I8664" s="19"/>
      <c r="J8664" s="19"/>
      <c r="K8664" s="19"/>
      <c r="L8664" s="19"/>
      <c r="M8664" s="19"/>
      <c r="N8664" s="19"/>
      <c r="O8664" s="14" t="str">
        <f>HYPERLINK("https://otsuka-europe-crm.veevavault.com/ui/#object/email_activity__v/V8C00000004G179", "EN-002110132")</f>
        <v>EN-002110132</v>
      </c>
    </row>
    <row r="8665" spans="1:15" ht="32" x14ac:dyDescent="0.2">
      <c r="A8665" s="7" t="str">
        <f>HYPERLINK("https://otsuka-europe-crm.veevavault.com/ui/#object/account__v/V4TZ06G6O71T7AM", "JESSICA SOLARES VAZQUEZ")</f>
        <v>JESSICA SOLARES VAZQUEZ</v>
      </c>
      <c r="B8665" s="7" t="str">
        <f>HYPERLINK("https://otsuka-europe-crm.veevavault.com/ui/#object/vcountry__v/VENZ000004SONF5", "ES")</f>
        <v>ES</v>
      </c>
      <c r="C8665" s="8" t="s">
        <v>39</v>
      </c>
      <c r="D8665" s="9" t="str">
        <f>HYPERLINK("https://otsuka-europe-crm.veevavault.com/ui/#object/approved_document__v/V5O00000000L011", "Libro IA en psiquiatría")</f>
        <v>Libro IA en psiquiatría</v>
      </c>
      <c r="E8665" s="10" t="str">
        <f>HYPERLINK("https://otsuka-europe-crm.veevavault.com/ui/#object/sent_email__v/VBL00000003G075", "SE-001448527")</f>
        <v>SE-001448527</v>
      </c>
      <c r="F8665" s="11"/>
      <c r="G8665" s="12">
        <v>0</v>
      </c>
      <c r="H8665" s="12">
        <v>0</v>
      </c>
      <c r="I8665" s="12">
        <v>0</v>
      </c>
      <c r="J8665" s="11"/>
      <c r="K8665" s="12">
        <v>0</v>
      </c>
      <c r="L8665" s="10" t="str">
        <f>HYPERLINK("https://otsuka-europe-crm.veevavault.com/ui/#object/approved_document__v/V5O00000000L011", "Libro IA en psiquiatría")</f>
        <v>Libro IA en psiquiatría</v>
      </c>
      <c r="M8665" s="10" t="str">
        <f>HYPERLINK("mailto:sdiez@crm.otsuka-europe.com", "sdiez@crm.otsuka-europe.com")</f>
        <v>sdiez@crm.otsuka-europe.com</v>
      </c>
      <c r="N8665" s="13">
        <v>46234.419618055559</v>
      </c>
      <c r="O8665" s="14" t="str">
        <f>HYPERLINK("https://otsuka-europe-crm.veevavault.com/ui/#object/email_activity__v/V8C00000004G181", "EN-002110134")</f>
        <v>EN-002110134</v>
      </c>
    </row>
    <row r="8666" spans="1:15" ht="16" x14ac:dyDescent="0.2">
      <c r="A8666" s="18" t="str">
        <f>HYPERLINK("https://otsuka-europe-crm.veevavault.com/ui/#object/account__v/V4T00000002H022", "ALBA FERNANDEZ HERRERA")</f>
        <v>ALBA FERNANDEZ HERRERA</v>
      </c>
      <c r="B8666" s="18" t="str">
        <f>HYPERLINK("https://otsuka-europe-crm.veevavault.com/ui/#object/vcountry__v/VENZ000004SONF5", "ES")</f>
        <v>ES</v>
      </c>
      <c r="C8666" s="20" t="s">
        <v>39</v>
      </c>
      <c r="D8666" s="21" t="str">
        <f>HYPERLINK("https://otsuka-europe-crm.veevavault.com/ui/#object/approved_document__v/V5O00000000D100", "Spain - Consent Email 1 Aug 25")</f>
        <v>Spain - Consent Email 1 Aug 25</v>
      </c>
      <c r="E8666" s="22" t="str">
        <f>HYPERLINK("https://otsuka-europe-crm.veevavault.com/ui/#object/sent_email__v/VBL00000003G076", "SE-001448528")</f>
        <v>SE-001448528</v>
      </c>
      <c r="F8666" s="25">
        <v>46238.30777777778</v>
      </c>
      <c r="G8666" s="24">
        <v>1</v>
      </c>
      <c r="H8666" s="24">
        <v>1</v>
      </c>
      <c r="I8666" s="24">
        <v>1</v>
      </c>
      <c r="J8666" s="25">
        <v>46238.30777777778</v>
      </c>
      <c r="K8666" s="24">
        <v>1</v>
      </c>
      <c r="L8666" s="22" t="str">
        <f>HYPERLINK("https://otsuka-europe-crm.veevavault.com/ui/#object/approved_document__v/V5O00000000D100", "Spain - Consent Email 1 Aug 25")</f>
        <v>Spain - Consent Email 1 Aug 25</v>
      </c>
      <c r="M8666" s="22" t="str">
        <f>HYPERLINK("mailto:ccalero@crm.otsuka-europe.com", "ccalero@crm.otsuka-europe.com")</f>
        <v>ccalero@crm.otsuka-europe.com</v>
      </c>
      <c r="N8666" s="25">
        <v>46234.425706018519</v>
      </c>
      <c r="O8666" s="14" t="str">
        <f>HYPERLINK("https://otsuka-europe-crm.veevavault.com/ui/#object/email_activity__v/V8C00000004F169", "EN-002110146")</f>
        <v>EN-002110146</v>
      </c>
    </row>
    <row r="8667" spans="1:15" ht="16" x14ac:dyDescent="0.2">
      <c r="A8667" s="26"/>
      <c r="B8667" s="26"/>
      <c r="C8667" s="26"/>
      <c r="D8667" s="26"/>
      <c r="E8667" s="26"/>
      <c r="F8667" s="26"/>
      <c r="G8667" s="26"/>
      <c r="H8667" s="26"/>
      <c r="I8667" s="26"/>
      <c r="J8667" s="26"/>
      <c r="K8667" s="26"/>
      <c r="L8667" s="26"/>
      <c r="M8667" s="26"/>
      <c r="N8667" s="26"/>
      <c r="O8667" s="14" t="str">
        <f>HYPERLINK("https://otsuka-europe-crm.veevavault.com/ui/#object/email_activity__v/V8C00000004I189", "EN-002111393")</f>
        <v>EN-002111393</v>
      </c>
    </row>
    <row r="8668" spans="1:15" ht="16" x14ac:dyDescent="0.2">
      <c r="A8668" s="19"/>
      <c r="B8668" s="19"/>
      <c r="C8668" s="19"/>
      <c r="D8668" s="19"/>
      <c r="E8668" s="19"/>
      <c r="F8668" s="19"/>
      <c r="G8668" s="19"/>
      <c r="H8668" s="19"/>
      <c r="I8668" s="19"/>
      <c r="J8668" s="19"/>
      <c r="K8668" s="19"/>
      <c r="L8668" s="19"/>
      <c r="M8668" s="19"/>
      <c r="N8668" s="19"/>
      <c r="O8668" s="14" t="str">
        <f>HYPERLINK("https://otsuka-europe-crm.veevavault.com/ui/#object/email_activity__v/V8C00000004I190", "EN-002111392")</f>
        <v>EN-002111392</v>
      </c>
    </row>
    <row r="8669" spans="1:15" ht="16" x14ac:dyDescent="0.2">
      <c r="A8669" s="18" t="str">
        <f>HYPERLINK("https://otsuka-europe-crm.veevavault.com/ui/#object/account__v/V4T00000002H022", "ALBA FERNANDEZ HERRERA")</f>
        <v>ALBA FERNANDEZ HERRERA</v>
      </c>
      <c r="B8669" s="18" t="str">
        <f>HYPERLINK("https://otsuka-europe-crm.veevavault.com/ui/#object/vcountry__v/VENZ000004SONF5", "ES")</f>
        <v>ES</v>
      </c>
      <c r="C8669" s="20" t="s">
        <v>39</v>
      </c>
      <c r="D8669" s="21" t="str">
        <f>HYPERLINK("https://otsuka-europe-crm.veevavault.com/ui/#object/approved_document__v/V5OZ04ASG4FWKA7", "Reuniones Online Consent - 2")</f>
        <v>Reuniones Online Consent - 2</v>
      </c>
      <c r="E8669" s="22" t="str">
        <f>HYPERLINK("https://otsuka-europe-crm.veevavault.com/ui/#object/sent_email__v/VBL00000003G077", "SE-001448529")</f>
        <v>SE-001448529</v>
      </c>
      <c r="F8669" s="25">
        <v>46238.307326388887</v>
      </c>
      <c r="G8669" s="24">
        <v>1</v>
      </c>
      <c r="H8669" s="24">
        <v>1</v>
      </c>
      <c r="I8669" s="24">
        <v>1</v>
      </c>
      <c r="J8669" s="25">
        <v>46238.307326388887</v>
      </c>
      <c r="K8669" s="24">
        <v>1</v>
      </c>
      <c r="L8669" s="22" t="str">
        <f>HYPERLINK("https://otsuka-europe-crm.veevavault.com/ui/#object/approved_document__v/V5OZ04ASG4FWKA7", "Reuniones Online Consent - 2")</f>
        <v>Reuniones Online Consent - 2</v>
      </c>
      <c r="M8669" s="22" t="str">
        <f>HYPERLINK("mailto:ccalero@crm.otsuka-europe.com", "ccalero@crm.otsuka-europe.com")</f>
        <v>ccalero@crm.otsuka-europe.com</v>
      </c>
      <c r="N8669" s="25">
        <v>46234.425717592596</v>
      </c>
      <c r="O8669" s="14" t="str">
        <f>HYPERLINK("https://otsuka-europe-crm.veevavault.com/ui/#object/email_activity__v/V8C00000004F170", "EN-002110147")</f>
        <v>EN-002110147</v>
      </c>
    </row>
    <row r="8670" spans="1:15" ht="16" x14ac:dyDescent="0.2">
      <c r="A8670" s="26"/>
      <c r="B8670" s="26"/>
      <c r="C8670" s="26"/>
      <c r="D8670" s="26"/>
      <c r="E8670" s="26"/>
      <c r="F8670" s="26"/>
      <c r="G8670" s="26"/>
      <c r="H8670" s="26"/>
      <c r="I8670" s="26"/>
      <c r="J8670" s="26"/>
      <c r="K8670" s="26"/>
      <c r="L8670" s="26"/>
      <c r="M8670" s="26"/>
      <c r="N8670" s="26"/>
      <c r="O8670" s="14" t="str">
        <f>HYPERLINK("https://otsuka-europe-crm.veevavault.com/ui/#object/email_activity__v/V8C00000004I187", "EN-002111391")</f>
        <v>EN-002111391</v>
      </c>
    </row>
    <row r="8671" spans="1:15" ht="16" x14ac:dyDescent="0.2">
      <c r="A8671" s="19"/>
      <c r="B8671" s="19"/>
      <c r="C8671" s="19"/>
      <c r="D8671" s="19"/>
      <c r="E8671" s="19"/>
      <c r="F8671" s="19"/>
      <c r="G8671" s="19"/>
      <c r="H8671" s="19"/>
      <c r="I8671" s="19"/>
      <c r="J8671" s="19"/>
      <c r="K8671" s="19"/>
      <c r="L8671" s="19"/>
      <c r="M8671" s="19"/>
      <c r="N8671" s="19"/>
      <c r="O8671" s="14" t="str">
        <f>HYPERLINK("https://otsuka-europe-crm.veevavault.com/ui/#object/email_activity__v/V8C00000004I188", "EN-002111390")</f>
        <v>EN-002111390</v>
      </c>
    </row>
    <row r="8672" spans="1:15" ht="16" x14ac:dyDescent="0.2">
      <c r="A8672" s="18" t="str">
        <f>HYPERLINK("https://otsuka-europe-crm.veevavault.com/ui/#object/account__v/V4T00000002H022", "ALBA FERNANDEZ HERRERA")</f>
        <v>ALBA FERNANDEZ HERRERA</v>
      </c>
      <c r="B8672" s="18" t="str">
        <f>HYPERLINK("https://otsuka-europe-crm.veevavault.com/ui/#object/vcountry__v/VENZ000004SONF5", "ES")</f>
        <v>ES</v>
      </c>
      <c r="C8672" s="20" t="s">
        <v>39</v>
      </c>
      <c r="D8672" s="21" t="str">
        <f>HYPERLINK("https://otsuka-europe-crm.veevavault.com/ui/#object/approved_document__v/V5OZ04ASG4FWKA9", "Documento Autorizaciขn Centro Empleador")</f>
        <v>Documento Autorizaciขn Centro Empleador</v>
      </c>
      <c r="E8672" s="22" t="str">
        <f>HYPERLINK("https://otsuka-europe-crm.veevavault.com/ui/#object/sent_email__v/VBL00000003G078", "SE-001448530")</f>
        <v>SE-001448530</v>
      </c>
      <c r="F8672" s="25">
        <v>46238.308368055557</v>
      </c>
      <c r="G8672" s="24">
        <v>1</v>
      </c>
      <c r="H8672" s="24">
        <v>1</v>
      </c>
      <c r="I8672" s="24">
        <v>1</v>
      </c>
      <c r="J8672" s="25">
        <v>46238.308368055557</v>
      </c>
      <c r="K8672" s="24">
        <v>1</v>
      </c>
      <c r="L8672" s="22" t="str">
        <f>HYPERLINK("https://otsuka-europe-crm.veevavault.com/ui/#object/approved_document__v/V5OZ04ASG4FWKA9", "Documento Autorizaciขn Centro Empleador")</f>
        <v>Documento Autorizaciขn Centro Empleador</v>
      </c>
      <c r="M8672" s="22" t="str">
        <f>HYPERLINK("mailto:ccalero@crm.otsuka-europe.com", "ccalero@crm.otsuka-europe.com")</f>
        <v>ccalero@crm.otsuka-europe.com</v>
      </c>
      <c r="N8672" s="25">
        <v>46234.425729166665</v>
      </c>
      <c r="O8672" s="14" t="str">
        <f>HYPERLINK("https://otsuka-europe-crm.veevavault.com/ui/#object/email_activity__v/V8C00000004F171", "EN-002110148")</f>
        <v>EN-002110148</v>
      </c>
    </row>
    <row r="8673" spans="1:15" ht="16" x14ac:dyDescent="0.2">
      <c r="A8673" s="26"/>
      <c r="B8673" s="26"/>
      <c r="C8673" s="26"/>
      <c r="D8673" s="26"/>
      <c r="E8673" s="26"/>
      <c r="F8673" s="26"/>
      <c r="G8673" s="26"/>
      <c r="H8673" s="26"/>
      <c r="I8673" s="26"/>
      <c r="J8673" s="26"/>
      <c r="K8673" s="26"/>
      <c r="L8673" s="26"/>
      <c r="M8673" s="26"/>
      <c r="N8673" s="26"/>
      <c r="O8673" s="14" t="str">
        <f>HYPERLINK("https://otsuka-europe-crm.veevavault.com/ui/#object/email_activity__v/V8C00000004I191", "EN-002111395")</f>
        <v>EN-002111395</v>
      </c>
    </row>
    <row r="8674" spans="1:15" ht="16" x14ac:dyDescent="0.2">
      <c r="A8674" s="19"/>
      <c r="B8674" s="19"/>
      <c r="C8674" s="19"/>
      <c r="D8674" s="19"/>
      <c r="E8674" s="19"/>
      <c r="F8674" s="19"/>
      <c r="G8674" s="19"/>
      <c r="H8674" s="19"/>
      <c r="I8674" s="19"/>
      <c r="J8674" s="19"/>
      <c r="K8674" s="19"/>
      <c r="L8674" s="19"/>
      <c r="M8674" s="19"/>
      <c r="N8674" s="19"/>
      <c r="O8674" s="14" t="str">
        <f>HYPERLINK("https://otsuka-europe-crm.veevavault.com/ui/#object/email_activity__v/V8C00000004I192", "EN-002111394")</f>
        <v>EN-002111394</v>
      </c>
    </row>
    <row r="8675" spans="1:15" ht="48" x14ac:dyDescent="0.2">
      <c r="A8675" s="7" t="str">
        <f>HYPERLINK("https://otsuka-europe-crm.veevavault.com/ui/#object/account__v/V4TZ025E87SP4RH", "BENILDE CECILIA TIRADO HURTADO")</f>
        <v>BENILDE CECILIA TIRADO HURTADO</v>
      </c>
      <c r="B8675" s="7" t="str">
        <f>HYPERLINK("https://otsuka-europe-crm.veevavault.com/ui/#object/vcountry__v/VENZ000004SONF5", "ES")</f>
        <v>ES</v>
      </c>
      <c r="C8675" s="8" t="s">
        <v>39</v>
      </c>
      <c r="D8675" s="9" t="str">
        <f>HYPERLINK("https://otsuka-europe-crm.veevavault.com/ui/#object/approved_document__v/V5O00000000R009", "AM2M - PSIQUIATRIA - Guía manejo práctico AM2M")</f>
        <v>AM2M - PSIQUIATRIA - Guía manejo práctico AM2M</v>
      </c>
      <c r="E8675" s="10" t="str">
        <f>HYPERLINK("https://otsuka-europe-crm.veevavault.com/ui/#object/sent_email__v/VBL00000003H156", "SE-001448531")</f>
        <v>SE-001448531</v>
      </c>
      <c r="F8675" s="11"/>
      <c r="G8675" s="12">
        <v>0</v>
      </c>
      <c r="H8675" s="12">
        <v>0</v>
      </c>
      <c r="I8675" s="12">
        <v>0</v>
      </c>
      <c r="J8675" s="11"/>
      <c r="K8675" s="12">
        <v>0</v>
      </c>
      <c r="L8675" s="10" t="str">
        <f>HYPERLINK("https://otsuka-europe-crm.veevavault.com/ui/#object/approved_document__v/V5O00000000R009", "AM2M - PSIQUIATRIA - Guía manejo práctico AM2M")</f>
        <v>AM2M - PSIQUIATRIA - Guía manejo práctico AM2M</v>
      </c>
      <c r="M8675" s="10" t="str">
        <f>HYPERLINK("mailto:iortega@crm.otsuka-europe.com", "iortega@crm.otsuka-europe.com")</f>
        <v>iortega@crm.otsuka-europe.com</v>
      </c>
      <c r="N8675" s="13">
        <v>46234.428391203706</v>
      </c>
      <c r="O8675" s="14" t="str">
        <f>HYPERLINK("https://otsuka-europe-crm.veevavault.com/ui/#object/email_activity__v/V8C00000004F178", "EN-002110163")</f>
        <v>EN-002110163</v>
      </c>
    </row>
    <row r="8676" spans="1:15" ht="16" x14ac:dyDescent="0.2">
      <c r="A8676" s="18" t="str">
        <f>HYPERLINK("https://otsuka-europe-crm.veevavault.com/ui/#object/account__v/V4T000000003042", "ALBA PEREZ MARTINEZ")</f>
        <v>ALBA PEREZ MARTINEZ</v>
      </c>
      <c r="B8676" s="18" t="str">
        <f>HYPERLINK("https://otsuka-europe-crm.veevavault.com/ui/#object/vcountry__v/VENZ000004SONF5", "ES")</f>
        <v>ES</v>
      </c>
      <c r="C8676" s="20" t="s">
        <v>39</v>
      </c>
      <c r="D8676" s="21" t="str">
        <f>HYPERLINK("https://otsuka-europe-crm.veevavault.com/ui/#object/approved_document__v/V5O00000000R009", "AM2M - PSIQUIATRIA - Guía manejo práctico AM2M")</f>
        <v>AM2M - PSIQUIATRIA - Guía manejo práctico AM2M</v>
      </c>
      <c r="E8676" s="22" t="str">
        <f>HYPERLINK("https://otsuka-europe-crm.veevavault.com/ui/#object/sent_email__v/VBL00000003H157", "SE-001448532")</f>
        <v>SE-001448532</v>
      </c>
      <c r="F8676" s="23"/>
      <c r="G8676" s="24">
        <v>0</v>
      </c>
      <c r="H8676" s="24">
        <v>0</v>
      </c>
      <c r="I8676" s="24">
        <v>0</v>
      </c>
      <c r="J8676" s="23"/>
      <c r="K8676" s="24">
        <v>0</v>
      </c>
      <c r="L8676" s="22" t="str">
        <f>HYPERLINK("https://otsuka-europe-crm.veevavault.com/ui/#object/approved_document__v/V5O00000000R009", "AM2M - PSIQUIATRIA - Guía manejo práctico AM2M")</f>
        <v>AM2M - PSIQUIATRIA - Guía manejo práctico AM2M</v>
      </c>
      <c r="M8676" s="22" t="str">
        <f>HYPERLINK("mailto:iortega@crm.otsuka-europe.com", "iortega@crm.otsuka-europe.com")</f>
        <v>iortega@crm.otsuka-europe.com</v>
      </c>
      <c r="N8676" s="25">
        <v>46234.428391203706</v>
      </c>
      <c r="O8676" s="14" t="str">
        <f>HYPERLINK("https://otsuka-europe-crm.veevavault.com/ui/#object/email_activity__v/V8C00000004G210", "EN-002110178")</f>
        <v>EN-002110178</v>
      </c>
    </row>
    <row r="8677" spans="1:15" ht="16" x14ac:dyDescent="0.2">
      <c r="A8677" s="19"/>
      <c r="B8677" s="19"/>
      <c r="C8677" s="19"/>
      <c r="D8677" s="19"/>
      <c r="E8677" s="19"/>
      <c r="F8677" s="19"/>
      <c r="G8677" s="19"/>
      <c r="H8677" s="19"/>
      <c r="I8677" s="19"/>
      <c r="J8677" s="19"/>
      <c r="K8677" s="19"/>
      <c r="L8677" s="19"/>
      <c r="M8677" s="19"/>
      <c r="N8677" s="19"/>
      <c r="O8677" s="14" t="str">
        <f>HYPERLINK("https://otsuka-europe-crm.veevavault.com/ui/#object/email_activity__v/V8C00000004G563", "EN-002110732")</f>
        <v>EN-002110732</v>
      </c>
    </row>
    <row r="8678" spans="1:15" ht="48" x14ac:dyDescent="0.2">
      <c r="A8678" s="7" t="str">
        <f>HYPERLINK("https://otsuka-europe-crm.veevavault.com/ui/#object/account__v/V4TZ06G6O71TBPU", "BEATRIZ PASCUAL GARCIA")</f>
        <v>BEATRIZ PASCUAL GARCIA</v>
      </c>
      <c r="B8678" s="7" t="str">
        <f>HYPERLINK("https://otsuka-europe-crm.veevavault.com/ui/#object/vcountry__v/VENZ000004SONF5", "ES")</f>
        <v>ES</v>
      </c>
      <c r="C8678" s="8" t="s">
        <v>39</v>
      </c>
      <c r="D8678" s="9" t="str">
        <f>HYPERLINK("https://otsuka-europe-crm.veevavault.com/ui/#object/approved_document__v/V5O00000000R009", "AM2M - PSIQUIATRIA - Guía manejo práctico AM2M")</f>
        <v>AM2M - PSIQUIATRIA - Guía manejo práctico AM2M</v>
      </c>
      <c r="E8678" s="10" t="str">
        <f>HYPERLINK("https://otsuka-europe-crm.veevavault.com/ui/#object/sent_email__v/VBL00000003H158", "SE-001448533")</f>
        <v>SE-001448533</v>
      </c>
      <c r="F8678" s="11"/>
      <c r="G8678" s="12">
        <v>0</v>
      </c>
      <c r="H8678" s="12">
        <v>0</v>
      </c>
      <c r="I8678" s="12">
        <v>0</v>
      </c>
      <c r="J8678" s="11"/>
      <c r="K8678" s="12">
        <v>0</v>
      </c>
      <c r="L8678" s="10" t="str">
        <f>HYPERLINK("https://otsuka-europe-crm.veevavault.com/ui/#object/approved_document__v/V5O00000000R009", "AM2M - PSIQUIATRIA - Guía manejo práctico AM2M")</f>
        <v>AM2M - PSIQUIATRIA - Guía manejo práctico AM2M</v>
      </c>
      <c r="M8678" s="10" t="str">
        <f>HYPERLINK("mailto:iortega@crm.otsuka-europe.com", "iortega@crm.otsuka-europe.com")</f>
        <v>iortega@crm.otsuka-europe.com</v>
      </c>
      <c r="N8678" s="13">
        <v>46234.428391203706</v>
      </c>
      <c r="O8678" s="14" t="str">
        <f>HYPERLINK("https://otsuka-europe-crm.veevavault.com/ui/#object/email_activity__v/V8C00000004F185", "EN-002110187")</f>
        <v>EN-002110187</v>
      </c>
    </row>
    <row r="8679" spans="1:15" ht="48" x14ac:dyDescent="0.2">
      <c r="A8679" s="7" t="str">
        <f>HYPERLINK("https://otsuka-europe-crm.veevavault.com/ui/#object/account__v/V4TZ06G6O84YE9F", "ANDRES MATIAS JANSSON")</f>
        <v>ANDRES MATIAS JANSSON</v>
      </c>
      <c r="B8679" s="7" t="str">
        <f>HYPERLINK("https://otsuka-europe-crm.veevavault.com/ui/#object/vcountry__v/VENZ000004SONF5", "ES")</f>
        <v>ES</v>
      </c>
      <c r="C8679" s="8" t="s">
        <v>39</v>
      </c>
      <c r="D8679" s="9" t="str">
        <f>HYPERLINK("https://otsuka-europe-crm.veevavault.com/ui/#object/approved_document__v/V5O00000000R009", "AM2M - PSIQUIATRIA - Guía manejo práctico AM2M")</f>
        <v>AM2M - PSIQUIATRIA - Guía manejo práctico AM2M</v>
      </c>
      <c r="E8679" s="10" t="str">
        <f>HYPERLINK("https://otsuka-europe-crm.veevavault.com/ui/#object/sent_email__v/VBL00000003H159", "SE-001448534")</f>
        <v>SE-001448534</v>
      </c>
      <c r="F8679" s="11"/>
      <c r="G8679" s="12">
        <v>0</v>
      </c>
      <c r="H8679" s="12">
        <v>0</v>
      </c>
      <c r="I8679" s="12">
        <v>0</v>
      </c>
      <c r="J8679" s="11"/>
      <c r="K8679" s="12">
        <v>0</v>
      </c>
      <c r="L8679" s="10" t="str">
        <f>HYPERLINK("https://otsuka-europe-crm.veevavault.com/ui/#object/approved_document__v/V5O00000000R009", "AM2M - PSIQUIATRIA - Guía manejo práctico AM2M")</f>
        <v>AM2M - PSIQUIATRIA - Guía manejo práctico AM2M</v>
      </c>
      <c r="M8679" s="10" t="str">
        <f>HYPERLINK("mailto:iortega@crm.otsuka-europe.com", "iortega@crm.otsuka-europe.com")</f>
        <v>iortega@crm.otsuka-europe.com</v>
      </c>
      <c r="N8679" s="13">
        <v>46234.428368055553</v>
      </c>
      <c r="O8679" s="14" t="str">
        <f>HYPERLINK("https://otsuka-europe-crm.veevavault.com/ui/#object/email_activity__v/V8C00000004F177", "EN-002110162")</f>
        <v>EN-002110162</v>
      </c>
    </row>
    <row r="8680" spans="1:15" ht="16" x14ac:dyDescent="0.2">
      <c r="A8680" s="18" t="str">
        <f>HYPERLINK("https://otsuka-europe-crm.veevavault.com/ui/#object/account__v/V4TZ025E82SAEA1", "AINA BALSEIRO LOPEZ")</f>
        <v>AINA BALSEIRO LOPEZ</v>
      </c>
      <c r="B8680" s="18" t="str">
        <f>HYPERLINK("https://otsuka-europe-crm.veevavault.com/ui/#object/vcountry__v/VENZ000004SONF5", "ES")</f>
        <v>ES</v>
      </c>
      <c r="C8680" s="20" t="s">
        <v>39</v>
      </c>
      <c r="D8680" s="21" t="str">
        <f>HYPERLINK("https://otsuka-europe-crm.veevavault.com/ui/#object/approved_document__v/V5O00000000R009", "AM2M - PSIQUIATRIA - Guía manejo práctico AM2M")</f>
        <v>AM2M - PSIQUIATRIA - Guía manejo práctico AM2M</v>
      </c>
      <c r="E8680" s="22" t="str">
        <f>HYPERLINK("https://otsuka-europe-crm.veevavault.com/ui/#object/sent_email__v/VBL00000003H160", "SE-001448535")</f>
        <v>SE-001448535</v>
      </c>
      <c r="F8680" s="25">
        <v>46234.429131944446</v>
      </c>
      <c r="G8680" s="24">
        <v>1</v>
      </c>
      <c r="H8680" s="24">
        <v>2</v>
      </c>
      <c r="I8680" s="24">
        <v>0</v>
      </c>
      <c r="J8680" s="23"/>
      <c r="K8680" s="24">
        <v>0</v>
      </c>
      <c r="L8680" s="22" t="str">
        <f>HYPERLINK("https://otsuka-europe-crm.veevavault.com/ui/#object/approved_document__v/V5O00000000R009", "AM2M - PSIQUIATRIA - Guía manejo práctico AM2M")</f>
        <v>AM2M - PSIQUIATRIA - Guía manejo práctico AM2M</v>
      </c>
      <c r="M8680" s="22" t="str">
        <f>HYPERLINK("mailto:iortega@crm.otsuka-europe.com", "iortega@crm.otsuka-europe.com")</f>
        <v>iortega@crm.otsuka-europe.com</v>
      </c>
      <c r="N8680" s="25">
        <v>46234.428298611114</v>
      </c>
      <c r="O8680" s="14" t="str">
        <f>HYPERLINK("https://otsuka-europe-crm.veevavault.com/ui/#object/email_activity__v/V8C00000004F175", "EN-002110160")</f>
        <v>EN-002110160</v>
      </c>
    </row>
    <row r="8681" spans="1:15" ht="16" x14ac:dyDescent="0.2">
      <c r="A8681" s="26"/>
      <c r="B8681" s="26"/>
      <c r="C8681" s="26"/>
      <c r="D8681" s="26"/>
      <c r="E8681" s="26"/>
      <c r="F8681" s="26"/>
      <c r="G8681" s="26"/>
      <c r="H8681" s="26"/>
      <c r="I8681" s="26"/>
      <c r="J8681" s="26"/>
      <c r="K8681" s="26"/>
      <c r="L8681" s="26"/>
      <c r="M8681" s="26"/>
      <c r="N8681" s="26"/>
      <c r="O8681" s="14" t="str">
        <f>HYPERLINK("https://otsuka-europe-crm.veevavault.com/ui/#object/email_activity__v/V8C00000004F191", "EN-002110193")</f>
        <v>EN-002110193</v>
      </c>
    </row>
    <row r="8682" spans="1:15" ht="16" x14ac:dyDescent="0.2">
      <c r="A8682" s="19"/>
      <c r="B8682" s="19"/>
      <c r="C8682" s="19"/>
      <c r="D8682" s="19"/>
      <c r="E8682" s="19"/>
      <c r="F8682" s="19"/>
      <c r="G8682" s="19"/>
      <c r="H8682" s="19"/>
      <c r="I8682" s="19"/>
      <c r="J8682" s="19"/>
      <c r="K8682" s="19"/>
      <c r="L8682" s="19"/>
      <c r="M8682" s="19"/>
      <c r="N8682" s="19"/>
      <c r="O8682" s="14" t="str">
        <f>HYPERLINK("https://otsuka-europe-crm.veevavault.com/ui/#object/email_activity__v/V8C00000004F192", "EN-002110194")</f>
        <v>EN-002110194</v>
      </c>
    </row>
    <row r="8683" spans="1:15" ht="16" x14ac:dyDescent="0.2">
      <c r="A8683" s="18" t="str">
        <f>HYPERLINK("https://otsuka-europe-crm.veevavault.com/ui/#object/account__v/V4TZ06G6OC6M8HF", "BELTRAN JIMENEZ FERNANDEZ")</f>
        <v>BELTRAN JIMENEZ FERNANDEZ</v>
      </c>
      <c r="B8683" s="18" t="str">
        <f>HYPERLINK("https://otsuka-europe-crm.veevavault.com/ui/#object/vcountry__v/VENZ000004SONF5", "ES")</f>
        <v>ES</v>
      </c>
      <c r="C8683" s="20" t="s">
        <v>39</v>
      </c>
      <c r="D8683" s="21" t="str">
        <f>HYPERLINK("https://otsuka-europe-crm.veevavault.com/ui/#object/approved_document__v/V5O00000000R009", "AM2M - PSIQUIATRIA - Guía manejo práctico AM2M")</f>
        <v>AM2M - PSIQUIATRIA - Guía manejo práctico AM2M</v>
      </c>
      <c r="E8683" s="22" t="str">
        <f>HYPERLINK("https://otsuka-europe-crm.veevavault.com/ui/#object/sent_email__v/VBL00000003H161", "SE-001448536")</f>
        <v>SE-001448536</v>
      </c>
      <c r="F8683" s="25">
        <v>46234.482210648152</v>
      </c>
      <c r="G8683" s="24">
        <v>1</v>
      </c>
      <c r="H8683" s="24">
        <v>3</v>
      </c>
      <c r="I8683" s="24">
        <v>0</v>
      </c>
      <c r="J8683" s="23"/>
      <c r="K8683" s="24">
        <v>0</v>
      </c>
      <c r="L8683" s="22" t="str">
        <f>HYPERLINK("https://otsuka-europe-crm.veevavault.com/ui/#object/approved_document__v/V5O00000000R009", "AM2M - PSIQUIATRIA - Guía manejo práctico AM2M")</f>
        <v>AM2M - PSIQUIATRIA - Guía manejo práctico AM2M</v>
      </c>
      <c r="M8683" s="22" t="str">
        <f>HYPERLINK("mailto:iortega@crm.otsuka-europe.com", "iortega@crm.otsuka-europe.com")</f>
        <v>iortega@crm.otsuka-europe.com</v>
      </c>
      <c r="N8683" s="25">
        <v>46234.428310185183</v>
      </c>
      <c r="O8683" s="14" t="str">
        <f>HYPERLINK("https://otsuka-europe-crm.veevavault.com/ui/#object/email_activity__v/V8C00000004F183", "EN-002110185")</f>
        <v>EN-002110185</v>
      </c>
    </row>
    <row r="8684" spans="1:15" ht="16" x14ac:dyDescent="0.2">
      <c r="A8684" s="26"/>
      <c r="B8684" s="26"/>
      <c r="C8684" s="26"/>
      <c r="D8684" s="26"/>
      <c r="E8684" s="26"/>
      <c r="F8684" s="26"/>
      <c r="G8684" s="26"/>
      <c r="H8684" s="26"/>
      <c r="I8684" s="26"/>
      <c r="J8684" s="26"/>
      <c r="K8684" s="26"/>
      <c r="L8684" s="26"/>
      <c r="M8684" s="26"/>
      <c r="N8684" s="26"/>
      <c r="O8684" s="14" t="str">
        <f>HYPERLINK("https://otsuka-europe-crm.veevavault.com/ui/#object/email_activity__v/V8C00000004F274", "EN-002110468")</f>
        <v>EN-002110468</v>
      </c>
    </row>
    <row r="8685" spans="1:15" ht="16" x14ac:dyDescent="0.2">
      <c r="A8685" s="26"/>
      <c r="B8685" s="26"/>
      <c r="C8685" s="26"/>
      <c r="D8685" s="26"/>
      <c r="E8685" s="26"/>
      <c r="F8685" s="26"/>
      <c r="G8685" s="26"/>
      <c r="H8685" s="26"/>
      <c r="I8685" s="26"/>
      <c r="J8685" s="26"/>
      <c r="K8685" s="26"/>
      <c r="L8685" s="26"/>
      <c r="M8685" s="26"/>
      <c r="N8685" s="26"/>
      <c r="O8685" s="14" t="str">
        <f>HYPERLINK("https://otsuka-europe-crm.veevavault.com/ui/#object/email_activity__v/V8C00000004F275", "EN-002110469")</f>
        <v>EN-002110469</v>
      </c>
    </row>
    <row r="8686" spans="1:15" ht="16" x14ac:dyDescent="0.2">
      <c r="A8686" s="19"/>
      <c r="B8686" s="19"/>
      <c r="C8686" s="19"/>
      <c r="D8686" s="19"/>
      <c r="E8686" s="19"/>
      <c r="F8686" s="19"/>
      <c r="G8686" s="19"/>
      <c r="H8686" s="19"/>
      <c r="I8686" s="19"/>
      <c r="J8686" s="19"/>
      <c r="K8686" s="19"/>
      <c r="L8686" s="19"/>
      <c r="M8686" s="19"/>
      <c r="N8686" s="19"/>
      <c r="O8686" s="14" t="str">
        <f>HYPERLINK("https://otsuka-europe-crm.veevavault.com/ui/#object/email_activity__v/V8C00000004F333", "EN-002110603")</f>
        <v>EN-002110603</v>
      </c>
    </row>
    <row r="8687" spans="1:15" ht="48" x14ac:dyDescent="0.2">
      <c r="A8687" s="7" t="str">
        <f>HYPERLINK("https://otsuka-europe-crm.veevavault.com/ui/#object/account__v/V4TZ06G6O71T9TJ", "ANNA MARIA DIAZ PEREZ")</f>
        <v>ANNA MARIA DIAZ PEREZ</v>
      </c>
      <c r="B8687" s="7" t="str">
        <f>HYPERLINK("https://otsuka-europe-crm.veevavault.com/ui/#object/vcountry__v/VENZ000004SONF5", "ES")</f>
        <v>ES</v>
      </c>
      <c r="C8687" s="8" t="s">
        <v>39</v>
      </c>
      <c r="D8687" s="9" t="str">
        <f>HYPERLINK("https://otsuka-europe-crm.veevavault.com/ui/#object/approved_document__v/V5O00000000R009", "AM2M - PSIQUIATRIA - Guía manejo práctico AM2M")</f>
        <v>AM2M - PSIQUIATRIA - Guía manejo práctico AM2M</v>
      </c>
      <c r="E8687" s="10" t="str">
        <f>HYPERLINK("https://otsuka-europe-crm.veevavault.com/ui/#object/sent_email__v/VBL00000003H162", "SE-001448537")</f>
        <v>SE-001448537</v>
      </c>
      <c r="F8687" s="11"/>
      <c r="G8687" s="12">
        <v>0</v>
      </c>
      <c r="H8687" s="12">
        <v>0</v>
      </c>
      <c r="I8687" s="12">
        <v>0</v>
      </c>
      <c r="J8687" s="11"/>
      <c r="K8687" s="12">
        <v>0</v>
      </c>
      <c r="L8687" s="10" t="str">
        <f>HYPERLINK("https://otsuka-europe-crm.veevavault.com/ui/#object/approved_document__v/V5O00000000R009", "AM2M - PSIQUIATRIA - Guía manejo práctico AM2M")</f>
        <v>AM2M - PSIQUIATRIA - Guía manejo práctico AM2M</v>
      </c>
      <c r="M8687" s="10" t="str">
        <f>HYPERLINK("mailto:iortega@crm.otsuka-europe.com", "iortega@crm.otsuka-europe.com")</f>
        <v>iortega@crm.otsuka-europe.com</v>
      </c>
      <c r="N8687" s="13">
        <v>46234.428368055553</v>
      </c>
      <c r="O8687" s="14" t="str">
        <f>HYPERLINK("https://otsuka-europe-crm.veevavault.com/ui/#object/email_activity__v/V8C00000004G194", "EN-002110153")</f>
        <v>EN-002110153</v>
      </c>
    </row>
    <row r="8688" spans="1:15" ht="16" x14ac:dyDescent="0.2">
      <c r="A8688" s="18" t="str">
        <f>HYPERLINK("https://otsuka-europe-crm.veevavault.com/ui/#object/account__v/V4TZ06G6O71TCKS", "ALICIA VALIENTE GOMEZ")</f>
        <v>ALICIA VALIENTE GOMEZ</v>
      </c>
      <c r="B8688" s="18" t="str">
        <f>HYPERLINK("https://otsuka-europe-crm.veevavault.com/ui/#object/vcountry__v/VENZ000004SONF5", "ES")</f>
        <v>ES</v>
      </c>
      <c r="C8688" s="20" t="s">
        <v>39</v>
      </c>
      <c r="D8688" s="21" t="str">
        <f>HYPERLINK("https://otsuka-europe-crm.veevavault.com/ui/#object/approved_document__v/V5O00000000R009", "AM2M - PSIQUIATRIA - Guía manejo práctico AM2M")</f>
        <v>AM2M - PSIQUIATRIA - Guía manejo práctico AM2M</v>
      </c>
      <c r="E8688" s="22" t="str">
        <f>HYPERLINK("https://otsuka-europe-crm.veevavault.com/ui/#object/sent_email__v/VBL00000003H163", "SE-001448538")</f>
        <v>SE-001448538</v>
      </c>
      <c r="F8688" s="25">
        <v>46234.429039351853</v>
      </c>
      <c r="G8688" s="24">
        <v>1</v>
      </c>
      <c r="H8688" s="24">
        <v>1</v>
      </c>
      <c r="I8688" s="24">
        <v>0</v>
      </c>
      <c r="J8688" s="23"/>
      <c r="K8688" s="24">
        <v>0</v>
      </c>
      <c r="L8688" s="22" t="str">
        <f>HYPERLINK("https://otsuka-europe-crm.veevavault.com/ui/#object/approved_document__v/V5O00000000R009", "AM2M - PSIQUIATRIA - Guía manejo práctico AM2M")</f>
        <v>AM2M - PSIQUIATRIA - Guía manejo práctico AM2M</v>
      </c>
      <c r="M8688" s="22" t="str">
        <f>HYPERLINK("mailto:iortega@crm.otsuka-europe.com", "iortega@crm.otsuka-europe.com")</f>
        <v>iortega@crm.otsuka-europe.com</v>
      </c>
      <c r="N8688" s="25">
        <v>46234.428368055553</v>
      </c>
      <c r="O8688" s="14" t="str">
        <f>HYPERLINK("https://otsuka-europe-crm.veevavault.com/ui/#object/email_activity__v/V8C00000004F190", "EN-002110192")</f>
        <v>EN-002110192</v>
      </c>
    </row>
    <row r="8689" spans="1:15" ht="16" x14ac:dyDescent="0.2">
      <c r="A8689" s="26"/>
      <c r="B8689" s="26"/>
      <c r="C8689" s="26"/>
      <c r="D8689" s="26"/>
      <c r="E8689" s="26"/>
      <c r="F8689" s="26"/>
      <c r="G8689" s="26"/>
      <c r="H8689" s="26"/>
      <c r="I8689" s="26"/>
      <c r="J8689" s="26"/>
      <c r="K8689" s="26"/>
      <c r="L8689" s="26"/>
      <c r="M8689" s="26"/>
      <c r="N8689" s="26"/>
      <c r="O8689" s="14" t="str">
        <f>HYPERLINK("https://otsuka-europe-crm.veevavault.com/ui/#object/email_activity__v/V8C00000004G201", "EN-002110165")</f>
        <v>EN-002110165</v>
      </c>
    </row>
    <row r="8690" spans="1:15" ht="16" x14ac:dyDescent="0.2">
      <c r="A8690" s="19"/>
      <c r="B8690" s="19"/>
      <c r="C8690" s="19"/>
      <c r="D8690" s="19"/>
      <c r="E8690" s="19"/>
      <c r="F8690" s="19"/>
      <c r="G8690" s="19"/>
      <c r="H8690" s="19"/>
      <c r="I8690" s="19"/>
      <c r="J8690" s="19"/>
      <c r="K8690" s="19"/>
      <c r="L8690" s="19"/>
      <c r="M8690" s="19"/>
      <c r="N8690" s="19"/>
      <c r="O8690" s="14" t="str">
        <f>HYPERLINK("https://otsuka-europe-crm.veevavault.com/ui/#object/email_activity__v/V8C00000004G402", "EN-002110459")</f>
        <v>EN-002110459</v>
      </c>
    </row>
    <row r="8691" spans="1:15" ht="16" x14ac:dyDescent="0.2">
      <c r="A8691" s="18" t="str">
        <f>HYPERLINK("https://otsuka-europe-crm.veevavault.com/ui/#object/account__v/V4TZ06G6O71TK31", "AMIRA TRABSA BISKRI")</f>
        <v>AMIRA TRABSA BISKRI</v>
      </c>
      <c r="B8691" s="18" t="str">
        <f>HYPERLINK("https://otsuka-europe-crm.veevavault.com/ui/#object/vcountry__v/VENZ000004SONF5", "ES")</f>
        <v>ES</v>
      </c>
      <c r="C8691" s="20" t="s">
        <v>39</v>
      </c>
      <c r="D8691" s="21" t="str">
        <f>HYPERLINK("https://otsuka-europe-crm.veevavault.com/ui/#object/approved_document__v/V5O00000000R009", "AM2M - PSIQUIATRIA - Guía manejo práctico AM2M")</f>
        <v>AM2M - PSIQUIATRIA - Guía manejo práctico AM2M</v>
      </c>
      <c r="E8691" s="22" t="str">
        <f>HYPERLINK("https://otsuka-europe-crm.veevavault.com/ui/#object/sent_email__v/VBL00000003H164", "SE-001448539")</f>
        <v>SE-001448539</v>
      </c>
      <c r="F8691" s="23"/>
      <c r="G8691" s="24">
        <v>0</v>
      </c>
      <c r="H8691" s="24">
        <v>0</v>
      </c>
      <c r="I8691" s="24">
        <v>0</v>
      </c>
      <c r="J8691" s="23"/>
      <c r="K8691" s="24">
        <v>0</v>
      </c>
      <c r="L8691" s="22" t="str">
        <f>HYPERLINK("https://otsuka-europe-crm.veevavault.com/ui/#object/approved_document__v/V5O00000000R009", "AM2M - PSIQUIATRIA - Guía manejo práctico AM2M")</f>
        <v>AM2M - PSIQUIATRIA - Guía manejo práctico AM2M</v>
      </c>
      <c r="M8691" s="22" t="str">
        <f>HYPERLINK("mailto:iortega@crm.otsuka-europe.com", "iortega@crm.otsuka-europe.com")</f>
        <v>iortega@crm.otsuka-europe.com</v>
      </c>
      <c r="N8691" s="25">
        <v>46234.428368055553</v>
      </c>
      <c r="O8691" s="14" t="str">
        <f>HYPERLINK("https://otsuka-europe-crm.veevavault.com/ui/#object/email_activity__v/V8C00000004G200", "EN-002110164")</f>
        <v>EN-002110164</v>
      </c>
    </row>
    <row r="8692" spans="1:15" ht="16" x14ac:dyDescent="0.2">
      <c r="A8692" s="19"/>
      <c r="B8692" s="19"/>
      <c r="C8692" s="19"/>
      <c r="D8692" s="19"/>
      <c r="E8692" s="19"/>
      <c r="F8692" s="19"/>
      <c r="G8692" s="19"/>
      <c r="H8692" s="19"/>
      <c r="I8692" s="19"/>
      <c r="J8692" s="19"/>
      <c r="K8692" s="19"/>
      <c r="L8692" s="19"/>
      <c r="M8692" s="19"/>
      <c r="N8692" s="19"/>
      <c r="O8692" s="14" t="str">
        <f>HYPERLINK("https://otsuka-europe-crm.veevavault.com/ui/#object/email_activity__v/V8C00000004G659", "EN-002110937")</f>
        <v>EN-002110937</v>
      </c>
    </row>
    <row r="8693" spans="1:15" ht="48" x14ac:dyDescent="0.2">
      <c r="A8693" s="7" t="str">
        <f>HYPERLINK("https://otsuka-europe-crm.veevavault.com/ui/#object/account__v/V4TZ06G6O80JB5L", "ANA MARIA CORATU")</f>
        <v>ANA MARIA CORATU</v>
      </c>
      <c r="B8693" s="7" t="str">
        <f t="shared" ref="B8693:B8706" si="311">HYPERLINK("https://otsuka-europe-crm.veevavault.com/ui/#object/vcountry__v/VENZ000004SONF5", "ES")</f>
        <v>ES</v>
      </c>
      <c r="C8693" s="8" t="s">
        <v>39</v>
      </c>
      <c r="D8693" s="9" t="str">
        <f t="shared" ref="D8693:D8706" si="312">HYPERLINK("https://otsuka-europe-crm.veevavault.com/ui/#object/approved_document__v/V5O00000000R009", "AM2M - PSIQUIATRIA - Guía manejo práctico AM2M")</f>
        <v>AM2M - PSIQUIATRIA - Guía manejo práctico AM2M</v>
      </c>
      <c r="E8693" s="10" t="str">
        <f>HYPERLINK("https://otsuka-europe-crm.veevavault.com/ui/#object/sent_email__v/VBL00000003H165", "SE-001448540")</f>
        <v>SE-001448540</v>
      </c>
      <c r="F8693" s="11"/>
      <c r="G8693" s="12">
        <v>0</v>
      </c>
      <c r="H8693" s="12">
        <v>0</v>
      </c>
      <c r="I8693" s="12">
        <v>0</v>
      </c>
      <c r="J8693" s="11"/>
      <c r="K8693" s="12">
        <v>0</v>
      </c>
      <c r="L8693" s="10" t="str">
        <f t="shared" ref="L8693:L8706" si="313">HYPERLINK("https://otsuka-europe-crm.veevavault.com/ui/#object/approved_document__v/V5O00000000R009", "AM2M - PSIQUIATRIA - Guía manejo práctico AM2M")</f>
        <v>AM2M - PSIQUIATRIA - Guía manejo práctico AM2M</v>
      </c>
      <c r="M8693" s="10" t="str">
        <f t="shared" ref="M8693:M8706" si="314">HYPERLINK("mailto:iortega@crm.otsuka-europe.com", "iortega@crm.otsuka-europe.com")</f>
        <v>iortega@crm.otsuka-europe.com</v>
      </c>
      <c r="N8693" s="13">
        <v>46234.428368055553</v>
      </c>
      <c r="O8693" s="14" t="str">
        <f>HYPERLINK("https://otsuka-europe-crm.veevavault.com/ui/#object/email_activity__v/V8C00000004F182", "EN-002110169")</f>
        <v>EN-002110169</v>
      </c>
    </row>
    <row r="8694" spans="1:15" ht="48" x14ac:dyDescent="0.2">
      <c r="A8694" s="7" t="str">
        <f>HYPERLINK("https://otsuka-europe-crm.veevavault.com/ui/#object/account__v/V4TZ06G6O71T7HS", "ADRIANA FARRE MARTINEZ")</f>
        <v>ADRIANA FARRE MARTINEZ</v>
      </c>
      <c r="B8694" s="7" t="str">
        <f t="shared" si="311"/>
        <v>ES</v>
      </c>
      <c r="C8694" s="8" t="s">
        <v>39</v>
      </c>
      <c r="D8694" s="9" t="str">
        <f t="shared" si="312"/>
        <v>AM2M - PSIQUIATRIA - Guía manejo práctico AM2M</v>
      </c>
      <c r="E8694" s="10" t="str">
        <f>HYPERLINK("https://otsuka-europe-crm.veevavault.com/ui/#object/sent_email__v/VBL00000003H166", "SE-001448541")</f>
        <v>SE-001448541</v>
      </c>
      <c r="F8694" s="11"/>
      <c r="G8694" s="12">
        <v>0</v>
      </c>
      <c r="H8694" s="12">
        <v>0</v>
      </c>
      <c r="I8694" s="12">
        <v>0</v>
      </c>
      <c r="J8694" s="11"/>
      <c r="K8694" s="12">
        <v>0</v>
      </c>
      <c r="L8694" s="10" t="str">
        <f t="shared" si="313"/>
        <v>AM2M - PSIQUIATRIA - Guía manejo práctico AM2M</v>
      </c>
      <c r="M8694" s="10" t="str">
        <f t="shared" si="314"/>
        <v>iortega@crm.otsuka-europe.com</v>
      </c>
      <c r="N8694" s="13">
        <v>46234.428368055553</v>
      </c>
      <c r="O8694" s="14" t="str">
        <f>HYPERLINK("https://otsuka-europe-crm.veevavault.com/ui/#object/email_activity__v/V8C00000004G213", "EN-002110181")</f>
        <v>EN-002110181</v>
      </c>
    </row>
    <row r="8695" spans="1:15" ht="48" x14ac:dyDescent="0.2">
      <c r="A8695" s="7" t="str">
        <f>HYPERLINK("https://otsuka-europe-crm.veevavault.com/ui/#object/account__v/V4TZ06G6OAAZ53T", "ALBA DIESTRE TOMAS")</f>
        <v>ALBA DIESTRE TOMAS</v>
      </c>
      <c r="B8695" s="7" t="str">
        <f t="shared" si="311"/>
        <v>ES</v>
      </c>
      <c r="C8695" s="8" t="s">
        <v>39</v>
      </c>
      <c r="D8695" s="9" t="str">
        <f t="shared" si="312"/>
        <v>AM2M - PSIQUIATRIA - Guía manejo práctico AM2M</v>
      </c>
      <c r="E8695" s="10" t="str">
        <f>HYPERLINK("https://otsuka-europe-crm.veevavault.com/ui/#object/sent_email__v/VBL00000003H167", "SE-001448542")</f>
        <v>SE-001448542</v>
      </c>
      <c r="F8695" s="11"/>
      <c r="G8695" s="12">
        <v>0</v>
      </c>
      <c r="H8695" s="12">
        <v>0</v>
      </c>
      <c r="I8695" s="12">
        <v>0</v>
      </c>
      <c r="J8695" s="11"/>
      <c r="K8695" s="12">
        <v>0</v>
      </c>
      <c r="L8695" s="10" t="str">
        <f t="shared" si="313"/>
        <v>AM2M - PSIQUIATRIA - Guía manejo práctico AM2M</v>
      </c>
      <c r="M8695" s="10" t="str">
        <f t="shared" si="314"/>
        <v>iortega@crm.otsuka-europe.com</v>
      </c>
      <c r="N8695" s="13">
        <v>46234.428368055553</v>
      </c>
      <c r="O8695" s="14" t="str">
        <f>HYPERLINK("https://otsuka-europe-crm.veevavault.com/ui/#object/email_activity__v/V8C00000004G215", "EN-002110183")</f>
        <v>EN-002110183</v>
      </c>
    </row>
    <row r="8696" spans="1:15" ht="48" x14ac:dyDescent="0.2">
      <c r="A8696" s="7" t="str">
        <f>HYPERLINK("https://otsuka-europe-crm.veevavault.com/ui/#object/account__v/V4T00000001J001", "ANDREA MARISOL MARTINEZ VALDEZ")</f>
        <v>ANDREA MARISOL MARTINEZ VALDEZ</v>
      </c>
      <c r="B8696" s="7" t="str">
        <f t="shared" si="311"/>
        <v>ES</v>
      </c>
      <c r="C8696" s="8" t="s">
        <v>39</v>
      </c>
      <c r="D8696" s="9" t="str">
        <f t="shared" si="312"/>
        <v>AM2M - PSIQUIATRIA - Guía manejo práctico AM2M</v>
      </c>
      <c r="E8696" s="10" t="str">
        <f>HYPERLINK("https://otsuka-europe-crm.veevavault.com/ui/#object/sent_email__v/VBL00000003H168", "SE-001448543")</f>
        <v>SE-001448543</v>
      </c>
      <c r="F8696" s="11"/>
      <c r="G8696" s="12">
        <v>0</v>
      </c>
      <c r="H8696" s="12">
        <v>0</v>
      </c>
      <c r="I8696" s="12">
        <v>0</v>
      </c>
      <c r="J8696" s="11"/>
      <c r="K8696" s="12">
        <v>0</v>
      </c>
      <c r="L8696" s="10" t="str">
        <f t="shared" si="313"/>
        <v>AM2M - PSIQUIATRIA - Guía manejo práctico AM2M</v>
      </c>
      <c r="M8696" s="10" t="str">
        <f t="shared" si="314"/>
        <v>iortega@crm.otsuka-europe.com</v>
      </c>
      <c r="N8696" s="13">
        <v>46234.428368055553</v>
      </c>
      <c r="O8696" s="14" t="str">
        <f>HYPERLINK("https://otsuka-europe-crm.veevavault.com/ui/#object/email_activity__v/V8C00000004G196", "EN-002110155")</f>
        <v>EN-002110155</v>
      </c>
    </row>
    <row r="8697" spans="1:15" ht="48" x14ac:dyDescent="0.2">
      <c r="A8697" s="7" t="str">
        <f>HYPERLINK("https://otsuka-europe-crm.veevavault.com/ui/#object/account__v/V4TZ06G6O71TBNI", "ANA MARIA PLAZA ESTRADE")</f>
        <v>ANA MARIA PLAZA ESTRADE</v>
      </c>
      <c r="B8697" s="7" t="str">
        <f t="shared" si="311"/>
        <v>ES</v>
      </c>
      <c r="C8697" s="8" t="s">
        <v>39</v>
      </c>
      <c r="D8697" s="9" t="str">
        <f t="shared" si="312"/>
        <v>AM2M - PSIQUIATRIA - Guía manejo práctico AM2M</v>
      </c>
      <c r="E8697" s="10" t="str">
        <f>HYPERLINK("https://otsuka-europe-crm.veevavault.com/ui/#object/sent_email__v/VBL00000003H169", "SE-001448544")</f>
        <v>SE-001448544</v>
      </c>
      <c r="F8697" s="11"/>
      <c r="G8697" s="12">
        <v>0</v>
      </c>
      <c r="H8697" s="12">
        <v>0</v>
      </c>
      <c r="I8697" s="12">
        <v>0</v>
      </c>
      <c r="J8697" s="11"/>
      <c r="K8697" s="12">
        <v>0</v>
      </c>
      <c r="L8697" s="10" t="str">
        <f t="shared" si="313"/>
        <v>AM2M - PSIQUIATRIA - Guía manejo práctico AM2M</v>
      </c>
      <c r="M8697" s="10" t="str">
        <f t="shared" si="314"/>
        <v>iortega@crm.otsuka-europe.com</v>
      </c>
      <c r="N8697" s="13">
        <v>46234.428368055553</v>
      </c>
      <c r="O8697" s="14" t="str">
        <f>HYPERLINK("https://otsuka-europe-crm.veevavault.com/ui/#object/email_activity__v/V8C00000004G203", "EN-002110171")</f>
        <v>EN-002110171</v>
      </c>
    </row>
    <row r="8698" spans="1:15" ht="48" x14ac:dyDescent="0.2">
      <c r="A8698" s="7" t="str">
        <f>HYPERLINK("https://otsuka-europe-crm.veevavault.com/ui/#object/account__v/V4TZ06G6O71TBJA", "AUREA AUTET PUIG")</f>
        <v>AUREA AUTET PUIG</v>
      </c>
      <c r="B8698" s="7" t="str">
        <f t="shared" si="311"/>
        <v>ES</v>
      </c>
      <c r="C8698" s="8" t="s">
        <v>39</v>
      </c>
      <c r="D8698" s="9" t="str">
        <f t="shared" si="312"/>
        <v>AM2M - PSIQUIATRIA - Guía manejo práctico AM2M</v>
      </c>
      <c r="E8698" s="10" t="str">
        <f>HYPERLINK("https://otsuka-europe-crm.veevavault.com/ui/#object/sent_email__v/VBL00000003H170", "SE-001448545")</f>
        <v>SE-001448545</v>
      </c>
      <c r="F8698" s="11"/>
      <c r="G8698" s="12">
        <v>0</v>
      </c>
      <c r="H8698" s="12">
        <v>0</v>
      </c>
      <c r="I8698" s="12">
        <v>0</v>
      </c>
      <c r="J8698" s="11"/>
      <c r="K8698" s="12">
        <v>0</v>
      </c>
      <c r="L8698" s="10" t="str">
        <f t="shared" si="313"/>
        <v>AM2M - PSIQUIATRIA - Guía manejo práctico AM2M</v>
      </c>
      <c r="M8698" s="10" t="str">
        <f t="shared" si="314"/>
        <v>iortega@crm.otsuka-europe.com</v>
      </c>
      <c r="N8698" s="13">
        <v>46234.428368055553</v>
      </c>
      <c r="O8698" s="14" t="str">
        <f>HYPERLINK("https://otsuka-europe-crm.veevavault.com/ui/#object/email_activity__v/V8C00000004F189", "EN-002110191")</f>
        <v>EN-002110191</v>
      </c>
    </row>
    <row r="8699" spans="1:15" ht="48" x14ac:dyDescent="0.2">
      <c r="A8699" s="7" t="str">
        <f>HYPERLINK("https://otsuka-europe-crm.veevavault.com/ui/#object/account__v/V4T000000011148", "ANNA CERESUELA ORTA")</f>
        <v>ANNA CERESUELA ORTA</v>
      </c>
      <c r="B8699" s="7" t="str">
        <f t="shared" si="311"/>
        <v>ES</v>
      </c>
      <c r="C8699" s="8" t="s">
        <v>39</v>
      </c>
      <c r="D8699" s="9" t="str">
        <f t="shared" si="312"/>
        <v>AM2M - PSIQUIATRIA - Guía manejo práctico AM2M</v>
      </c>
      <c r="E8699" s="10" t="str">
        <f>HYPERLINK("https://otsuka-europe-crm.veevavault.com/ui/#object/sent_email__v/VBL00000003H171", "SE-001448546")</f>
        <v>SE-001448546</v>
      </c>
      <c r="F8699" s="11"/>
      <c r="G8699" s="12">
        <v>0</v>
      </c>
      <c r="H8699" s="12">
        <v>0</v>
      </c>
      <c r="I8699" s="12">
        <v>0</v>
      </c>
      <c r="J8699" s="11"/>
      <c r="K8699" s="12">
        <v>0</v>
      </c>
      <c r="L8699" s="10" t="str">
        <f t="shared" si="313"/>
        <v>AM2M - PSIQUIATRIA - Guía manejo práctico AM2M</v>
      </c>
      <c r="M8699" s="10" t="str">
        <f t="shared" si="314"/>
        <v>iortega@crm.otsuka-europe.com</v>
      </c>
      <c r="N8699" s="13">
        <v>46234.428368055553</v>
      </c>
      <c r="O8699" s="14" t="str">
        <f>HYPERLINK("https://otsuka-europe-crm.veevavault.com/ui/#object/email_activity__v/V8C00000004F186", "EN-002110188")</f>
        <v>EN-002110188</v>
      </c>
    </row>
    <row r="8700" spans="1:15" ht="48" x14ac:dyDescent="0.2">
      <c r="A8700" s="7" t="str">
        <f>HYPERLINK("https://otsuka-europe-crm.veevavault.com/ui/#object/account__v/V4TZ06G6O71T7PR", "BARBARA PATRIZI")</f>
        <v>BARBARA PATRIZI</v>
      </c>
      <c r="B8700" s="7" t="str">
        <f t="shared" si="311"/>
        <v>ES</v>
      </c>
      <c r="C8700" s="8" t="s">
        <v>39</v>
      </c>
      <c r="D8700" s="9" t="str">
        <f t="shared" si="312"/>
        <v>AM2M - PSIQUIATRIA - Guía manejo práctico AM2M</v>
      </c>
      <c r="E8700" s="10" t="str">
        <f>HYPERLINK("https://otsuka-europe-crm.veevavault.com/ui/#object/sent_email__v/VBL00000003H172", "SE-001448547")</f>
        <v>SE-001448547</v>
      </c>
      <c r="F8700" s="11"/>
      <c r="G8700" s="12">
        <v>0</v>
      </c>
      <c r="H8700" s="12">
        <v>0</v>
      </c>
      <c r="I8700" s="12">
        <v>0</v>
      </c>
      <c r="J8700" s="11"/>
      <c r="K8700" s="12">
        <v>0</v>
      </c>
      <c r="L8700" s="10" t="str">
        <f t="shared" si="313"/>
        <v>AM2M - PSIQUIATRIA - Guía manejo práctico AM2M</v>
      </c>
      <c r="M8700" s="10" t="str">
        <f t="shared" si="314"/>
        <v>iortega@crm.otsuka-europe.com</v>
      </c>
      <c r="N8700" s="13">
        <v>46234.428368055553</v>
      </c>
      <c r="O8700" s="14" t="str">
        <f>HYPERLINK("https://otsuka-europe-crm.veevavault.com/ui/#object/email_activity__v/V8C00000004F179", "EN-002110166")</f>
        <v>EN-002110166</v>
      </c>
    </row>
    <row r="8701" spans="1:15" ht="48" x14ac:dyDescent="0.2">
      <c r="A8701" s="7" t="str">
        <f>HYPERLINK("https://otsuka-europe-crm.veevavault.com/ui/#object/account__v/V4TZ06G6OAB195W", "ALEJANDRA DUQUE GUERRA")</f>
        <v>ALEJANDRA DUQUE GUERRA</v>
      </c>
      <c r="B8701" s="7" t="str">
        <f t="shared" si="311"/>
        <v>ES</v>
      </c>
      <c r="C8701" s="8" t="s">
        <v>39</v>
      </c>
      <c r="D8701" s="9" t="str">
        <f t="shared" si="312"/>
        <v>AM2M - PSIQUIATRIA - Guía manejo práctico AM2M</v>
      </c>
      <c r="E8701" s="10" t="str">
        <f>HYPERLINK("https://otsuka-europe-crm.veevavault.com/ui/#object/sent_email__v/VBL00000003H173", "SE-001448548")</f>
        <v>SE-001448548</v>
      </c>
      <c r="F8701" s="11"/>
      <c r="G8701" s="12">
        <v>0</v>
      </c>
      <c r="H8701" s="12">
        <v>0</v>
      </c>
      <c r="I8701" s="12">
        <v>0</v>
      </c>
      <c r="J8701" s="11"/>
      <c r="K8701" s="12">
        <v>0</v>
      </c>
      <c r="L8701" s="10" t="str">
        <f t="shared" si="313"/>
        <v>AM2M - PSIQUIATRIA - Guía manejo práctico AM2M</v>
      </c>
      <c r="M8701" s="10" t="str">
        <f t="shared" si="314"/>
        <v>iortega@crm.otsuka-europe.com</v>
      </c>
      <c r="N8701" s="13">
        <v>46234.428368055553</v>
      </c>
      <c r="O8701" s="14" t="str">
        <f>HYPERLINK("https://otsuka-europe-crm.veevavault.com/ui/#object/email_activity__v/V8C00000004G214", "EN-002110182")</f>
        <v>EN-002110182</v>
      </c>
    </row>
    <row r="8702" spans="1:15" ht="48" x14ac:dyDescent="0.2">
      <c r="A8702" s="7" t="str">
        <f>HYPERLINK("https://otsuka-europe-crm.veevavault.com/ui/#object/account__v/V4TZ06G6O71TBG7", "ANTONIO LUIS PALOMO NICOLAU")</f>
        <v>ANTONIO LUIS PALOMO NICOLAU</v>
      </c>
      <c r="B8702" s="7" t="str">
        <f t="shared" si="311"/>
        <v>ES</v>
      </c>
      <c r="C8702" s="8" t="s">
        <v>39</v>
      </c>
      <c r="D8702" s="9" t="str">
        <f t="shared" si="312"/>
        <v>AM2M - PSIQUIATRIA - Guía manejo práctico AM2M</v>
      </c>
      <c r="E8702" s="10" t="str">
        <f>HYPERLINK("https://otsuka-europe-crm.veevavault.com/ui/#object/sent_email__v/VBL00000003H174", "SE-001448549")</f>
        <v>SE-001448549</v>
      </c>
      <c r="F8702" s="11"/>
      <c r="G8702" s="12">
        <v>0</v>
      </c>
      <c r="H8702" s="12">
        <v>0</v>
      </c>
      <c r="I8702" s="12">
        <v>0</v>
      </c>
      <c r="J8702" s="11"/>
      <c r="K8702" s="12">
        <v>0</v>
      </c>
      <c r="L8702" s="10" t="str">
        <f t="shared" si="313"/>
        <v>AM2M - PSIQUIATRIA - Guía manejo práctico AM2M</v>
      </c>
      <c r="M8702" s="10" t="str">
        <f t="shared" si="314"/>
        <v>iortega@crm.otsuka-europe.com</v>
      </c>
      <c r="N8702" s="13">
        <v>46234.428368055553</v>
      </c>
      <c r="O8702" s="14" t="str">
        <f>HYPERLINK("https://otsuka-europe-crm.veevavault.com/ui/#object/email_activity__v/V8C00000004G205", "EN-002110173")</f>
        <v>EN-002110173</v>
      </c>
    </row>
    <row r="8703" spans="1:15" ht="48" x14ac:dyDescent="0.2">
      <c r="A8703" s="7" t="str">
        <f>HYPERLINK("https://otsuka-europe-crm.veevavault.com/ui/#object/account__v/V4TZ06G6O71TCE0", "ALFONSO USON HERRERO")</f>
        <v>ALFONSO USON HERRERO</v>
      </c>
      <c r="B8703" s="7" t="str">
        <f t="shared" si="311"/>
        <v>ES</v>
      </c>
      <c r="C8703" s="8" t="s">
        <v>39</v>
      </c>
      <c r="D8703" s="9" t="str">
        <f t="shared" si="312"/>
        <v>AM2M - PSIQUIATRIA - Guía manejo práctico AM2M</v>
      </c>
      <c r="E8703" s="10" t="str">
        <f>HYPERLINK("https://otsuka-europe-crm.veevavault.com/ui/#object/sent_email__v/VBL00000003H175", "SE-001448550")</f>
        <v>SE-001448550</v>
      </c>
      <c r="F8703" s="11"/>
      <c r="G8703" s="12">
        <v>0</v>
      </c>
      <c r="H8703" s="12">
        <v>0</v>
      </c>
      <c r="I8703" s="12">
        <v>0</v>
      </c>
      <c r="J8703" s="11"/>
      <c r="K8703" s="12">
        <v>0</v>
      </c>
      <c r="L8703" s="10" t="str">
        <f t="shared" si="313"/>
        <v>AM2M - PSIQUIATRIA - Guía manejo práctico AM2M</v>
      </c>
      <c r="M8703" s="10" t="str">
        <f t="shared" si="314"/>
        <v>iortega@crm.otsuka-europe.com</v>
      </c>
      <c r="N8703" s="13">
        <v>46234.428368055553</v>
      </c>
      <c r="O8703" s="14" t="str">
        <f>HYPERLINK("https://otsuka-europe-crm.veevavault.com/ui/#object/email_activity__v/V8C00000004F181", "EN-002110168")</f>
        <v>EN-002110168</v>
      </c>
    </row>
    <row r="8704" spans="1:15" ht="48" x14ac:dyDescent="0.2">
      <c r="A8704" s="7" t="str">
        <f>HYPERLINK("https://otsuka-europe-crm.veevavault.com/ui/#object/account__v/V4TZ04ASGBUB9ZO", "ALEJANDRO TOMAS DISTEFANO")</f>
        <v>ALEJANDRO TOMAS DISTEFANO</v>
      </c>
      <c r="B8704" s="7" t="str">
        <f t="shared" si="311"/>
        <v>ES</v>
      </c>
      <c r="C8704" s="8" t="s">
        <v>39</v>
      </c>
      <c r="D8704" s="9" t="str">
        <f t="shared" si="312"/>
        <v>AM2M - PSIQUIATRIA - Guía manejo práctico AM2M</v>
      </c>
      <c r="E8704" s="10" t="str">
        <f>HYPERLINK("https://otsuka-europe-crm.veevavault.com/ui/#object/sent_email__v/VBL00000003H176", "SE-001448551")</f>
        <v>SE-001448551</v>
      </c>
      <c r="F8704" s="11"/>
      <c r="G8704" s="12">
        <v>0</v>
      </c>
      <c r="H8704" s="12">
        <v>0</v>
      </c>
      <c r="I8704" s="12">
        <v>0</v>
      </c>
      <c r="J8704" s="11"/>
      <c r="K8704" s="12">
        <v>0</v>
      </c>
      <c r="L8704" s="10" t="str">
        <f t="shared" si="313"/>
        <v>AM2M - PSIQUIATRIA - Guía manejo práctico AM2M</v>
      </c>
      <c r="M8704" s="10" t="str">
        <f t="shared" si="314"/>
        <v>iortega@crm.otsuka-europe.com</v>
      </c>
      <c r="N8704" s="13">
        <v>46234.428368055553</v>
      </c>
      <c r="O8704" s="14" t="str">
        <f>HYPERLINK("https://otsuka-europe-crm.veevavault.com/ui/#object/email_activity__v/V8C00000004F188", "EN-002110190")</f>
        <v>EN-002110190</v>
      </c>
    </row>
    <row r="8705" spans="1:15" ht="48" x14ac:dyDescent="0.2">
      <c r="A8705" s="7" t="str">
        <f>HYPERLINK("https://otsuka-europe-crm.veevavault.com/ui/#object/account__v/V4TZ06G6O71T74H", "ANA GARCIA-PLATA GIRONES")</f>
        <v>ANA GARCIA-PLATA GIRONES</v>
      </c>
      <c r="B8705" s="7" t="str">
        <f t="shared" si="311"/>
        <v>ES</v>
      </c>
      <c r="C8705" s="8" t="s">
        <v>39</v>
      </c>
      <c r="D8705" s="9" t="str">
        <f t="shared" si="312"/>
        <v>AM2M - PSIQUIATRIA - Guía manejo práctico AM2M</v>
      </c>
      <c r="E8705" s="10" t="str">
        <f>HYPERLINK("https://otsuka-europe-crm.veevavault.com/ui/#object/sent_email__v/VBL00000003H177", "SE-001448552")</f>
        <v>SE-001448552</v>
      </c>
      <c r="F8705" s="11"/>
      <c r="G8705" s="12">
        <v>0</v>
      </c>
      <c r="H8705" s="12">
        <v>0</v>
      </c>
      <c r="I8705" s="12">
        <v>0</v>
      </c>
      <c r="J8705" s="11"/>
      <c r="K8705" s="12">
        <v>0</v>
      </c>
      <c r="L8705" s="10" t="str">
        <f t="shared" si="313"/>
        <v>AM2M - PSIQUIATRIA - Guía manejo práctico AM2M</v>
      </c>
      <c r="M8705" s="10" t="str">
        <f t="shared" si="314"/>
        <v>iortega@crm.otsuka-europe.com</v>
      </c>
      <c r="N8705" s="13">
        <v>46234.428368055553</v>
      </c>
      <c r="O8705" s="14" t="str">
        <f>HYPERLINK("https://otsuka-europe-crm.veevavault.com/ui/#object/email_activity__v/V8C00000004G199", "EN-002110158")</f>
        <v>EN-002110158</v>
      </c>
    </row>
    <row r="8706" spans="1:15" ht="16" x14ac:dyDescent="0.2">
      <c r="A8706" s="18" t="str">
        <f>HYPERLINK("https://otsuka-europe-crm.veevavault.com/ui/#object/account__v/V4TZ025E87JR0BF", "BERTA ANDRES I LAZARO")</f>
        <v>BERTA ANDRES I LAZARO</v>
      </c>
      <c r="B8706" s="18" t="str">
        <f t="shared" si="311"/>
        <v>ES</v>
      </c>
      <c r="C8706" s="20" t="s">
        <v>39</v>
      </c>
      <c r="D8706" s="21" t="str">
        <f t="shared" si="312"/>
        <v>AM2M - PSIQUIATRIA - Guía manejo práctico AM2M</v>
      </c>
      <c r="E8706" s="22" t="str">
        <f>HYPERLINK("https://otsuka-europe-crm.veevavault.com/ui/#object/sent_email__v/VBL00000003H178", "SE-001448553")</f>
        <v>SE-001448553</v>
      </c>
      <c r="F8706" s="25">
        <v>46234.575208333335</v>
      </c>
      <c r="G8706" s="24">
        <v>1</v>
      </c>
      <c r="H8706" s="24">
        <v>2</v>
      </c>
      <c r="I8706" s="24">
        <v>0</v>
      </c>
      <c r="J8706" s="23"/>
      <c r="K8706" s="24">
        <v>0</v>
      </c>
      <c r="L8706" s="22" t="str">
        <f t="shared" si="313"/>
        <v>AM2M - PSIQUIATRIA - Guía manejo práctico AM2M</v>
      </c>
      <c r="M8706" s="22" t="str">
        <f t="shared" si="314"/>
        <v>iortega@crm.otsuka-europe.com</v>
      </c>
      <c r="N8706" s="25">
        <v>46234.428391203706</v>
      </c>
      <c r="O8706" s="14" t="str">
        <f>HYPERLINK("https://otsuka-europe-crm.veevavault.com/ui/#object/email_activity__v/V8C00000004F398", "EN-002110763")</f>
        <v>EN-002110763</v>
      </c>
    </row>
    <row r="8707" spans="1:15" ht="16" x14ac:dyDescent="0.2">
      <c r="A8707" s="26"/>
      <c r="B8707" s="26"/>
      <c r="C8707" s="26"/>
      <c r="D8707" s="26"/>
      <c r="E8707" s="26"/>
      <c r="F8707" s="26"/>
      <c r="G8707" s="26"/>
      <c r="H8707" s="26"/>
      <c r="I8707" s="26"/>
      <c r="J8707" s="26"/>
      <c r="K8707" s="26"/>
      <c r="L8707" s="26"/>
      <c r="M8707" s="26"/>
      <c r="N8707" s="26"/>
      <c r="O8707" s="14" t="str">
        <f>HYPERLINK("https://otsuka-europe-crm.veevavault.com/ui/#object/email_activity__v/V8C00000004F399", "EN-002110764")</f>
        <v>EN-002110764</v>
      </c>
    </row>
    <row r="8708" spans="1:15" ht="16" x14ac:dyDescent="0.2">
      <c r="A8708" s="19"/>
      <c r="B8708" s="19"/>
      <c r="C8708" s="19"/>
      <c r="D8708" s="19"/>
      <c r="E8708" s="19"/>
      <c r="F8708" s="19"/>
      <c r="G8708" s="19"/>
      <c r="H8708" s="19"/>
      <c r="I8708" s="19"/>
      <c r="J8708" s="19"/>
      <c r="K8708" s="19"/>
      <c r="L8708" s="19"/>
      <c r="M8708" s="19"/>
      <c r="N8708" s="19"/>
      <c r="O8708" s="14" t="str">
        <f>HYPERLINK("https://otsuka-europe-crm.veevavault.com/ui/#object/email_activity__v/V8C00000004G212", "EN-002110180")</f>
        <v>EN-002110180</v>
      </c>
    </row>
    <row r="8709" spans="1:15" ht="48" x14ac:dyDescent="0.2">
      <c r="A8709" s="7" t="str">
        <f>HYPERLINK("https://otsuka-europe-crm.veevavault.com/ui/#object/account__v/V4TZ06G6O71T7J1", "ANNA DOMINGO MIRO")</f>
        <v>ANNA DOMINGO MIRO</v>
      </c>
      <c r="B8709" s="7" t="str">
        <f>HYPERLINK("https://otsuka-europe-crm.veevavault.com/ui/#object/vcountry__v/VENZ000004SONF5", "ES")</f>
        <v>ES</v>
      </c>
      <c r="C8709" s="8" t="s">
        <v>39</v>
      </c>
      <c r="D8709" s="9" t="str">
        <f>HYPERLINK("https://otsuka-europe-crm.veevavault.com/ui/#object/approved_document__v/V5O00000000R009", "AM2M - PSIQUIATRIA - Guía manejo práctico AM2M")</f>
        <v>AM2M - PSIQUIATRIA - Guía manejo práctico AM2M</v>
      </c>
      <c r="E8709" s="10" t="str">
        <f>HYPERLINK("https://otsuka-europe-crm.veevavault.com/ui/#object/sent_email__v/VBL00000003H179", "SE-001448554")</f>
        <v>SE-001448554</v>
      </c>
      <c r="F8709" s="11"/>
      <c r="G8709" s="12">
        <v>0</v>
      </c>
      <c r="H8709" s="12">
        <v>0</v>
      </c>
      <c r="I8709" s="12">
        <v>0</v>
      </c>
      <c r="J8709" s="11"/>
      <c r="K8709" s="12">
        <v>0</v>
      </c>
      <c r="L8709" s="10" t="str">
        <f>HYPERLINK("https://otsuka-europe-crm.veevavault.com/ui/#object/approved_document__v/V5O00000000R009", "AM2M - PSIQUIATRIA - Guía manejo práctico AM2M")</f>
        <v>AM2M - PSIQUIATRIA - Guía manejo práctico AM2M</v>
      </c>
      <c r="M8709" s="10" t="str">
        <f>HYPERLINK("mailto:iortega@crm.otsuka-europe.com", "iortega@crm.otsuka-europe.com")</f>
        <v>iortega@crm.otsuka-europe.com</v>
      </c>
      <c r="N8709" s="13">
        <v>46234.428391203706</v>
      </c>
      <c r="O8709" s="14" t="str">
        <f>HYPERLINK("https://otsuka-europe-crm.veevavault.com/ui/#object/email_activity__v/V8C00000004G211", "EN-002110179")</f>
        <v>EN-002110179</v>
      </c>
    </row>
    <row r="8710" spans="1:15" ht="48" x14ac:dyDescent="0.2">
      <c r="A8710" s="7" t="str">
        <f>HYPERLINK("https://otsuka-europe-crm.veevavault.com/ui/#object/account__v/V4TZ06G6O71TC0K", "ALEXANDRA ROLDAN BEJARANO")</f>
        <v>ALEXANDRA ROLDAN BEJARANO</v>
      </c>
      <c r="B8710" s="7" t="str">
        <f>HYPERLINK("https://otsuka-europe-crm.veevavault.com/ui/#object/vcountry__v/VENZ000004SONF5", "ES")</f>
        <v>ES</v>
      </c>
      <c r="C8710" s="8" t="s">
        <v>39</v>
      </c>
      <c r="D8710" s="9" t="str">
        <f>HYPERLINK("https://otsuka-europe-crm.veevavault.com/ui/#object/approved_document__v/V5O00000000R009", "AM2M - PSIQUIATRIA - Guía manejo práctico AM2M")</f>
        <v>AM2M - PSIQUIATRIA - Guía manejo práctico AM2M</v>
      </c>
      <c r="E8710" s="10" t="str">
        <f>HYPERLINK("https://otsuka-europe-crm.veevavault.com/ui/#object/sent_email__v/VBL00000003H180", "SE-001448555")</f>
        <v>SE-001448555</v>
      </c>
      <c r="F8710" s="11"/>
      <c r="G8710" s="12">
        <v>0</v>
      </c>
      <c r="H8710" s="12">
        <v>0</v>
      </c>
      <c r="I8710" s="12">
        <v>0</v>
      </c>
      <c r="J8710" s="11"/>
      <c r="K8710" s="12">
        <v>0</v>
      </c>
      <c r="L8710" s="10" t="str">
        <f>HYPERLINK("https://otsuka-europe-crm.veevavault.com/ui/#object/approved_document__v/V5O00000000R009", "AM2M - PSIQUIATRIA - Guía manejo práctico AM2M")</f>
        <v>AM2M - PSIQUIATRIA - Guía manejo práctico AM2M</v>
      </c>
      <c r="M8710" s="10" t="str">
        <f>HYPERLINK("mailto:iortega@crm.otsuka-europe.com", "iortega@crm.otsuka-europe.com")</f>
        <v>iortega@crm.otsuka-europe.com</v>
      </c>
      <c r="N8710" s="13">
        <v>46234.428298611114</v>
      </c>
      <c r="O8710" s="14" t="str">
        <f>HYPERLINK("https://otsuka-europe-crm.veevavault.com/ui/#object/email_activity__v/V8C00000004F176", "EN-002110161")</f>
        <v>EN-002110161</v>
      </c>
    </row>
    <row r="8711" spans="1:15" ht="48" x14ac:dyDescent="0.2">
      <c r="A8711" s="7" t="str">
        <f>HYPERLINK("https://otsuka-europe-crm.veevavault.com/ui/#object/account__v/V4T00000001P177", "ALBA GARCIA SOLDADO")</f>
        <v>ALBA GARCIA SOLDADO</v>
      </c>
      <c r="B8711" s="7" t="str">
        <f>HYPERLINK("https://otsuka-europe-crm.veevavault.com/ui/#object/vcountry__v/VENZ000004SONF5", "ES")</f>
        <v>ES</v>
      </c>
      <c r="C8711" s="8" t="s">
        <v>39</v>
      </c>
      <c r="D8711" s="9" t="str">
        <f>HYPERLINK("https://otsuka-europe-crm.veevavault.com/ui/#object/approved_document__v/V5O00000000R009", "AM2M - PSIQUIATRIA - Guía manejo práctico AM2M")</f>
        <v>AM2M - PSIQUIATRIA - Guía manejo práctico AM2M</v>
      </c>
      <c r="E8711" s="10" t="str">
        <f>HYPERLINK("https://otsuka-europe-crm.veevavault.com/ui/#object/sent_email__v/VBL00000003H181", "SE-001448556")</f>
        <v>SE-001448556</v>
      </c>
      <c r="F8711" s="11"/>
      <c r="G8711" s="12">
        <v>0</v>
      </c>
      <c r="H8711" s="12">
        <v>0</v>
      </c>
      <c r="I8711" s="12">
        <v>0</v>
      </c>
      <c r="J8711" s="11"/>
      <c r="K8711" s="12">
        <v>0</v>
      </c>
      <c r="L8711" s="10" t="str">
        <f>HYPERLINK("https://otsuka-europe-crm.veevavault.com/ui/#object/approved_document__v/V5O00000000R009", "AM2M - PSIQUIATRIA - Guía manejo práctico AM2M")</f>
        <v>AM2M - PSIQUIATRIA - Guía manejo práctico AM2M</v>
      </c>
      <c r="M8711" s="10" t="str">
        <f>HYPERLINK("mailto:iortega@crm.otsuka-europe.com", "iortega@crm.otsuka-europe.com")</f>
        <v>iortega@crm.otsuka-europe.com</v>
      </c>
      <c r="N8711" s="13">
        <v>46234.428298611114</v>
      </c>
      <c r="O8711" s="14" t="str">
        <f>HYPERLINK("https://otsuka-europe-crm.veevavault.com/ui/#object/email_activity__v/V8C00000004F174", "EN-002110159")</f>
        <v>EN-002110159</v>
      </c>
    </row>
    <row r="8712" spans="1:15" ht="16" x14ac:dyDescent="0.2">
      <c r="A8712" s="18" t="str">
        <f>HYPERLINK("https://otsuka-europe-crm.veevavault.com/ui/#object/account__v/V4TZ06G6O71T82U", "ALBA TOLL PRIVAT")</f>
        <v>ALBA TOLL PRIVAT</v>
      </c>
      <c r="B8712" s="18" t="str">
        <f>HYPERLINK("https://otsuka-europe-crm.veevavault.com/ui/#object/vcountry__v/VENZ000004SONF5", "ES")</f>
        <v>ES</v>
      </c>
      <c r="C8712" s="20" t="s">
        <v>39</v>
      </c>
      <c r="D8712" s="21" t="str">
        <f>HYPERLINK("https://otsuka-europe-crm.veevavault.com/ui/#object/approved_document__v/V5O00000000R009", "AM2M - PSIQUIATRIA - Guía manejo práctico AM2M")</f>
        <v>AM2M - PSIQUIATRIA - Guía manejo práctico AM2M</v>
      </c>
      <c r="E8712" s="22" t="str">
        <f>HYPERLINK("https://otsuka-europe-crm.veevavault.com/ui/#object/sent_email__v/VBL00000003H182", "SE-001448557")</f>
        <v>SE-001448557</v>
      </c>
      <c r="F8712" s="23"/>
      <c r="G8712" s="24">
        <v>0</v>
      </c>
      <c r="H8712" s="24">
        <v>0</v>
      </c>
      <c r="I8712" s="24">
        <v>0</v>
      </c>
      <c r="J8712" s="23"/>
      <c r="K8712" s="24">
        <v>0</v>
      </c>
      <c r="L8712" s="22" t="str">
        <f>HYPERLINK("https://otsuka-europe-crm.veevavault.com/ui/#object/approved_document__v/V5O00000000R009", "AM2M - PSIQUIATRIA - Guía manejo práctico AM2M")</f>
        <v>AM2M - PSIQUIATRIA - Guía manejo práctico AM2M</v>
      </c>
      <c r="M8712" s="22" t="str">
        <f>HYPERLINK("mailto:iortega@crm.otsuka-europe.com", "iortega@crm.otsuka-europe.com")</f>
        <v>iortega@crm.otsuka-europe.com</v>
      </c>
      <c r="N8712" s="25">
        <v>46234.428298611114</v>
      </c>
      <c r="O8712" s="14" t="str">
        <f>HYPERLINK("https://otsuka-europe-crm.veevavault.com/ui/#object/email_activity__v/V8C00000004G193", "EN-002110152")</f>
        <v>EN-002110152</v>
      </c>
    </row>
    <row r="8713" spans="1:15" ht="16" x14ac:dyDescent="0.2">
      <c r="A8713" s="19"/>
      <c r="B8713" s="19"/>
      <c r="C8713" s="19"/>
      <c r="D8713" s="19"/>
      <c r="E8713" s="19"/>
      <c r="F8713" s="19"/>
      <c r="G8713" s="19"/>
      <c r="H8713" s="19"/>
      <c r="I8713" s="19"/>
      <c r="J8713" s="19"/>
      <c r="K8713" s="19"/>
      <c r="L8713" s="19"/>
      <c r="M8713" s="19"/>
      <c r="N8713" s="19"/>
      <c r="O8713" s="14" t="str">
        <f>HYPERLINK("https://otsuka-europe-crm.veevavault.com/ui/#object/email_activity__v/V8C00000004G598", "EN-002110787")</f>
        <v>EN-002110787</v>
      </c>
    </row>
    <row r="8714" spans="1:15" ht="48" x14ac:dyDescent="0.2">
      <c r="A8714" s="7" t="str">
        <f>HYPERLINK("https://otsuka-europe-crm.veevavault.com/ui/#object/account__v/V4TZ06G6O9665ME", "ALBA LLIMONA GONZALEZ")</f>
        <v>ALBA LLIMONA GONZALEZ</v>
      </c>
      <c r="B8714" s="7" t="str">
        <f>HYPERLINK("https://otsuka-europe-crm.veevavault.com/ui/#object/vcountry__v/VENZ000004SONF5", "ES")</f>
        <v>ES</v>
      </c>
      <c r="C8714" s="8" t="s">
        <v>39</v>
      </c>
      <c r="D8714" s="9" t="str">
        <f>HYPERLINK("https://otsuka-europe-crm.veevavault.com/ui/#object/approved_document__v/V5O00000000R009", "AM2M - PSIQUIATRIA - Guía manejo práctico AM2M")</f>
        <v>AM2M - PSIQUIATRIA - Guía manejo práctico AM2M</v>
      </c>
      <c r="E8714" s="10" t="str">
        <f>HYPERLINK("https://otsuka-europe-crm.veevavault.com/ui/#object/sent_email__v/VBL00000003H183", "SE-001448558")</f>
        <v>SE-001448558</v>
      </c>
      <c r="F8714" s="11"/>
      <c r="G8714" s="12">
        <v>0</v>
      </c>
      <c r="H8714" s="12">
        <v>0</v>
      </c>
      <c r="I8714" s="12">
        <v>0</v>
      </c>
      <c r="J8714" s="11"/>
      <c r="K8714" s="12">
        <v>0</v>
      </c>
      <c r="L8714" s="10" t="str">
        <f>HYPERLINK("https://otsuka-europe-crm.veevavault.com/ui/#object/approved_document__v/V5O00000000R009", "AM2M - PSIQUIATRIA - Guía manejo práctico AM2M")</f>
        <v>AM2M - PSIQUIATRIA - Guía manejo práctico AM2M</v>
      </c>
      <c r="M8714" s="10" t="str">
        <f>HYPERLINK("mailto:iortega@crm.otsuka-europe.com", "iortega@crm.otsuka-europe.com")</f>
        <v>iortega@crm.otsuka-europe.com</v>
      </c>
      <c r="N8714" s="13">
        <v>46234.428368055553</v>
      </c>
      <c r="O8714" s="14" t="str">
        <f>HYPERLINK("https://otsuka-europe-crm.veevavault.com/ui/#object/email_activity__v/V8C00000004G202", "EN-002110170")</f>
        <v>EN-002110170</v>
      </c>
    </row>
    <row r="8715" spans="1:15" ht="16" x14ac:dyDescent="0.2">
      <c r="A8715" s="18" t="str">
        <f>HYPERLINK("https://otsuka-europe-crm.veevavault.com/ui/#object/account__v/V4TZ025E87L5TXX", "BEATRIZ CARMEN GRANDA MORAN")</f>
        <v>BEATRIZ CARMEN GRANDA MORAN</v>
      </c>
      <c r="B8715" s="18" t="str">
        <f>HYPERLINK("https://otsuka-europe-crm.veevavault.com/ui/#object/vcountry__v/VENZ000004SONF5", "ES")</f>
        <v>ES</v>
      </c>
      <c r="C8715" s="20" t="s">
        <v>39</v>
      </c>
      <c r="D8715" s="21" t="str">
        <f>HYPERLINK("https://otsuka-europe-crm.veevavault.com/ui/#object/approved_document__v/V5O00000000R009", "AM2M - PSIQUIATRIA - Guía manejo práctico AM2M")</f>
        <v>AM2M - PSIQUIATRIA - Guía manejo práctico AM2M</v>
      </c>
      <c r="E8715" s="22" t="str">
        <f>HYPERLINK("https://otsuka-europe-crm.veevavault.com/ui/#object/sent_email__v/VBL00000003H184", "SE-001448559")</f>
        <v>SE-001448559</v>
      </c>
      <c r="F8715" s="25">
        <v>46235.653993055559</v>
      </c>
      <c r="G8715" s="24">
        <v>1</v>
      </c>
      <c r="H8715" s="24">
        <v>2</v>
      </c>
      <c r="I8715" s="24">
        <v>0</v>
      </c>
      <c r="J8715" s="23"/>
      <c r="K8715" s="24">
        <v>0</v>
      </c>
      <c r="L8715" s="22" t="str">
        <f>HYPERLINK("https://otsuka-europe-crm.veevavault.com/ui/#object/approved_document__v/V5O00000000R009", "AM2M - PSIQUIATRIA - Guía manejo práctico AM2M")</f>
        <v>AM2M - PSIQUIATRIA - Guía manejo práctico AM2M</v>
      </c>
      <c r="M8715" s="22" t="str">
        <f>HYPERLINK("mailto:iortega@crm.otsuka-europe.com", "iortega@crm.otsuka-europe.com")</f>
        <v>iortega@crm.otsuka-europe.com</v>
      </c>
      <c r="N8715" s="25">
        <v>46234.428368055553</v>
      </c>
      <c r="O8715" s="14" t="str">
        <f>HYPERLINK("https://otsuka-europe-crm.veevavault.com/ui/#object/email_activity__v/V8C00000004G204", "EN-002110172")</f>
        <v>EN-002110172</v>
      </c>
    </row>
    <row r="8716" spans="1:15" ht="16" x14ac:dyDescent="0.2">
      <c r="A8716" s="26"/>
      <c r="B8716" s="26"/>
      <c r="C8716" s="26"/>
      <c r="D8716" s="26"/>
      <c r="E8716" s="26"/>
      <c r="F8716" s="26"/>
      <c r="G8716" s="26"/>
      <c r="H8716" s="26"/>
      <c r="I8716" s="26"/>
      <c r="J8716" s="26"/>
      <c r="K8716" s="26"/>
      <c r="L8716" s="26"/>
      <c r="M8716" s="26"/>
      <c r="N8716" s="26"/>
      <c r="O8716" s="14" t="str">
        <f>HYPERLINK("https://otsuka-europe-crm.veevavault.com/ui/#object/email_activity__v/V8C00000004I035", "EN-002111046")</f>
        <v>EN-002111046</v>
      </c>
    </row>
    <row r="8717" spans="1:15" ht="16" x14ac:dyDescent="0.2">
      <c r="A8717" s="19"/>
      <c r="B8717" s="19"/>
      <c r="C8717" s="19"/>
      <c r="D8717" s="19"/>
      <c r="E8717" s="19"/>
      <c r="F8717" s="19"/>
      <c r="G8717" s="19"/>
      <c r="H8717" s="19"/>
      <c r="I8717" s="19"/>
      <c r="J8717" s="19"/>
      <c r="K8717" s="19"/>
      <c r="L8717" s="19"/>
      <c r="M8717" s="19"/>
      <c r="N8717" s="19"/>
      <c r="O8717" s="14" t="str">
        <f>HYPERLINK("https://otsuka-europe-crm.veevavault.com/ui/#object/email_activity__v/V8C00000004I036", "EN-002111047")</f>
        <v>EN-002111047</v>
      </c>
    </row>
    <row r="8718" spans="1:15" ht="16" x14ac:dyDescent="0.2">
      <c r="A8718" s="18" t="str">
        <f>HYPERLINK("https://otsuka-europe-crm.veevavault.com/ui/#object/account__v/V4TZ06G6O71TA9E", "ANA ISABEL IBAÑEZ CAPARROS")</f>
        <v>ANA ISABEL IBAÑEZ CAPARROS</v>
      </c>
      <c r="B8718" s="18" t="str">
        <f>HYPERLINK("https://otsuka-europe-crm.veevavault.com/ui/#object/vcountry__v/VENZ000004SONF5", "ES")</f>
        <v>ES</v>
      </c>
      <c r="C8718" s="20" t="s">
        <v>39</v>
      </c>
      <c r="D8718" s="21" t="str">
        <f>HYPERLINK("https://otsuka-europe-crm.veevavault.com/ui/#object/approved_document__v/V5O00000000R009", "AM2M - PSIQUIATRIA - Guía manejo práctico AM2M")</f>
        <v>AM2M - PSIQUIATRIA - Guía manejo práctico AM2M</v>
      </c>
      <c r="E8718" s="22" t="str">
        <f>HYPERLINK("https://otsuka-europe-crm.veevavault.com/ui/#object/sent_email__v/VBL00000003H185", "SE-001448560")</f>
        <v>SE-001448560</v>
      </c>
      <c r="F8718" s="25">
        <v>46234.432858796295</v>
      </c>
      <c r="G8718" s="24">
        <v>1</v>
      </c>
      <c r="H8718" s="24">
        <v>1</v>
      </c>
      <c r="I8718" s="24">
        <v>0</v>
      </c>
      <c r="J8718" s="23"/>
      <c r="K8718" s="24">
        <v>0</v>
      </c>
      <c r="L8718" s="22" t="str">
        <f>HYPERLINK("https://otsuka-europe-crm.veevavault.com/ui/#object/approved_document__v/V5O00000000R009", "AM2M - PSIQUIATRIA - Guía manejo práctico AM2M")</f>
        <v>AM2M - PSIQUIATRIA - Guía manejo práctico AM2M</v>
      </c>
      <c r="M8718" s="22" t="str">
        <f>HYPERLINK("mailto:iortega@crm.otsuka-europe.com", "iortega@crm.otsuka-europe.com")</f>
        <v>iortega@crm.otsuka-europe.com</v>
      </c>
      <c r="N8718" s="25">
        <v>46234.428368055553</v>
      </c>
      <c r="O8718" s="14" t="str">
        <f>HYPERLINK("https://otsuka-europe-crm.veevavault.com/ui/#object/email_activity__v/V8C00000004F243", "EN-002110283")</f>
        <v>EN-002110283</v>
      </c>
    </row>
    <row r="8719" spans="1:15" ht="16" x14ac:dyDescent="0.2">
      <c r="A8719" s="26"/>
      <c r="B8719" s="26"/>
      <c r="C8719" s="26"/>
      <c r="D8719" s="26"/>
      <c r="E8719" s="26"/>
      <c r="F8719" s="26"/>
      <c r="G8719" s="26"/>
      <c r="H8719" s="26"/>
      <c r="I8719" s="26"/>
      <c r="J8719" s="26"/>
      <c r="K8719" s="26"/>
      <c r="L8719" s="26"/>
      <c r="M8719" s="26"/>
      <c r="N8719" s="26"/>
      <c r="O8719" s="14" t="str">
        <f>HYPERLINK("https://otsuka-europe-crm.veevavault.com/ui/#object/email_activity__v/V8C00000004G198", "EN-002110157")</f>
        <v>EN-002110157</v>
      </c>
    </row>
    <row r="8720" spans="1:15" ht="16" x14ac:dyDescent="0.2">
      <c r="A8720" s="26"/>
      <c r="B8720" s="26"/>
      <c r="C8720" s="26"/>
      <c r="D8720" s="26"/>
      <c r="E8720" s="26"/>
      <c r="F8720" s="26"/>
      <c r="G8720" s="26"/>
      <c r="H8720" s="26"/>
      <c r="I8720" s="26"/>
      <c r="J8720" s="26"/>
      <c r="K8720" s="26"/>
      <c r="L8720" s="26"/>
      <c r="M8720" s="26"/>
      <c r="N8720" s="26"/>
      <c r="O8720" s="14" t="str">
        <f>HYPERLINK("https://otsuka-europe-crm.veevavault.com/ui/#object/email_activity__v/V8C00000004G581", "EN-002110762")</f>
        <v>EN-002110762</v>
      </c>
    </row>
    <row r="8721" spans="1:15" ht="16" x14ac:dyDescent="0.2">
      <c r="A8721" s="19"/>
      <c r="B8721" s="19"/>
      <c r="C8721" s="19"/>
      <c r="D8721" s="19"/>
      <c r="E8721" s="19"/>
      <c r="F8721" s="19"/>
      <c r="G8721" s="19"/>
      <c r="H8721" s="19"/>
      <c r="I8721" s="19"/>
      <c r="J8721" s="19"/>
      <c r="K8721" s="19"/>
      <c r="L8721" s="19"/>
      <c r="M8721" s="19"/>
      <c r="N8721" s="19"/>
      <c r="O8721" s="14" t="str">
        <f>HYPERLINK("https://otsuka-europe-crm.veevavault.com/ui/#object/email_activity__v/V8C00000004I077", "EN-002111134")</f>
        <v>EN-002111134</v>
      </c>
    </row>
    <row r="8722" spans="1:15" ht="48" x14ac:dyDescent="0.2">
      <c r="A8722" s="7" t="str">
        <f>HYPERLINK("https://otsuka-europe-crm.veevavault.com/ui/#object/account__v/V4TZ06G6O71T79O", "AGNES SABATE GOMEZ")</f>
        <v>AGNES SABATE GOMEZ</v>
      </c>
      <c r="B8722" s="7" t="str">
        <f t="shared" ref="B8722:B8729" si="315">HYPERLINK("https://otsuka-europe-crm.veevavault.com/ui/#object/vcountry__v/VENZ000004SONF5", "ES")</f>
        <v>ES</v>
      </c>
      <c r="C8722" s="8" t="s">
        <v>39</v>
      </c>
      <c r="D8722" s="9" t="str">
        <f t="shared" ref="D8722:D8729" si="316">HYPERLINK("https://otsuka-europe-crm.veevavault.com/ui/#object/approved_document__v/V5O00000000R009", "AM2M - PSIQUIATRIA - Guía manejo práctico AM2M")</f>
        <v>AM2M - PSIQUIATRIA - Guía manejo práctico AM2M</v>
      </c>
      <c r="E8722" s="10" t="str">
        <f>HYPERLINK("https://otsuka-europe-crm.veevavault.com/ui/#object/sent_email__v/VBL00000003H186", "SE-001448561")</f>
        <v>SE-001448561</v>
      </c>
      <c r="F8722" s="11"/>
      <c r="G8722" s="12">
        <v>0</v>
      </c>
      <c r="H8722" s="12">
        <v>0</v>
      </c>
      <c r="I8722" s="12">
        <v>0</v>
      </c>
      <c r="J8722" s="11"/>
      <c r="K8722" s="12">
        <v>0</v>
      </c>
      <c r="L8722" s="10" t="str">
        <f t="shared" ref="L8722:L8729" si="317">HYPERLINK("https://otsuka-europe-crm.veevavault.com/ui/#object/approved_document__v/V5O00000000R009", "AM2M - PSIQUIATRIA - Guía manejo práctico AM2M")</f>
        <v>AM2M - PSIQUIATRIA - Guía manejo práctico AM2M</v>
      </c>
      <c r="M8722" s="10" t="str">
        <f t="shared" ref="M8722:M8729" si="318">HYPERLINK("mailto:iortega@crm.otsuka-europe.com", "iortega@crm.otsuka-europe.com")</f>
        <v>iortega@crm.otsuka-europe.com</v>
      </c>
      <c r="N8722" s="13">
        <v>46234.428368055553</v>
      </c>
      <c r="O8722" s="14" t="str">
        <f>HYPERLINK("https://otsuka-europe-crm.veevavault.com/ui/#object/email_activity__v/V8C00000004F184", "EN-002110186")</f>
        <v>EN-002110186</v>
      </c>
    </row>
    <row r="8723" spans="1:15" ht="48" x14ac:dyDescent="0.2">
      <c r="A8723" s="7" t="str">
        <f>HYPERLINK("https://otsuka-europe-crm.veevavault.com/ui/#object/account__v/V4TZ06G6OA5TFU7", "AUREA FERNANDEZ RIBAS")</f>
        <v>AUREA FERNANDEZ RIBAS</v>
      </c>
      <c r="B8723" s="7" t="str">
        <f t="shared" si="315"/>
        <v>ES</v>
      </c>
      <c r="C8723" s="8" t="s">
        <v>39</v>
      </c>
      <c r="D8723" s="9" t="str">
        <f t="shared" si="316"/>
        <v>AM2M - PSIQUIATRIA - Guía manejo práctico AM2M</v>
      </c>
      <c r="E8723" s="10" t="str">
        <f>HYPERLINK("https://otsuka-europe-crm.veevavault.com/ui/#object/sent_email__v/VBL00000003H187", "SE-001448562")</f>
        <v>SE-001448562</v>
      </c>
      <c r="F8723" s="11"/>
      <c r="G8723" s="12">
        <v>0</v>
      </c>
      <c r="H8723" s="12">
        <v>0</v>
      </c>
      <c r="I8723" s="12">
        <v>0</v>
      </c>
      <c r="J8723" s="11"/>
      <c r="K8723" s="12">
        <v>0</v>
      </c>
      <c r="L8723" s="10" t="str">
        <f t="shared" si="317"/>
        <v>AM2M - PSIQUIATRIA - Guía manejo práctico AM2M</v>
      </c>
      <c r="M8723" s="10" t="str">
        <f t="shared" si="318"/>
        <v>iortega@crm.otsuka-europe.com</v>
      </c>
      <c r="N8723" s="13">
        <v>46234.428368055553</v>
      </c>
      <c r="O8723" s="14" t="str">
        <f>HYPERLINK("https://otsuka-europe-crm.veevavault.com/ui/#object/email_activity__v/V8C00000004G208", "EN-002110176")</f>
        <v>EN-002110176</v>
      </c>
    </row>
    <row r="8724" spans="1:15" ht="48" x14ac:dyDescent="0.2">
      <c r="A8724" s="7" t="str">
        <f>HYPERLINK("https://otsuka-europe-crm.veevavault.com/ui/#object/account__v/V4TZ025E87MB7R9", "ALEJANDRO MARTIN MORENO")</f>
        <v>ALEJANDRO MARTIN MORENO</v>
      </c>
      <c r="B8724" s="7" t="str">
        <f t="shared" si="315"/>
        <v>ES</v>
      </c>
      <c r="C8724" s="8" t="s">
        <v>39</v>
      </c>
      <c r="D8724" s="9" t="str">
        <f t="shared" si="316"/>
        <v>AM2M - PSIQUIATRIA - Guía manejo práctico AM2M</v>
      </c>
      <c r="E8724" s="10" t="str">
        <f>HYPERLINK("https://otsuka-europe-crm.veevavault.com/ui/#object/sent_email__v/VBL00000003H188", "SE-001448563")</f>
        <v>SE-001448563</v>
      </c>
      <c r="F8724" s="11"/>
      <c r="G8724" s="12">
        <v>0</v>
      </c>
      <c r="H8724" s="12">
        <v>0</v>
      </c>
      <c r="I8724" s="12">
        <v>0</v>
      </c>
      <c r="J8724" s="11"/>
      <c r="K8724" s="12">
        <v>0</v>
      </c>
      <c r="L8724" s="10" t="str">
        <f t="shared" si="317"/>
        <v>AM2M - PSIQUIATRIA - Guía manejo práctico AM2M</v>
      </c>
      <c r="M8724" s="10" t="str">
        <f t="shared" si="318"/>
        <v>iortega@crm.otsuka-europe.com</v>
      </c>
      <c r="N8724" s="13">
        <v>46234.428368055553</v>
      </c>
      <c r="O8724" s="14" t="str">
        <f>HYPERLINK("https://otsuka-europe-crm.veevavault.com/ui/#object/email_activity__v/V8C00000004G206", "EN-002110174")</f>
        <v>EN-002110174</v>
      </c>
    </row>
    <row r="8725" spans="1:15" ht="48" x14ac:dyDescent="0.2">
      <c r="A8725" s="7" t="str">
        <f>HYPERLINK("https://otsuka-europe-crm.veevavault.com/ui/#object/account__v/V4TZ06G6O9VFBP7", "AGUSTIN RAMIRO NARVAJA LUNA")</f>
        <v>AGUSTIN RAMIRO NARVAJA LUNA</v>
      </c>
      <c r="B8725" s="7" t="str">
        <f t="shared" si="315"/>
        <v>ES</v>
      </c>
      <c r="C8725" s="8" t="s">
        <v>39</v>
      </c>
      <c r="D8725" s="9" t="str">
        <f t="shared" si="316"/>
        <v>AM2M - PSIQUIATRIA - Guía manejo práctico AM2M</v>
      </c>
      <c r="E8725" s="10" t="str">
        <f>HYPERLINK("https://otsuka-europe-crm.veevavault.com/ui/#object/sent_email__v/VBL00000003H189", "SE-001448564")</f>
        <v>SE-001448564</v>
      </c>
      <c r="F8725" s="11"/>
      <c r="G8725" s="12">
        <v>0</v>
      </c>
      <c r="H8725" s="12">
        <v>0</v>
      </c>
      <c r="I8725" s="12">
        <v>0</v>
      </c>
      <c r="J8725" s="11"/>
      <c r="K8725" s="12">
        <v>0</v>
      </c>
      <c r="L8725" s="10" t="str">
        <f t="shared" si="317"/>
        <v>AM2M - PSIQUIATRIA - Guía manejo práctico AM2M</v>
      </c>
      <c r="M8725" s="10" t="str">
        <f t="shared" si="318"/>
        <v>iortega@crm.otsuka-europe.com</v>
      </c>
      <c r="N8725" s="13">
        <v>46234.428368055553</v>
      </c>
      <c r="O8725" s="14" t="str">
        <f>HYPERLINK("https://otsuka-europe-crm.veevavault.com/ui/#object/email_activity__v/V8C00000004F180", "EN-002110167")</f>
        <v>EN-002110167</v>
      </c>
    </row>
    <row r="8726" spans="1:15" ht="48" x14ac:dyDescent="0.2">
      <c r="A8726" s="7" t="str">
        <f>HYPERLINK("https://otsuka-europe-crm.veevavault.com/ui/#object/account__v/V4TZ06G6O71TB3R", "ANA MARTIN BLANCO")</f>
        <v>ANA MARTIN BLANCO</v>
      </c>
      <c r="B8726" s="7" t="str">
        <f t="shared" si="315"/>
        <v>ES</v>
      </c>
      <c r="C8726" s="8" t="s">
        <v>39</v>
      </c>
      <c r="D8726" s="9" t="str">
        <f t="shared" si="316"/>
        <v>AM2M - PSIQUIATRIA - Guía manejo práctico AM2M</v>
      </c>
      <c r="E8726" s="10" t="str">
        <f>HYPERLINK("https://otsuka-europe-crm.veevavault.com/ui/#object/sent_email__v/VBL00000003H190", "SE-001448565")</f>
        <v>SE-001448565</v>
      </c>
      <c r="F8726" s="11"/>
      <c r="G8726" s="12">
        <v>0</v>
      </c>
      <c r="H8726" s="12">
        <v>0</v>
      </c>
      <c r="I8726" s="12">
        <v>0</v>
      </c>
      <c r="J8726" s="11"/>
      <c r="K8726" s="12">
        <v>0</v>
      </c>
      <c r="L8726" s="10" t="str">
        <f t="shared" si="317"/>
        <v>AM2M - PSIQUIATRIA - Guía manejo práctico AM2M</v>
      </c>
      <c r="M8726" s="10" t="str">
        <f t="shared" si="318"/>
        <v>iortega@crm.otsuka-europe.com</v>
      </c>
      <c r="N8726" s="13">
        <v>46234.428368055553</v>
      </c>
      <c r="O8726" s="14" t="str">
        <f>HYPERLINK("https://otsuka-europe-crm.veevavault.com/ui/#object/email_activity__v/V8C00000004G195", "EN-002110154")</f>
        <v>EN-002110154</v>
      </c>
    </row>
    <row r="8727" spans="1:15" ht="48" x14ac:dyDescent="0.2">
      <c r="A8727" s="7" t="str">
        <f>HYPERLINK("https://otsuka-europe-crm.veevavault.com/ui/#object/account__v/V4TZ06G6O71T8HM", "AINA AVILA PARCET")</f>
        <v>AINA AVILA PARCET</v>
      </c>
      <c r="B8727" s="7" t="str">
        <f t="shared" si="315"/>
        <v>ES</v>
      </c>
      <c r="C8727" s="8" t="s">
        <v>39</v>
      </c>
      <c r="D8727" s="9" t="str">
        <f t="shared" si="316"/>
        <v>AM2M - PSIQUIATRIA - Guía manejo práctico AM2M</v>
      </c>
      <c r="E8727" s="10" t="str">
        <f>HYPERLINK("https://otsuka-europe-crm.veevavault.com/ui/#object/sent_email__v/VBL00000003H191", "SE-001448566")</f>
        <v>SE-001448566</v>
      </c>
      <c r="F8727" s="11"/>
      <c r="G8727" s="12">
        <v>0</v>
      </c>
      <c r="H8727" s="12">
        <v>0</v>
      </c>
      <c r="I8727" s="12">
        <v>0</v>
      </c>
      <c r="J8727" s="11"/>
      <c r="K8727" s="12">
        <v>0</v>
      </c>
      <c r="L8727" s="10" t="str">
        <f t="shared" si="317"/>
        <v>AM2M - PSIQUIATRIA - Guía manejo práctico AM2M</v>
      </c>
      <c r="M8727" s="10" t="str">
        <f t="shared" si="318"/>
        <v>iortega@crm.otsuka-europe.com</v>
      </c>
      <c r="N8727" s="13">
        <v>46234.428368055553</v>
      </c>
      <c r="O8727" s="14" t="str">
        <f>HYPERLINK("https://otsuka-europe-crm.veevavault.com/ui/#object/email_activity__v/V8C00000004F187", "EN-002110189")</f>
        <v>EN-002110189</v>
      </c>
    </row>
    <row r="8728" spans="1:15" ht="48" x14ac:dyDescent="0.2">
      <c r="A8728" s="7" t="str">
        <f>HYPERLINK("https://otsuka-europe-crm.veevavault.com/ui/#object/account__v/V4TZ06G6O9BUKMH", "ALEJANDRA GARCIA GUIX")</f>
        <v>ALEJANDRA GARCIA GUIX</v>
      </c>
      <c r="B8728" s="7" t="str">
        <f t="shared" si="315"/>
        <v>ES</v>
      </c>
      <c r="C8728" s="8" t="s">
        <v>39</v>
      </c>
      <c r="D8728" s="9" t="str">
        <f t="shared" si="316"/>
        <v>AM2M - PSIQUIATRIA - Guía manejo práctico AM2M</v>
      </c>
      <c r="E8728" s="10" t="str">
        <f>HYPERLINK("https://otsuka-europe-crm.veevavault.com/ui/#object/sent_email__v/VBL00000003H192", "SE-001448567")</f>
        <v>SE-001448567</v>
      </c>
      <c r="F8728" s="11"/>
      <c r="G8728" s="12">
        <v>0</v>
      </c>
      <c r="H8728" s="12">
        <v>0</v>
      </c>
      <c r="I8728" s="12">
        <v>0</v>
      </c>
      <c r="J8728" s="11"/>
      <c r="K8728" s="12">
        <v>0</v>
      </c>
      <c r="L8728" s="10" t="str">
        <f t="shared" si="317"/>
        <v>AM2M - PSIQUIATRIA - Guía manejo práctico AM2M</v>
      </c>
      <c r="M8728" s="10" t="str">
        <f t="shared" si="318"/>
        <v>iortega@crm.otsuka-europe.com</v>
      </c>
      <c r="N8728" s="13">
        <v>46234.428368055553</v>
      </c>
      <c r="O8728" s="14" t="str">
        <f>HYPERLINK("https://otsuka-europe-crm.veevavault.com/ui/#object/email_activity__v/V8C00000004G207", "EN-002110175")</f>
        <v>EN-002110175</v>
      </c>
    </row>
    <row r="8729" spans="1:15" ht="16" x14ac:dyDescent="0.2">
      <c r="A8729" s="18" t="str">
        <f>HYPERLINK("https://otsuka-europe-crm.veevavault.com/ui/#object/account__v/V4TZ06G6O71T7BB", "ANA MARIA ROMAGUERA PIÑOL")</f>
        <v>ANA MARIA ROMAGUERA PIÑOL</v>
      </c>
      <c r="B8729" s="18" t="str">
        <f t="shared" si="315"/>
        <v>ES</v>
      </c>
      <c r="C8729" s="20" t="s">
        <v>39</v>
      </c>
      <c r="D8729" s="21" t="str">
        <f t="shared" si="316"/>
        <v>AM2M - PSIQUIATRIA - Guía manejo práctico AM2M</v>
      </c>
      <c r="E8729" s="22" t="str">
        <f>HYPERLINK("https://otsuka-europe-crm.veevavault.com/ui/#object/sent_email__v/VBL00000003H193", "SE-001448568")</f>
        <v>SE-001448568</v>
      </c>
      <c r="F8729" s="25">
        <v>46234.431331018517</v>
      </c>
      <c r="G8729" s="24">
        <v>1</v>
      </c>
      <c r="H8729" s="24">
        <v>2</v>
      </c>
      <c r="I8729" s="24">
        <v>0</v>
      </c>
      <c r="J8729" s="23"/>
      <c r="K8729" s="24">
        <v>0</v>
      </c>
      <c r="L8729" s="22" t="str">
        <f t="shared" si="317"/>
        <v>AM2M - PSIQUIATRIA - Guía manejo práctico AM2M</v>
      </c>
      <c r="M8729" s="22" t="str">
        <f t="shared" si="318"/>
        <v>iortega@crm.otsuka-europe.com</v>
      </c>
      <c r="N8729" s="25">
        <v>46234.428368055553</v>
      </c>
      <c r="O8729" s="14" t="str">
        <f>HYPERLINK("https://otsuka-europe-crm.veevavault.com/ui/#object/email_activity__v/V8C00000004F211", "EN-002110237")</f>
        <v>EN-002110237</v>
      </c>
    </row>
    <row r="8730" spans="1:15" ht="16" x14ac:dyDescent="0.2">
      <c r="A8730" s="26"/>
      <c r="B8730" s="26"/>
      <c r="C8730" s="26"/>
      <c r="D8730" s="26"/>
      <c r="E8730" s="26"/>
      <c r="F8730" s="26"/>
      <c r="G8730" s="26"/>
      <c r="H8730" s="26"/>
      <c r="I8730" s="26"/>
      <c r="J8730" s="26"/>
      <c r="K8730" s="26"/>
      <c r="L8730" s="26"/>
      <c r="M8730" s="26"/>
      <c r="N8730" s="26"/>
      <c r="O8730" s="14" t="str">
        <f>HYPERLINK("https://otsuka-europe-crm.veevavault.com/ui/#object/email_activity__v/V8C00000004G197", "EN-002110156")</f>
        <v>EN-002110156</v>
      </c>
    </row>
    <row r="8731" spans="1:15" ht="16" x14ac:dyDescent="0.2">
      <c r="A8731" s="19"/>
      <c r="B8731" s="19"/>
      <c r="C8731" s="19"/>
      <c r="D8731" s="19"/>
      <c r="E8731" s="19"/>
      <c r="F8731" s="19"/>
      <c r="G8731" s="19"/>
      <c r="H8731" s="19"/>
      <c r="I8731" s="19"/>
      <c r="J8731" s="19"/>
      <c r="K8731" s="19"/>
      <c r="L8731" s="19"/>
      <c r="M8731" s="19"/>
      <c r="N8731" s="19"/>
      <c r="O8731" s="14" t="str">
        <f>HYPERLINK("https://otsuka-europe-crm.veevavault.com/ui/#object/email_activity__v/V8C00000004G216", "EN-002110184")</f>
        <v>EN-002110184</v>
      </c>
    </row>
    <row r="8732" spans="1:15" ht="16" x14ac:dyDescent="0.2">
      <c r="A8732" s="18" t="str">
        <f>HYPERLINK("https://otsuka-europe-crm.veevavault.com/ui/#object/account__v/V4TZ06G6O8IV4TX", "ARNALDO JORDAN ALFONSO RECALDE")</f>
        <v>ARNALDO JORDAN ALFONSO RECALDE</v>
      </c>
      <c r="B8732" s="18" t="str">
        <f>HYPERLINK("https://otsuka-europe-crm.veevavault.com/ui/#object/vcountry__v/VENZ000004SONF5", "ES")</f>
        <v>ES</v>
      </c>
      <c r="C8732" s="20" t="s">
        <v>39</v>
      </c>
      <c r="D8732" s="21" t="str">
        <f>HYPERLINK("https://otsuka-europe-crm.veevavault.com/ui/#object/approved_document__v/V5O00000000R009", "AM2M - PSIQUIATRIA - Guía manejo práctico AM2M")</f>
        <v>AM2M - PSIQUIATRIA - Guía manejo práctico AM2M</v>
      </c>
      <c r="E8732" s="22" t="str">
        <f>HYPERLINK("https://otsuka-europe-crm.veevavault.com/ui/#object/sent_email__v/VBL00000003H194", "SE-001448569")</f>
        <v>SE-001448569</v>
      </c>
      <c r="F8732" s="25">
        <v>46235.709699074076</v>
      </c>
      <c r="G8732" s="24">
        <v>1</v>
      </c>
      <c r="H8732" s="24">
        <v>1</v>
      </c>
      <c r="I8732" s="24">
        <v>0</v>
      </c>
      <c r="J8732" s="23"/>
      <c r="K8732" s="24">
        <v>0</v>
      </c>
      <c r="L8732" s="22" t="str">
        <f>HYPERLINK("https://otsuka-europe-crm.veevavault.com/ui/#object/approved_document__v/V5O00000000R009", "AM2M - PSIQUIATRIA - Guía manejo práctico AM2M")</f>
        <v>AM2M - PSIQUIATRIA - Guía manejo práctico AM2M</v>
      </c>
      <c r="M8732" s="22" t="str">
        <f>HYPERLINK("mailto:iortega@crm.otsuka-europe.com", "iortega@crm.otsuka-europe.com")</f>
        <v>iortega@crm.otsuka-europe.com</v>
      </c>
      <c r="N8732" s="25">
        <v>46234.428368055553</v>
      </c>
      <c r="O8732" s="14" t="str">
        <f>HYPERLINK("https://otsuka-europe-crm.veevavault.com/ui/#object/email_activity__v/V8C00000004G209", "EN-002110177")</f>
        <v>EN-002110177</v>
      </c>
    </row>
    <row r="8733" spans="1:15" ht="16" x14ac:dyDescent="0.2">
      <c r="A8733" s="19"/>
      <c r="B8733" s="19"/>
      <c r="C8733" s="19"/>
      <c r="D8733" s="19"/>
      <c r="E8733" s="19"/>
      <c r="F8733" s="19"/>
      <c r="G8733" s="19"/>
      <c r="H8733" s="19"/>
      <c r="I8733" s="19"/>
      <c r="J8733" s="19"/>
      <c r="K8733" s="19"/>
      <c r="L8733" s="19"/>
      <c r="M8733" s="19"/>
      <c r="N8733" s="19"/>
      <c r="O8733" s="14" t="str">
        <f>HYPERLINK("https://otsuka-europe-crm.veevavault.com/ui/#object/email_activity__v/V8C00000004H063", "EN-002111049")</f>
        <v>EN-002111049</v>
      </c>
    </row>
    <row r="8734" spans="1:15" ht="48" x14ac:dyDescent="0.2">
      <c r="A8734" s="7" t="str">
        <f>HYPERLINK("https://otsuka-europe-crm.veevavault.com/ui/#object/account__v/V4TZ06G6OC91UED", "DANIEL GUINART MULERO")</f>
        <v>DANIEL GUINART MULERO</v>
      </c>
      <c r="B8734" s="7" t="str">
        <f>HYPERLINK("https://otsuka-europe-crm.veevavault.com/ui/#object/vcountry__v/VENZ000004SONF5", "ES")</f>
        <v>ES</v>
      </c>
      <c r="C8734" s="8" t="s">
        <v>39</v>
      </c>
      <c r="D8734" s="9" t="str">
        <f>HYPERLINK("https://otsuka-europe-crm.veevavault.com/ui/#object/approved_document__v/V5O00000000R009", "AM2M - PSIQUIATRIA - Guía manejo práctico AM2M")</f>
        <v>AM2M - PSIQUIATRIA - Guía manejo práctico AM2M</v>
      </c>
      <c r="E8734" s="10" t="str">
        <f>HYPERLINK("https://otsuka-europe-crm.veevavault.com/ui/#object/sent_email__v/VBL00000003G079", "SE-001448570")</f>
        <v>SE-001448570</v>
      </c>
      <c r="F8734" s="11"/>
      <c r="G8734" s="12">
        <v>0</v>
      </c>
      <c r="H8734" s="12">
        <v>0</v>
      </c>
      <c r="I8734" s="12">
        <v>0</v>
      </c>
      <c r="J8734" s="11"/>
      <c r="K8734" s="12">
        <v>0</v>
      </c>
      <c r="L8734" s="10" t="str">
        <f>HYPERLINK("https://otsuka-europe-crm.veevavault.com/ui/#object/approved_document__v/V5O00000000R009", "AM2M - PSIQUIATRIA - Guía manejo práctico AM2M")</f>
        <v>AM2M - PSIQUIATRIA - Guía manejo práctico AM2M</v>
      </c>
      <c r="M8734" s="10" t="str">
        <f>HYPERLINK("mailto:iortega@crm.otsuka-europe.com", "iortega@crm.otsuka-europe.com")</f>
        <v>iortega@crm.otsuka-europe.com</v>
      </c>
      <c r="N8734" s="13">
        <v>46234.430902777778</v>
      </c>
      <c r="O8734" s="14" t="str">
        <f>HYPERLINK("https://otsuka-europe-crm.veevavault.com/ui/#object/email_activity__v/V8C00000004F196", "EN-002110198")</f>
        <v>EN-002110198</v>
      </c>
    </row>
    <row r="8735" spans="1:15" ht="16" x14ac:dyDescent="0.2">
      <c r="A8735" s="18" t="str">
        <f>HYPERLINK("https://otsuka-europe-crm.veevavault.com/ui/#object/account__v/V4TZ06G6O71T8HT", "CLARA ISERN TENA")</f>
        <v>CLARA ISERN TENA</v>
      </c>
      <c r="B8735" s="18" t="str">
        <f>HYPERLINK("https://otsuka-europe-crm.veevavault.com/ui/#object/vcountry__v/VENZ000004SONF5", "ES")</f>
        <v>ES</v>
      </c>
      <c r="C8735" s="20" t="s">
        <v>39</v>
      </c>
      <c r="D8735" s="21" t="str">
        <f>HYPERLINK("https://otsuka-europe-crm.veevavault.com/ui/#object/approved_document__v/V5O00000000R009", "AM2M - PSIQUIATRIA - Guía manejo práctico AM2M")</f>
        <v>AM2M - PSIQUIATRIA - Guía manejo práctico AM2M</v>
      </c>
      <c r="E8735" s="22" t="str">
        <f>HYPERLINK("https://otsuka-europe-crm.veevavault.com/ui/#object/sent_email__v/VBL00000003G080", "SE-001448571")</f>
        <v>SE-001448571</v>
      </c>
      <c r="F8735" s="23"/>
      <c r="G8735" s="24">
        <v>0</v>
      </c>
      <c r="H8735" s="24">
        <v>0</v>
      </c>
      <c r="I8735" s="24">
        <v>0</v>
      </c>
      <c r="J8735" s="23"/>
      <c r="K8735" s="24">
        <v>0</v>
      </c>
      <c r="L8735" s="22" t="str">
        <f>HYPERLINK("https://otsuka-europe-crm.veevavault.com/ui/#object/approved_document__v/V5O00000000R009", "AM2M - PSIQUIATRIA - Guía manejo práctico AM2M")</f>
        <v>AM2M - PSIQUIATRIA - Guía manejo práctico AM2M</v>
      </c>
      <c r="M8735" s="22" t="str">
        <f>HYPERLINK("mailto:iortega@crm.otsuka-europe.com", "iortega@crm.otsuka-europe.com")</f>
        <v>iortega@crm.otsuka-europe.com</v>
      </c>
      <c r="N8735" s="25">
        <v>46234.431030092594</v>
      </c>
      <c r="O8735" s="14" t="str">
        <f>HYPERLINK("https://otsuka-europe-crm.veevavault.com/ui/#object/email_activity__v/V8C00000004G225", "EN-002110208")</f>
        <v>EN-002110208</v>
      </c>
    </row>
    <row r="8736" spans="1:15" ht="16" x14ac:dyDescent="0.2">
      <c r="A8736" s="19"/>
      <c r="B8736" s="19"/>
      <c r="C8736" s="19"/>
      <c r="D8736" s="19"/>
      <c r="E8736" s="19"/>
      <c r="F8736" s="19"/>
      <c r="G8736" s="19"/>
      <c r="H8736" s="19"/>
      <c r="I8736" s="19"/>
      <c r="J8736" s="19"/>
      <c r="K8736" s="19"/>
      <c r="L8736" s="19"/>
      <c r="M8736" s="19"/>
      <c r="N8736" s="19"/>
      <c r="O8736" s="14" t="str">
        <f>HYPERLINK("https://otsuka-europe-crm.veevavault.com/ui/#object/email_activity__v/V8C00000004H350", "EN-002111568")</f>
        <v>EN-002111568</v>
      </c>
    </row>
    <row r="8737" spans="1:15" ht="16" x14ac:dyDescent="0.2">
      <c r="A8737" s="18" t="str">
        <f>HYPERLINK("https://otsuka-europe-crm.veevavault.com/ui/#object/account__v/V4TZ06G6O71T9JU", "CRISTINA BOIX ABAD")</f>
        <v>CRISTINA BOIX ABAD</v>
      </c>
      <c r="B8737" s="18" t="str">
        <f>HYPERLINK("https://otsuka-europe-crm.veevavault.com/ui/#object/vcountry__v/VENZ000004SONF5", "ES")</f>
        <v>ES</v>
      </c>
      <c r="C8737" s="20" t="s">
        <v>39</v>
      </c>
      <c r="D8737" s="21" t="str">
        <f>HYPERLINK("https://otsuka-europe-crm.veevavault.com/ui/#object/approved_document__v/V5O00000000R009", "AM2M - PSIQUIATRIA - Guía manejo práctico AM2M")</f>
        <v>AM2M - PSIQUIATRIA - Guía manejo práctico AM2M</v>
      </c>
      <c r="E8737" s="22" t="str">
        <f>HYPERLINK("https://otsuka-europe-crm.veevavault.com/ui/#object/sent_email__v/VBL00000003G081", "SE-001448572")</f>
        <v>SE-001448572</v>
      </c>
      <c r="F8737" s="23"/>
      <c r="G8737" s="24">
        <v>0</v>
      </c>
      <c r="H8737" s="24">
        <v>0</v>
      </c>
      <c r="I8737" s="24">
        <v>0</v>
      </c>
      <c r="J8737" s="23"/>
      <c r="K8737" s="24">
        <v>0</v>
      </c>
      <c r="L8737" s="22" t="str">
        <f>HYPERLINK("https://otsuka-europe-crm.veevavault.com/ui/#object/approved_document__v/V5O00000000R009", "AM2M - PSIQUIATRIA - Guía manejo práctico AM2M")</f>
        <v>AM2M - PSIQUIATRIA - Guía manejo práctico AM2M</v>
      </c>
      <c r="M8737" s="22" t="str">
        <f>HYPERLINK("mailto:iortega@crm.otsuka-europe.com", "iortega@crm.otsuka-europe.com")</f>
        <v>iortega@crm.otsuka-europe.com</v>
      </c>
      <c r="N8737" s="25">
        <v>46234.431030092594</v>
      </c>
      <c r="O8737" s="14" t="str">
        <f>HYPERLINK("https://otsuka-europe-crm.veevavault.com/ui/#object/email_activity__v/V8C00000004F204", "EN-002110220")</f>
        <v>EN-002110220</v>
      </c>
    </row>
    <row r="8738" spans="1:15" ht="16" x14ac:dyDescent="0.2">
      <c r="A8738" s="19"/>
      <c r="B8738" s="19"/>
      <c r="C8738" s="19"/>
      <c r="D8738" s="19"/>
      <c r="E8738" s="19"/>
      <c r="F8738" s="19"/>
      <c r="G8738" s="19"/>
      <c r="H8738" s="19"/>
      <c r="I8738" s="19"/>
      <c r="J8738" s="19"/>
      <c r="K8738" s="19"/>
      <c r="L8738" s="19"/>
      <c r="M8738" s="19"/>
      <c r="N8738" s="19"/>
      <c r="O8738" s="14" t="str">
        <f>HYPERLINK("https://otsuka-europe-crm.veevavault.com/ui/#object/email_activity__v/V8C00000004F408", "EN-002110791")</f>
        <v>EN-002110791</v>
      </c>
    </row>
    <row r="8739" spans="1:15" ht="48" x14ac:dyDescent="0.2">
      <c r="A8739" s="7" t="str">
        <f>HYPERLINK("https://otsuka-europe-crm.veevavault.com/ui/#object/account__v/V4TZ025E890PNL5", "DANIEL FELIPE GARZON ZABALA")</f>
        <v>DANIEL FELIPE GARZON ZABALA</v>
      </c>
      <c r="B8739" s="7" t="str">
        <f>HYPERLINK("https://otsuka-europe-crm.veevavault.com/ui/#object/vcountry__v/VENZ000004SONF5", "ES")</f>
        <v>ES</v>
      </c>
      <c r="C8739" s="8" t="s">
        <v>39</v>
      </c>
      <c r="D8739" s="9" t="str">
        <f>HYPERLINK("https://otsuka-europe-crm.veevavault.com/ui/#object/approved_document__v/V5O00000000R009", "AM2M - PSIQUIATRIA - Guía manejo práctico AM2M")</f>
        <v>AM2M - PSIQUIATRIA - Guía manejo práctico AM2M</v>
      </c>
      <c r="E8739" s="10" t="str">
        <f>HYPERLINK("https://otsuka-europe-crm.veevavault.com/ui/#object/sent_email__v/VBL00000003G082", "SE-001448573")</f>
        <v>SE-001448573</v>
      </c>
      <c r="F8739" s="11"/>
      <c r="G8739" s="12">
        <v>0</v>
      </c>
      <c r="H8739" s="12">
        <v>0</v>
      </c>
      <c r="I8739" s="12">
        <v>0</v>
      </c>
      <c r="J8739" s="11"/>
      <c r="K8739" s="12">
        <v>0</v>
      </c>
      <c r="L8739" s="10" t="str">
        <f>HYPERLINK("https://otsuka-europe-crm.veevavault.com/ui/#object/approved_document__v/V5O00000000R009", "AM2M - PSIQUIATRIA - Guía manejo práctico AM2M")</f>
        <v>AM2M - PSIQUIATRIA - Guía manejo práctico AM2M</v>
      </c>
      <c r="M8739" s="10" t="str">
        <f>HYPERLINK("mailto:iortega@crm.otsuka-europe.com", "iortega@crm.otsuka-europe.com")</f>
        <v>iortega@crm.otsuka-europe.com</v>
      </c>
      <c r="N8739" s="13">
        <v>46234.431030092594</v>
      </c>
      <c r="O8739" s="14" t="str">
        <f>HYPERLINK("https://otsuka-europe-crm.veevavault.com/ui/#object/email_activity__v/V8C00000004F203", "EN-002110219")</f>
        <v>EN-002110219</v>
      </c>
    </row>
    <row r="8740" spans="1:15" ht="48" x14ac:dyDescent="0.2">
      <c r="A8740" s="7" t="str">
        <f>HYPERLINK("https://otsuka-europe-crm.veevavault.com/ui/#object/account__v/V4TZ06G6O71T7P8", "CLARA MONTSERRAT DIEZ")</f>
        <v>CLARA MONTSERRAT DIEZ</v>
      </c>
      <c r="B8740" s="7" t="str">
        <f>HYPERLINK("https://otsuka-europe-crm.veevavault.com/ui/#object/vcountry__v/VENZ000004SONF5", "ES")</f>
        <v>ES</v>
      </c>
      <c r="C8740" s="8" t="s">
        <v>39</v>
      </c>
      <c r="D8740" s="9" t="str">
        <f>HYPERLINK("https://otsuka-europe-crm.veevavault.com/ui/#object/approved_document__v/V5O00000000R009", "AM2M - PSIQUIATRIA - Guía manejo práctico AM2M")</f>
        <v>AM2M - PSIQUIATRIA - Guía manejo práctico AM2M</v>
      </c>
      <c r="E8740" s="10" t="str">
        <f>HYPERLINK("https://otsuka-europe-crm.veevavault.com/ui/#object/sent_email__v/VBL00000003G083", "SE-001448574")</f>
        <v>SE-001448574</v>
      </c>
      <c r="F8740" s="11"/>
      <c r="G8740" s="12">
        <v>0</v>
      </c>
      <c r="H8740" s="12">
        <v>0</v>
      </c>
      <c r="I8740" s="12">
        <v>0</v>
      </c>
      <c r="J8740" s="11"/>
      <c r="K8740" s="12">
        <v>0</v>
      </c>
      <c r="L8740" s="10" t="str">
        <f>HYPERLINK("https://otsuka-europe-crm.veevavault.com/ui/#object/approved_document__v/V5O00000000R009", "AM2M - PSIQUIATRIA - Guía manejo práctico AM2M")</f>
        <v>AM2M - PSIQUIATRIA - Guía manejo práctico AM2M</v>
      </c>
      <c r="M8740" s="10" t="str">
        <f>HYPERLINK("mailto:iortega@crm.otsuka-europe.com", "iortega@crm.otsuka-europe.com")</f>
        <v>iortega@crm.otsuka-europe.com</v>
      </c>
      <c r="N8740" s="13">
        <v>46234.431030092594</v>
      </c>
      <c r="O8740" s="14" t="str">
        <f>HYPERLINK("https://otsuka-europe-crm.veevavault.com/ui/#object/email_activity__v/V8C00000004G233", "EN-002110228")</f>
        <v>EN-002110228</v>
      </c>
    </row>
    <row r="8741" spans="1:15" ht="16" x14ac:dyDescent="0.2">
      <c r="A8741" s="18" t="str">
        <f>HYPERLINK("https://otsuka-europe-crm.veevavault.com/ui/#object/account__v/V4TZ06G6OAB7DUH", "CARLA HUC SANCHEZ")</f>
        <v>CARLA HUC SANCHEZ</v>
      </c>
      <c r="B8741" s="18" t="str">
        <f>HYPERLINK("https://otsuka-europe-crm.veevavault.com/ui/#object/vcountry__v/VENZ000004SONF5", "ES")</f>
        <v>ES</v>
      </c>
      <c r="C8741" s="20" t="s">
        <v>39</v>
      </c>
      <c r="D8741" s="21" t="str">
        <f>HYPERLINK("https://otsuka-europe-crm.veevavault.com/ui/#object/approved_document__v/V5O00000000R009", "AM2M - PSIQUIATRIA - Guía manejo práctico AM2M")</f>
        <v>AM2M - PSIQUIATRIA - Guía manejo práctico AM2M</v>
      </c>
      <c r="E8741" s="22" t="str">
        <f>HYPERLINK("https://otsuka-europe-crm.veevavault.com/ui/#object/sent_email__v/VBL00000003G084", "SE-001448575")</f>
        <v>SE-001448575</v>
      </c>
      <c r="F8741" s="25">
        <v>46234.431319444448</v>
      </c>
      <c r="G8741" s="24">
        <v>1</v>
      </c>
      <c r="H8741" s="24">
        <v>1</v>
      </c>
      <c r="I8741" s="24">
        <v>1</v>
      </c>
      <c r="J8741" s="25">
        <v>46234.431342592594</v>
      </c>
      <c r="K8741" s="24">
        <v>2</v>
      </c>
      <c r="L8741" s="22" t="str">
        <f>HYPERLINK("https://otsuka-europe-crm.veevavault.com/ui/#object/approved_document__v/V5O00000000R009", "AM2M - PSIQUIATRIA - Guía manejo práctico AM2M")</f>
        <v>AM2M - PSIQUIATRIA - Guía manejo práctico AM2M</v>
      </c>
      <c r="M8741" s="22" t="str">
        <f>HYPERLINK("mailto:iortega@crm.otsuka-europe.com", "iortega@crm.otsuka-europe.com")</f>
        <v>iortega@crm.otsuka-europe.com</v>
      </c>
      <c r="N8741" s="25">
        <v>46234.431030092594</v>
      </c>
      <c r="O8741" s="14" t="str">
        <f>HYPERLINK("https://otsuka-europe-crm.veevavault.com/ui/#object/email_activity__v/V8C00000004F210", "EN-002110236")</f>
        <v>EN-002110236</v>
      </c>
    </row>
    <row r="8742" spans="1:15" ht="16" x14ac:dyDescent="0.2">
      <c r="A8742" s="26"/>
      <c r="B8742" s="26"/>
      <c r="C8742" s="26"/>
      <c r="D8742" s="26"/>
      <c r="E8742" s="26"/>
      <c r="F8742" s="26"/>
      <c r="G8742" s="26"/>
      <c r="H8742" s="26"/>
      <c r="I8742" s="26"/>
      <c r="J8742" s="26"/>
      <c r="K8742" s="26"/>
      <c r="L8742" s="26"/>
      <c r="M8742" s="26"/>
      <c r="N8742" s="26"/>
      <c r="O8742" s="14" t="str">
        <f>HYPERLINK("https://otsuka-europe-crm.veevavault.com/ui/#object/email_activity__v/V8C00000004G224", "EN-002110207")</f>
        <v>EN-002110207</v>
      </c>
    </row>
    <row r="8743" spans="1:15" ht="16" x14ac:dyDescent="0.2">
      <c r="A8743" s="26"/>
      <c r="B8743" s="26"/>
      <c r="C8743" s="26"/>
      <c r="D8743" s="26"/>
      <c r="E8743" s="26"/>
      <c r="F8743" s="26"/>
      <c r="G8743" s="26"/>
      <c r="H8743" s="26"/>
      <c r="I8743" s="26"/>
      <c r="J8743" s="26"/>
      <c r="K8743" s="26"/>
      <c r="L8743" s="26"/>
      <c r="M8743" s="26"/>
      <c r="N8743" s="26"/>
      <c r="O8743" s="14" t="str">
        <f>HYPERLINK("https://otsuka-europe-crm.veevavault.com/ui/#object/email_activity__v/V8C00000004G241", "EN-002110238")</f>
        <v>EN-002110238</v>
      </c>
    </row>
    <row r="8744" spans="1:15" ht="16" x14ac:dyDescent="0.2">
      <c r="A8744" s="26"/>
      <c r="B8744" s="26"/>
      <c r="C8744" s="26"/>
      <c r="D8744" s="26"/>
      <c r="E8744" s="26"/>
      <c r="F8744" s="26"/>
      <c r="G8744" s="26"/>
      <c r="H8744" s="26"/>
      <c r="I8744" s="26"/>
      <c r="J8744" s="26"/>
      <c r="K8744" s="26"/>
      <c r="L8744" s="26"/>
      <c r="M8744" s="26"/>
      <c r="N8744" s="26"/>
      <c r="O8744" s="14" t="str">
        <f>HYPERLINK("https://otsuka-europe-crm.veevavault.com/ui/#object/email_activity__v/V8C00000004G242", "EN-002110239")</f>
        <v>EN-002110239</v>
      </c>
    </row>
    <row r="8745" spans="1:15" ht="16" x14ac:dyDescent="0.2">
      <c r="A8745" s="26"/>
      <c r="B8745" s="26"/>
      <c r="C8745" s="26"/>
      <c r="D8745" s="26"/>
      <c r="E8745" s="26"/>
      <c r="F8745" s="26"/>
      <c r="G8745" s="26"/>
      <c r="H8745" s="26"/>
      <c r="I8745" s="26"/>
      <c r="J8745" s="26"/>
      <c r="K8745" s="26"/>
      <c r="L8745" s="26"/>
      <c r="M8745" s="26"/>
      <c r="N8745" s="26"/>
      <c r="O8745" s="14" t="str">
        <f>HYPERLINK("https://otsuka-europe-crm.veevavault.com/ui/#object/email_activity__v/V8C00000004G409", "EN-002110470")</f>
        <v>EN-002110470</v>
      </c>
    </row>
    <row r="8746" spans="1:15" ht="16" x14ac:dyDescent="0.2">
      <c r="A8746" s="19"/>
      <c r="B8746" s="19"/>
      <c r="C8746" s="19"/>
      <c r="D8746" s="19"/>
      <c r="E8746" s="19"/>
      <c r="F8746" s="19"/>
      <c r="G8746" s="19"/>
      <c r="H8746" s="19"/>
      <c r="I8746" s="19"/>
      <c r="J8746" s="19"/>
      <c r="K8746" s="19"/>
      <c r="L8746" s="19"/>
      <c r="M8746" s="19"/>
      <c r="N8746" s="19"/>
      <c r="O8746" s="14" t="str">
        <f>HYPERLINK("https://otsuka-europe-crm.veevavault.com/ui/#object/email_activity__v/V8C00000004G411", "EN-002110472")</f>
        <v>EN-002110472</v>
      </c>
    </row>
    <row r="8747" spans="1:15" ht="48" x14ac:dyDescent="0.2">
      <c r="A8747" s="7" t="str">
        <f>HYPERLINK("https://otsuka-europe-crm.veevavault.com/ui/#object/account__v/V4TZ06G6O71TB8Q", "CARLOS MIZRAHI RECASENS")</f>
        <v>CARLOS MIZRAHI RECASENS</v>
      </c>
      <c r="B8747" s="7" t="str">
        <f>HYPERLINK("https://otsuka-europe-crm.veevavault.com/ui/#object/vcountry__v/VENZ000004SONF5", "ES")</f>
        <v>ES</v>
      </c>
      <c r="C8747" s="8" t="s">
        <v>39</v>
      </c>
      <c r="D8747" s="9" t="str">
        <f>HYPERLINK("https://otsuka-europe-crm.veevavault.com/ui/#object/approved_document__v/V5O00000000R009", "AM2M - PSIQUIATRIA - Guía manejo práctico AM2M")</f>
        <v>AM2M - PSIQUIATRIA - Guía manejo práctico AM2M</v>
      </c>
      <c r="E8747" s="10" t="str">
        <f>HYPERLINK("https://otsuka-europe-crm.veevavault.com/ui/#object/sent_email__v/VBL00000003G085", "SE-001448576")</f>
        <v>SE-001448576</v>
      </c>
      <c r="F8747" s="11"/>
      <c r="G8747" s="12">
        <v>0</v>
      </c>
      <c r="H8747" s="12">
        <v>0</v>
      </c>
      <c r="I8747" s="12">
        <v>0</v>
      </c>
      <c r="J8747" s="11"/>
      <c r="K8747" s="12">
        <v>0</v>
      </c>
      <c r="L8747" s="10" t="str">
        <f>HYPERLINK("https://otsuka-europe-crm.veevavault.com/ui/#object/approved_document__v/V5O00000000R009", "AM2M - PSIQUIATRIA - Guía manejo práctico AM2M")</f>
        <v>AM2M - PSIQUIATRIA - Guía manejo práctico AM2M</v>
      </c>
      <c r="M8747" s="10" t="str">
        <f>HYPERLINK("mailto:iortega@crm.otsuka-europe.com", "iortega@crm.otsuka-europe.com")</f>
        <v>iortega@crm.otsuka-europe.com</v>
      </c>
      <c r="N8747" s="13">
        <v>46234.431030092594</v>
      </c>
      <c r="O8747" s="14" t="str">
        <f>HYPERLINK("https://otsuka-europe-crm.veevavault.com/ui/#object/email_activity__v/V8C00000004F200", "EN-002110216")</f>
        <v>EN-002110216</v>
      </c>
    </row>
    <row r="8748" spans="1:15" ht="48" x14ac:dyDescent="0.2">
      <c r="A8748" s="7" t="str">
        <f>HYPERLINK("https://otsuka-europe-crm.veevavault.com/ui/#object/account__v/V4TZ04ASGCYP23I", "DIEGO SEBASTIAN RIZO PINILLA")</f>
        <v>DIEGO SEBASTIAN RIZO PINILLA</v>
      </c>
      <c r="B8748" s="7" t="str">
        <f>HYPERLINK("https://otsuka-europe-crm.veevavault.com/ui/#object/vcountry__v/VENZ000004SONF5", "ES")</f>
        <v>ES</v>
      </c>
      <c r="C8748" s="8" t="s">
        <v>39</v>
      </c>
      <c r="D8748" s="9" t="str">
        <f>HYPERLINK("https://otsuka-europe-crm.veevavault.com/ui/#object/approved_document__v/V5O00000000R009", "AM2M - PSIQUIATRIA - Guía manejo práctico AM2M")</f>
        <v>AM2M - PSIQUIATRIA - Guía manejo práctico AM2M</v>
      </c>
      <c r="E8748" s="10" t="str">
        <f>HYPERLINK("https://otsuka-europe-crm.veevavault.com/ui/#object/sent_email__v/VBL00000003G086", "SE-001448577")</f>
        <v>SE-001448577</v>
      </c>
      <c r="F8748" s="11"/>
      <c r="G8748" s="12">
        <v>0</v>
      </c>
      <c r="H8748" s="12">
        <v>0</v>
      </c>
      <c r="I8748" s="12">
        <v>0</v>
      </c>
      <c r="J8748" s="11"/>
      <c r="K8748" s="12">
        <v>0</v>
      </c>
      <c r="L8748" s="10" t="str">
        <f>HYPERLINK("https://otsuka-europe-crm.veevavault.com/ui/#object/approved_document__v/V5O00000000R009", "AM2M - PSIQUIATRIA - Guía manejo práctico AM2M")</f>
        <v>AM2M - PSIQUIATRIA - Guía manejo práctico AM2M</v>
      </c>
      <c r="M8748" s="10" t="str">
        <f>HYPERLINK("mailto:iortega@crm.otsuka-europe.com", "iortega@crm.otsuka-europe.com")</f>
        <v>iortega@crm.otsuka-europe.com</v>
      </c>
      <c r="N8748" s="13">
        <v>46234.431030092594</v>
      </c>
      <c r="O8748" s="14" t="str">
        <f>HYPERLINK("https://otsuka-europe-crm.veevavault.com/ui/#object/email_activity__v/V8C00000004G236", "EN-002110231")</f>
        <v>EN-002110231</v>
      </c>
    </row>
    <row r="8749" spans="1:15" ht="48" x14ac:dyDescent="0.2">
      <c r="A8749" s="7" t="str">
        <f>HYPERLINK("https://otsuka-europe-crm.veevavault.com/ui/#object/account__v/V4TZ06G6O71T9CW", "DANIEL BERGE BAQUERO")</f>
        <v>DANIEL BERGE BAQUERO</v>
      </c>
      <c r="B8749" s="7" t="str">
        <f>HYPERLINK("https://otsuka-europe-crm.veevavault.com/ui/#object/vcountry__v/VENZ000004SONF5", "ES")</f>
        <v>ES</v>
      </c>
      <c r="C8749" s="8" t="s">
        <v>39</v>
      </c>
      <c r="D8749" s="9" t="str">
        <f>HYPERLINK("https://otsuka-europe-crm.veevavault.com/ui/#object/approved_document__v/V5O00000000R009", "AM2M - PSIQUIATRIA - Guía manejo práctico AM2M")</f>
        <v>AM2M - PSIQUIATRIA - Guía manejo práctico AM2M</v>
      </c>
      <c r="E8749" s="10" t="str">
        <f>HYPERLINK("https://otsuka-europe-crm.veevavault.com/ui/#object/sent_email__v/VBL00000003G087", "SE-001448578")</f>
        <v>SE-001448578</v>
      </c>
      <c r="F8749" s="11"/>
      <c r="G8749" s="12">
        <v>0</v>
      </c>
      <c r="H8749" s="12">
        <v>0</v>
      </c>
      <c r="I8749" s="12">
        <v>0</v>
      </c>
      <c r="J8749" s="11"/>
      <c r="K8749" s="12">
        <v>0</v>
      </c>
      <c r="L8749" s="10" t="str">
        <f>HYPERLINK("https://otsuka-europe-crm.veevavault.com/ui/#object/approved_document__v/V5O00000000R009", "AM2M - PSIQUIATRIA - Guía manejo práctico AM2M")</f>
        <v>AM2M - PSIQUIATRIA - Guía manejo práctico AM2M</v>
      </c>
      <c r="M8749" s="10" t="str">
        <f>HYPERLINK("mailto:iortega@crm.otsuka-europe.com", "iortega@crm.otsuka-europe.com")</f>
        <v>iortega@crm.otsuka-europe.com</v>
      </c>
      <c r="N8749" s="13">
        <v>46234.431030092594</v>
      </c>
      <c r="O8749" s="14" t="str">
        <f>HYPERLINK("https://otsuka-europe-crm.veevavault.com/ui/#object/email_activity__v/V8C00000004F206", "EN-002110222")</f>
        <v>EN-002110222</v>
      </c>
    </row>
    <row r="8750" spans="1:15" ht="48" x14ac:dyDescent="0.2">
      <c r="A8750" s="7" t="str">
        <f>HYPERLINK("https://otsuka-europe-crm.veevavault.com/ui/#object/account__v/V4TZ06G6O71T8B4", "DANIEL GARCIA FUENTES")</f>
        <v>DANIEL GARCIA FUENTES</v>
      </c>
      <c r="B8750" s="7" t="str">
        <f>HYPERLINK("https://otsuka-europe-crm.veevavault.com/ui/#object/vcountry__v/VENZ000004SONF5", "ES")</f>
        <v>ES</v>
      </c>
      <c r="C8750" s="8" t="s">
        <v>39</v>
      </c>
      <c r="D8750" s="9" t="str">
        <f>HYPERLINK("https://otsuka-europe-crm.veevavault.com/ui/#object/approved_document__v/V5O00000000R009", "AM2M - PSIQUIATRIA - Guía manejo práctico AM2M")</f>
        <v>AM2M - PSIQUIATRIA - Guía manejo práctico AM2M</v>
      </c>
      <c r="E8750" s="10" t="str">
        <f>HYPERLINK("https://otsuka-europe-crm.veevavault.com/ui/#object/sent_email__v/VBL00000003G088", "SE-001448579")</f>
        <v>SE-001448579</v>
      </c>
      <c r="F8750" s="11"/>
      <c r="G8750" s="12">
        <v>0</v>
      </c>
      <c r="H8750" s="12">
        <v>0</v>
      </c>
      <c r="I8750" s="12">
        <v>0</v>
      </c>
      <c r="J8750" s="11"/>
      <c r="K8750" s="12">
        <v>0</v>
      </c>
      <c r="L8750" s="10" t="str">
        <f>HYPERLINK("https://otsuka-europe-crm.veevavault.com/ui/#object/approved_document__v/V5O00000000R009", "AM2M - PSIQUIATRIA - Guía manejo práctico AM2M")</f>
        <v>AM2M - PSIQUIATRIA - Guía manejo práctico AM2M</v>
      </c>
      <c r="M8750" s="10" t="str">
        <f>HYPERLINK("mailto:iortega@crm.otsuka-europe.com", "iortega@crm.otsuka-europe.com")</f>
        <v>iortega@crm.otsuka-europe.com</v>
      </c>
      <c r="N8750" s="13">
        <v>46234.431030092594</v>
      </c>
      <c r="O8750" s="14" t="str">
        <f>HYPERLINK("https://otsuka-europe-crm.veevavault.com/ui/#object/email_activity__v/V8C00000004F208", "EN-002110224")</f>
        <v>EN-002110224</v>
      </c>
    </row>
    <row r="8751" spans="1:15" ht="16" x14ac:dyDescent="0.2">
      <c r="A8751" s="18" t="str">
        <f>HYPERLINK("https://otsuka-europe-crm.veevavault.com/ui/#object/account__v/V4TZ04ASG7XD65X", "DANIEL FERNANDO MARTINEZ URIBE")</f>
        <v>DANIEL FERNANDO MARTINEZ URIBE</v>
      </c>
      <c r="B8751" s="18" t="str">
        <f>HYPERLINK("https://otsuka-europe-crm.veevavault.com/ui/#object/vcountry__v/VENZ000004SONF5", "ES")</f>
        <v>ES</v>
      </c>
      <c r="C8751" s="20" t="s">
        <v>39</v>
      </c>
      <c r="D8751" s="21" t="str">
        <f>HYPERLINK("https://otsuka-europe-crm.veevavault.com/ui/#object/approved_document__v/V5O00000000R009", "AM2M - PSIQUIATRIA - Guía manejo práctico AM2M")</f>
        <v>AM2M - PSIQUIATRIA - Guía manejo práctico AM2M</v>
      </c>
      <c r="E8751" s="22" t="str">
        <f>HYPERLINK("https://otsuka-europe-crm.veevavault.com/ui/#object/sent_email__v/VBL00000003G089", "SE-001448580")</f>
        <v>SE-001448580</v>
      </c>
      <c r="F8751" s="25">
        <v>46235.639178240737</v>
      </c>
      <c r="G8751" s="24">
        <v>1</v>
      </c>
      <c r="H8751" s="24">
        <v>2</v>
      </c>
      <c r="I8751" s="24">
        <v>0</v>
      </c>
      <c r="J8751" s="23"/>
      <c r="K8751" s="24">
        <v>0</v>
      </c>
      <c r="L8751" s="22" t="str">
        <f>HYPERLINK("https://otsuka-europe-crm.veevavault.com/ui/#object/approved_document__v/V5O00000000R009", "AM2M - PSIQUIATRIA - Guía manejo práctico AM2M")</f>
        <v>AM2M - PSIQUIATRIA - Guía manejo práctico AM2M</v>
      </c>
      <c r="M8751" s="22" t="str">
        <f>HYPERLINK("mailto:iortega@crm.otsuka-europe.com", "iortega@crm.otsuka-europe.com")</f>
        <v>iortega@crm.otsuka-europe.com</v>
      </c>
      <c r="N8751" s="25">
        <v>46234.431030092594</v>
      </c>
      <c r="O8751" s="14" t="str">
        <f>HYPERLINK("https://otsuka-europe-crm.veevavault.com/ui/#object/email_activity__v/V8C00000004G223", "EN-002110206")</f>
        <v>EN-002110206</v>
      </c>
    </row>
    <row r="8752" spans="1:15" ht="16" x14ac:dyDescent="0.2">
      <c r="A8752" s="26"/>
      <c r="B8752" s="26"/>
      <c r="C8752" s="26"/>
      <c r="D8752" s="26"/>
      <c r="E8752" s="26"/>
      <c r="F8752" s="26"/>
      <c r="G8752" s="26"/>
      <c r="H8752" s="26"/>
      <c r="I8752" s="26"/>
      <c r="J8752" s="26"/>
      <c r="K8752" s="26"/>
      <c r="L8752" s="26"/>
      <c r="M8752" s="26"/>
      <c r="N8752" s="26"/>
      <c r="O8752" s="14" t="str">
        <f>HYPERLINK("https://otsuka-europe-crm.veevavault.com/ui/#object/email_activity__v/V8C00000004H059", "EN-002111042")</f>
        <v>EN-002111042</v>
      </c>
    </row>
    <row r="8753" spans="1:15" ht="16" x14ac:dyDescent="0.2">
      <c r="A8753" s="19"/>
      <c r="B8753" s="19"/>
      <c r="C8753" s="19"/>
      <c r="D8753" s="19"/>
      <c r="E8753" s="19"/>
      <c r="F8753" s="19"/>
      <c r="G8753" s="19"/>
      <c r="H8753" s="19"/>
      <c r="I8753" s="19"/>
      <c r="J8753" s="19"/>
      <c r="K8753" s="19"/>
      <c r="L8753" s="19"/>
      <c r="M8753" s="19"/>
      <c r="N8753" s="19"/>
      <c r="O8753" s="14" t="str">
        <f>HYPERLINK("https://otsuka-europe-crm.veevavault.com/ui/#object/email_activity__v/V8C00000004I034", "EN-002111043")</f>
        <v>EN-002111043</v>
      </c>
    </row>
    <row r="8754" spans="1:15" ht="16" x14ac:dyDescent="0.2">
      <c r="A8754" s="18" t="str">
        <f>HYPERLINK("https://otsuka-europe-crm.veevavault.com/ui/#object/account__v/V4TZ025E82YL9PH", "DIANA MARISOL BELTRAN CRISTANCHO")</f>
        <v>DIANA MARISOL BELTRAN CRISTANCHO</v>
      </c>
      <c r="B8754" s="18" t="str">
        <f>HYPERLINK("https://otsuka-europe-crm.veevavault.com/ui/#object/vcountry__v/VENZ000004SONF5", "ES")</f>
        <v>ES</v>
      </c>
      <c r="C8754" s="20" t="s">
        <v>39</v>
      </c>
      <c r="D8754" s="21" t="str">
        <f>HYPERLINK("https://otsuka-europe-crm.veevavault.com/ui/#object/approved_document__v/V5O00000000R009", "AM2M - PSIQUIATRIA - Guía manejo práctico AM2M")</f>
        <v>AM2M - PSIQUIATRIA - Guía manejo práctico AM2M</v>
      </c>
      <c r="E8754" s="22" t="str">
        <f>HYPERLINK("https://otsuka-europe-crm.veevavault.com/ui/#object/sent_email__v/VBL00000003G090", "SE-001448581")</f>
        <v>SE-001448581</v>
      </c>
      <c r="F8754" s="23"/>
      <c r="G8754" s="24">
        <v>0</v>
      </c>
      <c r="H8754" s="24">
        <v>0</v>
      </c>
      <c r="I8754" s="24">
        <v>0</v>
      </c>
      <c r="J8754" s="23"/>
      <c r="K8754" s="24">
        <v>0</v>
      </c>
      <c r="L8754" s="22" t="str">
        <f>HYPERLINK("https://otsuka-europe-crm.veevavault.com/ui/#object/approved_document__v/V5O00000000R009", "AM2M - PSIQUIATRIA - Guía manejo práctico AM2M")</f>
        <v>AM2M - PSIQUIATRIA - Guía manejo práctico AM2M</v>
      </c>
      <c r="M8754" s="22" t="str">
        <f>HYPERLINK("mailto:iortega@crm.otsuka-europe.com", "iortega@crm.otsuka-europe.com")</f>
        <v>iortega@crm.otsuka-europe.com</v>
      </c>
      <c r="N8754" s="25">
        <v>46234.431030092594</v>
      </c>
      <c r="O8754" s="14" t="str">
        <f>HYPERLINK("https://otsuka-europe-crm.veevavault.com/ui/#object/email_activity__v/V8C00000004G230", "EN-002110215")</f>
        <v>EN-002110215</v>
      </c>
    </row>
    <row r="8755" spans="1:15" ht="16" x14ac:dyDescent="0.2">
      <c r="A8755" s="19"/>
      <c r="B8755" s="19"/>
      <c r="C8755" s="19"/>
      <c r="D8755" s="19"/>
      <c r="E8755" s="19"/>
      <c r="F8755" s="19"/>
      <c r="G8755" s="19"/>
      <c r="H8755" s="19"/>
      <c r="I8755" s="19"/>
      <c r="J8755" s="19"/>
      <c r="K8755" s="19"/>
      <c r="L8755" s="19"/>
      <c r="M8755" s="19"/>
      <c r="N8755" s="19"/>
      <c r="O8755" s="14" t="str">
        <f>HYPERLINK("https://otsuka-europe-crm.veevavault.com/ui/#object/email_activity__v/V8C00000004G307", "EN-002110357")</f>
        <v>EN-002110357</v>
      </c>
    </row>
    <row r="8756" spans="1:15" ht="48" x14ac:dyDescent="0.2">
      <c r="A8756" s="7" t="str">
        <f>HYPERLINK("https://otsuka-europe-crm.veevavault.com/ui/#object/account__v/V4TZ04ASGABXUDW", "CECILIA BEATRIZ RIERA VIOTTO")</f>
        <v>CECILIA BEATRIZ RIERA VIOTTO</v>
      </c>
      <c r="B8756" s="7" t="str">
        <f>HYPERLINK("https://otsuka-europe-crm.veevavault.com/ui/#object/vcountry__v/VENZ000004SONF5", "ES")</f>
        <v>ES</v>
      </c>
      <c r="C8756" s="8" t="s">
        <v>39</v>
      </c>
      <c r="D8756" s="9" t="str">
        <f>HYPERLINK("https://otsuka-europe-crm.veevavault.com/ui/#object/approved_document__v/V5O00000000R009", "AM2M - PSIQUIATRIA - Guía manejo práctico AM2M")</f>
        <v>AM2M - PSIQUIATRIA - Guía manejo práctico AM2M</v>
      </c>
      <c r="E8756" s="10" t="str">
        <f>HYPERLINK("https://otsuka-europe-crm.veevavault.com/ui/#object/sent_email__v/VBL00000003G091", "SE-001448582")</f>
        <v>SE-001448582</v>
      </c>
      <c r="F8756" s="11"/>
      <c r="G8756" s="12">
        <v>0</v>
      </c>
      <c r="H8756" s="12">
        <v>0</v>
      </c>
      <c r="I8756" s="12">
        <v>0</v>
      </c>
      <c r="J8756" s="11"/>
      <c r="K8756" s="12">
        <v>0</v>
      </c>
      <c r="L8756" s="10" t="str">
        <f>HYPERLINK("https://otsuka-europe-crm.veevavault.com/ui/#object/approved_document__v/V5O00000000R009", "AM2M - PSIQUIATRIA - Guía manejo práctico AM2M")</f>
        <v>AM2M - PSIQUIATRIA - Guía manejo práctico AM2M</v>
      </c>
      <c r="M8756" s="10" t="str">
        <f>HYPERLINK("mailto:iortega@crm.otsuka-europe.com", "iortega@crm.otsuka-europe.com")</f>
        <v>iortega@crm.otsuka-europe.com</v>
      </c>
      <c r="N8756" s="13">
        <v>46234.431030092594</v>
      </c>
      <c r="O8756" s="14" t="str">
        <f>HYPERLINK("https://otsuka-europe-crm.veevavault.com/ui/#object/email_activity__v/V8C00000004G240", "EN-002110235")</f>
        <v>EN-002110235</v>
      </c>
    </row>
    <row r="8757" spans="1:15" ht="48" x14ac:dyDescent="0.2">
      <c r="A8757" s="7" t="str">
        <f>HYPERLINK("https://otsuka-europe-crm.veevavault.com/ui/#object/account__v/V4TZ06G6OB4A24V", "CLAUDIA PEREZ LUCERO")</f>
        <v>CLAUDIA PEREZ LUCERO</v>
      </c>
      <c r="B8757" s="7" t="str">
        <f>HYPERLINK("https://otsuka-europe-crm.veevavault.com/ui/#object/vcountry__v/VENZ000004SONF5", "ES")</f>
        <v>ES</v>
      </c>
      <c r="C8757" s="8" t="s">
        <v>39</v>
      </c>
      <c r="D8757" s="9" t="str">
        <f>HYPERLINK("https://otsuka-europe-crm.veevavault.com/ui/#object/approved_document__v/V5O00000000R009", "AM2M - PSIQUIATRIA - Guía manejo práctico AM2M")</f>
        <v>AM2M - PSIQUIATRIA - Guía manejo práctico AM2M</v>
      </c>
      <c r="E8757" s="10" t="str">
        <f>HYPERLINK("https://otsuka-europe-crm.veevavault.com/ui/#object/sent_email__v/VBL00000003G092", "SE-001448583")</f>
        <v>SE-001448583</v>
      </c>
      <c r="F8757" s="11"/>
      <c r="G8757" s="12">
        <v>0</v>
      </c>
      <c r="H8757" s="12">
        <v>0</v>
      </c>
      <c r="I8757" s="12">
        <v>0</v>
      </c>
      <c r="J8757" s="11"/>
      <c r="K8757" s="12">
        <v>0</v>
      </c>
      <c r="L8757" s="10" t="str">
        <f>HYPERLINK("https://otsuka-europe-crm.veevavault.com/ui/#object/approved_document__v/V5O00000000R009", "AM2M - PSIQUIATRIA - Guía manejo práctico AM2M")</f>
        <v>AM2M - PSIQUIATRIA - Guía manejo práctico AM2M</v>
      </c>
      <c r="M8757" s="10" t="str">
        <f>HYPERLINK("mailto:iortega@crm.otsuka-europe.com", "iortega@crm.otsuka-europe.com")</f>
        <v>iortega@crm.otsuka-europe.com</v>
      </c>
      <c r="N8757" s="13">
        <v>46234.431030092594</v>
      </c>
      <c r="O8757" s="14" t="str">
        <f>HYPERLINK("https://otsuka-europe-crm.veevavault.com/ui/#object/email_activity__v/V8C00000004F207", "EN-002110223")</f>
        <v>EN-002110223</v>
      </c>
    </row>
    <row r="8758" spans="1:15" ht="16" x14ac:dyDescent="0.2">
      <c r="A8758" s="18" t="str">
        <f>HYPERLINK("https://otsuka-europe-crm.veevavault.com/ui/#object/account__v/V4TZ06G6OC6N4BK", "CRISTINA MURO CELMA")</f>
        <v>CRISTINA MURO CELMA</v>
      </c>
      <c r="B8758" s="18" t="str">
        <f>HYPERLINK("https://otsuka-europe-crm.veevavault.com/ui/#object/vcountry__v/VENZ000004SONF5", "ES")</f>
        <v>ES</v>
      </c>
      <c r="C8758" s="20" t="s">
        <v>39</v>
      </c>
      <c r="D8758" s="21" t="str">
        <f>HYPERLINK("https://otsuka-europe-crm.veevavault.com/ui/#object/approved_document__v/V5O00000000R009", "AM2M - PSIQUIATRIA - Guía manejo práctico AM2M")</f>
        <v>AM2M - PSIQUIATRIA - Guía manejo práctico AM2M</v>
      </c>
      <c r="E8758" s="22" t="str">
        <f>HYPERLINK("https://otsuka-europe-crm.veevavault.com/ui/#object/sent_email__v/VBL00000003G093", "SE-001448584")</f>
        <v>SE-001448584</v>
      </c>
      <c r="F8758" s="25">
        <v>46234.640694444446</v>
      </c>
      <c r="G8758" s="24">
        <v>1</v>
      </c>
      <c r="H8758" s="24">
        <v>1</v>
      </c>
      <c r="I8758" s="24">
        <v>0</v>
      </c>
      <c r="J8758" s="23"/>
      <c r="K8758" s="24">
        <v>0</v>
      </c>
      <c r="L8758" s="22" t="str">
        <f>HYPERLINK("https://otsuka-europe-crm.veevavault.com/ui/#object/approved_document__v/V5O00000000R009", "AM2M - PSIQUIATRIA - Guía manejo práctico AM2M")</f>
        <v>AM2M - PSIQUIATRIA - Guía manejo práctico AM2M</v>
      </c>
      <c r="M8758" s="22" t="str">
        <f>HYPERLINK("mailto:iortega@crm.otsuka-europe.com", "iortega@crm.otsuka-europe.com")</f>
        <v>iortega@crm.otsuka-europe.com</v>
      </c>
      <c r="N8758" s="25">
        <v>46234.431030092594</v>
      </c>
      <c r="O8758" s="14" t="str">
        <f>HYPERLINK("https://otsuka-europe-crm.veevavault.com/ui/#object/email_activity__v/V8C00000004F409", "EN-002110792")</f>
        <v>EN-002110792</v>
      </c>
    </row>
    <row r="8759" spans="1:15" ht="16" x14ac:dyDescent="0.2">
      <c r="A8759" s="19"/>
      <c r="B8759" s="19"/>
      <c r="C8759" s="19"/>
      <c r="D8759" s="19"/>
      <c r="E8759" s="19"/>
      <c r="F8759" s="19"/>
      <c r="G8759" s="19"/>
      <c r="H8759" s="19"/>
      <c r="I8759" s="19"/>
      <c r="J8759" s="19"/>
      <c r="K8759" s="19"/>
      <c r="L8759" s="19"/>
      <c r="M8759" s="19"/>
      <c r="N8759" s="19"/>
      <c r="O8759" s="14" t="str">
        <f>HYPERLINK("https://otsuka-europe-crm.veevavault.com/ui/#object/email_activity__v/V8C00000004G239", "EN-002110234")</f>
        <v>EN-002110234</v>
      </c>
    </row>
    <row r="8760" spans="1:15" ht="48" x14ac:dyDescent="0.2">
      <c r="A8760" s="7" t="str">
        <f>HYPERLINK("https://otsuka-europe-crm.veevavault.com/ui/#object/account__v/V4TZ025E8393SK6", "DIXIANA CARMEN PLANCHE RODRIGUEZ")</f>
        <v>DIXIANA CARMEN PLANCHE RODRIGUEZ</v>
      </c>
      <c r="B8760" s="7" t="str">
        <f>HYPERLINK("https://otsuka-europe-crm.veevavault.com/ui/#object/vcountry__v/VENZ000004SONF5", "ES")</f>
        <v>ES</v>
      </c>
      <c r="C8760" s="8" t="s">
        <v>39</v>
      </c>
      <c r="D8760" s="9" t="str">
        <f>HYPERLINK("https://otsuka-europe-crm.veevavault.com/ui/#object/approved_document__v/V5O00000000R009", "AM2M - PSIQUIATRIA - Guía manejo práctico AM2M")</f>
        <v>AM2M - PSIQUIATRIA - Guía manejo práctico AM2M</v>
      </c>
      <c r="E8760" s="10" t="str">
        <f>HYPERLINK("https://otsuka-europe-crm.veevavault.com/ui/#object/sent_email__v/VBL00000003G094", "SE-001448585")</f>
        <v>SE-001448585</v>
      </c>
      <c r="F8760" s="11"/>
      <c r="G8760" s="12">
        <v>0</v>
      </c>
      <c r="H8760" s="12">
        <v>0</v>
      </c>
      <c r="I8760" s="12">
        <v>0</v>
      </c>
      <c r="J8760" s="11"/>
      <c r="K8760" s="12">
        <v>0</v>
      </c>
      <c r="L8760" s="10" t="str">
        <f>HYPERLINK("https://otsuka-europe-crm.veevavault.com/ui/#object/approved_document__v/V5O00000000R009", "AM2M - PSIQUIATRIA - Guía manejo práctico AM2M")</f>
        <v>AM2M - PSIQUIATRIA - Guía manejo práctico AM2M</v>
      </c>
      <c r="M8760" s="10" t="str">
        <f>HYPERLINK("mailto:iortega@crm.otsuka-europe.com", "iortega@crm.otsuka-europe.com")</f>
        <v>iortega@crm.otsuka-europe.com</v>
      </c>
      <c r="N8760" s="13">
        <v>46234.431041666663</v>
      </c>
      <c r="O8760" s="14" t="str">
        <f>HYPERLINK("https://otsuka-europe-crm.veevavault.com/ui/#object/email_activity__v/V8C00000004G221", "EN-002110204")</f>
        <v>EN-002110204</v>
      </c>
    </row>
    <row r="8761" spans="1:15" ht="48" x14ac:dyDescent="0.2">
      <c r="A8761" s="7" t="str">
        <f>HYPERLINK("https://otsuka-europe-crm.veevavault.com/ui/#object/account__v/V4TZ06G6O71T7PQ", "CLAUDIA BIBIANA AVELLA GARCIA")</f>
        <v>CLAUDIA BIBIANA AVELLA GARCIA</v>
      </c>
      <c r="B8761" s="7" t="str">
        <f>HYPERLINK("https://otsuka-europe-crm.veevavault.com/ui/#object/vcountry__v/VENZ000004SONF5", "ES")</f>
        <v>ES</v>
      </c>
      <c r="C8761" s="8" t="s">
        <v>39</v>
      </c>
      <c r="D8761" s="9" t="str">
        <f>HYPERLINK("https://otsuka-europe-crm.veevavault.com/ui/#object/approved_document__v/V5O00000000R009", "AM2M - PSIQUIATRIA - Guía manejo práctico AM2M")</f>
        <v>AM2M - PSIQUIATRIA - Guía manejo práctico AM2M</v>
      </c>
      <c r="E8761" s="10" t="str">
        <f>HYPERLINK("https://otsuka-europe-crm.veevavault.com/ui/#object/sent_email__v/VBL00000003G095", "SE-001448586")</f>
        <v>SE-001448586</v>
      </c>
      <c r="F8761" s="11"/>
      <c r="G8761" s="12">
        <v>0</v>
      </c>
      <c r="H8761" s="12">
        <v>0</v>
      </c>
      <c r="I8761" s="12">
        <v>0</v>
      </c>
      <c r="J8761" s="11"/>
      <c r="K8761" s="12">
        <v>0</v>
      </c>
      <c r="L8761" s="10" t="str">
        <f>HYPERLINK("https://otsuka-europe-crm.veevavault.com/ui/#object/approved_document__v/V5O00000000R009", "AM2M - PSIQUIATRIA - Guía manejo práctico AM2M")</f>
        <v>AM2M - PSIQUIATRIA - Guía manejo práctico AM2M</v>
      </c>
      <c r="M8761" s="10" t="str">
        <f>HYPERLINK("mailto:iortega@crm.otsuka-europe.com", "iortega@crm.otsuka-europe.com")</f>
        <v>iortega@crm.otsuka-europe.com</v>
      </c>
      <c r="N8761" s="13">
        <v>46234.431030092594</v>
      </c>
      <c r="O8761" s="14" t="str">
        <f>HYPERLINK("https://otsuka-europe-crm.veevavault.com/ui/#object/email_activity__v/V8C00000004F209", "EN-002110225")</f>
        <v>EN-002110225</v>
      </c>
    </row>
    <row r="8762" spans="1:15" ht="16" x14ac:dyDescent="0.2">
      <c r="A8762" s="18" t="str">
        <f>HYPERLINK("https://otsuka-europe-crm.veevavault.com/ui/#object/account__v/V4TZ025E83PKMM3", "CAROLINA CASTILLO VASQUEZ")</f>
        <v>CAROLINA CASTILLO VASQUEZ</v>
      </c>
      <c r="B8762" s="18" t="str">
        <f>HYPERLINK("https://otsuka-europe-crm.veevavault.com/ui/#object/vcountry__v/VENZ000004SONF5", "ES")</f>
        <v>ES</v>
      </c>
      <c r="C8762" s="20" t="s">
        <v>39</v>
      </c>
      <c r="D8762" s="21" t="str">
        <f>HYPERLINK("https://otsuka-europe-crm.veevavault.com/ui/#object/approved_document__v/V5O00000000R009", "AM2M - PSIQUIATRIA - Guía manejo práctico AM2M")</f>
        <v>AM2M - PSIQUIATRIA - Guía manejo práctico AM2M</v>
      </c>
      <c r="E8762" s="22" t="str">
        <f>HYPERLINK("https://otsuka-europe-crm.veevavault.com/ui/#object/sent_email__v/VBL00000003G096", "SE-001448587")</f>
        <v>SE-001448587</v>
      </c>
      <c r="F8762" s="23"/>
      <c r="G8762" s="24">
        <v>0</v>
      </c>
      <c r="H8762" s="24">
        <v>0</v>
      </c>
      <c r="I8762" s="24">
        <v>0</v>
      </c>
      <c r="J8762" s="23"/>
      <c r="K8762" s="24">
        <v>0</v>
      </c>
      <c r="L8762" s="22" t="str">
        <f>HYPERLINK("https://otsuka-europe-crm.veevavault.com/ui/#object/approved_document__v/V5O00000000R009", "AM2M - PSIQUIATRIA - Guía manejo práctico AM2M")</f>
        <v>AM2M - PSIQUIATRIA - Guía manejo práctico AM2M</v>
      </c>
      <c r="M8762" s="22" t="str">
        <f>HYPERLINK("mailto:iortega@crm.otsuka-europe.com", "iortega@crm.otsuka-europe.com")</f>
        <v>iortega@crm.otsuka-europe.com</v>
      </c>
      <c r="N8762" s="25">
        <v>46234.431030092594</v>
      </c>
      <c r="O8762" s="14" t="str">
        <f>HYPERLINK("https://otsuka-europe-crm.veevavault.com/ui/#object/email_activity__v/V8C00000004F402", "EN-002110768")</f>
        <v>EN-002110768</v>
      </c>
    </row>
    <row r="8763" spans="1:15" ht="16" x14ac:dyDescent="0.2">
      <c r="A8763" s="19"/>
      <c r="B8763" s="19"/>
      <c r="C8763" s="19"/>
      <c r="D8763" s="19"/>
      <c r="E8763" s="19"/>
      <c r="F8763" s="19"/>
      <c r="G8763" s="19"/>
      <c r="H8763" s="19"/>
      <c r="I8763" s="19"/>
      <c r="J8763" s="19"/>
      <c r="K8763" s="19"/>
      <c r="L8763" s="19"/>
      <c r="M8763" s="19"/>
      <c r="N8763" s="19"/>
      <c r="O8763" s="14" t="str">
        <f>HYPERLINK("https://otsuka-europe-crm.veevavault.com/ui/#object/email_activity__v/V8C00000004G238", "EN-002110233")</f>
        <v>EN-002110233</v>
      </c>
    </row>
    <row r="8764" spans="1:15" ht="48" x14ac:dyDescent="0.2">
      <c r="A8764" s="7" t="str">
        <f>HYPERLINK("https://otsuka-europe-crm.veevavault.com/ui/#object/account__v/V4TZ06G6O71T9U0", "CRISANTO DIEZ QUEVEDO")</f>
        <v>CRISANTO DIEZ QUEVEDO</v>
      </c>
      <c r="B8764" s="7" t="str">
        <f>HYPERLINK("https://otsuka-europe-crm.veevavault.com/ui/#object/vcountry__v/VENZ000004SONF5", "ES")</f>
        <v>ES</v>
      </c>
      <c r="C8764" s="8" t="s">
        <v>39</v>
      </c>
      <c r="D8764" s="9" t="str">
        <f>HYPERLINK("https://otsuka-europe-crm.veevavault.com/ui/#object/approved_document__v/V5O00000000R009", "AM2M - PSIQUIATRIA - Guía manejo práctico AM2M")</f>
        <v>AM2M - PSIQUIATRIA - Guía manejo práctico AM2M</v>
      </c>
      <c r="E8764" s="10" t="str">
        <f>HYPERLINK("https://otsuka-europe-crm.veevavault.com/ui/#object/sent_email__v/VBL00000003G097", "SE-001448588")</f>
        <v>SE-001448588</v>
      </c>
      <c r="F8764" s="11"/>
      <c r="G8764" s="12">
        <v>0</v>
      </c>
      <c r="H8764" s="12">
        <v>0</v>
      </c>
      <c r="I8764" s="12">
        <v>0</v>
      </c>
      <c r="J8764" s="11"/>
      <c r="K8764" s="12">
        <v>0</v>
      </c>
      <c r="L8764" s="10" t="str">
        <f>HYPERLINK("https://otsuka-europe-crm.veevavault.com/ui/#object/approved_document__v/V5O00000000R009", "AM2M - PSIQUIATRIA - Guía manejo práctico AM2M")</f>
        <v>AM2M - PSIQUIATRIA - Guía manejo práctico AM2M</v>
      </c>
      <c r="M8764" s="10" t="str">
        <f>HYPERLINK("mailto:iortega@crm.otsuka-europe.com", "iortega@crm.otsuka-europe.com")</f>
        <v>iortega@crm.otsuka-europe.com</v>
      </c>
      <c r="N8764" s="13">
        <v>46234.431030092594</v>
      </c>
      <c r="O8764" s="14" t="str">
        <f>HYPERLINK("https://otsuka-europe-crm.veevavault.com/ui/#object/email_activity__v/V8C00000004F202", "EN-002110218")</f>
        <v>EN-002110218</v>
      </c>
    </row>
    <row r="8765" spans="1:15" ht="48" x14ac:dyDescent="0.2">
      <c r="A8765" s="7" t="str">
        <f>HYPERLINK("https://otsuka-europe-crm.veevavault.com/ui/#object/account__v/V4TZ06G6OBULSRN", "BETZABETH SUAREZ GUTIERREZ")</f>
        <v>BETZABETH SUAREZ GUTIERREZ</v>
      </c>
      <c r="B8765" s="7" t="str">
        <f>HYPERLINK("https://otsuka-europe-crm.veevavault.com/ui/#object/vcountry__v/VENZ000004SONF5", "ES")</f>
        <v>ES</v>
      </c>
      <c r="C8765" s="8" t="s">
        <v>39</v>
      </c>
      <c r="D8765" s="9" t="str">
        <f>HYPERLINK("https://otsuka-europe-crm.veevavault.com/ui/#object/approved_document__v/V5O00000000R009", "AM2M - PSIQUIATRIA - Guía manejo práctico AM2M")</f>
        <v>AM2M - PSIQUIATRIA - Guía manejo práctico AM2M</v>
      </c>
      <c r="E8765" s="10" t="str">
        <f>HYPERLINK("https://otsuka-europe-crm.veevavault.com/ui/#object/sent_email__v/VBL00000003G098", "SE-001448589")</f>
        <v>SE-001448589</v>
      </c>
      <c r="F8765" s="11"/>
      <c r="G8765" s="12">
        <v>0</v>
      </c>
      <c r="H8765" s="12">
        <v>0</v>
      </c>
      <c r="I8765" s="12">
        <v>0</v>
      </c>
      <c r="J8765" s="11"/>
      <c r="K8765" s="12">
        <v>0</v>
      </c>
      <c r="L8765" s="10" t="str">
        <f>HYPERLINK("https://otsuka-europe-crm.veevavault.com/ui/#object/approved_document__v/V5O00000000R009", "AM2M - PSIQUIATRIA - Guía manejo práctico AM2M")</f>
        <v>AM2M - PSIQUIATRIA - Guía manejo práctico AM2M</v>
      </c>
      <c r="M8765" s="10" t="str">
        <f>HYPERLINK("mailto:iortega@crm.otsuka-europe.com", "iortega@crm.otsuka-europe.com")</f>
        <v>iortega@crm.otsuka-europe.com</v>
      </c>
      <c r="N8765" s="13">
        <v>46234.431030092594</v>
      </c>
      <c r="O8765" s="14" t="str">
        <f>HYPERLINK("https://otsuka-europe-crm.veevavault.com/ui/#object/email_activity__v/V8C00000004F201", "EN-002110217")</f>
        <v>EN-002110217</v>
      </c>
    </row>
    <row r="8766" spans="1:15" ht="48" x14ac:dyDescent="0.2">
      <c r="A8766" s="7" t="str">
        <f>HYPERLINK("https://otsuka-europe-crm.veevavault.com/ui/#object/account__v/V4TZ025E86LIMNF", "DANIEL JOSE ARAUJO CHIMENTO")</f>
        <v>DANIEL JOSE ARAUJO CHIMENTO</v>
      </c>
      <c r="B8766" s="7" t="str">
        <f>HYPERLINK("https://otsuka-europe-crm.veevavault.com/ui/#object/vcountry__v/VENZ000004SONF5", "ES")</f>
        <v>ES</v>
      </c>
      <c r="C8766" s="8" t="s">
        <v>39</v>
      </c>
      <c r="D8766" s="9" t="str">
        <f>HYPERLINK("https://otsuka-europe-crm.veevavault.com/ui/#object/approved_document__v/V5O00000000R009", "AM2M - PSIQUIATRIA - Guía manejo práctico AM2M")</f>
        <v>AM2M - PSIQUIATRIA - Guía manejo práctico AM2M</v>
      </c>
      <c r="E8766" s="10" t="str">
        <f>HYPERLINK("https://otsuka-europe-crm.veevavault.com/ui/#object/sent_email__v/VBL00000003G099", "SE-001448590")</f>
        <v>SE-001448590</v>
      </c>
      <c r="F8766" s="11"/>
      <c r="G8766" s="12">
        <v>0</v>
      </c>
      <c r="H8766" s="12">
        <v>0</v>
      </c>
      <c r="I8766" s="12">
        <v>0</v>
      </c>
      <c r="J8766" s="11"/>
      <c r="K8766" s="12">
        <v>0</v>
      </c>
      <c r="L8766" s="10" t="str">
        <f>HYPERLINK("https://otsuka-europe-crm.veevavault.com/ui/#object/approved_document__v/V5O00000000R009", "AM2M - PSIQUIATRIA - Guía manejo práctico AM2M")</f>
        <v>AM2M - PSIQUIATRIA - Guía manejo práctico AM2M</v>
      </c>
      <c r="M8766" s="10" t="str">
        <f>HYPERLINK("mailto:iortega@crm.otsuka-europe.com", "iortega@crm.otsuka-europe.com")</f>
        <v>iortega@crm.otsuka-europe.com</v>
      </c>
      <c r="N8766" s="13">
        <v>46234.430925925924</v>
      </c>
      <c r="O8766" s="14" t="str">
        <f>HYPERLINK("https://otsuka-europe-crm.veevavault.com/ui/#object/email_activity__v/V8C00000004G229", "EN-002110214")</f>
        <v>EN-002110214</v>
      </c>
    </row>
    <row r="8767" spans="1:15" ht="48" x14ac:dyDescent="0.2">
      <c r="A8767" s="7" t="str">
        <f>HYPERLINK("https://otsuka-europe-crm.veevavault.com/ui/#object/account__v/V4TZ04ASGC043HP", "CARINA NADAL GRIFOL")</f>
        <v>CARINA NADAL GRIFOL</v>
      </c>
      <c r="B8767" s="7" t="str">
        <f>HYPERLINK("https://otsuka-europe-crm.veevavault.com/ui/#object/vcountry__v/VENZ000004SONF5", "ES")</f>
        <v>ES</v>
      </c>
      <c r="C8767" s="8" t="s">
        <v>39</v>
      </c>
      <c r="D8767" s="9" t="str">
        <f>HYPERLINK("https://otsuka-europe-crm.veevavault.com/ui/#object/approved_document__v/V5O00000000R009", "AM2M - PSIQUIATRIA - Guía manejo práctico AM2M")</f>
        <v>AM2M - PSIQUIATRIA - Guía manejo práctico AM2M</v>
      </c>
      <c r="E8767" s="10" t="str">
        <f>HYPERLINK("https://otsuka-europe-crm.veevavault.com/ui/#object/sent_email__v/VBL00000003G100", "SE-001448591")</f>
        <v>SE-001448591</v>
      </c>
      <c r="F8767" s="11"/>
      <c r="G8767" s="12">
        <v>0</v>
      </c>
      <c r="H8767" s="12">
        <v>0</v>
      </c>
      <c r="I8767" s="12">
        <v>0</v>
      </c>
      <c r="J8767" s="11"/>
      <c r="K8767" s="12">
        <v>0</v>
      </c>
      <c r="L8767" s="10" t="str">
        <f>HYPERLINK("https://otsuka-europe-crm.veevavault.com/ui/#object/approved_document__v/V5O00000000R009", "AM2M - PSIQUIATRIA - Guía manejo práctico AM2M")</f>
        <v>AM2M - PSIQUIATRIA - Guía manejo práctico AM2M</v>
      </c>
      <c r="M8767" s="10" t="str">
        <f>HYPERLINK("mailto:iortega@crm.otsuka-europe.com", "iortega@crm.otsuka-europe.com")</f>
        <v>iortega@crm.otsuka-europe.com</v>
      </c>
      <c r="N8767" s="13">
        <v>46234.431030092594</v>
      </c>
      <c r="O8767" s="14" t="str">
        <f>HYPERLINK("https://otsuka-europe-crm.veevavault.com/ui/#object/email_activity__v/V8C00000004F198", "EN-002110211")</f>
        <v>EN-002110211</v>
      </c>
    </row>
    <row r="8768" spans="1:15" ht="16" x14ac:dyDescent="0.2">
      <c r="A8768" s="18" t="str">
        <f>HYPERLINK("https://otsuka-europe-crm.veevavault.com/ui/#object/account__v/V4TZ025E82TDWR1", "CARLA ROSSI GARCIA")</f>
        <v>CARLA ROSSI GARCIA</v>
      </c>
      <c r="B8768" s="18" t="str">
        <f>HYPERLINK("https://otsuka-europe-crm.veevavault.com/ui/#object/vcountry__v/VENZ000004SONF5", "ES")</f>
        <v>ES</v>
      </c>
      <c r="C8768" s="20" t="s">
        <v>39</v>
      </c>
      <c r="D8768" s="21" t="str">
        <f>HYPERLINK("https://otsuka-europe-crm.veevavault.com/ui/#object/approved_document__v/V5O00000000R009", "AM2M - PSIQUIATRIA - Guía manejo práctico AM2M")</f>
        <v>AM2M - PSIQUIATRIA - Guía manejo práctico AM2M</v>
      </c>
      <c r="E8768" s="22" t="str">
        <f>HYPERLINK("https://otsuka-europe-crm.veevavault.com/ui/#object/sent_email__v/VBL00000003G101", "SE-001448592")</f>
        <v>SE-001448592</v>
      </c>
      <c r="F8768" s="23"/>
      <c r="G8768" s="24">
        <v>0</v>
      </c>
      <c r="H8768" s="24">
        <v>0</v>
      </c>
      <c r="I8768" s="24">
        <v>0</v>
      </c>
      <c r="J8768" s="23"/>
      <c r="K8768" s="24">
        <v>0</v>
      </c>
      <c r="L8768" s="22" t="str">
        <f>HYPERLINK("https://otsuka-europe-crm.veevavault.com/ui/#object/approved_document__v/V5O00000000R009", "AM2M - PSIQUIATRIA - Guía manejo práctico AM2M")</f>
        <v>AM2M - PSIQUIATRIA - Guía manejo práctico AM2M</v>
      </c>
      <c r="M8768" s="22" t="str">
        <f>HYPERLINK("mailto:iortega@crm.otsuka-europe.com", "iortega@crm.otsuka-europe.com")</f>
        <v>iortega@crm.otsuka-europe.com</v>
      </c>
      <c r="N8768" s="25">
        <v>46234.431030092594</v>
      </c>
      <c r="O8768" s="14" t="str">
        <f>HYPERLINK("https://otsuka-europe-crm.veevavault.com/ui/#object/email_activity__v/V8C00000004G231", "EN-002110226")</f>
        <v>EN-002110226</v>
      </c>
    </row>
    <row r="8769" spans="1:15" ht="16" x14ac:dyDescent="0.2">
      <c r="A8769" s="19"/>
      <c r="B8769" s="19"/>
      <c r="C8769" s="19"/>
      <c r="D8769" s="19"/>
      <c r="E8769" s="19"/>
      <c r="F8769" s="19"/>
      <c r="G8769" s="19"/>
      <c r="H8769" s="19"/>
      <c r="I8769" s="19"/>
      <c r="J8769" s="19"/>
      <c r="K8769" s="19"/>
      <c r="L8769" s="19"/>
      <c r="M8769" s="19"/>
      <c r="N8769" s="19"/>
      <c r="O8769" s="14" t="str">
        <f>HYPERLINK("https://otsuka-europe-crm.veevavault.com/ui/#object/email_activity__v/V8C00000004G405", "EN-002110463")</f>
        <v>EN-002110463</v>
      </c>
    </row>
    <row r="8770" spans="1:15" ht="48" x14ac:dyDescent="0.2">
      <c r="A8770" s="7" t="str">
        <f>HYPERLINK("https://otsuka-europe-crm.veevavault.com/ui/#object/account__v/V4T00000001P178", "CLAUDIA IGLESIAS PUIGVERT")</f>
        <v>CLAUDIA IGLESIAS PUIGVERT</v>
      </c>
      <c r="B8770" s="7" t="str">
        <f>HYPERLINK("https://otsuka-europe-crm.veevavault.com/ui/#object/vcountry__v/VENZ000004SONF5", "ES")</f>
        <v>ES</v>
      </c>
      <c r="C8770" s="8" t="s">
        <v>39</v>
      </c>
      <c r="D8770" s="9" t="str">
        <f>HYPERLINK("https://otsuka-europe-crm.veevavault.com/ui/#object/approved_document__v/V5O00000000R009", "AM2M - PSIQUIATRIA - Guía manejo práctico AM2M")</f>
        <v>AM2M - PSIQUIATRIA - Guía manejo práctico AM2M</v>
      </c>
      <c r="E8770" s="10" t="str">
        <f>HYPERLINK("https://otsuka-europe-crm.veevavault.com/ui/#object/sent_email__v/VBL00000003G102", "SE-001448593")</f>
        <v>SE-001448593</v>
      </c>
      <c r="F8770" s="11"/>
      <c r="G8770" s="12">
        <v>0</v>
      </c>
      <c r="H8770" s="12">
        <v>0</v>
      </c>
      <c r="I8770" s="12">
        <v>0</v>
      </c>
      <c r="J8770" s="11"/>
      <c r="K8770" s="12">
        <v>0</v>
      </c>
      <c r="L8770" s="10" t="str">
        <f>HYPERLINK("https://otsuka-europe-crm.veevavault.com/ui/#object/approved_document__v/V5O00000000R009", "AM2M - PSIQUIATRIA - Guía manejo práctico AM2M")</f>
        <v>AM2M - PSIQUIATRIA - Guía manejo práctico AM2M</v>
      </c>
      <c r="M8770" s="10" t="str">
        <f>HYPERLINK("mailto:iortega@crm.otsuka-europe.com", "iortega@crm.otsuka-europe.com")</f>
        <v>iortega@crm.otsuka-europe.com</v>
      </c>
      <c r="N8770" s="13">
        <v>46234.431030092594</v>
      </c>
      <c r="O8770" s="14" t="str">
        <f>HYPERLINK("https://otsuka-europe-crm.veevavault.com/ui/#object/email_activity__v/V8C00000004G232", "EN-002110227")</f>
        <v>EN-002110227</v>
      </c>
    </row>
    <row r="8771" spans="1:15" ht="48" x14ac:dyDescent="0.2">
      <c r="A8771" s="7" t="str">
        <f>HYPERLINK("https://otsuka-europe-crm.veevavault.com/ui/#object/account__v/V4TZ025E87PZFPM", "CRISTOPHER HESHLEY SALIRROSAS ALEGRIA")</f>
        <v>CRISTOPHER HESHLEY SALIRROSAS ALEGRIA</v>
      </c>
      <c r="B8771" s="7" t="str">
        <f>HYPERLINK("https://otsuka-europe-crm.veevavault.com/ui/#object/vcountry__v/VENZ000004SONF5", "ES")</f>
        <v>ES</v>
      </c>
      <c r="C8771" s="8" t="s">
        <v>39</v>
      </c>
      <c r="D8771" s="9" t="str">
        <f>HYPERLINK("https://otsuka-europe-crm.veevavault.com/ui/#object/approved_document__v/V5O00000000R009", "AM2M - PSIQUIATRIA - Guía manejo práctico AM2M")</f>
        <v>AM2M - PSIQUIATRIA - Guía manejo práctico AM2M</v>
      </c>
      <c r="E8771" s="10" t="str">
        <f>HYPERLINK("https://otsuka-europe-crm.veevavault.com/ui/#object/sent_email__v/VBL00000003G103", "SE-001448594")</f>
        <v>SE-001448594</v>
      </c>
      <c r="F8771" s="11"/>
      <c r="G8771" s="12">
        <v>0</v>
      </c>
      <c r="H8771" s="12">
        <v>0</v>
      </c>
      <c r="I8771" s="12">
        <v>0</v>
      </c>
      <c r="J8771" s="11"/>
      <c r="K8771" s="12">
        <v>0</v>
      </c>
      <c r="L8771" s="10" t="str">
        <f>HYPERLINK("https://otsuka-europe-crm.veevavault.com/ui/#object/approved_document__v/V5O00000000R009", "AM2M - PSIQUIATRIA - Guía manejo práctico AM2M")</f>
        <v>AM2M - PSIQUIATRIA - Guía manejo práctico AM2M</v>
      </c>
      <c r="M8771" s="10" t="str">
        <f>HYPERLINK("mailto:iortega@crm.otsuka-europe.com", "iortega@crm.otsuka-europe.com")</f>
        <v>iortega@crm.otsuka-europe.com</v>
      </c>
      <c r="N8771" s="13">
        <v>46234.431041666663</v>
      </c>
      <c r="O8771" s="14" t="str">
        <f>HYPERLINK("https://otsuka-europe-crm.veevavault.com/ui/#object/email_activity__v/V8C00000004G222", "EN-002110205")</f>
        <v>EN-002110205</v>
      </c>
    </row>
    <row r="8772" spans="1:15" ht="48" x14ac:dyDescent="0.2">
      <c r="A8772" s="7" t="str">
        <f>HYPERLINK("https://otsuka-europe-crm.veevavault.com/ui/#object/account__v/V4TZ06G6O71T954", "DAVID ALMENTA GALLEGO")</f>
        <v>DAVID ALMENTA GALLEGO</v>
      </c>
      <c r="B8772" s="7" t="str">
        <f>HYPERLINK("https://otsuka-europe-crm.veevavault.com/ui/#object/vcountry__v/VENZ000004SONF5", "ES")</f>
        <v>ES</v>
      </c>
      <c r="C8772" s="8" t="s">
        <v>39</v>
      </c>
      <c r="D8772" s="9" t="str">
        <f>HYPERLINK("https://otsuka-europe-crm.veevavault.com/ui/#object/approved_document__v/V5O00000000R009", "AM2M - PSIQUIATRIA - Guía manejo práctico AM2M")</f>
        <v>AM2M - PSIQUIATRIA - Guía manejo práctico AM2M</v>
      </c>
      <c r="E8772" s="10" t="str">
        <f>HYPERLINK("https://otsuka-europe-crm.veevavault.com/ui/#object/sent_email__v/VBL00000003G104", "SE-001448595")</f>
        <v>SE-001448595</v>
      </c>
      <c r="F8772" s="11"/>
      <c r="G8772" s="12">
        <v>0</v>
      </c>
      <c r="H8772" s="12">
        <v>0</v>
      </c>
      <c r="I8772" s="12">
        <v>0</v>
      </c>
      <c r="J8772" s="11"/>
      <c r="K8772" s="12">
        <v>0</v>
      </c>
      <c r="L8772" s="10" t="str">
        <f>HYPERLINK("https://otsuka-europe-crm.veevavault.com/ui/#object/approved_document__v/V5O00000000R009", "AM2M - PSIQUIATRIA - Guía manejo práctico AM2M")</f>
        <v>AM2M - PSIQUIATRIA - Guía manejo práctico AM2M</v>
      </c>
      <c r="M8772" s="10" t="str">
        <f>HYPERLINK("mailto:iortega@crm.otsuka-europe.com", "iortega@crm.otsuka-europe.com")</f>
        <v>iortega@crm.otsuka-europe.com</v>
      </c>
      <c r="N8772" s="13">
        <v>46234.431041666663</v>
      </c>
      <c r="O8772" s="14" t="str">
        <f>HYPERLINK("https://otsuka-europe-crm.veevavault.com/ui/#object/email_activity__v/V8C00000004G220", "EN-002110203")</f>
        <v>EN-002110203</v>
      </c>
    </row>
    <row r="8773" spans="1:15" ht="48" x14ac:dyDescent="0.2">
      <c r="A8773" s="7" t="str">
        <f>HYPERLINK("https://otsuka-europe-crm.veevavault.com/ui/#object/account__v/V4TZ06G6O71T9YY", "CARLES GARCIA-RIBERA COMDOR")</f>
        <v>CARLES GARCIA-RIBERA COMDOR</v>
      </c>
      <c r="B8773" s="7" t="str">
        <f>HYPERLINK("https://otsuka-europe-crm.veevavault.com/ui/#object/vcountry__v/VENZ000004SONF5", "ES")</f>
        <v>ES</v>
      </c>
      <c r="C8773" s="8" t="s">
        <v>39</v>
      </c>
      <c r="D8773" s="9" t="str">
        <f>HYPERLINK("https://otsuka-europe-crm.veevavault.com/ui/#object/approved_document__v/V5O00000000R009", "AM2M - PSIQUIATRIA - Guía manejo práctico AM2M")</f>
        <v>AM2M - PSIQUIATRIA - Guía manejo práctico AM2M</v>
      </c>
      <c r="E8773" s="10" t="str">
        <f>HYPERLINK("https://otsuka-europe-crm.veevavault.com/ui/#object/sent_email__v/VBL00000003G105", "SE-001448596")</f>
        <v>SE-001448596</v>
      </c>
      <c r="F8773" s="11"/>
      <c r="G8773" s="12">
        <v>0</v>
      </c>
      <c r="H8773" s="12">
        <v>0</v>
      </c>
      <c r="I8773" s="12">
        <v>0</v>
      </c>
      <c r="J8773" s="11"/>
      <c r="K8773" s="12">
        <v>0</v>
      </c>
      <c r="L8773" s="10" t="str">
        <f>HYPERLINK("https://otsuka-europe-crm.veevavault.com/ui/#object/approved_document__v/V5O00000000R009", "AM2M - PSIQUIATRIA - Guía manejo práctico AM2M")</f>
        <v>AM2M - PSIQUIATRIA - Guía manejo práctico AM2M</v>
      </c>
      <c r="M8773" s="10" t="str">
        <f>HYPERLINK("mailto:iortega@crm.otsuka-europe.com", "iortega@crm.otsuka-europe.com")</f>
        <v>iortega@crm.otsuka-europe.com</v>
      </c>
      <c r="N8773" s="13">
        <v>46234.431030092594</v>
      </c>
      <c r="O8773" s="14" t="str">
        <f>HYPERLINK("https://otsuka-europe-crm.veevavault.com/ui/#object/email_activity__v/V8C00000004F199", "EN-002110212")</f>
        <v>EN-002110212</v>
      </c>
    </row>
    <row r="8774" spans="1:15" ht="16" x14ac:dyDescent="0.2">
      <c r="A8774" s="18" t="str">
        <f>HYPERLINK("https://otsuka-europe-crm.veevavault.com/ui/#object/account__v/V4TZ06G6O71T8LD", "DAVID SANAGUSTIN BOSQUED")</f>
        <v>DAVID SANAGUSTIN BOSQUED</v>
      </c>
      <c r="B8774" s="18" t="str">
        <f>HYPERLINK("https://otsuka-europe-crm.veevavault.com/ui/#object/vcountry__v/VENZ000004SONF5", "ES")</f>
        <v>ES</v>
      </c>
      <c r="C8774" s="20" t="s">
        <v>39</v>
      </c>
      <c r="D8774" s="21" t="str">
        <f>HYPERLINK("https://otsuka-europe-crm.veevavault.com/ui/#object/approved_document__v/V5O00000000R009", "AM2M - PSIQUIATRIA - Guía manejo práctico AM2M")</f>
        <v>AM2M - PSIQUIATRIA - Guía manejo práctico AM2M</v>
      </c>
      <c r="E8774" s="22" t="str">
        <f>HYPERLINK("https://otsuka-europe-crm.veevavault.com/ui/#object/sent_email__v/VBL00000003G106", "SE-001448597")</f>
        <v>SE-001448597</v>
      </c>
      <c r="F8774" s="25">
        <v>46237.393958333334</v>
      </c>
      <c r="G8774" s="24">
        <v>1</v>
      </c>
      <c r="H8774" s="24">
        <v>1</v>
      </c>
      <c r="I8774" s="24">
        <v>0</v>
      </c>
      <c r="J8774" s="23"/>
      <c r="K8774" s="24">
        <v>0</v>
      </c>
      <c r="L8774" s="22" t="str">
        <f>HYPERLINK("https://otsuka-europe-crm.veevavault.com/ui/#object/approved_document__v/V5O00000000R009", "AM2M - PSIQUIATRIA - Guía manejo práctico AM2M")</f>
        <v>AM2M - PSIQUIATRIA - Guía manejo práctico AM2M</v>
      </c>
      <c r="M8774" s="22" t="str">
        <f>HYPERLINK("mailto:iortega@crm.otsuka-europe.com", "iortega@crm.otsuka-europe.com")</f>
        <v>iortega@crm.otsuka-europe.com</v>
      </c>
      <c r="N8774" s="25">
        <v>46234.431030092594</v>
      </c>
      <c r="O8774" s="14" t="str">
        <f>HYPERLINK("https://otsuka-europe-crm.veevavault.com/ui/#object/email_activity__v/V8C00000004G226", "EN-002110209")</f>
        <v>EN-002110209</v>
      </c>
    </row>
    <row r="8775" spans="1:15" ht="16" x14ac:dyDescent="0.2">
      <c r="A8775" s="19"/>
      <c r="B8775" s="19"/>
      <c r="C8775" s="19"/>
      <c r="D8775" s="19"/>
      <c r="E8775" s="19"/>
      <c r="F8775" s="19"/>
      <c r="G8775" s="19"/>
      <c r="H8775" s="19"/>
      <c r="I8775" s="19"/>
      <c r="J8775" s="19"/>
      <c r="K8775" s="19"/>
      <c r="L8775" s="19"/>
      <c r="M8775" s="19"/>
      <c r="N8775" s="19"/>
      <c r="O8775" s="14" t="str">
        <f>HYPERLINK("https://otsuka-europe-crm.veevavault.com/ui/#object/email_activity__v/V8C00000004I104", "EN-002111190")</f>
        <v>EN-002111190</v>
      </c>
    </row>
    <row r="8776" spans="1:15" ht="16" x14ac:dyDescent="0.2">
      <c r="A8776" s="18" t="str">
        <f>HYPERLINK("https://otsuka-europe-crm.veevavault.com/ui/#object/account__v/V4TZ06G6O71TB7E", "CARLES MASIP MONTERO")</f>
        <v>CARLES MASIP MONTERO</v>
      </c>
      <c r="B8776" s="18" t="str">
        <f>HYPERLINK("https://otsuka-europe-crm.veevavault.com/ui/#object/vcountry__v/VENZ000004SONF5", "ES")</f>
        <v>ES</v>
      </c>
      <c r="C8776" s="20" t="s">
        <v>39</v>
      </c>
      <c r="D8776" s="21" t="str">
        <f>HYPERLINK("https://otsuka-europe-crm.veevavault.com/ui/#object/approved_document__v/V5O00000000R009", "AM2M - PSIQUIATRIA - Guía manejo práctico AM2M")</f>
        <v>AM2M - PSIQUIATRIA - Guía manejo práctico AM2M</v>
      </c>
      <c r="E8776" s="22" t="str">
        <f>HYPERLINK("https://otsuka-europe-crm.veevavault.com/ui/#object/sent_email__v/VBL00000003G107", "SE-001448598")</f>
        <v>SE-001448598</v>
      </c>
      <c r="F8776" s="25">
        <v>46238.5624537037</v>
      </c>
      <c r="G8776" s="24">
        <v>1</v>
      </c>
      <c r="H8776" s="24">
        <v>5</v>
      </c>
      <c r="I8776" s="24">
        <v>0</v>
      </c>
      <c r="J8776" s="23"/>
      <c r="K8776" s="24">
        <v>0</v>
      </c>
      <c r="L8776" s="22" t="str">
        <f>HYPERLINK("https://otsuka-europe-crm.veevavault.com/ui/#object/approved_document__v/V5O00000000R009", "AM2M - PSIQUIATRIA - Guía manejo práctico AM2M")</f>
        <v>AM2M - PSIQUIATRIA - Guía manejo práctico AM2M</v>
      </c>
      <c r="M8776" s="22" t="str">
        <f>HYPERLINK("mailto:iortega@crm.otsuka-europe.com", "iortega@crm.otsuka-europe.com")</f>
        <v>iortega@crm.otsuka-europe.com</v>
      </c>
      <c r="N8776" s="25">
        <v>46234.431030092594</v>
      </c>
      <c r="O8776" s="14" t="str">
        <f>HYPERLINK("https://otsuka-europe-crm.veevavault.com/ui/#object/email_activity__v/V8C00000004F205", "EN-002110221")</f>
        <v>EN-002110221</v>
      </c>
    </row>
    <row r="8777" spans="1:15" ht="16" x14ac:dyDescent="0.2">
      <c r="A8777" s="26"/>
      <c r="B8777" s="26"/>
      <c r="C8777" s="26"/>
      <c r="D8777" s="26"/>
      <c r="E8777" s="26"/>
      <c r="F8777" s="26"/>
      <c r="G8777" s="26"/>
      <c r="H8777" s="26"/>
      <c r="I8777" s="26"/>
      <c r="J8777" s="26"/>
      <c r="K8777" s="26"/>
      <c r="L8777" s="26"/>
      <c r="M8777" s="26"/>
      <c r="N8777" s="26"/>
      <c r="O8777" s="14" t="str">
        <f>HYPERLINK("https://otsuka-europe-crm.veevavault.com/ui/#object/email_activity__v/V8C00000004F379", "EN-002110712")</f>
        <v>EN-002110712</v>
      </c>
    </row>
    <row r="8778" spans="1:15" ht="16" x14ac:dyDescent="0.2">
      <c r="A8778" s="26"/>
      <c r="B8778" s="26"/>
      <c r="C8778" s="26"/>
      <c r="D8778" s="26"/>
      <c r="E8778" s="26"/>
      <c r="F8778" s="26"/>
      <c r="G8778" s="26"/>
      <c r="H8778" s="26"/>
      <c r="I8778" s="26"/>
      <c r="J8778" s="26"/>
      <c r="K8778" s="26"/>
      <c r="L8778" s="26"/>
      <c r="M8778" s="26"/>
      <c r="N8778" s="26"/>
      <c r="O8778" s="14" t="str">
        <f>HYPERLINK("https://otsuka-europe-crm.veevavault.com/ui/#object/email_activity__v/V8C00000004F380", "EN-002110713")</f>
        <v>EN-002110713</v>
      </c>
    </row>
    <row r="8779" spans="1:15" ht="16" x14ac:dyDescent="0.2">
      <c r="A8779" s="26"/>
      <c r="B8779" s="26"/>
      <c r="C8779" s="26"/>
      <c r="D8779" s="26"/>
      <c r="E8779" s="26"/>
      <c r="F8779" s="26"/>
      <c r="G8779" s="26"/>
      <c r="H8779" s="26"/>
      <c r="I8779" s="26"/>
      <c r="J8779" s="26"/>
      <c r="K8779" s="26"/>
      <c r="L8779" s="26"/>
      <c r="M8779" s="26"/>
      <c r="N8779" s="26"/>
      <c r="O8779" s="14" t="str">
        <f>HYPERLINK("https://otsuka-europe-crm.veevavault.com/ui/#object/email_activity__v/V8C00000004H132", "EN-002111180")</f>
        <v>EN-002111180</v>
      </c>
    </row>
    <row r="8780" spans="1:15" ht="16" x14ac:dyDescent="0.2">
      <c r="A8780" s="26"/>
      <c r="B8780" s="26"/>
      <c r="C8780" s="26"/>
      <c r="D8780" s="26"/>
      <c r="E8780" s="26"/>
      <c r="F8780" s="26"/>
      <c r="G8780" s="26"/>
      <c r="H8780" s="26"/>
      <c r="I8780" s="26"/>
      <c r="J8780" s="26"/>
      <c r="K8780" s="26"/>
      <c r="L8780" s="26"/>
      <c r="M8780" s="26"/>
      <c r="N8780" s="26"/>
      <c r="O8780" s="14" t="str">
        <f>HYPERLINK("https://otsuka-europe-crm.veevavault.com/ui/#object/email_activity__v/V8C00000004H311", "EN-002111500")</f>
        <v>EN-002111500</v>
      </c>
    </row>
    <row r="8781" spans="1:15" ht="16" x14ac:dyDescent="0.2">
      <c r="A8781" s="19"/>
      <c r="B8781" s="19"/>
      <c r="C8781" s="19"/>
      <c r="D8781" s="19"/>
      <c r="E8781" s="19"/>
      <c r="F8781" s="19"/>
      <c r="G8781" s="19"/>
      <c r="H8781" s="19"/>
      <c r="I8781" s="19"/>
      <c r="J8781" s="19"/>
      <c r="K8781" s="19"/>
      <c r="L8781" s="19"/>
      <c r="M8781" s="19"/>
      <c r="N8781" s="19"/>
      <c r="O8781" s="14" t="str">
        <f>HYPERLINK("https://otsuka-europe-crm.veevavault.com/ui/#object/email_activity__v/V8C00000004H312", "EN-002111501")</f>
        <v>EN-002111501</v>
      </c>
    </row>
    <row r="8782" spans="1:15" ht="16" x14ac:dyDescent="0.2">
      <c r="A8782" s="18" t="str">
        <f>HYPERLINK("https://otsuka-europe-crm.veevavault.com/ui/#object/account__v/V4TZ06G6O71TAMT", "DAVID CORCOLES MARTINEZ")</f>
        <v>DAVID CORCOLES MARTINEZ</v>
      </c>
      <c r="B8782" s="18" t="str">
        <f>HYPERLINK("https://otsuka-europe-crm.veevavault.com/ui/#object/vcountry__v/VENZ000004SONF5", "ES")</f>
        <v>ES</v>
      </c>
      <c r="C8782" s="20" t="s">
        <v>39</v>
      </c>
      <c r="D8782" s="21" t="str">
        <f>HYPERLINK("https://otsuka-europe-crm.veevavault.com/ui/#object/approved_document__v/V5O00000000R009", "AM2M - PSIQUIATRIA - Guía manejo práctico AM2M")</f>
        <v>AM2M - PSIQUIATRIA - Guía manejo práctico AM2M</v>
      </c>
      <c r="E8782" s="22" t="str">
        <f>HYPERLINK("https://otsuka-europe-crm.veevavault.com/ui/#object/sent_email__v/VBL00000003G108", "SE-001448599")</f>
        <v>SE-001448599</v>
      </c>
      <c r="F8782" s="25">
        <v>46234.439479166664</v>
      </c>
      <c r="G8782" s="24">
        <v>1</v>
      </c>
      <c r="H8782" s="24">
        <v>1</v>
      </c>
      <c r="I8782" s="24">
        <v>0</v>
      </c>
      <c r="J8782" s="23"/>
      <c r="K8782" s="24">
        <v>0</v>
      </c>
      <c r="L8782" s="22" t="str">
        <f>HYPERLINK("https://otsuka-europe-crm.veevavault.com/ui/#object/approved_document__v/V5O00000000R009", "AM2M - PSIQUIATRIA - Guía manejo práctico AM2M")</f>
        <v>AM2M - PSIQUIATRIA - Guía manejo práctico AM2M</v>
      </c>
      <c r="M8782" s="22" t="str">
        <f>HYPERLINK("mailto:iortega@crm.otsuka-europe.com", "iortega@crm.otsuka-europe.com")</f>
        <v>iortega@crm.otsuka-europe.com</v>
      </c>
      <c r="N8782" s="25">
        <v>46234.431030092594</v>
      </c>
      <c r="O8782" s="14" t="str">
        <f>HYPERLINK("https://otsuka-europe-crm.veevavault.com/ui/#object/email_activity__v/V8C00000004G227", "EN-002110210")</f>
        <v>EN-002110210</v>
      </c>
    </row>
    <row r="8783" spans="1:15" ht="16" x14ac:dyDescent="0.2">
      <c r="A8783" s="19"/>
      <c r="B8783" s="19"/>
      <c r="C8783" s="19"/>
      <c r="D8783" s="19"/>
      <c r="E8783" s="19"/>
      <c r="F8783" s="19"/>
      <c r="G8783" s="19"/>
      <c r="H8783" s="19"/>
      <c r="I8783" s="19"/>
      <c r="J8783" s="19"/>
      <c r="K8783" s="19"/>
      <c r="L8783" s="19"/>
      <c r="M8783" s="19"/>
      <c r="N8783" s="19"/>
      <c r="O8783" s="14" t="str">
        <f>HYPERLINK("https://otsuka-europe-crm.veevavault.com/ui/#object/email_activity__v/V8C00000004G350", "EN-002110400")</f>
        <v>EN-002110400</v>
      </c>
    </row>
    <row r="8784" spans="1:15" ht="48" x14ac:dyDescent="0.2">
      <c r="A8784" s="7" t="str">
        <f>HYPERLINK("https://otsuka-europe-crm.veevavault.com/ui/#object/account__v/V4T000000014072", "CELIA DANIEL BERRIO")</f>
        <v>CELIA DANIEL BERRIO</v>
      </c>
      <c r="B8784" s="7" t="str">
        <f>HYPERLINK("https://otsuka-europe-crm.veevavault.com/ui/#object/vcountry__v/VENZ000004SONF5", "ES")</f>
        <v>ES</v>
      </c>
      <c r="C8784" s="8" t="s">
        <v>39</v>
      </c>
      <c r="D8784" s="9" t="str">
        <f>HYPERLINK("https://otsuka-europe-crm.veevavault.com/ui/#object/approved_document__v/V5O00000000R009", "AM2M - PSIQUIATRIA - Guía manejo práctico AM2M")</f>
        <v>AM2M - PSIQUIATRIA - Guía manejo práctico AM2M</v>
      </c>
      <c r="E8784" s="10" t="str">
        <f>HYPERLINK("https://otsuka-europe-crm.veevavault.com/ui/#object/sent_email__v/VBL00000003G109", "SE-001448600")</f>
        <v>SE-001448600</v>
      </c>
      <c r="F8784" s="11"/>
      <c r="G8784" s="12">
        <v>0</v>
      </c>
      <c r="H8784" s="12">
        <v>0</v>
      </c>
      <c r="I8784" s="12">
        <v>0</v>
      </c>
      <c r="J8784" s="11"/>
      <c r="K8784" s="12">
        <v>0</v>
      </c>
      <c r="L8784" s="10" t="str">
        <f>HYPERLINK("https://otsuka-europe-crm.veevavault.com/ui/#object/approved_document__v/V5O00000000R009", "AM2M - PSIQUIATRIA - Guía manejo práctico AM2M")</f>
        <v>AM2M - PSIQUIATRIA - Guía manejo práctico AM2M</v>
      </c>
      <c r="M8784" s="10" t="str">
        <f>HYPERLINK("mailto:iortega@crm.otsuka-europe.com", "iortega@crm.otsuka-europe.com")</f>
        <v>iortega@crm.otsuka-europe.com</v>
      </c>
      <c r="N8784" s="13">
        <v>46234.431030092594</v>
      </c>
      <c r="O8784" s="14" t="str">
        <f>HYPERLINK("https://otsuka-europe-crm.veevavault.com/ui/#object/email_activity__v/V8C00000004G235", "EN-002110230")</f>
        <v>EN-002110230</v>
      </c>
    </row>
    <row r="8785" spans="1:15" ht="16" x14ac:dyDescent="0.2">
      <c r="A8785" s="18" t="str">
        <f>HYPERLINK("https://otsuka-europe-crm.veevavault.com/ui/#object/account__v/V4TZ06G6O71UQRI", "CARLA LLIMONA SANCHEZ")</f>
        <v>CARLA LLIMONA SANCHEZ</v>
      </c>
      <c r="B8785" s="18" t="str">
        <f>HYPERLINK("https://otsuka-europe-crm.veevavault.com/ui/#object/vcountry__v/VENZ000004SONF5", "ES")</f>
        <v>ES</v>
      </c>
      <c r="C8785" s="20" t="s">
        <v>39</v>
      </c>
      <c r="D8785" s="21" t="str">
        <f>HYPERLINK("https://otsuka-europe-crm.veevavault.com/ui/#object/approved_document__v/V5O00000000R009", "AM2M - PSIQUIATRIA - Guía manejo práctico AM2M")</f>
        <v>AM2M - PSIQUIATRIA - Guía manejo práctico AM2M</v>
      </c>
      <c r="E8785" s="22" t="str">
        <f>HYPERLINK("https://otsuka-europe-crm.veevavault.com/ui/#object/sent_email__v/VBL00000003G110", "SE-001448601")</f>
        <v>SE-001448601</v>
      </c>
      <c r="F8785" s="25">
        <v>46237.437199074076</v>
      </c>
      <c r="G8785" s="24">
        <v>1</v>
      </c>
      <c r="H8785" s="24">
        <v>1</v>
      </c>
      <c r="I8785" s="24">
        <v>1</v>
      </c>
      <c r="J8785" s="25">
        <v>46237.437847222223</v>
      </c>
      <c r="K8785" s="24">
        <v>1</v>
      </c>
      <c r="L8785" s="22" t="str">
        <f>HYPERLINK("https://otsuka-europe-crm.veevavault.com/ui/#object/approved_document__v/V5O00000000R009", "AM2M - PSIQUIATRIA - Guía manejo práctico AM2M")</f>
        <v>AM2M - PSIQUIATRIA - Guía manejo práctico AM2M</v>
      </c>
      <c r="M8785" s="22" t="str">
        <f>HYPERLINK("mailto:iortega@crm.otsuka-europe.com", "iortega@crm.otsuka-europe.com")</f>
        <v>iortega@crm.otsuka-europe.com</v>
      </c>
      <c r="N8785" s="25">
        <v>46234.431041666663</v>
      </c>
      <c r="O8785" s="14" t="str">
        <f>HYPERLINK("https://otsuka-europe-crm.veevavault.com/ui/#object/email_activity__v/V8C00000004G219", "EN-002110202")</f>
        <v>EN-002110202</v>
      </c>
    </row>
    <row r="8786" spans="1:15" ht="16" x14ac:dyDescent="0.2">
      <c r="A8786" s="26"/>
      <c r="B8786" s="26"/>
      <c r="C8786" s="26"/>
      <c r="D8786" s="26"/>
      <c r="E8786" s="26"/>
      <c r="F8786" s="26"/>
      <c r="G8786" s="26"/>
      <c r="H8786" s="26"/>
      <c r="I8786" s="26"/>
      <c r="J8786" s="26"/>
      <c r="K8786" s="26"/>
      <c r="L8786" s="26"/>
      <c r="M8786" s="26"/>
      <c r="N8786" s="26"/>
      <c r="O8786" s="14" t="str">
        <f>HYPERLINK("https://otsuka-europe-crm.veevavault.com/ui/#object/email_activity__v/V8C00000004I114", "EN-002111204")</f>
        <v>EN-002111204</v>
      </c>
    </row>
    <row r="8787" spans="1:15" ht="16" x14ac:dyDescent="0.2">
      <c r="A8787" s="26"/>
      <c r="B8787" s="26"/>
      <c r="C8787" s="26"/>
      <c r="D8787" s="26"/>
      <c r="E8787" s="26"/>
      <c r="F8787" s="26"/>
      <c r="G8787" s="26"/>
      <c r="H8787" s="26"/>
      <c r="I8787" s="26"/>
      <c r="J8787" s="26"/>
      <c r="K8787" s="26"/>
      <c r="L8787" s="26"/>
      <c r="M8787" s="26"/>
      <c r="N8787" s="26"/>
      <c r="O8787" s="14" t="str">
        <f>HYPERLINK("https://otsuka-europe-crm.veevavault.com/ui/#object/email_activity__v/V8C00000004I116", "EN-002111206")</f>
        <v>EN-002111206</v>
      </c>
    </row>
    <row r="8788" spans="1:15" ht="16" x14ac:dyDescent="0.2">
      <c r="A8788" s="19"/>
      <c r="B8788" s="19"/>
      <c r="C8788" s="19"/>
      <c r="D8788" s="19"/>
      <c r="E8788" s="19"/>
      <c r="F8788" s="19"/>
      <c r="G8788" s="19"/>
      <c r="H8788" s="19"/>
      <c r="I8788" s="19"/>
      <c r="J8788" s="19"/>
      <c r="K8788" s="19"/>
      <c r="L8788" s="19"/>
      <c r="M8788" s="19"/>
      <c r="N8788" s="19"/>
      <c r="O8788" s="14" t="str">
        <f>HYPERLINK("https://otsuka-europe-crm.veevavault.com/ui/#object/email_activity__v/V8C00000004I121", "EN-002111223")</f>
        <v>EN-002111223</v>
      </c>
    </row>
    <row r="8789" spans="1:15" ht="48" x14ac:dyDescent="0.2">
      <c r="A8789" s="7" t="str">
        <f>HYPERLINK("https://otsuka-europe-crm.veevavault.com/ui/#object/account__v/V4TZ06G6O71TBP4", "DOLORS PUIGDEMONT CAMPOS")</f>
        <v>DOLORS PUIGDEMONT CAMPOS</v>
      </c>
      <c r="B8789" s="7" t="str">
        <f t="shared" ref="B8789:B8796" si="319">HYPERLINK("https://otsuka-europe-crm.veevavault.com/ui/#object/vcountry__v/VENZ000004SONF5", "ES")</f>
        <v>ES</v>
      </c>
      <c r="C8789" s="8" t="s">
        <v>39</v>
      </c>
      <c r="D8789" s="9" t="str">
        <f t="shared" ref="D8789:D8796" si="320">HYPERLINK("https://otsuka-europe-crm.veevavault.com/ui/#object/approved_document__v/V5O00000000R009", "AM2M - PSIQUIATRIA - Guía manejo práctico AM2M")</f>
        <v>AM2M - PSIQUIATRIA - Guía manejo práctico AM2M</v>
      </c>
      <c r="E8789" s="10" t="str">
        <f>HYPERLINK("https://otsuka-europe-crm.veevavault.com/ui/#object/sent_email__v/VBL00000003G111", "SE-001448602")</f>
        <v>SE-001448602</v>
      </c>
      <c r="F8789" s="11"/>
      <c r="G8789" s="12">
        <v>0</v>
      </c>
      <c r="H8789" s="12">
        <v>0</v>
      </c>
      <c r="I8789" s="12">
        <v>0</v>
      </c>
      <c r="J8789" s="11"/>
      <c r="K8789" s="12">
        <v>0</v>
      </c>
      <c r="L8789" s="10" t="str">
        <f t="shared" ref="L8789:L8796" si="321">HYPERLINK("https://otsuka-europe-crm.veevavault.com/ui/#object/approved_document__v/V5O00000000R009", "AM2M - PSIQUIATRIA - Guía manejo práctico AM2M")</f>
        <v>AM2M - PSIQUIATRIA - Guía manejo práctico AM2M</v>
      </c>
      <c r="M8789" s="10" t="str">
        <f t="shared" ref="M8789:M8796" si="322">HYPERLINK("mailto:iortega@crm.otsuka-europe.com", "iortega@crm.otsuka-europe.com")</f>
        <v>iortega@crm.otsuka-europe.com</v>
      </c>
      <c r="N8789" s="13">
        <v>46234.430983796294</v>
      </c>
      <c r="O8789" s="14" t="str">
        <f>HYPERLINK("https://otsuka-europe-crm.veevavault.com/ui/#object/email_activity__v/V8C00000004G217", "EN-002110200")</f>
        <v>EN-002110200</v>
      </c>
    </row>
    <row r="8790" spans="1:15" ht="48" x14ac:dyDescent="0.2">
      <c r="A8790" s="7" t="str">
        <f>HYPERLINK("https://otsuka-europe-crm.veevavault.com/ui/#object/account__v/V4T00000001G071", "CLAUDIA GIBERT MARTI")</f>
        <v>CLAUDIA GIBERT MARTI</v>
      </c>
      <c r="B8790" s="7" t="str">
        <f t="shared" si="319"/>
        <v>ES</v>
      </c>
      <c r="C8790" s="8" t="s">
        <v>39</v>
      </c>
      <c r="D8790" s="9" t="str">
        <f t="shared" si="320"/>
        <v>AM2M - PSIQUIATRIA - Guía manejo práctico AM2M</v>
      </c>
      <c r="E8790" s="10" t="str">
        <f>HYPERLINK("https://otsuka-europe-crm.veevavault.com/ui/#object/sent_email__v/VBL00000003G112", "SE-001448603")</f>
        <v>SE-001448603</v>
      </c>
      <c r="F8790" s="11"/>
      <c r="G8790" s="12">
        <v>0</v>
      </c>
      <c r="H8790" s="12">
        <v>0</v>
      </c>
      <c r="I8790" s="12">
        <v>0</v>
      </c>
      <c r="J8790" s="11"/>
      <c r="K8790" s="12">
        <v>0</v>
      </c>
      <c r="L8790" s="10" t="str">
        <f t="shared" si="321"/>
        <v>AM2M - PSIQUIATRIA - Guía manejo práctico AM2M</v>
      </c>
      <c r="M8790" s="10" t="str">
        <f t="shared" si="322"/>
        <v>iortega@crm.otsuka-europe.com</v>
      </c>
      <c r="N8790" s="13">
        <v>46234.430914351855</v>
      </c>
      <c r="O8790" s="14" t="str">
        <f>HYPERLINK("https://otsuka-europe-crm.veevavault.com/ui/#object/email_activity__v/V8C00000004F197", "EN-002110199")</f>
        <v>EN-002110199</v>
      </c>
    </row>
    <row r="8791" spans="1:15" ht="48" x14ac:dyDescent="0.2">
      <c r="A8791" s="7" t="str">
        <f>HYPERLINK("https://otsuka-europe-crm.veevavault.com/ui/#object/account__v/V4TZ06G6O8RZYQP", "EDUARDO LORENZO SACRISTAN VAZQUEZ")</f>
        <v>EDUARDO LORENZO SACRISTAN VAZQUEZ</v>
      </c>
      <c r="B8791" s="7" t="str">
        <f t="shared" si="319"/>
        <v>ES</v>
      </c>
      <c r="C8791" s="8" t="s">
        <v>39</v>
      </c>
      <c r="D8791" s="9" t="str">
        <f t="shared" si="320"/>
        <v>AM2M - PSIQUIATRIA - Guía manejo práctico AM2M</v>
      </c>
      <c r="E8791" s="10" t="str">
        <f>HYPERLINK("https://otsuka-europe-crm.veevavault.com/ui/#object/sent_email__v/VBL00000003G113", "SE-001448604")</f>
        <v>SE-001448604</v>
      </c>
      <c r="F8791" s="11"/>
      <c r="G8791" s="12">
        <v>0</v>
      </c>
      <c r="H8791" s="12">
        <v>0</v>
      </c>
      <c r="I8791" s="12">
        <v>0</v>
      </c>
      <c r="J8791" s="11"/>
      <c r="K8791" s="12">
        <v>0</v>
      </c>
      <c r="L8791" s="10" t="str">
        <f t="shared" si="321"/>
        <v>AM2M - PSIQUIATRIA - Guía manejo práctico AM2M</v>
      </c>
      <c r="M8791" s="10" t="str">
        <f t="shared" si="322"/>
        <v>iortega@crm.otsuka-europe.com</v>
      </c>
      <c r="N8791" s="13">
        <v>46234.430902777778</v>
      </c>
      <c r="O8791" s="14" t="str">
        <f>HYPERLINK("https://otsuka-europe-crm.veevavault.com/ui/#object/email_activity__v/V8C00000004G228", "EN-002110213")</f>
        <v>EN-002110213</v>
      </c>
    </row>
    <row r="8792" spans="1:15" ht="48" x14ac:dyDescent="0.2">
      <c r="A8792" s="7" t="str">
        <f>HYPERLINK("https://otsuka-europe-crm.veevavault.com/ui/#object/account__v/V4TZ06G6O71T926", "ELENA ABRAMOVA STOLIAR")</f>
        <v>ELENA ABRAMOVA STOLIAR</v>
      </c>
      <c r="B8792" s="7" t="str">
        <f t="shared" si="319"/>
        <v>ES</v>
      </c>
      <c r="C8792" s="8" t="s">
        <v>39</v>
      </c>
      <c r="D8792" s="9" t="str">
        <f t="shared" si="320"/>
        <v>AM2M - PSIQUIATRIA - Guía manejo práctico AM2M</v>
      </c>
      <c r="E8792" s="10" t="str">
        <f>HYPERLINK("https://otsuka-europe-crm.veevavault.com/ui/#object/sent_email__v/VBL00000003G114", "SE-001448605")</f>
        <v>SE-001448605</v>
      </c>
      <c r="F8792" s="11"/>
      <c r="G8792" s="12">
        <v>0</v>
      </c>
      <c r="H8792" s="12">
        <v>0</v>
      </c>
      <c r="I8792" s="12">
        <v>0</v>
      </c>
      <c r="J8792" s="11"/>
      <c r="K8792" s="12">
        <v>0</v>
      </c>
      <c r="L8792" s="10" t="str">
        <f t="shared" si="321"/>
        <v>AM2M - PSIQUIATRIA - Guía manejo práctico AM2M</v>
      </c>
      <c r="M8792" s="10" t="str">
        <f t="shared" si="322"/>
        <v>iortega@crm.otsuka-europe.com</v>
      </c>
      <c r="N8792" s="13">
        <v>46234.431041666663</v>
      </c>
      <c r="O8792" s="14" t="str">
        <f>HYPERLINK("https://otsuka-europe-crm.veevavault.com/ui/#object/email_activity__v/V8C00000004G218", "EN-002110201")</f>
        <v>EN-002110201</v>
      </c>
    </row>
    <row r="8793" spans="1:15" ht="48" x14ac:dyDescent="0.2">
      <c r="A8793" s="7" t="str">
        <f>HYPERLINK("https://otsuka-europe-crm.veevavault.com/ui/#object/account__v/V4TZ06G6O71T9O0", "CARMEN CONTRERAS ANTON")</f>
        <v>CARMEN CONTRERAS ANTON</v>
      </c>
      <c r="B8793" s="7" t="str">
        <f t="shared" si="319"/>
        <v>ES</v>
      </c>
      <c r="C8793" s="8" t="s">
        <v>39</v>
      </c>
      <c r="D8793" s="9" t="str">
        <f t="shared" si="320"/>
        <v>AM2M - PSIQUIATRIA - Guía manejo práctico AM2M</v>
      </c>
      <c r="E8793" s="10" t="str">
        <f>HYPERLINK("https://otsuka-europe-crm.veevavault.com/ui/#object/sent_email__v/VBL00000003G115", "SE-001448606")</f>
        <v>SE-001448606</v>
      </c>
      <c r="F8793" s="11"/>
      <c r="G8793" s="12">
        <v>0</v>
      </c>
      <c r="H8793" s="12">
        <v>0</v>
      </c>
      <c r="I8793" s="12">
        <v>0</v>
      </c>
      <c r="J8793" s="11"/>
      <c r="K8793" s="12">
        <v>0</v>
      </c>
      <c r="L8793" s="10" t="str">
        <f t="shared" si="321"/>
        <v>AM2M - PSIQUIATRIA - Guía manejo práctico AM2M</v>
      </c>
      <c r="M8793" s="10" t="str">
        <f t="shared" si="322"/>
        <v>iortega@crm.otsuka-europe.com</v>
      </c>
      <c r="N8793" s="13">
        <v>46234.431030092594</v>
      </c>
      <c r="O8793" s="14" t="str">
        <f>HYPERLINK("https://otsuka-europe-crm.veevavault.com/ui/#object/email_activity__v/V8C00000004G237", "EN-002110232")</f>
        <v>EN-002110232</v>
      </c>
    </row>
    <row r="8794" spans="1:15" ht="48" x14ac:dyDescent="0.2">
      <c r="A8794" s="7" t="str">
        <f>HYPERLINK("https://otsuka-europe-crm.veevavault.com/ui/#object/account__v/V4TZ06G6O71T8HK", "CARLO ALEMANY SANTAMARIA")</f>
        <v>CARLO ALEMANY SANTAMARIA</v>
      </c>
      <c r="B8794" s="7" t="str">
        <f t="shared" si="319"/>
        <v>ES</v>
      </c>
      <c r="C8794" s="8" t="s">
        <v>39</v>
      </c>
      <c r="D8794" s="9" t="str">
        <f t="shared" si="320"/>
        <v>AM2M - PSIQUIATRIA - Guía manejo práctico AM2M</v>
      </c>
      <c r="E8794" s="10" t="str">
        <f>HYPERLINK("https://otsuka-europe-crm.veevavault.com/ui/#object/sent_email__v/VBL00000003G116", "SE-001448607")</f>
        <v>SE-001448607</v>
      </c>
      <c r="F8794" s="11"/>
      <c r="G8794" s="12">
        <v>0</v>
      </c>
      <c r="H8794" s="12">
        <v>0</v>
      </c>
      <c r="I8794" s="12">
        <v>0</v>
      </c>
      <c r="J8794" s="11"/>
      <c r="K8794" s="12">
        <v>0</v>
      </c>
      <c r="L8794" s="10" t="str">
        <f t="shared" si="321"/>
        <v>AM2M - PSIQUIATRIA - Guía manejo práctico AM2M</v>
      </c>
      <c r="M8794" s="10" t="str">
        <f t="shared" si="322"/>
        <v>iortega@crm.otsuka-europe.com</v>
      </c>
      <c r="N8794" s="13">
        <v>46234.431030092594</v>
      </c>
      <c r="O8794" s="14" t="str">
        <f>HYPERLINK("https://otsuka-europe-crm.veevavault.com/ui/#object/email_activity__v/V8C00000004G234", "EN-002110229")</f>
        <v>EN-002110229</v>
      </c>
    </row>
    <row r="8795" spans="1:15" ht="48" x14ac:dyDescent="0.2">
      <c r="A8795" s="7" t="str">
        <f>HYPERLINK("https://otsuka-europe-crm.veevavault.com/ui/#object/account__v/V4TZ06G6O71T9KE", "FRANCISCO JAVIER DE DIEGO ADELIÑO")</f>
        <v>FRANCISCO JAVIER DE DIEGO ADELIÑO</v>
      </c>
      <c r="B8795" s="7" t="str">
        <f t="shared" si="319"/>
        <v>ES</v>
      </c>
      <c r="C8795" s="8" t="s">
        <v>39</v>
      </c>
      <c r="D8795" s="9" t="str">
        <f t="shared" si="320"/>
        <v>AM2M - PSIQUIATRIA - Guía manejo práctico AM2M</v>
      </c>
      <c r="E8795" s="10" t="str">
        <f>HYPERLINK("https://otsuka-europe-crm.veevavault.com/ui/#object/sent_email__v/VBL00000003H195", "SE-001448608")</f>
        <v>SE-001448608</v>
      </c>
      <c r="F8795" s="11"/>
      <c r="G8795" s="12">
        <v>0</v>
      </c>
      <c r="H8795" s="12">
        <v>0</v>
      </c>
      <c r="I8795" s="12">
        <v>0</v>
      </c>
      <c r="J8795" s="11"/>
      <c r="K8795" s="12">
        <v>0</v>
      </c>
      <c r="L8795" s="10" t="str">
        <f t="shared" si="321"/>
        <v>AM2M - PSIQUIATRIA - Guía manejo práctico AM2M</v>
      </c>
      <c r="M8795" s="10" t="str">
        <f t="shared" si="322"/>
        <v>iortega@crm.otsuka-europe.com</v>
      </c>
      <c r="N8795" s="13">
        <v>46234.432638888888</v>
      </c>
      <c r="O8795" s="14" t="str">
        <f>HYPERLINK("https://otsuka-europe-crm.veevavault.com/ui/#object/email_activity__v/V8C00000004F226", "EN-002110255")</f>
        <v>EN-002110255</v>
      </c>
    </row>
    <row r="8796" spans="1:15" ht="16" x14ac:dyDescent="0.2">
      <c r="A8796" s="18" t="str">
        <f>HYPERLINK("https://otsuka-europe-crm.veevavault.com/ui/#object/account__v/V4T00000001U045", "JOHN FABIO VARGAS CARDENAS")</f>
        <v>JOHN FABIO VARGAS CARDENAS</v>
      </c>
      <c r="B8796" s="18" t="str">
        <f t="shared" si="319"/>
        <v>ES</v>
      </c>
      <c r="C8796" s="20" t="s">
        <v>39</v>
      </c>
      <c r="D8796" s="21" t="str">
        <f t="shared" si="320"/>
        <v>AM2M - PSIQUIATRIA - Guía manejo práctico AM2M</v>
      </c>
      <c r="E8796" s="22" t="str">
        <f>HYPERLINK("https://otsuka-europe-crm.veevavault.com/ui/#object/sent_email__v/VBL00000003H196", "SE-001448609")</f>
        <v>SE-001448609</v>
      </c>
      <c r="F8796" s="25">
        <v>46234.667280092595</v>
      </c>
      <c r="G8796" s="24">
        <v>1</v>
      </c>
      <c r="H8796" s="24">
        <v>1</v>
      </c>
      <c r="I8796" s="24">
        <v>0</v>
      </c>
      <c r="J8796" s="23"/>
      <c r="K8796" s="24">
        <v>0</v>
      </c>
      <c r="L8796" s="22" t="str">
        <f t="shared" si="321"/>
        <v>AM2M - PSIQUIATRIA - Guía manejo práctico AM2M</v>
      </c>
      <c r="M8796" s="22" t="str">
        <f t="shared" si="322"/>
        <v>iortega@crm.otsuka-europe.com</v>
      </c>
      <c r="N8796" s="25">
        <v>46234.432638888888</v>
      </c>
      <c r="O8796" s="14" t="str">
        <f>HYPERLINK("https://otsuka-europe-crm.veevavault.com/ui/#object/email_activity__v/V8C00000004F419", "EN-002110808")</f>
        <v>EN-002110808</v>
      </c>
    </row>
    <row r="8797" spans="1:15" ht="16" x14ac:dyDescent="0.2">
      <c r="A8797" s="26"/>
      <c r="B8797" s="26"/>
      <c r="C8797" s="26"/>
      <c r="D8797" s="26"/>
      <c r="E8797" s="26"/>
      <c r="F8797" s="26"/>
      <c r="G8797" s="26"/>
      <c r="H8797" s="26"/>
      <c r="I8797" s="26"/>
      <c r="J8797" s="26"/>
      <c r="K8797" s="26"/>
      <c r="L8797" s="26"/>
      <c r="M8797" s="26"/>
      <c r="N8797" s="26"/>
      <c r="O8797" s="14" t="str">
        <f>HYPERLINK("https://otsuka-europe-crm.veevavault.com/ui/#object/email_activity__v/V8C00000004F493", "EN-002110928")</f>
        <v>EN-002110928</v>
      </c>
    </row>
    <row r="8798" spans="1:15" ht="16" x14ac:dyDescent="0.2">
      <c r="A8798" s="19"/>
      <c r="B8798" s="19"/>
      <c r="C8798" s="19"/>
      <c r="D8798" s="19"/>
      <c r="E8798" s="19"/>
      <c r="F8798" s="19"/>
      <c r="G8798" s="19"/>
      <c r="H8798" s="19"/>
      <c r="I8798" s="19"/>
      <c r="J8798" s="19"/>
      <c r="K8798" s="19"/>
      <c r="L8798" s="19"/>
      <c r="M8798" s="19"/>
      <c r="N8798" s="19"/>
      <c r="O8798" s="14" t="str">
        <f>HYPERLINK("https://otsuka-europe-crm.veevavault.com/ui/#object/email_activity__v/V8C00000004G248", "EN-002110260")</f>
        <v>EN-002110260</v>
      </c>
    </row>
    <row r="8799" spans="1:15" ht="48" x14ac:dyDescent="0.2">
      <c r="A8799" s="7" t="str">
        <f>HYPERLINK("https://otsuka-europe-crm.veevavault.com/ui/#object/account__v/V4TZ025E833K8UJ", "IRENE DE ALVARADO GARCIA")</f>
        <v>IRENE DE ALVARADO GARCIA</v>
      </c>
      <c r="B8799" s="7" t="str">
        <f>HYPERLINK("https://otsuka-europe-crm.veevavault.com/ui/#object/vcountry__v/VENZ000004SONF5", "ES")</f>
        <v>ES</v>
      </c>
      <c r="C8799" s="8" t="s">
        <v>39</v>
      </c>
      <c r="D8799" s="9" t="str">
        <f>HYPERLINK("https://otsuka-europe-crm.veevavault.com/ui/#object/approved_document__v/V5O00000000R009", "AM2M - PSIQUIATRIA - Guía manejo práctico AM2M")</f>
        <v>AM2M - PSIQUIATRIA - Guía manejo práctico AM2M</v>
      </c>
      <c r="E8799" s="10" t="str">
        <f>HYPERLINK("https://otsuka-europe-crm.veevavault.com/ui/#object/sent_email__v/VBL00000003H197", "SE-001448610")</f>
        <v>SE-001448610</v>
      </c>
      <c r="F8799" s="11"/>
      <c r="G8799" s="12">
        <v>0</v>
      </c>
      <c r="H8799" s="12">
        <v>0</v>
      </c>
      <c r="I8799" s="12">
        <v>0</v>
      </c>
      <c r="J8799" s="11"/>
      <c r="K8799" s="12">
        <v>0</v>
      </c>
      <c r="L8799" s="10" t="str">
        <f>HYPERLINK("https://otsuka-europe-crm.veevavault.com/ui/#object/approved_document__v/V5O00000000R009", "AM2M - PSIQUIATRIA - Guía manejo práctico AM2M")</f>
        <v>AM2M - PSIQUIATRIA - Guía manejo práctico AM2M</v>
      </c>
      <c r="M8799" s="10" t="str">
        <f>HYPERLINK("mailto:iortega@crm.otsuka-europe.com", "iortega@crm.otsuka-europe.com")</f>
        <v>iortega@crm.otsuka-europe.com</v>
      </c>
      <c r="N8799" s="13">
        <v>46234.432638888888</v>
      </c>
      <c r="O8799" s="14" t="str">
        <f>HYPERLINK("https://otsuka-europe-crm.veevavault.com/ui/#object/email_activity__v/V8C00000004F229", "EN-002110269")</f>
        <v>EN-002110269</v>
      </c>
    </row>
    <row r="8800" spans="1:15" ht="16" x14ac:dyDescent="0.2">
      <c r="A8800" s="18" t="str">
        <f>HYPERLINK("https://otsuka-europe-crm.veevavault.com/ui/#object/account__v/V4TZ06G6O71TAGD", "JOAN CALVO FERNANDEZ")</f>
        <v>JOAN CALVO FERNANDEZ</v>
      </c>
      <c r="B8800" s="18" t="str">
        <f>HYPERLINK("https://otsuka-europe-crm.veevavault.com/ui/#object/vcountry__v/VENZ000004SONF5", "ES")</f>
        <v>ES</v>
      </c>
      <c r="C8800" s="20" t="s">
        <v>39</v>
      </c>
      <c r="D8800" s="21" t="str">
        <f>HYPERLINK("https://otsuka-europe-crm.veevavault.com/ui/#object/approved_document__v/V5O00000000R009", "AM2M - PSIQUIATRIA - Guía manejo práctico AM2M")</f>
        <v>AM2M - PSIQUIATRIA - Guía manejo práctico AM2M</v>
      </c>
      <c r="E8800" s="22" t="str">
        <f>HYPERLINK("https://otsuka-europe-crm.veevavault.com/ui/#object/sent_email__v/VBL00000003H198", "SE-001448611")</f>
        <v>SE-001448611</v>
      </c>
      <c r="F8800" s="25">
        <v>46234.482997685183</v>
      </c>
      <c r="G8800" s="24">
        <v>1</v>
      </c>
      <c r="H8800" s="24">
        <v>1</v>
      </c>
      <c r="I8800" s="24">
        <v>0</v>
      </c>
      <c r="J8800" s="23"/>
      <c r="K8800" s="24">
        <v>0</v>
      </c>
      <c r="L8800" s="22" t="str">
        <f>HYPERLINK("https://otsuka-europe-crm.veevavault.com/ui/#object/approved_document__v/V5O00000000R009", "AM2M - PSIQUIATRIA - Guía manejo práctico AM2M")</f>
        <v>AM2M - PSIQUIATRIA - Guía manejo práctico AM2M</v>
      </c>
      <c r="M8800" s="22" t="str">
        <f>HYPERLINK("mailto:iortega@crm.otsuka-europe.com", "iortega@crm.otsuka-europe.com")</f>
        <v>iortega@crm.otsuka-europe.com</v>
      </c>
      <c r="N8800" s="25">
        <v>46234.432638888888</v>
      </c>
      <c r="O8800" s="14" t="str">
        <f>HYPERLINK("https://otsuka-europe-crm.veevavault.com/ui/#object/email_activity__v/V8C00000004F218", "EN-002110247")</f>
        <v>EN-002110247</v>
      </c>
    </row>
    <row r="8801" spans="1:15" ht="16" x14ac:dyDescent="0.2">
      <c r="A8801" s="19"/>
      <c r="B8801" s="19"/>
      <c r="C8801" s="19"/>
      <c r="D8801" s="19"/>
      <c r="E8801" s="19"/>
      <c r="F8801" s="19"/>
      <c r="G8801" s="19"/>
      <c r="H8801" s="19"/>
      <c r="I8801" s="19"/>
      <c r="J8801" s="19"/>
      <c r="K8801" s="19"/>
      <c r="L8801" s="19"/>
      <c r="M8801" s="19"/>
      <c r="N8801" s="19"/>
      <c r="O8801" s="14" t="str">
        <f>HYPERLINK("https://otsuka-europe-crm.veevavault.com/ui/#object/email_activity__v/V8C00000004G491", "EN-002110619")</f>
        <v>EN-002110619</v>
      </c>
    </row>
    <row r="8802" spans="1:15" ht="48" x14ac:dyDescent="0.2">
      <c r="A8802" s="7" t="str">
        <f>HYPERLINK("https://otsuka-europe-crm.veevavault.com/ui/#object/account__v/V4TZ06G6O95W1ID", "FERNANDO NICOLAS DINAMARCA CACERES")</f>
        <v>FERNANDO NICOLAS DINAMARCA CACERES</v>
      </c>
      <c r="B8802" s="7" t="str">
        <f t="shared" ref="B8802:B8809" si="323">HYPERLINK("https://otsuka-europe-crm.veevavault.com/ui/#object/vcountry__v/VENZ000004SONF5", "ES")</f>
        <v>ES</v>
      </c>
      <c r="C8802" s="8" t="s">
        <v>39</v>
      </c>
      <c r="D8802" s="9" t="str">
        <f t="shared" ref="D8802:D8809" si="324">HYPERLINK("https://otsuka-europe-crm.veevavault.com/ui/#object/approved_document__v/V5O00000000R009", "AM2M - PSIQUIATRIA - Guía manejo práctico AM2M")</f>
        <v>AM2M - PSIQUIATRIA - Guía manejo práctico AM2M</v>
      </c>
      <c r="E8802" s="10" t="str">
        <f>HYPERLINK("https://otsuka-europe-crm.veevavault.com/ui/#object/sent_email__v/VBL00000003H199", "SE-001448612")</f>
        <v>SE-001448612</v>
      </c>
      <c r="F8802" s="11"/>
      <c r="G8802" s="12">
        <v>0</v>
      </c>
      <c r="H8802" s="12">
        <v>0</v>
      </c>
      <c r="I8802" s="12">
        <v>0</v>
      </c>
      <c r="J8802" s="11"/>
      <c r="K8802" s="12">
        <v>0</v>
      </c>
      <c r="L8802" s="10" t="str">
        <f t="shared" ref="L8802:L8809" si="325">HYPERLINK("https://otsuka-europe-crm.veevavault.com/ui/#object/approved_document__v/V5O00000000R009", "AM2M - PSIQUIATRIA - Guía manejo práctico AM2M")</f>
        <v>AM2M - PSIQUIATRIA - Guía manejo práctico AM2M</v>
      </c>
      <c r="M8802" s="10" t="str">
        <f t="shared" ref="M8802:M8809" si="326">HYPERLINK("mailto:iortega@crm.otsuka-europe.com", "iortega@crm.otsuka-europe.com")</f>
        <v>iortega@crm.otsuka-europe.com</v>
      </c>
      <c r="N8802" s="13">
        <v>46234.432638888888</v>
      </c>
      <c r="O8802" s="14" t="str">
        <f>HYPERLINK("https://otsuka-europe-crm.veevavault.com/ui/#object/email_activity__v/V8C00000004G246", "EN-002110258")</f>
        <v>EN-002110258</v>
      </c>
    </row>
    <row r="8803" spans="1:15" ht="48" x14ac:dyDescent="0.2">
      <c r="A8803" s="7" t="str">
        <f>HYPERLINK("https://otsuka-europe-crm.veevavault.com/ui/#object/account__v/V4TZ06G6O71T9ST", "JOAN DE PABLO RABASSO")</f>
        <v>JOAN DE PABLO RABASSO</v>
      </c>
      <c r="B8803" s="7" t="str">
        <f t="shared" si="323"/>
        <v>ES</v>
      </c>
      <c r="C8803" s="8" t="s">
        <v>39</v>
      </c>
      <c r="D8803" s="9" t="str">
        <f t="shared" si="324"/>
        <v>AM2M - PSIQUIATRIA - Guía manejo práctico AM2M</v>
      </c>
      <c r="E8803" s="10" t="str">
        <f>HYPERLINK("https://otsuka-europe-crm.veevavault.com/ui/#object/sent_email__v/VBL00000003H200", "SE-001448613")</f>
        <v>SE-001448613</v>
      </c>
      <c r="F8803" s="11"/>
      <c r="G8803" s="12">
        <v>0</v>
      </c>
      <c r="H8803" s="12">
        <v>0</v>
      </c>
      <c r="I8803" s="12">
        <v>0</v>
      </c>
      <c r="J8803" s="11"/>
      <c r="K8803" s="12">
        <v>0</v>
      </c>
      <c r="L8803" s="10" t="str">
        <f t="shared" si="325"/>
        <v>AM2M - PSIQUIATRIA - Guía manejo práctico AM2M</v>
      </c>
      <c r="M8803" s="10" t="str">
        <f t="shared" si="326"/>
        <v>iortega@crm.otsuka-europe.com</v>
      </c>
      <c r="N8803" s="13">
        <v>46234.432638888888</v>
      </c>
      <c r="O8803" s="14" t="str">
        <f>HYPERLINK("https://otsuka-europe-crm.veevavault.com/ui/#object/email_activity__v/V8C00000004F230", "EN-002110270")</f>
        <v>EN-002110270</v>
      </c>
    </row>
    <row r="8804" spans="1:15" ht="48" x14ac:dyDescent="0.2">
      <c r="A8804" s="7" t="str">
        <f>HYPERLINK("https://otsuka-europe-crm.veevavault.com/ui/#object/account__v/V4TZ04ASG8MYRSB", "GHIZLANE TOUIBI CHIHEB")</f>
        <v>GHIZLANE TOUIBI CHIHEB</v>
      </c>
      <c r="B8804" s="7" t="str">
        <f t="shared" si="323"/>
        <v>ES</v>
      </c>
      <c r="C8804" s="8" t="s">
        <v>39</v>
      </c>
      <c r="D8804" s="9" t="str">
        <f t="shared" si="324"/>
        <v>AM2M - PSIQUIATRIA - Guía manejo práctico AM2M</v>
      </c>
      <c r="E8804" s="10" t="str">
        <f>HYPERLINK("https://otsuka-europe-crm.veevavault.com/ui/#object/sent_email__v/VBL00000003H201", "SE-001448614")</f>
        <v>SE-001448614</v>
      </c>
      <c r="F8804" s="11"/>
      <c r="G8804" s="12">
        <v>0</v>
      </c>
      <c r="H8804" s="12">
        <v>0</v>
      </c>
      <c r="I8804" s="12">
        <v>0</v>
      </c>
      <c r="J8804" s="11"/>
      <c r="K8804" s="12">
        <v>0</v>
      </c>
      <c r="L8804" s="10" t="str">
        <f t="shared" si="325"/>
        <v>AM2M - PSIQUIATRIA - Guía manejo práctico AM2M</v>
      </c>
      <c r="M8804" s="10" t="str">
        <f t="shared" si="326"/>
        <v>iortega@crm.otsuka-europe.com</v>
      </c>
      <c r="N8804" s="13">
        <v>46234.432638888888</v>
      </c>
      <c r="O8804" s="14" t="str">
        <f>HYPERLINK("https://otsuka-europe-crm.veevavault.com/ui/#object/email_activity__v/V8C00000004F236", "EN-002110276")</f>
        <v>EN-002110276</v>
      </c>
    </row>
    <row r="8805" spans="1:15" ht="48" x14ac:dyDescent="0.2">
      <c r="A8805" s="7" t="str">
        <f>HYPERLINK("https://otsuka-europe-crm.veevavault.com/ui/#object/account__v/V4TZ06G6O71T76X", "ESTANISLAO MUR MILA")</f>
        <v>ESTANISLAO MUR MILA</v>
      </c>
      <c r="B8805" s="7" t="str">
        <f t="shared" si="323"/>
        <v>ES</v>
      </c>
      <c r="C8805" s="8" t="s">
        <v>39</v>
      </c>
      <c r="D8805" s="9" t="str">
        <f t="shared" si="324"/>
        <v>AM2M - PSIQUIATRIA - Guía manejo práctico AM2M</v>
      </c>
      <c r="E8805" s="10" t="str">
        <f>HYPERLINK("https://otsuka-europe-crm.veevavault.com/ui/#object/sent_email__v/VBL00000003H202", "SE-001448615")</f>
        <v>SE-001448615</v>
      </c>
      <c r="F8805" s="11"/>
      <c r="G8805" s="12">
        <v>0</v>
      </c>
      <c r="H8805" s="12">
        <v>0</v>
      </c>
      <c r="I8805" s="12">
        <v>0</v>
      </c>
      <c r="J8805" s="11"/>
      <c r="K8805" s="12">
        <v>0</v>
      </c>
      <c r="L8805" s="10" t="str">
        <f t="shared" si="325"/>
        <v>AM2M - PSIQUIATRIA - Guía manejo práctico AM2M</v>
      </c>
      <c r="M8805" s="10" t="str">
        <f t="shared" si="326"/>
        <v>iortega@crm.otsuka-europe.com</v>
      </c>
      <c r="N8805" s="13">
        <v>46234.432638888888</v>
      </c>
      <c r="O8805" s="14" t="str">
        <f>HYPERLINK("https://otsuka-europe-crm.veevavault.com/ui/#object/email_activity__v/V8C00000004F239", "EN-002110279")</f>
        <v>EN-002110279</v>
      </c>
    </row>
    <row r="8806" spans="1:15" ht="48" x14ac:dyDescent="0.2">
      <c r="A8806" s="7" t="str">
        <f>HYPERLINK("https://otsuka-europe-crm.veevavault.com/ui/#object/account__v/V4TZ06G6OAB7DQJ", "FRANCISCO JAVIER ARAGON HERNANDEZ")</f>
        <v>FRANCISCO JAVIER ARAGON HERNANDEZ</v>
      </c>
      <c r="B8806" s="7" t="str">
        <f t="shared" si="323"/>
        <v>ES</v>
      </c>
      <c r="C8806" s="8" t="s">
        <v>39</v>
      </c>
      <c r="D8806" s="9" t="str">
        <f t="shared" si="324"/>
        <v>AM2M - PSIQUIATRIA - Guía manejo práctico AM2M</v>
      </c>
      <c r="E8806" s="10" t="str">
        <f>HYPERLINK("https://otsuka-europe-crm.veevavault.com/ui/#object/sent_email__v/VBL00000003H203", "SE-001448616")</f>
        <v>SE-001448616</v>
      </c>
      <c r="F8806" s="11"/>
      <c r="G8806" s="12">
        <v>0</v>
      </c>
      <c r="H8806" s="12">
        <v>0</v>
      </c>
      <c r="I8806" s="12">
        <v>0</v>
      </c>
      <c r="J8806" s="11"/>
      <c r="K8806" s="12">
        <v>0</v>
      </c>
      <c r="L8806" s="10" t="str">
        <f t="shared" si="325"/>
        <v>AM2M - PSIQUIATRIA - Guía manejo práctico AM2M</v>
      </c>
      <c r="M8806" s="10" t="str">
        <f t="shared" si="326"/>
        <v>iortega@crm.otsuka-europe.com</v>
      </c>
      <c r="N8806" s="13">
        <v>46234.432488425926</v>
      </c>
      <c r="O8806" s="14" t="str">
        <f>HYPERLINK("https://otsuka-europe-crm.veevavault.com/ui/#object/email_activity__v/V8C00000004G243", "EN-002110240")</f>
        <v>EN-002110240</v>
      </c>
    </row>
    <row r="8807" spans="1:15" ht="48" x14ac:dyDescent="0.2">
      <c r="A8807" s="7" t="str">
        <f>HYPERLINK("https://otsuka-europe-crm.veevavault.com/ui/#object/account__v/V4TZ06G6O71UQPI", "JOANA MARIA BAUZA RAMIS")</f>
        <v>JOANA MARIA BAUZA RAMIS</v>
      </c>
      <c r="B8807" s="7" t="str">
        <f t="shared" si="323"/>
        <v>ES</v>
      </c>
      <c r="C8807" s="8" t="s">
        <v>39</v>
      </c>
      <c r="D8807" s="9" t="str">
        <f t="shared" si="324"/>
        <v>AM2M - PSIQUIATRIA - Guía manejo práctico AM2M</v>
      </c>
      <c r="E8807" s="10" t="str">
        <f>HYPERLINK("https://otsuka-europe-crm.veevavault.com/ui/#object/sent_email__v/VBL00000003H204", "SE-001448617")</f>
        <v>SE-001448617</v>
      </c>
      <c r="F8807" s="11"/>
      <c r="G8807" s="12">
        <v>0</v>
      </c>
      <c r="H8807" s="12">
        <v>0</v>
      </c>
      <c r="I8807" s="12">
        <v>0</v>
      </c>
      <c r="J8807" s="11"/>
      <c r="K8807" s="12">
        <v>0</v>
      </c>
      <c r="L8807" s="10" t="str">
        <f t="shared" si="325"/>
        <v>AM2M - PSIQUIATRIA - Guía manejo práctico AM2M</v>
      </c>
      <c r="M8807" s="10" t="str">
        <f t="shared" si="326"/>
        <v>iortega@crm.otsuka-europe.com</v>
      </c>
      <c r="N8807" s="13">
        <v>46234.432500000003</v>
      </c>
      <c r="O8807" s="14" t="str">
        <f>HYPERLINK("https://otsuka-europe-crm.veevavault.com/ui/#object/email_activity__v/V8C00000004F212", "EN-002110241")</f>
        <v>EN-002110241</v>
      </c>
    </row>
    <row r="8808" spans="1:15" ht="48" x14ac:dyDescent="0.2">
      <c r="A8808" s="7" t="str">
        <f>HYPERLINK("https://otsuka-europe-crm.veevavault.com/ui/#object/account__v/V4TZ06G6O71TK2K", "JESSICA OTILIA PEREZ TRIVEÑO")</f>
        <v>JESSICA OTILIA PEREZ TRIVEÑO</v>
      </c>
      <c r="B8808" s="7" t="str">
        <f t="shared" si="323"/>
        <v>ES</v>
      </c>
      <c r="C8808" s="8" t="s">
        <v>39</v>
      </c>
      <c r="D8808" s="9" t="str">
        <f t="shared" si="324"/>
        <v>AM2M - PSIQUIATRIA - Guía manejo práctico AM2M</v>
      </c>
      <c r="E8808" s="10" t="str">
        <f>HYPERLINK("https://otsuka-europe-crm.veevavault.com/ui/#object/sent_email__v/VBL00000003H205", "SE-001448618")</f>
        <v>SE-001448618</v>
      </c>
      <c r="F8808" s="11"/>
      <c r="G8808" s="12">
        <v>0</v>
      </c>
      <c r="H8808" s="12">
        <v>0</v>
      </c>
      <c r="I8808" s="12">
        <v>0</v>
      </c>
      <c r="J8808" s="11"/>
      <c r="K8808" s="12">
        <v>0</v>
      </c>
      <c r="L8808" s="10" t="str">
        <f t="shared" si="325"/>
        <v>AM2M - PSIQUIATRIA - Guía manejo práctico AM2M</v>
      </c>
      <c r="M8808" s="10" t="str">
        <f t="shared" si="326"/>
        <v>iortega@crm.otsuka-europe.com</v>
      </c>
      <c r="N8808" s="13">
        <v>46234.432638888888</v>
      </c>
      <c r="O8808" s="14" t="str">
        <f>HYPERLINK("https://otsuka-europe-crm.veevavault.com/ui/#object/email_activity__v/V8C00000004F219", "EN-002110248")</f>
        <v>EN-002110248</v>
      </c>
    </row>
    <row r="8809" spans="1:15" ht="16" x14ac:dyDescent="0.2">
      <c r="A8809" s="18" t="str">
        <f>HYPERLINK("https://otsuka-europe-crm.veevavault.com/ui/#object/account__v/V4TZ06G6O71TCHF", "GUIOMAR TOMAS PENELAS")</f>
        <v>GUIOMAR TOMAS PENELAS</v>
      </c>
      <c r="B8809" s="18" t="str">
        <f t="shared" si="323"/>
        <v>ES</v>
      </c>
      <c r="C8809" s="20" t="s">
        <v>39</v>
      </c>
      <c r="D8809" s="21" t="str">
        <f t="shared" si="324"/>
        <v>AM2M - PSIQUIATRIA - Guía manejo práctico AM2M</v>
      </c>
      <c r="E8809" s="22" t="str">
        <f>HYPERLINK("https://otsuka-europe-crm.veevavault.com/ui/#object/sent_email__v/VBL00000003H206", "SE-001448619")</f>
        <v>SE-001448619</v>
      </c>
      <c r="F8809" s="25">
        <v>46234.969606481478</v>
      </c>
      <c r="G8809" s="24">
        <v>1</v>
      </c>
      <c r="H8809" s="24">
        <v>1</v>
      </c>
      <c r="I8809" s="24">
        <v>0</v>
      </c>
      <c r="J8809" s="23"/>
      <c r="K8809" s="24">
        <v>0</v>
      </c>
      <c r="L8809" s="22" t="str">
        <f t="shared" si="325"/>
        <v>AM2M - PSIQUIATRIA - Guía manejo práctico AM2M</v>
      </c>
      <c r="M8809" s="22" t="str">
        <f t="shared" si="326"/>
        <v>iortega@crm.otsuka-europe.com</v>
      </c>
      <c r="N8809" s="25">
        <v>46234.432638888888</v>
      </c>
      <c r="O8809" s="14" t="str">
        <f>HYPERLINK("https://otsuka-europe-crm.veevavault.com/ui/#object/email_activity__v/V8C00000004F235", "EN-002110275")</f>
        <v>EN-002110275</v>
      </c>
    </row>
    <row r="8810" spans="1:15" ht="16" x14ac:dyDescent="0.2">
      <c r="A8810" s="19"/>
      <c r="B8810" s="19"/>
      <c r="C8810" s="19"/>
      <c r="D8810" s="19"/>
      <c r="E8810" s="19"/>
      <c r="F8810" s="19"/>
      <c r="G8810" s="19"/>
      <c r="H8810" s="19"/>
      <c r="I8810" s="19"/>
      <c r="J8810" s="19"/>
      <c r="K8810" s="19"/>
      <c r="L8810" s="19"/>
      <c r="M8810" s="19"/>
      <c r="N8810" s="19"/>
      <c r="O8810" s="14" t="str">
        <f>HYPERLINK("https://otsuka-europe-crm.veevavault.com/ui/#object/email_activity__v/V8C00000004F496", "EN-002110935")</f>
        <v>EN-002110935</v>
      </c>
    </row>
    <row r="8811" spans="1:15" ht="48" x14ac:dyDescent="0.2">
      <c r="A8811" s="7" t="str">
        <f>HYPERLINK("https://otsuka-europe-crm.veevavault.com/ui/#object/account__v/V4TZ06G6O71T97Z", "FRANCISCA BATLLE BATLLE")</f>
        <v>FRANCISCA BATLLE BATLLE</v>
      </c>
      <c r="B8811" s="7" t="str">
        <f t="shared" ref="B8811:B8817" si="327">HYPERLINK("https://otsuka-europe-crm.veevavault.com/ui/#object/vcountry__v/VENZ000004SONF5", "ES")</f>
        <v>ES</v>
      </c>
      <c r="C8811" s="8" t="s">
        <v>39</v>
      </c>
      <c r="D8811" s="9" t="str">
        <f t="shared" ref="D8811:D8817" si="328">HYPERLINK("https://otsuka-europe-crm.veevavault.com/ui/#object/approved_document__v/V5O00000000R009", "AM2M - PSIQUIATRIA - Guía manejo práctico AM2M")</f>
        <v>AM2M - PSIQUIATRIA - Guía manejo práctico AM2M</v>
      </c>
      <c r="E8811" s="10" t="str">
        <f>HYPERLINK("https://otsuka-europe-crm.veevavault.com/ui/#object/sent_email__v/VBL00000003H207", "SE-001448620")</f>
        <v>SE-001448620</v>
      </c>
      <c r="F8811" s="11"/>
      <c r="G8811" s="12">
        <v>0</v>
      </c>
      <c r="H8811" s="12">
        <v>0</v>
      </c>
      <c r="I8811" s="12">
        <v>0</v>
      </c>
      <c r="J8811" s="11"/>
      <c r="K8811" s="12">
        <v>0</v>
      </c>
      <c r="L8811" s="10" t="str">
        <f t="shared" ref="L8811:L8817" si="329">HYPERLINK("https://otsuka-europe-crm.veevavault.com/ui/#object/approved_document__v/V5O00000000R009", "AM2M - PSIQUIATRIA - Guía manejo práctico AM2M")</f>
        <v>AM2M - PSIQUIATRIA - Guía manejo práctico AM2M</v>
      </c>
      <c r="M8811" s="10" t="str">
        <f t="shared" ref="M8811:M8817" si="330">HYPERLINK("mailto:iortega@crm.otsuka-europe.com", "iortega@crm.otsuka-europe.com")</f>
        <v>iortega@crm.otsuka-europe.com</v>
      </c>
      <c r="N8811" s="13">
        <v>46234.432638888888</v>
      </c>
      <c r="O8811" s="14" t="str">
        <f>HYPERLINK("https://otsuka-europe-crm.veevavault.com/ui/#object/email_activity__v/V8C00000004G250", "EN-002110262")</f>
        <v>EN-002110262</v>
      </c>
    </row>
    <row r="8812" spans="1:15" ht="48" x14ac:dyDescent="0.2">
      <c r="A8812" s="7" t="str">
        <f>HYPERLINK("https://otsuka-europe-crm.veevavault.com/ui/#object/account__v/V4TZ025E833M9LT", "ISABEL PAINO AMAYRA")</f>
        <v>ISABEL PAINO AMAYRA</v>
      </c>
      <c r="B8812" s="7" t="str">
        <f t="shared" si="327"/>
        <v>ES</v>
      </c>
      <c r="C8812" s="8" t="s">
        <v>39</v>
      </c>
      <c r="D8812" s="9" t="str">
        <f t="shared" si="328"/>
        <v>AM2M - PSIQUIATRIA - Guía manejo práctico AM2M</v>
      </c>
      <c r="E8812" s="10" t="str">
        <f>HYPERLINK("https://otsuka-europe-crm.veevavault.com/ui/#object/sent_email__v/VBL00000003H208", "SE-001448621")</f>
        <v>SE-001448621</v>
      </c>
      <c r="F8812" s="11"/>
      <c r="G8812" s="12">
        <v>0</v>
      </c>
      <c r="H8812" s="12">
        <v>0</v>
      </c>
      <c r="I8812" s="12">
        <v>0</v>
      </c>
      <c r="J8812" s="11"/>
      <c r="K8812" s="12">
        <v>0</v>
      </c>
      <c r="L8812" s="10" t="str">
        <f t="shared" si="329"/>
        <v>AM2M - PSIQUIATRIA - Guía manejo práctico AM2M</v>
      </c>
      <c r="M8812" s="10" t="str">
        <f t="shared" si="330"/>
        <v>iortega@crm.otsuka-europe.com</v>
      </c>
      <c r="N8812" s="13">
        <v>46234.432638888888</v>
      </c>
      <c r="O8812" s="14" t="str">
        <f>HYPERLINK("https://otsuka-europe-crm.veevavault.com/ui/#object/email_activity__v/V8C00000004F223", "EN-002110252")</f>
        <v>EN-002110252</v>
      </c>
    </row>
    <row r="8813" spans="1:15" ht="48" x14ac:dyDescent="0.2">
      <c r="A8813" s="7" t="str">
        <f>HYPERLINK("https://otsuka-europe-crm.veevavault.com/ui/#object/account__v/V4TZ06G6O71TCCZ", "ISABEL TRULLS VILA")</f>
        <v>ISABEL TRULLS VILA</v>
      </c>
      <c r="B8813" s="7" t="str">
        <f t="shared" si="327"/>
        <v>ES</v>
      </c>
      <c r="C8813" s="8" t="s">
        <v>39</v>
      </c>
      <c r="D8813" s="9" t="str">
        <f t="shared" si="328"/>
        <v>AM2M - PSIQUIATRIA - Guía manejo práctico AM2M</v>
      </c>
      <c r="E8813" s="10" t="str">
        <f>HYPERLINK("https://otsuka-europe-crm.veevavault.com/ui/#object/sent_email__v/VBL00000003H209", "SE-001448622")</f>
        <v>SE-001448622</v>
      </c>
      <c r="F8813" s="11"/>
      <c r="G8813" s="12">
        <v>0</v>
      </c>
      <c r="H8813" s="12">
        <v>0</v>
      </c>
      <c r="I8813" s="12">
        <v>0</v>
      </c>
      <c r="J8813" s="11"/>
      <c r="K8813" s="12">
        <v>0</v>
      </c>
      <c r="L8813" s="10" t="str">
        <f t="shared" si="329"/>
        <v>AM2M - PSIQUIATRIA - Guía manejo práctico AM2M</v>
      </c>
      <c r="M8813" s="10" t="str">
        <f t="shared" si="330"/>
        <v>iortega@crm.otsuka-europe.com</v>
      </c>
      <c r="N8813" s="13">
        <v>46234.432638888888</v>
      </c>
      <c r="O8813" s="14" t="str">
        <f>HYPERLINK("https://otsuka-europe-crm.veevavault.com/ui/#object/email_activity__v/V8C00000004G253", "EN-002110265")</f>
        <v>EN-002110265</v>
      </c>
    </row>
    <row r="8814" spans="1:15" ht="48" x14ac:dyDescent="0.2">
      <c r="A8814" s="7" t="str">
        <f>HYPERLINK("https://otsuka-europe-crm.veevavault.com/ui/#object/account__v/V4TZ06G6O71TAA2", "JORDI GIMENEZ-SALINAS BOTELLA")</f>
        <v>JORDI GIMENEZ-SALINAS BOTELLA</v>
      </c>
      <c r="B8814" s="7" t="str">
        <f t="shared" si="327"/>
        <v>ES</v>
      </c>
      <c r="C8814" s="8" t="s">
        <v>39</v>
      </c>
      <c r="D8814" s="9" t="str">
        <f t="shared" si="328"/>
        <v>AM2M - PSIQUIATRIA - Guía manejo práctico AM2M</v>
      </c>
      <c r="E8814" s="10" t="str">
        <f>HYPERLINK("https://otsuka-europe-crm.veevavault.com/ui/#object/sent_email__v/VBL00000003H210", "SE-001448623")</f>
        <v>SE-001448623</v>
      </c>
      <c r="F8814" s="11"/>
      <c r="G8814" s="12">
        <v>0</v>
      </c>
      <c r="H8814" s="12">
        <v>0</v>
      </c>
      <c r="I8814" s="12">
        <v>0</v>
      </c>
      <c r="J8814" s="11"/>
      <c r="K8814" s="12">
        <v>0</v>
      </c>
      <c r="L8814" s="10" t="str">
        <f t="shared" si="329"/>
        <v>AM2M - PSIQUIATRIA - Guía manejo práctico AM2M</v>
      </c>
      <c r="M8814" s="10" t="str">
        <f t="shared" si="330"/>
        <v>iortega@crm.otsuka-europe.com</v>
      </c>
      <c r="N8814" s="13">
        <v>46234.432638888888</v>
      </c>
      <c r="O8814" s="14" t="str">
        <f>HYPERLINK("https://otsuka-europe-crm.veevavault.com/ui/#object/email_activity__v/V8C00000004G247", "EN-002110259")</f>
        <v>EN-002110259</v>
      </c>
    </row>
    <row r="8815" spans="1:15" ht="48" x14ac:dyDescent="0.2">
      <c r="A8815" s="7" t="str">
        <f>HYPERLINK("https://otsuka-europe-crm.veevavault.com/ui/#object/account__v/V4TZ025E833MLHJ", "GERARD LIRIA GUILLAMON")</f>
        <v>GERARD LIRIA GUILLAMON</v>
      </c>
      <c r="B8815" s="7" t="str">
        <f t="shared" si="327"/>
        <v>ES</v>
      </c>
      <c r="C8815" s="8" t="s">
        <v>39</v>
      </c>
      <c r="D8815" s="9" t="str">
        <f t="shared" si="328"/>
        <v>AM2M - PSIQUIATRIA - Guía manejo práctico AM2M</v>
      </c>
      <c r="E8815" s="10" t="str">
        <f>HYPERLINK("https://otsuka-europe-crm.veevavault.com/ui/#object/sent_email__v/VBL00000003H211", "SE-001448624")</f>
        <v>SE-001448624</v>
      </c>
      <c r="F8815" s="11"/>
      <c r="G8815" s="12">
        <v>0</v>
      </c>
      <c r="H8815" s="12">
        <v>0</v>
      </c>
      <c r="I8815" s="12">
        <v>0</v>
      </c>
      <c r="J8815" s="11"/>
      <c r="K8815" s="12">
        <v>0</v>
      </c>
      <c r="L8815" s="10" t="str">
        <f t="shared" si="329"/>
        <v>AM2M - PSIQUIATRIA - Guía manejo práctico AM2M</v>
      </c>
      <c r="M8815" s="10" t="str">
        <f t="shared" si="330"/>
        <v>iortega@crm.otsuka-europe.com</v>
      </c>
      <c r="N8815" s="13">
        <v>46234.432638888888</v>
      </c>
      <c r="O8815" s="14" t="str">
        <f>HYPERLINK("https://otsuka-europe-crm.veevavault.com/ui/#object/email_activity__v/V8C00000004F237", "EN-002110277")</f>
        <v>EN-002110277</v>
      </c>
    </row>
    <row r="8816" spans="1:15" ht="48" x14ac:dyDescent="0.2">
      <c r="A8816" s="7" t="str">
        <f>HYPERLINK("https://otsuka-europe-crm.veevavault.com/ui/#object/account__v/V4TZ06G6O71TBBQ", "EVARISTO NIETO RODRIGUEZ")</f>
        <v>EVARISTO NIETO RODRIGUEZ</v>
      </c>
      <c r="B8816" s="7" t="str">
        <f t="shared" si="327"/>
        <v>ES</v>
      </c>
      <c r="C8816" s="8" t="s">
        <v>39</v>
      </c>
      <c r="D8816" s="9" t="str">
        <f t="shared" si="328"/>
        <v>AM2M - PSIQUIATRIA - Guía manejo práctico AM2M</v>
      </c>
      <c r="E8816" s="10" t="str">
        <f>HYPERLINK("https://otsuka-europe-crm.veevavault.com/ui/#object/sent_email__v/VBL00000003H212", "SE-001448625")</f>
        <v>SE-001448625</v>
      </c>
      <c r="F8816" s="11"/>
      <c r="G8816" s="12">
        <v>0</v>
      </c>
      <c r="H8816" s="12">
        <v>0</v>
      </c>
      <c r="I8816" s="12">
        <v>0</v>
      </c>
      <c r="J8816" s="11"/>
      <c r="K8816" s="12">
        <v>0</v>
      </c>
      <c r="L8816" s="10" t="str">
        <f t="shared" si="329"/>
        <v>AM2M - PSIQUIATRIA - Guía manejo práctico AM2M</v>
      </c>
      <c r="M8816" s="10" t="str">
        <f t="shared" si="330"/>
        <v>iortega@crm.otsuka-europe.com</v>
      </c>
      <c r="N8816" s="13">
        <v>46234.432638888888</v>
      </c>
      <c r="O8816" s="14" t="str">
        <f>HYPERLINK("https://otsuka-europe-crm.veevavault.com/ui/#object/email_activity__v/V8C00000004F225", "EN-002110254")</f>
        <v>EN-002110254</v>
      </c>
    </row>
    <row r="8817" spans="1:15" ht="16" x14ac:dyDescent="0.2">
      <c r="A8817" s="18" t="str">
        <f>HYPERLINK("https://otsuka-europe-crm.veevavault.com/ui/#object/account__v/V4TZ06G6O9VM4U4", "FRANCESC CASANOVAS MARTINEZ")</f>
        <v>FRANCESC CASANOVAS MARTINEZ</v>
      </c>
      <c r="B8817" s="18" t="str">
        <f t="shared" si="327"/>
        <v>ES</v>
      </c>
      <c r="C8817" s="20" t="s">
        <v>39</v>
      </c>
      <c r="D8817" s="21" t="str">
        <f t="shared" si="328"/>
        <v>AM2M - PSIQUIATRIA - Guía manejo práctico AM2M</v>
      </c>
      <c r="E8817" s="22" t="str">
        <f>HYPERLINK("https://otsuka-europe-crm.veevavault.com/ui/#object/sent_email__v/VBL00000003H213", "SE-001448626")</f>
        <v>SE-001448626</v>
      </c>
      <c r="F8817" s="25">
        <v>46234.507418981484</v>
      </c>
      <c r="G8817" s="24">
        <v>1</v>
      </c>
      <c r="H8817" s="24">
        <v>4</v>
      </c>
      <c r="I8817" s="24">
        <v>0</v>
      </c>
      <c r="J8817" s="23"/>
      <c r="K8817" s="24">
        <v>0</v>
      </c>
      <c r="L8817" s="22" t="str">
        <f t="shared" si="329"/>
        <v>AM2M - PSIQUIATRIA - Guía manejo práctico AM2M</v>
      </c>
      <c r="M8817" s="22" t="str">
        <f t="shared" si="330"/>
        <v>iortega@crm.otsuka-europe.com</v>
      </c>
      <c r="N8817" s="25">
        <v>46234.432638888888</v>
      </c>
      <c r="O8817" s="14" t="str">
        <f>HYPERLINK("https://otsuka-europe-crm.veevavault.com/ui/#object/email_activity__v/V8C00000004F216", "EN-002110245")</f>
        <v>EN-002110245</v>
      </c>
    </row>
    <row r="8818" spans="1:15" ht="16" x14ac:dyDescent="0.2">
      <c r="A8818" s="26"/>
      <c r="B8818" s="26"/>
      <c r="C8818" s="26"/>
      <c r="D8818" s="26"/>
      <c r="E8818" s="26"/>
      <c r="F8818" s="26"/>
      <c r="G8818" s="26"/>
      <c r="H8818" s="26"/>
      <c r="I8818" s="26"/>
      <c r="J8818" s="26"/>
      <c r="K8818" s="26"/>
      <c r="L8818" s="26"/>
      <c r="M8818" s="26"/>
      <c r="N8818" s="26"/>
      <c r="O8818" s="14" t="str">
        <f>HYPERLINK("https://otsuka-europe-crm.veevavault.com/ui/#object/email_activity__v/V8C00000004F244", "EN-002110284")</f>
        <v>EN-002110284</v>
      </c>
    </row>
    <row r="8819" spans="1:15" ht="16" x14ac:dyDescent="0.2">
      <c r="A8819" s="26"/>
      <c r="B8819" s="26"/>
      <c r="C8819" s="26"/>
      <c r="D8819" s="26"/>
      <c r="E8819" s="26"/>
      <c r="F8819" s="26"/>
      <c r="G8819" s="26"/>
      <c r="H8819" s="26"/>
      <c r="I8819" s="26"/>
      <c r="J8819" s="26"/>
      <c r="K8819" s="26"/>
      <c r="L8819" s="26"/>
      <c r="M8819" s="26"/>
      <c r="N8819" s="26"/>
      <c r="O8819" s="14" t="str">
        <f>HYPERLINK("https://otsuka-europe-crm.veevavault.com/ui/#object/email_activity__v/V8C00000004F245", "EN-002110285")</f>
        <v>EN-002110285</v>
      </c>
    </row>
    <row r="8820" spans="1:15" ht="16" x14ac:dyDescent="0.2">
      <c r="A8820" s="26"/>
      <c r="B8820" s="26"/>
      <c r="C8820" s="26"/>
      <c r="D8820" s="26"/>
      <c r="E8820" s="26"/>
      <c r="F8820" s="26"/>
      <c r="G8820" s="26"/>
      <c r="H8820" s="26"/>
      <c r="I8820" s="26"/>
      <c r="J8820" s="26"/>
      <c r="K8820" s="26"/>
      <c r="L8820" s="26"/>
      <c r="M8820" s="26"/>
      <c r="N8820" s="26"/>
      <c r="O8820" s="14" t="str">
        <f>HYPERLINK("https://otsuka-europe-crm.veevavault.com/ui/#object/email_activity__v/V8C00000004G546", "EN-002110710")</f>
        <v>EN-002110710</v>
      </c>
    </row>
    <row r="8821" spans="1:15" ht="16" x14ac:dyDescent="0.2">
      <c r="A8821" s="19"/>
      <c r="B8821" s="19"/>
      <c r="C8821" s="19"/>
      <c r="D8821" s="19"/>
      <c r="E8821" s="19"/>
      <c r="F8821" s="19"/>
      <c r="G8821" s="19"/>
      <c r="H8821" s="19"/>
      <c r="I8821" s="19"/>
      <c r="J8821" s="19"/>
      <c r="K8821" s="19"/>
      <c r="L8821" s="19"/>
      <c r="M8821" s="19"/>
      <c r="N8821" s="19"/>
      <c r="O8821" s="14" t="str">
        <f>HYPERLINK("https://otsuka-europe-crm.veevavault.com/ui/#object/email_activity__v/V8C00000004G547", "EN-002110711")</f>
        <v>EN-002110711</v>
      </c>
    </row>
    <row r="8822" spans="1:15" ht="48" x14ac:dyDescent="0.2">
      <c r="A8822" s="7" t="str">
        <f>HYPERLINK("https://otsuka-europe-crm.veevavault.com/ui/#object/account__v/V4TZ06G6O71TAPY", "ESTHER LOBO POLIDANO")</f>
        <v>ESTHER LOBO POLIDANO</v>
      </c>
      <c r="B8822" s="7" t="str">
        <f>HYPERLINK("https://otsuka-europe-crm.veevavault.com/ui/#object/vcountry__v/VENZ000004SONF5", "ES")</f>
        <v>ES</v>
      </c>
      <c r="C8822" s="8" t="s">
        <v>39</v>
      </c>
      <c r="D8822" s="9" t="str">
        <f>HYPERLINK("https://otsuka-europe-crm.veevavault.com/ui/#object/approved_document__v/V5O00000000R009", "AM2M - PSIQUIATRIA - Guía manejo práctico AM2M")</f>
        <v>AM2M - PSIQUIATRIA - Guía manejo práctico AM2M</v>
      </c>
      <c r="E8822" s="10" t="str">
        <f>HYPERLINK("https://otsuka-europe-crm.veevavault.com/ui/#object/sent_email__v/VBL00000003H214", "SE-001448627")</f>
        <v>SE-001448627</v>
      </c>
      <c r="F8822" s="11"/>
      <c r="G8822" s="12">
        <v>0</v>
      </c>
      <c r="H8822" s="12">
        <v>0</v>
      </c>
      <c r="I8822" s="12">
        <v>0</v>
      </c>
      <c r="J8822" s="11"/>
      <c r="K8822" s="12">
        <v>0</v>
      </c>
      <c r="L8822" s="10" t="str">
        <f>HYPERLINK("https://otsuka-europe-crm.veevavault.com/ui/#object/approved_document__v/V5O00000000R009", "AM2M - PSIQUIATRIA - Guía manejo práctico AM2M")</f>
        <v>AM2M - PSIQUIATRIA - Guía manejo práctico AM2M</v>
      </c>
      <c r="M8822" s="10" t="str">
        <f>HYPERLINK("mailto:iortega@crm.otsuka-europe.com", "iortega@crm.otsuka-europe.com")</f>
        <v>iortega@crm.otsuka-europe.com</v>
      </c>
      <c r="N8822" s="13">
        <v>46234.432638888888</v>
      </c>
      <c r="O8822" s="14" t="str">
        <f>HYPERLINK("https://otsuka-europe-crm.veevavault.com/ui/#object/email_activity__v/V8C00000004F215", "EN-002110244")</f>
        <v>EN-002110244</v>
      </c>
    </row>
    <row r="8823" spans="1:15" ht="48" x14ac:dyDescent="0.2">
      <c r="A8823" s="7" t="str">
        <f>HYPERLINK("https://otsuka-europe-crm.veevavault.com/ui/#object/account__v/V4TZ025E890QBCT", "JOHN HENRY BOHORQUEZ BUITRAGO")</f>
        <v>JOHN HENRY BOHORQUEZ BUITRAGO</v>
      </c>
      <c r="B8823" s="7" t="str">
        <f>HYPERLINK("https://otsuka-europe-crm.veevavault.com/ui/#object/vcountry__v/VENZ000004SONF5", "ES")</f>
        <v>ES</v>
      </c>
      <c r="C8823" s="8" t="s">
        <v>39</v>
      </c>
      <c r="D8823" s="9" t="str">
        <f>HYPERLINK("https://otsuka-europe-crm.veevavault.com/ui/#object/approved_document__v/V5O00000000R009", "AM2M - PSIQUIATRIA - Guía manejo práctico AM2M")</f>
        <v>AM2M - PSIQUIATRIA - Guía manejo práctico AM2M</v>
      </c>
      <c r="E8823" s="10" t="str">
        <f>HYPERLINK("https://otsuka-europe-crm.veevavault.com/ui/#object/sent_email__v/VBL00000003H215", "SE-001448628")</f>
        <v>SE-001448628</v>
      </c>
      <c r="F8823" s="11"/>
      <c r="G8823" s="12">
        <v>0</v>
      </c>
      <c r="H8823" s="12">
        <v>0</v>
      </c>
      <c r="I8823" s="12">
        <v>0</v>
      </c>
      <c r="J8823" s="11"/>
      <c r="K8823" s="12">
        <v>0</v>
      </c>
      <c r="L8823" s="10" t="str">
        <f>HYPERLINK("https://otsuka-europe-crm.veevavault.com/ui/#object/approved_document__v/V5O00000000R009", "AM2M - PSIQUIATRIA - Guía manejo práctico AM2M")</f>
        <v>AM2M - PSIQUIATRIA - Guía manejo práctico AM2M</v>
      </c>
      <c r="M8823" s="10" t="str">
        <f>HYPERLINK("mailto:iortega@crm.otsuka-europe.com", "iortega@crm.otsuka-europe.com")</f>
        <v>iortega@crm.otsuka-europe.com</v>
      </c>
      <c r="N8823" s="13">
        <v>46234.432638888888</v>
      </c>
      <c r="O8823" s="14" t="str">
        <f>HYPERLINK("https://otsuka-europe-crm.veevavault.com/ui/#object/email_activity__v/V8C00000004F220", "EN-002110249")</f>
        <v>EN-002110249</v>
      </c>
    </row>
    <row r="8824" spans="1:15" ht="48" x14ac:dyDescent="0.2">
      <c r="A8824" s="7" t="str">
        <f>HYPERLINK("https://otsuka-europe-crm.veevavault.com/ui/#object/account__v/V4TZ06G6O71T8P6", "JONATAN REAL MOLINA")</f>
        <v>JONATAN REAL MOLINA</v>
      </c>
      <c r="B8824" s="7" t="str">
        <f>HYPERLINK("https://otsuka-europe-crm.veevavault.com/ui/#object/vcountry__v/VENZ000004SONF5", "ES")</f>
        <v>ES</v>
      </c>
      <c r="C8824" s="8" t="s">
        <v>39</v>
      </c>
      <c r="D8824" s="9" t="str">
        <f>HYPERLINK("https://otsuka-europe-crm.veevavault.com/ui/#object/approved_document__v/V5O00000000R009", "AM2M - PSIQUIATRIA - Guía manejo práctico AM2M")</f>
        <v>AM2M - PSIQUIATRIA - Guía manejo práctico AM2M</v>
      </c>
      <c r="E8824" s="10" t="str">
        <f>HYPERLINK("https://otsuka-europe-crm.veevavault.com/ui/#object/sent_email__v/VBL00000003H216", "SE-001448629")</f>
        <v>SE-001448629</v>
      </c>
      <c r="F8824" s="11"/>
      <c r="G8824" s="12">
        <v>0</v>
      </c>
      <c r="H8824" s="12">
        <v>0</v>
      </c>
      <c r="I8824" s="12">
        <v>0</v>
      </c>
      <c r="J8824" s="11"/>
      <c r="K8824" s="12">
        <v>0</v>
      </c>
      <c r="L8824" s="10" t="str">
        <f>HYPERLINK("https://otsuka-europe-crm.veevavault.com/ui/#object/approved_document__v/V5O00000000R009", "AM2M - PSIQUIATRIA - Guía manejo práctico AM2M")</f>
        <v>AM2M - PSIQUIATRIA - Guía manejo práctico AM2M</v>
      </c>
      <c r="M8824" s="10" t="str">
        <f>HYPERLINK("mailto:iortega@crm.otsuka-europe.com", "iortega@crm.otsuka-europe.com")</f>
        <v>iortega@crm.otsuka-europe.com</v>
      </c>
      <c r="N8824" s="13">
        <v>46234.432638888888</v>
      </c>
      <c r="O8824" s="14" t="str">
        <f>HYPERLINK("https://otsuka-europe-crm.veevavault.com/ui/#object/email_activity__v/V8C00000004G245", "EN-002110257")</f>
        <v>EN-002110257</v>
      </c>
    </row>
    <row r="8825" spans="1:15" ht="48" x14ac:dyDescent="0.2">
      <c r="A8825" s="7" t="str">
        <f>HYPERLINK("https://otsuka-europe-crm.veevavault.com/ui/#object/account__v/V4TZ06G6O71TBT1", "INMACULADA RIVAS PUY")</f>
        <v>INMACULADA RIVAS PUY</v>
      </c>
      <c r="B8825" s="7" t="str">
        <f>HYPERLINK("https://otsuka-europe-crm.veevavault.com/ui/#object/vcountry__v/VENZ000004SONF5", "ES")</f>
        <v>ES</v>
      </c>
      <c r="C8825" s="8" t="s">
        <v>39</v>
      </c>
      <c r="D8825" s="9" t="str">
        <f>HYPERLINK("https://otsuka-europe-crm.veevavault.com/ui/#object/approved_document__v/V5O00000000R009", "AM2M - PSIQUIATRIA - Guía manejo práctico AM2M")</f>
        <v>AM2M - PSIQUIATRIA - Guía manejo práctico AM2M</v>
      </c>
      <c r="E8825" s="10" t="str">
        <f>HYPERLINK("https://otsuka-europe-crm.veevavault.com/ui/#object/sent_email__v/VBL00000003H217", "SE-001448630")</f>
        <v>SE-001448630</v>
      </c>
      <c r="F8825" s="11"/>
      <c r="G8825" s="12">
        <v>0</v>
      </c>
      <c r="H8825" s="12">
        <v>0</v>
      </c>
      <c r="I8825" s="12">
        <v>0</v>
      </c>
      <c r="J8825" s="11"/>
      <c r="K8825" s="12">
        <v>0</v>
      </c>
      <c r="L8825" s="10" t="str">
        <f>HYPERLINK("https://otsuka-europe-crm.veevavault.com/ui/#object/approved_document__v/V5O00000000R009", "AM2M - PSIQUIATRIA - Guía manejo práctico AM2M")</f>
        <v>AM2M - PSIQUIATRIA - Guía manejo práctico AM2M</v>
      </c>
      <c r="M8825" s="10" t="str">
        <f>HYPERLINK("mailto:iortega@crm.otsuka-europe.com", "iortega@crm.otsuka-europe.com")</f>
        <v>iortega@crm.otsuka-europe.com</v>
      </c>
      <c r="N8825" s="13">
        <v>46234.432638888888</v>
      </c>
      <c r="O8825" s="14" t="str">
        <f>HYPERLINK("https://otsuka-europe-crm.veevavault.com/ui/#object/email_activity__v/V8C00000004G244", "EN-002110256")</f>
        <v>EN-002110256</v>
      </c>
    </row>
    <row r="8826" spans="1:15" ht="16" x14ac:dyDescent="0.2">
      <c r="A8826" s="18" t="str">
        <f>HYPERLINK("https://otsuka-europe-crm.veevavault.com/ui/#object/account__v/V4TZ06G6O71T7MR", "INGRID TATIANA BUSTOS CARDONA")</f>
        <v>INGRID TATIANA BUSTOS CARDONA</v>
      </c>
      <c r="B8826" s="18" t="str">
        <f>HYPERLINK("https://otsuka-europe-crm.veevavault.com/ui/#object/vcountry__v/VENZ000004SONF5", "ES")</f>
        <v>ES</v>
      </c>
      <c r="C8826" s="20" t="s">
        <v>39</v>
      </c>
      <c r="D8826" s="21" t="str">
        <f>HYPERLINK("https://otsuka-europe-crm.veevavault.com/ui/#object/approved_document__v/V5O00000000R009", "AM2M - PSIQUIATRIA - Guía manejo práctico AM2M")</f>
        <v>AM2M - PSIQUIATRIA - Guía manejo práctico AM2M</v>
      </c>
      <c r="E8826" s="22" t="str">
        <f>HYPERLINK("https://otsuka-europe-crm.veevavault.com/ui/#object/sent_email__v/VBL00000003H218", "SE-001448631")</f>
        <v>SE-001448631</v>
      </c>
      <c r="F8826" s="25">
        <v>46234.432789351849</v>
      </c>
      <c r="G8826" s="24">
        <v>1</v>
      </c>
      <c r="H8826" s="24">
        <v>2</v>
      </c>
      <c r="I8826" s="24">
        <v>0</v>
      </c>
      <c r="J8826" s="23"/>
      <c r="K8826" s="24">
        <v>0</v>
      </c>
      <c r="L8826" s="22" t="str">
        <f>HYPERLINK("https://otsuka-europe-crm.veevavault.com/ui/#object/approved_document__v/V5O00000000R009", "AM2M - PSIQUIATRIA - Guía manejo práctico AM2M")</f>
        <v>AM2M - PSIQUIATRIA - Guía manejo práctico AM2M</v>
      </c>
      <c r="M8826" s="22" t="str">
        <f>HYPERLINK("mailto:iortega@crm.otsuka-europe.com", "iortega@crm.otsuka-europe.com")</f>
        <v>iortega@crm.otsuka-europe.com</v>
      </c>
      <c r="N8826" s="25">
        <v>46234.432638888888</v>
      </c>
      <c r="O8826" s="14" t="str">
        <f>HYPERLINK("https://otsuka-europe-crm.veevavault.com/ui/#object/email_activity__v/V8C00000004F231", "EN-002110271")</f>
        <v>EN-002110271</v>
      </c>
    </row>
    <row r="8827" spans="1:15" ht="16" x14ac:dyDescent="0.2">
      <c r="A8827" s="26"/>
      <c r="B8827" s="26"/>
      <c r="C8827" s="26"/>
      <c r="D8827" s="26"/>
      <c r="E8827" s="26"/>
      <c r="F8827" s="26"/>
      <c r="G8827" s="26"/>
      <c r="H8827" s="26"/>
      <c r="I8827" s="26"/>
      <c r="J8827" s="26"/>
      <c r="K8827" s="26"/>
      <c r="L8827" s="26"/>
      <c r="M8827" s="26"/>
      <c r="N8827" s="26"/>
      <c r="O8827" s="14" t="str">
        <f>HYPERLINK("https://otsuka-europe-crm.veevavault.com/ui/#object/email_activity__v/V8C00000004F234", "EN-002110274")</f>
        <v>EN-002110274</v>
      </c>
    </row>
    <row r="8828" spans="1:15" ht="16" x14ac:dyDescent="0.2">
      <c r="A8828" s="19"/>
      <c r="B8828" s="19"/>
      <c r="C8828" s="19"/>
      <c r="D8828" s="19"/>
      <c r="E8828" s="19"/>
      <c r="F8828" s="19"/>
      <c r="G8828" s="19"/>
      <c r="H8828" s="19"/>
      <c r="I8828" s="19"/>
      <c r="J8828" s="19"/>
      <c r="K8828" s="19"/>
      <c r="L8828" s="19"/>
      <c r="M8828" s="19"/>
      <c r="N8828" s="19"/>
      <c r="O8828" s="14" t="str">
        <f>HYPERLINK("https://otsuka-europe-crm.veevavault.com/ui/#object/email_activity__v/V8C00000004F241", "EN-002110281")</f>
        <v>EN-002110281</v>
      </c>
    </row>
    <row r="8829" spans="1:15" ht="16" x14ac:dyDescent="0.2">
      <c r="A8829" s="18" t="str">
        <f>HYPERLINK("https://otsuka-europe-crm.veevavault.com/ui/#object/account__v/V4TZ06G6OB47NM5", "JESUS ERNESTO CORDOVA SAEZ")</f>
        <v>JESUS ERNESTO CORDOVA SAEZ</v>
      </c>
      <c r="B8829" s="18" t="str">
        <f>HYPERLINK("https://otsuka-europe-crm.veevavault.com/ui/#object/vcountry__v/VENZ000004SONF5", "ES")</f>
        <v>ES</v>
      </c>
      <c r="C8829" s="20" t="s">
        <v>39</v>
      </c>
      <c r="D8829" s="21" t="str">
        <f>HYPERLINK("https://otsuka-europe-crm.veevavault.com/ui/#object/approved_document__v/V5O00000000R009", "AM2M - PSIQUIATRIA - Guía manejo práctico AM2M")</f>
        <v>AM2M - PSIQUIATRIA - Guía manejo práctico AM2M</v>
      </c>
      <c r="E8829" s="22" t="str">
        <f>HYPERLINK("https://otsuka-europe-crm.veevavault.com/ui/#object/sent_email__v/VBL00000003H219", "SE-001448632")</f>
        <v>SE-001448632</v>
      </c>
      <c r="F8829" s="25">
        <v>46234.691874999997</v>
      </c>
      <c r="G8829" s="24">
        <v>1</v>
      </c>
      <c r="H8829" s="24">
        <v>1</v>
      </c>
      <c r="I8829" s="24">
        <v>0</v>
      </c>
      <c r="J8829" s="23"/>
      <c r="K8829" s="24">
        <v>0</v>
      </c>
      <c r="L8829" s="22" t="str">
        <f>HYPERLINK("https://otsuka-europe-crm.veevavault.com/ui/#object/approved_document__v/V5O00000000R009", "AM2M - PSIQUIATRIA - Guía manejo práctico AM2M")</f>
        <v>AM2M - PSIQUIATRIA - Guía manejo práctico AM2M</v>
      </c>
      <c r="M8829" s="22" t="str">
        <f>HYPERLINK("mailto:iortega@crm.otsuka-europe.com", "iortega@crm.otsuka-europe.com")</f>
        <v>iortega@crm.otsuka-europe.com</v>
      </c>
      <c r="N8829" s="25">
        <v>46234.432638888888</v>
      </c>
      <c r="O8829" s="14" t="str">
        <f>HYPERLINK("https://otsuka-europe-crm.veevavault.com/ui/#object/email_activity__v/V8C00000004F221", "EN-002110250")</f>
        <v>EN-002110250</v>
      </c>
    </row>
    <row r="8830" spans="1:15" ht="16" x14ac:dyDescent="0.2">
      <c r="A8830" s="19"/>
      <c r="B8830" s="19"/>
      <c r="C8830" s="19"/>
      <c r="D8830" s="19"/>
      <c r="E8830" s="19"/>
      <c r="F8830" s="19"/>
      <c r="G8830" s="19"/>
      <c r="H8830" s="19"/>
      <c r="I8830" s="19"/>
      <c r="J8830" s="19"/>
      <c r="K8830" s="19"/>
      <c r="L8830" s="19"/>
      <c r="M8830" s="19"/>
      <c r="N8830" s="19"/>
      <c r="O8830" s="14" t="str">
        <f>HYPERLINK("https://otsuka-europe-crm.veevavault.com/ui/#object/email_activity__v/V8C00000004G612", "EN-002110823")</f>
        <v>EN-002110823</v>
      </c>
    </row>
    <row r="8831" spans="1:15" ht="16" x14ac:dyDescent="0.2">
      <c r="A8831" s="18" t="str">
        <f>HYPERLINK("https://otsuka-europe-crm.veevavault.com/ui/#object/account__v/V4TZ025E876F1X3", "FRANCISCO EMILIANO ALVARADO BERRIOS")</f>
        <v>FRANCISCO EMILIANO ALVARADO BERRIOS</v>
      </c>
      <c r="B8831" s="18" t="str">
        <f>HYPERLINK("https://otsuka-europe-crm.veevavault.com/ui/#object/vcountry__v/VENZ000004SONF5", "ES")</f>
        <v>ES</v>
      </c>
      <c r="C8831" s="20" t="s">
        <v>39</v>
      </c>
      <c r="D8831" s="21" t="str">
        <f>HYPERLINK("https://otsuka-europe-crm.veevavault.com/ui/#object/approved_document__v/V5O00000000R009", "AM2M - PSIQUIATRIA - Guía manejo práctico AM2M")</f>
        <v>AM2M - PSIQUIATRIA - Guía manejo práctico AM2M</v>
      </c>
      <c r="E8831" s="22" t="str">
        <f>HYPERLINK("https://otsuka-europe-crm.veevavault.com/ui/#object/sent_email__v/VBL00000003H220", "SE-001448633")</f>
        <v>SE-001448633</v>
      </c>
      <c r="F8831" s="25">
        <v>46234.584374999999</v>
      </c>
      <c r="G8831" s="24">
        <v>1</v>
      </c>
      <c r="H8831" s="24">
        <v>1</v>
      </c>
      <c r="I8831" s="24">
        <v>0</v>
      </c>
      <c r="J8831" s="23"/>
      <c r="K8831" s="24">
        <v>0</v>
      </c>
      <c r="L8831" s="22" t="str">
        <f>HYPERLINK("https://otsuka-europe-crm.veevavault.com/ui/#object/approved_document__v/V5O00000000R009", "AM2M - PSIQUIATRIA - Guía manejo práctico AM2M")</f>
        <v>AM2M - PSIQUIATRIA - Guía manejo práctico AM2M</v>
      </c>
      <c r="M8831" s="22" t="str">
        <f>HYPERLINK("mailto:iortega@crm.otsuka-europe.com", "iortega@crm.otsuka-europe.com")</f>
        <v>iortega@crm.otsuka-europe.com</v>
      </c>
      <c r="N8831" s="25">
        <v>46234.432638888888</v>
      </c>
      <c r="O8831" s="14" t="str">
        <f>HYPERLINK("https://otsuka-europe-crm.veevavault.com/ui/#object/email_activity__v/V8C00000004F403", "EN-002110769")</f>
        <v>EN-002110769</v>
      </c>
    </row>
    <row r="8832" spans="1:15" ht="16" x14ac:dyDescent="0.2">
      <c r="A8832" s="19"/>
      <c r="B8832" s="19"/>
      <c r="C8832" s="19"/>
      <c r="D8832" s="19"/>
      <c r="E8832" s="19"/>
      <c r="F8832" s="19"/>
      <c r="G8832" s="19"/>
      <c r="H8832" s="19"/>
      <c r="I8832" s="19"/>
      <c r="J8832" s="19"/>
      <c r="K8832" s="19"/>
      <c r="L8832" s="19"/>
      <c r="M8832" s="19"/>
      <c r="N8832" s="19"/>
      <c r="O8832" s="14" t="str">
        <f>HYPERLINK("https://otsuka-europe-crm.veevavault.com/ui/#object/email_activity__v/V8C00000004G249", "EN-002110261")</f>
        <v>EN-002110261</v>
      </c>
    </row>
    <row r="8833" spans="1:15" ht="16" x14ac:dyDescent="0.2">
      <c r="A8833" s="18" t="str">
        <f>HYPERLINK("https://otsuka-europe-crm.veevavault.com/ui/#object/account__v/V4TZ06G6O71T7ZV", "INGRID IBAÑEZ PLANS")</f>
        <v>INGRID IBAÑEZ PLANS</v>
      </c>
      <c r="B8833" s="18" t="str">
        <f>HYPERLINK("https://otsuka-europe-crm.veevavault.com/ui/#object/vcountry__v/VENZ000004SONF5", "ES")</f>
        <v>ES</v>
      </c>
      <c r="C8833" s="20" t="s">
        <v>39</v>
      </c>
      <c r="D8833" s="21" t="str">
        <f>HYPERLINK("https://otsuka-europe-crm.veevavault.com/ui/#object/approved_document__v/V5O00000000R009", "AM2M - PSIQUIATRIA - Guía manejo práctico AM2M")</f>
        <v>AM2M - PSIQUIATRIA - Guía manejo práctico AM2M</v>
      </c>
      <c r="E8833" s="22" t="str">
        <f>HYPERLINK("https://otsuka-europe-crm.veevavault.com/ui/#object/sent_email__v/VBL00000003H221", "SE-001448634")</f>
        <v>SE-001448634</v>
      </c>
      <c r="F8833" s="25">
        <v>46234.450358796297</v>
      </c>
      <c r="G8833" s="24">
        <v>1</v>
      </c>
      <c r="H8833" s="24">
        <v>1</v>
      </c>
      <c r="I8833" s="24">
        <v>1</v>
      </c>
      <c r="J8833" s="25">
        <v>46238.414618055554</v>
      </c>
      <c r="K8833" s="24">
        <v>2</v>
      </c>
      <c r="L8833" s="22" t="str">
        <f>HYPERLINK("https://otsuka-europe-crm.veevavault.com/ui/#object/approved_document__v/V5O00000000R009", "AM2M - PSIQUIATRIA - Guía manejo práctico AM2M")</f>
        <v>AM2M - PSIQUIATRIA - Guía manejo práctico AM2M</v>
      </c>
      <c r="M8833" s="22" t="str">
        <f>HYPERLINK("mailto:iortega@crm.otsuka-europe.com", "iortega@crm.otsuka-europe.com")</f>
        <v>iortega@crm.otsuka-europe.com</v>
      </c>
      <c r="N8833" s="25">
        <v>46234.432638888888</v>
      </c>
      <c r="O8833" s="14" t="str">
        <f>HYPERLINK("https://otsuka-europe-crm.veevavault.com/ui/#object/email_activity__v/V8C00000004F242", "EN-002110282")</f>
        <v>EN-002110282</v>
      </c>
    </row>
    <row r="8834" spans="1:15" ht="16" x14ac:dyDescent="0.2">
      <c r="A8834" s="26"/>
      <c r="B8834" s="26"/>
      <c r="C8834" s="26"/>
      <c r="D8834" s="26"/>
      <c r="E8834" s="26"/>
      <c r="F8834" s="26"/>
      <c r="G8834" s="26"/>
      <c r="H8834" s="26"/>
      <c r="I8834" s="26"/>
      <c r="J8834" s="26"/>
      <c r="K8834" s="26"/>
      <c r="L8834" s="26"/>
      <c r="M8834" s="26"/>
      <c r="N8834" s="26"/>
      <c r="O8834" s="14" t="str">
        <f>HYPERLINK("https://otsuka-europe-crm.veevavault.com/ui/#object/email_activity__v/V8C00000004G399", "EN-002110457")</f>
        <v>EN-002110457</v>
      </c>
    </row>
    <row r="8835" spans="1:15" ht="16" x14ac:dyDescent="0.2">
      <c r="A8835" s="26"/>
      <c r="B8835" s="26"/>
      <c r="C8835" s="26"/>
      <c r="D8835" s="26"/>
      <c r="E8835" s="26"/>
      <c r="F8835" s="26"/>
      <c r="G8835" s="26"/>
      <c r="H8835" s="26"/>
      <c r="I8835" s="26"/>
      <c r="J8835" s="26"/>
      <c r="K8835" s="26"/>
      <c r="L8835" s="26"/>
      <c r="M8835" s="26"/>
      <c r="N8835" s="26"/>
      <c r="O8835" s="14" t="str">
        <f>HYPERLINK("https://otsuka-europe-crm.veevavault.com/ui/#object/email_activity__v/V8C00000004G400", "EN-002110456")</f>
        <v>EN-002110456</v>
      </c>
    </row>
    <row r="8836" spans="1:15" ht="16" x14ac:dyDescent="0.2">
      <c r="A8836" s="26"/>
      <c r="B8836" s="26"/>
      <c r="C8836" s="26"/>
      <c r="D8836" s="26"/>
      <c r="E8836" s="26"/>
      <c r="F8836" s="26"/>
      <c r="G8836" s="26"/>
      <c r="H8836" s="26"/>
      <c r="I8836" s="26"/>
      <c r="J8836" s="26"/>
      <c r="K8836" s="26"/>
      <c r="L8836" s="26"/>
      <c r="M8836" s="26"/>
      <c r="N8836" s="26"/>
      <c r="O8836" s="14" t="str">
        <f>HYPERLINK("https://otsuka-europe-crm.veevavault.com/ui/#object/email_activity__v/V8C00000004G412", "EN-002110473")</f>
        <v>EN-002110473</v>
      </c>
    </row>
    <row r="8837" spans="1:15" ht="16" x14ac:dyDescent="0.2">
      <c r="A8837" s="26"/>
      <c r="B8837" s="26"/>
      <c r="C8837" s="26"/>
      <c r="D8837" s="26"/>
      <c r="E8837" s="26"/>
      <c r="F8837" s="26"/>
      <c r="G8837" s="26"/>
      <c r="H8837" s="26"/>
      <c r="I8837" s="26"/>
      <c r="J8837" s="26"/>
      <c r="K8837" s="26"/>
      <c r="L8837" s="26"/>
      <c r="M8837" s="26"/>
      <c r="N8837" s="26"/>
      <c r="O8837" s="14" t="str">
        <f>HYPERLINK("https://otsuka-europe-crm.veevavault.com/ui/#object/email_activity__v/V8C00000004H287", "EN-002111446")</f>
        <v>EN-002111446</v>
      </c>
    </row>
    <row r="8838" spans="1:15" ht="16" x14ac:dyDescent="0.2">
      <c r="A8838" s="19"/>
      <c r="B8838" s="19"/>
      <c r="C8838" s="19"/>
      <c r="D8838" s="19"/>
      <c r="E8838" s="19"/>
      <c r="F8838" s="19"/>
      <c r="G8838" s="19"/>
      <c r="H8838" s="19"/>
      <c r="I8838" s="19"/>
      <c r="J8838" s="19"/>
      <c r="K8838" s="19"/>
      <c r="L8838" s="19"/>
      <c r="M8838" s="19"/>
      <c r="N8838" s="19"/>
      <c r="O8838" s="14" t="str">
        <f>HYPERLINK("https://otsuka-europe-crm.veevavault.com/ui/#object/email_activity__v/V8C00000004H291", "EN-002111450")</f>
        <v>EN-002111450</v>
      </c>
    </row>
    <row r="8839" spans="1:15" ht="48" x14ac:dyDescent="0.2">
      <c r="A8839" s="7" t="str">
        <f>HYPERLINK("https://otsuka-europe-crm.veevavault.com/ui/#object/account__v/V4TZ06G6O71T79R", "GEMMA ALBAREDA COLILLES")</f>
        <v>GEMMA ALBAREDA COLILLES</v>
      </c>
      <c r="B8839" s="7" t="str">
        <f>HYPERLINK("https://otsuka-europe-crm.veevavault.com/ui/#object/vcountry__v/VENZ000004SONF5", "ES")</f>
        <v>ES</v>
      </c>
      <c r="C8839" s="8" t="s">
        <v>39</v>
      </c>
      <c r="D8839" s="9" t="str">
        <f>HYPERLINK("https://otsuka-europe-crm.veevavault.com/ui/#object/approved_document__v/V5O00000000R009", "AM2M - PSIQUIATRIA - Guía manejo práctico AM2M")</f>
        <v>AM2M - PSIQUIATRIA - Guía manejo práctico AM2M</v>
      </c>
      <c r="E8839" s="10" t="str">
        <f>HYPERLINK("https://otsuka-europe-crm.veevavault.com/ui/#object/sent_email__v/VBL00000003H222", "SE-001448635")</f>
        <v>SE-001448635</v>
      </c>
      <c r="F8839" s="11"/>
      <c r="G8839" s="12">
        <v>0</v>
      </c>
      <c r="H8839" s="12">
        <v>0</v>
      </c>
      <c r="I8839" s="12">
        <v>0</v>
      </c>
      <c r="J8839" s="11"/>
      <c r="K8839" s="12">
        <v>0</v>
      </c>
      <c r="L8839" s="10" t="str">
        <f>HYPERLINK("https://otsuka-europe-crm.veevavault.com/ui/#object/approved_document__v/V5O00000000R009", "AM2M - PSIQUIATRIA - Guía manejo práctico AM2M")</f>
        <v>AM2M - PSIQUIATRIA - Guía manejo práctico AM2M</v>
      </c>
      <c r="M8839" s="10" t="str">
        <f>HYPERLINK("mailto:iortega@crm.otsuka-europe.com", "iortega@crm.otsuka-europe.com")</f>
        <v>iortega@crm.otsuka-europe.com</v>
      </c>
      <c r="N8839" s="13">
        <v>46234.432638888888</v>
      </c>
      <c r="O8839" s="14" t="str">
        <f>HYPERLINK("https://otsuka-europe-crm.veevavault.com/ui/#object/email_activity__v/V8C00000004F224", "EN-002110253")</f>
        <v>EN-002110253</v>
      </c>
    </row>
    <row r="8840" spans="1:15" ht="48" x14ac:dyDescent="0.2">
      <c r="A8840" s="7" t="str">
        <f>HYPERLINK("https://otsuka-europe-crm.veevavault.com/ui/#object/account__v/V4TZ025E82VTCPT", "EZEQUIEL ANDRES RODENAS VERA")</f>
        <v>EZEQUIEL ANDRES RODENAS VERA</v>
      </c>
      <c r="B8840" s="7" t="str">
        <f>HYPERLINK("https://otsuka-europe-crm.veevavault.com/ui/#object/vcountry__v/VENZ000004SONF5", "ES")</f>
        <v>ES</v>
      </c>
      <c r="C8840" s="8" t="s">
        <v>39</v>
      </c>
      <c r="D8840" s="9" t="str">
        <f>HYPERLINK("https://otsuka-europe-crm.veevavault.com/ui/#object/approved_document__v/V5O00000000R009", "AM2M - PSIQUIATRIA - Guía manejo práctico AM2M")</f>
        <v>AM2M - PSIQUIATRIA - Guía manejo práctico AM2M</v>
      </c>
      <c r="E8840" s="10" t="str">
        <f>HYPERLINK("https://otsuka-europe-crm.veevavault.com/ui/#object/sent_email__v/VBL00000003H223", "SE-001448636")</f>
        <v>SE-001448636</v>
      </c>
      <c r="F8840" s="11"/>
      <c r="G8840" s="12">
        <v>0</v>
      </c>
      <c r="H8840" s="12">
        <v>0</v>
      </c>
      <c r="I8840" s="12">
        <v>0</v>
      </c>
      <c r="J8840" s="11"/>
      <c r="K8840" s="12">
        <v>0</v>
      </c>
      <c r="L8840" s="10" t="str">
        <f>HYPERLINK("https://otsuka-europe-crm.veevavault.com/ui/#object/approved_document__v/V5O00000000R009", "AM2M - PSIQUIATRIA - Guía manejo práctico AM2M")</f>
        <v>AM2M - PSIQUIATRIA - Guía manejo práctico AM2M</v>
      </c>
      <c r="M8840" s="10" t="str">
        <f>HYPERLINK("mailto:iortega@crm.otsuka-europe.com", "iortega@crm.otsuka-europe.com")</f>
        <v>iortega@crm.otsuka-europe.com</v>
      </c>
      <c r="N8840" s="13">
        <v>46234.432638888888</v>
      </c>
      <c r="O8840" s="14" t="str">
        <f>HYPERLINK("https://otsuka-europe-crm.veevavault.com/ui/#object/email_activity__v/V8C00000004G252", "EN-002110264")</f>
        <v>EN-002110264</v>
      </c>
    </row>
    <row r="8841" spans="1:15" ht="48" x14ac:dyDescent="0.2">
      <c r="A8841" s="7" t="str">
        <f>HYPERLINK("https://otsuka-europe-crm.veevavault.com/ui/#object/account__v/V4TZ04ASGBUBAHU", "GUILLERMO DOMINGUEZ ROSCO")</f>
        <v>GUILLERMO DOMINGUEZ ROSCO</v>
      </c>
      <c r="B8841" s="7" t="str">
        <f>HYPERLINK("https://otsuka-europe-crm.veevavault.com/ui/#object/vcountry__v/VENZ000004SONF5", "ES")</f>
        <v>ES</v>
      </c>
      <c r="C8841" s="8" t="s">
        <v>39</v>
      </c>
      <c r="D8841" s="9" t="str">
        <f>HYPERLINK("https://otsuka-europe-crm.veevavault.com/ui/#object/approved_document__v/V5O00000000R009", "AM2M - PSIQUIATRIA - Guía manejo práctico AM2M")</f>
        <v>AM2M - PSIQUIATRIA - Guía manejo práctico AM2M</v>
      </c>
      <c r="E8841" s="10" t="str">
        <f>HYPERLINK("https://otsuka-europe-crm.veevavault.com/ui/#object/sent_email__v/VBL00000003H224", "SE-001448637")</f>
        <v>SE-001448637</v>
      </c>
      <c r="F8841" s="11"/>
      <c r="G8841" s="12">
        <v>0</v>
      </c>
      <c r="H8841" s="12">
        <v>0</v>
      </c>
      <c r="I8841" s="12">
        <v>0</v>
      </c>
      <c r="J8841" s="11"/>
      <c r="K8841" s="12">
        <v>0</v>
      </c>
      <c r="L8841" s="10" t="str">
        <f>HYPERLINK("https://otsuka-europe-crm.veevavault.com/ui/#object/approved_document__v/V5O00000000R009", "AM2M - PSIQUIATRIA - Guía manejo práctico AM2M")</f>
        <v>AM2M - PSIQUIATRIA - Guía manejo práctico AM2M</v>
      </c>
      <c r="M8841" s="10" t="str">
        <f>HYPERLINK("mailto:iortega@crm.otsuka-europe.com", "iortega@crm.otsuka-europe.com")</f>
        <v>iortega@crm.otsuka-europe.com</v>
      </c>
      <c r="N8841" s="13">
        <v>46234.432638888888</v>
      </c>
      <c r="O8841" s="14" t="str">
        <f>HYPERLINK("https://otsuka-europe-crm.veevavault.com/ui/#object/email_activity__v/V8C00000004F228", "EN-002110268")</f>
        <v>EN-002110268</v>
      </c>
    </row>
    <row r="8842" spans="1:15" ht="48" x14ac:dyDescent="0.2">
      <c r="A8842" s="7" t="str">
        <f>HYPERLINK("https://otsuka-europe-crm.veevavault.com/ui/#object/account__v/V4TZ06G6O71TK13", "GIOVANNI ORIOLO")</f>
        <v>GIOVANNI ORIOLO</v>
      </c>
      <c r="B8842" s="7" t="str">
        <f>HYPERLINK("https://otsuka-europe-crm.veevavault.com/ui/#object/vcountry__v/VENZ000004SONF5", "ES")</f>
        <v>ES</v>
      </c>
      <c r="C8842" s="8" t="s">
        <v>39</v>
      </c>
      <c r="D8842" s="9" t="str">
        <f>HYPERLINK("https://otsuka-europe-crm.veevavault.com/ui/#object/approved_document__v/V5O00000000R009", "AM2M - PSIQUIATRIA - Guía manejo práctico AM2M")</f>
        <v>AM2M - PSIQUIATRIA - Guía manejo práctico AM2M</v>
      </c>
      <c r="E8842" s="10" t="str">
        <f>HYPERLINK("https://otsuka-europe-crm.veevavault.com/ui/#object/sent_email__v/VBL00000003H225", "SE-001448638")</f>
        <v>SE-001448638</v>
      </c>
      <c r="F8842" s="11"/>
      <c r="G8842" s="12">
        <v>0</v>
      </c>
      <c r="H8842" s="12">
        <v>0</v>
      </c>
      <c r="I8842" s="12">
        <v>0</v>
      </c>
      <c r="J8842" s="11"/>
      <c r="K8842" s="12">
        <v>0</v>
      </c>
      <c r="L8842" s="10" t="str">
        <f>HYPERLINK("https://otsuka-europe-crm.veevavault.com/ui/#object/approved_document__v/V5O00000000R009", "AM2M - PSIQUIATRIA - Guía manejo práctico AM2M")</f>
        <v>AM2M - PSIQUIATRIA - Guía manejo práctico AM2M</v>
      </c>
      <c r="M8842" s="10" t="str">
        <f>HYPERLINK("mailto:iortega@crm.otsuka-europe.com", "iortega@crm.otsuka-europe.com")</f>
        <v>iortega@crm.otsuka-europe.com</v>
      </c>
      <c r="N8842" s="13">
        <v>46234.432500000003</v>
      </c>
      <c r="O8842" s="14" t="str">
        <f>HYPERLINK("https://otsuka-europe-crm.veevavault.com/ui/#object/email_activity__v/V8C00000004F213", "EN-002110242")</f>
        <v>EN-002110242</v>
      </c>
    </row>
    <row r="8843" spans="1:15" ht="16" x14ac:dyDescent="0.2">
      <c r="A8843" s="18" t="str">
        <f>HYPERLINK("https://otsuka-europe-crm.veevavault.com/ui/#object/account__v/V4T000000014073", "JAVIER EDUARDO SALGADO VILLARROEL")</f>
        <v>JAVIER EDUARDO SALGADO VILLARROEL</v>
      </c>
      <c r="B8843" s="18" t="str">
        <f>HYPERLINK("https://otsuka-europe-crm.veevavault.com/ui/#object/vcountry__v/VENZ000004SONF5", "ES")</f>
        <v>ES</v>
      </c>
      <c r="C8843" s="20" t="s">
        <v>39</v>
      </c>
      <c r="D8843" s="21" t="str">
        <f>HYPERLINK("https://otsuka-europe-crm.veevavault.com/ui/#object/approved_document__v/V5O00000000R009", "AM2M - PSIQUIATRIA - Guía manejo práctico AM2M")</f>
        <v>AM2M - PSIQUIATRIA - Guía manejo práctico AM2M</v>
      </c>
      <c r="E8843" s="22" t="str">
        <f>HYPERLINK("https://otsuka-europe-crm.veevavault.com/ui/#object/sent_email__v/VBL00000003H226", "SE-001448639")</f>
        <v>SE-001448639</v>
      </c>
      <c r="F8843" s="25">
        <v>46234.911365740743</v>
      </c>
      <c r="G8843" s="24">
        <v>1</v>
      </c>
      <c r="H8843" s="24">
        <v>2</v>
      </c>
      <c r="I8843" s="24">
        <v>0</v>
      </c>
      <c r="J8843" s="23"/>
      <c r="K8843" s="24">
        <v>0</v>
      </c>
      <c r="L8843" s="22" t="str">
        <f>HYPERLINK("https://otsuka-europe-crm.veevavault.com/ui/#object/approved_document__v/V5O00000000R009", "AM2M - PSIQUIATRIA - Guía manejo práctico AM2M")</f>
        <v>AM2M - PSIQUIATRIA - Guía manejo práctico AM2M</v>
      </c>
      <c r="M8843" s="22" t="str">
        <f>HYPERLINK("mailto:iortega@crm.otsuka-europe.com", "iortega@crm.otsuka-europe.com")</f>
        <v>iortega@crm.otsuka-europe.com</v>
      </c>
      <c r="N8843" s="25">
        <v>46234.432638888888</v>
      </c>
      <c r="O8843" s="14" t="str">
        <f>HYPERLINK("https://otsuka-europe-crm.veevavault.com/ui/#object/email_activity__v/V8C00000004F214", "EN-002110243")</f>
        <v>EN-002110243</v>
      </c>
    </row>
    <row r="8844" spans="1:15" ht="16" x14ac:dyDescent="0.2">
      <c r="A8844" s="26"/>
      <c r="B8844" s="26"/>
      <c r="C8844" s="26"/>
      <c r="D8844" s="26"/>
      <c r="E8844" s="26"/>
      <c r="F8844" s="26"/>
      <c r="G8844" s="26"/>
      <c r="H8844" s="26"/>
      <c r="I8844" s="26"/>
      <c r="J8844" s="26"/>
      <c r="K8844" s="26"/>
      <c r="L8844" s="26"/>
      <c r="M8844" s="26"/>
      <c r="N8844" s="26"/>
      <c r="O8844" s="14" t="str">
        <f>HYPERLINK("https://otsuka-europe-crm.veevavault.com/ui/#object/email_activity__v/V8C00000004F357", "EN-002110667")</f>
        <v>EN-002110667</v>
      </c>
    </row>
    <row r="8845" spans="1:15" ht="16" x14ac:dyDescent="0.2">
      <c r="A8845" s="19"/>
      <c r="B8845" s="19"/>
      <c r="C8845" s="19"/>
      <c r="D8845" s="19"/>
      <c r="E8845" s="19"/>
      <c r="F8845" s="19"/>
      <c r="G8845" s="19"/>
      <c r="H8845" s="19"/>
      <c r="I8845" s="19"/>
      <c r="J8845" s="19"/>
      <c r="K8845" s="19"/>
      <c r="L8845" s="19"/>
      <c r="M8845" s="19"/>
      <c r="N8845" s="19"/>
      <c r="O8845" s="14" t="str">
        <f>HYPERLINK("https://otsuka-europe-crm.veevavault.com/ui/#object/email_activity__v/V8C00000004F491", "EN-002110926")</f>
        <v>EN-002110926</v>
      </c>
    </row>
    <row r="8846" spans="1:15" ht="16" x14ac:dyDescent="0.2">
      <c r="A8846" s="18" t="str">
        <f>HYPERLINK("https://otsuka-europe-crm.veevavault.com/ui/#object/account__v/V4TZ06G6O71TB6Y", "GERARD ANGEL MATEU CODINA")</f>
        <v>GERARD ANGEL MATEU CODINA</v>
      </c>
      <c r="B8846" s="18" t="str">
        <f>HYPERLINK("https://otsuka-europe-crm.veevavault.com/ui/#object/vcountry__v/VENZ000004SONF5", "ES")</f>
        <v>ES</v>
      </c>
      <c r="C8846" s="20" t="s">
        <v>39</v>
      </c>
      <c r="D8846" s="21" t="str">
        <f>HYPERLINK("https://otsuka-europe-crm.veevavault.com/ui/#object/approved_document__v/V5O00000000R009", "AM2M - PSIQUIATRIA - Guía manejo práctico AM2M")</f>
        <v>AM2M - PSIQUIATRIA - Guía manejo práctico AM2M</v>
      </c>
      <c r="E8846" s="22" t="str">
        <f>HYPERLINK("https://otsuka-europe-crm.veevavault.com/ui/#object/sent_email__v/VBL00000003H227", "SE-001448640")</f>
        <v>SE-001448640</v>
      </c>
      <c r="F8846" s="25">
        <v>46234.524502314816</v>
      </c>
      <c r="G8846" s="24">
        <v>1</v>
      </c>
      <c r="H8846" s="24">
        <v>2</v>
      </c>
      <c r="I8846" s="24">
        <v>0</v>
      </c>
      <c r="J8846" s="23"/>
      <c r="K8846" s="24">
        <v>0</v>
      </c>
      <c r="L8846" s="22" t="str">
        <f>HYPERLINK("https://otsuka-europe-crm.veevavault.com/ui/#object/approved_document__v/V5O00000000R009", "AM2M - PSIQUIATRIA - Guía manejo práctico AM2M")</f>
        <v>AM2M - PSIQUIATRIA - Guía manejo práctico AM2M</v>
      </c>
      <c r="M8846" s="22" t="str">
        <f>HYPERLINK("mailto:iortega@crm.otsuka-europe.com", "iortega@crm.otsuka-europe.com")</f>
        <v>iortega@crm.otsuka-europe.com</v>
      </c>
      <c r="N8846" s="25">
        <v>46234.432638888888</v>
      </c>
      <c r="O8846" s="14" t="str">
        <f>HYPERLINK("https://otsuka-europe-crm.veevavault.com/ui/#object/email_activity__v/V8C00000004F222", "EN-002110251")</f>
        <v>EN-002110251</v>
      </c>
    </row>
    <row r="8847" spans="1:15" ht="16" x14ac:dyDescent="0.2">
      <c r="A8847" s="26"/>
      <c r="B8847" s="26"/>
      <c r="C8847" s="26"/>
      <c r="D8847" s="26"/>
      <c r="E8847" s="26"/>
      <c r="F8847" s="26"/>
      <c r="G8847" s="26"/>
      <c r="H8847" s="26"/>
      <c r="I8847" s="26"/>
      <c r="J8847" s="26"/>
      <c r="K8847" s="26"/>
      <c r="L8847" s="26"/>
      <c r="M8847" s="26"/>
      <c r="N8847" s="26"/>
      <c r="O8847" s="14" t="str">
        <f>HYPERLINK("https://otsuka-europe-crm.veevavault.com/ui/#object/email_activity__v/V8C00000004G559", "EN-002110728")</f>
        <v>EN-002110728</v>
      </c>
    </row>
    <row r="8848" spans="1:15" ht="16" x14ac:dyDescent="0.2">
      <c r="A8848" s="19"/>
      <c r="B8848" s="19"/>
      <c r="C8848" s="19"/>
      <c r="D8848" s="19"/>
      <c r="E8848" s="19"/>
      <c r="F8848" s="19"/>
      <c r="G8848" s="19"/>
      <c r="H8848" s="19"/>
      <c r="I8848" s="19"/>
      <c r="J8848" s="19"/>
      <c r="K8848" s="19"/>
      <c r="L8848" s="19"/>
      <c r="M8848" s="19"/>
      <c r="N8848" s="19"/>
      <c r="O8848" s="14" t="str">
        <f>HYPERLINK("https://otsuka-europe-crm.veevavault.com/ui/#object/email_activity__v/V8C00000004G560", "EN-002110729")</f>
        <v>EN-002110729</v>
      </c>
    </row>
    <row r="8849" spans="1:15" ht="48" x14ac:dyDescent="0.2">
      <c r="A8849" s="7" t="str">
        <f>HYPERLINK("https://otsuka-europe-crm.veevavault.com/ui/#object/account__v/V4TZ06G6O71TAMP", "FULGENCIO CORON BLAZQUEZ")</f>
        <v>FULGENCIO CORON BLAZQUEZ</v>
      </c>
      <c r="B8849" s="7" t="str">
        <f>HYPERLINK("https://otsuka-europe-crm.veevavault.com/ui/#object/vcountry__v/VENZ000004SONF5", "ES")</f>
        <v>ES</v>
      </c>
      <c r="C8849" s="8" t="s">
        <v>39</v>
      </c>
      <c r="D8849" s="9" t="str">
        <f>HYPERLINK("https://otsuka-europe-crm.veevavault.com/ui/#object/approved_document__v/V5O00000000R009", "AM2M - PSIQUIATRIA - Guía manejo práctico AM2M")</f>
        <v>AM2M - PSIQUIATRIA - Guía manejo práctico AM2M</v>
      </c>
      <c r="E8849" s="10" t="str">
        <f>HYPERLINK("https://otsuka-europe-crm.veevavault.com/ui/#object/sent_email__v/VBL00000003H228", "SE-001448641")</f>
        <v>SE-001448641</v>
      </c>
      <c r="F8849" s="11"/>
      <c r="G8849" s="12">
        <v>0</v>
      </c>
      <c r="H8849" s="12">
        <v>0</v>
      </c>
      <c r="I8849" s="12">
        <v>0</v>
      </c>
      <c r="J8849" s="11"/>
      <c r="K8849" s="12">
        <v>0</v>
      </c>
      <c r="L8849" s="10" t="str">
        <f>HYPERLINK("https://otsuka-europe-crm.veevavault.com/ui/#object/approved_document__v/V5O00000000R009", "AM2M - PSIQUIATRIA - Guía manejo práctico AM2M")</f>
        <v>AM2M - PSIQUIATRIA - Guía manejo práctico AM2M</v>
      </c>
      <c r="M8849" s="10" t="str">
        <f>HYPERLINK("mailto:iortega@crm.otsuka-europe.com", "iortega@crm.otsuka-europe.com")</f>
        <v>iortega@crm.otsuka-europe.com</v>
      </c>
      <c r="N8849" s="13">
        <v>46234.432638888888</v>
      </c>
      <c r="O8849" s="14" t="str">
        <f>HYPERLINK("https://otsuka-europe-crm.veevavault.com/ui/#object/email_activity__v/V8C00000004F232", "EN-002110272")</f>
        <v>EN-002110272</v>
      </c>
    </row>
    <row r="8850" spans="1:15" ht="48" x14ac:dyDescent="0.2">
      <c r="A8850" s="7" t="str">
        <f>HYPERLINK("https://otsuka-europe-crm.veevavault.com/ui/#object/account__v/V4TZ04ASG7NDD8G", "IRENE GARCIA VELASCO")</f>
        <v>IRENE GARCIA VELASCO</v>
      </c>
      <c r="B8850" s="7" t="str">
        <f>HYPERLINK("https://otsuka-europe-crm.veevavault.com/ui/#object/vcountry__v/VENZ000004SONF5", "ES")</f>
        <v>ES</v>
      </c>
      <c r="C8850" s="8" t="s">
        <v>39</v>
      </c>
      <c r="D8850" s="9" t="str">
        <f>HYPERLINK("https://otsuka-europe-crm.veevavault.com/ui/#object/approved_document__v/V5O00000000R009", "AM2M - PSIQUIATRIA - Guía manejo práctico AM2M")</f>
        <v>AM2M - PSIQUIATRIA - Guía manejo práctico AM2M</v>
      </c>
      <c r="E8850" s="10" t="str">
        <f>HYPERLINK("https://otsuka-europe-crm.veevavault.com/ui/#object/sent_email__v/VBL00000003H229", "SE-001448642")</f>
        <v>SE-001448642</v>
      </c>
      <c r="F8850" s="11"/>
      <c r="G8850" s="12">
        <v>0</v>
      </c>
      <c r="H8850" s="12">
        <v>0</v>
      </c>
      <c r="I8850" s="12">
        <v>0</v>
      </c>
      <c r="J8850" s="11"/>
      <c r="K8850" s="12">
        <v>0</v>
      </c>
      <c r="L8850" s="10" t="str">
        <f>HYPERLINK("https://otsuka-europe-crm.veevavault.com/ui/#object/approved_document__v/V5O00000000R009", "AM2M - PSIQUIATRIA - Guía manejo práctico AM2M")</f>
        <v>AM2M - PSIQUIATRIA - Guía manejo práctico AM2M</v>
      </c>
      <c r="M8850" s="10" t="str">
        <f>HYPERLINK("mailto:iortega@crm.otsuka-europe.com", "iortega@crm.otsuka-europe.com")</f>
        <v>iortega@crm.otsuka-europe.com</v>
      </c>
      <c r="N8850" s="13">
        <v>46234.432638888888</v>
      </c>
      <c r="O8850" s="14" t="str">
        <f>HYPERLINK("https://otsuka-europe-crm.veevavault.com/ui/#object/email_activity__v/V8C00000004F233", "EN-002110273")</f>
        <v>EN-002110273</v>
      </c>
    </row>
    <row r="8851" spans="1:15" ht="48" x14ac:dyDescent="0.2">
      <c r="A8851" s="7" t="str">
        <f>HYPERLINK("https://otsuka-europe-crm.veevavault.com/ui/#object/account__v/V4TZ04ASG7NDD8I", "GUIDO BRUSCO PASSALACQUA")</f>
        <v>GUIDO BRUSCO PASSALACQUA</v>
      </c>
      <c r="B8851" s="7" t="str">
        <f>HYPERLINK("https://otsuka-europe-crm.veevavault.com/ui/#object/vcountry__v/VENZ000004SONF5", "ES")</f>
        <v>ES</v>
      </c>
      <c r="C8851" s="8" t="s">
        <v>39</v>
      </c>
      <c r="D8851" s="9" t="str">
        <f>HYPERLINK("https://otsuka-europe-crm.veevavault.com/ui/#object/approved_document__v/V5O00000000R009", "AM2M - PSIQUIATRIA - Guía manejo práctico AM2M")</f>
        <v>AM2M - PSIQUIATRIA - Guía manejo práctico AM2M</v>
      </c>
      <c r="E8851" s="10" t="str">
        <f>HYPERLINK("https://otsuka-europe-crm.veevavault.com/ui/#object/sent_email__v/VBL00000003H230", "SE-001448643")</f>
        <v>SE-001448643</v>
      </c>
      <c r="F8851" s="11"/>
      <c r="G8851" s="12">
        <v>0</v>
      </c>
      <c r="H8851" s="12">
        <v>0</v>
      </c>
      <c r="I8851" s="12">
        <v>0</v>
      </c>
      <c r="J8851" s="11"/>
      <c r="K8851" s="12">
        <v>0</v>
      </c>
      <c r="L8851" s="10" t="str">
        <f>HYPERLINK("https://otsuka-europe-crm.veevavault.com/ui/#object/approved_document__v/V5O00000000R009", "AM2M - PSIQUIATRIA - Guía manejo práctico AM2M")</f>
        <v>AM2M - PSIQUIATRIA - Guía manejo práctico AM2M</v>
      </c>
      <c r="M8851" s="10" t="str">
        <f>HYPERLINK("mailto:iortega@crm.otsuka-europe.com", "iortega@crm.otsuka-europe.com")</f>
        <v>iortega@crm.otsuka-europe.com</v>
      </c>
      <c r="N8851" s="13">
        <v>46234.432638888888</v>
      </c>
      <c r="O8851" s="14" t="str">
        <f>HYPERLINK("https://otsuka-europe-crm.veevavault.com/ui/#object/email_activity__v/V8C00000004F238", "EN-002110278")</f>
        <v>EN-002110278</v>
      </c>
    </row>
    <row r="8852" spans="1:15" ht="48" x14ac:dyDescent="0.2">
      <c r="A8852" s="7" t="str">
        <f>HYPERLINK("https://otsuka-europe-crm.veevavault.com/ui/#object/account__v/V4TZ06G6O71T7VZ", "JORDI LEON CABALLERO")</f>
        <v>JORDI LEON CABALLERO</v>
      </c>
      <c r="B8852" s="7" t="str">
        <f>HYPERLINK("https://otsuka-europe-crm.veevavault.com/ui/#object/vcountry__v/VENZ000004SONF5", "ES")</f>
        <v>ES</v>
      </c>
      <c r="C8852" s="8" t="s">
        <v>39</v>
      </c>
      <c r="D8852" s="9" t="str">
        <f>HYPERLINK("https://otsuka-europe-crm.veevavault.com/ui/#object/approved_document__v/V5O00000000R009", "AM2M - PSIQUIATRIA - Guía manejo práctico AM2M")</f>
        <v>AM2M - PSIQUIATRIA - Guía manejo práctico AM2M</v>
      </c>
      <c r="E8852" s="10" t="str">
        <f>HYPERLINK("https://otsuka-europe-crm.veevavault.com/ui/#object/sent_email__v/VBL00000003H231", "SE-001448644")</f>
        <v>SE-001448644</v>
      </c>
      <c r="F8852" s="11"/>
      <c r="G8852" s="12">
        <v>0</v>
      </c>
      <c r="H8852" s="12">
        <v>0</v>
      </c>
      <c r="I8852" s="12">
        <v>0</v>
      </c>
      <c r="J8852" s="11"/>
      <c r="K8852" s="12">
        <v>0</v>
      </c>
      <c r="L8852" s="10" t="str">
        <f>HYPERLINK("https://otsuka-europe-crm.veevavault.com/ui/#object/approved_document__v/V5O00000000R009", "AM2M - PSIQUIATRIA - Guía manejo práctico AM2M")</f>
        <v>AM2M - PSIQUIATRIA - Guía manejo práctico AM2M</v>
      </c>
      <c r="M8852" s="10" t="str">
        <f>HYPERLINK("mailto:iortega@crm.otsuka-europe.com", "iortega@crm.otsuka-europe.com")</f>
        <v>iortega@crm.otsuka-europe.com</v>
      </c>
      <c r="N8852" s="13">
        <v>46234.432638888888</v>
      </c>
      <c r="O8852" s="14" t="str">
        <f>HYPERLINK("https://otsuka-europe-crm.veevavault.com/ui/#object/email_activity__v/V8C00000004F217", "EN-002110246")</f>
        <v>EN-002110246</v>
      </c>
    </row>
    <row r="8853" spans="1:15" ht="16" x14ac:dyDescent="0.2">
      <c r="A8853" s="18" t="str">
        <f>HYPERLINK("https://otsuka-europe-crm.veevavault.com/ui/#object/account__v/V4TZ025E82QX5NU", "FRANCESCA GARCIAS PUIGSERVER")</f>
        <v>FRANCESCA GARCIAS PUIGSERVER</v>
      </c>
      <c r="B8853" s="18" t="str">
        <f>HYPERLINK("https://otsuka-europe-crm.veevavault.com/ui/#object/vcountry__v/VENZ000004SONF5", "ES")</f>
        <v>ES</v>
      </c>
      <c r="C8853" s="20" t="s">
        <v>39</v>
      </c>
      <c r="D8853" s="21" t="str">
        <f>HYPERLINK("https://otsuka-europe-crm.veevavault.com/ui/#object/approved_document__v/V5O00000000R009", "AM2M - PSIQUIATRIA - Guía manejo práctico AM2M")</f>
        <v>AM2M - PSIQUIATRIA - Guía manejo práctico AM2M</v>
      </c>
      <c r="E8853" s="22" t="str">
        <f>HYPERLINK("https://otsuka-europe-crm.veevavault.com/ui/#object/sent_email__v/VBL00000003H232", "SE-001448645")</f>
        <v>SE-001448645</v>
      </c>
      <c r="F8853" s="25">
        <v>46236.923773148148</v>
      </c>
      <c r="G8853" s="24">
        <v>1</v>
      </c>
      <c r="H8853" s="24">
        <v>2</v>
      </c>
      <c r="I8853" s="24">
        <v>0</v>
      </c>
      <c r="J8853" s="23"/>
      <c r="K8853" s="24">
        <v>0</v>
      </c>
      <c r="L8853" s="22" t="str">
        <f>HYPERLINK("https://otsuka-europe-crm.veevavault.com/ui/#object/approved_document__v/V5O00000000R009", "AM2M - PSIQUIATRIA - Guía manejo práctico AM2M")</f>
        <v>AM2M - PSIQUIATRIA - Guía manejo práctico AM2M</v>
      </c>
      <c r="M8853" s="22" t="str">
        <f>HYPERLINK("mailto:iortega@crm.otsuka-europe.com", "iortega@crm.otsuka-europe.com")</f>
        <v>iortega@crm.otsuka-europe.com</v>
      </c>
      <c r="N8853" s="25">
        <v>46234.432638888888</v>
      </c>
      <c r="O8853" s="14" t="str">
        <f>HYPERLINK("https://otsuka-europe-crm.veevavault.com/ui/#object/email_activity__v/V8C00000004G254", "EN-002110266")</f>
        <v>EN-002110266</v>
      </c>
    </row>
    <row r="8854" spans="1:15" ht="16" x14ac:dyDescent="0.2">
      <c r="A8854" s="26"/>
      <c r="B8854" s="26"/>
      <c r="C8854" s="26"/>
      <c r="D8854" s="26"/>
      <c r="E8854" s="26"/>
      <c r="F8854" s="26"/>
      <c r="G8854" s="26"/>
      <c r="H8854" s="26"/>
      <c r="I8854" s="26"/>
      <c r="J8854" s="26"/>
      <c r="K8854" s="26"/>
      <c r="L8854" s="26"/>
      <c r="M8854" s="26"/>
      <c r="N8854" s="26"/>
      <c r="O8854" s="14" t="str">
        <f>HYPERLINK("https://otsuka-europe-crm.veevavault.com/ui/#object/email_activity__v/V8C00000004I087", "EN-002111156")</f>
        <v>EN-002111156</v>
      </c>
    </row>
    <row r="8855" spans="1:15" ht="16" x14ac:dyDescent="0.2">
      <c r="A8855" s="19"/>
      <c r="B8855" s="19"/>
      <c r="C8855" s="19"/>
      <c r="D8855" s="19"/>
      <c r="E8855" s="19"/>
      <c r="F8855" s="19"/>
      <c r="G8855" s="19"/>
      <c r="H8855" s="19"/>
      <c r="I8855" s="19"/>
      <c r="J8855" s="19"/>
      <c r="K8855" s="19"/>
      <c r="L8855" s="19"/>
      <c r="M8855" s="19"/>
      <c r="N8855" s="19"/>
      <c r="O8855" s="14" t="str">
        <f>HYPERLINK("https://otsuka-europe-crm.veevavault.com/ui/#object/email_activity__v/V8C00000004I088", "EN-002111157")</f>
        <v>EN-002111157</v>
      </c>
    </row>
    <row r="8856" spans="1:15" ht="48" x14ac:dyDescent="0.2">
      <c r="A8856" s="7" t="str">
        <f>HYPERLINK("https://otsuka-europe-crm.veevavault.com/ui/#object/account__v/V4TZ06G6OCEQIB0", "JAVIER VARA BLANCO")</f>
        <v>JAVIER VARA BLANCO</v>
      </c>
      <c r="B8856" s="7" t="str">
        <f>HYPERLINK("https://otsuka-europe-crm.veevavault.com/ui/#object/vcountry__v/VENZ000004SONF5", "ES")</f>
        <v>ES</v>
      </c>
      <c r="C8856" s="8" t="s">
        <v>39</v>
      </c>
      <c r="D8856" s="9" t="str">
        <f>HYPERLINK("https://otsuka-europe-crm.veevavault.com/ui/#object/approved_document__v/V5O00000000R009", "AM2M - PSIQUIATRIA - Guía manejo práctico AM2M")</f>
        <v>AM2M - PSIQUIATRIA - Guía manejo práctico AM2M</v>
      </c>
      <c r="E8856" s="10" t="str">
        <f>HYPERLINK("https://otsuka-europe-crm.veevavault.com/ui/#object/sent_email__v/VBL00000003H233", "SE-001448646")</f>
        <v>SE-001448646</v>
      </c>
      <c r="F8856" s="11"/>
      <c r="G8856" s="12">
        <v>0</v>
      </c>
      <c r="H8856" s="12">
        <v>0</v>
      </c>
      <c r="I8856" s="12">
        <v>0</v>
      </c>
      <c r="J8856" s="11"/>
      <c r="K8856" s="12">
        <v>0</v>
      </c>
      <c r="L8856" s="10" t="str">
        <f>HYPERLINK("https://otsuka-europe-crm.veevavault.com/ui/#object/approved_document__v/V5O00000000R009", "AM2M - PSIQUIATRIA - Guía manejo práctico AM2M")</f>
        <v>AM2M - PSIQUIATRIA - Guía manejo práctico AM2M</v>
      </c>
      <c r="M8856" s="10" t="str">
        <f>HYPERLINK("mailto:iortega@crm.otsuka-europe.com", "iortega@crm.otsuka-europe.com")</f>
        <v>iortega@crm.otsuka-europe.com</v>
      </c>
      <c r="N8856" s="13">
        <v>46234.432638888888</v>
      </c>
      <c r="O8856" s="14" t="str">
        <f>HYPERLINK("https://otsuka-europe-crm.veevavault.com/ui/#object/email_activity__v/V8C00000004F240", "EN-002110280")</f>
        <v>EN-002110280</v>
      </c>
    </row>
    <row r="8857" spans="1:15" ht="48" x14ac:dyDescent="0.2">
      <c r="A8857" s="7" t="str">
        <f>HYPERLINK("https://otsuka-europe-crm.veevavault.com/ui/#object/account__v/V4TZ06G6O8RZYFU", "JOSE ANTONIO MARTINEZ SANCHEZ")</f>
        <v>JOSE ANTONIO MARTINEZ SANCHEZ</v>
      </c>
      <c r="B8857" s="7" t="str">
        <f>HYPERLINK("https://otsuka-europe-crm.veevavault.com/ui/#object/vcountry__v/VENZ000004SONF5", "ES")</f>
        <v>ES</v>
      </c>
      <c r="C8857" s="8" t="s">
        <v>39</v>
      </c>
      <c r="D8857" s="9" t="str">
        <f>HYPERLINK("https://otsuka-europe-crm.veevavault.com/ui/#object/approved_document__v/V5O00000000R009", "AM2M - PSIQUIATRIA - Guía manejo práctico AM2M")</f>
        <v>AM2M - PSIQUIATRIA - Guía manejo práctico AM2M</v>
      </c>
      <c r="E8857" s="10" t="str">
        <f>HYPERLINK("https://otsuka-europe-crm.veevavault.com/ui/#object/sent_email__v/VBL00000003H234", "SE-001448647")</f>
        <v>SE-001448647</v>
      </c>
      <c r="F8857" s="11"/>
      <c r="G8857" s="12">
        <v>0</v>
      </c>
      <c r="H8857" s="12">
        <v>0</v>
      </c>
      <c r="I8857" s="12">
        <v>0</v>
      </c>
      <c r="J8857" s="11"/>
      <c r="K8857" s="12">
        <v>0</v>
      </c>
      <c r="L8857" s="10" t="str">
        <f>HYPERLINK("https://otsuka-europe-crm.veevavault.com/ui/#object/approved_document__v/V5O00000000R009", "AM2M - PSIQUIATRIA - Guía manejo práctico AM2M")</f>
        <v>AM2M - PSIQUIATRIA - Guía manejo práctico AM2M</v>
      </c>
      <c r="M8857" s="10" t="str">
        <f>HYPERLINK("mailto:iortega@crm.otsuka-europe.com", "iortega@crm.otsuka-europe.com")</f>
        <v>iortega@crm.otsuka-europe.com</v>
      </c>
      <c r="N8857" s="13">
        <v>46234.435208333336</v>
      </c>
      <c r="O8857" s="14" t="str">
        <f>HYPERLINK("https://otsuka-europe-crm.veevavault.com/ui/#object/email_activity__v/V8C00000004F257", "EN-002110301")</f>
        <v>EN-002110301</v>
      </c>
    </row>
    <row r="8858" spans="1:15" ht="16" x14ac:dyDescent="0.2">
      <c r="A8858" s="18" t="str">
        <f>HYPERLINK("https://otsuka-europe-crm.veevavault.com/ui/#object/account__v/V4TZ06G6O71TK22", "LAURA ESPINOSA MARTINEZ")</f>
        <v>LAURA ESPINOSA MARTINEZ</v>
      </c>
      <c r="B8858" s="18" t="str">
        <f>HYPERLINK("https://otsuka-europe-crm.veevavault.com/ui/#object/vcountry__v/VENZ000004SONF5", "ES")</f>
        <v>ES</v>
      </c>
      <c r="C8858" s="20" t="s">
        <v>39</v>
      </c>
      <c r="D8858" s="21" t="str">
        <f>HYPERLINK("https://otsuka-europe-crm.veevavault.com/ui/#object/approved_document__v/V5O00000000R009", "AM2M - PSIQUIATRIA - Guía manejo práctico AM2M")</f>
        <v>AM2M - PSIQUIATRIA - Guía manejo práctico AM2M</v>
      </c>
      <c r="E8858" s="22" t="str">
        <f>HYPERLINK("https://otsuka-europe-crm.veevavault.com/ui/#object/sent_email__v/VBL00000003H235", "SE-001448648")</f>
        <v>SE-001448648</v>
      </c>
      <c r="F8858" s="23"/>
      <c r="G8858" s="24">
        <v>0</v>
      </c>
      <c r="H8858" s="24">
        <v>0</v>
      </c>
      <c r="I8858" s="24">
        <v>0</v>
      </c>
      <c r="J8858" s="23"/>
      <c r="K8858" s="24">
        <v>0</v>
      </c>
      <c r="L8858" s="22" t="str">
        <f>HYPERLINK("https://otsuka-europe-crm.veevavault.com/ui/#object/approved_document__v/V5O00000000R009", "AM2M - PSIQUIATRIA - Guía manejo práctico AM2M")</f>
        <v>AM2M - PSIQUIATRIA - Guía manejo práctico AM2M</v>
      </c>
      <c r="M8858" s="22" t="str">
        <f>HYPERLINK("mailto:iortega@crm.otsuka-europe.com", "iortega@crm.otsuka-europe.com")</f>
        <v>iortega@crm.otsuka-europe.com</v>
      </c>
      <c r="N8858" s="25">
        <v>46234.435208333336</v>
      </c>
      <c r="O8858" s="14" t="str">
        <f>HYPERLINK("https://otsuka-europe-crm.veevavault.com/ui/#object/email_activity__v/V8C00000004F262", "EN-002110310")</f>
        <v>EN-002110310</v>
      </c>
    </row>
    <row r="8859" spans="1:15" ht="16" x14ac:dyDescent="0.2">
      <c r="A8859" s="19"/>
      <c r="B8859" s="19"/>
      <c r="C8859" s="19"/>
      <c r="D8859" s="19"/>
      <c r="E8859" s="19"/>
      <c r="F8859" s="19"/>
      <c r="G8859" s="19"/>
      <c r="H8859" s="19"/>
      <c r="I8859" s="19"/>
      <c r="J8859" s="19"/>
      <c r="K8859" s="19"/>
      <c r="L8859" s="19"/>
      <c r="M8859" s="19"/>
      <c r="N8859" s="19"/>
      <c r="O8859" s="14" t="str">
        <f>HYPERLINK("https://otsuka-europe-crm.veevavault.com/ui/#object/email_activity__v/V8C00000004I078", "EN-002111135")</f>
        <v>EN-002111135</v>
      </c>
    </row>
    <row r="8860" spans="1:15" ht="48" x14ac:dyDescent="0.2">
      <c r="A8860" s="7" t="str">
        <f>HYPERLINK("https://otsuka-europe-crm.veevavault.com/ui/#object/account__v/V4TZ06G6O8RZYK1", "JUDIT FERNANDEZ LLORCA")</f>
        <v>JUDIT FERNANDEZ LLORCA</v>
      </c>
      <c r="B8860" s="7" t="str">
        <f>HYPERLINK("https://otsuka-europe-crm.veevavault.com/ui/#object/vcountry__v/VENZ000004SONF5", "ES")</f>
        <v>ES</v>
      </c>
      <c r="C8860" s="8" t="s">
        <v>39</v>
      </c>
      <c r="D8860" s="9" t="str">
        <f>HYPERLINK("https://otsuka-europe-crm.veevavault.com/ui/#object/approved_document__v/V5O00000000R009", "AM2M - PSIQUIATRIA - Guía manejo práctico AM2M")</f>
        <v>AM2M - PSIQUIATRIA - Guía manejo práctico AM2M</v>
      </c>
      <c r="E8860" s="10" t="str">
        <f>HYPERLINK("https://otsuka-europe-crm.veevavault.com/ui/#object/sent_email__v/VBL00000003H236", "SE-001448649")</f>
        <v>SE-001448649</v>
      </c>
      <c r="F8860" s="11"/>
      <c r="G8860" s="12">
        <v>0</v>
      </c>
      <c r="H8860" s="12">
        <v>0</v>
      </c>
      <c r="I8860" s="12">
        <v>0</v>
      </c>
      <c r="J8860" s="11"/>
      <c r="K8860" s="12">
        <v>0</v>
      </c>
      <c r="L8860" s="10" t="str">
        <f>HYPERLINK("https://otsuka-europe-crm.veevavault.com/ui/#object/approved_document__v/V5O00000000R009", "AM2M - PSIQUIATRIA - Guía manejo práctico AM2M")</f>
        <v>AM2M - PSIQUIATRIA - Guía manejo práctico AM2M</v>
      </c>
      <c r="M8860" s="10" t="str">
        <f>HYPERLINK("mailto:iortega@crm.otsuka-europe.com", "iortega@crm.otsuka-europe.com")</f>
        <v>iortega@crm.otsuka-europe.com</v>
      </c>
      <c r="N8860" s="13">
        <v>46234.435208333336</v>
      </c>
      <c r="O8860" s="14" t="str">
        <f>HYPERLINK("https://otsuka-europe-crm.veevavault.com/ui/#object/email_activity__v/V8C00000004G258", "EN-002110296")</f>
        <v>EN-002110296</v>
      </c>
    </row>
    <row r="8861" spans="1:15" ht="48" x14ac:dyDescent="0.2">
      <c r="A8861" s="7" t="str">
        <f>HYPERLINK("https://otsuka-europe-crm.veevavault.com/ui/#object/account__v/V4TZ06G6O71TASU", "LAURA LOPEZ-ARAQUISTAIN SERRANO")</f>
        <v>LAURA LOPEZ-ARAQUISTAIN SERRANO</v>
      </c>
      <c r="B8861" s="7" t="str">
        <f>HYPERLINK("https://otsuka-europe-crm.veevavault.com/ui/#object/vcountry__v/VENZ000004SONF5", "ES")</f>
        <v>ES</v>
      </c>
      <c r="C8861" s="8" t="s">
        <v>39</v>
      </c>
      <c r="D8861" s="9" t="str">
        <f>HYPERLINK("https://otsuka-europe-crm.veevavault.com/ui/#object/approved_document__v/V5O00000000R009", "AM2M - PSIQUIATRIA - Guía manejo práctico AM2M")</f>
        <v>AM2M - PSIQUIATRIA - Guía manejo práctico AM2M</v>
      </c>
      <c r="E8861" s="10" t="str">
        <f>HYPERLINK("https://otsuka-europe-crm.veevavault.com/ui/#object/sent_email__v/VBL00000003H237", "SE-001448650")</f>
        <v>SE-001448650</v>
      </c>
      <c r="F8861" s="11"/>
      <c r="G8861" s="12">
        <v>0</v>
      </c>
      <c r="H8861" s="12">
        <v>0</v>
      </c>
      <c r="I8861" s="12">
        <v>0</v>
      </c>
      <c r="J8861" s="11"/>
      <c r="K8861" s="12">
        <v>0</v>
      </c>
      <c r="L8861" s="10" t="str">
        <f>HYPERLINK("https://otsuka-europe-crm.veevavault.com/ui/#object/approved_document__v/V5O00000000R009", "AM2M - PSIQUIATRIA - Guía manejo práctico AM2M")</f>
        <v>AM2M - PSIQUIATRIA - Guía manejo práctico AM2M</v>
      </c>
      <c r="M8861" s="10" t="str">
        <f>HYPERLINK("mailto:iortega@crm.otsuka-europe.com", "iortega@crm.otsuka-europe.com")</f>
        <v>iortega@crm.otsuka-europe.com</v>
      </c>
      <c r="N8861" s="13">
        <v>46234.435208333336</v>
      </c>
      <c r="O8861" s="14" t="str">
        <f>HYPERLINK("https://otsuka-europe-crm.veevavault.com/ui/#object/email_activity__v/V8C00000004G268", "EN-002110318")</f>
        <v>EN-002110318</v>
      </c>
    </row>
    <row r="8862" spans="1:15" ht="48" x14ac:dyDescent="0.2">
      <c r="A8862" s="7" t="str">
        <f>HYPERLINK("https://otsuka-europe-crm.veevavault.com/ui/#object/account__v/V4TZ025E83MLDI3", "JUAN IGNACIO FRAIESE")</f>
        <v>JUAN IGNACIO FRAIESE</v>
      </c>
      <c r="B8862" s="7" t="str">
        <f>HYPERLINK("https://otsuka-europe-crm.veevavault.com/ui/#object/vcountry__v/VENZ000004SONF5", "ES")</f>
        <v>ES</v>
      </c>
      <c r="C8862" s="8" t="s">
        <v>39</v>
      </c>
      <c r="D8862" s="9" t="str">
        <f>HYPERLINK("https://otsuka-europe-crm.veevavault.com/ui/#object/approved_document__v/V5O00000000R009", "AM2M - PSIQUIATRIA - Guía manejo práctico AM2M")</f>
        <v>AM2M - PSIQUIATRIA - Guía manejo práctico AM2M</v>
      </c>
      <c r="E8862" s="10" t="str">
        <f>HYPERLINK("https://otsuka-europe-crm.veevavault.com/ui/#object/sent_email__v/VBL00000003H238", "SE-001448651")</f>
        <v>SE-001448651</v>
      </c>
      <c r="F8862" s="11"/>
      <c r="G8862" s="12">
        <v>0</v>
      </c>
      <c r="H8862" s="12">
        <v>0</v>
      </c>
      <c r="I8862" s="12">
        <v>0</v>
      </c>
      <c r="J8862" s="11"/>
      <c r="K8862" s="12">
        <v>0</v>
      </c>
      <c r="L8862" s="10" t="str">
        <f>HYPERLINK("https://otsuka-europe-crm.veevavault.com/ui/#object/approved_document__v/V5O00000000R009", "AM2M - PSIQUIATRIA - Guía manejo práctico AM2M")</f>
        <v>AM2M - PSIQUIATRIA - Guía manejo práctico AM2M</v>
      </c>
      <c r="M8862" s="10" t="str">
        <f>HYPERLINK("mailto:iortega@crm.otsuka-europe.com", "iortega@crm.otsuka-europe.com")</f>
        <v>iortega@crm.otsuka-europe.com</v>
      </c>
      <c r="N8862" s="13">
        <v>46234.435208333336</v>
      </c>
      <c r="O8862" s="14" t="str">
        <f>HYPERLINK("https://otsuka-europe-crm.veevavault.com/ui/#object/email_activity__v/V8C00000004G259", "EN-002110304")</f>
        <v>EN-002110304</v>
      </c>
    </row>
    <row r="8863" spans="1:15" ht="16" x14ac:dyDescent="0.2">
      <c r="A8863" s="18" t="str">
        <f>HYPERLINK("https://otsuka-europe-crm.veevavault.com/ui/#object/account__v/V4TZ06G6O71TASL", "JOSE MANUEL LOPEZ SANTIN")</f>
        <v>JOSE MANUEL LOPEZ SANTIN</v>
      </c>
      <c r="B8863" s="18" t="str">
        <f>HYPERLINK("https://otsuka-europe-crm.veevavault.com/ui/#object/vcountry__v/VENZ000004SONF5", "ES")</f>
        <v>ES</v>
      </c>
      <c r="C8863" s="20" t="s">
        <v>39</v>
      </c>
      <c r="D8863" s="21" t="str">
        <f>HYPERLINK("https://otsuka-europe-crm.veevavault.com/ui/#object/approved_document__v/V5O00000000R009", "AM2M - PSIQUIATRIA - Guía manejo práctico AM2M")</f>
        <v>AM2M - PSIQUIATRIA - Guía manejo práctico AM2M</v>
      </c>
      <c r="E8863" s="22" t="str">
        <f>HYPERLINK("https://otsuka-europe-crm.veevavault.com/ui/#object/sent_email__v/VBL00000003H239", "SE-001448652")</f>
        <v>SE-001448652</v>
      </c>
      <c r="F8863" s="25">
        <v>46234.438437500001</v>
      </c>
      <c r="G8863" s="24">
        <v>1</v>
      </c>
      <c r="H8863" s="24">
        <v>1</v>
      </c>
      <c r="I8863" s="24">
        <v>0</v>
      </c>
      <c r="J8863" s="23"/>
      <c r="K8863" s="24">
        <v>0</v>
      </c>
      <c r="L8863" s="22" t="str">
        <f>HYPERLINK("https://otsuka-europe-crm.veevavault.com/ui/#object/approved_document__v/V5O00000000R009", "AM2M - PSIQUIATRIA - Guía manejo práctico AM2M")</f>
        <v>AM2M - PSIQUIATRIA - Guía manejo práctico AM2M</v>
      </c>
      <c r="M8863" s="22" t="str">
        <f>HYPERLINK("mailto:iortega@crm.otsuka-europe.com", "iortega@crm.otsuka-europe.com")</f>
        <v>iortega@crm.otsuka-europe.com</v>
      </c>
      <c r="N8863" s="25">
        <v>46234.435208333336</v>
      </c>
      <c r="O8863" s="14" t="str">
        <f>HYPERLINK("https://otsuka-europe-crm.veevavault.com/ui/#object/email_activity__v/V8C00000004G256", "EN-002110294")</f>
        <v>EN-002110294</v>
      </c>
    </row>
    <row r="8864" spans="1:15" ht="16" x14ac:dyDescent="0.2">
      <c r="A8864" s="19"/>
      <c r="B8864" s="19"/>
      <c r="C8864" s="19"/>
      <c r="D8864" s="19"/>
      <c r="E8864" s="19"/>
      <c r="F8864" s="19"/>
      <c r="G8864" s="19"/>
      <c r="H8864" s="19"/>
      <c r="I8864" s="19"/>
      <c r="J8864" s="19"/>
      <c r="K8864" s="19"/>
      <c r="L8864" s="19"/>
      <c r="M8864" s="19"/>
      <c r="N8864" s="19"/>
      <c r="O8864" s="14" t="str">
        <f>HYPERLINK("https://otsuka-europe-crm.veevavault.com/ui/#object/email_activity__v/V8C00000004G308", "EN-002110358")</f>
        <v>EN-002110358</v>
      </c>
    </row>
    <row r="8865" spans="1:15" ht="48" x14ac:dyDescent="0.2">
      <c r="A8865" s="7" t="str">
        <f>HYPERLINK("https://otsuka-europe-crm.veevavault.com/ui/#object/account__v/V4TZ06G6O9URWOU", "LAURA NIEVES VARGAS PUERTOLAS")</f>
        <v>LAURA NIEVES VARGAS PUERTOLAS</v>
      </c>
      <c r="B8865" s="7" t="str">
        <f>HYPERLINK("https://otsuka-europe-crm.veevavault.com/ui/#object/vcountry__v/VENZ000004SONF5", "ES")</f>
        <v>ES</v>
      </c>
      <c r="C8865" s="8" t="s">
        <v>39</v>
      </c>
      <c r="D8865" s="9" t="str">
        <f>HYPERLINK("https://otsuka-europe-crm.veevavault.com/ui/#object/approved_document__v/V5O00000000R009", "AM2M - PSIQUIATRIA - Guía manejo práctico AM2M")</f>
        <v>AM2M - PSIQUIATRIA - Guía manejo práctico AM2M</v>
      </c>
      <c r="E8865" s="10" t="str">
        <f>HYPERLINK("https://otsuka-europe-crm.veevavault.com/ui/#object/sent_email__v/VBL00000003H240", "SE-001448653")</f>
        <v>SE-001448653</v>
      </c>
      <c r="F8865" s="11"/>
      <c r="G8865" s="12">
        <v>0</v>
      </c>
      <c r="H8865" s="12">
        <v>0</v>
      </c>
      <c r="I8865" s="12">
        <v>0</v>
      </c>
      <c r="J8865" s="11"/>
      <c r="K8865" s="12">
        <v>0</v>
      </c>
      <c r="L8865" s="10" t="str">
        <f>HYPERLINK("https://otsuka-europe-crm.veevavault.com/ui/#object/approved_document__v/V5O00000000R009", "AM2M - PSIQUIATRIA - Guía manejo práctico AM2M")</f>
        <v>AM2M - PSIQUIATRIA - Guía manejo práctico AM2M</v>
      </c>
      <c r="M8865" s="10" t="str">
        <f>HYPERLINK("mailto:iortega@crm.otsuka-europe.com", "iortega@crm.otsuka-europe.com")</f>
        <v>iortega@crm.otsuka-europe.com</v>
      </c>
      <c r="N8865" s="13">
        <v>46234.435208333336</v>
      </c>
      <c r="O8865" s="14" t="str">
        <f>HYPERLINK("https://otsuka-europe-crm.veevavault.com/ui/#object/email_activity__v/V8C00000004G260", "EN-002110305")</f>
        <v>EN-002110305</v>
      </c>
    </row>
    <row r="8866" spans="1:15" ht="16" x14ac:dyDescent="0.2">
      <c r="A8866" s="18" t="str">
        <f>HYPERLINK("https://otsuka-europe-crm.veevavault.com/ui/#object/account__v/V4TZ06G6O71TAP3", "JORGE MIGUEL CUEVAS ESTEBAN")</f>
        <v>JORGE MIGUEL CUEVAS ESTEBAN</v>
      </c>
      <c r="B8866" s="18" t="str">
        <f>HYPERLINK("https://otsuka-europe-crm.veevavault.com/ui/#object/vcountry__v/VENZ000004SONF5", "ES")</f>
        <v>ES</v>
      </c>
      <c r="C8866" s="20" t="s">
        <v>39</v>
      </c>
      <c r="D8866" s="21" t="str">
        <f>HYPERLINK("https://otsuka-europe-crm.veevavault.com/ui/#object/approved_document__v/V5O00000000R009", "AM2M - PSIQUIATRIA - Guía manejo práctico AM2M")</f>
        <v>AM2M - PSIQUIATRIA - Guía manejo práctico AM2M</v>
      </c>
      <c r="E8866" s="22" t="str">
        <f>HYPERLINK("https://otsuka-europe-crm.veevavault.com/ui/#object/sent_email__v/VBL00000003H241", "SE-001448654")</f>
        <v>SE-001448654</v>
      </c>
      <c r="F8866" s="25">
        <v>46234.767048611109</v>
      </c>
      <c r="G8866" s="24">
        <v>1</v>
      </c>
      <c r="H8866" s="24">
        <v>2</v>
      </c>
      <c r="I8866" s="24">
        <v>0</v>
      </c>
      <c r="J8866" s="23"/>
      <c r="K8866" s="24">
        <v>0</v>
      </c>
      <c r="L8866" s="22" t="str">
        <f>HYPERLINK("https://otsuka-europe-crm.veevavault.com/ui/#object/approved_document__v/V5O00000000R009", "AM2M - PSIQUIATRIA - Guía manejo práctico AM2M")</f>
        <v>AM2M - PSIQUIATRIA - Guía manejo práctico AM2M</v>
      </c>
      <c r="M8866" s="22" t="str">
        <f>HYPERLINK("mailto:iortega@crm.otsuka-europe.com", "iortega@crm.otsuka-europe.com")</f>
        <v>iortega@crm.otsuka-europe.com</v>
      </c>
      <c r="N8866" s="25">
        <v>46234.435208333336</v>
      </c>
      <c r="O8866" s="14" t="str">
        <f>HYPERLINK("https://otsuka-europe-crm.veevavault.com/ui/#object/email_activity__v/V8C00000004F260", "EN-002110308")</f>
        <v>EN-002110308</v>
      </c>
    </row>
    <row r="8867" spans="1:15" ht="16" x14ac:dyDescent="0.2">
      <c r="A8867" s="26"/>
      <c r="B8867" s="26"/>
      <c r="C8867" s="26"/>
      <c r="D8867" s="26"/>
      <c r="E8867" s="26"/>
      <c r="F8867" s="26"/>
      <c r="G8867" s="26"/>
      <c r="H8867" s="26"/>
      <c r="I8867" s="26"/>
      <c r="J8867" s="26"/>
      <c r="K8867" s="26"/>
      <c r="L8867" s="26"/>
      <c r="M8867" s="26"/>
      <c r="N8867" s="26"/>
      <c r="O8867" s="14" t="str">
        <f>HYPERLINK("https://otsuka-europe-crm.veevavault.com/ui/#object/email_activity__v/V8C00000004F396", "EN-002110759")</f>
        <v>EN-002110759</v>
      </c>
    </row>
    <row r="8868" spans="1:15" ht="16" x14ac:dyDescent="0.2">
      <c r="A8868" s="19"/>
      <c r="B8868" s="19"/>
      <c r="C8868" s="19"/>
      <c r="D8868" s="19"/>
      <c r="E8868" s="19"/>
      <c r="F8868" s="19"/>
      <c r="G8868" s="19"/>
      <c r="H8868" s="19"/>
      <c r="I8868" s="19"/>
      <c r="J8868" s="19"/>
      <c r="K8868" s="19"/>
      <c r="L8868" s="19"/>
      <c r="M8868" s="19"/>
      <c r="N8868" s="19"/>
      <c r="O8868" s="14" t="str">
        <f>HYPERLINK("https://otsuka-europe-crm.veevavault.com/ui/#object/email_activity__v/V8C00000004G631", "EN-002110877")</f>
        <v>EN-002110877</v>
      </c>
    </row>
    <row r="8869" spans="1:15" ht="48" x14ac:dyDescent="0.2">
      <c r="A8869" s="7" t="str">
        <f>HYPERLINK("https://otsuka-europe-crm.veevavault.com/ui/#object/account__v/V4TZ06G6O71T7I5", "LINA MARIA OVIEDO PEÑUELA")</f>
        <v>LINA MARIA OVIEDO PEÑUELA</v>
      </c>
      <c r="B8869" s="7" t="str">
        <f>HYPERLINK("https://otsuka-europe-crm.veevavault.com/ui/#object/vcountry__v/VENZ000004SONF5", "ES")</f>
        <v>ES</v>
      </c>
      <c r="C8869" s="8" t="s">
        <v>39</v>
      </c>
      <c r="D8869" s="9" t="str">
        <f>HYPERLINK("https://otsuka-europe-crm.veevavault.com/ui/#object/approved_document__v/V5O00000000R009", "AM2M - PSIQUIATRIA - Guía manejo práctico AM2M")</f>
        <v>AM2M - PSIQUIATRIA - Guía manejo práctico AM2M</v>
      </c>
      <c r="E8869" s="10" t="str">
        <f>HYPERLINK("https://otsuka-europe-crm.veevavault.com/ui/#object/sent_email__v/VBL00000003H242", "SE-001448655")</f>
        <v>SE-001448655</v>
      </c>
      <c r="F8869" s="11"/>
      <c r="G8869" s="12">
        <v>0</v>
      </c>
      <c r="H8869" s="12">
        <v>0</v>
      </c>
      <c r="I8869" s="12">
        <v>0</v>
      </c>
      <c r="J8869" s="11"/>
      <c r="K8869" s="12">
        <v>0</v>
      </c>
      <c r="L8869" s="10" t="str">
        <f>HYPERLINK("https://otsuka-europe-crm.veevavault.com/ui/#object/approved_document__v/V5O00000000R009", "AM2M - PSIQUIATRIA - Guía manejo práctico AM2M")</f>
        <v>AM2M - PSIQUIATRIA - Guía manejo práctico AM2M</v>
      </c>
      <c r="M8869" s="10" t="str">
        <f>HYPERLINK("mailto:iortega@crm.otsuka-europe.com", "iortega@crm.otsuka-europe.com")</f>
        <v>iortega@crm.otsuka-europe.com</v>
      </c>
      <c r="N8869" s="13">
        <v>46234.435208333336</v>
      </c>
      <c r="O8869" s="14" t="str">
        <f>HYPERLINK("https://otsuka-europe-crm.veevavault.com/ui/#object/email_activity__v/V8C00000004G262", "EN-002110307")</f>
        <v>EN-002110307</v>
      </c>
    </row>
    <row r="8870" spans="1:15" ht="16" x14ac:dyDescent="0.2">
      <c r="A8870" s="18" t="str">
        <f>HYPERLINK("https://otsuka-europe-crm.veevavault.com/ui/#object/account__v/V4TZ06G6OCBGSZY", "JOSEP MAYANS HENARES")</f>
        <v>JOSEP MAYANS HENARES</v>
      </c>
      <c r="B8870" s="18" t="str">
        <f>HYPERLINK("https://otsuka-europe-crm.veevavault.com/ui/#object/vcountry__v/VENZ000004SONF5", "ES")</f>
        <v>ES</v>
      </c>
      <c r="C8870" s="20" t="s">
        <v>39</v>
      </c>
      <c r="D8870" s="21" t="str">
        <f>HYPERLINK("https://otsuka-europe-crm.veevavault.com/ui/#object/approved_document__v/V5O00000000R009", "AM2M - PSIQUIATRIA - Guía manejo práctico AM2M")</f>
        <v>AM2M - PSIQUIATRIA - Guía manejo práctico AM2M</v>
      </c>
      <c r="E8870" s="22" t="str">
        <f>HYPERLINK("https://otsuka-europe-crm.veevavault.com/ui/#object/sent_email__v/VBL00000003H243", "SE-001448656")</f>
        <v>SE-001448656</v>
      </c>
      <c r="F8870" s="25">
        <v>46234.457175925927</v>
      </c>
      <c r="G8870" s="24">
        <v>1</v>
      </c>
      <c r="H8870" s="24">
        <v>3</v>
      </c>
      <c r="I8870" s="24">
        <v>0</v>
      </c>
      <c r="J8870" s="23"/>
      <c r="K8870" s="24">
        <v>0</v>
      </c>
      <c r="L8870" s="22" t="str">
        <f>HYPERLINK("https://otsuka-europe-crm.veevavault.com/ui/#object/approved_document__v/V5O00000000R009", "AM2M - PSIQUIATRIA - Guía manejo práctico AM2M")</f>
        <v>AM2M - PSIQUIATRIA - Guía manejo práctico AM2M</v>
      </c>
      <c r="M8870" s="22" t="str">
        <f>HYPERLINK("mailto:iortega@crm.otsuka-europe.com", "iortega@crm.otsuka-europe.com")</f>
        <v>iortega@crm.otsuka-europe.com</v>
      </c>
      <c r="N8870" s="25">
        <v>46234.435208333336</v>
      </c>
      <c r="O8870" s="14" t="str">
        <f>HYPERLINK("https://otsuka-europe-crm.veevavault.com/ui/#object/email_activity__v/V8C00000004F259", "EN-002110303")</f>
        <v>EN-002110303</v>
      </c>
    </row>
    <row r="8871" spans="1:15" ht="16" x14ac:dyDescent="0.2">
      <c r="A8871" s="26"/>
      <c r="B8871" s="26"/>
      <c r="C8871" s="26"/>
      <c r="D8871" s="26"/>
      <c r="E8871" s="26"/>
      <c r="F8871" s="26"/>
      <c r="G8871" s="26"/>
      <c r="H8871" s="26"/>
      <c r="I8871" s="26"/>
      <c r="J8871" s="26"/>
      <c r="K8871" s="26"/>
      <c r="L8871" s="26"/>
      <c r="M8871" s="26"/>
      <c r="N8871" s="26"/>
      <c r="O8871" s="14" t="str">
        <f>HYPERLINK("https://otsuka-europe-crm.veevavault.com/ui/#object/email_activity__v/V8C00000004G404", "EN-002110462")</f>
        <v>EN-002110462</v>
      </c>
    </row>
    <row r="8872" spans="1:15" ht="16" x14ac:dyDescent="0.2">
      <c r="A8872" s="26"/>
      <c r="B8872" s="26"/>
      <c r="C8872" s="26"/>
      <c r="D8872" s="26"/>
      <c r="E8872" s="26"/>
      <c r="F8872" s="26"/>
      <c r="G8872" s="26"/>
      <c r="H8872" s="26"/>
      <c r="I8872" s="26"/>
      <c r="J8872" s="26"/>
      <c r="K8872" s="26"/>
      <c r="L8872" s="26"/>
      <c r="M8872" s="26"/>
      <c r="N8872" s="26"/>
      <c r="O8872" s="14" t="str">
        <f>HYPERLINK("https://otsuka-europe-crm.veevavault.com/ui/#object/email_activity__v/V8C00000004G406", "EN-002110464")</f>
        <v>EN-002110464</v>
      </c>
    </row>
    <row r="8873" spans="1:15" ht="16" x14ac:dyDescent="0.2">
      <c r="A8873" s="19"/>
      <c r="B8873" s="19"/>
      <c r="C8873" s="19"/>
      <c r="D8873" s="19"/>
      <c r="E8873" s="19"/>
      <c r="F8873" s="19"/>
      <c r="G8873" s="19"/>
      <c r="H8873" s="19"/>
      <c r="I8873" s="19"/>
      <c r="J8873" s="19"/>
      <c r="K8873" s="19"/>
      <c r="L8873" s="19"/>
      <c r="M8873" s="19"/>
      <c r="N8873" s="19"/>
      <c r="O8873" s="14" t="str">
        <f>HYPERLINK("https://otsuka-europe-crm.veevavault.com/ui/#object/email_activity__v/V8C00000004G407", "EN-002110465")</f>
        <v>EN-002110465</v>
      </c>
    </row>
    <row r="8874" spans="1:15" ht="16" x14ac:dyDescent="0.2">
      <c r="A8874" s="18" t="str">
        <f>HYPERLINK("https://otsuka-europe-crm.veevavault.com/ui/#object/account__v/V4TZ025E836I7KU", "LINDA MARCELA RAMOS PEREIRO")</f>
        <v>LINDA MARCELA RAMOS PEREIRO</v>
      </c>
      <c r="B8874" s="18" t="str">
        <f>HYPERLINK("https://otsuka-europe-crm.veevavault.com/ui/#object/vcountry__v/VENZ000004SONF5", "ES")</f>
        <v>ES</v>
      </c>
      <c r="C8874" s="20" t="s">
        <v>39</v>
      </c>
      <c r="D8874" s="21" t="str">
        <f>HYPERLINK("https://otsuka-europe-crm.veevavault.com/ui/#object/approved_document__v/V5O00000000R009", "AM2M - PSIQUIATRIA - Guía manejo práctico AM2M")</f>
        <v>AM2M - PSIQUIATRIA - Guía manejo práctico AM2M</v>
      </c>
      <c r="E8874" s="22" t="str">
        <f>HYPERLINK("https://otsuka-europe-crm.veevavault.com/ui/#object/sent_email__v/VBL00000003H244", "SE-001448657")</f>
        <v>SE-001448657</v>
      </c>
      <c r="F8874" s="25">
        <v>46234.523657407408</v>
      </c>
      <c r="G8874" s="24">
        <v>1</v>
      </c>
      <c r="H8874" s="24">
        <v>1</v>
      </c>
      <c r="I8874" s="24">
        <v>0</v>
      </c>
      <c r="J8874" s="23"/>
      <c r="K8874" s="24">
        <v>0</v>
      </c>
      <c r="L8874" s="22" t="str">
        <f>HYPERLINK("https://otsuka-europe-crm.veevavault.com/ui/#object/approved_document__v/V5O00000000R009", "AM2M - PSIQUIATRIA - Guía manejo práctico AM2M")</f>
        <v>AM2M - PSIQUIATRIA - Guía manejo práctico AM2M</v>
      </c>
      <c r="M8874" s="22" t="str">
        <f>HYPERLINK("mailto:iortega@crm.otsuka-europe.com", "iortega@crm.otsuka-europe.com")</f>
        <v>iortega@crm.otsuka-europe.com</v>
      </c>
      <c r="N8874" s="25">
        <v>46234.435208333336</v>
      </c>
      <c r="O8874" s="14" t="str">
        <f>HYPERLINK("https://otsuka-europe-crm.veevavault.com/ui/#object/email_activity__v/V8C00000004F261", "EN-002110309")</f>
        <v>EN-002110309</v>
      </c>
    </row>
    <row r="8875" spans="1:15" ht="16" x14ac:dyDescent="0.2">
      <c r="A8875" s="19"/>
      <c r="B8875" s="19"/>
      <c r="C8875" s="19"/>
      <c r="D8875" s="19"/>
      <c r="E8875" s="19"/>
      <c r="F8875" s="19"/>
      <c r="G8875" s="19"/>
      <c r="H8875" s="19"/>
      <c r="I8875" s="19"/>
      <c r="J8875" s="19"/>
      <c r="K8875" s="19"/>
      <c r="L8875" s="19"/>
      <c r="M8875" s="19"/>
      <c r="N8875" s="19"/>
      <c r="O8875" s="14" t="str">
        <f>HYPERLINK("https://otsuka-europe-crm.veevavault.com/ui/#object/email_activity__v/V8C00000004G555", "EN-002110724")</f>
        <v>EN-002110724</v>
      </c>
    </row>
    <row r="8876" spans="1:15" ht="16" x14ac:dyDescent="0.2">
      <c r="A8876" s="18" t="str">
        <f>HYPERLINK("https://otsuka-europe-crm.veevavault.com/ui/#object/account__v/V4TZ06G6O71T7M4", "LAURA PLANS PUJOL")</f>
        <v>LAURA PLANS PUJOL</v>
      </c>
      <c r="B8876" s="18" t="str">
        <f>HYPERLINK("https://otsuka-europe-crm.veevavault.com/ui/#object/vcountry__v/VENZ000004SONF5", "ES")</f>
        <v>ES</v>
      </c>
      <c r="C8876" s="20" t="s">
        <v>39</v>
      </c>
      <c r="D8876" s="21" t="str">
        <f>HYPERLINK("https://otsuka-europe-crm.veevavault.com/ui/#object/approved_document__v/V5O00000000R009", "AM2M - PSIQUIATRIA - Guía manejo práctico AM2M")</f>
        <v>AM2M - PSIQUIATRIA - Guía manejo práctico AM2M</v>
      </c>
      <c r="E8876" s="22" t="str">
        <f>HYPERLINK("https://otsuka-europe-crm.veevavault.com/ui/#object/sent_email__v/VBL00000003H245", "SE-001448658")</f>
        <v>SE-001448658</v>
      </c>
      <c r="F8876" s="23"/>
      <c r="G8876" s="24">
        <v>0</v>
      </c>
      <c r="H8876" s="24">
        <v>0</v>
      </c>
      <c r="I8876" s="24">
        <v>0</v>
      </c>
      <c r="J8876" s="23"/>
      <c r="K8876" s="24">
        <v>0</v>
      </c>
      <c r="L8876" s="22" t="str">
        <f>HYPERLINK("https://otsuka-europe-crm.veevavault.com/ui/#object/approved_document__v/V5O00000000R009", "AM2M - PSIQUIATRIA - Guía manejo práctico AM2M")</f>
        <v>AM2M - PSIQUIATRIA - Guía manejo práctico AM2M</v>
      </c>
      <c r="M8876" s="22" t="str">
        <f>HYPERLINK("mailto:iortega@crm.otsuka-europe.com", "iortega@crm.otsuka-europe.com")</f>
        <v>iortega@crm.otsuka-europe.com</v>
      </c>
      <c r="N8876" s="25">
        <v>46234.435208333336</v>
      </c>
      <c r="O8876" s="14" t="str">
        <f>HYPERLINK("https://otsuka-europe-crm.veevavault.com/ui/#object/email_activity__v/V8C00000004F250", "EN-002110290")</f>
        <v>EN-002110290</v>
      </c>
    </row>
    <row r="8877" spans="1:15" ht="16" x14ac:dyDescent="0.2">
      <c r="A8877" s="19"/>
      <c r="B8877" s="19"/>
      <c r="C8877" s="19"/>
      <c r="D8877" s="19"/>
      <c r="E8877" s="19"/>
      <c r="F8877" s="19"/>
      <c r="G8877" s="19"/>
      <c r="H8877" s="19"/>
      <c r="I8877" s="19"/>
      <c r="J8877" s="19"/>
      <c r="K8877" s="19"/>
      <c r="L8877" s="19"/>
      <c r="M8877" s="19"/>
      <c r="N8877" s="19"/>
      <c r="O8877" s="14" t="str">
        <f>HYPERLINK("https://otsuka-europe-crm.veevavault.com/ui/#object/email_activity__v/V8C00000004G582", "EN-002110765")</f>
        <v>EN-002110765</v>
      </c>
    </row>
    <row r="8878" spans="1:15" ht="16" x14ac:dyDescent="0.2">
      <c r="A8878" s="18" t="str">
        <f>HYPERLINK("https://otsuka-europe-crm.veevavault.com/ui/#object/account__v/V4TZ06G6O71TADB", "JOSE MARIA GINES MIRANDA")</f>
        <v>JOSE MARIA GINES MIRANDA</v>
      </c>
      <c r="B8878" s="18" t="str">
        <f>HYPERLINK("https://otsuka-europe-crm.veevavault.com/ui/#object/vcountry__v/VENZ000004SONF5", "ES")</f>
        <v>ES</v>
      </c>
      <c r="C8878" s="20" t="s">
        <v>39</v>
      </c>
      <c r="D8878" s="21" t="str">
        <f>HYPERLINK("https://otsuka-europe-crm.veevavault.com/ui/#object/approved_document__v/V5O00000000R009", "AM2M - PSIQUIATRIA - Guía manejo práctico AM2M")</f>
        <v>AM2M - PSIQUIATRIA - Guía manejo práctico AM2M</v>
      </c>
      <c r="E8878" s="22" t="str">
        <f>HYPERLINK("https://otsuka-europe-crm.veevavault.com/ui/#object/sent_email__v/VBL00000003H246", "SE-001448659")</f>
        <v>SE-001448659</v>
      </c>
      <c r="F8878" s="25">
        <v>46237.565046296295</v>
      </c>
      <c r="G8878" s="24">
        <v>1</v>
      </c>
      <c r="H8878" s="24">
        <v>1</v>
      </c>
      <c r="I8878" s="24">
        <v>0</v>
      </c>
      <c r="J8878" s="23"/>
      <c r="K8878" s="24">
        <v>0</v>
      </c>
      <c r="L8878" s="22" t="str">
        <f>HYPERLINK("https://otsuka-europe-crm.veevavault.com/ui/#object/approved_document__v/V5O00000000R009", "AM2M - PSIQUIATRIA - Guía manejo práctico AM2M")</f>
        <v>AM2M - PSIQUIATRIA - Guía manejo práctico AM2M</v>
      </c>
      <c r="M8878" s="22" t="str">
        <f>HYPERLINK("mailto:iortega@crm.otsuka-europe.com", "iortega@crm.otsuka-europe.com")</f>
        <v>iortega@crm.otsuka-europe.com</v>
      </c>
      <c r="N8878" s="25">
        <v>46234.435208333336</v>
      </c>
      <c r="O8878" s="14" t="str">
        <f>HYPERLINK("https://otsuka-europe-crm.veevavault.com/ui/#object/email_activity__v/V8C00000004G263", "EN-002110313")</f>
        <v>EN-002110313</v>
      </c>
    </row>
    <row r="8879" spans="1:15" ht="16" x14ac:dyDescent="0.2">
      <c r="A8879" s="19"/>
      <c r="B8879" s="19"/>
      <c r="C8879" s="19"/>
      <c r="D8879" s="19"/>
      <c r="E8879" s="19"/>
      <c r="F8879" s="19"/>
      <c r="G8879" s="19"/>
      <c r="H8879" s="19"/>
      <c r="I8879" s="19"/>
      <c r="J8879" s="19"/>
      <c r="K8879" s="19"/>
      <c r="L8879" s="19"/>
      <c r="M8879" s="19"/>
      <c r="N8879" s="19"/>
      <c r="O8879" s="14" t="str">
        <f>HYPERLINK("https://otsuka-europe-crm.veevavault.com/ui/#object/email_activity__v/V8C00000004H220", "EN-002111321")</f>
        <v>EN-002111321</v>
      </c>
    </row>
    <row r="8880" spans="1:15" ht="16" x14ac:dyDescent="0.2">
      <c r="A8880" s="18" t="str">
        <f>HYPERLINK("https://otsuka-europe-crm.veevavault.com/ui/#object/account__v/V4T000000011147", "JOSE MIGUEL CONTADOR MUÑANA")</f>
        <v>JOSE MIGUEL CONTADOR MUÑANA</v>
      </c>
      <c r="B8880" s="18" t="str">
        <f>HYPERLINK("https://otsuka-europe-crm.veevavault.com/ui/#object/vcountry__v/VENZ000004SONF5", "ES")</f>
        <v>ES</v>
      </c>
      <c r="C8880" s="20" t="s">
        <v>39</v>
      </c>
      <c r="D8880" s="21" t="str">
        <f>HYPERLINK("https://otsuka-europe-crm.veevavault.com/ui/#object/approved_document__v/V5O00000000R009", "AM2M - PSIQUIATRIA - Guía manejo práctico AM2M")</f>
        <v>AM2M - PSIQUIATRIA - Guía manejo práctico AM2M</v>
      </c>
      <c r="E8880" s="22" t="str">
        <f>HYPERLINK("https://otsuka-europe-crm.veevavault.com/ui/#object/sent_email__v/VBL00000003H247", "SE-001448660")</f>
        <v>SE-001448660</v>
      </c>
      <c r="F8880" s="25">
        <v>46238.656724537039</v>
      </c>
      <c r="G8880" s="24">
        <v>1</v>
      </c>
      <c r="H8880" s="24">
        <v>2</v>
      </c>
      <c r="I8880" s="24">
        <v>0</v>
      </c>
      <c r="J8880" s="23"/>
      <c r="K8880" s="24">
        <v>0</v>
      </c>
      <c r="L8880" s="22" t="str">
        <f>HYPERLINK("https://otsuka-europe-crm.veevavault.com/ui/#object/approved_document__v/V5O00000000R009", "AM2M - PSIQUIATRIA - Guía manejo práctico AM2M")</f>
        <v>AM2M - PSIQUIATRIA - Guía manejo práctico AM2M</v>
      </c>
      <c r="M8880" s="22" t="str">
        <f>HYPERLINK("mailto:iortega@crm.otsuka-europe.com", "iortega@crm.otsuka-europe.com")</f>
        <v>iortega@crm.otsuka-europe.com</v>
      </c>
      <c r="N8880" s="25">
        <v>46234.435115740744</v>
      </c>
      <c r="O8880" s="14" t="str">
        <f>HYPERLINK("https://otsuka-europe-crm.veevavault.com/ui/#object/email_activity__v/V8C00000004F253", "EN-002110297")</f>
        <v>EN-002110297</v>
      </c>
    </row>
    <row r="8881" spans="1:15" ht="16" x14ac:dyDescent="0.2">
      <c r="A8881" s="26"/>
      <c r="B8881" s="26"/>
      <c r="C8881" s="26"/>
      <c r="D8881" s="26"/>
      <c r="E8881" s="26"/>
      <c r="F8881" s="26"/>
      <c r="G8881" s="26"/>
      <c r="H8881" s="26"/>
      <c r="I8881" s="26"/>
      <c r="J8881" s="26"/>
      <c r="K8881" s="26"/>
      <c r="L8881" s="26"/>
      <c r="M8881" s="26"/>
      <c r="N8881" s="26"/>
      <c r="O8881" s="14" t="str">
        <f>HYPERLINK("https://otsuka-europe-crm.veevavault.com/ui/#object/email_activity__v/V8C00000004H329", "EN-002111533")</f>
        <v>EN-002111533</v>
      </c>
    </row>
    <row r="8882" spans="1:15" ht="16" x14ac:dyDescent="0.2">
      <c r="A8882" s="19"/>
      <c r="B8882" s="19"/>
      <c r="C8882" s="19"/>
      <c r="D8882" s="19"/>
      <c r="E8882" s="19"/>
      <c r="F8882" s="19"/>
      <c r="G8882" s="19"/>
      <c r="H8882" s="19"/>
      <c r="I8882" s="19"/>
      <c r="J8882" s="19"/>
      <c r="K8882" s="19"/>
      <c r="L8882" s="19"/>
      <c r="M8882" s="19"/>
      <c r="N8882" s="19"/>
      <c r="O8882" s="14" t="str">
        <f>HYPERLINK("https://otsuka-europe-crm.veevavault.com/ui/#object/email_activity__v/V8C00000004H330", "EN-002111534")</f>
        <v>EN-002111534</v>
      </c>
    </row>
    <row r="8883" spans="1:15" ht="16" x14ac:dyDescent="0.2">
      <c r="A8883" s="18" t="str">
        <f>HYPERLINK("https://otsuka-europe-crm.veevavault.com/ui/#object/account__v/V4TZ025E89C4WWW", "LAIA GIMENEZ ROBERT")</f>
        <v>LAIA GIMENEZ ROBERT</v>
      </c>
      <c r="B8883" s="18" t="str">
        <f>HYPERLINK("https://otsuka-europe-crm.veevavault.com/ui/#object/vcountry__v/VENZ000004SONF5", "ES")</f>
        <v>ES</v>
      </c>
      <c r="C8883" s="20" t="s">
        <v>39</v>
      </c>
      <c r="D8883" s="21" t="str">
        <f>HYPERLINK("https://otsuka-europe-crm.veevavault.com/ui/#object/approved_document__v/V5O00000000R009", "AM2M - PSIQUIATRIA - Guía manejo práctico AM2M")</f>
        <v>AM2M - PSIQUIATRIA - Guía manejo práctico AM2M</v>
      </c>
      <c r="E8883" s="22" t="str">
        <f>HYPERLINK("https://otsuka-europe-crm.veevavault.com/ui/#object/sent_email__v/VBL00000003H248", "SE-001448661")</f>
        <v>SE-001448661</v>
      </c>
      <c r="F8883" s="25">
        <v>46234.576666666668</v>
      </c>
      <c r="G8883" s="24">
        <v>1</v>
      </c>
      <c r="H8883" s="24">
        <v>1</v>
      </c>
      <c r="I8883" s="24">
        <v>0</v>
      </c>
      <c r="J8883" s="23"/>
      <c r="K8883" s="24">
        <v>0</v>
      </c>
      <c r="L8883" s="22" t="str">
        <f>HYPERLINK("https://otsuka-europe-crm.veevavault.com/ui/#object/approved_document__v/V5O00000000R009", "AM2M - PSIQUIATRIA - Guía manejo práctico AM2M")</f>
        <v>AM2M - PSIQUIATRIA - Guía manejo práctico AM2M</v>
      </c>
      <c r="M8883" s="22" t="str">
        <f>HYPERLINK("mailto:iortega@crm.otsuka-europe.com", "iortega@crm.otsuka-europe.com")</f>
        <v>iortega@crm.otsuka-europe.com</v>
      </c>
      <c r="N8883" s="25">
        <v>46234.435150462959</v>
      </c>
      <c r="O8883" s="14" t="str">
        <f>HYPERLINK("https://otsuka-europe-crm.veevavault.com/ui/#object/email_activity__v/V8C00000004F248", "EN-002110288")</f>
        <v>EN-002110288</v>
      </c>
    </row>
    <row r="8884" spans="1:15" ht="16" x14ac:dyDescent="0.2">
      <c r="A8884" s="19"/>
      <c r="B8884" s="19"/>
      <c r="C8884" s="19"/>
      <c r="D8884" s="19"/>
      <c r="E8884" s="19"/>
      <c r="F8884" s="19"/>
      <c r="G8884" s="19"/>
      <c r="H8884" s="19"/>
      <c r="I8884" s="19"/>
      <c r="J8884" s="19"/>
      <c r="K8884" s="19"/>
      <c r="L8884" s="19"/>
      <c r="M8884" s="19"/>
      <c r="N8884" s="19"/>
      <c r="O8884" s="14" t="str">
        <f>HYPERLINK("https://otsuka-europe-crm.veevavault.com/ui/#object/email_activity__v/V8C00000004F400", "EN-002110766")</f>
        <v>EN-002110766</v>
      </c>
    </row>
    <row r="8885" spans="1:15" ht="16" x14ac:dyDescent="0.2">
      <c r="A8885" s="18" t="str">
        <f>HYPERLINK("https://otsuka-europe-crm.veevavault.com/ui/#object/account__v/V4TZ06G6O71T8NJ", "JOSEP MARCET BARTRA")</f>
        <v>JOSEP MARCET BARTRA</v>
      </c>
      <c r="B8885" s="18" t="str">
        <f>HYPERLINK("https://otsuka-europe-crm.veevavault.com/ui/#object/vcountry__v/VENZ000004SONF5", "ES")</f>
        <v>ES</v>
      </c>
      <c r="C8885" s="20" t="s">
        <v>39</v>
      </c>
      <c r="D8885" s="21" t="str">
        <f>HYPERLINK("https://otsuka-europe-crm.veevavault.com/ui/#object/approved_document__v/V5O00000000R009", "AM2M - PSIQUIATRIA - Guía manejo práctico AM2M")</f>
        <v>AM2M - PSIQUIATRIA - Guía manejo práctico AM2M</v>
      </c>
      <c r="E8885" s="22" t="str">
        <f>HYPERLINK("https://otsuka-europe-crm.veevavault.com/ui/#object/sent_email__v/VBL00000003H249", "SE-001448662")</f>
        <v>SE-001448662</v>
      </c>
      <c r="F8885" s="25">
        <v>46235.82</v>
      </c>
      <c r="G8885" s="24">
        <v>1</v>
      </c>
      <c r="H8885" s="24">
        <v>1</v>
      </c>
      <c r="I8885" s="24">
        <v>0</v>
      </c>
      <c r="J8885" s="23"/>
      <c r="K8885" s="24">
        <v>0</v>
      </c>
      <c r="L8885" s="22" t="str">
        <f>HYPERLINK("https://otsuka-europe-crm.veevavault.com/ui/#object/approved_document__v/V5O00000000R009", "AM2M - PSIQUIATRIA - Guía manejo práctico AM2M")</f>
        <v>AM2M - PSIQUIATRIA - Guía manejo práctico AM2M</v>
      </c>
      <c r="M8885" s="22" t="str">
        <f>HYPERLINK("mailto:iortega@crm.otsuka-europe.com", "iortega@crm.otsuka-europe.com")</f>
        <v>iortega@crm.otsuka-europe.com</v>
      </c>
      <c r="N8885" s="25">
        <v>46234.43513888889</v>
      </c>
      <c r="O8885" s="14" t="str">
        <f>HYPERLINK("https://otsuka-europe-crm.veevavault.com/ui/#object/email_activity__v/V8C00000004F247", "EN-002110287")</f>
        <v>EN-002110287</v>
      </c>
    </row>
    <row r="8886" spans="1:15" ht="16" x14ac:dyDescent="0.2">
      <c r="A8886" s="19"/>
      <c r="B8886" s="19"/>
      <c r="C8886" s="19"/>
      <c r="D8886" s="19"/>
      <c r="E8886" s="19"/>
      <c r="F8886" s="19"/>
      <c r="G8886" s="19"/>
      <c r="H8886" s="19"/>
      <c r="I8886" s="19"/>
      <c r="J8886" s="19"/>
      <c r="K8886" s="19"/>
      <c r="L8886" s="19"/>
      <c r="M8886" s="19"/>
      <c r="N8886" s="19"/>
      <c r="O8886" s="14" t="str">
        <f>HYPERLINK("https://otsuka-europe-crm.veevavault.com/ui/#object/email_activity__v/V8C00000004H070", "EN-002111064")</f>
        <v>EN-002111064</v>
      </c>
    </row>
    <row r="8887" spans="1:15" ht="48" x14ac:dyDescent="0.2">
      <c r="A8887" s="7" t="str">
        <f>HYPERLINK("https://otsuka-europe-crm.veevavault.com/ui/#object/account__v/V4TZ06G6O71T9MG", "JOSEP CHECA SOLER")</f>
        <v>JOSEP CHECA SOLER</v>
      </c>
      <c r="B8887" s="7" t="str">
        <f t="shared" ref="B8887:B8893" si="331">HYPERLINK("https://otsuka-europe-crm.veevavault.com/ui/#object/vcountry__v/VENZ000004SONF5", "ES")</f>
        <v>ES</v>
      </c>
      <c r="C8887" s="8" t="s">
        <v>39</v>
      </c>
      <c r="D8887" s="9" t="str">
        <f t="shared" ref="D8887:D8893" si="332">HYPERLINK("https://otsuka-europe-crm.veevavault.com/ui/#object/approved_document__v/V5O00000000R009", "AM2M - PSIQUIATRIA - Guía manejo práctico AM2M")</f>
        <v>AM2M - PSIQUIATRIA - Guía manejo práctico AM2M</v>
      </c>
      <c r="E8887" s="10" t="str">
        <f>HYPERLINK("https://otsuka-europe-crm.veevavault.com/ui/#object/sent_email__v/VBL00000003H250", "SE-001448663")</f>
        <v>SE-001448663</v>
      </c>
      <c r="F8887" s="11"/>
      <c r="G8887" s="12">
        <v>0</v>
      </c>
      <c r="H8887" s="12">
        <v>0</v>
      </c>
      <c r="I8887" s="12">
        <v>0</v>
      </c>
      <c r="J8887" s="11"/>
      <c r="K8887" s="12">
        <v>0</v>
      </c>
      <c r="L8887" s="10" t="str">
        <f t="shared" ref="L8887:L8893" si="333">HYPERLINK("https://otsuka-europe-crm.veevavault.com/ui/#object/approved_document__v/V5O00000000R009", "AM2M - PSIQUIATRIA - Guía manejo práctico AM2M")</f>
        <v>AM2M - PSIQUIATRIA - Guía manejo práctico AM2M</v>
      </c>
      <c r="M8887" s="10" t="str">
        <f t="shared" ref="M8887:M8893" si="334">HYPERLINK("mailto:iortega@crm.otsuka-europe.com", "iortega@crm.otsuka-europe.com")</f>
        <v>iortega@crm.otsuka-europe.com</v>
      </c>
      <c r="N8887" s="13">
        <v>46234.435208333336</v>
      </c>
      <c r="O8887" s="14" t="str">
        <f>HYPERLINK("https://otsuka-europe-crm.veevavault.com/ui/#object/email_activity__v/V8C00000004G265", "EN-002110315")</f>
        <v>EN-002110315</v>
      </c>
    </row>
    <row r="8888" spans="1:15" ht="48" x14ac:dyDescent="0.2">
      <c r="A8888" s="7" t="str">
        <f>HYPERLINK("https://otsuka-europe-crm.veevavault.com/ui/#object/account__v/V4TZ06G6O71T78G", "JORDI NUÑEZ GONZALEZ")</f>
        <v>JORDI NUÑEZ GONZALEZ</v>
      </c>
      <c r="B8888" s="7" t="str">
        <f t="shared" si="331"/>
        <v>ES</v>
      </c>
      <c r="C8888" s="8" t="s">
        <v>39</v>
      </c>
      <c r="D8888" s="9" t="str">
        <f t="shared" si="332"/>
        <v>AM2M - PSIQUIATRIA - Guía manejo práctico AM2M</v>
      </c>
      <c r="E8888" s="10" t="str">
        <f>HYPERLINK("https://otsuka-europe-crm.veevavault.com/ui/#object/sent_email__v/VBL00000003H251", "SE-001448664")</f>
        <v>SE-001448664</v>
      </c>
      <c r="F8888" s="11"/>
      <c r="G8888" s="12">
        <v>0</v>
      </c>
      <c r="H8888" s="12">
        <v>0</v>
      </c>
      <c r="I8888" s="12">
        <v>0</v>
      </c>
      <c r="J8888" s="11"/>
      <c r="K8888" s="12">
        <v>0</v>
      </c>
      <c r="L8888" s="10" t="str">
        <f t="shared" si="333"/>
        <v>AM2M - PSIQUIATRIA - Guía manejo práctico AM2M</v>
      </c>
      <c r="M8888" s="10" t="str">
        <f t="shared" si="334"/>
        <v>iortega@crm.otsuka-europe.com</v>
      </c>
      <c r="N8888" s="13">
        <v>46234.435208333336</v>
      </c>
      <c r="O8888" s="14" t="str">
        <f>HYPERLINK("https://otsuka-europe-crm.veevavault.com/ui/#object/email_activity__v/V8C00000004F264", "EN-002110312")</f>
        <v>EN-002110312</v>
      </c>
    </row>
    <row r="8889" spans="1:15" ht="48" x14ac:dyDescent="0.2">
      <c r="A8889" s="7" t="str">
        <f>HYPERLINK("https://otsuka-europe-crm.veevavault.com/ui/#object/account__v/V4TZ06G6O71TB34", "JOSEP MARTI BONANY")</f>
        <v>JOSEP MARTI BONANY</v>
      </c>
      <c r="B8889" s="7" t="str">
        <f t="shared" si="331"/>
        <v>ES</v>
      </c>
      <c r="C8889" s="8" t="s">
        <v>39</v>
      </c>
      <c r="D8889" s="9" t="str">
        <f t="shared" si="332"/>
        <v>AM2M - PSIQUIATRIA - Guía manejo práctico AM2M</v>
      </c>
      <c r="E8889" s="10" t="str">
        <f>HYPERLINK("https://otsuka-europe-crm.veevavault.com/ui/#object/sent_email__v/VBL00000003H252", "SE-001448665")</f>
        <v>SE-001448665</v>
      </c>
      <c r="F8889" s="11"/>
      <c r="G8889" s="12">
        <v>0</v>
      </c>
      <c r="H8889" s="12">
        <v>0</v>
      </c>
      <c r="I8889" s="12">
        <v>0</v>
      </c>
      <c r="J8889" s="11"/>
      <c r="K8889" s="12">
        <v>0</v>
      </c>
      <c r="L8889" s="10" t="str">
        <f t="shared" si="333"/>
        <v>AM2M - PSIQUIATRIA - Guía manejo práctico AM2M</v>
      </c>
      <c r="M8889" s="10" t="str">
        <f t="shared" si="334"/>
        <v>iortega@crm.otsuka-europe.com</v>
      </c>
      <c r="N8889" s="13">
        <v>46234.435208333336</v>
      </c>
      <c r="O8889" s="14" t="str">
        <f>HYPERLINK("https://otsuka-europe-crm.veevavault.com/ui/#object/email_activity__v/V8C00000004G255", "EN-002110293")</f>
        <v>EN-002110293</v>
      </c>
    </row>
    <row r="8890" spans="1:15" ht="48" x14ac:dyDescent="0.2">
      <c r="A8890" s="7" t="str">
        <f>HYPERLINK("https://otsuka-europe-crm.veevavault.com/ui/#object/account__v/V4TZ06G6OCEGX3X", "LUCIANO JORGE PASTORE LLADO")</f>
        <v>LUCIANO JORGE PASTORE LLADO</v>
      </c>
      <c r="B8890" s="7" t="str">
        <f t="shared" si="331"/>
        <v>ES</v>
      </c>
      <c r="C8890" s="8" t="s">
        <v>39</v>
      </c>
      <c r="D8890" s="9" t="str">
        <f t="shared" si="332"/>
        <v>AM2M - PSIQUIATRIA - Guía manejo práctico AM2M</v>
      </c>
      <c r="E8890" s="10" t="str">
        <f>HYPERLINK("https://otsuka-europe-crm.veevavault.com/ui/#object/sent_email__v/VBL00000003H253", "SE-001448666")</f>
        <v>SE-001448666</v>
      </c>
      <c r="F8890" s="11"/>
      <c r="G8890" s="12">
        <v>0</v>
      </c>
      <c r="H8890" s="12">
        <v>0</v>
      </c>
      <c r="I8890" s="12">
        <v>0</v>
      </c>
      <c r="J8890" s="11"/>
      <c r="K8890" s="12">
        <v>0</v>
      </c>
      <c r="L8890" s="10" t="str">
        <f t="shared" si="333"/>
        <v>AM2M - PSIQUIATRIA - Guía manejo práctico AM2M</v>
      </c>
      <c r="M8890" s="10" t="str">
        <f t="shared" si="334"/>
        <v>iortega@crm.otsuka-europe.com</v>
      </c>
      <c r="N8890" s="13">
        <v>46234.435208333336</v>
      </c>
      <c r="O8890" s="14" t="str">
        <f>HYPERLINK("https://otsuka-europe-crm.veevavault.com/ui/#object/email_activity__v/V8C00000004F249", "EN-002110289")</f>
        <v>EN-002110289</v>
      </c>
    </row>
    <row r="8891" spans="1:15" ht="48" x14ac:dyDescent="0.2">
      <c r="A8891" s="7" t="str">
        <f>HYPERLINK("https://otsuka-europe-crm.veevavault.com/ui/#object/account__v/V4TZ06G6O71T9IN", "JOSE LUIS CARRASCO PERERA")</f>
        <v>JOSE LUIS CARRASCO PERERA</v>
      </c>
      <c r="B8891" s="7" t="str">
        <f t="shared" si="331"/>
        <v>ES</v>
      </c>
      <c r="C8891" s="8" t="s">
        <v>39</v>
      </c>
      <c r="D8891" s="9" t="str">
        <f t="shared" si="332"/>
        <v>AM2M - PSIQUIATRIA - Guía manejo práctico AM2M</v>
      </c>
      <c r="E8891" s="10" t="str">
        <f>HYPERLINK("https://otsuka-europe-crm.veevavault.com/ui/#object/sent_email__v/VBL00000003H254", "SE-001448667")</f>
        <v>SE-001448667</v>
      </c>
      <c r="F8891" s="11"/>
      <c r="G8891" s="12">
        <v>0</v>
      </c>
      <c r="H8891" s="12">
        <v>0</v>
      </c>
      <c r="I8891" s="12">
        <v>0</v>
      </c>
      <c r="J8891" s="11"/>
      <c r="K8891" s="12">
        <v>0</v>
      </c>
      <c r="L8891" s="10" t="str">
        <f t="shared" si="333"/>
        <v>AM2M - PSIQUIATRIA - Guía manejo práctico AM2M</v>
      </c>
      <c r="M8891" s="10" t="str">
        <f t="shared" si="334"/>
        <v>iortega@crm.otsuka-europe.com</v>
      </c>
      <c r="N8891" s="13">
        <v>46234.435208333336</v>
      </c>
      <c r="O8891" s="14" t="str">
        <f>HYPERLINK("https://otsuka-europe-crm.veevavault.com/ui/#object/email_activity__v/V8C00000004G261", "EN-002110306")</f>
        <v>EN-002110306</v>
      </c>
    </row>
    <row r="8892" spans="1:15" ht="48" x14ac:dyDescent="0.2">
      <c r="A8892" s="7" t="str">
        <f>HYPERLINK("https://otsuka-europe-crm.veevavault.com/ui/#object/account__v/V4T00000001Q181", "LAIA SAUMELL BAEZA")</f>
        <v>LAIA SAUMELL BAEZA</v>
      </c>
      <c r="B8892" s="7" t="str">
        <f t="shared" si="331"/>
        <v>ES</v>
      </c>
      <c r="C8892" s="8" t="s">
        <v>39</v>
      </c>
      <c r="D8892" s="9" t="str">
        <f t="shared" si="332"/>
        <v>AM2M - PSIQUIATRIA - Guía manejo práctico AM2M</v>
      </c>
      <c r="E8892" s="10" t="str">
        <f>HYPERLINK("https://otsuka-europe-crm.veevavault.com/ui/#object/sent_email__v/VBL00000003H255", "SE-001448668")</f>
        <v>SE-001448668</v>
      </c>
      <c r="F8892" s="11"/>
      <c r="G8892" s="12">
        <v>0</v>
      </c>
      <c r="H8892" s="12">
        <v>0</v>
      </c>
      <c r="I8892" s="12">
        <v>0</v>
      </c>
      <c r="J8892" s="11"/>
      <c r="K8892" s="12">
        <v>0</v>
      </c>
      <c r="L8892" s="10" t="str">
        <f t="shared" si="333"/>
        <v>AM2M - PSIQUIATRIA - Guía manejo práctico AM2M</v>
      </c>
      <c r="M8892" s="10" t="str">
        <f t="shared" si="334"/>
        <v>iortega@crm.otsuka-europe.com</v>
      </c>
      <c r="N8892" s="13">
        <v>46234.435208333336</v>
      </c>
      <c r="O8892" s="14" t="str">
        <f>HYPERLINK("https://otsuka-europe-crm.veevavault.com/ui/#object/email_activity__v/V8C00000004F258", "EN-002110302")</f>
        <v>EN-002110302</v>
      </c>
    </row>
    <row r="8893" spans="1:15" ht="16" x14ac:dyDescent="0.2">
      <c r="A8893" s="18" t="str">
        <f>HYPERLINK("https://otsuka-europe-crm.veevavault.com/ui/#object/account__v/V4TZ025E868017Y", "LUCIA LAFUENTE CALVO")</f>
        <v>LUCIA LAFUENTE CALVO</v>
      </c>
      <c r="B8893" s="18" t="str">
        <f t="shared" si="331"/>
        <v>ES</v>
      </c>
      <c r="C8893" s="20" t="s">
        <v>39</v>
      </c>
      <c r="D8893" s="21" t="str">
        <f t="shared" si="332"/>
        <v>AM2M - PSIQUIATRIA - Guía manejo práctico AM2M</v>
      </c>
      <c r="E8893" s="22" t="str">
        <f>HYPERLINK("https://otsuka-europe-crm.veevavault.com/ui/#object/sent_email__v/VBL00000003H256", "SE-001448669")</f>
        <v>SE-001448669</v>
      </c>
      <c r="F8893" s="23"/>
      <c r="G8893" s="24">
        <v>0</v>
      </c>
      <c r="H8893" s="24">
        <v>0</v>
      </c>
      <c r="I8893" s="24">
        <v>0</v>
      </c>
      <c r="J8893" s="23"/>
      <c r="K8893" s="24">
        <v>0</v>
      </c>
      <c r="L8893" s="22" t="str">
        <f t="shared" si="333"/>
        <v>AM2M - PSIQUIATRIA - Guía manejo práctico AM2M</v>
      </c>
      <c r="M8893" s="22" t="str">
        <f t="shared" si="334"/>
        <v>iortega@crm.otsuka-europe.com</v>
      </c>
      <c r="N8893" s="25">
        <v>46234.435208333336</v>
      </c>
      <c r="O8893" s="14" t="str">
        <f>HYPERLINK("https://otsuka-europe-crm.veevavault.com/ui/#object/email_activity__v/V8C00000004F263", "EN-002110311")</f>
        <v>EN-002110311</v>
      </c>
    </row>
    <row r="8894" spans="1:15" ht="16" x14ac:dyDescent="0.2">
      <c r="A8894" s="19"/>
      <c r="B8894" s="19"/>
      <c r="C8894" s="19"/>
      <c r="D8894" s="19"/>
      <c r="E8894" s="19"/>
      <c r="F8894" s="19"/>
      <c r="G8894" s="19"/>
      <c r="H8894" s="19"/>
      <c r="I8894" s="19"/>
      <c r="J8894" s="19"/>
      <c r="K8894" s="19"/>
      <c r="L8894" s="19"/>
      <c r="M8894" s="19"/>
      <c r="N8894" s="19"/>
      <c r="O8894" s="14" t="str">
        <f>HYPERLINK("https://otsuka-europe-crm.veevavault.com/ui/#object/email_activity__v/V8C00000004G657", "EN-002110933")</f>
        <v>EN-002110933</v>
      </c>
    </row>
    <row r="8895" spans="1:15" ht="48" x14ac:dyDescent="0.2">
      <c r="A8895" s="7" t="str">
        <f>HYPERLINK("https://otsuka-europe-crm.veevavault.com/ui/#object/account__v/V4TZ06G6O71TAF8", "JOSE GUARDIA SERECIGNI")</f>
        <v>JOSE GUARDIA SERECIGNI</v>
      </c>
      <c r="B8895" s="7" t="str">
        <f t="shared" ref="B8895:B8906" si="335">HYPERLINK("https://otsuka-europe-crm.veevavault.com/ui/#object/vcountry__v/VENZ000004SONF5", "ES")</f>
        <v>ES</v>
      </c>
      <c r="C8895" s="8" t="s">
        <v>39</v>
      </c>
      <c r="D8895" s="9" t="str">
        <f t="shared" ref="D8895:D8906" si="336">HYPERLINK("https://otsuka-europe-crm.veevavault.com/ui/#object/approved_document__v/V5O00000000R009", "AM2M - PSIQUIATRIA - Guía manejo práctico AM2M")</f>
        <v>AM2M - PSIQUIATRIA - Guía manejo práctico AM2M</v>
      </c>
      <c r="E8895" s="10" t="str">
        <f>HYPERLINK("https://otsuka-europe-crm.veevavault.com/ui/#object/sent_email__v/VBL00000003H257", "SE-001448670")</f>
        <v>SE-001448670</v>
      </c>
      <c r="F8895" s="11"/>
      <c r="G8895" s="12">
        <v>0</v>
      </c>
      <c r="H8895" s="12">
        <v>0</v>
      </c>
      <c r="I8895" s="12">
        <v>0</v>
      </c>
      <c r="J8895" s="11"/>
      <c r="K8895" s="12">
        <v>0</v>
      </c>
      <c r="L8895" s="10" t="str">
        <f t="shared" ref="L8895:L8906" si="337">HYPERLINK("https://otsuka-europe-crm.veevavault.com/ui/#object/approved_document__v/V5O00000000R009", "AM2M - PSIQUIATRIA - Guía manejo práctico AM2M")</f>
        <v>AM2M - PSIQUIATRIA - Guía manejo práctico AM2M</v>
      </c>
      <c r="M8895" s="10" t="str">
        <f t="shared" ref="M8895:M8906" si="338">HYPERLINK("mailto:iortega@crm.otsuka-europe.com", "iortega@crm.otsuka-europe.com")</f>
        <v>iortega@crm.otsuka-europe.com</v>
      </c>
      <c r="N8895" s="13">
        <v>46234.435208333336</v>
      </c>
      <c r="O8895" s="14" t="str">
        <f>HYPERLINK("https://otsuka-europe-crm.veevavault.com/ui/#object/email_activity__v/V8C00000004G266", "EN-002110316")</f>
        <v>EN-002110316</v>
      </c>
    </row>
    <row r="8896" spans="1:15" ht="48" x14ac:dyDescent="0.2">
      <c r="A8896" s="7" t="str">
        <f>HYPERLINK("https://otsuka-europe-crm.veevavault.com/ui/#object/account__v/V4TZ06G6O71TK16", "LAURA LERMO VIDAL")</f>
        <v>LAURA LERMO VIDAL</v>
      </c>
      <c r="B8896" s="7" t="str">
        <f t="shared" si="335"/>
        <v>ES</v>
      </c>
      <c r="C8896" s="8" t="s">
        <v>39</v>
      </c>
      <c r="D8896" s="9" t="str">
        <f t="shared" si="336"/>
        <v>AM2M - PSIQUIATRIA - Guía manejo práctico AM2M</v>
      </c>
      <c r="E8896" s="10" t="str">
        <f>HYPERLINK("https://otsuka-europe-crm.veevavault.com/ui/#object/sent_email__v/VBL00000003H258", "SE-001448671")</f>
        <v>SE-001448671</v>
      </c>
      <c r="F8896" s="11"/>
      <c r="G8896" s="12">
        <v>0</v>
      </c>
      <c r="H8896" s="12">
        <v>0</v>
      </c>
      <c r="I8896" s="12">
        <v>0</v>
      </c>
      <c r="J8896" s="11"/>
      <c r="K8896" s="12">
        <v>0</v>
      </c>
      <c r="L8896" s="10" t="str">
        <f t="shared" si="337"/>
        <v>AM2M - PSIQUIATRIA - Guía manejo práctico AM2M</v>
      </c>
      <c r="M8896" s="10" t="str">
        <f t="shared" si="338"/>
        <v>iortega@crm.otsuka-europe.com</v>
      </c>
      <c r="N8896" s="13">
        <v>46234.435208333336</v>
      </c>
      <c r="O8896" s="14" t="str">
        <f>HYPERLINK("https://otsuka-europe-crm.veevavault.com/ui/#object/email_activity__v/V8C00000004G264", "EN-002110314")</f>
        <v>EN-002110314</v>
      </c>
    </row>
    <row r="8897" spans="1:15" ht="48" x14ac:dyDescent="0.2">
      <c r="A8897" s="7" t="str">
        <f>HYPERLINK("https://otsuka-europe-crm.veevavault.com/ui/#object/account__v/V4TZ06G6O71T9AR", "JULIO BOBES GARCIA")</f>
        <v>JULIO BOBES GARCIA</v>
      </c>
      <c r="B8897" s="7" t="str">
        <f t="shared" si="335"/>
        <v>ES</v>
      </c>
      <c r="C8897" s="8" t="s">
        <v>39</v>
      </c>
      <c r="D8897" s="9" t="str">
        <f t="shared" si="336"/>
        <v>AM2M - PSIQUIATRIA - Guía manejo práctico AM2M</v>
      </c>
      <c r="E8897" s="10" t="str">
        <f>HYPERLINK("https://otsuka-europe-crm.veevavault.com/ui/#object/sent_email__v/VBL00000003H259", "SE-001448672")</f>
        <v>SE-001448672</v>
      </c>
      <c r="F8897" s="11"/>
      <c r="G8897" s="12">
        <v>0</v>
      </c>
      <c r="H8897" s="12">
        <v>0</v>
      </c>
      <c r="I8897" s="12">
        <v>0</v>
      </c>
      <c r="J8897" s="11"/>
      <c r="K8897" s="12">
        <v>0</v>
      </c>
      <c r="L8897" s="10" t="str">
        <f t="shared" si="337"/>
        <v>AM2M - PSIQUIATRIA - Guía manejo práctico AM2M</v>
      </c>
      <c r="M8897" s="10" t="str">
        <f t="shared" si="338"/>
        <v>iortega@crm.otsuka-europe.com</v>
      </c>
      <c r="N8897" s="13">
        <v>46234.435208333336</v>
      </c>
      <c r="O8897" s="14" t="str">
        <f>HYPERLINK("https://otsuka-europe-crm.veevavault.com/ui/#object/email_activity__v/V8C00000004G267", "EN-002110317")</f>
        <v>EN-002110317</v>
      </c>
    </row>
    <row r="8898" spans="1:15" ht="48" x14ac:dyDescent="0.2">
      <c r="A8898" s="7" t="str">
        <f>HYPERLINK("https://otsuka-europe-crm.veevavault.com/ui/#object/account__v/V4TZ06G6OCBGSYP", "LAURA CANO ROCH")</f>
        <v>LAURA CANO ROCH</v>
      </c>
      <c r="B8898" s="7" t="str">
        <f t="shared" si="335"/>
        <v>ES</v>
      </c>
      <c r="C8898" s="8" t="s">
        <v>39</v>
      </c>
      <c r="D8898" s="9" t="str">
        <f t="shared" si="336"/>
        <v>AM2M - PSIQUIATRIA - Guía manejo práctico AM2M</v>
      </c>
      <c r="E8898" s="10" t="str">
        <f>HYPERLINK("https://otsuka-europe-crm.veevavault.com/ui/#object/sent_email__v/VBL00000003H260", "SE-001448673")</f>
        <v>SE-001448673</v>
      </c>
      <c r="F8898" s="11"/>
      <c r="G8898" s="12">
        <v>0</v>
      </c>
      <c r="H8898" s="12">
        <v>0</v>
      </c>
      <c r="I8898" s="12">
        <v>0</v>
      </c>
      <c r="J8898" s="11"/>
      <c r="K8898" s="12">
        <v>0</v>
      </c>
      <c r="L8898" s="10" t="str">
        <f t="shared" si="337"/>
        <v>AM2M - PSIQUIATRIA - Guía manejo práctico AM2M</v>
      </c>
      <c r="M8898" s="10" t="str">
        <f t="shared" si="338"/>
        <v>iortega@crm.otsuka-europe.com</v>
      </c>
      <c r="N8898" s="13">
        <v>46234.435127314813</v>
      </c>
      <c r="O8898" s="14" t="str">
        <f>HYPERLINK("https://otsuka-europe-crm.veevavault.com/ui/#object/email_activity__v/V8C00000004F246", "EN-002110286")</f>
        <v>EN-002110286</v>
      </c>
    </row>
    <row r="8899" spans="1:15" ht="48" x14ac:dyDescent="0.2">
      <c r="A8899" s="7" t="str">
        <f>HYPERLINK("https://otsuka-europe-crm.veevavault.com/ui/#object/account__v/V4TZ06G6O71TBPP", "JUAN CARLOS PASCUAL MATEOS")</f>
        <v>JUAN CARLOS PASCUAL MATEOS</v>
      </c>
      <c r="B8899" s="7" t="str">
        <f t="shared" si="335"/>
        <v>ES</v>
      </c>
      <c r="C8899" s="8" t="s">
        <v>39</v>
      </c>
      <c r="D8899" s="9" t="str">
        <f t="shared" si="336"/>
        <v>AM2M - PSIQUIATRIA - Guía manejo práctico AM2M</v>
      </c>
      <c r="E8899" s="10" t="str">
        <f>HYPERLINK("https://otsuka-europe-crm.veevavault.com/ui/#object/sent_email__v/VBL00000003H261", "SE-001448674")</f>
        <v>SE-001448674</v>
      </c>
      <c r="F8899" s="11"/>
      <c r="G8899" s="12">
        <v>0</v>
      </c>
      <c r="H8899" s="12">
        <v>0</v>
      </c>
      <c r="I8899" s="12">
        <v>0</v>
      </c>
      <c r="J8899" s="11"/>
      <c r="K8899" s="12">
        <v>0</v>
      </c>
      <c r="L8899" s="10" t="str">
        <f t="shared" si="337"/>
        <v>AM2M - PSIQUIATRIA - Guía manejo práctico AM2M</v>
      </c>
      <c r="M8899" s="10" t="str">
        <f t="shared" si="338"/>
        <v>iortega@crm.otsuka-europe.com</v>
      </c>
      <c r="N8899" s="13">
        <v>46234.435208333336</v>
      </c>
      <c r="O8899" s="14" t="str">
        <f>HYPERLINK("https://otsuka-europe-crm.veevavault.com/ui/#object/email_activity__v/V8C00000004G269", "EN-002110319")</f>
        <v>EN-002110319</v>
      </c>
    </row>
    <row r="8900" spans="1:15" ht="48" x14ac:dyDescent="0.2">
      <c r="A8900" s="7" t="str">
        <f>HYPERLINK("https://otsuka-europe-crm.veevavault.com/ui/#object/account__v/V4TZ06G6O71T8HP", "LAURA MARTINEZ SADURNI")</f>
        <v>LAURA MARTINEZ SADURNI</v>
      </c>
      <c r="B8900" s="7" t="str">
        <f t="shared" si="335"/>
        <v>ES</v>
      </c>
      <c r="C8900" s="8" t="s">
        <v>39</v>
      </c>
      <c r="D8900" s="9" t="str">
        <f t="shared" si="336"/>
        <v>AM2M - PSIQUIATRIA - Guía manejo práctico AM2M</v>
      </c>
      <c r="E8900" s="10" t="str">
        <f>HYPERLINK("https://otsuka-europe-crm.veevavault.com/ui/#object/sent_email__v/VBL00000003H262", "SE-001448675")</f>
        <v>SE-001448675</v>
      </c>
      <c r="F8900" s="11"/>
      <c r="G8900" s="12">
        <v>0</v>
      </c>
      <c r="H8900" s="12">
        <v>0</v>
      </c>
      <c r="I8900" s="12">
        <v>0</v>
      </c>
      <c r="J8900" s="11"/>
      <c r="K8900" s="12">
        <v>0</v>
      </c>
      <c r="L8900" s="10" t="str">
        <f t="shared" si="337"/>
        <v>AM2M - PSIQUIATRIA - Guía manejo práctico AM2M</v>
      </c>
      <c r="M8900" s="10" t="str">
        <f t="shared" si="338"/>
        <v>iortega@crm.otsuka-europe.com</v>
      </c>
      <c r="N8900" s="13">
        <v>46234.435208333336</v>
      </c>
      <c r="O8900" s="14" t="str">
        <f>HYPERLINK("https://otsuka-europe-crm.veevavault.com/ui/#object/email_activity__v/V8C00000004F252", "EN-002110292")</f>
        <v>EN-002110292</v>
      </c>
    </row>
    <row r="8901" spans="1:15" ht="48" x14ac:dyDescent="0.2">
      <c r="A8901" s="7" t="str">
        <f>HYPERLINK("https://otsuka-europe-crm.veevavault.com/ui/#object/account__v/V4TZ04ASG7NDD8H", "LAIA RIUS BORRELL")</f>
        <v>LAIA RIUS BORRELL</v>
      </c>
      <c r="B8901" s="7" t="str">
        <f t="shared" si="335"/>
        <v>ES</v>
      </c>
      <c r="C8901" s="8" t="s">
        <v>39</v>
      </c>
      <c r="D8901" s="9" t="str">
        <f t="shared" si="336"/>
        <v>AM2M - PSIQUIATRIA - Guía manejo práctico AM2M</v>
      </c>
      <c r="E8901" s="10" t="str">
        <f>HYPERLINK("https://otsuka-europe-crm.veevavault.com/ui/#object/sent_email__v/VBL00000003H263", "SE-001448676")</f>
        <v>SE-001448676</v>
      </c>
      <c r="F8901" s="11"/>
      <c r="G8901" s="12">
        <v>0</v>
      </c>
      <c r="H8901" s="12">
        <v>0</v>
      </c>
      <c r="I8901" s="12">
        <v>0</v>
      </c>
      <c r="J8901" s="11"/>
      <c r="K8901" s="12">
        <v>0</v>
      </c>
      <c r="L8901" s="10" t="str">
        <f t="shared" si="337"/>
        <v>AM2M - PSIQUIATRIA - Guía manejo práctico AM2M</v>
      </c>
      <c r="M8901" s="10" t="str">
        <f t="shared" si="338"/>
        <v>iortega@crm.otsuka-europe.com</v>
      </c>
      <c r="N8901" s="13">
        <v>46234.435208333336</v>
      </c>
      <c r="O8901" s="14" t="str">
        <f>HYPERLINK("https://otsuka-europe-crm.veevavault.com/ui/#object/email_activity__v/V8C00000004F251", "EN-002110291")</f>
        <v>EN-002110291</v>
      </c>
    </row>
    <row r="8902" spans="1:15" ht="48" x14ac:dyDescent="0.2">
      <c r="A8902" s="7" t="str">
        <f>HYPERLINK("https://otsuka-europe-crm.veevavault.com/ui/#object/account__v/V4TZ06G6O71TAJE", "JOSE IGNACIO CASTRO RODRIGUEZ")</f>
        <v>JOSE IGNACIO CASTRO RODRIGUEZ</v>
      </c>
      <c r="B8902" s="7" t="str">
        <f t="shared" si="335"/>
        <v>ES</v>
      </c>
      <c r="C8902" s="8" t="s">
        <v>39</v>
      </c>
      <c r="D8902" s="9" t="str">
        <f t="shared" si="336"/>
        <v>AM2M - PSIQUIATRIA - Guía manejo práctico AM2M</v>
      </c>
      <c r="E8902" s="10" t="str">
        <f>HYPERLINK("https://otsuka-europe-crm.veevavault.com/ui/#object/sent_email__v/VBL00000003H264", "SE-001448677")</f>
        <v>SE-001448677</v>
      </c>
      <c r="F8902" s="11"/>
      <c r="G8902" s="12">
        <v>0</v>
      </c>
      <c r="H8902" s="12">
        <v>0</v>
      </c>
      <c r="I8902" s="12">
        <v>0</v>
      </c>
      <c r="J8902" s="11"/>
      <c r="K8902" s="12">
        <v>0</v>
      </c>
      <c r="L8902" s="10" t="str">
        <f t="shared" si="337"/>
        <v>AM2M - PSIQUIATRIA - Guía manejo práctico AM2M</v>
      </c>
      <c r="M8902" s="10" t="str">
        <f t="shared" si="338"/>
        <v>iortega@crm.otsuka-europe.com</v>
      </c>
      <c r="N8902" s="13">
        <v>46234.435208333336</v>
      </c>
      <c r="O8902" s="14" t="str">
        <f>HYPERLINK("https://otsuka-europe-crm.veevavault.com/ui/#object/email_activity__v/V8C00000004F255", "EN-002110299")</f>
        <v>EN-002110299</v>
      </c>
    </row>
    <row r="8903" spans="1:15" ht="48" x14ac:dyDescent="0.2">
      <c r="A8903" s="7" t="str">
        <f>HYPERLINK("https://otsuka-europe-crm.veevavault.com/ui/#object/account__v/V4TZ06G6O71T7RR", "JULIA MORENO MONMANY")</f>
        <v>JULIA MORENO MONMANY</v>
      </c>
      <c r="B8903" s="7" t="str">
        <f t="shared" si="335"/>
        <v>ES</v>
      </c>
      <c r="C8903" s="8" t="s">
        <v>39</v>
      </c>
      <c r="D8903" s="9" t="str">
        <f t="shared" si="336"/>
        <v>AM2M - PSIQUIATRIA - Guía manejo práctico AM2M</v>
      </c>
      <c r="E8903" s="10" t="str">
        <f>HYPERLINK("https://otsuka-europe-crm.veevavault.com/ui/#object/sent_email__v/VBL00000003H265", "SE-001448678")</f>
        <v>SE-001448678</v>
      </c>
      <c r="F8903" s="11"/>
      <c r="G8903" s="12">
        <v>0</v>
      </c>
      <c r="H8903" s="12">
        <v>0</v>
      </c>
      <c r="I8903" s="12">
        <v>0</v>
      </c>
      <c r="J8903" s="11"/>
      <c r="K8903" s="12">
        <v>0</v>
      </c>
      <c r="L8903" s="10" t="str">
        <f t="shared" si="337"/>
        <v>AM2M - PSIQUIATRIA - Guía manejo práctico AM2M</v>
      </c>
      <c r="M8903" s="10" t="str">
        <f t="shared" si="338"/>
        <v>iortega@crm.otsuka-europe.com</v>
      </c>
      <c r="N8903" s="13">
        <v>46234.435208333336</v>
      </c>
      <c r="O8903" s="14" t="str">
        <f>HYPERLINK("https://otsuka-europe-crm.veevavault.com/ui/#object/email_activity__v/V8C00000004F256", "EN-002110300")</f>
        <v>EN-002110300</v>
      </c>
    </row>
    <row r="8904" spans="1:15" ht="48" x14ac:dyDescent="0.2">
      <c r="A8904" s="7" t="str">
        <f>HYPERLINK("https://otsuka-europe-crm.veevavault.com/ui/#object/account__v/V4TZ06G6O71TC9J", "JOSE ANTONIO SORIANO PACHECO")</f>
        <v>JOSE ANTONIO SORIANO PACHECO</v>
      </c>
      <c r="B8904" s="7" t="str">
        <f t="shared" si="335"/>
        <v>ES</v>
      </c>
      <c r="C8904" s="8" t="s">
        <v>39</v>
      </c>
      <c r="D8904" s="9" t="str">
        <f t="shared" si="336"/>
        <v>AM2M - PSIQUIATRIA - Guía manejo práctico AM2M</v>
      </c>
      <c r="E8904" s="10" t="str">
        <f>HYPERLINK("https://otsuka-europe-crm.veevavault.com/ui/#object/sent_email__v/VBL00000003H266", "SE-001448679")</f>
        <v>SE-001448679</v>
      </c>
      <c r="F8904" s="11"/>
      <c r="G8904" s="12">
        <v>0</v>
      </c>
      <c r="H8904" s="12">
        <v>0</v>
      </c>
      <c r="I8904" s="12">
        <v>0</v>
      </c>
      <c r="J8904" s="11"/>
      <c r="K8904" s="12">
        <v>0</v>
      </c>
      <c r="L8904" s="10" t="str">
        <f t="shared" si="337"/>
        <v>AM2M - PSIQUIATRIA - Guía manejo práctico AM2M</v>
      </c>
      <c r="M8904" s="10" t="str">
        <f t="shared" si="338"/>
        <v>iortega@crm.otsuka-europe.com</v>
      </c>
      <c r="N8904" s="13">
        <v>46234.435208333336</v>
      </c>
      <c r="O8904" s="14" t="str">
        <f>HYPERLINK("https://otsuka-europe-crm.veevavault.com/ui/#object/email_activity__v/V8C00000004G257", "EN-002110295")</f>
        <v>EN-002110295</v>
      </c>
    </row>
    <row r="8905" spans="1:15" ht="48" x14ac:dyDescent="0.2">
      <c r="A8905" s="7" t="str">
        <f>HYPERLINK("https://otsuka-europe-crm.veevavault.com/ui/#object/account__v/V4TZ06G6OCEKV4Q", "LAIA GIL MARTINEZ")</f>
        <v>LAIA GIL MARTINEZ</v>
      </c>
      <c r="B8905" s="7" t="str">
        <f t="shared" si="335"/>
        <v>ES</v>
      </c>
      <c r="C8905" s="8" t="s">
        <v>39</v>
      </c>
      <c r="D8905" s="9" t="str">
        <f t="shared" si="336"/>
        <v>AM2M - PSIQUIATRIA - Guía manejo práctico AM2M</v>
      </c>
      <c r="E8905" s="10" t="str">
        <f>HYPERLINK("https://otsuka-europe-crm.veevavault.com/ui/#object/sent_email__v/VBL00000003H267", "SE-001448680")</f>
        <v>SE-001448680</v>
      </c>
      <c r="F8905" s="11"/>
      <c r="G8905" s="12">
        <v>0</v>
      </c>
      <c r="H8905" s="12">
        <v>0</v>
      </c>
      <c r="I8905" s="12">
        <v>0</v>
      </c>
      <c r="J8905" s="11"/>
      <c r="K8905" s="12">
        <v>0</v>
      </c>
      <c r="L8905" s="10" t="str">
        <f t="shared" si="337"/>
        <v>AM2M - PSIQUIATRIA - Guía manejo práctico AM2M</v>
      </c>
      <c r="M8905" s="10" t="str">
        <f t="shared" si="338"/>
        <v>iortega@crm.otsuka-europe.com</v>
      </c>
      <c r="N8905" s="13">
        <v>46234.435208333336</v>
      </c>
      <c r="O8905" s="14" t="str">
        <f>HYPERLINK("https://otsuka-europe-crm.veevavault.com/ui/#object/email_activity__v/V8C00000004F254", "EN-002110298")</f>
        <v>EN-002110298</v>
      </c>
    </row>
    <row r="8906" spans="1:15" ht="16" x14ac:dyDescent="0.2">
      <c r="A8906" s="18" t="str">
        <f>HYPERLINK("https://otsuka-europe-crm.veevavault.com/ui/#object/account__v/V4TZ06G6O71T7SL", "MARIA ROBLES MARTINEZ")</f>
        <v>MARIA ROBLES MARTINEZ</v>
      </c>
      <c r="B8906" s="18" t="str">
        <f t="shared" si="335"/>
        <v>ES</v>
      </c>
      <c r="C8906" s="20" t="s">
        <v>39</v>
      </c>
      <c r="D8906" s="21" t="str">
        <f t="shared" si="336"/>
        <v>AM2M - PSIQUIATRIA - Guía manejo práctico AM2M</v>
      </c>
      <c r="E8906" s="22" t="str">
        <f>HYPERLINK("https://otsuka-europe-crm.veevavault.com/ui/#object/sent_email__v/VBL00000003H268", "SE-001448681")</f>
        <v>SE-001448681</v>
      </c>
      <c r="F8906" s="23"/>
      <c r="G8906" s="24">
        <v>0</v>
      </c>
      <c r="H8906" s="24">
        <v>0</v>
      </c>
      <c r="I8906" s="24">
        <v>0</v>
      </c>
      <c r="J8906" s="23"/>
      <c r="K8906" s="24">
        <v>0</v>
      </c>
      <c r="L8906" s="22" t="str">
        <f t="shared" si="337"/>
        <v>AM2M - PSIQUIATRIA - Guía manejo práctico AM2M</v>
      </c>
      <c r="M8906" s="22" t="str">
        <f t="shared" si="338"/>
        <v>iortega@crm.otsuka-europe.com</v>
      </c>
      <c r="N8906" s="25">
        <v>46234.437094907407</v>
      </c>
      <c r="O8906" s="14" t="str">
        <f>HYPERLINK("https://otsuka-europe-crm.veevavault.com/ui/#object/email_activity__v/V8C00000004F433", "EN-002110833")</f>
        <v>EN-002110833</v>
      </c>
    </row>
    <row r="8907" spans="1:15" ht="16" x14ac:dyDescent="0.2">
      <c r="A8907" s="26"/>
      <c r="B8907" s="26"/>
      <c r="C8907" s="26"/>
      <c r="D8907" s="26"/>
      <c r="E8907" s="26"/>
      <c r="F8907" s="26"/>
      <c r="G8907" s="26"/>
      <c r="H8907" s="26"/>
      <c r="I8907" s="26"/>
      <c r="J8907" s="26"/>
      <c r="K8907" s="26"/>
      <c r="L8907" s="26"/>
      <c r="M8907" s="26"/>
      <c r="N8907" s="26"/>
      <c r="O8907" s="14" t="str">
        <f>HYPERLINK("https://otsuka-europe-crm.veevavault.com/ui/#object/email_activity__v/V8C00000004F449", "EN-002110852")</f>
        <v>EN-002110852</v>
      </c>
    </row>
    <row r="8908" spans="1:15" ht="16" x14ac:dyDescent="0.2">
      <c r="A8908" s="19"/>
      <c r="B8908" s="19"/>
      <c r="C8908" s="19"/>
      <c r="D8908" s="19"/>
      <c r="E8908" s="19"/>
      <c r="F8908" s="19"/>
      <c r="G8908" s="19"/>
      <c r="H8908" s="19"/>
      <c r="I8908" s="19"/>
      <c r="J8908" s="19"/>
      <c r="K8908" s="19"/>
      <c r="L8908" s="19"/>
      <c r="M8908" s="19"/>
      <c r="N8908" s="19"/>
      <c r="O8908" s="14" t="str">
        <f>HYPERLINK("https://otsuka-europe-crm.veevavault.com/ui/#object/email_activity__v/V8C00000004G274", "EN-002110324")</f>
        <v>EN-002110324</v>
      </c>
    </row>
    <row r="8909" spans="1:15" ht="48" x14ac:dyDescent="0.2">
      <c r="A8909" s="7" t="str">
        <f>HYPERLINK("https://otsuka-europe-crm.veevavault.com/ui/#object/account__v/V4TZ06G6O71TBDR", "MARIA VICTORIA OLLES OGUE")</f>
        <v>MARIA VICTORIA OLLES OGUE</v>
      </c>
      <c r="B8909" s="7" t="str">
        <f t="shared" ref="B8909:B8914" si="339">HYPERLINK("https://otsuka-europe-crm.veevavault.com/ui/#object/vcountry__v/VENZ000004SONF5", "ES")</f>
        <v>ES</v>
      </c>
      <c r="C8909" s="8" t="s">
        <v>39</v>
      </c>
      <c r="D8909" s="9" t="str">
        <f t="shared" ref="D8909:D8914" si="340">HYPERLINK("https://otsuka-europe-crm.veevavault.com/ui/#object/approved_document__v/V5O00000000R009", "AM2M - PSIQUIATRIA - Guía manejo práctico AM2M")</f>
        <v>AM2M - PSIQUIATRIA - Guía manejo práctico AM2M</v>
      </c>
      <c r="E8909" s="10" t="str">
        <f>HYPERLINK("https://otsuka-europe-crm.veevavault.com/ui/#object/sent_email__v/VBL00000003H269", "SE-001448682")</f>
        <v>SE-001448682</v>
      </c>
      <c r="F8909" s="11"/>
      <c r="G8909" s="12">
        <v>0</v>
      </c>
      <c r="H8909" s="12">
        <v>0</v>
      </c>
      <c r="I8909" s="12">
        <v>0</v>
      </c>
      <c r="J8909" s="11"/>
      <c r="K8909" s="12">
        <v>0</v>
      </c>
      <c r="L8909" s="10" t="str">
        <f t="shared" ref="L8909:L8914" si="341">HYPERLINK("https://otsuka-europe-crm.veevavault.com/ui/#object/approved_document__v/V5O00000000R009", "AM2M - PSIQUIATRIA - Guía manejo práctico AM2M")</f>
        <v>AM2M - PSIQUIATRIA - Guía manejo práctico AM2M</v>
      </c>
      <c r="M8909" s="10" t="str">
        <f t="shared" ref="M8909:M8914" si="342">HYPERLINK("mailto:iortega@crm.otsuka-europe.com", "iortega@crm.otsuka-europe.com")</f>
        <v>iortega@crm.otsuka-europe.com</v>
      </c>
      <c r="N8909" s="13">
        <v>46234.437013888892</v>
      </c>
      <c r="O8909" s="14" t="str">
        <f>HYPERLINK("https://otsuka-europe-crm.veevavault.com/ui/#object/email_activity__v/V8C00000004G273", "EN-002110323")</f>
        <v>EN-002110323</v>
      </c>
    </row>
    <row r="8910" spans="1:15" ht="48" x14ac:dyDescent="0.2">
      <c r="A8910" s="7" t="str">
        <f>HYPERLINK("https://otsuka-europe-crm.veevavault.com/ui/#object/account__v/V4TZ06G6O8AELGY", "MARIA FERNANDA MANTILLA REYES")</f>
        <v>MARIA FERNANDA MANTILLA REYES</v>
      </c>
      <c r="B8910" s="7" t="str">
        <f t="shared" si="339"/>
        <v>ES</v>
      </c>
      <c r="C8910" s="8" t="s">
        <v>39</v>
      </c>
      <c r="D8910" s="9" t="str">
        <f t="shared" si="340"/>
        <v>AM2M - PSIQUIATRIA - Guía manejo práctico AM2M</v>
      </c>
      <c r="E8910" s="10" t="str">
        <f>HYPERLINK("https://otsuka-europe-crm.veevavault.com/ui/#object/sent_email__v/VBL00000003H270", "SE-001448683")</f>
        <v>SE-001448683</v>
      </c>
      <c r="F8910" s="11"/>
      <c r="G8910" s="12">
        <v>0</v>
      </c>
      <c r="H8910" s="12">
        <v>0</v>
      </c>
      <c r="I8910" s="12">
        <v>0</v>
      </c>
      <c r="J8910" s="11"/>
      <c r="K8910" s="12">
        <v>0</v>
      </c>
      <c r="L8910" s="10" t="str">
        <f t="shared" si="341"/>
        <v>AM2M - PSIQUIATRIA - Guía manejo práctico AM2M</v>
      </c>
      <c r="M8910" s="10" t="str">
        <f t="shared" si="342"/>
        <v>iortega@crm.otsuka-europe.com</v>
      </c>
      <c r="N8910" s="13">
        <v>46234.437094907407</v>
      </c>
      <c r="O8910" s="14" t="str">
        <f>HYPERLINK("https://otsuka-europe-crm.veevavault.com/ui/#object/email_activity__v/V8C00000004G283", "EN-002110333")</f>
        <v>EN-002110333</v>
      </c>
    </row>
    <row r="8911" spans="1:15" ht="48" x14ac:dyDescent="0.2">
      <c r="A8911" s="7" t="str">
        <f>HYPERLINK("https://otsuka-europe-crm.veevavault.com/ui/#object/account__v/V4TZ06G6OB4A25Y", "MARIA PEREZ MACHADO")</f>
        <v>MARIA PEREZ MACHADO</v>
      </c>
      <c r="B8911" s="7" t="str">
        <f t="shared" si="339"/>
        <v>ES</v>
      </c>
      <c r="C8911" s="8" t="s">
        <v>39</v>
      </c>
      <c r="D8911" s="9" t="str">
        <f t="shared" si="340"/>
        <v>AM2M - PSIQUIATRIA - Guía manejo práctico AM2M</v>
      </c>
      <c r="E8911" s="10" t="str">
        <f>HYPERLINK("https://otsuka-europe-crm.veevavault.com/ui/#object/sent_email__v/VBL00000003H271", "SE-001448684")</f>
        <v>SE-001448684</v>
      </c>
      <c r="F8911" s="11"/>
      <c r="G8911" s="12">
        <v>0</v>
      </c>
      <c r="H8911" s="12">
        <v>0</v>
      </c>
      <c r="I8911" s="12">
        <v>0</v>
      </c>
      <c r="J8911" s="11"/>
      <c r="K8911" s="12">
        <v>0</v>
      </c>
      <c r="L8911" s="10" t="str">
        <f t="shared" si="341"/>
        <v>AM2M - PSIQUIATRIA - Guía manejo práctico AM2M</v>
      </c>
      <c r="M8911" s="10" t="str">
        <f t="shared" si="342"/>
        <v>iortega@crm.otsuka-europe.com</v>
      </c>
      <c r="N8911" s="13">
        <v>46234.437094907407</v>
      </c>
      <c r="O8911" s="14" t="str">
        <f>HYPERLINK("https://otsuka-europe-crm.veevavault.com/ui/#object/email_activity__v/V8C00000004G277", "EN-002110327")</f>
        <v>EN-002110327</v>
      </c>
    </row>
    <row r="8912" spans="1:15" ht="48" x14ac:dyDescent="0.2">
      <c r="A8912" s="7" t="str">
        <f>HYPERLINK("https://otsuka-europe-crm.veevavault.com/ui/#object/account__v/V4TZ06G6O71T8MO", "MANUEL ALFONSO VASQUEZ GUIDA")</f>
        <v>MANUEL ALFONSO VASQUEZ GUIDA</v>
      </c>
      <c r="B8912" s="7" t="str">
        <f t="shared" si="339"/>
        <v>ES</v>
      </c>
      <c r="C8912" s="8" t="s">
        <v>39</v>
      </c>
      <c r="D8912" s="9" t="str">
        <f t="shared" si="340"/>
        <v>AM2M - PSIQUIATRIA - Guía manejo práctico AM2M</v>
      </c>
      <c r="E8912" s="10" t="str">
        <f>HYPERLINK("https://otsuka-europe-crm.veevavault.com/ui/#object/sent_email__v/VBL00000003H272", "SE-001448685")</f>
        <v>SE-001448685</v>
      </c>
      <c r="F8912" s="11"/>
      <c r="G8912" s="12">
        <v>0</v>
      </c>
      <c r="H8912" s="12">
        <v>0</v>
      </c>
      <c r="I8912" s="12">
        <v>0</v>
      </c>
      <c r="J8912" s="11"/>
      <c r="K8912" s="12">
        <v>0</v>
      </c>
      <c r="L8912" s="10" t="str">
        <f t="shared" si="341"/>
        <v>AM2M - PSIQUIATRIA - Guía manejo práctico AM2M</v>
      </c>
      <c r="M8912" s="10" t="str">
        <f t="shared" si="342"/>
        <v>iortega@crm.otsuka-europe.com</v>
      </c>
      <c r="N8912" s="13">
        <v>46234.437094907407</v>
      </c>
      <c r="O8912" s="14" t="str">
        <f>HYPERLINK("https://otsuka-europe-crm.veevavault.com/ui/#object/email_activity__v/V8C00000004G290", "EN-002110340")</f>
        <v>EN-002110340</v>
      </c>
    </row>
    <row r="8913" spans="1:15" ht="48" x14ac:dyDescent="0.2">
      <c r="A8913" s="7" t="str">
        <f>HYPERLINK("https://otsuka-europe-crm.veevavault.com/ui/#object/account__v/V4T00000001Q164", "MARC CARABALLO CURIEL")</f>
        <v>MARC CARABALLO CURIEL</v>
      </c>
      <c r="B8913" s="7" t="str">
        <f t="shared" si="339"/>
        <v>ES</v>
      </c>
      <c r="C8913" s="8" t="s">
        <v>39</v>
      </c>
      <c r="D8913" s="9" t="str">
        <f t="shared" si="340"/>
        <v>AM2M - PSIQUIATRIA - Guía manejo práctico AM2M</v>
      </c>
      <c r="E8913" s="10" t="str">
        <f>HYPERLINK("https://otsuka-europe-crm.veevavault.com/ui/#object/sent_email__v/VBL00000003H273", "SE-001448686")</f>
        <v>SE-001448686</v>
      </c>
      <c r="F8913" s="11"/>
      <c r="G8913" s="12">
        <v>0</v>
      </c>
      <c r="H8913" s="12">
        <v>0</v>
      </c>
      <c r="I8913" s="12">
        <v>0</v>
      </c>
      <c r="J8913" s="11"/>
      <c r="K8913" s="12">
        <v>0</v>
      </c>
      <c r="L8913" s="10" t="str">
        <f t="shared" si="341"/>
        <v>AM2M - PSIQUIATRIA - Guía manejo práctico AM2M</v>
      </c>
      <c r="M8913" s="10" t="str">
        <f t="shared" si="342"/>
        <v>iortega@crm.otsuka-europe.com</v>
      </c>
      <c r="N8913" s="13">
        <v>46234.437094907407</v>
      </c>
      <c r="O8913" s="14" t="str">
        <f>HYPERLINK("https://otsuka-europe-crm.veevavault.com/ui/#object/email_activity__v/V8C00000004G306", "EN-002110356")</f>
        <v>EN-002110356</v>
      </c>
    </row>
    <row r="8914" spans="1:15" ht="16" x14ac:dyDescent="0.2">
      <c r="A8914" s="18" t="str">
        <f>HYPERLINK("https://otsuka-europe-crm.veevavault.com/ui/#object/account__v/V4TZ06G6O71TAWM", "LUIS MIGUEL MARTIN LOPEZ")</f>
        <v>LUIS MIGUEL MARTIN LOPEZ</v>
      </c>
      <c r="B8914" s="18" t="str">
        <f t="shared" si="339"/>
        <v>ES</v>
      </c>
      <c r="C8914" s="20" t="s">
        <v>39</v>
      </c>
      <c r="D8914" s="21" t="str">
        <f t="shared" si="340"/>
        <v>AM2M - PSIQUIATRIA - Guía manejo práctico AM2M</v>
      </c>
      <c r="E8914" s="22" t="str">
        <f>HYPERLINK("https://otsuka-europe-crm.veevavault.com/ui/#object/sent_email__v/VBL00000003H274", "SE-001448687")</f>
        <v>SE-001448687</v>
      </c>
      <c r="F8914" s="25">
        <v>46234.731516203705</v>
      </c>
      <c r="G8914" s="24">
        <v>1</v>
      </c>
      <c r="H8914" s="24">
        <v>2</v>
      </c>
      <c r="I8914" s="24">
        <v>0</v>
      </c>
      <c r="J8914" s="23"/>
      <c r="K8914" s="24">
        <v>0</v>
      </c>
      <c r="L8914" s="22" t="str">
        <f t="shared" si="341"/>
        <v>AM2M - PSIQUIATRIA - Guía manejo práctico AM2M</v>
      </c>
      <c r="M8914" s="22" t="str">
        <f t="shared" si="342"/>
        <v>iortega@crm.otsuka-europe.com</v>
      </c>
      <c r="N8914" s="25">
        <v>46234.437094907407</v>
      </c>
      <c r="O8914" s="14" t="str">
        <f>HYPERLINK("https://otsuka-europe-crm.veevavault.com/ui/#object/email_activity__v/V8C00000004F455", "EN-002110859")</f>
        <v>EN-002110859</v>
      </c>
    </row>
    <row r="8915" spans="1:15" ht="16" x14ac:dyDescent="0.2">
      <c r="A8915" s="26"/>
      <c r="B8915" s="26"/>
      <c r="C8915" s="26"/>
      <c r="D8915" s="26"/>
      <c r="E8915" s="26"/>
      <c r="F8915" s="26"/>
      <c r="G8915" s="26"/>
      <c r="H8915" s="26"/>
      <c r="I8915" s="26"/>
      <c r="J8915" s="26"/>
      <c r="K8915" s="26"/>
      <c r="L8915" s="26"/>
      <c r="M8915" s="26"/>
      <c r="N8915" s="26"/>
      <c r="O8915" s="14" t="str">
        <f>HYPERLINK("https://otsuka-europe-crm.veevavault.com/ui/#object/email_activity__v/V8C00000004F456", "EN-002110860")</f>
        <v>EN-002110860</v>
      </c>
    </row>
    <row r="8916" spans="1:15" ht="16" x14ac:dyDescent="0.2">
      <c r="A8916" s="19"/>
      <c r="B8916" s="19"/>
      <c r="C8916" s="19"/>
      <c r="D8916" s="19"/>
      <c r="E8916" s="19"/>
      <c r="F8916" s="19"/>
      <c r="G8916" s="19"/>
      <c r="H8916" s="19"/>
      <c r="I8916" s="19"/>
      <c r="J8916" s="19"/>
      <c r="K8916" s="19"/>
      <c r="L8916" s="19"/>
      <c r="M8916" s="19"/>
      <c r="N8916" s="19"/>
      <c r="O8916" s="14" t="str">
        <f>HYPERLINK("https://otsuka-europe-crm.veevavault.com/ui/#object/email_activity__v/V8C00000004G281", "EN-002110331")</f>
        <v>EN-002110331</v>
      </c>
    </row>
    <row r="8917" spans="1:15" ht="48" x14ac:dyDescent="0.2">
      <c r="A8917" s="7" t="str">
        <f>HYPERLINK("https://otsuka-europe-crm.veevavault.com/ui/#object/account__v/V4TZ06G6O71TCC7", "MARIA LLANOS TORRES SANCHEZ")</f>
        <v>MARIA LLANOS TORRES SANCHEZ</v>
      </c>
      <c r="B8917" s="7" t="str">
        <f t="shared" ref="B8917:B8927" si="343">HYPERLINK("https://otsuka-europe-crm.veevavault.com/ui/#object/vcountry__v/VENZ000004SONF5", "ES")</f>
        <v>ES</v>
      </c>
      <c r="C8917" s="8" t="s">
        <v>39</v>
      </c>
      <c r="D8917" s="9" t="str">
        <f t="shared" ref="D8917:D8927" si="344">HYPERLINK("https://otsuka-europe-crm.veevavault.com/ui/#object/approved_document__v/V5O00000000R009", "AM2M - PSIQUIATRIA - Guía manejo práctico AM2M")</f>
        <v>AM2M - PSIQUIATRIA - Guía manejo práctico AM2M</v>
      </c>
      <c r="E8917" s="10" t="str">
        <f>HYPERLINK("https://otsuka-europe-crm.veevavault.com/ui/#object/sent_email__v/VBL00000003H275", "SE-001448688")</f>
        <v>SE-001448688</v>
      </c>
      <c r="F8917" s="11"/>
      <c r="G8917" s="12">
        <v>0</v>
      </c>
      <c r="H8917" s="12">
        <v>0</v>
      </c>
      <c r="I8917" s="12">
        <v>0</v>
      </c>
      <c r="J8917" s="11"/>
      <c r="K8917" s="12">
        <v>0</v>
      </c>
      <c r="L8917" s="10" t="str">
        <f t="shared" ref="L8917:L8927" si="345">HYPERLINK("https://otsuka-europe-crm.veevavault.com/ui/#object/approved_document__v/V5O00000000R009", "AM2M - PSIQUIATRIA - Guía manejo práctico AM2M")</f>
        <v>AM2M - PSIQUIATRIA - Guía manejo práctico AM2M</v>
      </c>
      <c r="M8917" s="10" t="str">
        <f t="shared" ref="M8917:M8927" si="346">HYPERLINK("mailto:iortega@crm.otsuka-europe.com", "iortega@crm.otsuka-europe.com")</f>
        <v>iortega@crm.otsuka-europe.com</v>
      </c>
      <c r="N8917" s="13">
        <v>46234.437094907407</v>
      </c>
      <c r="O8917" s="14" t="str">
        <f>HYPERLINK("https://otsuka-europe-crm.veevavault.com/ui/#object/email_activity__v/V8C00000004G300", "EN-002110350")</f>
        <v>EN-002110350</v>
      </c>
    </row>
    <row r="8918" spans="1:15" ht="48" x14ac:dyDescent="0.2">
      <c r="A8918" s="7" t="str">
        <f>HYPERLINK("https://otsuka-europe-crm.veevavault.com/ui/#object/account__v/V4TZ04ASG8MYRSD", "LUCILA ELIANA BARBOSA ROSSI")</f>
        <v>LUCILA ELIANA BARBOSA ROSSI</v>
      </c>
      <c r="B8918" s="7" t="str">
        <f t="shared" si="343"/>
        <v>ES</v>
      </c>
      <c r="C8918" s="8" t="s">
        <v>39</v>
      </c>
      <c r="D8918" s="9" t="str">
        <f t="shared" si="344"/>
        <v>AM2M - PSIQUIATRIA - Guía manejo práctico AM2M</v>
      </c>
      <c r="E8918" s="10" t="str">
        <f>HYPERLINK("https://otsuka-europe-crm.veevavault.com/ui/#object/sent_email__v/VBL00000003H276", "SE-001448689")</f>
        <v>SE-001448689</v>
      </c>
      <c r="F8918" s="11"/>
      <c r="G8918" s="12">
        <v>0</v>
      </c>
      <c r="H8918" s="12">
        <v>0</v>
      </c>
      <c r="I8918" s="12">
        <v>0</v>
      </c>
      <c r="J8918" s="11"/>
      <c r="K8918" s="12">
        <v>0</v>
      </c>
      <c r="L8918" s="10" t="str">
        <f t="shared" si="345"/>
        <v>AM2M - PSIQUIATRIA - Guía manejo práctico AM2M</v>
      </c>
      <c r="M8918" s="10" t="str">
        <f t="shared" si="346"/>
        <v>iortega@crm.otsuka-europe.com</v>
      </c>
      <c r="N8918" s="13">
        <v>46234.437094907407</v>
      </c>
      <c r="O8918" s="14" t="str">
        <f>HYPERLINK("https://otsuka-europe-crm.veevavault.com/ui/#object/email_activity__v/V8C00000004G297", "EN-002110347")</f>
        <v>EN-002110347</v>
      </c>
    </row>
    <row r="8919" spans="1:15" ht="48" x14ac:dyDescent="0.2">
      <c r="A8919" s="7" t="str">
        <f>HYPERLINK("https://otsuka-europe-crm.veevavault.com/ui/#object/account__v/V4TZ06G6O71T8ZT", "MARCELO JORGE AMBROS GHISILIERI")</f>
        <v>MARCELO JORGE AMBROS GHISILIERI</v>
      </c>
      <c r="B8919" s="7" t="str">
        <f t="shared" si="343"/>
        <v>ES</v>
      </c>
      <c r="C8919" s="8" t="s">
        <v>39</v>
      </c>
      <c r="D8919" s="9" t="str">
        <f t="shared" si="344"/>
        <v>AM2M - PSIQUIATRIA - Guía manejo práctico AM2M</v>
      </c>
      <c r="E8919" s="10" t="str">
        <f>HYPERLINK("https://otsuka-europe-crm.veevavault.com/ui/#object/sent_email__v/VBL00000003H277", "SE-001448690")</f>
        <v>SE-001448690</v>
      </c>
      <c r="F8919" s="11"/>
      <c r="G8919" s="12">
        <v>0</v>
      </c>
      <c r="H8919" s="12">
        <v>0</v>
      </c>
      <c r="I8919" s="12">
        <v>0</v>
      </c>
      <c r="J8919" s="11"/>
      <c r="K8919" s="12">
        <v>0</v>
      </c>
      <c r="L8919" s="10" t="str">
        <f t="shared" si="345"/>
        <v>AM2M - PSIQUIATRIA - Guía manejo práctico AM2M</v>
      </c>
      <c r="M8919" s="10" t="str">
        <f t="shared" si="346"/>
        <v>iortega@crm.otsuka-europe.com</v>
      </c>
      <c r="N8919" s="13">
        <v>46234.437118055554</v>
      </c>
      <c r="O8919" s="14" t="str">
        <f>HYPERLINK("https://otsuka-europe-crm.veevavault.com/ui/#object/email_activity__v/V8C00000004G302", "EN-002110352")</f>
        <v>EN-002110352</v>
      </c>
    </row>
    <row r="8920" spans="1:15" ht="48" x14ac:dyDescent="0.2">
      <c r="A8920" s="7" t="str">
        <f>HYPERLINK("https://otsuka-europe-crm.veevavault.com/ui/#object/account__v/V4TZ06G6OB489QY", "MANUEL ALFONSO VASQUEZ")</f>
        <v>MANUEL ALFONSO VASQUEZ</v>
      </c>
      <c r="B8920" s="7" t="str">
        <f t="shared" si="343"/>
        <v>ES</v>
      </c>
      <c r="C8920" s="8" t="s">
        <v>39</v>
      </c>
      <c r="D8920" s="9" t="str">
        <f t="shared" si="344"/>
        <v>AM2M - PSIQUIATRIA - Guía manejo práctico AM2M</v>
      </c>
      <c r="E8920" s="10" t="str">
        <f>HYPERLINK("https://otsuka-europe-crm.veevavault.com/ui/#object/sent_email__v/VBL00000003H278", "SE-001448691")</f>
        <v>SE-001448691</v>
      </c>
      <c r="F8920" s="11"/>
      <c r="G8920" s="12">
        <v>0</v>
      </c>
      <c r="H8920" s="12">
        <v>0</v>
      </c>
      <c r="I8920" s="12">
        <v>0</v>
      </c>
      <c r="J8920" s="11"/>
      <c r="K8920" s="12">
        <v>0</v>
      </c>
      <c r="L8920" s="10" t="str">
        <f t="shared" si="345"/>
        <v>AM2M - PSIQUIATRIA - Guía manejo práctico AM2M</v>
      </c>
      <c r="M8920" s="10" t="str">
        <f t="shared" si="346"/>
        <v>iortega@crm.otsuka-europe.com</v>
      </c>
      <c r="N8920" s="13">
        <v>46234.437037037038</v>
      </c>
      <c r="O8920" s="14" t="str">
        <f>HYPERLINK("https://otsuka-europe-crm.veevavault.com/ui/#object/email_activity__v/V8C00000004G286", "EN-002110336")</f>
        <v>EN-002110336</v>
      </c>
    </row>
    <row r="8921" spans="1:15" ht="48" x14ac:dyDescent="0.2">
      <c r="A8921" s="7" t="str">
        <f>HYPERLINK("https://otsuka-europe-crm.veevavault.com/ui/#object/account__v/V4TZ06G6O71UQQ1", "MARIA ROLDAN BERENGUE")</f>
        <v>MARIA ROLDAN BERENGUE</v>
      </c>
      <c r="B8921" s="7" t="str">
        <f t="shared" si="343"/>
        <v>ES</v>
      </c>
      <c r="C8921" s="8" t="s">
        <v>39</v>
      </c>
      <c r="D8921" s="9" t="str">
        <f t="shared" si="344"/>
        <v>AM2M - PSIQUIATRIA - Guía manejo práctico AM2M</v>
      </c>
      <c r="E8921" s="10" t="str">
        <f>HYPERLINK("https://otsuka-europe-crm.veevavault.com/ui/#object/sent_email__v/VBL00000003H279", "SE-001448692")</f>
        <v>SE-001448692</v>
      </c>
      <c r="F8921" s="11"/>
      <c r="G8921" s="12">
        <v>0</v>
      </c>
      <c r="H8921" s="12">
        <v>0</v>
      </c>
      <c r="I8921" s="12">
        <v>0</v>
      </c>
      <c r="J8921" s="11"/>
      <c r="K8921" s="12">
        <v>0</v>
      </c>
      <c r="L8921" s="10" t="str">
        <f t="shared" si="345"/>
        <v>AM2M - PSIQUIATRIA - Guía manejo práctico AM2M</v>
      </c>
      <c r="M8921" s="10" t="str">
        <f t="shared" si="346"/>
        <v>iortega@crm.otsuka-europe.com</v>
      </c>
      <c r="N8921" s="13">
        <v>46234.43712962963</v>
      </c>
      <c r="O8921" s="14" t="str">
        <f>HYPERLINK("https://otsuka-europe-crm.veevavault.com/ui/#object/email_activity__v/V8C00000004G303", "EN-002110353")</f>
        <v>EN-002110353</v>
      </c>
    </row>
    <row r="8922" spans="1:15" ht="48" x14ac:dyDescent="0.2">
      <c r="A8922" s="7" t="str">
        <f>HYPERLINK("https://otsuka-europe-crm.veevavault.com/ui/#object/account__v/V4T00000000J010", "MARIA RIBERA BORRELL")</f>
        <v>MARIA RIBERA BORRELL</v>
      </c>
      <c r="B8922" s="7" t="str">
        <f t="shared" si="343"/>
        <v>ES</v>
      </c>
      <c r="C8922" s="8" t="s">
        <v>39</v>
      </c>
      <c r="D8922" s="9" t="str">
        <f t="shared" si="344"/>
        <v>AM2M - PSIQUIATRIA - Guía manejo práctico AM2M</v>
      </c>
      <c r="E8922" s="10" t="str">
        <f>HYPERLINK("https://otsuka-europe-crm.veevavault.com/ui/#object/sent_email__v/VBL00000003H280", "SE-001448693")</f>
        <v>SE-001448693</v>
      </c>
      <c r="F8922" s="11"/>
      <c r="G8922" s="12">
        <v>0</v>
      </c>
      <c r="H8922" s="12">
        <v>0</v>
      </c>
      <c r="I8922" s="12">
        <v>0</v>
      </c>
      <c r="J8922" s="11"/>
      <c r="K8922" s="12">
        <v>0</v>
      </c>
      <c r="L8922" s="10" t="str">
        <f t="shared" si="345"/>
        <v>AM2M - PSIQUIATRIA - Guía manejo práctico AM2M</v>
      </c>
      <c r="M8922" s="10" t="str">
        <f t="shared" si="346"/>
        <v>iortega@crm.otsuka-europe.com</v>
      </c>
      <c r="N8922" s="13">
        <v>46234.437013888892</v>
      </c>
      <c r="O8922" s="14" t="str">
        <f>HYPERLINK("https://otsuka-europe-crm.veevavault.com/ui/#object/email_activity__v/V8C00000004G279", "EN-002110329")</f>
        <v>EN-002110329</v>
      </c>
    </row>
    <row r="8923" spans="1:15" ht="48" x14ac:dyDescent="0.2">
      <c r="A8923" s="7" t="str">
        <f>HYPERLINK("https://otsuka-europe-crm.veevavault.com/ui/#object/account__v/V4TZ025E86F1TMR", "MARIA FERNANDA ESPINOSA")</f>
        <v>MARIA FERNANDA ESPINOSA</v>
      </c>
      <c r="B8923" s="7" t="str">
        <f t="shared" si="343"/>
        <v>ES</v>
      </c>
      <c r="C8923" s="8" t="s">
        <v>39</v>
      </c>
      <c r="D8923" s="9" t="str">
        <f t="shared" si="344"/>
        <v>AM2M - PSIQUIATRIA - Guía manejo práctico AM2M</v>
      </c>
      <c r="E8923" s="10" t="str">
        <f>HYPERLINK("https://otsuka-europe-crm.veevavault.com/ui/#object/sent_email__v/VBL00000003H281", "SE-001448694")</f>
        <v>SE-001448694</v>
      </c>
      <c r="F8923" s="11"/>
      <c r="G8923" s="12">
        <v>0</v>
      </c>
      <c r="H8923" s="12">
        <v>0</v>
      </c>
      <c r="I8923" s="12">
        <v>0</v>
      </c>
      <c r="J8923" s="11"/>
      <c r="K8923" s="12">
        <v>0</v>
      </c>
      <c r="L8923" s="10" t="str">
        <f t="shared" si="345"/>
        <v>AM2M - PSIQUIATRIA - Guía manejo práctico AM2M</v>
      </c>
      <c r="M8923" s="10" t="str">
        <f t="shared" si="346"/>
        <v>iortega@crm.otsuka-europe.com</v>
      </c>
      <c r="N8923" s="13">
        <v>46234.437013888892</v>
      </c>
      <c r="O8923" s="14" t="str">
        <f>HYPERLINK("https://otsuka-europe-crm.veevavault.com/ui/#object/email_activity__v/V8C00000004G285", "EN-002110335")</f>
        <v>EN-002110335</v>
      </c>
    </row>
    <row r="8924" spans="1:15" ht="48" x14ac:dyDescent="0.2">
      <c r="A8924" s="7" t="str">
        <f>HYPERLINK("https://otsuka-europe-crm.veevavault.com/ui/#object/account__v/V4TZ06G6O71TBJ5", "MARIA JOSEFA PEREZ BLANCO")</f>
        <v>MARIA JOSEFA PEREZ BLANCO</v>
      </c>
      <c r="B8924" s="7" t="str">
        <f t="shared" si="343"/>
        <v>ES</v>
      </c>
      <c r="C8924" s="8" t="s">
        <v>39</v>
      </c>
      <c r="D8924" s="9" t="str">
        <f t="shared" si="344"/>
        <v>AM2M - PSIQUIATRIA - Guía manejo práctico AM2M</v>
      </c>
      <c r="E8924" s="10" t="str">
        <f>HYPERLINK("https://otsuka-europe-crm.veevavault.com/ui/#object/sent_email__v/VBL00000003H282", "SE-001448695")</f>
        <v>SE-001448695</v>
      </c>
      <c r="F8924" s="11"/>
      <c r="G8924" s="12">
        <v>0</v>
      </c>
      <c r="H8924" s="12">
        <v>0</v>
      </c>
      <c r="I8924" s="12">
        <v>0</v>
      </c>
      <c r="J8924" s="11"/>
      <c r="K8924" s="12">
        <v>0</v>
      </c>
      <c r="L8924" s="10" t="str">
        <f t="shared" si="345"/>
        <v>AM2M - PSIQUIATRIA - Guía manejo práctico AM2M</v>
      </c>
      <c r="M8924" s="10" t="str">
        <f t="shared" si="346"/>
        <v>iortega@crm.otsuka-europe.com</v>
      </c>
      <c r="N8924" s="13">
        <v>46234.437013888892</v>
      </c>
      <c r="O8924" s="14" t="str">
        <f>HYPERLINK("https://otsuka-europe-crm.veevavault.com/ui/#object/email_activity__v/V8C00000004G296", "EN-002110346")</f>
        <v>EN-002110346</v>
      </c>
    </row>
    <row r="8925" spans="1:15" ht="48" x14ac:dyDescent="0.2">
      <c r="A8925" s="7" t="str">
        <f>HYPERLINK("https://otsuka-europe-crm.veevavault.com/ui/#object/account__v/V4TZ025E833N2XA", "MARIAM HAMAD MALDONADO")</f>
        <v>MARIAM HAMAD MALDONADO</v>
      </c>
      <c r="B8925" s="7" t="str">
        <f t="shared" si="343"/>
        <v>ES</v>
      </c>
      <c r="C8925" s="8" t="s">
        <v>39</v>
      </c>
      <c r="D8925" s="9" t="str">
        <f t="shared" si="344"/>
        <v>AM2M - PSIQUIATRIA - Guía manejo práctico AM2M</v>
      </c>
      <c r="E8925" s="10" t="str">
        <f>HYPERLINK("https://otsuka-europe-crm.veevavault.com/ui/#object/sent_email__v/VBL00000003H283", "SE-001448696")</f>
        <v>SE-001448696</v>
      </c>
      <c r="F8925" s="11"/>
      <c r="G8925" s="12">
        <v>0</v>
      </c>
      <c r="H8925" s="12">
        <v>0</v>
      </c>
      <c r="I8925" s="12">
        <v>0</v>
      </c>
      <c r="J8925" s="11"/>
      <c r="K8925" s="12">
        <v>0</v>
      </c>
      <c r="L8925" s="10" t="str">
        <f t="shared" si="345"/>
        <v>AM2M - PSIQUIATRIA - Guía manejo práctico AM2M</v>
      </c>
      <c r="M8925" s="10" t="str">
        <f t="shared" si="346"/>
        <v>iortega@crm.otsuka-europe.com</v>
      </c>
      <c r="N8925" s="13">
        <v>46234.437013888892</v>
      </c>
      <c r="O8925" s="14" t="str">
        <f>HYPERLINK("https://otsuka-europe-crm.veevavault.com/ui/#object/email_activity__v/V8C00000004G294", "EN-002110344")</f>
        <v>EN-002110344</v>
      </c>
    </row>
    <row r="8926" spans="1:15" ht="48" x14ac:dyDescent="0.2">
      <c r="A8926" s="7" t="str">
        <f>HYPERLINK("https://otsuka-europe-crm.veevavault.com/ui/#object/account__v/V4TZ06G6O71TBND", "MARIA CRISTINA PINET OGUE")</f>
        <v>MARIA CRISTINA PINET OGUE</v>
      </c>
      <c r="B8926" s="7" t="str">
        <f t="shared" si="343"/>
        <v>ES</v>
      </c>
      <c r="C8926" s="8" t="s">
        <v>39</v>
      </c>
      <c r="D8926" s="9" t="str">
        <f t="shared" si="344"/>
        <v>AM2M - PSIQUIATRIA - Guía manejo práctico AM2M</v>
      </c>
      <c r="E8926" s="10" t="str">
        <f>HYPERLINK("https://otsuka-europe-crm.veevavault.com/ui/#object/sent_email__v/VBL00000003H284", "SE-001448697")</f>
        <v>SE-001448697</v>
      </c>
      <c r="F8926" s="11"/>
      <c r="G8926" s="12">
        <v>0</v>
      </c>
      <c r="H8926" s="12">
        <v>0</v>
      </c>
      <c r="I8926" s="12">
        <v>0</v>
      </c>
      <c r="J8926" s="11"/>
      <c r="K8926" s="12">
        <v>0</v>
      </c>
      <c r="L8926" s="10" t="str">
        <f t="shared" si="345"/>
        <v>AM2M - PSIQUIATRIA - Guía manejo práctico AM2M</v>
      </c>
      <c r="M8926" s="10" t="str">
        <f t="shared" si="346"/>
        <v>iortega@crm.otsuka-europe.com</v>
      </c>
      <c r="N8926" s="13">
        <v>46234.437025462961</v>
      </c>
      <c r="O8926" s="14" t="str">
        <f>HYPERLINK("https://otsuka-europe-crm.veevavault.com/ui/#object/email_activity__v/V8C00000004G299", "EN-002110349")</f>
        <v>EN-002110349</v>
      </c>
    </row>
    <row r="8927" spans="1:15" ht="16" x14ac:dyDescent="0.2">
      <c r="A8927" s="18" t="str">
        <f>HYPERLINK("https://otsuka-europe-crm.veevavault.com/ui/#object/account__v/V4TZ06G6O71TACV", "LUIS GONZALEZ CONTRERAS")</f>
        <v>LUIS GONZALEZ CONTRERAS</v>
      </c>
      <c r="B8927" s="18" t="str">
        <f t="shared" si="343"/>
        <v>ES</v>
      </c>
      <c r="C8927" s="20" t="s">
        <v>39</v>
      </c>
      <c r="D8927" s="21" t="str">
        <f t="shared" si="344"/>
        <v>AM2M - PSIQUIATRIA - Guía manejo práctico AM2M</v>
      </c>
      <c r="E8927" s="22" t="str">
        <f>HYPERLINK("https://otsuka-europe-crm.veevavault.com/ui/#object/sent_email__v/VBL00000003H285", "SE-001448698")</f>
        <v>SE-001448698</v>
      </c>
      <c r="F8927" s="25">
        <v>46238.290509259263</v>
      </c>
      <c r="G8927" s="24">
        <v>1</v>
      </c>
      <c r="H8927" s="24">
        <v>1</v>
      </c>
      <c r="I8927" s="24">
        <v>0</v>
      </c>
      <c r="J8927" s="23"/>
      <c r="K8927" s="24">
        <v>0</v>
      </c>
      <c r="L8927" s="22" t="str">
        <f t="shared" si="345"/>
        <v>AM2M - PSIQUIATRIA - Guía manejo práctico AM2M</v>
      </c>
      <c r="M8927" s="22" t="str">
        <f t="shared" si="346"/>
        <v>iortega@crm.otsuka-europe.com</v>
      </c>
      <c r="N8927" s="25">
        <v>46234.437025462961</v>
      </c>
      <c r="O8927" s="14" t="str">
        <f>HYPERLINK("https://otsuka-europe-crm.veevavault.com/ui/#object/email_activity__v/V8C00000004G287", "EN-002110337")</f>
        <v>EN-002110337</v>
      </c>
    </row>
    <row r="8928" spans="1:15" ht="16" x14ac:dyDescent="0.2">
      <c r="A8928" s="19"/>
      <c r="B8928" s="19"/>
      <c r="C8928" s="19"/>
      <c r="D8928" s="19"/>
      <c r="E8928" s="19"/>
      <c r="F8928" s="19"/>
      <c r="G8928" s="19"/>
      <c r="H8928" s="19"/>
      <c r="I8928" s="19"/>
      <c r="J8928" s="19"/>
      <c r="K8928" s="19"/>
      <c r="L8928" s="19"/>
      <c r="M8928" s="19"/>
      <c r="N8928" s="19"/>
      <c r="O8928" s="14" t="str">
        <f>HYPERLINK("https://otsuka-europe-crm.veevavault.com/ui/#object/email_activity__v/V8C00000004H253", "EN-002111388")</f>
        <v>EN-002111388</v>
      </c>
    </row>
    <row r="8929" spans="1:15" ht="48" x14ac:dyDescent="0.2">
      <c r="A8929" s="7" t="str">
        <f>HYPERLINK("https://otsuka-europe-crm.veevavault.com/ui/#object/account__v/V4TZ06G6O71TAUG", "MARIA EULALIA LORAN MELER")</f>
        <v>MARIA EULALIA LORAN MELER</v>
      </c>
      <c r="B8929" s="7" t="str">
        <f>HYPERLINK("https://otsuka-europe-crm.veevavault.com/ui/#object/vcountry__v/VENZ000004SONF5", "ES")</f>
        <v>ES</v>
      </c>
      <c r="C8929" s="8" t="s">
        <v>39</v>
      </c>
      <c r="D8929" s="9" t="str">
        <f>HYPERLINK("https://otsuka-europe-crm.veevavault.com/ui/#object/approved_document__v/V5O00000000R009", "AM2M - PSIQUIATRIA - Guía manejo práctico AM2M")</f>
        <v>AM2M - PSIQUIATRIA - Guía manejo práctico AM2M</v>
      </c>
      <c r="E8929" s="10" t="str">
        <f>HYPERLINK("https://otsuka-europe-crm.veevavault.com/ui/#object/sent_email__v/VBL00000003H286", "SE-001448699")</f>
        <v>SE-001448699</v>
      </c>
      <c r="F8929" s="11"/>
      <c r="G8929" s="12">
        <v>0</v>
      </c>
      <c r="H8929" s="12">
        <v>0</v>
      </c>
      <c r="I8929" s="12">
        <v>0</v>
      </c>
      <c r="J8929" s="11"/>
      <c r="K8929" s="12">
        <v>0</v>
      </c>
      <c r="L8929" s="10" t="str">
        <f>HYPERLINK("https://otsuka-europe-crm.veevavault.com/ui/#object/approved_document__v/V5O00000000R009", "AM2M - PSIQUIATRIA - Guía manejo práctico AM2M")</f>
        <v>AM2M - PSIQUIATRIA - Guía manejo práctico AM2M</v>
      </c>
      <c r="M8929" s="10" t="str">
        <f>HYPERLINK("mailto:iortega@crm.otsuka-europe.com", "iortega@crm.otsuka-europe.com")</f>
        <v>iortega@crm.otsuka-europe.com</v>
      </c>
      <c r="N8929" s="13">
        <v>46234.437025462961</v>
      </c>
      <c r="O8929" s="14" t="str">
        <f>HYPERLINK("https://otsuka-europe-crm.veevavault.com/ui/#object/email_activity__v/V8C00000004G295", "EN-002110345")</f>
        <v>EN-002110345</v>
      </c>
    </row>
    <row r="8930" spans="1:15" ht="16" x14ac:dyDescent="0.2">
      <c r="A8930" s="18" t="str">
        <f>HYPERLINK("https://otsuka-europe-crm.veevavault.com/ui/#object/account__v/V4TZ06G6O71T9YM", "MARGARITA BEATRIZ GARCIA BALADO")</f>
        <v>MARGARITA BEATRIZ GARCIA BALADO</v>
      </c>
      <c r="B8930" s="18" t="str">
        <f>HYPERLINK("https://otsuka-europe-crm.veevavault.com/ui/#object/vcountry__v/VENZ000004SONF5", "ES")</f>
        <v>ES</v>
      </c>
      <c r="C8930" s="20" t="s">
        <v>39</v>
      </c>
      <c r="D8930" s="21" t="str">
        <f>HYPERLINK("https://otsuka-europe-crm.veevavault.com/ui/#object/approved_document__v/V5O00000000R009", "AM2M - PSIQUIATRIA - Guía manejo práctico AM2M")</f>
        <v>AM2M - PSIQUIATRIA - Guía manejo práctico AM2M</v>
      </c>
      <c r="E8930" s="22" t="str">
        <f>HYPERLINK("https://otsuka-europe-crm.veevavault.com/ui/#object/sent_email__v/VBL00000003H287", "SE-001448700")</f>
        <v>SE-001448700</v>
      </c>
      <c r="F8930" s="25">
        <v>46234.787152777775</v>
      </c>
      <c r="G8930" s="24">
        <v>1</v>
      </c>
      <c r="H8930" s="24">
        <v>1</v>
      </c>
      <c r="I8930" s="24">
        <v>0</v>
      </c>
      <c r="J8930" s="23"/>
      <c r="K8930" s="24">
        <v>0</v>
      </c>
      <c r="L8930" s="22" t="str">
        <f>HYPERLINK("https://otsuka-europe-crm.veevavault.com/ui/#object/approved_document__v/V5O00000000R009", "AM2M - PSIQUIATRIA - Guía manejo práctico AM2M")</f>
        <v>AM2M - PSIQUIATRIA - Guía manejo práctico AM2M</v>
      </c>
      <c r="M8930" s="22" t="str">
        <f>HYPERLINK("mailto:iortega@crm.otsuka-europe.com", "iortega@crm.otsuka-europe.com")</f>
        <v>iortega@crm.otsuka-europe.com</v>
      </c>
      <c r="N8930" s="25">
        <v>46234.437094907407</v>
      </c>
      <c r="O8930" s="14" t="str">
        <f>HYPERLINK("https://otsuka-europe-crm.veevavault.com/ui/#object/email_activity__v/V8C00000004G280", "EN-002110330")</f>
        <v>EN-002110330</v>
      </c>
    </row>
    <row r="8931" spans="1:15" ht="16" x14ac:dyDescent="0.2">
      <c r="A8931" s="19"/>
      <c r="B8931" s="19"/>
      <c r="C8931" s="19"/>
      <c r="D8931" s="19"/>
      <c r="E8931" s="19"/>
      <c r="F8931" s="19"/>
      <c r="G8931" s="19"/>
      <c r="H8931" s="19"/>
      <c r="I8931" s="19"/>
      <c r="J8931" s="19"/>
      <c r="K8931" s="19"/>
      <c r="L8931" s="19"/>
      <c r="M8931" s="19"/>
      <c r="N8931" s="19"/>
      <c r="O8931" s="14" t="str">
        <f>HYPERLINK("https://otsuka-europe-crm.veevavault.com/ui/#object/email_activity__v/V8C00000004G636", "EN-002110886")</f>
        <v>EN-002110886</v>
      </c>
    </row>
    <row r="8932" spans="1:15" ht="16" x14ac:dyDescent="0.2">
      <c r="A8932" s="18" t="str">
        <f>HYPERLINK("https://otsuka-europe-crm.veevavault.com/ui/#object/account__v/V4TZ06G6O71T7QD", "MARIA IGLESIAS GONZALEZ")</f>
        <v>MARIA IGLESIAS GONZALEZ</v>
      </c>
      <c r="B8932" s="18" t="str">
        <f>HYPERLINK("https://otsuka-europe-crm.veevavault.com/ui/#object/vcountry__v/VENZ000004SONF5", "ES")</f>
        <v>ES</v>
      </c>
      <c r="C8932" s="20" t="s">
        <v>39</v>
      </c>
      <c r="D8932" s="21" t="str">
        <f>HYPERLINK("https://otsuka-europe-crm.veevavault.com/ui/#object/approved_document__v/V5O00000000R009", "AM2M - PSIQUIATRIA - Guía manejo práctico AM2M")</f>
        <v>AM2M - PSIQUIATRIA - Guía manejo práctico AM2M</v>
      </c>
      <c r="E8932" s="22" t="str">
        <f>HYPERLINK("https://otsuka-europe-crm.veevavault.com/ui/#object/sent_email__v/VBL00000003H288", "SE-001448701")</f>
        <v>SE-001448701</v>
      </c>
      <c r="F8932" s="23"/>
      <c r="G8932" s="24">
        <v>0</v>
      </c>
      <c r="H8932" s="24">
        <v>0</v>
      </c>
      <c r="I8932" s="24">
        <v>0</v>
      </c>
      <c r="J8932" s="23"/>
      <c r="K8932" s="24">
        <v>0</v>
      </c>
      <c r="L8932" s="22" t="str">
        <f>HYPERLINK("https://otsuka-europe-crm.veevavault.com/ui/#object/approved_document__v/V5O00000000R009", "AM2M - PSIQUIATRIA - Guía manejo práctico AM2M")</f>
        <v>AM2M - PSIQUIATRIA - Guía manejo práctico AM2M</v>
      </c>
      <c r="M8932" s="22" t="str">
        <f>HYPERLINK("mailto:iortega@crm.otsuka-europe.com", "iortega@crm.otsuka-europe.com")</f>
        <v>iortega@crm.otsuka-europe.com</v>
      </c>
      <c r="N8932" s="25">
        <v>46234.437094907407</v>
      </c>
      <c r="O8932" s="14" t="str">
        <f>HYPERLINK("https://otsuka-europe-crm.veevavault.com/ui/#object/email_activity__v/V8C00000004F386", "EN-002110739")</f>
        <v>EN-002110739</v>
      </c>
    </row>
    <row r="8933" spans="1:15" ht="16" x14ac:dyDescent="0.2">
      <c r="A8933" s="19"/>
      <c r="B8933" s="19"/>
      <c r="C8933" s="19"/>
      <c r="D8933" s="19"/>
      <c r="E8933" s="19"/>
      <c r="F8933" s="19"/>
      <c r="G8933" s="19"/>
      <c r="H8933" s="19"/>
      <c r="I8933" s="19"/>
      <c r="J8933" s="19"/>
      <c r="K8933" s="19"/>
      <c r="L8933" s="19"/>
      <c r="M8933" s="19"/>
      <c r="N8933" s="19"/>
      <c r="O8933" s="14" t="str">
        <f>HYPERLINK("https://otsuka-europe-crm.veevavault.com/ui/#object/email_activity__v/V8C00000004G289", "EN-002110339")</f>
        <v>EN-002110339</v>
      </c>
    </row>
    <row r="8934" spans="1:15" ht="48" x14ac:dyDescent="0.2">
      <c r="A8934" s="7" t="str">
        <f>HYPERLINK("https://otsuka-europe-crm.veevavault.com/ui/#object/account__v/V4TZ06G6OBUN8FY", "MARIA GALLARDO GUILLEN")</f>
        <v>MARIA GALLARDO GUILLEN</v>
      </c>
      <c r="B8934" s="7" t="str">
        <f>HYPERLINK("https://otsuka-europe-crm.veevavault.com/ui/#object/vcountry__v/VENZ000004SONF5", "ES")</f>
        <v>ES</v>
      </c>
      <c r="C8934" s="8" t="s">
        <v>39</v>
      </c>
      <c r="D8934" s="9" t="str">
        <f>HYPERLINK("https://otsuka-europe-crm.veevavault.com/ui/#object/approved_document__v/V5O00000000R009", "AM2M - PSIQUIATRIA - Guía manejo práctico AM2M")</f>
        <v>AM2M - PSIQUIATRIA - Guía manejo práctico AM2M</v>
      </c>
      <c r="E8934" s="10" t="str">
        <f>HYPERLINK("https://otsuka-europe-crm.veevavault.com/ui/#object/sent_email__v/VBL00000003H289", "SE-001448702")</f>
        <v>SE-001448702</v>
      </c>
      <c r="F8934" s="11"/>
      <c r="G8934" s="12">
        <v>0</v>
      </c>
      <c r="H8934" s="12">
        <v>0</v>
      </c>
      <c r="I8934" s="12">
        <v>0</v>
      </c>
      <c r="J8934" s="11"/>
      <c r="K8934" s="12">
        <v>0</v>
      </c>
      <c r="L8934" s="10" t="str">
        <f>HYPERLINK("https://otsuka-europe-crm.veevavault.com/ui/#object/approved_document__v/V5O00000000R009", "AM2M - PSIQUIATRIA - Guía manejo práctico AM2M")</f>
        <v>AM2M - PSIQUIATRIA - Guía manejo práctico AM2M</v>
      </c>
      <c r="M8934" s="10" t="str">
        <f>HYPERLINK("mailto:iortega@crm.otsuka-europe.com", "iortega@crm.otsuka-europe.com")</f>
        <v>iortega@crm.otsuka-europe.com</v>
      </c>
      <c r="N8934" s="13">
        <v>46234.437094907407</v>
      </c>
      <c r="O8934" s="14" t="str">
        <f>HYPERLINK("https://otsuka-europe-crm.veevavault.com/ui/#object/email_activity__v/V8C00000004G305", "EN-002110355")</f>
        <v>EN-002110355</v>
      </c>
    </row>
    <row r="8935" spans="1:15" ht="16" x14ac:dyDescent="0.2">
      <c r="A8935" s="18" t="str">
        <f>HYPERLINK("https://otsuka-europe-crm.veevavault.com/ui/#object/account__v/V4TZ06G6O71TADH", "MARIA GIRALT LOPEZ")</f>
        <v>MARIA GIRALT LOPEZ</v>
      </c>
      <c r="B8935" s="18" t="str">
        <f>HYPERLINK("https://otsuka-europe-crm.veevavault.com/ui/#object/vcountry__v/VENZ000004SONF5", "ES")</f>
        <v>ES</v>
      </c>
      <c r="C8935" s="20" t="s">
        <v>39</v>
      </c>
      <c r="D8935" s="21" t="str">
        <f>HYPERLINK("https://otsuka-europe-crm.veevavault.com/ui/#object/approved_document__v/V5O00000000R009", "AM2M - PSIQUIATRIA - Guía manejo práctico AM2M")</f>
        <v>AM2M - PSIQUIATRIA - Guía manejo práctico AM2M</v>
      </c>
      <c r="E8935" s="22" t="str">
        <f>HYPERLINK("https://otsuka-europe-crm.veevavault.com/ui/#object/sent_email__v/VBL00000003H290", "SE-001448703")</f>
        <v>SE-001448703</v>
      </c>
      <c r="F8935" s="23"/>
      <c r="G8935" s="24">
        <v>0</v>
      </c>
      <c r="H8935" s="24">
        <v>0</v>
      </c>
      <c r="I8935" s="24">
        <v>0</v>
      </c>
      <c r="J8935" s="23"/>
      <c r="K8935" s="24">
        <v>0</v>
      </c>
      <c r="L8935" s="22" t="str">
        <f>HYPERLINK("https://otsuka-europe-crm.veevavault.com/ui/#object/approved_document__v/V5O00000000R009", "AM2M - PSIQUIATRIA - Guía manejo práctico AM2M")</f>
        <v>AM2M - PSIQUIATRIA - Guía manejo práctico AM2M</v>
      </c>
      <c r="M8935" s="22" t="str">
        <f>HYPERLINK("mailto:iortega@crm.otsuka-europe.com", "iortega@crm.otsuka-europe.com")</f>
        <v>iortega@crm.otsuka-europe.com</v>
      </c>
      <c r="N8935" s="25">
        <v>46234.437094907407</v>
      </c>
      <c r="O8935" s="14" t="str">
        <f>HYPERLINK("https://otsuka-europe-crm.veevavault.com/ui/#object/email_activity__v/V8C00000004G293", "EN-002110343")</f>
        <v>EN-002110343</v>
      </c>
    </row>
    <row r="8936" spans="1:15" ht="16" x14ac:dyDescent="0.2">
      <c r="A8936" s="19"/>
      <c r="B8936" s="19"/>
      <c r="C8936" s="19"/>
      <c r="D8936" s="19"/>
      <c r="E8936" s="19"/>
      <c r="F8936" s="19"/>
      <c r="G8936" s="19"/>
      <c r="H8936" s="19"/>
      <c r="I8936" s="19"/>
      <c r="J8936" s="19"/>
      <c r="K8936" s="19"/>
      <c r="L8936" s="19"/>
      <c r="M8936" s="19"/>
      <c r="N8936" s="19"/>
      <c r="O8936" s="14" t="str">
        <f>HYPERLINK("https://otsuka-europe-crm.veevavault.com/ui/#object/email_activity__v/V8C00000004G610", "EN-002110819")</f>
        <v>EN-002110819</v>
      </c>
    </row>
    <row r="8937" spans="1:15" ht="48" x14ac:dyDescent="0.2">
      <c r="A8937" s="7" t="str">
        <f>HYPERLINK("https://otsuka-europe-crm.veevavault.com/ui/#object/account__v/V4TZ025E83946IX", "MARIA FERNANDA SUAREZ BELTRAN")</f>
        <v>MARIA FERNANDA SUAREZ BELTRAN</v>
      </c>
      <c r="B8937" s="7" t="str">
        <f>HYPERLINK("https://otsuka-europe-crm.veevavault.com/ui/#object/vcountry__v/VENZ000004SONF5", "ES")</f>
        <v>ES</v>
      </c>
      <c r="C8937" s="8" t="s">
        <v>39</v>
      </c>
      <c r="D8937" s="9" t="str">
        <f>HYPERLINK("https://otsuka-europe-crm.veevavault.com/ui/#object/approved_document__v/V5O00000000R009", "AM2M - PSIQUIATRIA - Guía manejo práctico AM2M")</f>
        <v>AM2M - PSIQUIATRIA - Guía manejo práctico AM2M</v>
      </c>
      <c r="E8937" s="10" t="str">
        <f>HYPERLINK("https://otsuka-europe-crm.veevavault.com/ui/#object/sent_email__v/VBL00000003H291", "SE-001448704")</f>
        <v>SE-001448704</v>
      </c>
      <c r="F8937" s="11"/>
      <c r="G8937" s="12">
        <v>0</v>
      </c>
      <c r="H8937" s="12">
        <v>0</v>
      </c>
      <c r="I8937" s="12">
        <v>0</v>
      </c>
      <c r="J8937" s="11"/>
      <c r="K8937" s="12">
        <v>0</v>
      </c>
      <c r="L8937" s="10" t="str">
        <f>HYPERLINK("https://otsuka-europe-crm.veevavault.com/ui/#object/approved_document__v/V5O00000000R009", "AM2M - PSIQUIATRIA - Guía manejo práctico AM2M")</f>
        <v>AM2M - PSIQUIATRIA - Guía manejo práctico AM2M</v>
      </c>
      <c r="M8937" s="10" t="str">
        <f>HYPERLINK("mailto:iortega@crm.otsuka-europe.com", "iortega@crm.otsuka-europe.com")</f>
        <v>iortega@crm.otsuka-europe.com</v>
      </c>
      <c r="N8937" s="13">
        <v>46234.437094907407</v>
      </c>
      <c r="O8937" s="14" t="str">
        <f>HYPERLINK("https://otsuka-europe-crm.veevavault.com/ui/#object/email_activity__v/V8C00000004G288", "EN-002110338")</f>
        <v>EN-002110338</v>
      </c>
    </row>
    <row r="8938" spans="1:15" ht="48" x14ac:dyDescent="0.2">
      <c r="A8938" s="7" t="str">
        <f>HYPERLINK("https://otsuka-europe-crm.veevavault.com/ui/#object/account__v/V4TZ06G6O71T7IO", "MARIA MAR CARCELLER SINDREU")</f>
        <v>MARIA MAR CARCELLER SINDREU</v>
      </c>
      <c r="B8938" s="7" t="str">
        <f>HYPERLINK("https://otsuka-europe-crm.veevavault.com/ui/#object/vcountry__v/VENZ000004SONF5", "ES")</f>
        <v>ES</v>
      </c>
      <c r="C8938" s="8" t="s">
        <v>39</v>
      </c>
      <c r="D8938" s="9" t="str">
        <f>HYPERLINK("https://otsuka-europe-crm.veevavault.com/ui/#object/approved_document__v/V5O00000000R009", "AM2M - PSIQUIATRIA - Guía manejo práctico AM2M")</f>
        <v>AM2M - PSIQUIATRIA - Guía manejo práctico AM2M</v>
      </c>
      <c r="E8938" s="10" t="str">
        <f>HYPERLINK("https://otsuka-europe-crm.veevavault.com/ui/#object/sent_email__v/VBL00000003H292", "SE-001448705")</f>
        <v>SE-001448705</v>
      </c>
      <c r="F8938" s="11"/>
      <c r="G8938" s="12">
        <v>0</v>
      </c>
      <c r="H8938" s="12">
        <v>0</v>
      </c>
      <c r="I8938" s="12">
        <v>0</v>
      </c>
      <c r="J8938" s="11"/>
      <c r="K8938" s="12">
        <v>0</v>
      </c>
      <c r="L8938" s="10" t="str">
        <f>HYPERLINK("https://otsuka-europe-crm.veevavault.com/ui/#object/approved_document__v/V5O00000000R009", "AM2M - PSIQUIATRIA - Guía manejo práctico AM2M")</f>
        <v>AM2M - PSIQUIATRIA - Guía manejo práctico AM2M</v>
      </c>
      <c r="M8938" s="10" t="str">
        <f>HYPERLINK("mailto:iortega@crm.otsuka-europe.com", "iortega@crm.otsuka-europe.com")</f>
        <v>iortega@crm.otsuka-europe.com</v>
      </c>
      <c r="N8938" s="13">
        <v>46234.437094907407</v>
      </c>
      <c r="O8938" s="14" t="str">
        <f>HYPERLINK("https://otsuka-europe-crm.veevavault.com/ui/#object/email_activity__v/V8C00000004G304", "EN-002110354")</f>
        <v>EN-002110354</v>
      </c>
    </row>
    <row r="8939" spans="1:15" ht="48" x14ac:dyDescent="0.2">
      <c r="A8939" s="7" t="str">
        <f>HYPERLINK("https://otsuka-europe-crm.veevavault.com/ui/#object/account__v/V4TZ06G6O71T7AC", "MARIA TERESA NASCIMENTO OSORIO")</f>
        <v>MARIA TERESA NASCIMENTO OSORIO</v>
      </c>
      <c r="B8939" s="7" t="str">
        <f>HYPERLINK("https://otsuka-europe-crm.veevavault.com/ui/#object/vcountry__v/VENZ000004SONF5", "ES")</f>
        <v>ES</v>
      </c>
      <c r="C8939" s="8" t="s">
        <v>39</v>
      </c>
      <c r="D8939" s="9" t="str">
        <f>HYPERLINK("https://otsuka-europe-crm.veevavault.com/ui/#object/approved_document__v/V5O00000000R009", "AM2M - PSIQUIATRIA - Guía manejo práctico AM2M")</f>
        <v>AM2M - PSIQUIATRIA - Guía manejo práctico AM2M</v>
      </c>
      <c r="E8939" s="10" t="str">
        <f>HYPERLINK("https://otsuka-europe-crm.veevavault.com/ui/#object/sent_email__v/VBL00000003H293", "SE-001448706")</f>
        <v>SE-001448706</v>
      </c>
      <c r="F8939" s="11"/>
      <c r="G8939" s="12">
        <v>0</v>
      </c>
      <c r="H8939" s="12">
        <v>0</v>
      </c>
      <c r="I8939" s="12">
        <v>0</v>
      </c>
      <c r="J8939" s="11"/>
      <c r="K8939" s="12">
        <v>0</v>
      </c>
      <c r="L8939" s="10" t="str">
        <f>HYPERLINK("https://otsuka-europe-crm.veevavault.com/ui/#object/approved_document__v/V5O00000000R009", "AM2M - PSIQUIATRIA - Guía manejo práctico AM2M")</f>
        <v>AM2M - PSIQUIATRIA - Guía manejo práctico AM2M</v>
      </c>
      <c r="M8939" s="10" t="str">
        <f>HYPERLINK("mailto:iortega@crm.otsuka-europe.com", "iortega@crm.otsuka-europe.com")</f>
        <v>iortega@crm.otsuka-europe.com</v>
      </c>
      <c r="N8939" s="13">
        <v>46234.437094907407</v>
      </c>
      <c r="O8939" s="14" t="str">
        <f>HYPERLINK("https://otsuka-europe-crm.veevavault.com/ui/#object/email_activity__v/V8C00000004G291", "EN-002110341")</f>
        <v>EN-002110341</v>
      </c>
    </row>
    <row r="8940" spans="1:15" ht="16" x14ac:dyDescent="0.2">
      <c r="A8940" s="18" t="str">
        <f>HYPERLINK("https://otsuka-europe-crm.veevavault.com/ui/#object/account__v/V4TZ06G6O71T9V6", "MARIA FRANCINA FONSECA CASALS")</f>
        <v>MARIA FRANCINA FONSECA CASALS</v>
      </c>
      <c r="B8940" s="18" t="str">
        <f>HYPERLINK("https://otsuka-europe-crm.veevavault.com/ui/#object/vcountry__v/VENZ000004SONF5", "ES")</f>
        <v>ES</v>
      </c>
      <c r="C8940" s="20" t="s">
        <v>39</v>
      </c>
      <c r="D8940" s="21" t="str">
        <f>HYPERLINK("https://otsuka-europe-crm.veevavault.com/ui/#object/approved_document__v/V5O00000000R009", "AM2M - PSIQUIATRIA - Guía manejo práctico AM2M")</f>
        <v>AM2M - PSIQUIATRIA - Guía manejo práctico AM2M</v>
      </c>
      <c r="E8940" s="22" t="str">
        <f>HYPERLINK("https://otsuka-europe-crm.veevavault.com/ui/#object/sent_email__v/VBL00000003H294", "SE-001448707")</f>
        <v>SE-001448707</v>
      </c>
      <c r="F8940" s="25">
        <v>46236.516111111108</v>
      </c>
      <c r="G8940" s="24">
        <v>1</v>
      </c>
      <c r="H8940" s="24">
        <v>2</v>
      </c>
      <c r="I8940" s="24">
        <v>0</v>
      </c>
      <c r="J8940" s="23"/>
      <c r="K8940" s="24">
        <v>0</v>
      </c>
      <c r="L8940" s="22" t="str">
        <f>HYPERLINK("https://otsuka-europe-crm.veevavault.com/ui/#object/approved_document__v/V5O00000000R009", "AM2M - PSIQUIATRIA - Guía manejo práctico AM2M")</f>
        <v>AM2M - PSIQUIATRIA - Guía manejo práctico AM2M</v>
      </c>
      <c r="M8940" s="22" t="str">
        <f>HYPERLINK("mailto:iortega@crm.otsuka-europe.com", "iortega@crm.otsuka-europe.com")</f>
        <v>iortega@crm.otsuka-europe.com</v>
      </c>
      <c r="N8940" s="25">
        <v>46234.437094907407</v>
      </c>
      <c r="O8940" s="14" t="str">
        <f>HYPERLINK("https://otsuka-europe-crm.veevavault.com/ui/#object/email_activity__v/V8C00000004F405", "EN-002110777")</f>
        <v>EN-002110777</v>
      </c>
    </row>
    <row r="8941" spans="1:15" ht="16" x14ac:dyDescent="0.2">
      <c r="A8941" s="26"/>
      <c r="B8941" s="26"/>
      <c r="C8941" s="26"/>
      <c r="D8941" s="26"/>
      <c r="E8941" s="26"/>
      <c r="F8941" s="26"/>
      <c r="G8941" s="26"/>
      <c r="H8941" s="26"/>
      <c r="I8941" s="26"/>
      <c r="J8941" s="26"/>
      <c r="K8941" s="26"/>
      <c r="L8941" s="26"/>
      <c r="M8941" s="26"/>
      <c r="N8941" s="26"/>
      <c r="O8941" s="14" t="str">
        <f>HYPERLINK("https://otsuka-europe-crm.veevavault.com/ui/#object/email_activity__v/V8C00000004G292", "EN-002110342")</f>
        <v>EN-002110342</v>
      </c>
    </row>
    <row r="8942" spans="1:15" ht="16" x14ac:dyDescent="0.2">
      <c r="A8942" s="19"/>
      <c r="B8942" s="19"/>
      <c r="C8942" s="19"/>
      <c r="D8942" s="19"/>
      <c r="E8942" s="19"/>
      <c r="F8942" s="19"/>
      <c r="G8942" s="19"/>
      <c r="H8942" s="19"/>
      <c r="I8942" s="19"/>
      <c r="J8942" s="19"/>
      <c r="K8942" s="19"/>
      <c r="L8942" s="19"/>
      <c r="M8942" s="19"/>
      <c r="N8942" s="19"/>
      <c r="O8942" s="14" t="str">
        <f>HYPERLINK("https://otsuka-europe-crm.veevavault.com/ui/#object/email_activity__v/V8C00000004H101", "EN-002111120")</f>
        <v>EN-002111120</v>
      </c>
    </row>
    <row r="8943" spans="1:15" ht="16" x14ac:dyDescent="0.2">
      <c r="A8943" s="18" t="str">
        <f>HYPERLINK("https://otsuka-europe-crm.veevavault.com/ui/#object/account__v/V4TZ06G6O71UQRU", "MARIA SANS SEGURA")</f>
        <v>MARIA SANS SEGURA</v>
      </c>
      <c r="B8943" s="18" t="str">
        <f>HYPERLINK("https://otsuka-europe-crm.veevavault.com/ui/#object/vcountry__v/VENZ000004SONF5", "ES")</f>
        <v>ES</v>
      </c>
      <c r="C8943" s="20" t="s">
        <v>39</v>
      </c>
      <c r="D8943" s="21" t="str">
        <f>HYPERLINK("https://otsuka-europe-crm.veevavault.com/ui/#object/approved_document__v/V5O00000000R009", "AM2M - PSIQUIATRIA - Guía manejo práctico AM2M")</f>
        <v>AM2M - PSIQUIATRIA - Guía manejo práctico AM2M</v>
      </c>
      <c r="E8943" s="22" t="str">
        <f>HYPERLINK("https://otsuka-europe-crm.veevavault.com/ui/#object/sent_email__v/VBL00000003H295", "SE-001448708")</f>
        <v>SE-001448708</v>
      </c>
      <c r="F8943" s="25">
        <v>46234.439918981479</v>
      </c>
      <c r="G8943" s="24">
        <v>1</v>
      </c>
      <c r="H8943" s="24">
        <v>1</v>
      </c>
      <c r="I8943" s="24">
        <v>0</v>
      </c>
      <c r="J8943" s="23"/>
      <c r="K8943" s="24">
        <v>0</v>
      </c>
      <c r="L8943" s="22" t="str">
        <f>HYPERLINK("https://otsuka-europe-crm.veevavault.com/ui/#object/approved_document__v/V5O00000000R009", "AM2M - PSIQUIATRIA - Guía manejo práctico AM2M")</f>
        <v>AM2M - PSIQUIATRIA - Guía manejo práctico AM2M</v>
      </c>
      <c r="M8943" s="22" t="str">
        <f>HYPERLINK("mailto:iortega@crm.otsuka-europe.com", "iortega@crm.otsuka-europe.com")</f>
        <v>iortega@crm.otsuka-europe.com</v>
      </c>
      <c r="N8943" s="25">
        <v>46234.437118055554</v>
      </c>
      <c r="O8943" s="14" t="str">
        <f>HYPERLINK("https://otsuka-europe-crm.veevavault.com/ui/#object/email_activity__v/V8C00000004G301", "EN-002110351")</f>
        <v>EN-002110351</v>
      </c>
    </row>
    <row r="8944" spans="1:15" ht="16" x14ac:dyDescent="0.2">
      <c r="A8944" s="19"/>
      <c r="B8944" s="19"/>
      <c r="C8944" s="19"/>
      <c r="D8944" s="19"/>
      <c r="E8944" s="19"/>
      <c r="F8944" s="19"/>
      <c r="G8944" s="19"/>
      <c r="H8944" s="19"/>
      <c r="I8944" s="19"/>
      <c r="J8944" s="19"/>
      <c r="K8944" s="19"/>
      <c r="L8944" s="19"/>
      <c r="M8944" s="19"/>
      <c r="N8944" s="19"/>
      <c r="O8944" s="14" t="str">
        <f>HYPERLINK("https://otsuka-europe-crm.veevavault.com/ui/#object/email_activity__v/V8C00000004G353", "EN-002110403")</f>
        <v>EN-002110403</v>
      </c>
    </row>
    <row r="8945" spans="1:15" ht="16" x14ac:dyDescent="0.2">
      <c r="A8945" s="18" t="str">
        <f>HYPERLINK("https://otsuka-europe-crm.veevavault.com/ui/#object/account__v/V4TZ025E865L4LA", "MARIA INES FALCOZ")</f>
        <v>MARIA INES FALCOZ</v>
      </c>
      <c r="B8945" s="18" t="str">
        <f>HYPERLINK("https://otsuka-europe-crm.veevavault.com/ui/#object/vcountry__v/VENZ000004SONF5", "ES")</f>
        <v>ES</v>
      </c>
      <c r="C8945" s="20" t="s">
        <v>39</v>
      </c>
      <c r="D8945" s="21" t="str">
        <f>HYPERLINK("https://otsuka-europe-crm.veevavault.com/ui/#object/approved_document__v/V5O00000000R009", "AM2M - PSIQUIATRIA - Guía manejo práctico AM2M")</f>
        <v>AM2M - PSIQUIATRIA - Guía manejo práctico AM2M</v>
      </c>
      <c r="E8945" s="22" t="str">
        <f>HYPERLINK("https://otsuka-europe-crm.veevavault.com/ui/#object/sent_email__v/VBL00000003H296", "SE-001448709")</f>
        <v>SE-001448709</v>
      </c>
      <c r="F8945" s="23"/>
      <c r="G8945" s="24">
        <v>0</v>
      </c>
      <c r="H8945" s="24">
        <v>0</v>
      </c>
      <c r="I8945" s="24">
        <v>0</v>
      </c>
      <c r="J8945" s="23"/>
      <c r="K8945" s="24">
        <v>0</v>
      </c>
      <c r="L8945" s="22" t="str">
        <f>HYPERLINK("https://otsuka-europe-crm.veevavault.com/ui/#object/approved_document__v/V5O00000000R009", "AM2M - PSIQUIATRIA - Guía manejo práctico AM2M")</f>
        <v>AM2M - PSIQUIATRIA - Guía manejo práctico AM2M</v>
      </c>
      <c r="M8945" s="22" t="str">
        <f>HYPERLINK("mailto:iortega@crm.otsuka-europe.com", "iortega@crm.otsuka-europe.com")</f>
        <v>iortega@crm.otsuka-europe.com</v>
      </c>
      <c r="N8945" s="25">
        <v>46234.437094907407</v>
      </c>
      <c r="O8945" s="14" t="str">
        <f>HYPERLINK("https://otsuka-europe-crm.veevavault.com/ui/#object/email_activity__v/V8C00000004G275", "EN-002110325")</f>
        <v>EN-002110325</v>
      </c>
    </row>
    <row r="8946" spans="1:15" ht="16" x14ac:dyDescent="0.2">
      <c r="A8946" s="19"/>
      <c r="B8946" s="19"/>
      <c r="C8946" s="19"/>
      <c r="D8946" s="19"/>
      <c r="E8946" s="19"/>
      <c r="F8946" s="19"/>
      <c r="G8946" s="19"/>
      <c r="H8946" s="19"/>
      <c r="I8946" s="19"/>
      <c r="J8946" s="19"/>
      <c r="K8946" s="19"/>
      <c r="L8946" s="19"/>
      <c r="M8946" s="19"/>
      <c r="N8946" s="19"/>
      <c r="O8946" s="14" t="str">
        <f>HYPERLINK("https://otsuka-europe-crm.veevavault.com/ui/#object/email_activity__v/V8C00000004G593", "EN-002110782")</f>
        <v>EN-002110782</v>
      </c>
    </row>
    <row r="8947" spans="1:15" ht="16" x14ac:dyDescent="0.2">
      <c r="A8947" s="18" t="str">
        <f>HYPERLINK("https://otsuka-europe-crm.veevavault.com/ui/#object/account__v/V4TZ06G6O71TAER", "MARIA TERESA CAMPILLO SANZ")</f>
        <v>MARIA TERESA CAMPILLO SANZ</v>
      </c>
      <c r="B8947" s="18" t="str">
        <f>HYPERLINK("https://otsuka-europe-crm.veevavault.com/ui/#object/vcountry__v/VENZ000004SONF5", "ES")</f>
        <v>ES</v>
      </c>
      <c r="C8947" s="20" t="s">
        <v>39</v>
      </c>
      <c r="D8947" s="21" t="str">
        <f>HYPERLINK("https://otsuka-europe-crm.veevavault.com/ui/#object/approved_document__v/V5O00000000R009", "AM2M - PSIQUIATRIA - Guía manejo práctico AM2M")</f>
        <v>AM2M - PSIQUIATRIA - Guía manejo práctico AM2M</v>
      </c>
      <c r="E8947" s="22" t="str">
        <f>HYPERLINK("https://otsuka-europe-crm.veevavault.com/ui/#object/sent_email__v/VBL00000003H297", "SE-001448710")</f>
        <v>SE-001448710</v>
      </c>
      <c r="F8947" s="23"/>
      <c r="G8947" s="24">
        <v>0</v>
      </c>
      <c r="H8947" s="24">
        <v>0</v>
      </c>
      <c r="I8947" s="24">
        <v>0</v>
      </c>
      <c r="J8947" s="23"/>
      <c r="K8947" s="24">
        <v>0</v>
      </c>
      <c r="L8947" s="22" t="str">
        <f>HYPERLINK("https://otsuka-europe-crm.veevavault.com/ui/#object/approved_document__v/V5O00000000R009", "AM2M - PSIQUIATRIA - Guía manejo práctico AM2M")</f>
        <v>AM2M - PSIQUIATRIA - Guía manejo práctico AM2M</v>
      </c>
      <c r="M8947" s="22" t="str">
        <f>HYPERLINK("mailto:iortega@crm.otsuka-europe.com", "iortega@crm.otsuka-europe.com")</f>
        <v>iortega@crm.otsuka-europe.com</v>
      </c>
      <c r="N8947" s="25">
        <v>46234.437094907407</v>
      </c>
      <c r="O8947" s="14" t="str">
        <f>HYPERLINK("https://otsuka-europe-crm.veevavault.com/ui/#object/email_activity__v/V8C00000004G276", "EN-002110326")</f>
        <v>EN-002110326</v>
      </c>
    </row>
    <row r="8948" spans="1:15" ht="16" x14ac:dyDescent="0.2">
      <c r="A8948" s="19"/>
      <c r="B8948" s="19"/>
      <c r="C8948" s="19"/>
      <c r="D8948" s="19"/>
      <c r="E8948" s="19"/>
      <c r="F8948" s="19"/>
      <c r="G8948" s="19"/>
      <c r="H8948" s="19"/>
      <c r="I8948" s="19"/>
      <c r="J8948" s="19"/>
      <c r="K8948" s="19"/>
      <c r="L8948" s="19"/>
      <c r="M8948" s="19"/>
      <c r="N8948" s="19"/>
      <c r="O8948" s="14" t="str">
        <f>HYPERLINK("https://otsuka-europe-crm.veevavault.com/ui/#object/email_activity__v/V8C00000004G401", "EN-002110458")</f>
        <v>EN-002110458</v>
      </c>
    </row>
    <row r="8949" spans="1:15" ht="48" x14ac:dyDescent="0.2">
      <c r="A8949" s="7" t="str">
        <f>HYPERLINK("https://otsuka-europe-crm.veevavault.com/ui/#object/account__v/V4TZ06G6O71TAZC", "MARIA MERCEDES MADRE RULL")</f>
        <v>MARIA MERCEDES MADRE RULL</v>
      </c>
      <c r="B8949" s="7" t="str">
        <f>HYPERLINK("https://otsuka-europe-crm.veevavault.com/ui/#object/vcountry__v/VENZ000004SONF5", "ES")</f>
        <v>ES</v>
      </c>
      <c r="C8949" s="8" t="s">
        <v>39</v>
      </c>
      <c r="D8949" s="9" t="str">
        <f>HYPERLINK("https://otsuka-europe-crm.veevavault.com/ui/#object/approved_document__v/V5O00000000R009", "AM2M - PSIQUIATRIA - Guía manejo práctico AM2M")</f>
        <v>AM2M - PSIQUIATRIA - Guía manejo práctico AM2M</v>
      </c>
      <c r="E8949" s="10" t="str">
        <f>HYPERLINK("https://otsuka-europe-crm.veevavault.com/ui/#object/sent_email__v/VBL00000003H298", "SE-001448711")</f>
        <v>SE-001448711</v>
      </c>
      <c r="F8949" s="11"/>
      <c r="G8949" s="12">
        <v>0</v>
      </c>
      <c r="H8949" s="12">
        <v>0</v>
      </c>
      <c r="I8949" s="12">
        <v>0</v>
      </c>
      <c r="J8949" s="11"/>
      <c r="K8949" s="12">
        <v>0</v>
      </c>
      <c r="L8949" s="10" t="str">
        <f>HYPERLINK("https://otsuka-europe-crm.veevavault.com/ui/#object/approved_document__v/V5O00000000R009", "AM2M - PSIQUIATRIA - Guía manejo práctico AM2M")</f>
        <v>AM2M - PSIQUIATRIA - Guía manejo práctico AM2M</v>
      </c>
      <c r="M8949" s="10" t="str">
        <f>HYPERLINK("mailto:iortega@crm.otsuka-europe.com", "iortega@crm.otsuka-europe.com")</f>
        <v>iortega@crm.otsuka-europe.com</v>
      </c>
      <c r="N8949" s="13">
        <v>46234.437094907407</v>
      </c>
      <c r="O8949" s="14" t="str">
        <f>HYPERLINK("https://otsuka-europe-crm.veevavault.com/ui/#object/email_activity__v/V8C00000004G298", "EN-002110348")</f>
        <v>EN-002110348</v>
      </c>
    </row>
    <row r="8950" spans="1:15" ht="16" x14ac:dyDescent="0.2">
      <c r="A8950" s="18" t="str">
        <f>HYPERLINK("https://otsuka-europe-crm.veevavault.com/ui/#object/account__v/V4TZ06G6O71TKEC", "MARIA ANGELES MALAGON AMOR")</f>
        <v>MARIA ANGELES MALAGON AMOR</v>
      </c>
      <c r="B8950" s="18" t="str">
        <f>HYPERLINK("https://otsuka-europe-crm.veevavault.com/ui/#object/vcountry__v/VENZ000004SONF5", "ES")</f>
        <v>ES</v>
      </c>
      <c r="C8950" s="20" t="s">
        <v>39</v>
      </c>
      <c r="D8950" s="21" t="str">
        <f>HYPERLINK("https://otsuka-europe-crm.veevavault.com/ui/#object/approved_document__v/V5O00000000R009", "AM2M - PSIQUIATRIA - Guía manejo práctico AM2M")</f>
        <v>AM2M - PSIQUIATRIA - Guía manejo práctico AM2M</v>
      </c>
      <c r="E8950" s="22" t="str">
        <f>HYPERLINK("https://otsuka-europe-crm.veevavault.com/ui/#object/sent_email__v/VBL00000003H299", "SE-001448712")</f>
        <v>SE-001448712</v>
      </c>
      <c r="F8950" s="25">
        <v>46234.474479166667</v>
      </c>
      <c r="G8950" s="24">
        <v>1</v>
      </c>
      <c r="H8950" s="24">
        <v>1</v>
      </c>
      <c r="I8950" s="24">
        <v>0</v>
      </c>
      <c r="J8950" s="23"/>
      <c r="K8950" s="24">
        <v>0</v>
      </c>
      <c r="L8950" s="22" t="str">
        <f>HYPERLINK("https://otsuka-europe-crm.veevavault.com/ui/#object/approved_document__v/V5O00000000R009", "AM2M - PSIQUIATRIA - Guía manejo práctico AM2M")</f>
        <v>AM2M - PSIQUIATRIA - Guía manejo práctico AM2M</v>
      </c>
      <c r="M8950" s="22" t="str">
        <f>HYPERLINK("mailto:iortega@crm.otsuka-europe.com", "iortega@crm.otsuka-europe.com")</f>
        <v>iortega@crm.otsuka-europe.com</v>
      </c>
      <c r="N8950" s="25">
        <v>46234.437094907407</v>
      </c>
      <c r="O8950" s="14" t="str">
        <f>HYPERLINK("https://otsuka-europe-crm.veevavault.com/ui/#object/email_activity__v/V8C00000004F281", "EN-002110479")</f>
        <v>EN-002110479</v>
      </c>
    </row>
    <row r="8951" spans="1:15" ht="16" x14ac:dyDescent="0.2">
      <c r="A8951" s="19"/>
      <c r="B8951" s="19"/>
      <c r="C8951" s="19"/>
      <c r="D8951" s="19"/>
      <c r="E8951" s="19"/>
      <c r="F8951" s="19"/>
      <c r="G8951" s="19"/>
      <c r="H8951" s="19"/>
      <c r="I8951" s="19"/>
      <c r="J8951" s="19"/>
      <c r="K8951" s="19"/>
      <c r="L8951" s="19"/>
      <c r="M8951" s="19"/>
      <c r="N8951" s="19"/>
      <c r="O8951" s="14" t="str">
        <f>HYPERLINK("https://otsuka-europe-crm.veevavault.com/ui/#object/email_activity__v/V8C00000004G282", "EN-002110332")</f>
        <v>EN-002110332</v>
      </c>
    </row>
    <row r="8952" spans="1:15" ht="48" x14ac:dyDescent="0.2">
      <c r="A8952" s="7" t="str">
        <f>HYPERLINK("https://otsuka-europe-crm.veevavault.com/ui/#object/account__v/V4TZ04ASG7NDD8F", "MARIA OLIVERO VIÑA")</f>
        <v>MARIA OLIVERO VIÑA</v>
      </c>
      <c r="B8952" s="7" t="str">
        <f>HYPERLINK("https://otsuka-europe-crm.veevavault.com/ui/#object/vcountry__v/VENZ000004SONF5", "ES")</f>
        <v>ES</v>
      </c>
      <c r="C8952" s="8" t="s">
        <v>39</v>
      </c>
      <c r="D8952" s="9" t="str">
        <f>HYPERLINK("https://otsuka-europe-crm.veevavault.com/ui/#object/approved_document__v/V5O00000000R009", "AM2M - PSIQUIATRIA - Guía manejo práctico AM2M")</f>
        <v>AM2M - PSIQUIATRIA - Guía manejo práctico AM2M</v>
      </c>
      <c r="E8952" s="10" t="str">
        <f>HYPERLINK("https://otsuka-europe-crm.veevavault.com/ui/#object/sent_email__v/VBL00000003H300", "SE-001448713")</f>
        <v>SE-001448713</v>
      </c>
      <c r="F8952" s="11"/>
      <c r="G8952" s="12">
        <v>0</v>
      </c>
      <c r="H8952" s="12">
        <v>0</v>
      </c>
      <c r="I8952" s="12">
        <v>0</v>
      </c>
      <c r="J8952" s="11"/>
      <c r="K8952" s="12">
        <v>0</v>
      </c>
      <c r="L8952" s="10" t="str">
        <f>HYPERLINK("https://otsuka-europe-crm.veevavault.com/ui/#object/approved_document__v/V5O00000000R009", "AM2M - PSIQUIATRIA - Guía manejo práctico AM2M")</f>
        <v>AM2M - PSIQUIATRIA - Guía manejo práctico AM2M</v>
      </c>
      <c r="M8952" s="10" t="str">
        <f>HYPERLINK("mailto:iortega@crm.otsuka-europe.com", "iortega@crm.otsuka-europe.com")</f>
        <v>iortega@crm.otsuka-europe.com</v>
      </c>
      <c r="N8952" s="13">
        <v>46234.437094907407</v>
      </c>
      <c r="O8952" s="14" t="str">
        <f>HYPERLINK("https://otsuka-europe-crm.veevavault.com/ui/#object/email_activity__v/V8C00000004G278", "EN-002110328")</f>
        <v>EN-002110328</v>
      </c>
    </row>
    <row r="8953" spans="1:15" ht="48" x14ac:dyDescent="0.2">
      <c r="A8953" s="7" t="str">
        <f>HYPERLINK("https://otsuka-europe-crm.veevavault.com/ui/#object/account__v/V4TZ06G6O95VZEW", "MARIA TERESA GUARRO CARRERAS")</f>
        <v>MARIA TERESA GUARRO CARRERAS</v>
      </c>
      <c r="B8953" s="7" t="str">
        <f>HYPERLINK("https://otsuka-europe-crm.veevavault.com/ui/#object/vcountry__v/VENZ000004SONF5", "ES")</f>
        <v>ES</v>
      </c>
      <c r="C8953" s="8" t="s">
        <v>39</v>
      </c>
      <c r="D8953" s="9" t="str">
        <f>HYPERLINK("https://otsuka-europe-crm.veevavault.com/ui/#object/approved_document__v/V5O00000000R009", "AM2M - PSIQUIATRIA - Guía manejo práctico AM2M")</f>
        <v>AM2M - PSIQUIATRIA - Guía manejo práctico AM2M</v>
      </c>
      <c r="E8953" s="10" t="str">
        <f>HYPERLINK("https://otsuka-europe-crm.veevavault.com/ui/#object/sent_email__v/VBL00000003H301", "SE-001448714")</f>
        <v>SE-001448714</v>
      </c>
      <c r="F8953" s="11"/>
      <c r="G8953" s="12">
        <v>0</v>
      </c>
      <c r="H8953" s="12">
        <v>0</v>
      </c>
      <c r="I8953" s="12">
        <v>0</v>
      </c>
      <c r="J8953" s="11"/>
      <c r="K8953" s="12">
        <v>0</v>
      </c>
      <c r="L8953" s="10" t="str">
        <f>HYPERLINK("https://otsuka-europe-crm.veevavault.com/ui/#object/approved_document__v/V5O00000000R009", "AM2M - PSIQUIATRIA - Guía manejo práctico AM2M")</f>
        <v>AM2M - PSIQUIATRIA - Guía manejo práctico AM2M</v>
      </c>
      <c r="M8953" s="10" t="str">
        <f>HYPERLINK("mailto:iortega@crm.otsuka-europe.com", "iortega@crm.otsuka-europe.com")</f>
        <v>iortega@crm.otsuka-europe.com</v>
      </c>
      <c r="N8953" s="13">
        <v>46234.437094907407</v>
      </c>
      <c r="O8953" s="14" t="str">
        <f>HYPERLINK("https://otsuka-europe-crm.veevavault.com/ui/#object/email_activity__v/V8C00000004G284", "EN-002110334")</f>
        <v>EN-002110334</v>
      </c>
    </row>
    <row r="8954" spans="1:15" ht="48" x14ac:dyDescent="0.2">
      <c r="A8954" s="7" t="str">
        <f>HYPERLINK("https://otsuka-europe-crm.veevavault.com/ui/#object/account__v/V4TZ06G6O8L32GH", "MARCOS LIZARRAGA URIA")</f>
        <v>MARCOS LIZARRAGA URIA</v>
      </c>
      <c r="B8954" s="7" t="str">
        <f>HYPERLINK("https://otsuka-europe-crm.veevavault.com/ui/#object/vcountry__v/VENZ000004SONF5", "ES")</f>
        <v>ES</v>
      </c>
      <c r="C8954" s="8" t="s">
        <v>39</v>
      </c>
      <c r="D8954" s="9" t="str">
        <f>HYPERLINK("https://otsuka-europe-crm.veevavault.com/ui/#object/approved_document__v/V5O00000000R009", "AM2M - PSIQUIATRIA - Guía manejo práctico AM2M")</f>
        <v>AM2M - PSIQUIATRIA - Guía manejo práctico AM2M</v>
      </c>
      <c r="E8954" s="10" t="str">
        <f>HYPERLINK("https://otsuka-europe-crm.veevavault.com/ui/#object/sent_email__v/VBL00000003H302", "SE-001448715")</f>
        <v>SE-001448715</v>
      </c>
      <c r="F8954" s="11"/>
      <c r="G8954" s="12">
        <v>0</v>
      </c>
      <c r="H8954" s="12">
        <v>0</v>
      </c>
      <c r="I8954" s="12">
        <v>0</v>
      </c>
      <c r="J8954" s="11"/>
      <c r="K8954" s="12">
        <v>0</v>
      </c>
      <c r="L8954" s="10" t="str">
        <f>HYPERLINK("https://otsuka-europe-crm.veevavault.com/ui/#object/approved_document__v/V5O00000000R009", "AM2M - PSIQUIATRIA - Guía manejo práctico AM2M")</f>
        <v>AM2M - PSIQUIATRIA - Guía manejo práctico AM2M</v>
      </c>
      <c r="M8954" s="10" t="str">
        <f>HYPERLINK("mailto:iortega@crm.otsuka-europe.com", "iortega@crm.otsuka-europe.com")</f>
        <v>iortega@crm.otsuka-europe.com</v>
      </c>
      <c r="N8954" s="13">
        <v>46234.437013888892</v>
      </c>
      <c r="O8954" s="14" t="str">
        <f>HYPERLINK("https://otsuka-europe-crm.veevavault.com/ui/#object/email_activity__v/V8C00000004G272", "EN-002110322")</f>
        <v>EN-002110322</v>
      </c>
    </row>
    <row r="8955" spans="1:15" ht="16" x14ac:dyDescent="0.2">
      <c r="A8955" s="18" t="str">
        <f>HYPERLINK("https://otsuka-europe-crm.veevavault.com/ui/#object/account__v/V4TZ06G6O71TCC2", "MARTA TORRENS MELICH")</f>
        <v>MARTA TORRENS MELICH</v>
      </c>
      <c r="B8955" s="18" t="str">
        <f>HYPERLINK("https://otsuka-europe-crm.veevavault.com/ui/#object/vcountry__v/VENZ000004SONF5", "ES")</f>
        <v>ES</v>
      </c>
      <c r="C8955" s="20" t="s">
        <v>39</v>
      </c>
      <c r="D8955" s="21" t="str">
        <f>HYPERLINK("https://otsuka-europe-crm.veevavault.com/ui/#object/approved_document__v/V5O00000000R009", "AM2M - PSIQUIATRIA - Guía manejo práctico AM2M")</f>
        <v>AM2M - PSIQUIATRIA - Guía manejo práctico AM2M</v>
      </c>
      <c r="E8955" s="22" t="str">
        <f>HYPERLINK("https://otsuka-europe-crm.veevavault.com/ui/#object/sent_email__v/VBL00000003H303", "SE-001448716")</f>
        <v>SE-001448716</v>
      </c>
      <c r="F8955" s="25">
        <v>46235.464780092596</v>
      </c>
      <c r="G8955" s="24">
        <v>1</v>
      </c>
      <c r="H8955" s="24">
        <v>1</v>
      </c>
      <c r="I8955" s="24">
        <v>0</v>
      </c>
      <c r="J8955" s="23"/>
      <c r="K8955" s="24">
        <v>0</v>
      </c>
      <c r="L8955" s="22" t="str">
        <f>HYPERLINK("https://otsuka-europe-crm.veevavault.com/ui/#object/approved_document__v/V5O00000000R009", "AM2M - PSIQUIATRIA - Guía manejo práctico AM2M")</f>
        <v>AM2M - PSIQUIATRIA - Guía manejo práctico AM2M</v>
      </c>
      <c r="M8955" s="22" t="str">
        <f>HYPERLINK("mailto:iortega@crm.otsuka-europe.com", "iortega@crm.otsuka-europe.com")</f>
        <v>iortega@crm.otsuka-europe.com</v>
      </c>
      <c r="N8955" s="25">
        <v>46234.438726851855</v>
      </c>
      <c r="O8955" s="14" t="str">
        <f>HYPERLINK("https://otsuka-europe-crm.veevavault.com/ui/#object/email_activity__v/V8C00000004G330", "EN-002110380")</f>
        <v>EN-002110380</v>
      </c>
    </row>
    <row r="8956" spans="1:15" ht="16" x14ac:dyDescent="0.2">
      <c r="A8956" s="19"/>
      <c r="B8956" s="19"/>
      <c r="C8956" s="19"/>
      <c r="D8956" s="19"/>
      <c r="E8956" s="19"/>
      <c r="F8956" s="19"/>
      <c r="G8956" s="19"/>
      <c r="H8956" s="19"/>
      <c r="I8956" s="19"/>
      <c r="J8956" s="19"/>
      <c r="K8956" s="19"/>
      <c r="L8956" s="19"/>
      <c r="M8956" s="19"/>
      <c r="N8956" s="19"/>
      <c r="O8956" s="14" t="str">
        <f>HYPERLINK("https://otsuka-europe-crm.veevavault.com/ui/#object/email_activity__v/V8C00000004I013", "EN-002111015")</f>
        <v>EN-002111015</v>
      </c>
    </row>
    <row r="8957" spans="1:15" ht="48" x14ac:dyDescent="0.2">
      <c r="A8957" s="7" t="str">
        <f>HYPERLINK("https://otsuka-europe-crm.veevavault.com/ui/#object/account__v/V4TZ06G6O71TBHS", "OLIVIA OREJAS PEREZ")</f>
        <v>OLIVIA OREJAS PEREZ</v>
      </c>
      <c r="B8957" s="7" t="str">
        <f>HYPERLINK("https://otsuka-europe-crm.veevavault.com/ui/#object/vcountry__v/VENZ000004SONF5", "ES")</f>
        <v>ES</v>
      </c>
      <c r="C8957" s="8" t="s">
        <v>39</v>
      </c>
      <c r="D8957" s="9" t="str">
        <f>HYPERLINK("https://otsuka-europe-crm.veevavault.com/ui/#object/approved_document__v/V5O00000000R009", "AM2M - PSIQUIATRIA - Guía manejo práctico AM2M")</f>
        <v>AM2M - PSIQUIATRIA - Guía manejo práctico AM2M</v>
      </c>
      <c r="E8957" s="10" t="str">
        <f>HYPERLINK("https://otsuka-europe-crm.veevavault.com/ui/#object/sent_email__v/VBL00000003H304", "SE-001448717")</f>
        <v>SE-001448717</v>
      </c>
      <c r="F8957" s="11"/>
      <c r="G8957" s="12">
        <v>0</v>
      </c>
      <c r="H8957" s="12">
        <v>0</v>
      </c>
      <c r="I8957" s="12">
        <v>0</v>
      </c>
      <c r="J8957" s="11"/>
      <c r="K8957" s="12">
        <v>0</v>
      </c>
      <c r="L8957" s="10" t="str">
        <f>HYPERLINK("https://otsuka-europe-crm.veevavault.com/ui/#object/approved_document__v/V5O00000000R009", "AM2M - PSIQUIATRIA - Guía manejo práctico AM2M")</f>
        <v>AM2M - PSIQUIATRIA - Guía manejo práctico AM2M</v>
      </c>
      <c r="M8957" s="10" t="str">
        <f>HYPERLINK("mailto:iortega@crm.otsuka-europe.com", "iortega@crm.otsuka-europe.com")</f>
        <v>iortega@crm.otsuka-europe.com</v>
      </c>
      <c r="N8957" s="13">
        <v>46234.438773148147</v>
      </c>
      <c r="O8957" s="14" t="str">
        <f>HYPERLINK("https://otsuka-europe-crm.veevavault.com/ui/#object/email_activity__v/V8C00000004G338", "EN-002110388")</f>
        <v>EN-002110388</v>
      </c>
    </row>
    <row r="8958" spans="1:15" ht="16" x14ac:dyDescent="0.2">
      <c r="A8958" s="18" t="str">
        <f>HYPERLINK("https://otsuka-europe-crm.veevavault.com/ui/#object/account__v/V4TZ025E82NDP33", "MELISA VALERIA FERNANDEZ ITURRI")</f>
        <v>MELISA VALERIA FERNANDEZ ITURRI</v>
      </c>
      <c r="B8958" s="18" t="str">
        <f>HYPERLINK("https://otsuka-europe-crm.veevavault.com/ui/#object/vcountry__v/VENZ000004SONF5", "ES")</f>
        <v>ES</v>
      </c>
      <c r="C8958" s="20" t="s">
        <v>39</v>
      </c>
      <c r="D8958" s="21" t="str">
        <f>HYPERLINK("https://otsuka-europe-crm.veevavault.com/ui/#object/approved_document__v/V5O00000000R009", "AM2M - PSIQUIATRIA - Guía manejo práctico AM2M")</f>
        <v>AM2M - PSIQUIATRIA - Guía manejo práctico AM2M</v>
      </c>
      <c r="E8958" s="22" t="str">
        <f>HYPERLINK("https://otsuka-europe-crm.veevavault.com/ui/#object/sent_email__v/VBL00000003H305", "SE-001448718")</f>
        <v>SE-001448718</v>
      </c>
      <c r="F8958" s="23"/>
      <c r="G8958" s="24">
        <v>0</v>
      </c>
      <c r="H8958" s="24">
        <v>0</v>
      </c>
      <c r="I8958" s="24">
        <v>0</v>
      </c>
      <c r="J8958" s="23"/>
      <c r="K8958" s="24">
        <v>0</v>
      </c>
      <c r="L8958" s="22" t="str">
        <f>HYPERLINK("https://otsuka-europe-crm.veevavault.com/ui/#object/approved_document__v/V5O00000000R009", "AM2M - PSIQUIATRIA - Guía manejo práctico AM2M")</f>
        <v>AM2M - PSIQUIATRIA - Guía manejo práctico AM2M</v>
      </c>
      <c r="M8958" s="22" t="str">
        <f>HYPERLINK("mailto:iortega@crm.otsuka-europe.com", "iortega@crm.otsuka-europe.com")</f>
        <v>iortega@crm.otsuka-europe.com</v>
      </c>
      <c r="N8958" s="25">
        <v>46234.438738425924</v>
      </c>
      <c r="O8958" s="14" t="str">
        <f>HYPERLINK("https://otsuka-europe-crm.veevavault.com/ui/#object/email_activity__v/V8C00000004G328", "EN-002110378")</f>
        <v>EN-002110378</v>
      </c>
    </row>
    <row r="8959" spans="1:15" ht="16" x14ac:dyDescent="0.2">
      <c r="A8959" s="19"/>
      <c r="B8959" s="19"/>
      <c r="C8959" s="19"/>
      <c r="D8959" s="19"/>
      <c r="E8959" s="19"/>
      <c r="F8959" s="19"/>
      <c r="G8959" s="19"/>
      <c r="H8959" s="19"/>
      <c r="I8959" s="19"/>
      <c r="J8959" s="19"/>
      <c r="K8959" s="19"/>
      <c r="L8959" s="19"/>
      <c r="M8959" s="19"/>
      <c r="N8959" s="19"/>
      <c r="O8959" s="14" t="str">
        <f>HYPERLINK("https://otsuka-europe-crm.veevavault.com/ui/#object/email_activity__v/V8C00000004G470", "EN-002110559")</f>
        <v>EN-002110559</v>
      </c>
    </row>
    <row r="8960" spans="1:15" ht="48" x14ac:dyDescent="0.2">
      <c r="A8960" s="7" t="str">
        <f>HYPERLINK("https://otsuka-europe-crm.veevavault.com/ui/#object/account__v/V4TZ06G6O71TB95", "NURIA MOLL JURADO")</f>
        <v>NURIA MOLL JURADO</v>
      </c>
      <c r="B8960" s="7" t="str">
        <f>HYPERLINK("https://otsuka-europe-crm.veevavault.com/ui/#object/vcountry__v/VENZ000004SONF5", "ES")</f>
        <v>ES</v>
      </c>
      <c r="C8960" s="8" t="s">
        <v>39</v>
      </c>
      <c r="D8960" s="9" t="str">
        <f>HYPERLINK("https://otsuka-europe-crm.veevavault.com/ui/#object/approved_document__v/V5O00000000R009", "AM2M - PSIQUIATRIA - Guía manejo práctico AM2M")</f>
        <v>AM2M - PSIQUIATRIA - Guía manejo práctico AM2M</v>
      </c>
      <c r="E8960" s="10" t="str">
        <f>HYPERLINK("https://otsuka-europe-crm.veevavault.com/ui/#object/sent_email__v/VBL00000003H306", "SE-001448719")</f>
        <v>SE-001448719</v>
      </c>
      <c r="F8960" s="11"/>
      <c r="G8960" s="12">
        <v>0</v>
      </c>
      <c r="H8960" s="12">
        <v>0</v>
      </c>
      <c r="I8960" s="12">
        <v>0</v>
      </c>
      <c r="J8960" s="11"/>
      <c r="K8960" s="12">
        <v>0</v>
      </c>
      <c r="L8960" s="10" t="str">
        <f>HYPERLINK("https://otsuka-europe-crm.veevavault.com/ui/#object/approved_document__v/V5O00000000R009", "AM2M - PSIQUIATRIA - Guía manejo práctico AM2M")</f>
        <v>AM2M - PSIQUIATRIA - Guía manejo práctico AM2M</v>
      </c>
      <c r="M8960" s="10" t="str">
        <f>HYPERLINK("mailto:iortega@crm.otsuka-europe.com", "iortega@crm.otsuka-europe.com")</f>
        <v>iortega@crm.otsuka-europe.com</v>
      </c>
      <c r="N8960" s="13">
        <v>46234.438807870371</v>
      </c>
      <c r="O8960" s="14" t="str">
        <f>HYPERLINK("https://otsuka-europe-crm.veevavault.com/ui/#object/email_activity__v/V8C00000004G345", "EN-002110395")</f>
        <v>EN-002110395</v>
      </c>
    </row>
    <row r="8961" spans="1:15" ht="48" x14ac:dyDescent="0.2">
      <c r="A8961" s="7" t="str">
        <f>HYPERLINK("https://otsuka-europe-crm.veevavault.com/ui/#object/account__v/V4TZ04ASG8MYRSC", "MARINA DELGADO MARI")</f>
        <v>MARINA DELGADO MARI</v>
      </c>
      <c r="B8961" s="7" t="str">
        <f>HYPERLINK("https://otsuka-europe-crm.veevavault.com/ui/#object/vcountry__v/VENZ000004SONF5", "ES")</f>
        <v>ES</v>
      </c>
      <c r="C8961" s="8" t="s">
        <v>39</v>
      </c>
      <c r="D8961" s="9" t="str">
        <f>HYPERLINK("https://otsuka-europe-crm.veevavault.com/ui/#object/approved_document__v/V5O00000000R009", "AM2M - PSIQUIATRIA - Guía manejo práctico AM2M")</f>
        <v>AM2M - PSIQUIATRIA - Guía manejo práctico AM2M</v>
      </c>
      <c r="E8961" s="10" t="str">
        <f>HYPERLINK("https://otsuka-europe-crm.veevavault.com/ui/#object/sent_email__v/VBL00000003H307", "SE-001448720")</f>
        <v>SE-001448720</v>
      </c>
      <c r="F8961" s="11"/>
      <c r="G8961" s="12">
        <v>0</v>
      </c>
      <c r="H8961" s="12">
        <v>0</v>
      </c>
      <c r="I8961" s="12">
        <v>0</v>
      </c>
      <c r="J8961" s="11"/>
      <c r="K8961" s="12">
        <v>0</v>
      </c>
      <c r="L8961" s="10" t="str">
        <f>HYPERLINK("https://otsuka-europe-crm.veevavault.com/ui/#object/approved_document__v/V5O00000000R009", "AM2M - PSIQUIATRIA - Guía manejo práctico AM2M")</f>
        <v>AM2M - PSIQUIATRIA - Guía manejo práctico AM2M</v>
      </c>
      <c r="M8961" s="10" t="str">
        <f>HYPERLINK("mailto:iortega@crm.otsuka-europe.com", "iortega@crm.otsuka-europe.com")</f>
        <v>iortega@crm.otsuka-europe.com</v>
      </c>
      <c r="N8961" s="13">
        <v>46234.438807870371</v>
      </c>
      <c r="O8961" s="14" t="str">
        <f>HYPERLINK("https://otsuka-europe-crm.veevavault.com/ui/#object/email_activity__v/V8C00000004G315", "EN-002110365")</f>
        <v>EN-002110365</v>
      </c>
    </row>
    <row r="8962" spans="1:15" ht="16" x14ac:dyDescent="0.2">
      <c r="A8962" s="18" t="str">
        <f>HYPERLINK("https://otsuka-europe-crm.veevavault.com/ui/#object/account__v/V4TZ06G6O71T76U", "MARTA MARTIN SUBERO")</f>
        <v>MARTA MARTIN SUBERO</v>
      </c>
      <c r="B8962" s="18" t="str">
        <f>HYPERLINK("https://otsuka-europe-crm.veevavault.com/ui/#object/vcountry__v/VENZ000004SONF5", "ES")</f>
        <v>ES</v>
      </c>
      <c r="C8962" s="20" t="s">
        <v>39</v>
      </c>
      <c r="D8962" s="21" t="str">
        <f>HYPERLINK("https://otsuka-europe-crm.veevavault.com/ui/#object/approved_document__v/V5O00000000R009", "AM2M - PSIQUIATRIA - Guía manejo práctico AM2M")</f>
        <v>AM2M - PSIQUIATRIA - Guía manejo práctico AM2M</v>
      </c>
      <c r="E8962" s="22" t="str">
        <f>HYPERLINK("https://otsuka-europe-crm.veevavault.com/ui/#object/sent_email__v/VBL00000003H308", "SE-001448721")</f>
        <v>SE-001448721</v>
      </c>
      <c r="F8962" s="25">
        <v>46234.439456018517</v>
      </c>
      <c r="G8962" s="24">
        <v>1</v>
      </c>
      <c r="H8962" s="24">
        <v>1</v>
      </c>
      <c r="I8962" s="24">
        <v>0</v>
      </c>
      <c r="J8962" s="23"/>
      <c r="K8962" s="24">
        <v>0</v>
      </c>
      <c r="L8962" s="22" t="str">
        <f>HYPERLINK("https://otsuka-europe-crm.veevavault.com/ui/#object/approved_document__v/V5O00000000R009", "AM2M - PSIQUIATRIA - Guía manejo práctico AM2M")</f>
        <v>AM2M - PSIQUIATRIA - Guía manejo práctico AM2M</v>
      </c>
      <c r="M8962" s="22" t="str">
        <f>HYPERLINK("mailto:iortega@crm.otsuka-europe.com", "iortega@crm.otsuka-europe.com")</f>
        <v>iortega@crm.otsuka-europe.com</v>
      </c>
      <c r="N8962" s="25">
        <v>46234.438807870371</v>
      </c>
      <c r="O8962" s="14" t="str">
        <f>HYPERLINK("https://otsuka-europe-crm.veevavault.com/ui/#object/email_activity__v/V8C00000004G314", "EN-002110364")</f>
        <v>EN-002110364</v>
      </c>
    </row>
    <row r="8963" spans="1:15" ht="16" x14ac:dyDescent="0.2">
      <c r="A8963" s="26"/>
      <c r="B8963" s="26"/>
      <c r="C8963" s="26"/>
      <c r="D8963" s="26"/>
      <c r="E8963" s="26"/>
      <c r="F8963" s="26"/>
      <c r="G8963" s="26"/>
      <c r="H8963" s="26"/>
      <c r="I8963" s="26"/>
      <c r="J8963" s="26"/>
      <c r="K8963" s="26"/>
      <c r="L8963" s="26"/>
      <c r="M8963" s="26"/>
      <c r="N8963" s="26"/>
      <c r="O8963" s="14" t="str">
        <f>HYPERLINK("https://otsuka-europe-crm.veevavault.com/ui/#object/email_activity__v/V8C00000004G351", "EN-002110401")</f>
        <v>EN-002110401</v>
      </c>
    </row>
    <row r="8964" spans="1:15" ht="16" x14ac:dyDescent="0.2">
      <c r="A8964" s="19"/>
      <c r="B8964" s="19"/>
      <c r="C8964" s="19"/>
      <c r="D8964" s="19"/>
      <c r="E8964" s="19"/>
      <c r="F8964" s="19"/>
      <c r="G8964" s="19"/>
      <c r="H8964" s="19"/>
      <c r="I8964" s="19"/>
      <c r="J8964" s="19"/>
      <c r="K8964" s="19"/>
      <c r="L8964" s="19"/>
      <c r="M8964" s="19"/>
      <c r="N8964" s="19"/>
      <c r="O8964" s="14" t="str">
        <f>HYPERLINK("https://otsuka-europe-crm.veevavault.com/ui/#object/email_activity__v/V8C00000004G585", "EN-002110772")</f>
        <v>EN-002110772</v>
      </c>
    </row>
    <row r="8965" spans="1:15" ht="48" x14ac:dyDescent="0.2">
      <c r="A8965" s="7" t="str">
        <f>HYPERLINK("https://otsuka-europe-crm.veevavault.com/ui/#object/account__v/V4TZ06G6O71TB9J", "NOEMI MORO GARCIA")</f>
        <v>NOEMI MORO GARCIA</v>
      </c>
      <c r="B8965" s="7" t="str">
        <f>HYPERLINK("https://otsuka-europe-crm.veevavault.com/ui/#object/vcountry__v/VENZ000004SONF5", "ES")</f>
        <v>ES</v>
      </c>
      <c r="C8965" s="8" t="s">
        <v>39</v>
      </c>
      <c r="D8965" s="9" t="str">
        <f>HYPERLINK("https://otsuka-europe-crm.veevavault.com/ui/#object/approved_document__v/V5O00000000R009", "AM2M - PSIQUIATRIA - Guía manejo práctico AM2M")</f>
        <v>AM2M - PSIQUIATRIA - Guía manejo práctico AM2M</v>
      </c>
      <c r="E8965" s="10" t="str">
        <f>HYPERLINK("https://otsuka-europe-crm.veevavault.com/ui/#object/sent_email__v/VBL00000003H309", "SE-001448722")</f>
        <v>SE-001448722</v>
      </c>
      <c r="F8965" s="11"/>
      <c r="G8965" s="12">
        <v>0</v>
      </c>
      <c r="H8965" s="12">
        <v>0</v>
      </c>
      <c r="I8965" s="12">
        <v>0</v>
      </c>
      <c r="J8965" s="11"/>
      <c r="K8965" s="12">
        <v>0</v>
      </c>
      <c r="L8965" s="10" t="str">
        <f>HYPERLINK("https://otsuka-europe-crm.veevavault.com/ui/#object/approved_document__v/V5O00000000R009", "AM2M - PSIQUIATRIA - Guía manejo práctico AM2M")</f>
        <v>AM2M - PSIQUIATRIA - Guía manejo práctico AM2M</v>
      </c>
      <c r="M8965" s="10" t="str">
        <f>HYPERLINK("mailto:iortega@crm.otsuka-europe.com", "iortega@crm.otsuka-europe.com")</f>
        <v>iortega@crm.otsuka-europe.com</v>
      </c>
      <c r="N8965" s="13">
        <v>46234.438807870371</v>
      </c>
      <c r="O8965" s="14" t="str">
        <f>HYPERLINK("https://otsuka-europe-crm.veevavault.com/ui/#object/email_activity__v/V8C00000004G346", "EN-002110396")</f>
        <v>EN-002110396</v>
      </c>
    </row>
    <row r="8966" spans="1:15" ht="48" x14ac:dyDescent="0.2">
      <c r="A8966" s="7" t="str">
        <f>HYPERLINK("https://otsuka-europe-crm.veevavault.com/ui/#object/account__v/V4TZ06G6O71T9TH", "MARINA FRANCISCA DIAZ MARSA")</f>
        <v>MARINA FRANCISCA DIAZ MARSA</v>
      </c>
      <c r="B8966" s="7" t="str">
        <f>HYPERLINK("https://otsuka-europe-crm.veevavault.com/ui/#object/vcountry__v/VENZ000004SONF5", "ES")</f>
        <v>ES</v>
      </c>
      <c r="C8966" s="8" t="s">
        <v>39</v>
      </c>
      <c r="D8966" s="9" t="str">
        <f>HYPERLINK("https://otsuka-europe-crm.veevavault.com/ui/#object/approved_document__v/V5O00000000R009", "AM2M - PSIQUIATRIA - Guía manejo práctico AM2M")</f>
        <v>AM2M - PSIQUIATRIA - Guía manejo práctico AM2M</v>
      </c>
      <c r="E8966" s="10" t="str">
        <f>HYPERLINK("https://otsuka-europe-crm.veevavault.com/ui/#object/sent_email__v/VBL00000003H310", "SE-001448723")</f>
        <v>SE-001448723</v>
      </c>
      <c r="F8966" s="11"/>
      <c r="G8966" s="12">
        <v>0</v>
      </c>
      <c r="H8966" s="12">
        <v>0</v>
      </c>
      <c r="I8966" s="12">
        <v>0</v>
      </c>
      <c r="J8966" s="11"/>
      <c r="K8966" s="12">
        <v>0</v>
      </c>
      <c r="L8966" s="10" t="str">
        <f>HYPERLINK("https://otsuka-europe-crm.veevavault.com/ui/#object/approved_document__v/V5O00000000R009", "AM2M - PSIQUIATRIA - Guía manejo práctico AM2M")</f>
        <v>AM2M - PSIQUIATRIA - Guía manejo práctico AM2M</v>
      </c>
      <c r="M8966" s="10" t="str">
        <f>HYPERLINK("mailto:iortega@crm.otsuka-europe.com", "iortega@crm.otsuka-europe.com")</f>
        <v>iortega@crm.otsuka-europe.com</v>
      </c>
      <c r="N8966" s="13">
        <v>46234.438807870371</v>
      </c>
      <c r="O8966" s="14" t="str">
        <f>HYPERLINK("https://otsuka-europe-crm.veevavault.com/ui/#object/email_activity__v/V8C00000004G310", "EN-002110360")</f>
        <v>EN-002110360</v>
      </c>
    </row>
    <row r="8967" spans="1:15" ht="16" x14ac:dyDescent="0.2">
      <c r="A8967" s="18" t="str">
        <f>HYPERLINK("https://otsuka-europe-crm.veevavault.com/ui/#object/account__v/V4TZ025E85UOHS9", "MIGUEL VELASCO SANTOS")</f>
        <v>MIGUEL VELASCO SANTOS</v>
      </c>
      <c r="B8967" s="18" t="str">
        <f>HYPERLINK("https://otsuka-europe-crm.veevavault.com/ui/#object/vcountry__v/VENZ000004SONF5", "ES")</f>
        <v>ES</v>
      </c>
      <c r="C8967" s="20" t="s">
        <v>39</v>
      </c>
      <c r="D8967" s="21" t="str">
        <f>HYPERLINK("https://otsuka-europe-crm.veevavault.com/ui/#object/approved_document__v/V5O00000000R009", "AM2M - PSIQUIATRIA - Guía manejo práctico AM2M")</f>
        <v>AM2M - PSIQUIATRIA - Guía manejo práctico AM2M</v>
      </c>
      <c r="E8967" s="22" t="str">
        <f>HYPERLINK("https://otsuka-europe-crm.veevavault.com/ui/#object/sent_email__v/VBL00000003H311", "SE-001448724")</f>
        <v>SE-001448724</v>
      </c>
      <c r="F8967" s="25">
        <v>46234.66778935185</v>
      </c>
      <c r="G8967" s="24">
        <v>1</v>
      </c>
      <c r="H8967" s="24">
        <v>2</v>
      </c>
      <c r="I8967" s="24">
        <v>0</v>
      </c>
      <c r="J8967" s="23"/>
      <c r="K8967" s="24">
        <v>0</v>
      </c>
      <c r="L8967" s="22" t="str">
        <f>HYPERLINK("https://otsuka-europe-crm.veevavault.com/ui/#object/approved_document__v/V5O00000000R009", "AM2M - PSIQUIATRIA - Guía manejo práctico AM2M")</f>
        <v>AM2M - PSIQUIATRIA - Guía manejo práctico AM2M</v>
      </c>
      <c r="M8967" s="22" t="str">
        <f>HYPERLINK("mailto:iortega@crm.otsuka-europe.com", "iortega@crm.otsuka-europe.com")</f>
        <v>iortega@crm.otsuka-europe.com</v>
      </c>
      <c r="N8967" s="25">
        <v>46234.438819444447</v>
      </c>
      <c r="O8967" s="14" t="str">
        <f>HYPERLINK("https://otsuka-europe-crm.veevavault.com/ui/#object/email_activity__v/V8C00000004F420", "EN-002110809")</f>
        <v>EN-002110809</v>
      </c>
    </row>
    <row r="8968" spans="1:15" ht="16" x14ac:dyDescent="0.2">
      <c r="A8968" s="26"/>
      <c r="B8968" s="26"/>
      <c r="C8968" s="26"/>
      <c r="D8968" s="26"/>
      <c r="E8968" s="26"/>
      <c r="F8968" s="26"/>
      <c r="G8968" s="26"/>
      <c r="H8968" s="26"/>
      <c r="I8968" s="26"/>
      <c r="J8968" s="26"/>
      <c r="K8968" s="26"/>
      <c r="L8968" s="26"/>
      <c r="M8968" s="26"/>
      <c r="N8968" s="26"/>
      <c r="O8968" s="14" t="str">
        <f>HYPERLINK("https://otsuka-europe-crm.veevavault.com/ui/#object/email_activity__v/V8C00000004G336", "EN-002110386")</f>
        <v>EN-002110386</v>
      </c>
    </row>
    <row r="8969" spans="1:15" ht="16" x14ac:dyDescent="0.2">
      <c r="A8969" s="19"/>
      <c r="B8969" s="19"/>
      <c r="C8969" s="19"/>
      <c r="D8969" s="19"/>
      <c r="E8969" s="19"/>
      <c r="F8969" s="19"/>
      <c r="G8969" s="19"/>
      <c r="H8969" s="19"/>
      <c r="I8969" s="19"/>
      <c r="J8969" s="19"/>
      <c r="K8969" s="19"/>
      <c r="L8969" s="19"/>
      <c r="M8969" s="19"/>
      <c r="N8969" s="19"/>
      <c r="O8969" s="14" t="str">
        <f>HYPERLINK("https://otsuka-europe-crm.veevavault.com/ui/#object/email_activity__v/V8C00000004G340", "EN-002110390")</f>
        <v>EN-002110390</v>
      </c>
    </row>
    <row r="8970" spans="1:15" ht="48" x14ac:dyDescent="0.2">
      <c r="A8970" s="7" t="str">
        <f>HYPERLINK("https://otsuka-europe-crm.veevavault.com/ui/#object/account__v/V4TZ06G6O71T7D1", "RAFAEL RODRIGUEZ GARCIA")</f>
        <v>RAFAEL RODRIGUEZ GARCIA</v>
      </c>
      <c r="B8970" s="7" t="str">
        <f>HYPERLINK("https://otsuka-europe-crm.veevavault.com/ui/#object/vcountry__v/VENZ000004SONF5", "ES")</f>
        <v>ES</v>
      </c>
      <c r="C8970" s="8" t="s">
        <v>39</v>
      </c>
      <c r="D8970" s="9" t="str">
        <f>HYPERLINK("https://otsuka-europe-crm.veevavault.com/ui/#object/approved_document__v/V5O00000000R009", "AM2M - PSIQUIATRIA - Guía manejo práctico AM2M")</f>
        <v>AM2M - PSIQUIATRIA - Guía manejo práctico AM2M</v>
      </c>
      <c r="E8970" s="10" t="str">
        <f>HYPERLINK("https://otsuka-europe-crm.veevavault.com/ui/#object/sent_email__v/VBL00000003H312", "SE-001448725")</f>
        <v>SE-001448725</v>
      </c>
      <c r="F8970" s="11"/>
      <c r="G8970" s="12">
        <v>0</v>
      </c>
      <c r="H8970" s="12">
        <v>0</v>
      </c>
      <c r="I8970" s="12">
        <v>0</v>
      </c>
      <c r="J8970" s="11"/>
      <c r="K8970" s="12">
        <v>0</v>
      </c>
      <c r="L8970" s="10" t="str">
        <f>HYPERLINK("https://otsuka-europe-crm.veevavault.com/ui/#object/approved_document__v/V5O00000000R009", "AM2M - PSIQUIATRIA - Guía manejo práctico AM2M")</f>
        <v>AM2M - PSIQUIATRIA - Guía manejo práctico AM2M</v>
      </c>
      <c r="M8970" s="10" t="str">
        <f>HYPERLINK("mailto:iortega@crm.otsuka-europe.com", "iortega@crm.otsuka-europe.com")</f>
        <v>iortega@crm.otsuka-europe.com</v>
      </c>
      <c r="N8970" s="13">
        <v>46234.438807870371</v>
      </c>
      <c r="O8970" s="14" t="str">
        <f>HYPERLINK("https://otsuka-europe-crm.veevavault.com/ui/#object/email_activity__v/V8C00000004G320", "EN-002110370")</f>
        <v>EN-002110370</v>
      </c>
    </row>
    <row r="8971" spans="1:15" ht="16" x14ac:dyDescent="0.2">
      <c r="A8971" s="18" t="str">
        <f>HYPERLINK("https://otsuka-europe-crm.veevavault.com/ui/#object/account__v/V4TZ06G6O8RZYCL", "NURIA RIBAS FITO")</f>
        <v>NURIA RIBAS FITO</v>
      </c>
      <c r="B8971" s="18" t="str">
        <f>HYPERLINK("https://otsuka-europe-crm.veevavault.com/ui/#object/vcountry__v/VENZ000004SONF5", "ES")</f>
        <v>ES</v>
      </c>
      <c r="C8971" s="20" t="s">
        <v>39</v>
      </c>
      <c r="D8971" s="21" t="str">
        <f>HYPERLINK("https://otsuka-europe-crm.veevavault.com/ui/#object/approved_document__v/V5O00000000R009", "AM2M - PSIQUIATRIA - Guía manejo práctico AM2M")</f>
        <v>AM2M - PSIQUIATRIA - Guía manejo práctico AM2M</v>
      </c>
      <c r="E8971" s="22" t="str">
        <f>HYPERLINK("https://otsuka-europe-crm.veevavault.com/ui/#object/sent_email__v/VBL00000003H313", "SE-001448726")</f>
        <v>SE-001448726</v>
      </c>
      <c r="F8971" s="25">
        <v>46234.438877314817</v>
      </c>
      <c r="G8971" s="24">
        <v>1</v>
      </c>
      <c r="H8971" s="24">
        <v>1</v>
      </c>
      <c r="I8971" s="24">
        <v>0</v>
      </c>
      <c r="J8971" s="23"/>
      <c r="K8971" s="24">
        <v>0</v>
      </c>
      <c r="L8971" s="22" t="str">
        <f>HYPERLINK("https://otsuka-europe-crm.veevavault.com/ui/#object/approved_document__v/V5O00000000R009", "AM2M - PSIQUIATRIA - Guía manejo práctico AM2M")</f>
        <v>AM2M - PSIQUIATRIA - Guía manejo práctico AM2M</v>
      </c>
      <c r="M8971" s="22" t="str">
        <f>HYPERLINK("mailto:iortega@crm.otsuka-europe.com", "iortega@crm.otsuka-europe.com")</f>
        <v>iortega@crm.otsuka-europe.com</v>
      </c>
      <c r="N8971" s="25">
        <v>46234.438807870371</v>
      </c>
      <c r="O8971" s="14" t="str">
        <f>HYPERLINK("https://otsuka-europe-crm.veevavault.com/ui/#object/email_activity__v/V8C00000004G322", "EN-002110372")</f>
        <v>EN-002110372</v>
      </c>
    </row>
    <row r="8972" spans="1:15" ht="16" x14ac:dyDescent="0.2">
      <c r="A8972" s="19"/>
      <c r="B8972" s="19"/>
      <c r="C8972" s="19"/>
      <c r="D8972" s="19"/>
      <c r="E8972" s="19"/>
      <c r="F8972" s="19"/>
      <c r="G8972" s="19"/>
      <c r="H8972" s="19"/>
      <c r="I8972" s="19"/>
      <c r="J8972" s="19"/>
      <c r="K8972" s="19"/>
      <c r="L8972" s="19"/>
      <c r="M8972" s="19"/>
      <c r="N8972" s="19"/>
      <c r="O8972" s="14" t="str">
        <f>HYPERLINK("https://otsuka-europe-crm.veevavault.com/ui/#object/email_activity__v/V8C00000004G339", "EN-002110389")</f>
        <v>EN-002110389</v>
      </c>
    </row>
    <row r="8973" spans="1:15" ht="48" x14ac:dyDescent="0.2">
      <c r="A8973" s="7" t="str">
        <f>HYPERLINK("https://otsuka-europe-crm.veevavault.com/ui/#object/account__v/V4TZ04ASGE00K1D", "MONICA FABIANA CORNEJO ROMAN")</f>
        <v>MONICA FABIANA CORNEJO ROMAN</v>
      </c>
      <c r="B8973" s="7" t="str">
        <f>HYPERLINK("https://otsuka-europe-crm.veevavault.com/ui/#object/vcountry__v/VENZ000004SONF5", "ES")</f>
        <v>ES</v>
      </c>
      <c r="C8973" s="8" t="s">
        <v>39</v>
      </c>
      <c r="D8973" s="9" t="str">
        <f>HYPERLINK("https://otsuka-europe-crm.veevavault.com/ui/#object/approved_document__v/V5O00000000R009", "AM2M - PSIQUIATRIA - Guía manejo práctico AM2M")</f>
        <v>AM2M - PSIQUIATRIA - Guía manejo práctico AM2M</v>
      </c>
      <c r="E8973" s="10" t="str">
        <f>HYPERLINK("https://otsuka-europe-crm.veevavault.com/ui/#object/sent_email__v/VBL00000003H314", "SE-001448727")</f>
        <v>SE-001448727</v>
      </c>
      <c r="F8973" s="11"/>
      <c r="G8973" s="12">
        <v>0</v>
      </c>
      <c r="H8973" s="12">
        <v>0</v>
      </c>
      <c r="I8973" s="12">
        <v>0</v>
      </c>
      <c r="J8973" s="11"/>
      <c r="K8973" s="12">
        <v>0</v>
      </c>
      <c r="L8973" s="10" t="str">
        <f>HYPERLINK("https://otsuka-europe-crm.veevavault.com/ui/#object/approved_document__v/V5O00000000R009", "AM2M - PSIQUIATRIA - Guía manejo práctico AM2M")</f>
        <v>AM2M - PSIQUIATRIA - Guía manejo práctico AM2M</v>
      </c>
      <c r="M8973" s="10" t="str">
        <f>HYPERLINK("mailto:iortega@crm.otsuka-europe.com", "iortega@crm.otsuka-europe.com")</f>
        <v>iortega@crm.otsuka-europe.com</v>
      </c>
      <c r="N8973" s="13">
        <v>46234.438819444447</v>
      </c>
      <c r="O8973" s="14" t="str">
        <f>HYPERLINK("https://otsuka-europe-crm.veevavault.com/ui/#object/email_activity__v/V8C00000004G335", "EN-002110385")</f>
        <v>EN-002110385</v>
      </c>
    </row>
    <row r="8974" spans="1:15" ht="16" x14ac:dyDescent="0.2">
      <c r="A8974" s="18" t="str">
        <f>HYPERLINK("https://otsuka-europe-crm.veevavault.com/ui/#object/account__v/V4TZ06G6O71TBRR", "MARTA RENALIAS MATAS")</f>
        <v>MARTA RENALIAS MATAS</v>
      </c>
      <c r="B8974" s="18" t="str">
        <f>HYPERLINK("https://otsuka-europe-crm.veevavault.com/ui/#object/vcountry__v/VENZ000004SONF5", "ES")</f>
        <v>ES</v>
      </c>
      <c r="C8974" s="20" t="s">
        <v>39</v>
      </c>
      <c r="D8974" s="21" t="str">
        <f>HYPERLINK("https://otsuka-europe-crm.veevavault.com/ui/#object/approved_document__v/V5O00000000R009", "AM2M - PSIQUIATRIA - Guía manejo práctico AM2M")</f>
        <v>AM2M - PSIQUIATRIA - Guía manejo práctico AM2M</v>
      </c>
      <c r="E8974" s="22" t="str">
        <f>HYPERLINK("https://otsuka-europe-crm.veevavault.com/ui/#object/sent_email__v/VBL00000003H315", "SE-001448728")</f>
        <v>SE-001448728</v>
      </c>
      <c r="F8974" s="25">
        <v>46234.736759259256</v>
      </c>
      <c r="G8974" s="24">
        <v>1</v>
      </c>
      <c r="H8974" s="24">
        <v>1</v>
      </c>
      <c r="I8974" s="24">
        <v>0</v>
      </c>
      <c r="J8974" s="23"/>
      <c r="K8974" s="24">
        <v>0</v>
      </c>
      <c r="L8974" s="22" t="str">
        <f>HYPERLINK("https://otsuka-europe-crm.veevavault.com/ui/#object/approved_document__v/V5O00000000R009", "AM2M - PSIQUIATRIA - Guía manejo práctico AM2M")</f>
        <v>AM2M - PSIQUIATRIA - Guía manejo práctico AM2M</v>
      </c>
      <c r="M8974" s="22" t="str">
        <f>HYPERLINK("mailto:iortega@crm.otsuka-europe.com", "iortega@crm.otsuka-europe.com")</f>
        <v>iortega@crm.otsuka-europe.com</v>
      </c>
      <c r="N8974" s="25">
        <v>46234.438807870371</v>
      </c>
      <c r="O8974" s="14" t="str">
        <f>HYPERLINK("https://otsuka-europe-crm.veevavault.com/ui/#object/email_activity__v/V8C00000004G309", "EN-002110359")</f>
        <v>EN-002110359</v>
      </c>
    </row>
    <row r="8975" spans="1:15" ht="16" x14ac:dyDescent="0.2">
      <c r="A8975" s="19"/>
      <c r="B8975" s="19"/>
      <c r="C8975" s="19"/>
      <c r="D8975" s="19"/>
      <c r="E8975" s="19"/>
      <c r="F8975" s="19"/>
      <c r="G8975" s="19"/>
      <c r="H8975" s="19"/>
      <c r="I8975" s="19"/>
      <c r="J8975" s="19"/>
      <c r="K8975" s="19"/>
      <c r="L8975" s="19"/>
      <c r="M8975" s="19"/>
      <c r="N8975" s="19"/>
      <c r="O8975" s="14" t="str">
        <f>HYPERLINK("https://otsuka-europe-crm.veevavault.com/ui/#object/email_activity__v/V8C00000004G623", "EN-002110861")</f>
        <v>EN-002110861</v>
      </c>
    </row>
    <row r="8976" spans="1:15" ht="16" x14ac:dyDescent="0.2">
      <c r="A8976" s="18" t="str">
        <f>HYPERLINK("https://otsuka-europe-crm.veevavault.com/ui/#object/account__v/V4TZ06G6OAAZ53S", "NICOLE VANESSA MOTTA ROJAS")</f>
        <v>NICOLE VANESSA MOTTA ROJAS</v>
      </c>
      <c r="B8976" s="18" t="str">
        <f>HYPERLINK("https://otsuka-europe-crm.veevavault.com/ui/#object/vcountry__v/VENZ000004SONF5", "ES")</f>
        <v>ES</v>
      </c>
      <c r="C8976" s="20" t="s">
        <v>39</v>
      </c>
      <c r="D8976" s="21" t="str">
        <f>HYPERLINK("https://otsuka-europe-crm.veevavault.com/ui/#object/approved_document__v/V5O00000000R009", "AM2M - PSIQUIATRIA - Guía manejo práctico AM2M")</f>
        <v>AM2M - PSIQUIATRIA - Guía manejo práctico AM2M</v>
      </c>
      <c r="E8976" s="22" t="str">
        <f>HYPERLINK("https://otsuka-europe-crm.veevavault.com/ui/#object/sent_email__v/VBL00000003H316", "SE-001448729")</f>
        <v>SE-001448729</v>
      </c>
      <c r="F8976" s="23"/>
      <c r="G8976" s="24">
        <v>0</v>
      </c>
      <c r="H8976" s="24">
        <v>0</v>
      </c>
      <c r="I8976" s="24">
        <v>0</v>
      </c>
      <c r="J8976" s="23"/>
      <c r="K8976" s="24">
        <v>0</v>
      </c>
      <c r="L8976" s="22" t="str">
        <f>HYPERLINK("https://otsuka-europe-crm.veevavault.com/ui/#object/approved_document__v/V5O00000000R009", "AM2M - PSIQUIATRIA - Guía manejo práctico AM2M")</f>
        <v>AM2M - PSIQUIATRIA - Guía manejo práctico AM2M</v>
      </c>
      <c r="M8976" s="22" t="str">
        <f>HYPERLINK("mailto:iortega@crm.otsuka-europe.com", "iortega@crm.otsuka-europe.com")</f>
        <v>iortega@crm.otsuka-europe.com</v>
      </c>
      <c r="N8976" s="25">
        <v>46234.438807870371</v>
      </c>
      <c r="O8976" s="14" t="str">
        <f>HYPERLINK("https://otsuka-europe-crm.veevavault.com/ui/#object/email_activity__v/V8C00000004G316", "EN-002110366")</f>
        <v>EN-002110366</v>
      </c>
    </row>
    <row r="8977" spans="1:15" ht="16" x14ac:dyDescent="0.2">
      <c r="A8977" s="19"/>
      <c r="B8977" s="19"/>
      <c r="C8977" s="19"/>
      <c r="D8977" s="19"/>
      <c r="E8977" s="19"/>
      <c r="F8977" s="19"/>
      <c r="G8977" s="19"/>
      <c r="H8977" s="19"/>
      <c r="I8977" s="19"/>
      <c r="J8977" s="19"/>
      <c r="K8977" s="19"/>
      <c r="L8977" s="19"/>
      <c r="M8977" s="19"/>
      <c r="N8977" s="19"/>
      <c r="O8977" s="14" t="str">
        <f>HYPERLINK("https://otsuka-europe-crm.veevavault.com/ui/#object/email_activity__v/V8C00000004G594", "EN-002110783")</f>
        <v>EN-002110783</v>
      </c>
    </row>
    <row r="8978" spans="1:15" ht="16" x14ac:dyDescent="0.2">
      <c r="A8978" s="18" t="str">
        <f>HYPERLINK("https://otsuka-europe-crm.veevavault.com/ui/#object/account__v/V4TZ06G6O71TAY3", "NEREIDA MARTINEZ PEDROSA")</f>
        <v>NEREIDA MARTINEZ PEDROSA</v>
      </c>
      <c r="B8978" s="18" t="str">
        <f>HYPERLINK("https://otsuka-europe-crm.veevavault.com/ui/#object/vcountry__v/VENZ000004SONF5", "ES")</f>
        <v>ES</v>
      </c>
      <c r="C8978" s="20" t="s">
        <v>39</v>
      </c>
      <c r="D8978" s="21" t="str">
        <f>HYPERLINK("https://otsuka-europe-crm.veevavault.com/ui/#object/approved_document__v/V5O00000000R009", "AM2M - PSIQUIATRIA - Guía manejo práctico AM2M")</f>
        <v>AM2M - PSIQUIATRIA - Guía manejo práctico AM2M</v>
      </c>
      <c r="E8978" s="22" t="str">
        <f>HYPERLINK("https://otsuka-europe-crm.veevavault.com/ui/#object/sent_email__v/VBL00000003H317", "SE-001448730")</f>
        <v>SE-001448730</v>
      </c>
      <c r="F8978" s="23"/>
      <c r="G8978" s="24">
        <v>0</v>
      </c>
      <c r="H8978" s="24">
        <v>0</v>
      </c>
      <c r="I8978" s="24">
        <v>0</v>
      </c>
      <c r="J8978" s="23"/>
      <c r="K8978" s="24">
        <v>0</v>
      </c>
      <c r="L8978" s="22" t="str">
        <f>HYPERLINK("https://otsuka-europe-crm.veevavault.com/ui/#object/approved_document__v/V5O00000000R009", "AM2M - PSIQUIATRIA - Guía manejo práctico AM2M")</f>
        <v>AM2M - PSIQUIATRIA - Guía manejo práctico AM2M</v>
      </c>
      <c r="M8978" s="22" t="str">
        <f>HYPERLINK("mailto:iortega@crm.otsuka-europe.com", "iortega@crm.otsuka-europe.com")</f>
        <v>iortega@crm.otsuka-europe.com</v>
      </c>
      <c r="N8978" s="25">
        <v>46234.438819444447</v>
      </c>
      <c r="O8978" s="14" t="str">
        <f>HYPERLINK("https://otsuka-europe-crm.veevavault.com/ui/#object/email_activity__v/V8C00000004G334", "EN-002110384")</f>
        <v>EN-002110384</v>
      </c>
    </row>
    <row r="8979" spans="1:15" ht="16" x14ac:dyDescent="0.2">
      <c r="A8979" s="19"/>
      <c r="B8979" s="19"/>
      <c r="C8979" s="19"/>
      <c r="D8979" s="19"/>
      <c r="E8979" s="19"/>
      <c r="F8979" s="19"/>
      <c r="G8979" s="19"/>
      <c r="H8979" s="19"/>
      <c r="I8979" s="19"/>
      <c r="J8979" s="19"/>
      <c r="K8979" s="19"/>
      <c r="L8979" s="19"/>
      <c r="M8979" s="19"/>
      <c r="N8979" s="19"/>
      <c r="O8979" s="14" t="str">
        <f>HYPERLINK("https://otsuka-europe-crm.veevavault.com/ui/#object/email_activity__v/V8C00000004G389", "EN-002110440")</f>
        <v>EN-002110440</v>
      </c>
    </row>
    <row r="8980" spans="1:15" ht="48" x14ac:dyDescent="0.2">
      <c r="A8980" s="7" t="str">
        <f>HYPERLINK("https://otsuka-europe-crm.veevavault.com/ui/#object/account__v/V4TZ06G6O71WWNF", "MONICA PATRICIA ARIZA ARIZA")</f>
        <v>MONICA PATRICIA ARIZA ARIZA</v>
      </c>
      <c r="B8980" s="7" t="str">
        <f>HYPERLINK("https://otsuka-europe-crm.veevavault.com/ui/#object/vcountry__v/VENZ000004SONF5", "ES")</f>
        <v>ES</v>
      </c>
      <c r="C8980" s="8" t="s">
        <v>39</v>
      </c>
      <c r="D8980" s="9" t="str">
        <f>HYPERLINK("https://otsuka-europe-crm.veevavault.com/ui/#object/approved_document__v/V5O00000000R009", "AM2M - PSIQUIATRIA - Guía manejo práctico AM2M")</f>
        <v>AM2M - PSIQUIATRIA - Guía manejo práctico AM2M</v>
      </c>
      <c r="E8980" s="10" t="str">
        <f>HYPERLINK("https://otsuka-europe-crm.veevavault.com/ui/#object/sent_email__v/VBL00000003H318", "SE-001448731")</f>
        <v>SE-001448731</v>
      </c>
      <c r="F8980" s="11"/>
      <c r="G8980" s="12">
        <v>0</v>
      </c>
      <c r="H8980" s="12">
        <v>0</v>
      </c>
      <c r="I8980" s="12">
        <v>0</v>
      </c>
      <c r="J8980" s="11"/>
      <c r="K8980" s="12">
        <v>0</v>
      </c>
      <c r="L8980" s="10" t="str">
        <f>HYPERLINK("https://otsuka-europe-crm.veevavault.com/ui/#object/approved_document__v/V5O00000000R009", "AM2M - PSIQUIATRIA - Guía manejo práctico AM2M")</f>
        <v>AM2M - PSIQUIATRIA - Guía manejo práctico AM2M</v>
      </c>
      <c r="M8980" s="10" t="str">
        <f>HYPERLINK("mailto:iortega@crm.otsuka-europe.com", "iortega@crm.otsuka-europe.com")</f>
        <v>iortega@crm.otsuka-europe.com</v>
      </c>
      <c r="N8980" s="13">
        <v>46234.438807870371</v>
      </c>
      <c r="O8980" s="14" t="str">
        <f>HYPERLINK("https://otsuka-europe-crm.veevavault.com/ui/#object/email_activity__v/V8C00000004G325", "EN-002110375")</f>
        <v>EN-002110375</v>
      </c>
    </row>
    <row r="8981" spans="1:15" ht="16" x14ac:dyDescent="0.2">
      <c r="A8981" s="18" t="str">
        <f>HYPERLINK("https://otsuka-europe-crm.veevavault.com/ui/#object/account__v/V4TZ06G6O71T940", "OSCAR ALBERTO GARRONE BONINO")</f>
        <v>OSCAR ALBERTO GARRONE BONINO</v>
      </c>
      <c r="B8981" s="18" t="str">
        <f>HYPERLINK("https://otsuka-europe-crm.veevavault.com/ui/#object/vcountry__v/VENZ000004SONF5", "ES")</f>
        <v>ES</v>
      </c>
      <c r="C8981" s="20" t="s">
        <v>39</v>
      </c>
      <c r="D8981" s="21" t="str">
        <f>HYPERLINK("https://otsuka-europe-crm.veevavault.com/ui/#object/approved_document__v/V5O00000000R009", "AM2M - PSIQUIATRIA - Guía manejo práctico AM2M")</f>
        <v>AM2M - PSIQUIATRIA - Guía manejo práctico AM2M</v>
      </c>
      <c r="E8981" s="22" t="str">
        <f>HYPERLINK("https://otsuka-europe-crm.veevavault.com/ui/#object/sent_email__v/VBL00000003H319", "SE-001448732")</f>
        <v>SE-001448732</v>
      </c>
      <c r="F8981" s="25">
        <v>46234.438877314817</v>
      </c>
      <c r="G8981" s="24">
        <v>1</v>
      </c>
      <c r="H8981" s="24">
        <v>1</v>
      </c>
      <c r="I8981" s="24">
        <v>0</v>
      </c>
      <c r="J8981" s="23"/>
      <c r="K8981" s="24">
        <v>0</v>
      </c>
      <c r="L8981" s="22" t="str">
        <f>HYPERLINK("https://otsuka-europe-crm.veevavault.com/ui/#object/approved_document__v/V5O00000000R009", "AM2M - PSIQUIATRIA - Guía manejo práctico AM2M")</f>
        <v>AM2M - PSIQUIATRIA - Guía manejo práctico AM2M</v>
      </c>
      <c r="M8981" s="22" t="str">
        <f>HYPERLINK("mailto:iortega@crm.otsuka-europe.com", "iortega@crm.otsuka-europe.com")</f>
        <v>iortega@crm.otsuka-europe.com</v>
      </c>
      <c r="N8981" s="25">
        <v>46234.438819444447</v>
      </c>
      <c r="O8981" s="14" t="str">
        <f>HYPERLINK("https://otsuka-europe-crm.veevavault.com/ui/#object/email_activity__v/V8C00000004G326", "EN-002110376")</f>
        <v>EN-002110376</v>
      </c>
    </row>
    <row r="8982" spans="1:15" ht="16" x14ac:dyDescent="0.2">
      <c r="A8982" s="19"/>
      <c r="B8982" s="19"/>
      <c r="C8982" s="19"/>
      <c r="D8982" s="19"/>
      <c r="E8982" s="19"/>
      <c r="F8982" s="19"/>
      <c r="G8982" s="19"/>
      <c r="H8982" s="19"/>
      <c r="I8982" s="19"/>
      <c r="J8982" s="19"/>
      <c r="K8982" s="19"/>
      <c r="L8982" s="19"/>
      <c r="M8982" s="19"/>
      <c r="N8982" s="19"/>
      <c r="O8982" s="14" t="str">
        <f>HYPERLINK("https://otsuka-europe-crm.veevavault.com/ui/#object/email_activity__v/V8C00000004G333", "EN-002110383")</f>
        <v>EN-002110383</v>
      </c>
    </row>
    <row r="8983" spans="1:15" ht="48" x14ac:dyDescent="0.2">
      <c r="A8983" s="7" t="str">
        <f>HYPERLINK("https://otsuka-europe-crm.veevavault.com/ui/#object/account__v/V4TZ06G6O71TCLS", "MERITXELL VILADRICH CANUDAS")</f>
        <v>MERITXELL VILADRICH CANUDAS</v>
      </c>
      <c r="B8983" s="7" t="str">
        <f>HYPERLINK("https://otsuka-europe-crm.veevavault.com/ui/#object/vcountry__v/VENZ000004SONF5", "ES")</f>
        <v>ES</v>
      </c>
      <c r="C8983" s="8" t="s">
        <v>39</v>
      </c>
      <c r="D8983" s="9" t="str">
        <f>HYPERLINK("https://otsuka-europe-crm.veevavault.com/ui/#object/approved_document__v/V5O00000000R009", "AM2M - PSIQUIATRIA - Guía manejo práctico AM2M")</f>
        <v>AM2M - PSIQUIATRIA - Guía manejo práctico AM2M</v>
      </c>
      <c r="E8983" s="10" t="str">
        <f>HYPERLINK("https://otsuka-europe-crm.veevavault.com/ui/#object/sent_email__v/VBL00000003H320", "SE-001448733")</f>
        <v>SE-001448733</v>
      </c>
      <c r="F8983" s="11"/>
      <c r="G8983" s="12">
        <v>0</v>
      </c>
      <c r="H8983" s="12">
        <v>0</v>
      </c>
      <c r="I8983" s="12">
        <v>0</v>
      </c>
      <c r="J8983" s="11"/>
      <c r="K8983" s="12">
        <v>0</v>
      </c>
      <c r="L8983" s="10" t="str">
        <f>HYPERLINK("https://otsuka-europe-crm.veevavault.com/ui/#object/approved_document__v/V5O00000000R009", "AM2M - PSIQUIATRIA - Guía manejo práctico AM2M")</f>
        <v>AM2M - PSIQUIATRIA - Guía manejo práctico AM2M</v>
      </c>
      <c r="M8983" s="10" t="str">
        <f>HYPERLINK("mailto:iortega@crm.otsuka-europe.com", "iortega@crm.otsuka-europe.com")</f>
        <v>iortega@crm.otsuka-europe.com</v>
      </c>
      <c r="N8983" s="13">
        <v>46234.438807870371</v>
      </c>
      <c r="O8983" s="14" t="str">
        <f>HYPERLINK("https://otsuka-europe-crm.veevavault.com/ui/#object/email_activity__v/V8C00000004G348", "EN-002110398")</f>
        <v>EN-002110398</v>
      </c>
    </row>
    <row r="8984" spans="1:15" ht="48" x14ac:dyDescent="0.2">
      <c r="A8984" s="7" t="str">
        <f>HYPERLINK("https://otsuka-europe-crm.veevavault.com/ui/#object/account__v/V4TZ06G6O71TAHM", "NARCIS CARDONER ALVAREZ")</f>
        <v>NARCIS CARDONER ALVAREZ</v>
      </c>
      <c r="B8984" s="7" t="str">
        <f>HYPERLINK("https://otsuka-europe-crm.veevavault.com/ui/#object/vcountry__v/VENZ000004SONF5", "ES")</f>
        <v>ES</v>
      </c>
      <c r="C8984" s="8" t="s">
        <v>39</v>
      </c>
      <c r="D8984" s="9" t="str">
        <f>HYPERLINK("https://otsuka-europe-crm.veevavault.com/ui/#object/approved_document__v/V5O00000000R009", "AM2M - PSIQUIATRIA - Guía manejo práctico AM2M")</f>
        <v>AM2M - PSIQUIATRIA - Guía manejo práctico AM2M</v>
      </c>
      <c r="E8984" s="10" t="str">
        <f>HYPERLINK("https://otsuka-europe-crm.veevavault.com/ui/#object/sent_email__v/VBL00000003H321", "SE-001448734")</f>
        <v>SE-001448734</v>
      </c>
      <c r="F8984" s="11"/>
      <c r="G8984" s="12">
        <v>0</v>
      </c>
      <c r="H8984" s="12">
        <v>0</v>
      </c>
      <c r="I8984" s="12">
        <v>0</v>
      </c>
      <c r="J8984" s="11"/>
      <c r="K8984" s="12">
        <v>0</v>
      </c>
      <c r="L8984" s="10" t="str">
        <f>HYPERLINK("https://otsuka-europe-crm.veevavault.com/ui/#object/approved_document__v/V5O00000000R009", "AM2M - PSIQUIATRIA - Guía manejo práctico AM2M")</f>
        <v>AM2M - PSIQUIATRIA - Guía manejo práctico AM2M</v>
      </c>
      <c r="M8984" s="10" t="str">
        <f>HYPERLINK("mailto:iortega@crm.otsuka-europe.com", "iortega@crm.otsuka-europe.com")</f>
        <v>iortega@crm.otsuka-europe.com</v>
      </c>
      <c r="N8984" s="13">
        <v>46234.438807870371</v>
      </c>
      <c r="O8984" s="14" t="str">
        <f>HYPERLINK("https://otsuka-europe-crm.veevavault.com/ui/#object/email_activity__v/V8C00000004G347", "EN-002110397")</f>
        <v>EN-002110397</v>
      </c>
    </row>
    <row r="8985" spans="1:15" ht="48" x14ac:dyDescent="0.2">
      <c r="A8985" s="7" t="str">
        <f>HYPERLINK("https://otsuka-europe-crm.veevavault.com/ui/#object/account__v/V4TZ06G6OB47NM3", "MIKEL ETXANDI SANTOLAYA")</f>
        <v>MIKEL ETXANDI SANTOLAYA</v>
      </c>
      <c r="B8985" s="7" t="str">
        <f>HYPERLINK("https://otsuka-europe-crm.veevavault.com/ui/#object/vcountry__v/VENZ000004SONF5", "ES")</f>
        <v>ES</v>
      </c>
      <c r="C8985" s="8" t="s">
        <v>39</v>
      </c>
      <c r="D8985" s="9" t="str">
        <f>HYPERLINK("https://otsuka-europe-crm.veevavault.com/ui/#object/approved_document__v/V5O00000000R009", "AM2M - PSIQUIATRIA - Guía manejo práctico AM2M")</f>
        <v>AM2M - PSIQUIATRIA - Guía manejo práctico AM2M</v>
      </c>
      <c r="E8985" s="10" t="str">
        <f>HYPERLINK("https://otsuka-europe-crm.veevavault.com/ui/#object/sent_email__v/VBL00000003H322", "SE-001448735")</f>
        <v>SE-001448735</v>
      </c>
      <c r="F8985" s="11"/>
      <c r="G8985" s="12">
        <v>0</v>
      </c>
      <c r="H8985" s="12">
        <v>0</v>
      </c>
      <c r="I8985" s="12">
        <v>0</v>
      </c>
      <c r="J8985" s="11"/>
      <c r="K8985" s="12">
        <v>0</v>
      </c>
      <c r="L8985" s="10" t="str">
        <f>HYPERLINK("https://otsuka-europe-crm.veevavault.com/ui/#object/approved_document__v/V5O00000000R009", "AM2M - PSIQUIATRIA - Guía manejo práctico AM2M")</f>
        <v>AM2M - PSIQUIATRIA - Guía manejo práctico AM2M</v>
      </c>
      <c r="M8985" s="10" t="str">
        <f>HYPERLINK("mailto:iortega@crm.otsuka-europe.com", "iortega@crm.otsuka-europe.com")</f>
        <v>iortega@crm.otsuka-europe.com</v>
      </c>
      <c r="N8985" s="13">
        <v>46234.438807870371</v>
      </c>
      <c r="O8985" s="14" t="str">
        <f>HYPERLINK("https://otsuka-europe-crm.veevavault.com/ui/#object/email_activity__v/V8C00000004G318", "EN-002110368")</f>
        <v>EN-002110368</v>
      </c>
    </row>
    <row r="8986" spans="1:15" ht="16" x14ac:dyDescent="0.2">
      <c r="A8986" s="18" t="str">
        <f>HYPERLINK("https://otsuka-europe-crm.veevavault.com/ui/#object/account__v/V4TZ04ASGGDOQD4", "MARTA SUSANA MARTORELL JUDKEVICH")</f>
        <v>MARTA SUSANA MARTORELL JUDKEVICH</v>
      </c>
      <c r="B8986" s="18" t="str">
        <f>HYPERLINK("https://otsuka-europe-crm.veevavault.com/ui/#object/vcountry__v/VENZ000004SONF5", "ES")</f>
        <v>ES</v>
      </c>
      <c r="C8986" s="20" t="s">
        <v>39</v>
      </c>
      <c r="D8986" s="21" t="str">
        <f>HYPERLINK("https://otsuka-europe-crm.veevavault.com/ui/#object/approved_document__v/V5O00000000R009", "AM2M - PSIQUIATRIA - Guía manejo práctico AM2M")</f>
        <v>AM2M - PSIQUIATRIA - Guía manejo práctico AM2M</v>
      </c>
      <c r="E8986" s="22" t="str">
        <f>HYPERLINK("https://otsuka-europe-crm.veevavault.com/ui/#object/sent_email__v/VBL00000003H323", "SE-001448736")</f>
        <v>SE-001448736</v>
      </c>
      <c r="F8986" s="23"/>
      <c r="G8986" s="24">
        <v>0</v>
      </c>
      <c r="H8986" s="24">
        <v>0</v>
      </c>
      <c r="I8986" s="24">
        <v>0</v>
      </c>
      <c r="J8986" s="23"/>
      <c r="K8986" s="24">
        <v>0</v>
      </c>
      <c r="L8986" s="22" t="str">
        <f>HYPERLINK("https://otsuka-europe-crm.veevavault.com/ui/#object/approved_document__v/V5O00000000R009", "AM2M - PSIQUIATRIA - Guía manejo práctico AM2M")</f>
        <v>AM2M - PSIQUIATRIA - Guía manejo práctico AM2M</v>
      </c>
      <c r="M8986" s="22" t="str">
        <f>HYPERLINK("mailto:iortega@crm.otsuka-europe.com", "iortega@crm.otsuka-europe.com")</f>
        <v>iortega@crm.otsuka-europe.com</v>
      </c>
      <c r="N8986" s="25">
        <v>46234.438807870371</v>
      </c>
      <c r="O8986" s="14" t="str">
        <f>HYPERLINK("https://otsuka-europe-crm.veevavault.com/ui/#object/email_activity__v/V8C00000004G349", "EN-002110399")</f>
        <v>EN-002110399</v>
      </c>
    </row>
    <row r="8987" spans="1:15" ht="16" x14ac:dyDescent="0.2">
      <c r="A8987" s="19"/>
      <c r="B8987" s="19"/>
      <c r="C8987" s="19"/>
      <c r="D8987" s="19"/>
      <c r="E8987" s="19"/>
      <c r="F8987" s="19"/>
      <c r="G8987" s="19"/>
      <c r="H8987" s="19"/>
      <c r="I8987" s="19"/>
      <c r="J8987" s="19"/>
      <c r="K8987" s="19"/>
      <c r="L8987" s="19"/>
      <c r="M8987" s="19"/>
      <c r="N8987" s="19"/>
      <c r="O8987" s="14" t="str">
        <f>HYPERLINK("https://otsuka-europe-crm.veevavault.com/ui/#object/email_activity__v/V8C00000004H293", "EN-002111456")</f>
        <v>EN-002111456</v>
      </c>
    </row>
    <row r="8988" spans="1:15" ht="48" x14ac:dyDescent="0.2">
      <c r="A8988" s="7" t="str">
        <f>HYPERLINK("https://otsuka-europe-crm.veevavault.com/ui/#object/account__v/V4TZ06G6O71T86Y", "PEDRO JOSE ALVARADO CARRERA")</f>
        <v>PEDRO JOSE ALVARADO CARRERA</v>
      </c>
      <c r="B8988" s="7" t="str">
        <f>HYPERLINK("https://otsuka-europe-crm.veevavault.com/ui/#object/vcountry__v/VENZ000004SONF5", "ES")</f>
        <v>ES</v>
      </c>
      <c r="C8988" s="8" t="s">
        <v>39</v>
      </c>
      <c r="D8988" s="9" t="str">
        <f>HYPERLINK("https://otsuka-europe-crm.veevavault.com/ui/#object/approved_document__v/V5O00000000R009", "AM2M - PSIQUIATRIA - Guía manejo práctico AM2M")</f>
        <v>AM2M - PSIQUIATRIA - Guía manejo práctico AM2M</v>
      </c>
      <c r="E8988" s="10" t="str">
        <f>HYPERLINK("https://otsuka-europe-crm.veevavault.com/ui/#object/sent_email__v/VBL00000003H324", "SE-001448737")</f>
        <v>SE-001448737</v>
      </c>
      <c r="F8988" s="11"/>
      <c r="G8988" s="12">
        <v>0</v>
      </c>
      <c r="H8988" s="12">
        <v>0</v>
      </c>
      <c r="I8988" s="12">
        <v>0</v>
      </c>
      <c r="J8988" s="11"/>
      <c r="K8988" s="12">
        <v>0</v>
      </c>
      <c r="L8988" s="10" t="str">
        <f>HYPERLINK("https://otsuka-europe-crm.veevavault.com/ui/#object/approved_document__v/V5O00000000R009", "AM2M - PSIQUIATRIA - Guía manejo práctico AM2M")</f>
        <v>AM2M - PSIQUIATRIA - Guía manejo práctico AM2M</v>
      </c>
      <c r="M8988" s="10" t="str">
        <f>HYPERLINK("mailto:iortega@crm.otsuka-europe.com", "iortega@crm.otsuka-europe.com")</f>
        <v>iortega@crm.otsuka-europe.com</v>
      </c>
      <c r="N8988" s="13">
        <v>46234.438773148147</v>
      </c>
      <c r="O8988" s="14" t="str">
        <f>HYPERLINK("https://otsuka-europe-crm.veevavault.com/ui/#object/email_activity__v/V8C00000004G337", "EN-002110387")</f>
        <v>EN-002110387</v>
      </c>
    </row>
    <row r="8989" spans="1:15" ht="48" x14ac:dyDescent="0.2">
      <c r="A8989" s="7" t="str">
        <f>HYPERLINK("https://otsuka-europe-crm.veevavault.com/ui/#object/account__v/V4TZ06G6O71TBOE", "MONTSERRAT PRATS ROCA")</f>
        <v>MONTSERRAT PRATS ROCA</v>
      </c>
      <c r="B8989" s="7" t="str">
        <f>HYPERLINK("https://otsuka-europe-crm.veevavault.com/ui/#object/vcountry__v/VENZ000004SONF5", "ES")</f>
        <v>ES</v>
      </c>
      <c r="C8989" s="8" t="s">
        <v>39</v>
      </c>
      <c r="D8989" s="9" t="str">
        <f>HYPERLINK("https://otsuka-europe-crm.veevavault.com/ui/#object/approved_document__v/V5O00000000R009", "AM2M - PSIQUIATRIA - Guía manejo práctico AM2M")</f>
        <v>AM2M - PSIQUIATRIA - Guía manejo práctico AM2M</v>
      </c>
      <c r="E8989" s="10" t="str">
        <f>HYPERLINK("https://otsuka-europe-crm.veevavault.com/ui/#object/sent_email__v/VBL00000003H325", "SE-001448738")</f>
        <v>SE-001448738</v>
      </c>
      <c r="F8989" s="11"/>
      <c r="G8989" s="12">
        <v>0</v>
      </c>
      <c r="H8989" s="12">
        <v>0</v>
      </c>
      <c r="I8989" s="12">
        <v>0</v>
      </c>
      <c r="J8989" s="11"/>
      <c r="K8989" s="12">
        <v>0</v>
      </c>
      <c r="L8989" s="10" t="str">
        <f>HYPERLINK("https://otsuka-europe-crm.veevavault.com/ui/#object/approved_document__v/V5O00000000R009", "AM2M - PSIQUIATRIA - Guía manejo práctico AM2M")</f>
        <v>AM2M - PSIQUIATRIA - Guía manejo práctico AM2M</v>
      </c>
      <c r="M8989" s="10" t="str">
        <f>HYPERLINK("mailto:iortega@crm.otsuka-europe.com", "iortega@crm.otsuka-europe.com")</f>
        <v>iortega@crm.otsuka-europe.com</v>
      </c>
      <c r="N8989" s="13">
        <v>46234.438726851855</v>
      </c>
      <c r="O8989" s="14" t="str">
        <f>HYPERLINK("https://otsuka-europe-crm.veevavault.com/ui/#object/email_activity__v/V8C00000004G329", "EN-002110379")</f>
        <v>EN-002110379</v>
      </c>
    </row>
    <row r="8990" spans="1:15" ht="16" x14ac:dyDescent="0.2">
      <c r="A8990" s="18" t="str">
        <f>HYPERLINK("https://otsuka-europe-crm.veevavault.com/ui/#object/account__v/V4TZ025E876F1X2", "MILUSKA DANIELA ROBLES HEREDIA")</f>
        <v>MILUSKA DANIELA ROBLES HEREDIA</v>
      </c>
      <c r="B8990" s="18" t="str">
        <f>HYPERLINK("https://otsuka-europe-crm.veevavault.com/ui/#object/vcountry__v/VENZ000004SONF5", "ES")</f>
        <v>ES</v>
      </c>
      <c r="C8990" s="20" t="s">
        <v>39</v>
      </c>
      <c r="D8990" s="21" t="str">
        <f>HYPERLINK("https://otsuka-europe-crm.veevavault.com/ui/#object/approved_document__v/V5O00000000R009", "AM2M - PSIQUIATRIA - Guía manejo práctico AM2M")</f>
        <v>AM2M - PSIQUIATRIA - Guía manejo práctico AM2M</v>
      </c>
      <c r="E8990" s="22" t="str">
        <f>HYPERLINK("https://otsuka-europe-crm.veevavault.com/ui/#object/sent_email__v/VBL00000003H326", "SE-001448739")</f>
        <v>SE-001448739</v>
      </c>
      <c r="F8990" s="25">
        <v>46234.441574074073</v>
      </c>
      <c r="G8990" s="24">
        <v>1</v>
      </c>
      <c r="H8990" s="24">
        <v>1</v>
      </c>
      <c r="I8990" s="24">
        <v>0</v>
      </c>
      <c r="J8990" s="23"/>
      <c r="K8990" s="24">
        <v>0</v>
      </c>
      <c r="L8990" s="22" t="str">
        <f>HYPERLINK("https://otsuka-europe-crm.veevavault.com/ui/#object/approved_document__v/V5O00000000R009", "AM2M - PSIQUIATRIA - Guía manejo práctico AM2M")</f>
        <v>AM2M - PSIQUIATRIA - Guía manejo práctico AM2M</v>
      </c>
      <c r="M8990" s="22" t="str">
        <f>HYPERLINK("mailto:iortega@crm.otsuka-europe.com", "iortega@crm.otsuka-europe.com")</f>
        <v>iortega@crm.otsuka-europe.com</v>
      </c>
      <c r="N8990" s="25">
        <v>46234.438738425924</v>
      </c>
      <c r="O8990" s="14" t="str">
        <f>HYPERLINK("https://otsuka-europe-crm.veevavault.com/ui/#object/email_activity__v/V8C00000004F265", "EN-002110437")</f>
        <v>EN-002110437</v>
      </c>
    </row>
    <row r="8991" spans="1:15" ht="16" x14ac:dyDescent="0.2">
      <c r="A8991" s="19"/>
      <c r="B8991" s="19"/>
      <c r="C8991" s="19"/>
      <c r="D8991" s="19"/>
      <c r="E8991" s="19"/>
      <c r="F8991" s="19"/>
      <c r="G8991" s="19"/>
      <c r="H8991" s="19"/>
      <c r="I8991" s="19"/>
      <c r="J8991" s="19"/>
      <c r="K8991" s="19"/>
      <c r="L8991" s="19"/>
      <c r="M8991" s="19"/>
      <c r="N8991" s="19"/>
      <c r="O8991" s="14" t="str">
        <f>HYPERLINK("https://otsuka-europe-crm.veevavault.com/ui/#object/email_activity__v/V8C00000004G324", "EN-002110374")</f>
        <v>EN-002110374</v>
      </c>
    </row>
    <row r="8992" spans="1:15" ht="48" x14ac:dyDescent="0.2">
      <c r="A8992" s="7" t="str">
        <f>HYPERLINK("https://otsuka-europe-crm.veevavault.com/ui/#object/account__v/V4TZ06G6O71T7ZU", "MONICA MINOSHKA MOREIRA MARTINEZ")</f>
        <v>MONICA MINOSHKA MOREIRA MARTINEZ</v>
      </c>
      <c r="B8992" s="7" t="str">
        <f>HYPERLINK("https://otsuka-europe-crm.veevavault.com/ui/#object/vcountry__v/VENZ000004SONF5", "ES")</f>
        <v>ES</v>
      </c>
      <c r="C8992" s="8" t="s">
        <v>39</v>
      </c>
      <c r="D8992" s="9" t="str">
        <f>HYPERLINK("https://otsuka-europe-crm.veevavault.com/ui/#object/approved_document__v/V5O00000000R009", "AM2M - PSIQUIATRIA - Guía manejo práctico AM2M")</f>
        <v>AM2M - PSIQUIATRIA - Guía manejo práctico AM2M</v>
      </c>
      <c r="E8992" s="10" t="str">
        <f>HYPERLINK("https://otsuka-europe-crm.veevavault.com/ui/#object/sent_email__v/VBL00000003H327", "SE-001448740")</f>
        <v>SE-001448740</v>
      </c>
      <c r="F8992" s="11"/>
      <c r="G8992" s="12">
        <v>0</v>
      </c>
      <c r="H8992" s="12">
        <v>0</v>
      </c>
      <c r="I8992" s="12">
        <v>0</v>
      </c>
      <c r="J8992" s="11"/>
      <c r="K8992" s="12">
        <v>0</v>
      </c>
      <c r="L8992" s="10" t="str">
        <f>HYPERLINK("https://otsuka-europe-crm.veevavault.com/ui/#object/approved_document__v/V5O00000000R009", "AM2M - PSIQUIATRIA - Guía manejo práctico AM2M")</f>
        <v>AM2M - PSIQUIATRIA - Guía manejo práctico AM2M</v>
      </c>
      <c r="M8992" s="10" t="str">
        <f>HYPERLINK("mailto:iortega@crm.otsuka-europe.com", "iortega@crm.otsuka-europe.com")</f>
        <v>iortega@crm.otsuka-europe.com</v>
      </c>
      <c r="N8992" s="13">
        <v>46234.438807870371</v>
      </c>
      <c r="O8992" s="14" t="str">
        <f>HYPERLINK("https://otsuka-europe-crm.veevavault.com/ui/#object/email_activity__v/V8C00000004G319", "EN-002110369")</f>
        <v>EN-002110369</v>
      </c>
    </row>
    <row r="8993" spans="1:15" ht="16" x14ac:dyDescent="0.2">
      <c r="A8993" s="18" t="str">
        <f>HYPERLINK("https://otsuka-europe-crm.veevavault.com/ui/#object/account__v/V4TZ06G6O71TC1A", "PURIFICACION SALGADO SERRANO")</f>
        <v>PURIFICACION SALGADO SERRANO</v>
      </c>
      <c r="B8993" s="18" t="str">
        <f>HYPERLINK("https://otsuka-europe-crm.veevavault.com/ui/#object/vcountry__v/VENZ000004SONF5", "ES")</f>
        <v>ES</v>
      </c>
      <c r="C8993" s="20" t="s">
        <v>39</v>
      </c>
      <c r="D8993" s="21" t="str">
        <f>HYPERLINK("https://otsuka-europe-crm.veevavault.com/ui/#object/approved_document__v/V5O00000000R009", "AM2M - PSIQUIATRIA - Guía manejo práctico AM2M")</f>
        <v>AM2M - PSIQUIATRIA - Guía manejo práctico AM2M</v>
      </c>
      <c r="E8993" s="22" t="str">
        <f>HYPERLINK("https://otsuka-europe-crm.veevavault.com/ui/#object/sent_email__v/VBL00000003H328", "SE-001448741")</f>
        <v>SE-001448741</v>
      </c>
      <c r="F8993" s="25">
        <v>46237.28329861111</v>
      </c>
      <c r="G8993" s="24">
        <v>1</v>
      </c>
      <c r="H8993" s="24">
        <v>2</v>
      </c>
      <c r="I8993" s="24">
        <v>0</v>
      </c>
      <c r="J8993" s="23"/>
      <c r="K8993" s="24">
        <v>0</v>
      </c>
      <c r="L8993" s="22" t="str">
        <f>HYPERLINK("https://otsuka-europe-crm.veevavault.com/ui/#object/approved_document__v/V5O00000000R009", "AM2M - PSIQUIATRIA - Guía manejo práctico AM2M")</f>
        <v>AM2M - PSIQUIATRIA - Guía manejo práctico AM2M</v>
      </c>
      <c r="M8993" s="22" t="str">
        <f>HYPERLINK("mailto:iortega@crm.otsuka-europe.com", "iortega@crm.otsuka-europe.com")</f>
        <v>iortega@crm.otsuka-europe.com</v>
      </c>
      <c r="N8993" s="25">
        <v>46234.438807870371</v>
      </c>
      <c r="O8993" s="14" t="str">
        <f>HYPERLINK("https://otsuka-europe-crm.veevavault.com/ui/#object/email_activity__v/V8C00000004G313", "EN-002110363")</f>
        <v>EN-002110363</v>
      </c>
    </row>
    <row r="8994" spans="1:15" ht="16" x14ac:dyDescent="0.2">
      <c r="A8994" s="26"/>
      <c r="B8994" s="26"/>
      <c r="C8994" s="26"/>
      <c r="D8994" s="26"/>
      <c r="E8994" s="26"/>
      <c r="F8994" s="26"/>
      <c r="G8994" s="26"/>
      <c r="H8994" s="26"/>
      <c r="I8994" s="26"/>
      <c r="J8994" s="26"/>
      <c r="K8994" s="26"/>
      <c r="L8994" s="26"/>
      <c r="M8994" s="26"/>
      <c r="N8994" s="26"/>
      <c r="O8994" s="14" t="str">
        <f>HYPERLINK("https://otsuka-europe-crm.veevavault.com/ui/#object/email_activity__v/V8C00000004H127", "EN-002111173")</f>
        <v>EN-002111173</v>
      </c>
    </row>
    <row r="8995" spans="1:15" ht="16" x14ac:dyDescent="0.2">
      <c r="A8995" s="19"/>
      <c r="B8995" s="19"/>
      <c r="C8995" s="19"/>
      <c r="D8995" s="19"/>
      <c r="E8995" s="19"/>
      <c r="F8995" s="19"/>
      <c r="G8995" s="19"/>
      <c r="H8995" s="19"/>
      <c r="I8995" s="19"/>
      <c r="J8995" s="19"/>
      <c r="K8995" s="19"/>
      <c r="L8995" s="19"/>
      <c r="M8995" s="19"/>
      <c r="N8995" s="19"/>
      <c r="O8995" s="14" t="str">
        <f>HYPERLINK("https://otsuka-europe-crm.veevavault.com/ui/#object/email_activity__v/V8C00000004H128", "EN-002111174")</f>
        <v>EN-002111174</v>
      </c>
    </row>
    <row r="8996" spans="1:15" ht="48" x14ac:dyDescent="0.2">
      <c r="A8996" s="7" t="str">
        <f>HYPERLINK("https://otsuka-europe-crm.veevavault.com/ui/#object/account__v/V4TZ04ASGDUJZ0X", "MONICA BIFANO MERIDA")</f>
        <v>MONICA BIFANO MERIDA</v>
      </c>
      <c r="B8996" s="7" t="str">
        <f>HYPERLINK("https://otsuka-europe-crm.veevavault.com/ui/#object/vcountry__v/VENZ000004SONF5", "ES")</f>
        <v>ES</v>
      </c>
      <c r="C8996" s="8" t="s">
        <v>39</v>
      </c>
      <c r="D8996" s="9" t="str">
        <f>HYPERLINK("https://otsuka-europe-crm.veevavault.com/ui/#object/approved_document__v/V5O00000000R009", "AM2M - PSIQUIATRIA - Guía manejo práctico AM2M")</f>
        <v>AM2M - PSIQUIATRIA - Guía manejo práctico AM2M</v>
      </c>
      <c r="E8996" s="10" t="str">
        <f>HYPERLINK("https://otsuka-europe-crm.veevavault.com/ui/#object/sent_email__v/VBL00000003H329", "SE-001448742")</f>
        <v>SE-001448742</v>
      </c>
      <c r="F8996" s="11"/>
      <c r="G8996" s="12">
        <v>0</v>
      </c>
      <c r="H8996" s="12">
        <v>0</v>
      </c>
      <c r="I8996" s="12">
        <v>0</v>
      </c>
      <c r="J8996" s="11"/>
      <c r="K8996" s="12">
        <v>0</v>
      </c>
      <c r="L8996" s="10" t="str">
        <f>HYPERLINK("https://otsuka-europe-crm.veevavault.com/ui/#object/approved_document__v/V5O00000000R009", "AM2M - PSIQUIATRIA - Guía manejo práctico AM2M")</f>
        <v>AM2M - PSIQUIATRIA - Guía manejo práctico AM2M</v>
      </c>
      <c r="M8996" s="10" t="str">
        <f>HYPERLINK("mailto:iortega@crm.otsuka-europe.com", "iortega@crm.otsuka-europe.com")</f>
        <v>iortega@crm.otsuka-europe.com</v>
      </c>
      <c r="N8996" s="13">
        <v>46234.438807870371</v>
      </c>
      <c r="O8996" s="14" t="str">
        <f>HYPERLINK("https://otsuka-europe-crm.veevavault.com/ui/#object/email_activity__v/V8C00000004G311", "EN-002110361")</f>
        <v>EN-002110361</v>
      </c>
    </row>
    <row r="8997" spans="1:15" ht="48" x14ac:dyDescent="0.2">
      <c r="A8997" s="7" t="str">
        <f>HYPERLINK("https://otsuka-europe-crm.veevavault.com/ui/#object/account__v/V4TZ06G6O8ACVLQ", "MONTSERRAT GRAU MORILLO")</f>
        <v>MONTSERRAT GRAU MORILLO</v>
      </c>
      <c r="B8997" s="7" t="str">
        <f>HYPERLINK("https://otsuka-europe-crm.veevavault.com/ui/#object/vcountry__v/VENZ000004SONF5", "ES")</f>
        <v>ES</v>
      </c>
      <c r="C8997" s="8" t="s">
        <v>39</v>
      </c>
      <c r="D8997" s="9" t="str">
        <f>HYPERLINK("https://otsuka-europe-crm.veevavault.com/ui/#object/approved_document__v/V5O00000000R009", "AM2M - PSIQUIATRIA - Guía manejo práctico AM2M")</f>
        <v>AM2M - PSIQUIATRIA - Guía manejo práctico AM2M</v>
      </c>
      <c r="E8997" s="10" t="str">
        <f>HYPERLINK("https://otsuka-europe-crm.veevavault.com/ui/#object/sent_email__v/VBL00000003H330", "SE-001448743")</f>
        <v>SE-001448743</v>
      </c>
      <c r="F8997" s="11"/>
      <c r="G8997" s="12">
        <v>0</v>
      </c>
      <c r="H8997" s="12">
        <v>0</v>
      </c>
      <c r="I8997" s="12">
        <v>0</v>
      </c>
      <c r="J8997" s="11"/>
      <c r="K8997" s="12">
        <v>0</v>
      </c>
      <c r="L8997" s="10" t="str">
        <f>HYPERLINK("https://otsuka-europe-crm.veevavault.com/ui/#object/approved_document__v/V5O00000000R009", "AM2M - PSIQUIATRIA - Guía manejo práctico AM2M")</f>
        <v>AM2M - PSIQUIATRIA - Guía manejo práctico AM2M</v>
      </c>
      <c r="M8997" s="10" t="str">
        <f>HYPERLINK("mailto:iortega@crm.otsuka-europe.com", "iortega@crm.otsuka-europe.com")</f>
        <v>iortega@crm.otsuka-europe.com</v>
      </c>
      <c r="N8997" s="13">
        <v>46234.438807870371</v>
      </c>
      <c r="O8997" s="14" t="str">
        <f>HYPERLINK("https://otsuka-europe-crm.veevavault.com/ui/#object/email_activity__v/V8C00000004G332", "EN-002110382")</f>
        <v>EN-002110382</v>
      </c>
    </row>
    <row r="8998" spans="1:15" ht="48" x14ac:dyDescent="0.2">
      <c r="A8998" s="7" t="str">
        <f>HYPERLINK("https://otsuka-europe-crm.veevavault.com/ui/#object/account__v/V4TZ025E82V5XIC", "MEI ALFORCEA NAGAI")</f>
        <v>MEI ALFORCEA NAGAI</v>
      </c>
      <c r="B8998" s="7" t="str">
        <f>HYPERLINK("https://otsuka-europe-crm.veevavault.com/ui/#object/vcountry__v/VENZ000004SONF5", "ES")</f>
        <v>ES</v>
      </c>
      <c r="C8998" s="8" t="s">
        <v>39</v>
      </c>
      <c r="D8998" s="9" t="str">
        <f>HYPERLINK("https://otsuka-europe-crm.veevavault.com/ui/#object/approved_document__v/V5O00000000R009", "AM2M - PSIQUIATRIA - Guía manejo práctico AM2M")</f>
        <v>AM2M - PSIQUIATRIA - Guía manejo práctico AM2M</v>
      </c>
      <c r="E8998" s="10" t="str">
        <f>HYPERLINK("https://otsuka-europe-crm.veevavault.com/ui/#object/sent_email__v/VBL00000003H331", "SE-001448744")</f>
        <v>SE-001448744</v>
      </c>
      <c r="F8998" s="11"/>
      <c r="G8998" s="12">
        <v>0</v>
      </c>
      <c r="H8998" s="12">
        <v>0</v>
      </c>
      <c r="I8998" s="12">
        <v>0</v>
      </c>
      <c r="J8998" s="11"/>
      <c r="K8998" s="12">
        <v>0</v>
      </c>
      <c r="L8998" s="10" t="str">
        <f>HYPERLINK("https://otsuka-europe-crm.veevavault.com/ui/#object/approved_document__v/V5O00000000R009", "AM2M - PSIQUIATRIA - Guía manejo práctico AM2M")</f>
        <v>AM2M - PSIQUIATRIA - Guía manejo práctico AM2M</v>
      </c>
      <c r="M8998" s="10" t="str">
        <f>HYPERLINK("mailto:iortega@crm.otsuka-europe.com", "iortega@crm.otsuka-europe.com")</f>
        <v>iortega@crm.otsuka-europe.com</v>
      </c>
      <c r="N8998" s="13">
        <v>46234.438807870371</v>
      </c>
      <c r="O8998" s="14" t="str">
        <f>HYPERLINK("https://otsuka-europe-crm.veevavault.com/ui/#object/email_activity__v/V8C00000004G323", "EN-002110373")</f>
        <v>EN-002110373</v>
      </c>
    </row>
    <row r="8999" spans="1:15" ht="16" x14ac:dyDescent="0.2">
      <c r="A8999" s="18" t="str">
        <f>HYPERLINK("https://otsuka-europe-crm.veevavault.com/ui/#object/account__v/V4TZ06G6O71T7G2", "MIREIA MALO LOPEZ")</f>
        <v>MIREIA MALO LOPEZ</v>
      </c>
      <c r="B8999" s="18" t="str">
        <f>HYPERLINK("https://otsuka-europe-crm.veevavault.com/ui/#object/vcountry__v/VENZ000004SONF5", "ES")</f>
        <v>ES</v>
      </c>
      <c r="C8999" s="20" t="s">
        <v>39</v>
      </c>
      <c r="D8999" s="21" t="str">
        <f>HYPERLINK("https://otsuka-europe-crm.veevavault.com/ui/#object/approved_document__v/V5O00000000R009", "AM2M - PSIQUIATRIA - Guía manejo práctico AM2M")</f>
        <v>AM2M - PSIQUIATRIA - Guía manejo práctico AM2M</v>
      </c>
      <c r="E8999" s="22" t="str">
        <f>HYPERLINK("https://otsuka-europe-crm.veevavault.com/ui/#object/sent_email__v/VBL00000003H332", "SE-001448745")</f>
        <v>SE-001448745</v>
      </c>
      <c r="F8999" s="25">
        <v>46234.605347222219</v>
      </c>
      <c r="G8999" s="24">
        <v>1</v>
      </c>
      <c r="H8999" s="24">
        <v>1</v>
      </c>
      <c r="I8999" s="24">
        <v>0</v>
      </c>
      <c r="J8999" s="23"/>
      <c r="K8999" s="24">
        <v>0</v>
      </c>
      <c r="L8999" s="22" t="str">
        <f>HYPERLINK("https://otsuka-europe-crm.veevavault.com/ui/#object/approved_document__v/V5O00000000R009", "AM2M - PSIQUIATRIA - Guía manejo práctico AM2M")</f>
        <v>AM2M - PSIQUIATRIA - Guía manejo práctico AM2M</v>
      </c>
      <c r="M8999" s="22" t="str">
        <f>HYPERLINK("mailto:iortega@crm.otsuka-europe.com", "iortega@crm.otsuka-europe.com")</f>
        <v>iortega@crm.otsuka-europe.com</v>
      </c>
      <c r="N8999" s="25">
        <v>46234.438807870371</v>
      </c>
      <c r="O8999" s="14" t="str">
        <f>HYPERLINK("https://otsuka-europe-crm.veevavault.com/ui/#object/email_activity__v/V8C00000004G341", "EN-002110391")</f>
        <v>EN-002110391</v>
      </c>
    </row>
    <row r="9000" spans="1:15" ht="16" x14ac:dyDescent="0.2">
      <c r="A9000" s="26"/>
      <c r="B9000" s="26"/>
      <c r="C9000" s="26"/>
      <c r="D9000" s="26"/>
      <c r="E9000" s="26"/>
      <c r="F9000" s="26"/>
      <c r="G9000" s="26"/>
      <c r="H9000" s="26"/>
      <c r="I9000" s="26"/>
      <c r="J9000" s="26"/>
      <c r="K9000" s="26"/>
      <c r="L9000" s="26"/>
      <c r="M9000" s="26"/>
      <c r="N9000" s="26"/>
      <c r="O9000" s="14" t="str">
        <f>HYPERLINK("https://otsuka-europe-crm.veevavault.com/ui/#object/email_activity__v/V8C00000004G591", "EN-002110780")</f>
        <v>EN-002110780</v>
      </c>
    </row>
    <row r="9001" spans="1:15" ht="16" x14ac:dyDescent="0.2">
      <c r="A9001" s="19"/>
      <c r="B9001" s="19"/>
      <c r="C9001" s="19"/>
      <c r="D9001" s="19"/>
      <c r="E9001" s="19"/>
      <c r="F9001" s="19"/>
      <c r="G9001" s="19"/>
      <c r="H9001" s="19"/>
      <c r="I9001" s="19"/>
      <c r="J9001" s="19"/>
      <c r="K9001" s="19"/>
      <c r="L9001" s="19"/>
      <c r="M9001" s="19"/>
      <c r="N9001" s="19"/>
      <c r="O9001" s="14" t="str">
        <f>HYPERLINK("https://otsuka-europe-crm.veevavault.com/ui/#object/email_activity__v/V8C00000004H027", "EN-002110977")</f>
        <v>EN-002110977</v>
      </c>
    </row>
    <row r="9002" spans="1:15" ht="16" x14ac:dyDescent="0.2">
      <c r="A9002" s="18" t="str">
        <f>HYPERLINK("https://otsuka-europe-crm.veevavault.com/ui/#object/account__v/V4TZ06G6O71TBTT", "MARTA PUIG SANZ")</f>
        <v>MARTA PUIG SANZ</v>
      </c>
      <c r="B9002" s="18" t="str">
        <f>HYPERLINK("https://otsuka-europe-crm.veevavault.com/ui/#object/vcountry__v/VENZ000004SONF5", "ES")</f>
        <v>ES</v>
      </c>
      <c r="C9002" s="20" t="s">
        <v>39</v>
      </c>
      <c r="D9002" s="21" t="str">
        <f>HYPERLINK("https://otsuka-europe-crm.veevavault.com/ui/#object/approved_document__v/V5O00000000R009", "AM2M - PSIQUIATRIA - Guía manejo práctico AM2M")</f>
        <v>AM2M - PSIQUIATRIA - Guía manejo práctico AM2M</v>
      </c>
      <c r="E9002" s="22" t="str">
        <f>HYPERLINK("https://otsuka-europe-crm.veevavault.com/ui/#object/sent_email__v/VBL00000003H333", "SE-001448746")</f>
        <v>SE-001448746</v>
      </c>
      <c r="F9002" s="23"/>
      <c r="G9002" s="24">
        <v>0</v>
      </c>
      <c r="H9002" s="24">
        <v>0</v>
      </c>
      <c r="I9002" s="24">
        <v>0</v>
      </c>
      <c r="J9002" s="23"/>
      <c r="K9002" s="24">
        <v>0</v>
      </c>
      <c r="L9002" s="22" t="str">
        <f>HYPERLINK("https://otsuka-europe-crm.veevavault.com/ui/#object/approved_document__v/V5O00000000R009", "AM2M - PSIQUIATRIA - Guía manejo práctico AM2M")</f>
        <v>AM2M - PSIQUIATRIA - Guía manejo práctico AM2M</v>
      </c>
      <c r="M9002" s="22" t="str">
        <f>HYPERLINK("mailto:iortega@crm.otsuka-europe.com", "iortega@crm.otsuka-europe.com")</f>
        <v>iortega@crm.otsuka-europe.com</v>
      </c>
      <c r="N9002" s="25">
        <v>46234.438807870371</v>
      </c>
      <c r="O9002" s="14" t="str">
        <f>HYPERLINK("https://otsuka-europe-crm.veevavault.com/ui/#object/email_activity__v/V8C00000004F482", "EN-002110913")</f>
        <v>EN-002110913</v>
      </c>
    </row>
    <row r="9003" spans="1:15" ht="16" x14ac:dyDescent="0.2">
      <c r="A9003" s="19"/>
      <c r="B9003" s="19"/>
      <c r="C9003" s="19"/>
      <c r="D9003" s="19"/>
      <c r="E9003" s="19"/>
      <c r="F9003" s="19"/>
      <c r="G9003" s="19"/>
      <c r="H9003" s="19"/>
      <c r="I9003" s="19"/>
      <c r="J9003" s="19"/>
      <c r="K9003" s="19"/>
      <c r="L9003" s="19"/>
      <c r="M9003" s="19"/>
      <c r="N9003" s="19"/>
      <c r="O9003" s="14" t="str">
        <f>HYPERLINK("https://otsuka-europe-crm.veevavault.com/ui/#object/email_activity__v/V8C00000004G342", "EN-002110392")</f>
        <v>EN-002110392</v>
      </c>
    </row>
    <row r="9004" spans="1:15" ht="48" x14ac:dyDescent="0.2">
      <c r="A9004" s="7" t="str">
        <f>HYPERLINK("https://otsuka-europe-crm.veevavault.com/ui/#object/account__v/V4TZ04ASGFHW76B", "NURIA SALGADO BORREGO")</f>
        <v>NURIA SALGADO BORREGO</v>
      </c>
      <c r="B9004" s="7" t="str">
        <f>HYPERLINK("https://otsuka-europe-crm.veevavault.com/ui/#object/vcountry__v/VENZ000004SONF5", "ES")</f>
        <v>ES</v>
      </c>
      <c r="C9004" s="8" t="s">
        <v>39</v>
      </c>
      <c r="D9004" s="9" t="str">
        <f>HYPERLINK("https://otsuka-europe-crm.veevavault.com/ui/#object/approved_document__v/V5O00000000R009", "AM2M - PSIQUIATRIA - Guía manejo práctico AM2M")</f>
        <v>AM2M - PSIQUIATRIA - Guía manejo práctico AM2M</v>
      </c>
      <c r="E9004" s="10" t="str">
        <f>HYPERLINK("https://otsuka-europe-crm.veevavault.com/ui/#object/sent_email__v/VBL00000003H334", "SE-001448747")</f>
        <v>SE-001448747</v>
      </c>
      <c r="F9004" s="11"/>
      <c r="G9004" s="12">
        <v>0</v>
      </c>
      <c r="H9004" s="12">
        <v>0</v>
      </c>
      <c r="I9004" s="12">
        <v>0</v>
      </c>
      <c r="J9004" s="11"/>
      <c r="K9004" s="12">
        <v>0</v>
      </c>
      <c r="L9004" s="10" t="str">
        <f>HYPERLINK("https://otsuka-europe-crm.veevavault.com/ui/#object/approved_document__v/V5O00000000R009", "AM2M - PSIQUIATRIA - Guía manejo práctico AM2M")</f>
        <v>AM2M - PSIQUIATRIA - Guía manejo práctico AM2M</v>
      </c>
      <c r="M9004" s="10" t="str">
        <f>HYPERLINK("mailto:iortega@crm.otsuka-europe.com", "iortega@crm.otsuka-europe.com")</f>
        <v>iortega@crm.otsuka-europe.com</v>
      </c>
      <c r="N9004" s="13">
        <v>46234.438807870371</v>
      </c>
      <c r="O9004" s="14" t="str">
        <f>HYPERLINK("https://otsuka-europe-crm.veevavault.com/ui/#object/email_activity__v/V8C00000004G317", "EN-002110367")</f>
        <v>EN-002110367</v>
      </c>
    </row>
    <row r="9005" spans="1:15" ht="48" x14ac:dyDescent="0.2">
      <c r="A9005" s="7" t="str">
        <f>HYPERLINK("https://otsuka-europe-crm.veevavault.com/ui/#object/account__v/V4TZ06G6O71T7NQ", "NURIA PLANET NIELSEN")</f>
        <v>NURIA PLANET NIELSEN</v>
      </c>
      <c r="B9005" s="7" t="str">
        <f>HYPERLINK("https://otsuka-europe-crm.veevavault.com/ui/#object/vcountry__v/VENZ000004SONF5", "ES")</f>
        <v>ES</v>
      </c>
      <c r="C9005" s="8" t="s">
        <v>39</v>
      </c>
      <c r="D9005" s="9" t="str">
        <f>HYPERLINK("https://otsuka-europe-crm.veevavault.com/ui/#object/approved_document__v/V5O00000000R009", "AM2M - PSIQUIATRIA - Guía manejo práctico AM2M")</f>
        <v>AM2M - PSIQUIATRIA - Guía manejo práctico AM2M</v>
      </c>
      <c r="E9005" s="10" t="str">
        <f>HYPERLINK("https://otsuka-europe-crm.veevavault.com/ui/#object/sent_email__v/VBL00000003H335", "SE-001448748")</f>
        <v>SE-001448748</v>
      </c>
      <c r="F9005" s="11"/>
      <c r="G9005" s="12">
        <v>0</v>
      </c>
      <c r="H9005" s="12">
        <v>0</v>
      </c>
      <c r="I9005" s="12">
        <v>0</v>
      </c>
      <c r="J9005" s="11"/>
      <c r="K9005" s="12">
        <v>0</v>
      </c>
      <c r="L9005" s="10" t="str">
        <f>HYPERLINK("https://otsuka-europe-crm.veevavault.com/ui/#object/approved_document__v/V5O00000000R009", "AM2M - PSIQUIATRIA - Guía manejo práctico AM2M")</f>
        <v>AM2M - PSIQUIATRIA - Guía manejo práctico AM2M</v>
      </c>
      <c r="M9005" s="10" t="str">
        <f>HYPERLINK("mailto:iortega@crm.otsuka-europe.com", "iortega@crm.otsuka-europe.com")</f>
        <v>iortega@crm.otsuka-europe.com</v>
      </c>
      <c r="N9005" s="13">
        <v>46234.438807870371</v>
      </c>
      <c r="O9005" s="14" t="str">
        <f>HYPERLINK("https://otsuka-europe-crm.veevavault.com/ui/#object/email_activity__v/V8C00000004G331", "EN-002110381")</f>
        <v>EN-002110381</v>
      </c>
    </row>
    <row r="9006" spans="1:15" ht="48" x14ac:dyDescent="0.2">
      <c r="A9006" s="7" t="str">
        <f>HYPERLINK("https://otsuka-europe-crm.veevavault.com/ui/#object/account__v/V4TZ06G6O7VZIW5", "NORA ZABALETA IBARBIA")</f>
        <v>NORA ZABALETA IBARBIA</v>
      </c>
      <c r="B9006" s="7" t="str">
        <f>HYPERLINK("https://otsuka-europe-crm.veevavault.com/ui/#object/vcountry__v/VENZ000004SONF5", "ES")</f>
        <v>ES</v>
      </c>
      <c r="C9006" s="8" t="s">
        <v>39</v>
      </c>
      <c r="D9006" s="9" t="str">
        <f>HYPERLINK("https://otsuka-europe-crm.veevavault.com/ui/#object/approved_document__v/V5O00000000R009", "AM2M - PSIQUIATRIA - Guía manejo práctico AM2M")</f>
        <v>AM2M - PSIQUIATRIA - Guía manejo práctico AM2M</v>
      </c>
      <c r="E9006" s="10" t="str">
        <f>HYPERLINK("https://otsuka-europe-crm.veevavault.com/ui/#object/sent_email__v/VBL00000003H336", "SE-001448749")</f>
        <v>SE-001448749</v>
      </c>
      <c r="F9006" s="11"/>
      <c r="G9006" s="12">
        <v>0</v>
      </c>
      <c r="H9006" s="12">
        <v>0</v>
      </c>
      <c r="I9006" s="12">
        <v>0</v>
      </c>
      <c r="J9006" s="11"/>
      <c r="K9006" s="12">
        <v>0</v>
      </c>
      <c r="L9006" s="10" t="str">
        <f>HYPERLINK("https://otsuka-europe-crm.veevavault.com/ui/#object/approved_document__v/V5O00000000R009", "AM2M - PSIQUIATRIA - Guía manejo práctico AM2M")</f>
        <v>AM2M - PSIQUIATRIA - Guía manejo práctico AM2M</v>
      </c>
      <c r="M9006" s="10" t="str">
        <f>HYPERLINK("mailto:iortega@crm.otsuka-europe.com", "iortega@crm.otsuka-europe.com")</f>
        <v>iortega@crm.otsuka-europe.com</v>
      </c>
      <c r="N9006" s="13">
        <v>46234.438807870371</v>
      </c>
      <c r="O9006" s="14" t="str">
        <f>HYPERLINK("https://otsuka-europe-crm.veevavault.com/ui/#object/email_activity__v/V8C00000004G321", "EN-002110371")</f>
        <v>EN-002110371</v>
      </c>
    </row>
    <row r="9007" spans="1:15" ht="16" x14ac:dyDescent="0.2">
      <c r="A9007" s="18" t="str">
        <f>HYPERLINK("https://otsuka-europe-crm.veevavault.com/ui/#object/account__v/V4TZ025E85N817C", "OTTO JOSE SILGADO LA NEVE")</f>
        <v>OTTO JOSE SILGADO LA NEVE</v>
      </c>
      <c r="B9007" s="18" t="str">
        <f>HYPERLINK("https://otsuka-europe-crm.veevavault.com/ui/#object/vcountry__v/VENZ000004SONF5", "ES")</f>
        <v>ES</v>
      </c>
      <c r="C9007" s="20" t="s">
        <v>39</v>
      </c>
      <c r="D9007" s="21" t="str">
        <f>HYPERLINK("https://otsuka-europe-crm.veevavault.com/ui/#object/approved_document__v/V5O00000000R009", "AM2M - PSIQUIATRIA - Guía manejo práctico AM2M")</f>
        <v>AM2M - PSIQUIATRIA - Guía manejo práctico AM2M</v>
      </c>
      <c r="E9007" s="22" t="str">
        <f>HYPERLINK("https://otsuka-europe-crm.veevavault.com/ui/#object/sent_email__v/VBL00000003H337", "SE-001448750")</f>
        <v>SE-001448750</v>
      </c>
      <c r="F9007" s="25">
        <v>46234.620983796296</v>
      </c>
      <c r="G9007" s="24">
        <v>1</v>
      </c>
      <c r="H9007" s="24">
        <v>1</v>
      </c>
      <c r="I9007" s="24">
        <v>0</v>
      </c>
      <c r="J9007" s="23"/>
      <c r="K9007" s="24">
        <v>0</v>
      </c>
      <c r="L9007" s="22" t="str">
        <f>HYPERLINK("https://otsuka-europe-crm.veevavault.com/ui/#object/approved_document__v/V5O00000000R009", "AM2M - PSIQUIATRIA - Guía manejo práctico AM2M")</f>
        <v>AM2M - PSIQUIATRIA - Guía manejo práctico AM2M</v>
      </c>
      <c r="M9007" s="22" t="str">
        <f>HYPERLINK("mailto:iortega@crm.otsuka-europe.com", "iortega@crm.otsuka-europe.com")</f>
        <v>iortega@crm.otsuka-europe.com</v>
      </c>
      <c r="N9007" s="25">
        <v>46234.438807870371</v>
      </c>
      <c r="O9007" s="14" t="str">
        <f>HYPERLINK("https://otsuka-europe-crm.veevavault.com/ui/#object/email_activity__v/V8C00000004G344", "EN-002110394")</f>
        <v>EN-002110394</v>
      </c>
    </row>
    <row r="9008" spans="1:15" ht="16" x14ac:dyDescent="0.2">
      <c r="A9008" s="19"/>
      <c r="B9008" s="19"/>
      <c r="C9008" s="19"/>
      <c r="D9008" s="19"/>
      <c r="E9008" s="19"/>
      <c r="F9008" s="19"/>
      <c r="G9008" s="19"/>
      <c r="H9008" s="19"/>
      <c r="I9008" s="19"/>
      <c r="J9008" s="19"/>
      <c r="K9008" s="19"/>
      <c r="L9008" s="19"/>
      <c r="M9008" s="19"/>
      <c r="N9008" s="19"/>
      <c r="O9008" s="14" t="str">
        <f>HYPERLINK("https://otsuka-europe-crm.veevavault.com/ui/#object/email_activity__v/V8C00000004G595", "EN-002110784")</f>
        <v>EN-002110784</v>
      </c>
    </row>
    <row r="9009" spans="1:15" ht="16" x14ac:dyDescent="0.2">
      <c r="A9009" s="18" t="str">
        <f>HYPERLINK("https://otsuka-europe-crm.veevavault.com/ui/#object/account__v/V4TZ06G6O71T99U", "MILAGROSA BLANCA TAMAYO")</f>
        <v>MILAGROSA BLANCA TAMAYO</v>
      </c>
      <c r="B9009" s="18" t="str">
        <f>HYPERLINK("https://otsuka-europe-crm.veevavault.com/ui/#object/vcountry__v/VENZ000004SONF5", "ES")</f>
        <v>ES</v>
      </c>
      <c r="C9009" s="20" t="s">
        <v>39</v>
      </c>
      <c r="D9009" s="21" t="str">
        <f>HYPERLINK("https://otsuka-europe-crm.veevavault.com/ui/#object/approved_document__v/V5O00000000R009", "AM2M - PSIQUIATRIA - Guía manejo práctico AM2M")</f>
        <v>AM2M - PSIQUIATRIA - Guía manejo práctico AM2M</v>
      </c>
      <c r="E9009" s="22" t="str">
        <f>HYPERLINK("https://otsuka-europe-crm.veevavault.com/ui/#object/sent_email__v/VBL00000003H338", "SE-001448751")</f>
        <v>SE-001448751</v>
      </c>
      <c r="F9009" s="25">
        <v>46234.500717592593</v>
      </c>
      <c r="G9009" s="24">
        <v>1</v>
      </c>
      <c r="H9009" s="24">
        <v>3</v>
      </c>
      <c r="I9009" s="24">
        <v>0</v>
      </c>
      <c r="J9009" s="23"/>
      <c r="K9009" s="24">
        <v>0</v>
      </c>
      <c r="L9009" s="22" t="str">
        <f>HYPERLINK("https://otsuka-europe-crm.veevavault.com/ui/#object/approved_document__v/V5O00000000R009", "AM2M - PSIQUIATRIA - Guía manejo práctico AM2M")</f>
        <v>AM2M - PSIQUIATRIA - Guía manejo práctico AM2M</v>
      </c>
      <c r="M9009" s="22" t="str">
        <f>HYPERLINK("mailto:iortega@crm.otsuka-europe.com", "iortega@crm.otsuka-europe.com")</f>
        <v>iortega@crm.otsuka-europe.com</v>
      </c>
      <c r="N9009" s="25">
        <v>46234.438807870371</v>
      </c>
      <c r="O9009" s="14" t="str">
        <f>HYPERLINK("https://otsuka-europe-crm.veevavault.com/ui/#object/email_activity__v/V8C00000004F272", "EN-002110460")</f>
        <v>EN-002110460</v>
      </c>
    </row>
    <row r="9010" spans="1:15" ht="16" x14ac:dyDescent="0.2">
      <c r="A9010" s="26"/>
      <c r="B9010" s="26"/>
      <c r="C9010" s="26"/>
      <c r="D9010" s="26"/>
      <c r="E9010" s="26"/>
      <c r="F9010" s="26"/>
      <c r="G9010" s="26"/>
      <c r="H9010" s="26"/>
      <c r="I9010" s="26"/>
      <c r="J9010" s="26"/>
      <c r="K9010" s="26"/>
      <c r="L9010" s="26"/>
      <c r="M9010" s="26"/>
      <c r="N9010" s="26"/>
      <c r="O9010" s="14" t="str">
        <f>HYPERLINK("https://otsuka-europe-crm.veevavault.com/ui/#object/email_activity__v/V8C00000004F370", "EN-002110697")</f>
        <v>EN-002110697</v>
      </c>
    </row>
    <row r="9011" spans="1:15" ht="16" x14ac:dyDescent="0.2">
      <c r="A9011" s="26"/>
      <c r="B9011" s="26"/>
      <c r="C9011" s="26"/>
      <c r="D9011" s="26"/>
      <c r="E9011" s="26"/>
      <c r="F9011" s="26"/>
      <c r="G9011" s="26"/>
      <c r="H9011" s="26"/>
      <c r="I9011" s="26"/>
      <c r="J9011" s="26"/>
      <c r="K9011" s="26"/>
      <c r="L9011" s="26"/>
      <c r="M9011" s="26"/>
      <c r="N9011" s="26"/>
      <c r="O9011" s="14" t="str">
        <f>HYPERLINK("https://otsuka-europe-crm.veevavault.com/ui/#object/email_activity__v/V8C00000004G343", "EN-002110393")</f>
        <v>EN-002110393</v>
      </c>
    </row>
    <row r="9012" spans="1:15" ht="16" x14ac:dyDescent="0.2">
      <c r="A9012" s="19"/>
      <c r="B9012" s="19"/>
      <c r="C9012" s="19"/>
      <c r="D9012" s="19"/>
      <c r="E9012" s="19"/>
      <c r="F9012" s="19"/>
      <c r="G9012" s="19"/>
      <c r="H9012" s="19"/>
      <c r="I9012" s="19"/>
      <c r="J9012" s="19"/>
      <c r="K9012" s="19"/>
      <c r="L9012" s="19"/>
      <c r="M9012" s="19"/>
      <c r="N9012" s="19"/>
      <c r="O9012" s="14" t="str">
        <f>HYPERLINK("https://otsuka-europe-crm.veevavault.com/ui/#object/email_activity__v/V8C00000004G403", "EN-002110461")</f>
        <v>EN-002110461</v>
      </c>
    </row>
    <row r="9013" spans="1:15" ht="48" x14ac:dyDescent="0.2">
      <c r="A9013" s="7" t="str">
        <f>HYPERLINK("https://otsuka-europe-crm.veevavault.com/ui/#object/account__v/V4TZ06G6O71UQS7", "OLGA MARTINEZ PIERA")</f>
        <v>OLGA MARTINEZ PIERA</v>
      </c>
      <c r="B9013" s="7" t="str">
        <f>HYPERLINK("https://otsuka-europe-crm.veevavault.com/ui/#object/vcountry__v/VENZ000004SONF5", "ES")</f>
        <v>ES</v>
      </c>
      <c r="C9013" s="8" t="s">
        <v>39</v>
      </c>
      <c r="D9013" s="9" t="str">
        <f>HYPERLINK("https://otsuka-europe-crm.veevavault.com/ui/#object/approved_document__v/V5O00000000R009", "AM2M - PSIQUIATRIA - Guía manejo práctico AM2M")</f>
        <v>AM2M - PSIQUIATRIA - Guía manejo práctico AM2M</v>
      </c>
      <c r="E9013" s="10" t="str">
        <f>HYPERLINK("https://otsuka-europe-crm.veevavault.com/ui/#object/sent_email__v/VBL00000003H339", "SE-001448752")</f>
        <v>SE-001448752</v>
      </c>
      <c r="F9013" s="11"/>
      <c r="G9013" s="12">
        <v>0</v>
      </c>
      <c r="H9013" s="12">
        <v>0</v>
      </c>
      <c r="I9013" s="12">
        <v>0</v>
      </c>
      <c r="J9013" s="11"/>
      <c r="K9013" s="12">
        <v>0</v>
      </c>
      <c r="L9013" s="10" t="str">
        <f>HYPERLINK("https://otsuka-europe-crm.veevavault.com/ui/#object/approved_document__v/V5O00000000R009", "AM2M - PSIQUIATRIA - Guía manejo práctico AM2M")</f>
        <v>AM2M - PSIQUIATRIA - Guía manejo práctico AM2M</v>
      </c>
      <c r="M9013" s="10" t="str">
        <f>HYPERLINK("mailto:iortega@crm.otsuka-europe.com", "iortega@crm.otsuka-europe.com")</f>
        <v>iortega@crm.otsuka-europe.com</v>
      </c>
      <c r="N9013" s="13">
        <v>46234.438807870371</v>
      </c>
      <c r="O9013" s="14" t="str">
        <f>HYPERLINK("https://otsuka-europe-crm.veevavault.com/ui/#object/email_activity__v/V8C00000004G312", "EN-002110362")</f>
        <v>EN-002110362</v>
      </c>
    </row>
    <row r="9014" spans="1:15" ht="16" x14ac:dyDescent="0.2">
      <c r="A9014" s="18" t="str">
        <f>HYPERLINK("https://otsuka-europe-crm.veevavault.com/ui/#object/account__v/V4TZ06G6O71WMH5", "ROSAURA LORENA CAMARGO MOSCOTE")</f>
        <v>ROSAURA LORENA CAMARGO MOSCOTE</v>
      </c>
      <c r="B9014" s="18" t="str">
        <f>HYPERLINK("https://otsuka-europe-crm.veevavault.com/ui/#object/vcountry__v/VENZ000004SONF5", "ES")</f>
        <v>ES</v>
      </c>
      <c r="C9014" s="20" t="s">
        <v>39</v>
      </c>
      <c r="D9014" s="21" t="str">
        <f>HYPERLINK("https://otsuka-europe-crm.veevavault.com/ui/#object/approved_document__v/V5O00000000R009", "AM2M - PSIQUIATRIA - Guía manejo práctico AM2M")</f>
        <v>AM2M - PSIQUIATRIA - Guía manejo práctico AM2M</v>
      </c>
      <c r="E9014" s="22" t="str">
        <f>HYPERLINK("https://otsuka-europe-crm.veevavault.com/ui/#object/sent_email__v/VBL00000003G117", "SE-001448753")</f>
        <v>SE-001448753</v>
      </c>
      <c r="F9014" s="23"/>
      <c r="G9014" s="24">
        <v>0</v>
      </c>
      <c r="H9014" s="24">
        <v>0</v>
      </c>
      <c r="I9014" s="24">
        <v>0</v>
      </c>
      <c r="J9014" s="23"/>
      <c r="K9014" s="24">
        <v>0</v>
      </c>
      <c r="L9014" s="22" t="str">
        <f>HYPERLINK("https://otsuka-europe-crm.veevavault.com/ui/#object/approved_document__v/V5O00000000R009", "AM2M - PSIQUIATRIA - Guía manejo práctico AM2M")</f>
        <v>AM2M - PSIQUIATRIA - Guía manejo práctico AM2M</v>
      </c>
      <c r="M9014" s="22" t="str">
        <f>HYPERLINK("mailto:iortega@crm.otsuka-europe.com", "iortega@crm.otsuka-europe.com")</f>
        <v>iortega@crm.otsuka-europe.com</v>
      </c>
      <c r="N9014" s="25">
        <v>46234.440185185187</v>
      </c>
      <c r="O9014" s="14" t="str">
        <f>HYPERLINK("https://otsuka-europe-crm.veevavault.com/ui/#object/email_activity__v/V8C00000004G383", "EN-002110433")</f>
        <v>EN-002110433</v>
      </c>
    </row>
    <row r="9015" spans="1:15" ht="16" x14ac:dyDescent="0.2">
      <c r="A9015" s="19"/>
      <c r="B9015" s="19"/>
      <c r="C9015" s="19"/>
      <c r="D9015" s="19"/>
      <c r="E9015" s="19"/>
      <c r="F9015" s="19"/>
      <c r="G9015" s="19"/>
      <c r="H9015" s="19"/>
      <c r="I9015" s="19"/>
      <c r="J9015" s="19"/>
      <c r="K9015" s="19"/>
      <c r="L9015" s="19"/>
      <c r="M9015" s="19"/>
      <c r="N9015" s="19"/>
      <c r="O9015" s="14" t="str">
        <f>HYPERLINK("https://otsuka-europe-crm.veevavault.com/ui/#object/email_activity__v/V8C00000004H229", "EN-002111338")</f>
        <v>EN-002111338</v>
      </c>
    </row>
    <row r="9016" spans="1:15" ht="16" x14ac:dyDescent="0.2">
      <c r="A9016" s="18" t="str">
        <f>HYPERLINK("https://otsuka-europe-crm.veevavault.com/ui/#object/account__v/V4TZ06G6O71TC8A", "ROBERTO SANCHEZ GONZALEZ")</f>
        <v>ROBERTO SANCHEZ GONZALEZ</v>
      </c>
      <c r="B9016" s="18" t="str">
        <f>HYPERLINK("https://otsuka-europe-crm.veevavault.com/ui/#object/vcountry__v/VENZ000004SONF5", "ES")</f>
        <v>ES</v>
      </c>
      <c r="C9016" s="20" t="s">
        <v>39</v>
      </c>
      <c r="D9016" s="21" t="str">
        <f>HYPERLINK("https://otsuka-europe-crm.veevavault.com/ui/#object/approved_document__v/V5O00000000R009", "AM2M - PSIQUIATRIA - Guía manejo práctico AM2M")</f>
        <v>AM2M - PSIQUIATRIA - Guía manejo práctico AM2M</v>
      </c>
      <c r="E9016" s="22" t="str">
        <f>HYPERLINK("https://otsuka-europe-crm.veevavault.com/ui/#object/sent_email__v/VBL00000003G118", "SE-001448754")</f>
        <v>SE-001448754</v>
      </c>
      <c r="F9016" s="25">
        <v>46234.448078703703</v>
      </c>
      <c r="G9016" s="24">
        <v>1</v>
      </c>
      <c r="H9016" s="24">
        <v>5</v>
      </c>
      <c r="I9016" s="24">
        <v>0</v>
      </c>
      <c r="J9016" s="23"/>
      <c r="K9016" s="24">
        <v>0</v>
      </c>
      <c r="L9016" s="22" t="str">
        <f>HYPERLINK("https://otsuka-europe-crm.veevavault.com/ui/#object/approved_document__v/V5O00000000R009", "AM2M - PSIQUIATRIA - Guía manejo práctico AM2M")</f>
        <v>AM2M - PSIQUIATRIA - Guía manejo práctico AM2M</v>
      </c>
      <c r="M9016" s="22" t="str">
        <f>HYPERLINK("mailto:iortega@crm.otsuka-europe.com", "iortega@crm.otsuka-europe.com")</f>
        <v>iortega@crm.otsuka-europe.com</v>
      </c>
      <c r="N9016" s="25">
        <v>46234.440185185187</v>
      </c>
      <c r="O9016" s="14" t="str">
        <f>HYPERLINK("https://otsuka-europe-crm.veevavault.com/ui/#object/email_activity__v/V8C00000004F267", "EN-002110451")</f>
        <v>EN-002110451</v>
      </c>
    </row>
    <row r="9017" spans="1:15" ht="16" x14ac:dyDescent="0.2">
      <c r="A9017" s="26"/>
      <c r="B9017" s="26"/>
      <c r="C9017" s="26"/>
      <c r="D9017" s="26"/>
      <c r="E9017" s="26"/>
      <c r="F9017" s="26"/>
      <c r="G9017" s="26"/>
      <c r="H9017" s="26"/>
      <c r="I9017" s="26"/>
      <c r="J9017" s="26"/>
      <c r="K9017" s="26"/>
      <c r="L9017" s="26"/>
      <c r="M9017" s="26"/>
      <c r="N9017" s="26"/>
      <c r="O9017" s="14" t="str">
        <f>HYPERLINK("https://otsuka-europe-crm.veevavault.com/ui/#object/email_activity__v/V8C00000004F268", "EN-002110452")</f>
        <v>EN-002110452</v>
      </c>
    </row>
    <row r="9018" spans="1:15" ht="16" x14ac:dyDescent="0.2">
      <c r="A9018" s="26"/>
      <c r="B9018" s="26"/>
      <c r="C9018" s="26"/>
      <c r="D9018" s="26"/>
      <c r="E9018" s="26"/>
      <c r="F9018" s="26"/>
      <c r="G9018" s="26"/>
      <c r="H9018" s="26"/>
      <c r="I9018" s="26"/>
      <c r="J9018" s="26"/>
      <c r="K9018" s="26"/>
      <c r="L9018" s="26"/>
      <c r="M9018" s="26"/>
      <c r="N9018" s="26"/>
      <c r="O9018" s="14" t="str">
        <f>HYPERLINK("https://otsuka-europe-crm.veevavault.com/ui/#object/email_activity__v/V8C00000004G376", "EN-002110426")</f>
        <v>EN-002110426</v>
      </c>
    </row>
    <row r="9019" spans="1:15" ht="16" x14ac:dyDescent="0.2">
      <c r="A9019" s="26"/>
      <c r="B9019" s="26"/>
      <c r="C9019" s="26"/>
      <c r="D9019" s="26"/>
      <c r="E9019" s="26"/>
      <c r="F9019" s="26"/>
      <c r="G9019" s="26"/>
      <c r="H9019" s="26"/>
      <c r="I9019" s="26"/>
      <c r="J9019" s="26"/>
      <c r="K9019" s="26"/>
      <c r="L9019" s="26"/>
      <c r="M9019" s="26"/>
      <c r="N9019" s="26"/>
      <c r="O9019" s="14" t="str">
        <f>HYPERLINK("https://otsuka-europe-crm.veevavault.com/ui/#object/email_activity__v/V8C00000004G395", "EN-002110447")</f>
        <v>EN-002110447</v>
      </c>
    </row>
    <row r="9020" spans="1:15" ht="16" x14ac:dyDescent="0.2">
      <c r="A9020" s="26"/>
      <c r="B9020" s="26"/>
      <c r="C9020" s="26"/>
      <c r="D9020" s="26"/>
      <c r="E9020" s="26"/>
      <c r="F9020" s="26"/>
      <c r="G9020" s="26"/>
      <c r="H9020" s="26"/>
      <c r="I9020" s="26"/>
      <c r="J9020" s="26"/>
      <c r="K9020" s="26"/>
      <c r="L9020" s="26"/>
      <c r="M9020" s="26"/>
      <c r="N9020" s="26"/>
      <c r="O9020" s="14" t="str">
        <f>HYPERLINK("https://otsuka-europe-crm.veevavault.com/ui/#object/email_activity__v/V8C00000004G396", "EN-002110448")</f>
        <v>EN-002110448</v>
      </c>
    </row>
    <row r="9021" spans="1:15" ht="16" x14ac:dyDescent="0.2">
      <c r="A9021" s="19"/>
      <c r="B9021" s="19"/>
      <c r="C9021" s="19"/>
      <c r="D9021" s="19"/>
      <c r="E9021" s="19"/>
      <c r="F9021" s="19"/>
      <c r="G9021" s="19"/>
      <c r="H9021" s="19"/>
      <c r="I9021" s="19"/>
      <c r="J9021" s="19"/>
      <c r="K9021" s="19"/>
      <c r="L9021" s="19"/>
      <c r="M9021" s="19"/>
      <c r="N9021" s="19"/>
      <c r="O9021" s="14" t="str">
        <f>HYPERLINK("https://otsuka-europe-crm.veevavault.com/ui/#object/email_activity__v/V8C00000004G398", "EN-002110450")</f>
        <v>EN-002110450</v>
      </c>
    </row>
    <row r="9022" spans="1:15" ht="48" x14ac:dyDescent="0.2">
      <c r="A9022" s="7" t="str">
        <f>HYPERLINK("https://otsuka-europe-crm.veevavault.com/ui/#object/account__v/V4TZ04ASGBC86NP", "SARAI VILLA HOZ")</f>
        <v>SARAI VILLA HOZ</v>
      </c>
      <c r="B9022" s="7" t="str">
        <f>HYPERLINK("https://otsuka-europe-crm.veevavault.com/ui/#object/vcountry__v/VENZ000004SONF5", "ES")</f>
        <v>ES</v>
      </c>
      <c r="C9022" s="8" t="s">
        <v>39</v>
      </c>
      <c r="D9022" s="9" t="str">
        <f>HYPERLINK("https://otsuka-europe-crm.veevavault.com/ui/#object/approved_document__v/V5O00000000R009", "AM2M - PSIQUIATRIA - Guía manejo práctico AM2M")</f>
        <v>AM2M - PSIQUIATRIA - Guía manejo práctico AM2M</v>
      </c>
      <c r="E9022" s="10" t="str">
        <f>HYPERLINK("https://otsuka-europe-crm.veevavault.com/ui/#object/sent_email__v/VBL00000003G119", "SE-001448755")</f>
        <v>SE-001448755</v>
      </c>
      <c r="F9022" s="11"/>
      <c r="G9022" s="12">
        <v>0</v>
      </c>
      <c r="H9022" s="12">
        <v>0</v>
      </c>
      <c r="I9022" s="12">
        <v>0</v>
      </c>
      <c r="J9022" s="11"/>
      <c r="K9022" s="12">
        <v>0</v>
      </c>
      <c r="L9022" s="10" t="str">
        <f>HYPERLINK("https://otsuka-europe-crm.veevavault.com/ui/#object/approved_document__v/V5O00000000R009", "AM2M - PSIQUIATRIA - Guía manejo práctico AM2M")</f>
        <v>AM2M - PSIQUIATRIA - Guía manejo práctico AM2M</v>
      </c>
      <c r="M9022" s="10" t="str">
        <f>HYPERLINK("mailto:iortega@crm.otsuka-europe.com", "iortega@crm.otsuka-europe.com")</f>
        <v>iortega@crm.otsuka-europe.com</v>
      </c>
      <c r="N9022" s="13">
        <v>46234.440185185187</v>
      </c>
      <c r="O9022" s="14" t="str">
        <f>HYPERLINK("https://otsuka-europe-crm.veevavault.com/ui/#object/email_activity__v/V8C00000004G378", "EN-002110428")</f>
        <v>EN-002110428</v>
      </c>
    </row>
    <row r="9023" spans="1:15" ht="48" x14ac:dyDescent="0.2">
      <c r="A9023" s="7" t="str">
        <f>HYPERLINK("https://otsuka-europe-crm.veevavault.com/ui/#object/account__v/V4TZ06G6O71T9HZ", "SALVADOR CARBONELL BASSO")</f>
        <v>SALVADOR CARBONELL BASSO</v>
      </c>
      <c r="B9023" s="7" t="str">
        <f>HYPERLINK("https://otsuka-europe-crm.veevavault.com/ui/#object/vcountry__v/VENZ000004SONF5", "ES")</f>
        <v>ES</v>
      </c>
      <c r="C9023" s="8" t="s">
        <v>39</v>
      </c>
      <c r="D9023" s="9" t="str">
        <f>HYPERLINK("https://otsuka-europe-crm.veevavault.com/ui/#object/approved_document__v/V5O00000000R009", "AM2M - PSIQUIATRIA - Guía manejo práctico AM2M")</f>
        <v>AM2M - PSIQUIATRIA - Guía manejo práctico AM2M</v>
      </c>
      <c r="E9023" s="10" t="str">
        <f>HYPERLINK("https://otsuka-europe-crm.veevavault.com/ui/#object/sent_email__v/VBL00000003G120", "SE-001448756")</f>
        <v>SE-001448756</v>
      </c>
      <c r="F9023" s="11"/>
      <c r="G9023" s="12">
        <v>0</v>
      </c>
      <c r="H9023" s="12">
        <v>0</v>
      </c>
      <c r="I9023" s="12">
        <v>0</v>
      </c>
      <c r="J9023" s="11"/>
      <c r="K9023" s="12">
        <v>0</v>
      </c>
      <c r="L9023" s="10" t="str">
        <f>HYPERLINK("https://otsuka-europe-crm.veevavault.com/ui/#object/approved_document__v/V5O00000000R009", "AM2M - PSIQUIATRIA - Guía manejo práctico AM2M")</f>
        <v>AM2M - PSIQUIATRIA - Guía manejo práctico AM2M</v>
      </c>
      <c r="M9023" s="10" t="str">
        <f>HYPERLINK("mailto:iortega@crm.otsuka-europe.com", "iortega@crm.otsuka-europe.com")</f>
        <v>iortega@crm.otsuka-europe.com</v>
      </c>
      <c r="N9023" s="13">
        <v>46234.440185185187</v>
      </c>
      <c r="O9023" s="14" t="str">
        <f>HYPERLINK("https://otsuka-europe-crm.veevavault.com/ui/#object/email_activity__v/V8C00000004G354", "EN-002110404")</f>
        <v>EN-002110404</v>
      </c>
    </row>
    <row r="9024" spans="1:15" ht="16" x14ac:dyDescent="0.2">
      <c r="A9024" s="18" t="str">
        <f>HYPERLINK("https://otsuka-europe-crm.veevavault.com/ui/#object/account__v/V4TZ06G6O71TYH8", "YELENA MARIN SANCHEZ")</f>
        <v>YELENA MARIN SANCHEZ</v>
      </c>
      <c r="B9024" s="18" t="str">
        <f>HYPERLINK("https://otsuka-europe-crm.veevavault.com/ui/#object/vcountry__v/VENZ000004SONF5", "ES")</f>
        <v>ES</v>
      </c>
      <c r="C9024" s="20" t="s">
        <v>39</v>
      </c>
      <c r="D9024" s="21" t="str">
        <f>HYPERLINK("https://otsuka-europe-crm.veevavault.com/ui/#object/approved_document__v/V5O00000000R009", "AM2M - PSIQUIATRIA - Guía manejo práctico AM2M")</f>
        <v>AM2M - PSIQUIATRIA - Guía manejo práctico AM2M</v>
      </c>
      <c r="E9024" s="22" t="str">
        <f>HYPERLINK("https://otsuka-europe-crm.veevavault.com/ui/#object/sent_email__v/VBL00000003G121", "SE-001448757")</f>
        <v>SE-001448757</v>
      </c>
      <c r="F9024" s="25">
        <v>46234.443101851852</v>
      </c>
      <c r="G9024" s="24">
        <v>1</v>
      </c>
      <c r="H9024" s="24">
        <v>1</v>
      </c>
      <c r="I9024" s="24">
        <v>0</v>
      </c>
      <c r="J9024" s="23"/>
      <c r="K9024" s="24">
        <v>0</v>
      </c>
      <c r="L9024" s="22" t="str">
        <f>HYPERLINK("https://otsuka-europe-crm.veevavault.com/ui/#object/approved_document__v/V5O00000000R009", "AM2M - PSIQUIATRIA - Guía manejo práctico AM2M")</f>
        <v>AM2M - PSIQUIATRIA - Guía manejo práctico AM2M</v>
      </c>
      <c r="M9024" s="22" t="str">
        <f>HYPERLINK("mailto:iortega@crm.otsuka-europe.com", "iortega@crm.otsuka-europe.com")</f>
        <v>iortega@crm.otsuka-europe.com</v>
      </c>
      <c r="N9024" s="25">
        <v>46234.440185185187</v>
      </c>
      <c r="O9024" s="14" t="str">
        <f>HYPERLINK("https://otsuka-europe-crm.veevavault.com/ui/#object/email_activity__v/V8C00000004G375", "EN-002110425")</f>
        <v>EN-002110425</v>
      </c>
    </row>
    <row r="9025" spans="1:15" ht="16" x14ac:dyDescent="0.2">
      <c r="A9025" s="19"/>
      <c r="B9025" s="19"/>
      <c r="C9025" s="19"/>
      <c r="D9025" s="19"/>
      <c r="E9025" s="19"/>
      <c r="F9025" s="19"/>
      <c r="G9025" s="19"/>
      <c r="H9025" s="19"/>
      <c r="I9025" s="19"/>
      <c r="J9025" s="19"/>
      <c r="K9025" s="19"/>
      <c r="L9025" s="19"/>
      <c r="M9025" s="19"/>
      <c r="N9025" s="19"/>
      <c r="O9025" s="14" t="str">
        <f>HYPERLINK("https://otsuka-europe-crm.veevavault.com/ui/#object/email_activity__v/V8C00000004G391", "EN-002110442")</f>
        <v>EN-002110442</v>
      </c>
    </row>
    <row r="9026" spans="1:15" ht="48" x14ac:dyDescent="0.2">
      <c r="A9026" s="7" t="str">
        <f>HYPERLINK("https://otsuka-europe-crm.veevavault.com/ui/#object/account__v/V4TZ04ASG8MW465", "XAVIER IBORRA VICHETO")</f>
        <v>XAVIER IBORRA VICHETO</v>
      </c>
      <c r="B9026" s="7" t="str">
        <f>HYPERLINK("https://otsuka-europe-crm.veevavault.com/ui/#object/vcountry__v/VENZ000004SONF5", "ES")</f>
        <v>ES</v>
      </c>
      <c r="C9026" s="8" t="s">
        <v>39</v>
      </c>
      <c r="D9026" s="9" t="str">
        <f>HYPERLINK("https://otsuka-europe-crm.veevavault.com/ui/#object/approved_document__v/V5O00000000R009", "AM2M - PSIQUIATRIA - Guía manejo práctico AM2M")</f>
        <v>AM2M - PSIQUIATRIA - Guía manejo práctico AM2M</v>
      </c>
      <c r="E9026" s="10" t="str">
        <f>HYPERLINK("https://otsuka-europe-crm.veevavault.com/ui/#object/sent_email__v/VBL00000003G122", "SE-001448758")</f>
        <v>SE-001448758</v>
      </c>
      <c r="F9026" s="11"/>
      <c r="G9026" s="12">
        <v>0</v>
      </c>
      <c r="H9026" s="12">
        <v>0</v>
      </c>
      <c r="I9026" s="12">
        <v>0</v>
      </c>
      <c r="J9026" s="11"/>
      <c r="K9026" s="12">
        <v>0</v>
      </c>
      <c r="L9026" s="10" t="str">
        <f>HYPERLINK("https://otsuka-europe-crm.veevavault.com/ui/#object/approved_document__v/V5O00000000R009", "AM2M - PSIQUIATRIA - Guía manejo práctico AM2M")</f>
        <v>AM2M - PSIQUIATRIA - Guía manejo práctico AM2M</v>
      </c>
      <c r="M9026" s="10" t="str">
        <f>HYPERLINK("mailto:iortega@crm.otsuka-europe.com", "iortega@crm.otsuka-europe.com")</f>
        <v>iortega@crm.otsuka-europe.com</v>
      </c>
      <c r="N9026" s="13">
        <v>46234.440185185187</v>
      </c>
      <c r="O9026" s="14" t="str">
        <f>HYPERLINK("https://otsuka-europe-crm.veevavault.com/ui/#object/email_activity__v/V8C00000004G382", "EN-002110432")</f>
        <v>EN-002110432</v>
      </c>
    </row>
    <row r="9027" spans="1:15" ht="16" x14ac:dyDescent="0.2">
      <c r="A9027" s="18" t="str">
        <f>HYPERLINK("https://otsuka-europe-crm.veevavault.com/ui/#object/account__v/V4TZ06G6O71TJY6", "SUSANNA D'AMBROSIO")</f>
        <v>SUSANNA D'AMBROSIO</v>
      </c>
      <c r="B9027" s="18" t="str">
        <f>HYPERLINK("https://otsuka-europe-crm.veevavault.com/ui/#object/vcountry__v/VENZ000004SONF5", "ES")</f>
        <v>ES</v>
      </c>
      <c r="C9027" s="20" t="s">
        <v>39</v>
      </c>
      <c r="D9027" s="21" t="str">
        <f>HYPERLINK("https://otsuka-europe-crm.veevavault.com/ui/#object/approved_document__v/V5O00000000R009", "AM2M - PSIQUIATRIA - Guía manejo práctico AM2M")</f>
        <v>AM2M - PSIQUIATRIA - Guía manejo práctico AM2M</v>
      </c>
      <c r="E9027" s="22" t="str">
        <f>HYPERLINK("https://otsuka-europe-crm.veevavault.com/ui/#object/sent_email__v/VBL00000003G123", "SE-001448759")</f>
        <v>SE-001448759</v>
      </c>
      <c r="F9027" s="25">
        <v>46236.292847222219</v>
      </c>
      <c r="G9027" s="24">
        <v>1</v>
      </c>
      <c r="H9027" s="24">
        <v>1</v>
      </c>
      <c r="I9027" s="24">
        <v>0</v>
      </c>
      <c r="J9027" s="23"/>
      <c r="K9027" s="24">
        <v>0</v>
      </c>
      <c r="L9027" s="22" t="str">
        <f>HYPERLINK("https://otsuka-europe-crm.veevavault.com/ui/#object/approved_document__v/V5O00000000R009", "AM2M - PSIQUIATRIA - Guía manejo práctico AM2M")</f>
        <v>AM2M - PSIQUIATRIA - Guía manejo práctico AM2M</v>
      </c>
      <c r="M9027" s="22" t="str">
        <f>HYPERLINK("mailto:iortega@crm.otsuka-europe.com", "iortega@crm.otsuka-europe.com")</f>
        <v>iortega@crm.otsuka-europe.com</v>
      </c>
      <c r="N9027" s="25">
        <v>46234.440185185187</v>
      </c>
      <c r="O9027" s="14" t="str">
        <f>HYPERLINK("https://otsuka-europe-crm.veevavault.com/ui/#object/email_activity__v/V8C00000004G374", "EN-002110424")</f>
        <v>EN-002110424</v>
      </c>
    </row>
    <row r="9028" spans="1:15" ht="16" x14ac:dyDescent="0.2">
      <c r="A9028" s="19"/>
      <c r="B9028" s="19"/>
      <c r="C9028" s="19"/>
      <c r="D9028" s="19"/>
      <c r="E9028" s="19"/>
      <c r="F9028" s="19"/>
      <c r="G9028" s="19"/>
      <c r="H9028" s="19"/>
      <c r="I9028" s="19"/>
      <c r="J9028" s="19"/>
      <c r="K9028" s="19"/>
      <c r="L9028" s="19"/>
      <c r="M9028" s="19"/>
      <c r="N9028" s="19"/>
      <c r="O9028" s="14" t="str">
        <f>HYPERLINK("https://otsuka-europe-crm.veevavault.com/ui/#object/email_activity__v/V8C00000004H079", "EN-002111085")</f>
        <v>EN-002111085</v>
      </c>
    </row>
    <row r="9029" spans="1:15" ht="48" x14ac:dyDescent="0.2">
      <c r="A9029" s="7" t="str">
        <f>HYPERLINK("https://otsuka-europe-crm.veevavault.com/ui/#object/account__v/V4TZ06G6O71T76F", "ROSA BLANCA SAURAS QUETCUTI")</f>
        <v>ROSA BLANCA SAURAS QUETCUTI</v>
      </c>
      <c r="B9029" s="7" t="str">
        <f>HYPERLINK("https://otsuka-europe-crm.veevavault.com/ui/#object/vcountry__v/VENZ000004SONF5", "ES")</f>
        <v>ES</v>
      </c>
      <c r="C9029" s="8" t="s">
        <v>39</v>
      </c>
      <c r="D9029" s="9" t="str">
        <f>HYPERLINK("https://otsuka-europe-crm.veevavault.com/ui/#object/approved_document__v/V5O00000000R009", "AM2M - PSIQUIATRIA - Guía manejo práctico AM2M")</f>
        <v>AM2M - PSIQUIATRIA - Guía manejo práctico AM2M</v>
      </c>
      <c r="E9029" s="10" t="str">
        <f>HYPERLINK("https://otsuka-europe-crm.veevavault.com/ui/#object/sent_email__v/VBL00000003G124", "SE-001448760")</f>
        <v>SE-001448760</v>
      </c>
      <c r="F9029" s="11"/>
      <c r="G9029" s="12">
        <v>0</v>
      </c>
      <c r="H9029" s="12">
        <v>0</v>
      </c>
      <c r="I9029" s="12">
        <v>0</v>
      </c>
      <c r="J9029" s="11"/>
      <c r="K9029" s="12">
        <v>0</v>
      </c>
      <c r="L9029" s="10" t="str">
        <f>HYPERLINK("https://otsuka-europe-crm.veevavault.com/ui/#object/approved_document__v/V5O00000000R009", "AM2M - PSIQUIATRIA - Guía manejo práctico AM2M")</f>
        <v>AM2M - PSIQUIATRIA - Guía manejo práctico AM2M</v>
      </c>
      <c r="M9029" s="10" t="str">
        <f>HYPERLINK("mailto:iortega@crm.otsuka-europe.com", "iortega@crm.otsuka-europe.com")</f>
        <v>iortega@crm.otsuka-europe.com</v>
      </c>
      <c r="N9029" s="13">
        <v>46234.440196759257</v>
      </c>
      <c r="O9029" s="14" t="str">
        <f>HYPERLINK("https://otsuka-europe-crm.veevavault.com/ui/#object/email_activity__v/V8C00000004G364", "EN-002110414")</f>
        <v>EN-002110414</v>
      </c>
    </row>
    <row r="9030" spans="1:15" ht="16" x14ac:dyDescent="0.2">
      <c r="A9030" s="18" t="str">
        <f>HYPERLINK("https://otsuka-europe-crm.veevavault.com/ui/#object/account__v/V4TZ025E82SAEA2", "SUSANA SABATER GOMEZ-LUS")</f>
        <v>SUSANA SABATER GOMEZ-LUS</v>
      </c>
      <c r="B9030" s="18" t="str">
        <f>HYPERLINK("https://otsuka-europe-crm.veevavault.com/ui/#object/vcountry__v/VENZ000004SONF5", "ES")</f>
        <v>ES</v>
      </c>
      <c r="C9030" s="20" t="s">
        <v>39</v>
      </c>
      <c r="D9030" s="21" t="str">
        <f>HYPERLINK("https://otsuka-europe-crm.veevavault.com/ui/#object/approved_document__v/V5O00000000R009", "AM2M - PSIQUIATRIA - Guía manejo práctico AM2M")</f>
        <v>AM2M - PSIQUIATRIA - Guía manejo práctico AM2M</v>
      </c>
      <c r="E9030" s="22" t="str">
        <f>HYPERLINK("https://otsuka-europe-crm.veevavault.com/ui/#object/sent_email__v/VBL00000003G125", "SE-001448761")</f>
        <v>SE-001448761</v>
      </c>
      <c r="F9030" s="23"/>
      <c r="G9030" s="24">
        <v>0</v>
      </c>
      <c r="H9030" s="24">
        <v>0</v>
      </c>
      <c r="I9030" s="24">
        <v>0</v>
      </c>
      <c r="J9030" s="23"/>
      <c r="K9030" s="24">
        <v>0</v>
      </c>
      <c r="L9030" s="22" t="str">
        <f>HYPERLINK("https://otsuka-europe-crm.veevavault.com/ui/#object/approved_document__v/V5O00000000R009", "AM2M - PSIQUIATRIA - Guía manejo práctico AM2M")</f>
        <v>AM2M - PSIQUIATRIA - Guía manejo práctico AM2M</v>
      </c>
      <c r="M9030" s="22" t="str">
        <f>HYPERLINK("mailto:iortega@crm.otsuka-europe.com", "iortega@crm.otsuka-europe.com")</f>
        <v>iortega@crm.otsuka-europe.com</v>
      </c>
      <c r="N9030" s="25">
        <v>46234.440208333333</v>
      </c>
      <c r="O9030" s="14" t="str">
        <f>HYPERLINK("https://otsuka-europe-crm.veevavault.com/ui/#object/email_activity__v/V8C00000004G359", "EN-002110409")</f>
        <v>EN-002110409</v>
      </c>
    </row>
    <row r="9031" spans="1:15" ht="16" x14ac:dyDescent="0.2">
      <c r="A9031" s="19"/>
      <c r="B9031" s="19"/>
      <c r="C9031" s="19"/>
      <c r="D9031" s="19"/>
      <c r="E9031" s="19"/>
      <c r="F9031" s="19"/>
      <c r="G9031" s="19"/>
      <c r="H9031" s="19"/>
      <c r="I9031" s="19"/>
      <c r="J9031" s="19"/>
      <c r="K9031" s="19"/>
      <c r="L9031" s="19"/>
      <c r="M9031" s="19"/>
      <c r="N9031" s="19"/>
      <c r="O9031" s="14" t="str">
        <f>HYPERLINK("https://otsuka-europe-crm.veevavault.com/ui/#object/email_activity__v/V8C00000004G394", "EN-002110446")</f>
        <v>EN-002110446</v>
      </c>
    </row>
    <row r="9032" spans="1:15" ht="48" x14ac:dyDescent="0.2">
      <c r="A9032" s="7" t="str">
        <f>HYPERLINK("https://otsuka-europe-crm.veevavault.com/ui/#object/account__v/V4TZ06G6OCET01Q", "ROBI NAVARRO SERRANO")</f>
        <v>ROBI NAVARRO SERRANO</v>
      </c>
      <c r="B9032" s="7" t="str">
        <f>HYPERLINK("https://otsuka-europe-crm.veevavault.com/ui/#object/vcountry__v/VENZ000004SONF5", "ES")</f>
        <v>ES</v>
      </c>
      <c r="C9032" s="8" t="s">
        <v>39</v>
      </c>
      <c r="D9032" s="9" t="str">
        <f>HYPERLINK("https://otsuka-europe-crm.veevavault.com/ui/#object/approved_document__v/V5O00000000R009", "AM2M - PSIQUIATRIA - Guía manejo práctico AM2M")</f>
        <v>AM2M - PSIQUIATRIA - Guía manejo práctico AM2M</v>
      </c>
      <c r="E9032" s="10" t="str">
        <f>HYPERLINK("https://otsuka-europe-crm.veevavault.com/ui/#object/sent_email__v/VBL00000003G126", "SE-001448762")</f>
        <v>SE-001448762</v>
      </c>
      <c r="F9032" s="11"/>
      <c r="G9032" s="12">
        <v>0</v>
      </c>
      <c r="H9032" s="12">
        <v>0</v>
      </c>
      <c r="I9032" s="12">
        <v>0</v>
      </c>
      <c r="J9032" s="11"/>
      <c r="K9032" s="12">
        <v>0</v>
      </c>
      <c r="L9032" s="10" t="str">
        <f>HYPERLINK("https://otsuka-europe-crm.veevavault.com/ui/#object/approved_document__v/V5O00000000R009", "AM2M - PSIQUIATRIA - Guía manejo práctico AM2M")</f>
        <v>AM2M - PSIQUIATRIA - Guía manejo práctico AM2M</v>
      </c>
      <c r="M9032" s="10" t="str">
        <f>HYPERLINK("mailto:iortega@crm.otsuka-europe.com", "iortega@crm.otsuka-europe.com")</f>
        <v>iortega@crm.otsuka-europe.com</v>
      </c>
      <c r="N9032" s="13">
        <v>46234.440208333333</v>
      </c>
      <c r="O9032" s="14" t="str">
        <f>HYPERLINK("https://otsuka-europe-crm.veevavault.com/ui/#object/email_activity__v/V8C00000004G381", "EN-002110431")</f>
        <v>EN-002110431</v>
      </c>
    </row>
    <row r="9033" spans="1:15" ht="48" x14ac:dyDescent="0.2">
      <c r="A9033" s="7" t="str">
        <f>HYPERLINK("https://otsuka-europe-crm.veevavault.com/ui/#object/account__v/V4T00000001Q165", "SARA PEREZ DAVILA")</f>
        <v>SARA PEREZ DAVILA</v>
      </c>
      <c r="B9033" s="7" t="str">
        <f>HYPERLINK("https://otsuka-europe-crm.veevavault.com/ui/#object/vcountry__v/VENZ000004SONF5", "ES")</f>
        <v>ES</v>
      </c>
      <c r="C9033" s="8" t="s">
        <v>39</v>
      </c>
      <c r="D9033" s="9" t="str">
        <f>HYPERLINK("https://otsuka-europe-crm.veevavault.com/ui/#object/approved_document__v/V5O00000000R009", "AM2M - PSIQUIATRIA - Guía manejo práctico AM2M")</f>
        <v>AM2M - PSIQUIATRIA - Guía manejo práctico AM2M</v>
      </c>
      <c r="E9033" s="10" t="str">
        <f>HYPERLINK("https://otsuka-europe-crm.veevavault.com/ui/#object/sent_email__v/VBL00000003G127", "SE-001448763")</f>
        <v>SE-001448763</v>
      </c>
      <c r="F9033" s="11"/>
      <c r="G9033" s="12">
        <v>0</v>
      </c>
      <c r="H9033" s="12">
        <v>0</v>
      </c>
      <c r="I9033" s="12">
        <v>0</v>
      </c>
      <c r="J9033" s="11"/>
      <c r="K9033" s="12">
        <v>0</v>
      </c>
      <c r="L9033" s="10" t="str">
        <f>HYPERLINK("https://otsuka-europe-crm.veevavault.com/ui/#object/approved_document__v/V5O00000000R009", "AM2M - PSIQUIATRIA - Guía manejo práctico AM2M")</f>
        <v>AM2M - PSIQUIATRIA - Guía manejo práctico AM2M</v>
      </c>
      <c r="M9033" s="10" t="str">
        <f>HYPERLINK("mailto:iortega@crm.otsuka-europe.com", "iortega@crm.otsuka-europe.com")</f>
        <v>iortega@crm.otsuka-europe.com</v>
      </c>
      <c r="N9033" s="13">
        <v>46234.440266203703</v>
      </c>
      <c r="O9033" s="14" t="str">
        <f>HYPERLINK("https://otsuka-europe-crm.veevavault.com/ui/#object/email_activity__v/V8C00000004G366", "EN-002110416")</f>
        <v>EN-002110416</v>
      </c>
    </row>
    <row r="9034" spans="1:15" ht="48" x14ac:dyDescent="0.2">
      <c r="A9034" s="7" t="str">
        <f>HYPERLINK("https://otsuka-europe-crm.veevavault.com/ui/#object/account__v/V4TZ025E82G24KU", "SERGI ABAD GARCIA")</f>
        <v>SERGI ABAD GARCIA</v>
      </c>
      <c r="B9034" s="7" t="str">
        <f>HYPERLINK("https://otsuka-europe-crm.veevavault.com/ui/#object/vcountry__v/VENZ000004SONF5", "ES")</f>
        <v>ES</v>
      </c>
      <c r="C9034" s="8" t="s">
        <v>39</v>
      </c>
      <c r="D9034" s="9" t="str">
        <f>HYPERLINK("https://otsuka-europe-crm.veevavault.com/ui/#object/approved_document__v/V5O00000000R009", "AM2M - PSIQUIATRIA - Guía manejo práctico AM2M")</f>
        <v>AM2M - PSIQUIATRIA - Guía manejo práctico AM2M</v>
      </c>
      <c r="E9034" s="10" t="str">
        <f>HYPERLINK("https://otsuka-europe-crm.veevavault.com/ui/#object/sent_email__v/VBL00000003G128", "SE-001448764")</f>
        <v>SE-001448764</v>
      </c>
      <c r="F9034" s="11"/>
      <c r="G9034" s="12">
        <v>0</v>
      </c>
      <c r="H9034" s="12">
        <v>0</v>
      </c>
      <c r="I9034" s="12">
        <v>0</v>
      </c>
      <c r="J9034" s="11"/>
      <c r="K9034" s="12">
        <v>0</v>
      </c>
      <c r="L9034" s="10" t="str">
        <f>HYPERLINK("https://otsuka-europe-crm.veevavault.com/ui/#object/approved_document__v/V5O00000000R009", "AM2M - PSIQUIATRIA - Guía manejo práctico AM2M")</f>
        <v>AM2M - PSIQUIATRIA - Guía manejo práctico AM2M</v>
      </c>
      <c r="M9034" s="10" t="str">
        <f>HYPERLINK("mailto:iortega@crm.otsuka-europe.com", "iortega@crm.otsuka-europe.com")</f>
        <v>iortega@crm.otsuka-europe.com</v>
      </c>
      <c r="N9034" s="13">
        <v>46234.440254629626</v>
      </c>
      <c r="O9034" s="14" t="str">
        <f>HYPERLINK("https://otsuka-europe-crm.veevavault.com/ui/#object/email_activity__v/V8C00000004G365", "EN-002110415")</f>
        <v>EN-002110415</v>
      </c>
    </row>
    <row r="9035" spans="1:15" ht="48" x14ac:dyDescent="0.2">
      <c r="A9035" s="7" t="str">
        <f>HYPERLINK("https://otsuka-europe-crm.veevavault.com/ui/#object/account__v/V4TZ06G6O71T7OQ", "SARA VIEIRA DA COSTA")</f>
        <v>SARA VIEIRA DA COSTA</v>
      </c>
      <c r="B9035" s="7" t="str">
        <f>HYPERLINK("https://otsuka-europe-crm.veevavault.com/ui/#object/vcountry__v/VENZ000004SONF5", "ES")</f>
        <v>ES</v>
      </c>
      <c r="C9035" s="8" t="s">
        <v>39</v>
      </c>
      <c r="D9035" s="9" t="str">
        <f>HYPERLINK("https://otsuka-europe-crm.veevavault.com/ui/#object/approved_document__v/V5O00000000R009", "AM2M - PSIQUIATRIA - Guía manejo práctico AM2M")</f>
        <v>AM2M - PSIQUIATRIA - Guía manejo práctico AM2M</v>
      </c>
      <c r="E9035" s="10" t="str">
        <f>HYPERLINK("https://otsuka-europe-crm.veevavault.com/ui/#object/sent_email__v/VBL00000003G129", "SE-001448765")</f>
        <v>SE-001448765</v>
      </c>
      <c r="F9035" s="11"/>
      <c r="G9035" s="12">
        <v>0</v>
      </c>
      <c r="H9035" s="12">
        <v>0</v>
      </c>
      <c r="I9035" s="12">
        <v>0</v>
      </c>
      <c r="J9035" s="11"/>
      <c r="K9035" s="12">
        <v>0</v>
      </c>
      <c r="L9035" s="10" t="str">
        <f>HYPERLINK("https://otsuka-europe-crm.veevavault.com/ui/#object/approved_document__v/V5O00000000R009", "AM2M - PSIQUIATRIA - Guía manejo práctico AM2M")</f>
        <v>AM2M - PSIQUIATRIA - Guía manejo práctico AM2M</v>
      </c>
      <c r="M9035" s="10" t="str">
        <f>HYPERLINK("mailto:iortega@crm.otsuka-europe.com", "iortega@crm.otsuka-europe.com")</f>
        <v>iortega@crm.otsuka-europe.com</v>
      </c>
      <c r="N9035" s="13">
        <v>46234.440208333333</v>
      </c>
      <c r="O9035" s="14" t="str">
        <f>HYPERLINK("https://otsuka-europe-crm.veevavault.com/ui/#object/email_activity__v/V8C00000004G355", "EN-002110405")</f>
        <v>EN-002110405</v>
      </c>
    </row>
    <row r="9036" spans="1:15" ht="16" x14ac:dyDescent="0.2">
      <c r="A9036" s="18" t="str">
        <f>HYPERLINK("https://otsuka-europe-crm.veevavault.com/ui/#object/account__v/V4TZ06G6O71T7AA", "SANDRA CASTILLO MAGAÑA")</f>
        <v>SANDRA CASTILLO MAGAÑA</v>
      </c>
      <c r="B9036" s="18" t="str">
        <f>HYPERLINK("https://otsuka-europe-crm.veevavault.com/ui/#object/vcountry__v/VENZ000004SONF5", "ES")</f>
        <v>ES</v>
      </c>
      <c r="C9036" s="20" t="s">
        <v>39</v>
      </c>
      <c r="D9036" s="21" t="str">
        <f>HYPERLINK("https://otsuka-europe-crm.veevavault.com/ui/#object/approved_document__v/V5O00000000R009", "AM2M - PSIQUIATRIA - Guía manejo práctico AM2M")</f>
        <v>AM2M - PSIQUIATRIA - Guía manejo práctico AM2M</v>
      </c>
      <c r="E9036" s="22" t="str">
        <f>HYPERLINK("https://otsuka-europe-crm.veevavault.com/ui/#object/sent_email__v/VBL00000003G130", "SE-001448766")</f>
        <v>SE-001448766</v>
      </c>
      <c r="F9036" s="25">
        <v>46234.442314814813</v>
      </c>
      <c r="G9036" s="24">
        <v>1</v>
      </c>
      <c r="H9036" s="24">
        <v>1</v>
      </c>
      <c r="I9036" s="24">
        <v>1</v>
      </c>
      <c r="J9036" s="25">
        <v>46234.442314814813</v>
      </c>
      <c r="K9036" s="24">
        <v>1</v>
      </c>
      <c r="L9036" s="22" t="str">
        <f>HYPERLINK("https://otsuka-europe-crm.veevavault.com/ui/#object/approved_document__v/V5O00000000R009", "AM2M - PSIQUIATRIA - Guía manejo práctico AM2M")</f>
        <v>AM2M - PSIQUIATRIA - Guía manejo práctico AM2M</v>
      </c>
      <c r="M9036" s="22" t="str">
        <f>HYPERLINK("mailto:iortega@crm.otsuka-europe.com", "iortega@crm.otsuka-europe.com")</f>
        <v>iortega@crm.otsuka-europe.com</v>
      </c>
      <c r="N9036" s="25">
        <v>46234.440185185187</v>
      </c>
      <c r="O9036" s="14" t="str">
        <f>HYPERLINK("https://otsuka-europe-crm.veevavault.com/ui/#object/email_activity__v/V8C00000004G357", "EN-002110407")</f>
        <v>EN-002110407</v>
      </c>
    </row>
    <row r="9037" spans="1:15" ht="16" x14ac:dyDescent="0.2">
      <c r="A9037" s="26"/>
      <c r="B9037" s="26"/>
      <c r="C9037" s="26"/>
      <c r="D9037" s="26"/>
      <c r="E9037" s="26"/>
      <c r="F9037" s="26"/>
      <c r="G9037" s="26"/>
      <c r="H9037" s="26"/>
      <c r="I9037" s="26"/>
      <c r="J9037" s="26"/>
      <c r="K9037" s="26"/>
      <c r="L9037" s="26"/>
      <c r="M9037" s="26"/>
      <c r="N9037" s="26"/>
      <c r="O9037" s="14" t="str">
        <f>HYPERLINK("https://otsuka-europe-crm.veevavault.com/ui/#object/email_activity__v/V8C00000004G387", "EN-002110439")</f>
        <v>EN-002110439</v>
      </c>
    </row>
    <row r="9038" spans="1:15" ht="16" x14ac:dyDescent="0.2">
      <c r="A9038" s="26"/>
      <c r="B9038" s="26"/>
      <c r="C9038" s="26"/>
      <c r="D9038" s="26"/>
      <c r="E9038" s="26"/>
      <c r="F9038" s="26"/>
      <c r="G9038" s="26"/>
      <c r="H9038" s="26"/>
      <c r="I9038" s="26"/>
      <c r="J9038" s="26"/>
      <c r="K9038" s="26"/>
      <c r="L9038" s="26"/>
      <c r="M9038" s="26"/>
      <c r="N9038" s="26"/>
      <c r="O9038" s="14" t="str">
        <f>HYPERLINK("https://otsuka-europe-crm.veevavault.com/ui/#object/email_activity__v/V8C00000004G388", "EN-002110438")</f>
        <v>EN-002110438</v>
      </c>
    </row>
    <row r="9039" spans="1:15" ht="16" x14ac:dyDescent="0.2">
      <c r="A9039" s="19"/>
      <c r="B9039" s="19"/>
      <c r="C9039" s="19"/>
      <c r="D9039" s="19"/>
      <c r="E9039" s="19"/>
      <c r="F9039" s="19"/>
      <c r="G9039" s="19"/>
      <c r="H9039" s="19"/>
      <c r="I9039" s="19"/>
      <c r="J9039" s="19"/>
      <c r="K9039" s="19"/>
      <c r="L9039" s="19"/>
      <c r="M9039" s="19"/>
      <c r="N9039" s="19"/>
      <c r="O9039" s="14" t="str">
        <f>HYPERLINK("https://otsuka-europe-crm.veevavault.com/ui/#object/email_activity__v/V8C00000004G410", "EN-002110471")</f>
        <v>EN-002110471</v>
      </c>
    </row>
    <row r="9040" spans="1:15" ht="48" x14ac:dyDescent="0.2">
      <c r="A9040" s="7" t="str">
        <f>HYPERLINK("https://otsuka-europe-crm.veevavault.com/ui/#object/account__v/V4TZ06G6O71T7R0", "SENDOA QUIJADA MARTIN")</f>
        <v>SENDOA QUIJADA MARTIN</v>
      </c>
      <c r="B9040" s="7" t="str">
        <f>HYPERLINK("https://otsuka-europe-crm.veevavault.com/ui/#object/vcountry__v/VENZ000004SONF5", "ES")</f>
        <v>ES</v>
      </c>
      <c r="C9040" s="8" t="s">
        <v>39</v>
      </c>
      <c r="D9040" s="9" t="str">
        <f>HYPERLINK("https://otsuka-europe-crm.veevavault.com/ui/#object/approved_document__v/V5O00000000R009", "AM2M - PSIQUIATRIA - Guía manejo práctico AM2M")</f>
        <v>AM2M - PSIQUIATRIA - Guía manejo práctico AM2M</v>
      </c>
      <c r="E9040" s="10" t="str">
        <f>HYPERLINK("https://otsuka-europe-crm.veevavault.com/ui/#object/sent_email__v/VBL00000003G131", "SE-001448767")</f>
        <v>SE-001448767</v>
      </c>
      <c r="F9040" s="11"/>
      <c r="G9040" s="12">
        <v>0</v>
      </c>
      <c r="H9040" s="12">
        <v>0</v>
      </c>
      <c r="I9040" s="12">
        <v>0</v>
      </c>
      <c r="J9040" s="11"/>
      <c r="K9040" s="12">
        <v>0</v>
      </c>
      <c r="L9040" s="10" t="str">
        <f>HYPERLINK("https://otsuka-europe-crm.veevavault.com/ui/#object/approved_document__v/V5O00000000R009", "AM2M - PSIQUIATRIA - Guía manejo práctico AM2M")</f>
        <v>AM2M - PSIQUIATRIA - Guía manejo práctico AM2M</v>
      </c>
      <c r="M9040" s="10" t="str">
        <f>HYPERLINK("mailto:iortega@crm.otsuka-europe.com", "iortega@crm.otsuka-europe.com")</f>
        <v>iortega@crm.otsuka-europe.com</v>
      </c>
      <c r="N9040" s="13">
        <v>46234.440138888887</v>
      </c>
      <c r="O9040" s="14" t="str">
        <f>HYPERLINK("https://otsuka-europe-crm.veevavault.com/ui/#object/email_activity__v/V8C00000004G371", "EN-002110421")</f>
        <v>EN-002110421</v>
      </c>
    </row>
    <row r="9041" spans="1:15" ht="48" x14ac:dyDescent="0.2">
      <c r="A9041" s="7" t="str">
        <f>HYPERLINK("https://otsuka-europe-crm.veevavault.com/ui/#object/account__v/V4TZ06G6OB40QZB", "ROCIO RODRIGUEZ SEOANE")</f>
        <v>ROCIO RODRIGUEZ SEOANE</v>
      </c>
      <c r="B9041" s="7" t="str">
        <f>HYPERLINK("https://otsuka-europe-crm.veevavault.com/ui/#object/vcountry__v/VENZ000004SONF5", "ES")</f>
        <v>ES</v>
      </c>
      <c r="C9041" s="8" t="s">
        <v>39</v>
      </c>
      <c r="D9041" s="9" t="str">
        <f>HYPERLINK("https://otsuka-europe-crm.veevavault.com/ui/#object/approved_document__v/V5O00000000R009", "AM2M - PSIQUIATRIA - Guía manejo práctico AM2M")</f>
        <v>AM2M - PSIQUIATRIA - Guía manejo práctico AM2M</v>
      </c>
      <c r="E9041" s="10" t="str">
        <f>HYPERLINK("https://otsuka-europe-crm.veevavault.com/ui/#object/sent_email__v/VBL00000003G132", "SE-001448768")</f>
        <v>SE-001448768</v>
      </c>
      <c r="F9041" s="11"/>
      <c r="G9041" s="12">
        <v>0</v>
      </c>
      <c r="H9041" s="12">
        <v>0</v>
      </c>
      <c r="I9041" s="12">
        <v>0</v>
      </c>
      <c r="J9041" s="11"/>
      <c r="K9041" s="12">
        <v>0</v>
      </c>
      <c r="L9041" s="10" t="str">
        <f>HYPERLINK("https://otsuka-europe-crm.veevavault.com/ui/#object/approved_document__v/V5O00000000R009", "AM2M - PSIQUIATRIA - Guía manejo práctico AM2M")</f>
        <v>AM2M - PSIQUIATRIA - Guía manejo práctico AM2M</v>
      </c>
      <c r="M9041" s="10" t="str">
        <f>HYPERLINK("mailto:iortega@crm.otsuka-europe.com", "iortega@crm.otsuka-europe.com")</f>
        <v>iortega@crm.otsuka-europe.com</v>
      </c>
      <c r="N9041" s="13">
        <v>46234.440138888887</v>
      </c>
      <c r="O9041" s="14" t="str">
        <f>HYPERLINK("https://otsuka-europe-crm.veevavault.com/ui/#object/email_activity__v/V8C00000004G363", "EN-002110413")</f>
        <v>EN-002110413</v>
      </c>
    </row>
    <row r="9042" spans="1:15" ht="16" x14ac:dyDescent="0.2">
      <c r="A9042" s="18" t="str">
        <f>HYPERLINK("https://otsuka-europe-crm.veevavault.com/ui/#object/account__v/V4TZ06G6O71T9B9", "RICARDO BORDAS REIG")</f>
        <v>RICARDO BORDAS REIG</v>
      </c>
      <c r="B9042" s="18" t="str">
        <f>HYPERLINK("https://otsuka-europe-crm.veevavault.com/ui/#object/vcountry__v/VENZ000004SONF5", "ES")</f>
        <v>ES</v>
      </c>
      <c r="C9042" s="20" t="s">
        <v>39</v>
      </c>
      <c r="D9042" s="21" t="str">
        <f>HYPERLINK("https://otsuka-europe-crm.veevavault.com/ui/#object/approved_document__v/V5O00000000R009", "AM2M - PSIQUIATRIA - Guía manejo práctico AM2M")</f>
        <v>AM2M - PSIQUIATRIA - Guía manejo práctico AM2M</v>
      </c>
      <c r="E9042" s="22" t="str">
        <f>HYPERLINK("https://otsuka-europe-crm.veevavault.com/ui/#object/sent_email__v/VBL00000003G133", "SE-001448769")</f>
        <v>SE-001448769</v>
      </c>
      <c r="F9042" s="25">
        <v>46235.113900462966</v>
      </c>
      <c r="G9042" s="24">
        <v>1</v>
      </c>
      <c r="H9042" s="24">
        <v>1</v>
      </c>
      <c r="I9042" s="24">
        <v>0</v>
      </c>
      <c r="J9042" s="23"/>
      <c r="K9042" s="24">
        <v>0</v>
      </c>
      <c r="L9042" s="22" t="str">
        <f>HYPERLINK("https://otsuka-europe-crm.veevavault.com/ui/#object/approved_document__v/V5O00000000R009", "AM2M - PSIQUIATRIA - Guía manejo práctico AM2M")</f>
        <v>AM2M - PSIQUIATRIA - Guía manejo práctico AM2M</v>
      </c>
      <c r="M9042" s="22" t="str">
        <f>HYPERLINK("mailto:iortega@crm.otsuka-europe.com", "iortega@crm.otsuka-europe.com")</f>
        <v>iortega@crm.otsuka-europe.com</v>
      </c>
      <c r="N9042" s="25">
        <v>46234.440138888887</v>
      </c>
      <c r="O9042" s="14" t="str">
        <f>HYPERLINK("https://otsuka-europe-crm.veevavault.com/ui/#object/email_activity__v/V8C00000004G370", "EN-002110420")</f>
        <v>EN-002110420</v>
      </c>
    </row>
    <row r="9043" spans="1:15" ht="16" x14ac:dyDescent="0.2">
      <c r="A9043" s="19"/>
      <c r="B9043" s="19"/>
      <c r="C9043" s="19"/>
      <c r="D9043" s="19"/>
      <c r="E9043" s="19"/>
      <c r="F9043" s="19"/>
      <c r="G9043" s="19"/>
      <c r="H9043" s="19"/>
      <c r="I9043" s="19"/>
      <c r="J9043" s="19"/>
      <c r="K9043" s="19"/>
      <c r="L9043" s="19"/>
      <c r="M9043" s="19"/>
      <c r="N9043" s="19"/>
      <c r="O9043" s="14" t="str">
        <f>HYPERLINK("https://otsuka-europe-crm.veevavault.com/ui/#object/email_activity__v/V8C00000004I001", "EN-002110993")</f>
        <v>EN-002110993</v>
      </c>
    </row>
    <row r="9044" spans="1:15" ht="48" x14ac:dyDescent="0.2">
      <c r="A9044" s="7" t="str">
        <f>HYPERLINK("https://otsuka-europe-crm.veevavault.com/ui/#object/account__v/V4TZ06G6O71TBGT", "SILVIA OLLER CANET")</f>
        <v>SILVIA OLLER CANET</v>
      </c>
      <c r="B9044" s="7" t="str">
        <f>HYPERLINK("https://otsuka-europe-crm.veevavault.com/ui/#object/vcountry__v/VENZ000004SONF5", "ES")</f>
        <v>ES</v>
      </c>
      <c r="C9044" s="8" t="s">
        <v>39</v>
      </c>
      <c r="D9044" s="9" t="str">
        <f>HYPERLINK("https://otsuka-europe-crm.veevavault.com/ui/#object/approved_document__v/V5O00000000R009", "AM2M - PSIQUIATRIA - Guía manejo práctico AM2M")</f>
        <v>AM2M - PSIQUIATRIA - Guía manejo práctico AM2M</v>
      </c>
      <c r="E9044" s="10" t="str">
        <f>HYPERLINK("https://otsuka-europe-crm.veevavault.com/ui/#object/sent_email__v/VBL00000003G134", "SE-001448770")</f>
        <v>SE-001448770</v>
      </c>
      <c r="F9044" s="11"/>
      <c r="G9044" s="12">
        <v>0</v>
      </c>
      <c r="H9044" s="12">
        <v>0</v>
      </c>
      <c r="I9044" s="12">
        <v>0</v>
      </c>
      <c r="J9044" s="11"/>
      <c r="K9044" s="12">
        <v>0</v>
      </c>
      <c r="L9044" s="10" t="str">
        <f>HYPERLINK("https://otsuka-europe-crm.veevavault.com/ui/#object/approved_document__v/V5O00000000R009", "AM2M - PSIQUIATRIA - Guía manejo práctico AM2M")</f>
        <v>AM2M - PSIQUIATRIA - Guía manejo práctico AM2M</v>
      </c>
      <c r="M9044" s="10" t="str">
        <f>HYPERLINK("mailto:iortega@crm.otsuka-europe.com", "iortega@crm.otsuka-europe.com")</f>
        <v>iortega@crm.otsuka-europe.com</v>
      </c>
      <c r="N9044" s="13">
        <v>46234.440138888887</v>
      </c>
      <c r="O9044" s="14" t="str">
        <f>HYPERLINK("https://otsuka-europe-crm.veevavault.com/ui/#object/email_activity__v/V8C00000004G361", "EN-002110411")</f>
        <v>EN-002110411</v>
      </c>
    </row>
    <row r="9045" spans="1:15" ht="48" x14ac:dyDescent="0.2">
      <c r="A9045" s="7" t="str">
        <f>HYPERLINK("https://otsuka-europe-crm.veevavault.com/ui/#object/account__v/V4TZ06G6O71T77O", "TANIA MARTA BRAVO COLLAZO")</f>
        <v>TANIA MARTA BRAVO COLLAZO</v>
      </c>
      <c r="B9045" s="7" t="str">
        <f>HYPERLINK("https://otsuka-europe-crm.veevavault.com/ui/#object/vcountry__v/VENZ000004SONF5", "ES")</f>
        <v>ES</v>
      </c>
      <c r="C9045" s="8" t="s">
        <v>39</v>
      </c>
      <c r="D9045" s="9" t="str">
        <f>HYPERLINK("https://otsuka-europe-crm.veevavault.com/ui/#object/approved_document__v/V5O00000000R009", "AM2M - PSIQUIATRIA - Guía manejo práctico AM2M")</f>
        <v>AM2M - PSIQUIATRIA - Guía manejo práctico AM2M</v>
      </c>
      <c r="E9045" s="10" t="str">
        <f>HYPERLINK("https://otsuka-europe-crm.veevavault.com/ui/#object/sent_email__v/VBL00000003G135", "SE-001448771")</f>
        <v>SE-001448771</v>
      </c>
      <c r="F9045" s="11"/>
      <c r="G9045" s="12">
        <v>0</v>
      </c>
      <c r="H9045" s="12">
        <v>0</v>
      </c>
      <c r="I9045" s="12">
        <v>0</v>
      </c>
      <c r="J9045" s="11"/>
      <c r="K9045" s="12">
        <v>0</v>
      </c>
      <c r="L9045" s="10" t="str">
        <f>HYPERLINK("https://otsuka-europe-crm.veevavault.com/ui/#object/approved_document__v/V5O00000000R009", "AM2M - PSIQUIATRIA - Guía manejo práctico AM2M")</f>
        <v>AM2M - PSIQUIATRIA - Guía manejo práctico AM2M</v>
      </c>
      <c r="M9045" s="10" t="str">
        <f>HYPERLINK("mailto:iortega@crm.otsuka-europe.com", "iortega@crm.otsuka-europe.com")</f>
        <v>iortega@crm.otsuka-europe.com</v>
      </c>
      <c r="N9045" s="13">
        <v>46234.440138888887</v>
      </c>
      <c r="O9045" s="14" t="str">
        <f>HYPERLINK("https://otsuka-europe-crm.veevavault.com/ui/#object/email_activity__v/V8C00000004G362", "EN-002110412")</f>
        <v>EN-002110412</v>
      </c>
    </row>
    <row r="9046" spans="1:15" ht="16" x14ac:dyDescent="0.2">
      <c r="A9046" s="18" t="str">
        <f>HYPERLINK("https://otsuka-europe-crm.veevavault.com/ui/#object/account__v/V4TZ06G6O9665NS", "RICARD LLUIS ESTEVE VILA")</f>
        <v>RICARD LLUIS ESTEVE VILA</v>
      </c>
      <c r="B9046" s="18" t="str">
        <f>HYPERLINK("https://otsuka-europe-crm.veevavault.com/ui/#object/vcountry__v/VENZ000004SONF5", "ES")</f>
        <v>ES</v>
      </c>
      <c r="C9046" s="20" t="s">
        <v>39</v>
      </c>
      <c r="D9046" s="21" t="str">
        <f>HYPERLINK("https://otsuka-europe-crm.veevavault.com/ui/#object/approved_document__v/V5O00000000R009", "AM2M - PSIQUIATRIA - Guía manejo práctico AM2M")</f>
        <v>AM2M - PSIQUIATRIA - Guía manejo práctico AM2M</v>
      </c>
      <c r="E9046" s="22" t="str">
        <f>HYPERLINK("https://otsuka-europe-crm.veevavault.com/ui/#object/sent_email__v/VBL00000003G136", "SE-001448772")</f>
        <v>SE-001448772</v>
      </c>
      <c r="F9046" s="23"/>
      <c r="G9046" s="24">
        <v>0</v>
      </c>
      <c r="H9046" s="24">
        <v>0</v>
      </c>
      <c r="I9046" s="24">
        <v>0</v>
      </c>
      <c r="J9046" s="23"/>
      <c r="K9046" s="24">
        <v>0</v>
      </c>
      <c r="L9046" s="22" t="str">
        <f>HYPERLINK("https://otsuka-europe-crm.veevavault.com/ui/#object/approved_document__v/V5O00000000R009", "AM2M - PSIQUIATRIA - Guía manejo práctico AM2M")</f>
        <v>AM2M - PSIQUIATRIA - Guía manejo práctico AM2M</v>
      </c>
      <c r="M9046" s="22" t="str">
        <f>HYPERLINK("mailto:iortega@crm.otsuka-europe.com", "iortega@crm.otsuka-europe.com")</f>
        <v>iortega@crm.otsuka-europe.com</v>
      </c>
      <c r="N9046" s="25">
        <v>46234.440185185187</v>
      </c>
      <c r="O9046" s="14" t="str">
        <f>HYPERLINK("https://otsuka-europe-crm.veevavault.com/ui/#object/email_activity__v/V8C00000004G372", "EN-002110422")</f>
        <v>EN-002110422</v>
      </c>
    </row>
    <row r="9047" spans="1:15" ht="16" x14ac:dyDescent="0.2">
      <c r="A9047" s="19"/>
      <c r="B9047" s="19"/>
      <c r="C9047" s="19"/>
      <c r="D9047" s="19"/>
      <c r="E9047" s="19"/>
      <c r="F9047" s="19"/>
      <c r="G9047" s="19"/>
      <c r="H9047" s="19"/>
      <c r="I9047" s="19"/>
      <c r="J9047" s="19"/>
      <c r="K9047" s="19"/>
      <c r="L9047" s="19"/>
      <c r="M9047" s="19"/>
      <c r="N9047" s="19"/>
      <c r="O9047" s="14" t="str">
        <f>HYPERLINK("https://otsuka-europe-crm.veevavault.com/ui/#object/email_activity__v/V8C00000004G567", "EN-002110735")</f>
        <v>EN-002110735</v>
      </c>
    </row>
    <row r="9048" spans="1:15" ht="48" x14ac:dyDescent="0.2">
      <c r="A9048" s="7" t="str">
        <f>HYPERLINK("https://otsuka-europe-crm.veevavault.com/ui/#object/account__v/V4TZ06G6O71TBMR", "VICTOR PEREZ SOLA")</f>
        <v>VICTOR PEREZ SOLA</v>
      </c>
      <c r="B9048" s="7" t="str">
        <f t="shared" ref="B9048:B9054" si="347">HYPERLINK("https://otsuka-europe-crm.veevavault.com/ui/#object/vcountry__v/VENZ000004SONF5", "ES")</f>
        <v>ES</v>
      </c>
      <c r="C9048" s="8" t="s">
        <v>39</v>
      </c>
      <c r="D9048" s="9" t="str">
        <f t="shared" ref="D9048:D9054" si="348">HYPERLINK("https://otsuka-europe-crm.veevavault.com/ui/#object/approved_document__v/V5O00000000R009", "AM2M - PSIQUIATRIA - Guía manejo práctico AM2M")</f>
        <v>AM2M - PSIQUIATRIA - Guía manejo práctico AM2M</v>
      </c>
      <c r="E9048" s="10" t="str">
        <f>HYPERLINK("https://otsuka-europe-crm.veevavault.com/ui/#object/sent_email__v/VBL00000003G137", "SE-001448773")</f>
        <v>SE-001448773</v>
      </c>
      <c r="F9048" s="11"/>
      <c r="G9048" s="12">
        <v>0</v>
      </c>
      <c r="H9048" s="12">
        <v>0</v>
      </c>
      <c r="I9048" s="12">
        <v>0</v>
      </c>
      <c r="J9048" s="11"/>
      <c r="K9048" s="12">
        <v>0</v>
      </c>
      <c r="L9048" s="10" t="str">
        <f t="shared" ref="L9048:L9054" si="349">HYPERLINK("https://otsuka-europe-crm.veevavault.com/ui/#object/approved_document__v/V5O00000000R009", "AM2M - PSIQUIATRIA - Guía manejo práctico AM2M")</f>
        <v>AM2M - PSIQUIATRIA - Guía manejo práctico AM2M</v>
      </c>
      <c r="M9048" s="10" t="str">
        <f t="shared" ref="M9048:M9054" si="350">HYPERLINK("mailto:iortega@crm.otsuka-europe.com", "iortega@crm.otsuka-europe.com")</f>
        <v>iortega@crm.otsuka-europe.com</v>
      </c>
      <c r="N9048" s="13">
        <v>46234.440185185187</v>
      </c>
      <c r="O9048" s="14" t="str">
        <f>HYPERLINK("https://otsuka-europe-crm.veevavault.com/ui/#object/email_activity__v/V8C00000004G358", "EN-002110408")</f>
        <v>EN-002110408</v>
      </c>
    </row>
    <row r="9049" spans="1:15" ht="48" x14ac:dyDescent="0.2">
      <c r="A9049" s="7" t="str">
        <f>HYPERLINK("https://otsuka-europe-crm.veevavault.com/ui/#object/account__v/V4TZ06G6O71TBIM", "XIMENA ORTEGA BERLINGO")</f>
        <v>XIMENA ORTEGA BERLINGO</v>
      </c>
      <c r="B9049" s="7" t="str">
        <f t="shared" si="347"/>
        <v>ES</v>
      </c>
      <c r="C9049" s="8" t="s">
        <v>39</v>
      </c>
      <c r="D9049" s="9" t="str">
        <f t="shared" si="348"/>
        <v>AM2M - PSIQUIATRIA - Guía manejo práctico AM2M</v>
      </c>
      <c r="E9049" s="10" t="str">
        <f>HYPERLINK("https://otsuka-europe-crm.veevavault.com/ui/#object/sent_email__v/VBL00000003G138", "SE-001448774")</f>
        <v>SE-001448774</v>
      </c>
      <c r="F9049" s="11"/>
      <c r="G9049" s="12">
        <v>0</v>
      </c>
      <c r="H9049" s="12">
        <v>0</v>
      </c>
      <c r="I9049" s="12">
        <v>0</v>
      </c>
      <c r="J9049" s="11"/>
      <c r="K9049" s="12">
        <v>0</v>
      </c>
      <c r="L9049" s="10" t="str">
        <f t="shared" si="349"/>
        <v>AM2M - PSIQUIATRIA - Guía manejo práctico AM2M</v>
      </c>
      <c r="M9049" s="10" t="str">
        <f t="shared" si="350"/>
        <v>iortega@crm.otsuka-europe.com</v>
      </c>
      <c r="N9049" s="13">
        <v>46234.440185185187</v>
      </c>
      <c r="O9049" s="14" t="str">
        <f>HYPERLINK("https://otsuka-europe-crm.veevavault.com/ui/#object/email_activity__v/V8C00000004G373", "EN-002110423")</f>
        <v>EN-002110423</v>
      </c>
    </row>
    <row r="9050" spans="1:15" ht="48" x14ac:dyDescent="0.2">
      <c r="A9050" s="7" t="str">
        <f>HYPERLINK("https://otsuka-europe-crm.veevavault.com/ui/#object/account__v/V4TZ06G6O71T85A", "ROBERTO ESTEBAN SILLERO")</f>
        <v>ROBERTO ESTEBAN SILLERO</v>
      </c>
      <c r="B9050" s="7" t="str">
        <f t="shared" si="347"/>
        <v>ES</v>
      </c>
      <c r="C9050" s="8" t="s">
        <v>39</v>
      </c>
      <c r="D9050" s="9" t="str">
        <f t="shared" si="348"/>
        <v>AM2M - PSIQUIATRIA - Guía manejo práctico AM2M</v>
      </c>
      <c r="E9050" s="10" t="str">
        <f>HYPERLINK("https://otsuka-europe-crm.veevavault.com/ui/#object/sent_email__v/VBL00000003G139", "SE-001448775")</f>
        <v>SE-001448775</v>
      </c>
      <c r="F9050" s="11"/>
      <c r="G9050" s="12">
        <v>0</v>
      </c>
      <c r="H9050" s="12">
        <v>0</v>
      </c>
      <c r="I9050" s="12">
        <v>0</v>
      </c>
      <c r="J9050" s="11"/>
      <c r="K9050" s="12">
        <v>0</v>
      </c>
      <c r="L9050" s="10" t="str">
        <f t="shared" si="349"/>
        <v>AM2M - PSIQUIATRIA - Guía manejo práctico AM2M</v>
      </c>
      <c r="M9050" s="10" t="str">
        <f t="shared" si="350"/>
        <v>iortega@crm.otsuka-europe.com</v>
      </c>
      <c r="N9050" s="13">
        <v>46234.44023148148</v>
      </c>
      <c r="O9050" s="14" t="str">
        <f>HYPERLINK("https://otsuka-europe-crm.veevavault.com/ui/#object/email_activity__v/V8C00000004G368", "EN-002110418")</f>
        <v>EN-002110418</v>
      </c>
    </row>
    <row r="9051" spans="1:15" ht="48" x14ac:dyDescent="0.2">
      <c r="A9051" s="7" t="str">
        <f>HYPERLINK("https://otsuka-europe-crm.veevavault.com/ui/#object/account__v/V4TZ04ASG8MW44R", "XABIER ARRAZTIO GURTUBAY")</f>
        <v>XABIER ARRAZTIO GURTUBAY</v>
      </c>
      <c r="B9051" s="7" t="str">
        <f t="shared" si="347"/>
        <v>ES</v>
      </c>
      <c r="C9051" s="8" t="s">
        <v>39</v>
      </c>
      <c r="D9051" s="9" t="str">
        <f t="shared" si="348"/>
        <v>AM2M - PSIQUIATRIA - Guía manejo práctico AM2M</v>
      </c>
      <c r="E9051" s="10" t="str">
        <f>HYPERLINK("https://otsuka-europe-crm.veevavault.com/ui/#object/sent_email__v/VBL00000003G140", "SE-001448776")</f>
        <v>SE-001448776</v>
      </c>
      <c r="F9051" s="11"/>
      <c r="G9051" s="12">
        <v>0</v>
      </c>
      <c r="H9051" s="12">
        <v>0</v>
      </c>
      <c r="I9051" s="12">
        <v>0</v>
      </c>
      <c r="J9051" s="11"/>
      <c r="K9051" s="12">
        <v>0</v>
      </c>
      <c r="L9051" s="10" t="str">
        <f t="shared" si="349"/>
        <v>AM2M - PSIQUIATRIA - Guía manejo práctico AM2M</v>
      </c>
      <c r="M9051" s="10" t="str">
        <f t="shared" si="350"/>
        <v>iortega@crm.otsuka-europe.com</v>
      </c>
      <c r="N9051" s="13">
        <v>46234.440208333333</v>
      </c>
      <c r="O9051" s="14" t="str">
        <f>HYPERLINK("https://otsuka-europe-crm.veevavault.com/ui/#object/email_activity__v/V8C00000004G356", "EN-002110406")</f>
        <v>EN-002110406</v>
      </c>
    </row>
    <row r="9052" spans="1:15" ht="48" x14ac:dyDescent="0.2">
      <c r="A9052" s="7" t="str">
        <f>HYPERLINK("https://otsuka-europe-crm.veevavault.com/ui/#object/account__v/V4TZ06G6O71T9O9", "SANTIAGO DURAN-SINDREU TEROL")</f>
        <v>SANTIAGO DURAN-SINDREU TEROL</v>
      </c>
      <c r="B9052" s="7" t="str">
        <f t="shared" si="347"/>
        <v>ES</v>
      </c>
      <c r="C9052" s="8" t="s">
        <v>39</v>
      </c>
      <c r="D9052" s="9" t="str">
        <f t="shared" si="348"/>
        <v>AM2M - PSIQUIATRIA - Guía manejo práctico AM2M</v>
      </c>
      <c r="E9052" s="10" t="str">
        <f>HYPERLINK("https://otsuka-europe-crm.veevavault.com/ui/#object/sent_email__v/VBL00000003G141", "SE-001448777")</f>
        <v>SE-001448777</v>
      </c>
      <c r="F9052" s="11"/>
      <c r="G9052" s="12">
        <v>0</v>
      </c>
      <c r="H9052" s="12">
        <v>0</v>
      </c>
      <c r="I9052" s="12">
        <v>0</v>
      </c>
      <c r="J9052" s="11"/>
      <c r="K9052" s="12">
        <v>0</v>
      </c>
      <c r="L9052" s="10" t="str">
        <f t="shared" si="349"/>
        <v>AM2M - PSIQUIATRIA - Guía manejo práctico AM2M</v>
      </c>
      <c r="M9052" s="10" t="str">
        <f t="shared" si="350"/>
        <v>iortega@crm.otsuka-europe.com</v>
      </c>
      <c r="N9052" s="13">
        <v>46234.440208333333</v>
      </c>
      <c r="O9052" s="14" t="str">
        <f>HYPERLINK("https://otsuka-europe-crm.veevavault.com/ui/#object/email_activity__v/V8C00000004G380", "EN-002110430")</f>
        <v>EN-002110430</v>
      </c>
    </row>
    <row r="9053" spans="1:15" ht="48" x14ac:dyDescent="0.2">
      <c r="A9053" s="7" t="str">
        <f>HYPERLINK("https://otsuka-europe-crm.veevavault.com/ui/#object/account__v/V4TZ04ASG7NDD8E", "SARA GARCIA FERNANDEZ")</f>
        <v>SARA GARCIA FERNANDEZ</v>
      </c>
      <c r="B9053" s="7" t="str">
        <f t="shared" si="347"/>
        <v>ES</v>
      </c>
      <c r="C9053" s="8" t="s">
        <v>39</v>
      </c>
      <c r="D9053" s="9" t="str">
        <f t="shared" si="348"/>
        <v>AM2M - PSIQUIATRIA - Guía manejo práctico AM2M</v>
      </c>
      <c r="E9053" s="10" t="str">
        <f>HYPERLINK("https://otsuka-europe-crm.veevavault.com/ui/#object/sent_email__v/VBL00000003G142", "SE-001448778")</f>
        <v>SE-001448778</v>
      </c>
      <c r="F9053" s="11"/>
      <c r="G9053" s="12">
        <v>0</v>
      </c>
      <c r="H9053" s="12">
        <v>0</v>
      </c>
      <c r="I9053" s="12">
        <v>0</v>
      </c>
      <c r="J9053" s="11"/>
      <c r="K9053" s="12">
        <v>0</v>
      </c>
      <c r="L9053" s="10" t="str">
        <f t="shared" si="349"/>
        <v>AM2M - PSIQUIATRIA - Guía manejo práctico AM2M</v>
      </c>
      <c r="M9053" s="10" t="str">
        <f t="shared" si="350"/>
        <v>iortega@crm.otsuka-europe.com</v>
      </c>
      <c r="N9053" s="13">
        <v>46234.44021990741</v>
      </c>
      <c r="O9053" s="14" t="str">
        <f>HYPERLINK("https://otsuka-europe-crm.veevavault.com/ui/#object/email_activity__v/V8C00000004G367", "EN-002110417")</f>
        <v>EN-002110417</v>
      </c>
    </row>
    <row r="9054" spans="1:15" ht="16" x14ac:dyDescent="0.2">
      <c r="A9054" s="18" t="str">
        <f>HYPERLINK("https://otsuka-europe-crm.veevavault.com/ui/#object/account__v/V4TZ04ASG8MW4E0", "SAMUEL ANTONIO RODRIGUEZ SANTORO")</f>
        <v>SAMUEL ANTONIO RODRIGUEZ SANTORO</v>
      </c>
      <c r="B9054" s="18" t="str">
        <f t="shared" si="347"/>
        <v>ES</v>
      </c>
      <c r="C9054" s="20" t="s">
        <v>39</v>
      </c>
      <c r="D9054" s="21" t="str">
        <f t="shared" si="348"/>
        <v>AM2M - PSIQUIATRIA - Guía manejo práctico AM2M</v>
      </c>
      <c r="E9054" s="22" t="str">
        <f>HYPERLINK("https://otsuka-europe-crm.veevavault.com/ui/#object/sent_email__v/VBL00000003G143", "SE-001448779")</f>
        <v>SE-001448779</v>
      </c>
      <c r="F9054" s="25">
        <v>46239.365474537037</v>
      </c>
      <c r="G9054" s="24">
        <v>1</v>
      </c>
      <c r="H9054" s="24">
        <v>1</v>
      </c>
      <c r="I9054" s="24">
        <v>1</v>
      </c>
      <c r="J9054" s="25">
        <v>46239.365474537037</v>
      </c>
      <c r="K9054" s="24">
        <v>1</v>
      </c>
      <c r="L9054" s="22" t="str">
        <f t="shared" si="349"/>
        <v>AM2M - PSIQUIATRIA - Guía manejo práctico AM2M</v>
      </c>
      <c r="M9054" s="22" t="str">
        <f t="shared" si="350"/>
        <v>iortega@crm.otsuka-europe.com</v>
      </c>
      <c r="N9054" s="25">
        <v>46234.440185185187</v>
      </c>
      <c r="O9054" s="14" t="str">
        <f>HYPERLINK("https://otsuka-europe-crm.veevavault.com/ui/#object/email_activity__v/V8C00000004G360", "EN-002110410")</f>
        <v>EN-002110410</v>
      </c>
    </row>
    <row r="9055" spans="1:15" ht="16" x14ac:dyDescent="0.2">
      <c r="A9055" s="26"/>
      <c r="B9055" s="26"/>
      <c r="C9055" s="26"/>
      <c r="D9055" s="26"/>
      <c r="E9055" s="26"/>
      <c r="F9055" s="26"/>
      <c r="G9055" s="26"/>
      <c r="H9055" s="26"/>
      <c r="I9055" s="26"/>
      <c r="J9055" s="26"/>
      <c r="K9055" s="26"/>
      <c r="L9055" s="26"/>
      <c r="M9055" s="26"/>
      <c r="N9055" s="26"/>
      <c r="O9055" s="14" t="str">
        <f>HYPERLINK("https://otsuka-europe-crm.veevavault.com/ui/#object/email_activity__v/V8C00000004H355", "EN-002111577")</f>
        <v>EN-002111577</v>
      </c>
    </row>
    <row r="9056" spans="1:15" ht="16" x14ac:dyDescent="0.2">
      <c r="A9056" s="26"/>
      <c r="B9056" s="26"/>
      <c r="C9056" s="26"/>
      <c r="D9056" s="26"/>
      <c r="E9056" s="26"/>
      <c r="F9056" s="26"/>
      <c r="G9056" s="26"/>
      <c r="H9056" s="26"/>
      <c r="I9056" s="26"/>
      <c r="J9056" s="26"/>
      <c r="K9056" s="26"/>
      <c r="L9056" s="26"/>
      <c r="M9056" s="26"/>
      <c r="N9056" s="26"/>
      <c r="O9056" s="14" t="str">
        <f>HYPERLINK("https://otsuka-europe-crm.veevavault.com/ui/#object/email_activity__v/V8C00000004H356", "EN-002111576")</f>
        <v>EN-002111576</v>
      </c>
    </row>
    <row r="9057" spans="1:15" ht="16" x14ac:dyDescent="0.2">
      <c r="A9057" s="19"/>
      <c r="B9057" s="19"/>
      <c r="C9057" s="19"/>
      <c r="D9057" s="19"/>
      <c r="E9057" s="19"/>
      <c r="F9057" s="19"/>
      <c r="G9057" s="19"/>
      <c r="H9057" s="19"/>
      <c r="I9057" s="19"/>
      <c r="J9057" s="19"/>
      <c r="K9057" s="19"/>
      <c r="L9057" s="19"/>
      <c r="M9057" s="19"/>
      <c r="N9057" s="19"/>
      <c r="O9057" s="14" t="str">
        <f>HYPERLINK("https://otsuka-europe-crm.veevavault.com/ui/#object/email_activity__v/V8C00000004H357", "EN-002111578")</f>
        <v>EN-002111578</v>
      </c>
    </row>
    <row r="9058" spans="1:15" ht="16" x14ac:dyDescent="0.2">
      <c r="A9058" s="18" t="str">
        <f>HYPERLINK("https://otsuka-europe-crm.veevavault.com/ui/#object/account__v/V4TZ025E87L5RML", "RAUL FERRERAS RODRIGUEZ")</f>
        <v>RAUL FERRERAS RODRIGUEZ</v>
      </c>
      <c r="B9058" s="18" t="str">
        <f>HYPERLINK("https://otsuka-europe-crm.veevavault.com/ui/#object/vcountry__v/VENZ000004SONF5", "ES")</f>
        <v>ES</v>
      </c>
      <c r="C9058" s="20" t="s">
        <v>39</v>
      </c>
      <c r="D9058" s="21" t="str">
        <f>HYPERLINK("https://otsuka-europe-crm.veevavault.com/ui/#object/approved_document__v/V5O00000000R009", "AM2M - PSIQUIATRIA - Guía manejo práctico AM2M")</f>
        <v>AM2M - PSIQUIATRIA - Guía manejo práctico AM2M</v>
      </c>
      <c r="E9058" s="22" t="str">
        <f>HYPERLINK("https://otsuka-europe-crm.veevavault.com/ui/#object/sent_email__v/VBL00000003G144", "SE-001448780")</f>
        <v>SE-001448780</v>
      </c>
      <c r="F9058" s="25">
        <v>46234.525833333333</v>
      </c>
      <c r="G9058" s="24">
        <v>1</v>
      </c>
      <c r="H9058" s="24">
        <v>2</v>
      </c>
      <c r="I9058" s="24">
        <v>0</v>
      </c>
      <c r="J9058" s="23"/>
      <c r="K9058" s="24">
        <v>0</v>
      </c>
      <c r="L9058" s="22" t="str">
        <f>HYPERLINK("https://otsuka-europe-crm.veevavault.com/ui/#object/approved_document__v/V5O00000000R009", "AM2M - PSIQUIATRIA - Guía manejo práctico AM2M")</f>
        <v>AM2M - PSIQUIATRIA - Guía manejo práctico AM2M</v>
      </c>
      <c r="M9058" s="22" t="str">
        <f>HYPERLINK("mailto:iortega@crm.otsuka-europe.com", "iortega@crm.otsuka-europe.com")</f>
        <v>iortega@crm.otsuka-europe.com</v>
      </c>
      <c r="N9058" s="25">
        <v>46234.440185185187</v>
      </c>
      <c r="O9058" s="14" t="str">
        <f>HYPERLINK("https://otsuka-europe-crm.veevavault.com/ui/#object/email_activity__v/V8C00000004G379", "EN-002110429")</f>
        <v>EN-002110429</v>
      </c>
    </row>
    <row r="9059" spans="1:15" ht="16" x14ac:dyDescent="0.2">
      <c r="A9059" s="26"/>
      <c r="B9059" s="26"/>
      <c r="C9059" s="26"/>
      <c r="D9059" s="26"/>
      <c r="E9059" s="26"/>
      <c r="F9059" s="26"/>
      <c r="G9059" s="26"/>
      <c r="H9059" s="26"/>
      <c r="I9059" s="26"/>
      <c r="J9059" s="26"/>
      <c r="K9059" s="26"/>
      <c r="L9059" s="26"/>
      <c r="M9059" s="26"/>
      <c r="N9059" s="26"/>
      <c r="O9059" s="14" t="str">
        <f>HYPERLINK("https://otsuka-europe-crm.veevavault.com/ui/#object/email_activity__v/V8C00000004G561", "EN-002110730")</f>
        <v>EN-002110730</v>
      </c>
    </row>
    <row r="9060" spans="1:15" ht="16" x14ac:dyDescent="0.2">
      <c r="A9060" s="19"/>
      <c r="B9060" s="19"/>
      <c r="C9060" s="19"/>
      <c r="D9060" s="19"/>
      <c r="E9060" s="19"/>
      <c r="F9060" s="19"/>
      <c r="G9060" s="19"/>
      <c r="H9060" s="19"/>
      <c r="I9060" s="19"/>
      <c r="J9060" s="19"/>
      <c r="K9060" s="19"/>
      <c r="L9060" s="19"/>
      <c r="M9060" s="19"/>
      <c r="N9060" s="19"/>
      <c r="O9060" s="14" t="str">
        <f>HYPERLINK("https://otsuka-europe-crm.veevavault.com/ui/#object/email_activity__v/V8C00000004G562", "EN-002110731")</f>
        <v>EN-002110731</v>
      </c>
    </row>
    <row r="9061" spans="1:15" ht="48" x14ac:dyDescent="0.2">
      <c r="A9061" s="7" t="str">
        <f>HYPERLINK("https://otsuka-europe-crm.veevavault.com/ui/#object/account__v/V4TZ025E84WOIWF", "SANTIAGO SAUMELL ECHEVARNE")</f>
        <v>SANTIAGO SAUMELL ECHEVARNE</v>
      </c>
      <c r="B9061" s="7" t="str">
        <f>HYPERLINK("https://otsuka-europe-crm.veevavault.com/ui/#object/vcountry__v/VENZ000004SONF5", "ES")</f>
        <v>ES</v>
      </c>
      <c r="C9061" s="8" t="s">
        <v>39</v>
      </c>
      <c r="D9061" s="9" t="str">
        <f>HYPERLINK("https://otsuka-europe-crm.veevavault.com/ui/#object/approved_document__v/V5O00000000R009", "AM2M - PSIQUIATRIA - Guía manejo práctico AM2M")</f>
        <v>AM2M - PSIQUIATRIA - Guía manejo práctico AM2M</v>
      </c>
      <c r="E9061" s="10" t="str">
        <f>HYPERLINK("https://otsuka-europe-crm.veevavault.com/ui/#object/sent_email__v/VBL00000003G145", "SE-001448781")</f>
        <v>SE-001448781</v>
      </c>
      <c r="F9061" s="11"/>
      <c r="G9061" s="12">
        <v>0</v>
      </c>
      <c r="H9061" s="12">
        <v>0</v>
      </c>
      <c r="I9061" s="12">
        <v>0</v>
      </c>
      <c r="J9061" s="11"/>
      <c r="K9061" s="12">
        <v>0</v>
      </c>
      <c r="L9061" s="10" t="str">
        <f>HYPERLINK("https://otsuka-europe-crm.veevavault.com/ui/#object/approved_document__v/V5O00000000R009", "AM2M - PSIQUIATRIA - Guía manejo práctico AM2M")</f>
        <v>AM2M - PSIQUIATRIA - Guía manejo práctico AM2M</v>
      </c>
      <c r="M9061" s="10" t="str">
        <f>HYPERLINK("mailto:iortega@crm.otsuka-europe.com", "iortega@crm.otsuka-europe.com")</f>
        <v>iortega@crm.otsuka-europe.com</v>
      </c>
      <c r="N9061" s="13">
        <v>46234.440185185187</v>
      </c>
      <c r="O9061" s="14" t="str">
        <f>HYPERLINK("https://otsuka-europe-crm.veevavault.com/ui/#object/email_activity__v/V8C00000004G377", "EN-002110427")</f>
        <v>EN-002110427</v>
      </c>
    </row>
    <row r="9062" spans="1:15" ht="48" x14ac:dyDescent="0.2">
      <c r="A9062" s="7" t="str">
        <f>HYPERLINK("https://otsuka-europe-crm.veevavault.com/ui/#object/account__v/V4TZ06G6O71T8TP", "VICTOR SERRANO GIMENO")</f>
        <v>VICTOR SERRANO GIMENO</v>
      </c>
      <c r="B9062" s="7" t="str">
        <f>HYPERLINK("https://otsuka-europe-crm.veevavault.com/ui/#object/vcountry__v/VENZ000004SONF5", "ES")</f>
        <v>ES</v>
      </c>
      <c r="C9062" s="8" t="s">
        <v>39</v>
      </c>
      <c r="D9062" s="9" t="str">
        <f>HYPERLINK("https://otsuka-europe-crm.veevavault.com/ui/#object/approved_document__v/V5O00000000R009", "AM2M - PSIQUIATRIA - Guía manejo práctico AM2M")</f>
        <v>AM2M - PSIQUIATRIA - Guía manejo práctico AM2M</v>
      </c>
      <c r="E9062" s="10" t="str">
        <f>HYPERLINK("https://otsuka-europe-crm.veevavault.com/ui/#object/sent_email__v/VBL00000003G146", "SE-001448782")</f>
        <v>SE-001448782</v>
      </c>
      <c r="F9062" s="11"/>
      <c r="G9062" s="12">
        <v>0</v>
      </c>
      <c r="H9062" s="12">
        <v>0</v>
      </c>
      <c r="I9062" s="12">
        <v>0</v>
      </c>
      <c r="J9062" s="11"/>
      <c r="K9062" s="12">
        <v>0</v>
      </c>
      <c r="L9062" s="10" t="str">
        <f>HYPERLINK("https://otsuka-europe-crm.veevavault.com/ui/#object/approved_document__v/V5O00000000R009", "AM2M - PSIQUIATRIA - Guía manejo práctico AM2M")</f>
        <v>AM2M - PSIQUIATRIA - Guía manejo práctico AM2M</v>
      </c>
      <c r="M9062" s="10" t="str">
        <f>HYPERLINK("mailto:iortega@crm.otsuka-europe.com", "iortega@crm.otsuka-europe.com")</f>
        <v>iortega@crm.otsuka-europe.com</v>
      </c>
      <c r="N9062" s="13">
        <v>46234.44023148148</v>
      </c>
      <c r="O9062" s="14" t="str">
        <f>HYPERLINK("https://otsuka-europe-crm.veevavault.com/ui/#object/email_activity__v/V8C00000004G369", "EN-002110419")</f>
        <v>EN-002110419</v>
      </c>
    </row>
    <row r="9063" spans="1:15" ht="48" x14ac:dyDescent="0.2">
      <c r="A9063" s="7" t="str">
        <f>HYPERLINK("https://otsuka-europe-crm.veevavault.com/ui/#object/account__v/V4TZ06G6OA5OZXM", "VICTORIA SOLER CATA")</f>
        <v>VICTORIA SOLER CATA</v>
      </c>
      <c r="B9063" s="7" t="str">
        <f>HYPERLINK("https://otsuka-europe-crm.veevavault.com/ui/#object/vcountry__v/VENZ000004SONF5", "ES")</f>
        <v>ES</v>
      </c>
      <c r="C9063" s="8" t="s">
        <v>39</v>
      </c>
      <c r="D9063" s="9" t="str">
        <f>HYPERLINK("https://otsuka-europe-crm.veevavault.com/ui/#object/approved_document__v/V5O00000000R009", "AM2M - PSIQUIATRIA - Guía manejo práctico AM2M")</f>
        <v>AM2M - PSIQUIATRIA - Guía manejo práctico AM2M</v>
      </c>
      <c r="E9063" s="10" t="str">
        <f>HYPERLINK("https://otsuka-europe-crm.veevavault.com/ui/#object/sent_email__v/VBL00000003G147", "SE-001448783")</f>
        <v>SE-001448783</v>
      </c>
      <c r="F9063" s="11"/>
      <c r="G9063" s="12">
        <v>0</v>
      </c>
      <c r="H9063" s="12">
        <v>0</v>
      </c>
      <c r="I9063" s="12">
        <v>0</v>
      </c>
      <c r="J9063" s="11"/>
      <c r="K9063" s="12">
        <v>0</v>
      </c>
      <c r="L9063" s="10" t="str">
        <f>HYPERLINK("https://otsuka-europe-crm.veevavault.com/ui/#object/approved_document__v/V5O00000000R009", "AM2M - PSIQUIATRIA - Guía manejo práctico AM2M")</f>
        <v>AM2M - PSIQUIATRIA - Guía manejo práctico AM2M</v>
      </c>
      <c r="M9063" s="10" t="str">
        <f>HYPERLINK("mailto:iortega@crm.otsuka-europe.com", "iortega@crm.otsuka-europe.com")</f>
        <v>iortega@crm.otsuka-europe.com</v>
      </c>
      <c r="N9063" s="13">
        <v>46234.440208333333</v>
      </c>
      <c r="O9063" s="14" t="str">
        <f>HYPERLINK("https://otsuka-europe-crm.veevavault.com/ui/#object/email_activity__v/V8C00000004G385", "EN-002110435")</f>
        <v>EN-002110435</v>
      </c>
    </row>
    <row r="9064" spans="1:15" ht="16" x14ac:dyDescent="0.2">
      <c r="A9064" s="18" t="str">
        <f>HYPERLINK("https://otsuka-europe-crm.veevavault.com/ui/#object/account__v/V4TZ06G6O71T8F9", "SANDRA GARCIA ANTICH")</f>
        <v>SANDRA GARCIA ANTICH</v>
      </c>
      <c r="B9064" s="18" t="str">
        <f>HYPERLINK("https://otsuka-europe-crm.veevavault.com/ui/#object/vcountry__v/VENZ000004SONF5", "ES")</f>
        <v>ES</v>
      </c>
      <c r="C9064" s="20" t="s">
        <v>39</v>
      </c>
      <c r="D9064" s="21" t="str">
        <f>HYPERLINK("https://otsuka-europe-crm.veevavault.com/ui/#object/approved_document__v/V5O00000000L011", "Libro IA en psiquiatría")</f>
        <v>Libro IA en psiquiatría</v>
      </c>
      <c r="E9064" s="22" t="str">
        <f>HYPERLINK("https://otsuka-europe-crm.veevavault.com/ui/#object/sent_email__v/VBL00000003H340", "SE-001448784")</f>
        <v>SE-001448784</v>
      </c>
      <c r="F9064" s="23"/>
      <c r="G9064" s="24">
        <v>0</v>
      </c>
      <c r="H9064" s="24">
        <v>0</v>
      </c>
      <c r="I9064" s="24">
        <v>0</v>
      </c>
      <c r="J9064" s="23"/>
      <c r="K9064" s="24">
        <v>0</v>
      </c>
      <c r="L9064" s="22" t="str">
        <f>HYPERLINK("https://otsuka-europe-crm.veevavault.com/ui/#object/approved_document__v/V5O00000000L011", "Libro IA en psiquiatría")</f>
        <v>Libro IA en psiquiatría</v>
      </c>
      <c r="M9064" s="22" t="str">
        <f>HYPERLINK("mailto:jdiaz@crm.otsuka-europe.com", "jdiaz@crm.otsuka-europe.com")</f>
        <v>jdiaz@crm.otsuka-europe.com</v>
      </c>
      <c r="N9064" s="25">
        <v>46234.47960648148</v>
      </c>
      <c r="O9064" s="14" t="str">
        <f>HYPERLINK("https://otsuka-europe-crm.veevavault.com/ui/#object/email_activity__v/V8C00000004F410", "EN-002110797")</f>
        <v>EN-002110797</v>
      </c>
    </row>
    <row r="9065" spans="1:15" ht="16" x14ac:dyDescent="0.2">
      <c r="A9065" s="19"/>
      <c r="B9065" s="19"/>
      <c r="C9065" s="19"/>
      <c r="D9065" s="19"/>
      <c r="E9065" s="19"/>
      <c r="F9065" s="19"/>
      <c r="G9065" s="19"/>
      <c r="H9065" s="19"/>
      <c r="I9065" s="19"/>
      <c r="J9065" s="19"/>
      <c r="K9065" s="19"/>
      <c r="L9065" s="19"/>
      <c r="M9065" s="19"/>
      <c r="N9065" s="19"/>
      <c r="O9065" s="14" t="str">
        <f>HYPERLINK("https://otsuka-europe-crm.veevavault.com/ui/#object/email_activity__v/V8C00000004G425", "EN-002110498")</f>
        <v>EN-002110498</v>
      </c>
    </row>
    <row r="9066" spans="1:15" ht="16" x14ac:dyDescent="0.2">
      <c r="A9066" s="18" t="str">
        <f>HYPERLINK("https://otsuka-europe-crm.veevavault.com/ui/#object/account__v/V4TZ06G6O71US3Y", "MARINA BIBILONI MARTINEZ")</f>
        <v>MARINA BIBILONI MARTINEZ</v>
      </c>
      <c r="B9066" s="18" t="str">
        <f>HYPERLINK("https://otsuka-europe-crm.veevavault.com/ui/#object/vcountry__v/VENZ000004SONF5", "ES")</f>
        <v>ES</v>
      </c>
      <c r="C9066" s="20" t="s">
        <v>39</v>
      </c>
      <c r="D9066" s="21" t="str">
        <f>HYPERLINK("https://otsuka-europe-crm.veevavault.com/ui/#object/approved_document__v/V5O00000000L011", "Libro IA en psiquiatría")</f>
        <v>Libro IA en psiquiatría</v>
      </c>
      <c r="E9066" s="22" t="str">
        <f>HYPERLINK("https://otsuka-europe-crm.veevavault.com/ui/#object/sent_email__v/VBL00000003H341", "SE-001448785")</f>
        <v>SE-001448785</v>
      </c>
      <c r="F9066" s="23"/>
      <c r="G9066" s="24">
        <v>0</v>
      </c>
      <c r="H9066" s="24">
        <v>0</v>
      </c>
      <c r="I9066" s="24">
        <v>0</v>
      </c>
      <c r="J9066" s="23"/>
      <c r="K9066" s="24">
        <v>0</v>
      </c>
      <c r="L9066" s="22" t="str">
        <f>HYPERLINK("https://otsuka-europe-crm.veevavault.com/ui/#object/approved_document__v/V5O00000000L011", "Libro IA en psiquiatría")</f>
        <v>Libro IA en psiquiatría</v>
      </c>
      <c r="M9066" s="22" t="str">
        <f>HYPERLINK("mailto:jdiaz@crm.otsuka-europe.com", "jdiaz@crm.otsuka-europe.com")</f>
        <v>jdiaz@crm.otsuka-europe.com</v>
      </c>
      <c r="N9066" s="25">
        <v>46234.479583333334</v>
      </c>
      <c r="O9066" s="14" t="str">
        <f>HYPERLINK("https://otsuka-europe-crm.veevavault.com/ui/#object/email_activity__v/V8C00000004G427", "EN-002110501")</f>
        <v>EN-002110501</v>
      </c>
    </row>
    <row r="9067" spans="1:15" ht="16" x14ac:dyDescent="0.2">
      <c r="A9067" s="19"/>
      <c r="B9067" s="19"/>
      <c r="C9067" s="19"/>
      <c r="D9067" s="19"/>
      <c r="E9067" s="19"/>
      <c r="F9067" s="19"/>
      <c r="G9067" s="19"/>
      <c r="H9067" s="19"/>
      <c r="I9067" s="19"/>
      <c r="J9067" s="19"/>
      <c r="K9067" s="19"/>
      <c r="L9067" s="19"/>
      <c r="M9067" s="19"/>
      <c r="N9067" s="19"/>
      <c r="O9067" s="14" t="str">
        <f>HYPERLINK("https://otsuka-europe-crm.veevavault.com/ui/#object/email_activity__v/V8C00000004G568", "EN-002110736")</f>
        <v>EN-002110736</v>
      </c>
    </row>
    <row r="9068" spans="1:15" ht="32" x14ac:dyDescent="0.2">
      <c r="A9068" s="7" t="str">
        <f>HYPERLINK("https://otsuka-europe-crm.veevavault.com/ui/#object/account__v/V4TZ06G6O71TAON", "ROMINA ANDREA COMBINA FASCINA")</f>
        <v>ROMINA ANDREA COMBINA FASCINA</v>
      </c>
      <c r="B9068" s="7" t="str">
        <f>HYPERLINK("https://otsuka-europe-crm.veevavault.com/ui/#object/vcountry__v/VENZ000004SONF5", "ES")</f>
        <v>ES</v>
      </c>
      <c r="C9068" s="8" t="s">
        <v>39</v>
      </c>
      <c r="D9068" s="9" t="str">
        <f>HYPERLINK("https://otsuka-europe-crm.veevavault.com/ui/#object/approved_document__v/V5O00000000L011", "Libro IA en psiquiatría")</f>
        <v>Libro IA en psiquiatría</v>
      </c>
      <c r="E9068" s="10" t="str">
        <f>HYPERLINK("https://otsuka-europe-crm.veevavault.com/ui/#object/sent_email__v/VBL00000003H342", "SE-001448786")</f>
        <v>SE-001448786</v>
      </c>
      <c r="F9068" s="11"/>
      <c r="G9068" s="12">
        <v>0</v>
      </c>
      <c r="H9068" s="12">
        <v>0</v>
      </c>
      <c r="I9068" s="12">
        <v>0</v>
      </c>
      <c r="J9068" s="11"/>
      <c r="K9068" s="12">
        <v>0</v>
      </c>
      <c r="L9068" s="10" t="str">
        <f>HYPERLINK("https://otsuka-europe-crm.veevavault.com/ui/#object/approved_document__v/V5O00000000L011", "Libro IA en psiquiatría")</f>
        <v>Libro IA en psiquiatría</v>
      </c>
      <c r="M9068" s="10" t="str">
        <f>HYPERLINK("mailto:jdiaz@crm.otsuka-europe.com", "jdiaz@crm.otsuka-europe.com")</f>
        <v>jdiaz@crm.otsuka-europe.com</v>
      </c>
      <c r="N9068" s="13">
        <v>46234.479583333334</v>
      </c>
      <c r="O9068" s="14" t="str">
        <f>HYPERLINK("https://otsuka-europe-crm.veevavault.com/ui/#object/email_activity__v/V8C00000004G428", "EN-002110502")</f>
        <v>EN-002110502</v>
      </c>
    </row>
    <row r="9069" spans="1:15" ht="16" x14ac:dyDescent="0.2">
      <c r="A9069" s="18" t="str">
        <f>HYPERLINK("https://otsuka-europe-crm.veevavault.com/ui/#object/account__v/V4TZ06G6O71TA96", "NURIA ESTHER CHINCHURRETA DE LORA")</f>
        <v>NURIA ESTHER CHINCHURRETA DE LORA</v>
      </c>
      <c r="B9069" s="18" t="str">
        <f>HYPERLINK("https://otsuka-europe-crm.veevavault.com/ui/#object/vcountry__v/VENZ000004SONF5", "ES")</f>
        <v>ES</v>
      </c>
      <c r="C9069" s="20" t="s">
        <v>39</v>
      </c>
      <c r="D9069" s="21" t="str">
        <f>HYPERLINK("https://otsuka-europe-crm.veevavault.com/ui/#object/approved_document__v/V5O00000000L011", "Libro IA en psiquiatría")</f>
        <v>Libro IA en psiquiatría</v>
      </c>
      <c r="E9069" s="22" t="str">
        <f>HYPERLINK("https://otsuka-europe-crm.veevavault.com/ui/#object/sent_email__v/VBL00000003H343", "SE-001448787")</f>
        <v>SE-001448787</v>
      </c>
      <c r="F9069" s="25">
        <v>46234.549513888887</v>
      </c>
      <c r="G9069" s="24">
        <v>1</v>
      </c>
      <c r="H9069" s="24">
        <v>1</v>
      </c>
      <c r="I9069" s="24">
        <v>0</v>
      </c>
      <c r="J9069" s="23"/>
      <c r="K9069" s="24">
        <v>0</v>
      </c>
      <c r="L9069" s="22" t="str">
        <f>HYPERLINK("https://otsuka-europe-crm.veevavault.com/ui/#object/approved_document__v/V5O00000000L011", "Libro IA en psiquiatría")</f>
        <v>Libro IA en psiquiatría</v>
      </c>
      <c r="M9069" s="22" t="str">
        <f>HYPERLINK("mailto:jdiaz@crm.otsuka-europe.com", "jdiaz@crm.otsuka-europe.com")</f>
        <v>jdiaz@crm.otsuka-europe.com</v>
      </c>
      <c r="N9069" s="25">
        <v>46234.47965277778</v>
      </c>
      <c r="O9069" s="14" t="str">
        <f>HYPERLINK("https://otsuka-europe-crm.veevavault.com/ui/#object/email_activity__v/V8C00000004G436", "EN-002110514")</f>
        <v>EN-002110514</v>
      </c>
    </row>
    <row r="9070" spans="1:15" ht="16" x14ac:dyDescent="0.2">
      <c r="A9070" s="19"/>
      <c r="B9070" s="19"/>
      <c r="C9070" s="19"/>
      <c r="D9070" s="19"/>
      <c r="E9070" s="19"/>
      <c r="F9070" s="19"/>
      <c r="G9070" s="19"/>
      <c r="H9070" s="19"/>
      <c r="I9070" s="19"/>
      <c r="J9070" s="19"/>
      <c r="K9070" s="19"/>
      <c r="L9070" s="19"/>
      <c r="M9070" s="19"/>
      <c r="N9070" s="19"/>
      <c r="O9070" s="14" t="str">
        <f>HYPERLINK("https://otsuka-europe-crm.veevavault.com/ui/#object/email_activity__v/V8C00000004G579", "EN-002110756")</f>
        <v>EN-002110756</v>
      </c>
    </row>
    <row r="9071" spans="1:15" ht="16" x14ac:dyDescent="0.2">
      <c r="A9071" s="18" t="str">
        <f>HYPERLINK("https://otsuka-europe-crm.veevavault.com/ui/#object/account__v/V4TZ06G6O71T9CA", "ALEJANDRA ELIZABETH BENASICH AZUN")</f>
        <v>ALEJANDRA ELIZABETH BENASICH AZUN</v>
      </c>
      <c r="B9071" s="18" t="str">
        <f>HYPERLINK("https://otsuka-europe-crm.veevavault.com/ui/#object/vcountry__v/VENZ000004SONF5", "ES")</f>
        <v>ES</v>
      </c>
      <c r="C9071" s="20" t="s">
        <v>39</v>
      </c>
      <c r="D9071" s="21" t="str">
        <f>HYPERLINK("https://otsuka-europe-crm.veevavault.com/ui/#object/approved_document__v/V5O00000000L011", "Libro IA en psiquiatría")</f>
        <v>Libro IA en psiquiatría</v>
      </c>
      <c r="E9071" s="22" t="str">
        <f>HYPERLINK("https://otsuka-europe-crm.veevavault.com/ui/#object/sent_email__v/VBL00000003H344", "SE-001448788")</f>
        <v>SE-001448788</v>
      </c>
      <c r="F9071" s="25">
        <v>46236.92591435185</v>
      </c>
      <c r="G9071" s="24">
        <v>1</v>
      </c>
      <c r="H9071" s="24">
        <v>1</v>
      </c>
      <c r="I9071" s="24">
        <v>0</v>
      </c>
      <c r="J9071" s="23"/>
      <c r="K9071" s="24">
        <v>0</v>
      </c>
      <c r="L9071" s="22" t="str">
        <f>HYPERLINK("https://otsuka-europe-crm.veevavault.com/ui/#object/approved_document__v/V5O00000000L011", "Libro IA en psiquiatría")</f>
        <v>Libro IA en psiquiatría</v>
      </c>
      <c r="M9071" s="22" t="str">
        <f>HYPERLINK("mailto:jdiaz@crm.otsuka-europe.com", "jdiaz@crm.otsuka-europe.com")</f>
        <v>jdiaz@crm.otsuka-europe.com</v>
      </c>
      <c r="N9071" s="25">
        <v>46234.47965277778</v>
      </c>
      <c r="O9071" s="14" t="str">
        <f>HYPERLINK("https://otsuka-europe-crm.veevavault.com/ui/#object/email_activity__v/V8C00000004G445", "EN-002110523")</f>
        <v>EN-002110523</v>
      </c>
    </row>
    <row r="9072" spans="1:15" ht="16" x14ac:dyDescent="0.2">
      <c r="A9072" s="19"/>
      <c r="B9072" s="19"/>
      <c r="C9072" s="19"/>
      <c r="D9072" s="19"/>
      <c r="E9072" s="19"/>
      <c r="F9072" s="19"/>
      <c r="G9072" s="19"/>
      <c r="H9072" s="19"/>
      <c r="I9072" s="19"/>
      <c r="J9072" s="19"/>
      <c r="K9072" s="19"/>
      <c r="L9072" s="19"/>
      <c r="M9072" s="19"/>
      <c r="N9072" s="19"/>
      <c r="O9072" s="14" t="str">
        <f>HYPERLINK("https://otsuka-europe-crm.veevavault.com/ui/#object/email_activity__v/V8C00000004H120", "EN-002111159")</f>
        <v>EN-002111159</v>
      </c>
    </row>
    <row r="9073" spans="1:15" ht="16" x14ac:dyDescent="0.2">
      <c r="A9073" s="18" t="str">
        <f>HYPERLINK("https://otsuka-europe-crm.veevavault.com/ui/#object/account__v/V4TZ04ASG8MUXRO", "JOSE MANUEL BLANCO ROMERO")</f>
        <v>JOSE MANUEL BLANCO ROMERO</v>
      </c>
      <c r="B9073" s="18" t="str">
        <f>HYPERLINK("https://otsuka-europe-crm.veevavault.com/ui/#object/vcountry__v/VENZ000004SONF5", "ES")</f>
        <v>ES</v>
      </c>
      <c r="C9073" s="20" t="s">
        <v>39</v>
      </c>
      <c r="D9073" s="21" t="str">
        <f>HYPERLINK("https://otsuka-europe-crm.veevavault.com/ui/#object/approved_document__v/V5O00000000L011", "Libro IA en psiquiatría")</f>
        <v>Libro IA en psiquiatría</v>
      </c>
      <c r="E9073" s="22" t="str">
        <f>HYPERLINK("https://otsuka-europe-crm.veevavault.com/ui/#object/sent_email__v/VBL00000003H345", "SE-001448789")</f>
        <v>SE-001448789</v>
      </c>
      <c r="F9073" s="25">
        <v>46234.499386574076</v>
      </c>
      <c r="G9073" s="24">
        <v>1</v>
      </c>
      <c r="H9073" s="24">
        <v>5</v>
      </c>
      <c r="I9073" s="24">
        <v>0</v>
      </c>
      <c r="J9073" s="23"/>
      <c r="K9073" s="24">
        <v>0</v>
      </c>
      <c r="L9073" s="22" t="str">
        <f>HYPERLINK("https://otsuka-europe-crm.veevavault.com/ui/#object/approved_document__v/V5O00000000L011", "Libro IA en psiquiatría")</f>
        <v>Libro IA en psiquiatría</v>
      </c>
      <c r="M9073" s="22" t="str">
        <f>HYPERLINK("mailto:jdiaz@crm.otsuka-europe.com", "jdiaz@crm.otsuka-europe.com")</f>
        <v>jdiaz@crm.otsuka-europe.com</v>
      </c>
      <c r="N9073" s="25">
        <v>46234.47965277778</v>
      </c>
      <c r="O9073" s="14" t="str">
        <f>HYPERLINK("https://otsuka-europe-crm.veevavault.com/ui/#object/email_activity__v/V8C00000004F365", "EN-002110682")</f>
        <v>EN-002110682</v>
      </c>
    </row>
    <row r="9074" spans="1:15" ht="16" x14ac:dyDescent="0.2">
      <c r="A9074" s="26"/>
      <c r="B9074" s="26"/>
      <c r="C9074" s="26"/>
      <c r="D9074" s="26"/>
      <c r="E9074" s="26"/>
      <c r="F9074" s="26"/>
      <c r="G9074" s="26"/>
      <c r="H9074" s="26"/>
      <c r="I9074" s="26"/>
      <c r="J9074" s="26"/>
      <c r="K9074" s="26"/>
      <c r="L9074" s="26"/>
      <c r="M9074" s="26"/>
      <c r="N9074" s="26"/>
      <c r="O9074" s="14" t="str">
        <f>HYPERLINK("https://otsuka-europe-crm.veevavault.com/ui/#object/email_activity__v/V8C00000004F369", "EN-002110694")</f>
        <v>EN-002110694</v>
      </c>
    </row>
    <row r="9075" spans="1:15" ht="16" x14ac:dyDescent="0.2">
      <c r="A9075" s="26"/>
      <c r="B9075" s="26"/>
      <c r="C9075" s="26"/>
      <c r="D9075" s="26"/>
      <c r="E9075" s="26"/>
      <c r="F9075" s="26"/>
      <c r="G9075" s="26"/>
      <c r="H9075" s="26"/>
      <c r="I9075" s="26"/>
      <c r="J9075" s="26"/>
      <c r="K9075" s="26"/>
      <c r="L9075" s="26"/>
      <c r="M9075" s="26"/>
      <c r="N9075" s="26"/>
      <c r="O9075" s="14" t="str">
        <f>HYPERLINK("https://otsuka-europe-crm.veevavault.com/ui/#object/email_activity__v/V8C00000004G435", "EN-002110513")</f>
        <v>EN-002110513</v>
      </c>
    </row>
    <row r="9076" spans="1:15" ht="16" x14ac:dyDescent="0.2">
      <c r="A9076" s="26"/>
      <c r="B9076" s="26"/>
      <c r="C9076" s="26"/>
      <c r="D9076" s="26"/>
      <c r="E9076" s="26"/>
      <c r="F9076" s="26"/>
      <c r="G9076" s="26"/>
      <c r="H9076" s="26"/>
      <c r="I9076" s="26"/>
      <c r="J9076" s="26"/>
      <c r="K9076" s="26"/>
      <c r="L9076" s="26"/>
      <c r="M9076" s="26"/>
      <c r="N9076" s="26"/>
      <c r="O9076" s="14" t="str">
        <f>HYPERLINK("https://otsuka-europe-crm.veevavault.com/ui/#object/email_activity__v/V8C00000004G529", "EN-002110678")</f>
        <v>EN-002110678</v>
      </c>
    </row>
    <row r="9077" spans="1:15" ht="16" x14ac:dyDescent="0.2">
      <c r="A9077" s="26"/>
      <c r="B9077" s="26"/>
      <c r="C9077" s="26"/>
      <c r="D9077" s="26"/>
      <c r="E9077" s="26"/>
      <c r="F9077" s="26"/>
      <c r="G9077" s="26"/>
      <c r="H9077" s="26"/>
      <c r="I9077" s="26"/>
      <c r="J9077" s="26"/>
      <c r="K9077" s="26"/>
      <c r="L9077" s="26"/>
      <c r="M9077" s="26"/>
      <c r="N9077" s="26"/>
      <c r="O9077" s="14" t="str">
        <f>HYPERLINK("https://otsuka-europe-crm.veevavault.com/ui/#object/email_activity__v/V8C00000004G538", "EN-002110692")</f>
        <v>EN-002110692</v>
      </c>
    </row>
    <row r="9078" spans="1:15" ht="16" x14ac:dyDescent="0.2">
      <c r="A9078" s="26"/>
      <c r="B9078" s="26"/>
      <c r="C9078" s="26"/>
      <c r="D9078" s="26"/>
      <c r="E9078" s="26"/>
      <c r="F9078" s="26"/>
      <c r="G9078" s="26"/>
      <c r="H9078" s="26"/>
      <c r="I9078" s="26"/>
      <c r="J9078" s="26"/>
      <c r="K9078" s="26"/>
      <c r="L9078" s="26"/>
      <c r="M9078" s="26"/>
      <c r="N9078" s="26"/>
      <c r="O9078" s="14" t="str">
        <f>HYPERLINK("https://otsuka-europe-crm.veevavault.com/ui/#object/email_activity__v/V8C00000004G539", "EN-002110693")</f>
        <v>EN-002110693</v>
      </c>
    </row>
    <row r="9079" spans="1:15" ht="16" x14ac:dyDescent="0.2">
      <c r="A9079" s="26"/>
      <c r="B9079" s="26"/>
      <c r="C9079" s="26"/>
      <c r="D9079" s="26"/>
      <c r="E9079" s="26"/>
      <c r="F9079" s="26"/>
      <c r="G9079" s="26"/>
      <c r="H9079" s="26"/>
      <c r="I9079" s="26"/>
      <c r="J9079" s="26"/>
      <c r="K9079" s="26"/>
      <c r="L9079" s="26"/>
      <c r="M9079" s="26"/>
      <c r="N9079" s="26"/>
      <c r="O9079" s="14" t="str">
        <f>HYPERLINK("https://otsuka-europe-crm.veevavault.com/ui/#object/email_activity__v/V8C00000004G540", "EN-002110695")</f>
        <v>EN-002110695</v>
      </c>
    </row>
    <row r="9080" spans="1:15" ht="16" x14ac:dyDescent="0.2">
      <c r="A9080" s="19"/>
      <c r="B9080" s="19"/>
      <c r="C9080" s="19"/>
      <c r="D9080" s="19"/>
      <c r="E9080" s="19"/>
      <c r="F9080" s="19"/>
      <c r="G9080" s="19"/>
      <c r="H9080" s="19"/>
      <c r="I9080" s="19"/>
      <c r="J9080" s="19"/>
      <c r="K9080" s="19"/>
      <c r="L9080" s="19"/>
      <c r="M9080" s="19"/>
      <c r="N9080" s="19"/>
      <c r="O9080" s="14" t="str">
        <f>HYPERLINK("https://otsuka-europe-crm.veevavault.com/ui/#object/email_activity__v/V8C00000004G541", "EN-002110696")</f>
        <v>EN-002110696</v>
      </c>
    </row>
    <row r="9081" spans="1:15" ht="32" x14ac:dyDescent="0.2">
      <c r="A9081" s="7" t="str">
        <f>HYPERLINK("https://otsuka-europe-crm.veevavault.com/ui/#object/account__v/V4TZ06G6O71T8X7", "BELEN MARIA HERNANDEZ HERRERA")</f>
        <v>BELEN MARIA HERNANDEZ HERRERA</v>
      </c>
      <c r="B9081" s="7" t="str">
        <f>HYPERLINK("https://otsuka-europe-crm.veevavault.com/ui/#object/vcountry__v/VENZ000004SONF5", "ES")</f>
        <v>ES</v>
      </c>
      <c r="C9081" s="8" t="s">
        <v>39</v>
      </c>
      <c r="D9081" s="9" t="str">
        <f>HYPERLINK("https://otsuka-europe-crm.veevavault.com/ui/#object/approved_document__v/V5O00000000L011", "Libro IA en psiquiatría")</f>
        <v>Libro IA en psiquiatría</v>
      </c>
      <c r="E9081" s="10" t="str">
        <f>HYPERLINK("https://otsuka-europe-crm.veevavault.com/ui/#object/sent_email__v/VBL00000003H346", "SE-001448790")</f>
        <v>SE-001448790</v>
      </c>
      <c r="F9081" s="11"/>
      <c r="G9081" s="12">
        <v>0</v>
      </c>
      <c r="H9081" s="12">
        <v>0</v>
      </c>
      <c r="I9081" s="12">
        <v>0</v>
      </c>
      <c r="J9081" s="11"/>
      <c r="K9081" s="12">
        <v>0</v>
      </c>
      <c r="L9081" s="10" t="str">
        <f>HYPERLINK("https://otsuka-europe-crm.veevavault.com/ui/#object/approved_document__v/V5O00000000L011", "Libro IA en psiquiatría")</f>
        <v>Libro IA en psiquiatría</v>
      </c>
      <c r="M9081" s="10" t="str">
        <f>HYPERLINK("mailto:jdiaz@crm.otsuka-europe.com", "jdiaz@crm.otsuka-europe.com")</f>
        <v>jdiaz@crm.otsuka-europe.com</v>
      </c>
      <c r="N9081" s="13">
        <v>46234.479560185187</v>
      </c>
      <c r="O9081" s="14" t="str">
        <f>HYPERLINK("https://otsuka-europe-crm.veevavault.com/ui/#object/email_activity__v/V8C00000004G414", "EN-002110487")</f>
        <v>EN-002110487</v>
      </c>
    </row>
    <row r="9082" spans="1:15" ht="32" x14ac:dyDescent="0.2">
      <c r="A9082" s="7" t="str">
        <f>HYPERLINK("https://otsuka-europe-crm.veevavault.com/ui/#object/account__v/V4TZ06G6O71T7IT", "GUILLEM CRESPI GINARD")</f>
        <v>GUILLEM CRESPI GINARD</v>
      </c>
      <c r="B9082" s="7" t="str">
        <f>HYPERLINK("https://otsuka-europe-crm.veevavault.com/ui/#object/vcountry__v/VENZ000004SONF5", "ES")</f>
        <v>ES</v>
      </c>
      <c r="C9082" s="8" t="s">
        <v>39</v>
      </c>
      <c r="D9082" s="9" t="str">
        <f>HYPERLINK("https://otsuka-europe-crm.veevavault.com/ui/#object/approved_document__v/V5O00000000L011", "Libro IA en psiquiatría")</f>
        <v>Libro IA en psiquiatría</v>
      </c>
      <c r="E9082" s="10" t="str">
        <f>HYPERLINK("https://otsuka-europe-crm.veevavault.com/ui/#object/sent_email__v/VBL00000003H347", "SE-001448791")</f>
        <v>SE-001448791</v>
      </c>
      <c r="F9082" s="11"/>
      <c r="G9082" s="12">
        <v>0</v>
      </c>
      <c r="H9082" s="12">
        <v>0</v>
      </c>
      <c r="I9082" s="12">
        <v>0</v>
      </c>
      <c r="J9082" s="11"/>
      <c r="K9082" s="12">
        <v>0</v>
      </c>
      <c r="L9082" s="10" t="str">
        <f>HYPERLINK("https://otsuka-europe-crm.veevavault.com/ui/#object/approved_document__v/V5O00000000L011", "Libro IA en psiquiatría")</f>
        <v>Libro IA en psiquiatría</v>
      </c>
      <c r="M9082" s="10" t="str">
        <f>HYPERLINK("mailto:jdiaz@crm.otsuka-europe.com", "jdiaz@crm.otsuka-europe.com")</f>
        <v>jdiaz@crm.otsuka-europe.com</v>
      </c>
      <c r="N9082" s="13">
        <v>46234.479560185187</v>
      </c>
      <c r="O9082" s="14" t="str">
        <f>HYPERLINK("https://otsuka-europe-crm.veevavault.com/ui/#object/email_activity__v/V8C00000004F284", "EN-002110482")</f>
        <v>EN-002110482</v>
      </c>
    </row>
    <row r="9083" spans="1:15" ht="32" x14ac:dyDescent="0.2">
      <c r="A9083" s="7" t="str">
        <f>HYPERLINK("https://otsuka-europe-crm.veevavault.com/ui/#object/account__v/V4TZ04ASGBNZOFH", "ROSA CANYELLES GOMEZ")</f>
        <v>ROSA CANYELLES GOMEZ</v>
      </c>
      <c r="B9083" s="7" t="str">
        <f>HYPERLINK("https://otsuka-europe-crm.veevavault.com/ui/#object/vcountry__v/VENZ000004SONF5", "ES")</f>
        <v>ES</v>
      </c>
      <c r="C9083" s="8" t="s">
        <v>39</v>
      </c>
      <c r="D9083" s="9" t="str">
        <f>HYPERLINK("https://otsuka-europe-crm.veevavault.com/ui/#object/approved_document__v/V5O00000000L011", "Libro IA en psiquiatría")</f>
        <v>Libro IA en psiquiatría</v>
      </c>
      <c r="E9083" s="10" t="str">
        <f>HYPERLINK("https://otsuka-europe-crm.veevavault.com/ui/#object/sent_email__v/VBL00000003H348", "SE-001448792")</f>
        <v>SE-001448792</v>
      </c>
      <c r="F9083" s="11"/>
      <c r="G9083" s="12">
        <v>0</v>
      </c>
      <c r="H9083" s="12">
        <v>0</v>
      </c>
      <c r="I9083" s="12">
        <v>0</v>
      </c>
      <c r="J9083" s="11"/>
      <c r="K9083" s="12">
        <v>0</v>
      </c>
      <c r="L9083" s="10" t="str">
        <f>HYPERLINK("https://otsuka-europe-crm.veevavault.com/ui/#object/approved_document__v/V5O00000000L011", "Libro IA en psiquiatría")</f>
        <v>Libro IA en psiquiatría</v>
      </c>
      <c r="M9083" s="10" t="str">
        <f>HYPERLINK("mailto:jdiaz@crm.otsuka-europe.com", "jdiaz@crm.otsuka-europe.com")</f>
        <v>jdiaz@crm.otsuka-europe.com</v>
      </c>
      <c r="N9083" s="13">
        <v>46234.479583333334</v>
      </c>
      <c r="O9083" s="14" t="str">
        <f>HYPERLINK("https://otsuka-europe-crm.veevavault.com/ui/#object/email_activity__v/V8C00000004G429", "EN-002110503")</f>
        <v>EN-002110503</v>
      </c>
    </row>
    <row r="9084" spans="1:15" ht="16" x14ac:dyDescent="0.2">
      <c r="A9084" s="18" t="str">
        <f>HYPERLINK("https://otsuka-europe-crm.veevavault.com/ui/#object/account__v/V4TZ06G6O71T990", "MARIA HENAR ARNILLAS GOMEZ")</f>
        <v>MARIA HENAR ARNILLAS GOMEZ</v>
      </c>
      <c r="B9084" s="18" t="str">
        <f>HYPERLINK("https://otsuka-europe-crm.veevavault.com/ui/#object/vcountry__v/VENZ000004SONF5", "ES")</f>
        <v>ES</v>
      </c>
      <c r="C9084" s="20" t="s">
        <v>39</v>
      </c>
      <c r="D9084" s="21" t="str">
        <f>HYPERLINK("https://otsuka-europe-crm.veevavault.com/ui/#object/approved_document__v/V5O00000000L011", "Libro IA en psiquiatría")</f>
        <v>Libro IA en psiquiatría</v>
      </c>
      <c r="E9084" s="22" t="str">
        <f>HYPERLINK("https://otsuka-europe-crm.veevavault.com/ui/#object/sent_email__v/VBL00000003H349", "SE-001448793")</f>
        <v>SE-001448793</v>
      </c>
      <c r="F9084" s="23"/>
      <c r="G9084" s="24">
        <v>0</v>
      </c>
      <c r="H9084" s="24">
        <v>0</v>
      </c>
      <c r="I9084" s="24">
        <v>0</v>
      </c>
      <c r="J9084" s="23"/>
      <c r="K9084" s="24">
        <v>0</v>
      </c>
      <c r="L9084" s="22" t="str">
        <f>HYPERLINK("https://otsuka-europe-crm.veevavault.com/ui/#object/approved_document__v/V5O00000000L011", "Libro IA en psiquiatría")</f>
        <v>Libro IA en psiquiatría</v>
      </c>
      <c r="M9084" s="22" t="str">
        <f>HYPERLINK("mailto:jdiaz@crm.otsuka-europe.com", "jdiaz@crm.otsuka-europe.com")</f>
        <v>jdiaz@crm.otsuka-europe.com</v>
      </c>
      <c r="N9084" s="25">
        <v>46234.479594907411</v>
      </c>
      <c r="O9084" s="14" t="str">
        <f>HYPERLINK("https://otsuka-europe-crm.veevavault.com/ui/#object/email_activity__v/V8C00000004G424", "EN-002110497")</f>
        <v>EN-002110497</v>
      </c>
    </row>
    <row r="9085" spans="1:15" ht="16" x14ac:dyDescent="0.2">
      <c r="A9085" s="19"/>
      <c r="B9085" s="19"/>
      <c r="C9085" s="19"/>
      <c r="D9085" s="19"/>
      <c r="E9085" s="19"/>
      <c r="F9085" s="19"/>
      <c r="G9085" s="19"/>
      <c r="H9085" s="19"/>
      <c r="I9085" s="19"/>
      <c r="J9085" s="19"/>
      <c r="K9085" s="19"/>
      <c r="L9085" s="19"/>
      <c r="M9085" s="19"/>
      <c r="N9085" s="19"/>
      <c r="O9085" s="14" t="str">
        <f>HYPERLINK("https://otsuka-europe-crm.veevavault.com/ui/#object/email_activity__v/V8C00000004H055", "EN-002111037")</f>
        <v>EN-002111037</v>
      </c>
    </row>
    <row r="9086" spans="1:15" ht="16" x14ac:dyDescent="0.2">
      <c r="A9086" s="18" t="str">
        <f>HYPERLINK("https://otsuka-europe-crm.veevavault.com/ui/#object/account__v/V4T000000018067", "DANIEL JOSE CASTRO OROPEZA")</f>
        <v>DANIEL JOSE CASTRO OROPEZA</v>
      </c>
      <c r="B9086" s="18" t="str">
        <f>HYPERLINK("https://otsuka-europe-crm.veevavault.com/ui/#object/vcountry__v/VENZ000004SONF5", "ES")</f>
        <v>ES</v>
      </c>
      <c r="C9086" s="20" t="s">
        <v>39</v>
      </c>
      <c r="D9086" s="21" t="str">
        <f>HYPERLINK("https://otsuka-europe-crm.veevavault.com/ui/#object/approved_document__v/V5O00000000L011", "Libro IA en psiquiatría")</f>
        <v>Libro IA en psiquiatría</v>
      </c>
      <c r="E9086" s="22" t="str">
        <f>HYPERLINK("https://otsuka-europe-crm.veevavault.com/ui/#object/sent_email__v/VBL00000003H350", "SE-001448794")</f>
        <v>SE-001448794</v>
      </c>
      <c r="F9086" s="23"/>
      <c r="G9086" s="24">
        <v>0</v>
      </c>
      <c r="H9086" s="24">
        <v>0</v>
      </c>
      <c r="I9086" s="24">
        <v>0</v>
      </c>
      <c r="J9086" s="23"/>
      <c r="K9086" s="24">
        <v>0</v>
      </c>
      <c r="L9086" s="22" t="str">
        <f>HYPERLINK("https://otsuka-europe-crm.veevavault.com/ui/#object/approved_document__v/V5O00000000L011", "Libro IA en psiquiatría")</f>
        <v>Libro IA en psiquiatría</v>
      </c>
      <c r="M9086" s="22" t="str">
        <f>HYPERLINK("mailto:jdiaz@crm.otsuka-europe.com", "jdiaz@crm.otsuka-europe.com")</f>
        <v>jdiaz@crm.otsuka-europe.com</v>
      </c>
      <c r="N9086" s="25">
        <v>46234.47965277778</v>
      </c>
      <c r="O9086" s="14" t="str">
        <f>HYPERLINK("https://otsuka-europe-crm.veevavault.com/ui/#object/email_activity__v/V8C00000004G437", "EN-002110515")</f>
        <v>EN-002110515</v>
      </c>
    </row>
    <row r="9087" spans="1:15" ht="16" x14ac:dyDescent="0.2">
      <c r="A9087" s="19"/>
      <c r="B9087" s="19"/>
      <c r="C9087" s="19"/>
      <c r="D9087" s="19"/>
      <c r="E9087" s="19"/>
      <c r="F9087" s="19"/>
      <c r="G9087" s="19"/>
      <c r="H9087" s="19"/>
      <c r="I9087" s="19"/>
      <c r="J9087" s="19"/>
      <c r="K9087" s="19"/>
      <c r="L9087" s="19"/>
      <c r="M9087" s="19"/>
      <c r="N9087" s="19"/>
      <c r="O9087" s="14" t="str">
        <f>HYPERLINK("https://otsuka-europe-crm.veevavault.com/ui/#object/email_activity__v/V8C00000004I092", "EN-002111165")</f>
        <v>EN-002111165</v>
      </c>
    </row>
    <row r="9088" spans="1:15" ht="32" x14ac:dyDescent="0.2">
      <c r="A9088" s="7" t="str">
        <f>HYPERLINK("https://otsuka-europe-crm.veevavault.com/ui/#object/account__v/V4TZ06G6O71TB1F", "SUSANA ARBOLEYA MARTINEZ")</f>
        <v>SUSANA ARBOLEYA MARTINEZ</v>
      </c>
      <c r="B9088" s="7" t="str">
        <f>HYPERLINK("https://otsuka-europe-crm.veevavault.com/ui/#object/vcountry__v/VENZ000004SONF5", "ES")</f>
        <v>ES</v>
      </c>
      <c r="C9088" s="8" t="s">
        <v>39</v>
      </c>
      <c r="D9088" s="9" t="str">
        <f>HYPERLINK("https://otsuka-europe-crm.veevavault.com/ui/#object/approved_document__v/V5O00000000L011", "Libro IA en psiquiatría")</f>
        <v>Libro IA en psiquiatría</v>
      </c>
      <c r="E9088" s="10" t="str">
        <f>HYPERLINK("https://otsuka-europe-crm.veevavault.com/ui/#object/sent_email__v/VBL00000003H351", "SE-001448795")</f>
        <v>SE-001448795</v>
      </c>
      <c r="F9088" s="11"/>
      <c r="G9088" s="12">
        <v>0</v>
      </c>
      <c r="H9088" s="12">
        <v>0</v>
      </c>
      <c r="I9088" s="12">
        <v>0</v>
      </c>
      <c r="J9088" s="11"/>
      <c r="K9088" s="12">
        <v>0</v>
      </c>
      <c r="L9088" s="10" t="str">
        <f>HYPERLINK("https://otsuka-europe-crm.veevavault.com/ui/#object/approved_document__v/V5O00000000L011", "Libro IA en psiquiatría")</f>
        <v>Libro IA en psiquiatría</v>
      </c>
      <c r="M9088" s="10" t="str">
        <f>HYPERLINK("mailto:jdiaz@crm.otsuka-europe.com", "jdiaz@crm.otsuka-europe.com")</f>
        <v>jdiaz@crm.otsuka-europe.com</v>
      </c>
      <c r="N9088" s="13">
        <v>46234.47965277778</v>
      </c>
      <c r="O9088" s="14" t="str">
        <f>HYPERLINK("https://otsuka-europe-crm.veevavault.com/ui/#object/email_activity__v/V8C00000004G421", "EN-002110494")</f>
        <v>EN-002110494</v>
      </c>
    </row>
    <row r="9089" spans="1:15" ht="16" x14ac:dyDescent="0.2">
      <c r="A9089" s="18" t="str">
        <f>HYPERLINK("https://otsuka-europe-crm.veevavault.com/ui/#object/account__v/V4TZ06G6O71T9IU", "DANIEL ALBERTO BOZZINI LEARDINI")</f>
        <v>DANIEL ALBERTO BOZZINI LEARDINI</v>
      </c>
      <c r="B9089" s="18" t="str">
        <f>HYPERLINK("https://otsuka-europe-crm.veevavault.com/ui/#object/vcountry__v/VENZ000004SONF5", "ES")</f>
        <v>ES</v>
      </c>
      <c r="C9089" s="20" t="s">
        <v>39</v>
      </c>
      <c r="D9089" s="21" t="str">
        <f>HYPERLINK("https://otsuka-europe-crm.veevavault.com/ui/#object/approved_document__v/V5O00000000L011", "Libro IA en psiquiatría")</f>
        <v>Libro IA en psiquiatría</v>
      </c>
      <c r="E9089" s="22" t="str">
        <f>HYPERLINK("https://otsuka-europe-crm.veevavault.com/ui/#object/sent_email__v/VBL00000003H352", "SE-001448796")</f>
        <v>SE-001448796</v>
      </c>
      <c r="F9089" s="25">
        <v>46238.630532407406</v>
      </c>
      <c r="G9089" s="24">
        <v>1</v>
      </c>
      <c r="H9089" s="24">
        <v>3</v>
      </c>
      <c r="I9089" s="24">
        <v>1</v>
      </c>
      <c r="J9089" s="25">
        <v>46238.630532407406</v>
      </c>
      <c r="K9089" s="24">
        <v>1</v>
      </c>
      <c r="L9089" s="22" t="str">
        <f>HYPERLINK("https://otsuka-europe-crm.veevavault.com/ui/#object/approved_document__v/V5O00000000L011", "Libro IA en psiquiatría")</f>
        <v>Libro IA en psiquiatría</v>
      </c>
      <c r="M9089" s="22" t="str">
        <f>HYPERLINK("mailto:jdiaz@crm.otsuka-europe.com", "jdiaz@crm.otsuka-europe.com")</f>
        <v>jdiaz@crm.otsuka-europe.com</v>
      </c>
      <c r="N9089" s="25">
        <v>46234.47965277778</v>
      </c>
      <c r="O9089" s="14" t="str">
        <f>HYPERLINK("https://otsuka-europe-crm.veevavault.com/ui/#object/email_activity__v/V8C00000004G444", "EN-002110522")</f>
        <v>EN-002110522</v>
      </c>
    </row>
    <row r="9090" spans="1:15" ht="16" x14ac:dyDescent="0.2">
      <c r="A9090" s="26"/>
      <c r="B9090" s="26"/>
      <c r="C9090" s="26"/>
      <c r="D9090" s="26"/>
      <c r="E9090" s="26"/>
      <c r="F9090" s="26"/>
      <c r="G9090" s="26"/>
      <c r="H9090" s="26"/>
      <c r="I9090" s="26"/>
      <c r="J9090" s="26"/>
      <c r="K9090" s="26"/>
      <c r="L9090" s="26"/>
      <c r="M9090" s="26"/>
      <c r="N9090" s="26"/>
      <c r="O9090" s="14" t="str">
        <f>HYPERLINK("https://otsuka-europe-crm.veevavault.com/ui/#object/email_activity__v/V8C00000004H316", "EN-002111512")</f>
        <v>EN-002111512</v>
      </c>
    </row>
    <row r="9091" spans="1:15" ht="16" x14ac:dyDescent="0.2">
      <c r="A9091" s="26"/>
      <c r="B9091" s="26"/>
      <c r="C9091" s="26"/>
      <c r="D9091" s="26"/>
      <c r="E9091" s="26"/>
      <c r="F9091" s="26"/>
      <c r="G9091" s="26"/>
      <c r="H9091" s="26"/>
      <c r="I9091" s="26"/>
      <c r="J9091" s="26"/>
      <c r="K9091" s="26"/>
      <c r="L9091" s="26"/>
      <c r="M9091" s="26"/>
      <c r="N9091" s="26"/>
      <c r="O9091" s="14" t="str">
        <f>HYPERLINK("https://otsuka-europe-crm.veevavault.com/ui/#object/email_activity__v/V8C00000004H317", "EN-002111511")</f>
        <v>EN-002111511</v>
      </c>
    </row>
    <row r="9092" spans="1:15" ht="16" x14ac:dyDescent="0.2">
      <c r="A9092" s="26"/>
      <c r="B9092" s="26"/>
      <c r="C9092" s="26"/>
      <c r="D9092" s="26"/>
      <c r="E9092" s="26"/>
      <c r="F9092" s="26"/>
      <c r="G9092" s="26"/>
      <c r="H9092" s="26"/>
      <c r="I9092" s="26"/>
      <c r="J9092" s="26"/>
      <c r="K9092" s="26"/>
      <c r="L9092" s="26"/>
      <c r="M9092" s="26"/>
      <c r="N9092" s="26"/>
      <c r="O9092" s="14" t="str">
        <f>HYPERLINK("https://otsuka-europe-crm.veevavault.com/ui/#object/email_activity__v/V8C00000004I245", "EN-002111510")</f>
        <v>EN-002111510</v>
      </c>
    </row>
    <row r="9093" spans="1:15" ht="16" x14ac:dyDescent="0.2">
      <c r="A9093" s="19"/>
      <c r="B9093" s="19"/>
      <c r="C9093" s="19"/>
      <c r="D9093" s="19"/>
      <c r="E9093" s="19"/>
      <c r="F9093" s="19"/>
      <c r="G9093" s="19"/>
      <c r="H9093" s="19"/>
      <c r="I9093" s="19"/>
      <c r="J9093" s="19"/>
      <c r="K9093" s="19"/>
      <c r="L9093" s="19"/>
      <c r="M9093" s="19"/>
      <c r="N9093" s="19"/>
      <c r="O9093" s="14" t="str">
        <f>HYPERLINK("https://otsuka-europe-crm.veevavault.com/ui/#object/email_activity__v/V8C00000004I246", "EN-002111513")</f>
        <v>EN-002111513</v>
      </c>
    </row>
    <row r="9094" spans="1:15" ht="16" x14ac:dyDescent="0.2">
      <c r="A9094" s="18" t="str">
        <f>HYPERLINK("https://otsuka-europe-crm.veevavault.com/ui/#object/account__v/V4TZ06G6O71T8ZQ", "ANA BELEN ALVAREZ GOMEZ")</f>
        <v>ANA BELEN ALVAREZ GOMEZ</v>
      </c>
      <c r="B9094" s="18" t="str">
        <f>HYPERLINK("https://otsuka-europe-crm.veevavault.com/ui/#object/vcountry__v/VENZ000004SONF5", "ES")</f>
        <v>ES</v>
      </c>
      <c r="C9094" s="20" t="s">
        <v>39</v>
      </c>
      <c r="D9094" s="21" t="str">
        <f>HYPERLINK("https://otsuka-europe-crm.veevavault.com/ui/#object/approved_document__v/V5O00000000L011", "Libro IA en psiquiatría")</f>
        <v>Libro IA en psiquiatría</v>
      </c>
      <c r="E9094" s="22" t="str">
        <f>HYPERLINK("https://otsuka-europe-crm.veevavault.com/ui/#object/sent_email__v/VBL00000003H353", "SE-001448797")</f>
        <v>SE-001448797</v>
      </c>
      <c r="F9094" s="25">
        <v>46234.544247685182</v>
      </c>
      <c r="G9094" s="24">
        <v>1</v>
      </c>
      <c r="H9094" s="24">
        <v>1</v>
      </c>
      <c r="I9094" s="24">
        <v>0</v>
      </c>
      <c r="J9094" s="23"/>
      <c r="K9094" s="24">
        <v>0</v>
      </c>
      <c r="L9094" s="22" t="str">
        <f>HYPERLINK("https://otsuka-europe-crm.veevavault.com/ui/#object/approved_document__v/V5O00000000L011", "Libro IA en psiquiatría")</f>
        <v>Libro IA en psiquiatría</v>
      </c>
      <c r="M9094" s="22" t="str">
        <f>HYPERLINK("mailto:jdiaz@crm.otsuka-europe.com", "jdiaz@crm.otsuka-europe.com")</f>
        <v>jdiaz@crm.otsuka-europe.com</v>
      </c>
      <c r="N9094" s="25">
        <v>46234.47965277778</v>
      </c>
      <c r="O9094" s="14" t="str">
        <f>HYPERLINK("https://otsuka-europe-crm.veevavault.com/ui/#object/email_activity__v/V8C00000004F388", "EN-002110744")</f>
        <v>EN-002110744</v>
      </c>
    </row>
    <row r="9095" spans="1:15" ht="16" x14ac:dyDescent="0.2">
      <c r="A9095" s="19"/>
      <c r="B9095" s="19"/>
      <c r="C9095" s="19"/>
      <c r="D9095" s="19"/>
      <c r="E9095" s="19"/>
      <c r="F9095" s="19"/>
      <c r="G9095" s="19"/>
      <c r="H9095" s="19"/>
      <c r="I9095" s="19"/>
      <c r="J9095" s="19"/>
      <c r="K9095" s="19"/>
      <c r="L9095" s="19"/>
      <c r="M9095" s="19"/>
      <c r="N9095" s="19"/>
      <c r="O9095" s="14" t="str">
        <f>HYPERLINK("https://otsuka-europe-crm.veevavault.com/ui/#object/email_activity__v/V8C00000004G433", "EN-002110509")</f>
        <v>EN-002110509</v>
      </c>
    </row>
    <row r="9096" spans="1:15" ht="32" x14ac:dyDescent="0.2">
      <c r="A9096" s="7" t="str">
        <f>HYPERLINK("https://otsuka-europe-crm.veevavault.com/ui/#object/account__v/V4TZ06G6O71UQRF", "ANTONIA ALOMAR GALMES")</f>
        <v>ANTONIA ALOMAR GALMES</v>
      </c>
      <c r="B9096" s="7" t="str">
        <f>HYPERLINK("https://otsuka-europe-crm.veevavault.com/ui/#object/vcountry__v/VENZ000004SONF5", "ES")</f>
        <v>ES</v>
      </c>
      <c r="C9096" s="8" t="s">
        <v>39</v>
      </c>
      <c r="D9096" s="9" t="str">
        <f>HYPERLINK("https://otsuka-europe-crm.veevavault.com/ui/#object/approved_document__v/V5O00000000L011", "Libro IA en psiquiatría")</f>
        <v>Libro IA en psiquiatría</v>
      </c>
      <c r="E9096" s="10" t="str">
        <f>HYPERLINK("https://otsuka-europe-crm.veevavault.com/ui/#object/sent_email__v/VBL00000003H354", "SE-001448798")</f>
        <v>SE-001448798</v>
      </c>
      <c r="F9096" s="11"/>
      <c r="G9096" s="12">
        <v>0</v>
      </c>
      <c r="H9096" s="12">
        <v>0</v>
      </c>
      <c r="I9096" s="12">
        <v>0</v>
      </c>
      <c r="J9096" s="11"/>
      <c r="K9096" s="12">
        <v>0</v>
      </c>
      <c r="L9096" s="10" t="str">
        <f>HYPERLINK("https://otsuka-europe-crm.veevavault.com/ui/#object/approved_document__v/V5O00000000L011", "Libro IA en psiquiatría")</f>
        <v>Libro IA en psiquiatría</v>
      </c>
      <c r="M9096" s="10" t="str">
        <f>HYPERLINK("mailto:jdiaz@crm.otsuka-europe.com", "jdiaz@crm.otsuka-europe.com")</f>
        <v>jdiaz@crm.otsuka-europe.com</v>
      </c>
      <c r="N9096" s="13">
        <v>46234.47965277778</v>
      </c>
      <c r="O9096" s="14" t="str">
        <f>HYPERLINK("https://otsuka-europe-crm.veevavault.com/ui/#object/email_activity__v/V8C00000004G441", "EN-002110519")</f>
        <v>EN-002110519</v>
      </c>
    </row>
    <row r="9097" spans="1:15" ht="32" x14ac:dyDescent="0.2">
      <c r="A9097" s="7" t="str">
        <f>HYPERLINK("https://otsuka-europe-crm.veevavault.com/ui/#object/account__v/V4TZ06G6O71T86Q", "JAVIER EDUARDO GONZALEZ LUCHA")</f>
        <v>JAVIER EDUARDO GONZALEZ LUCHA</v>
      </c>
      <c r="B9097" s="7" t="str">
        <f>HYPERLINK("https://otsuka-europe-crm.veevavault.com/ui/#object/vcountry__v/VENZ000004SONF5", "ES")</f>
        <v>ES</v>
      </c>
      <c r="C9097" s="8" t="s">
        <v>39</v>
      </c>
      <c r="D9097" s="9" t="str">
        <f>HYPERLINK("https://otsuka-europe-crm.veevavault.com/ui/#object/approved_document__v/V5O00000000L011", "Libro IA en psiquiatría")</f>
        <v>Libro IA en psiquiatría</v>
      </c>
      <c r="E9097" s="10" t="str">
        <f>HYPERLINK("https://otsuka-europe-crm.veevavault.com/ui/#object/sent_email__v/VBL00000003H355", "SE-001448799")</f>
        <v>SE-001448799</v>
      </c>
      <c r="F9097" s="11"/>
      <c r="G9097" s="12">
        <v>0</v>
      </c>
      <c r="H9097" s="12">
        <v>0</v>
      </c>
      <c r="I9097" s="12">
        <v>0</v>
      </c>
      <c r="J9097" s="11"/>
      <c r="K9097" s="12">
        <v>0</v>
      </c>
      <c r="L9097" s="10" t="str">
        <f>HYPERLINK("https://otsuka-europe-crm.veevavault.com/ui/#object/approved_document__v/V5O00000000L011", "Libro IA en psiquiatría")</f>
        <v>Libro IA en psiquiatría</v>
      </c>
      <c r="M9097" s="10" t="str">
        <f>HYPERLINK("mailto:jdiaz@crm.otsuka-europe.com", "jdiaz@crm.otsuka-europe.com")</f>
        <v>jdiaz@crm.otsuka-europe.com</v>
      </c>
      <c r="N9097" s="13">
        <v>46234.47965277778</v>
      </c>
      <c r="O9097" s="14" t="str">
        <f>HYPERLINK("https://otsuka-europe-crm.veevavault.com/ui/#object/email_activity__v/V8C00000004G439", "EN-002110517")</f>
        <v>EN-002110517</v>
      </c>
    </row>
    <row r="9098" spans="1:15" ht="32" x14ac:dyDescent="0.2">
      <c r="A9098" s="7" t="str">
        <f>HYPERLINK("https://otsuka-europe-crm.veevavault.com/ui/#object/account__v/V4TZ06G6O71TA2I", "MARIA ISABEL FLOREZ FERNANDEZ")</f>
        <v>MARIA ISABEL FLOREZ FERNANDEZ</v>
      </c>
      <c r="B9098" s="7" t="str">
        <f>HYPERLINK("https://otsuka-europe-crm.veevavault.com/ui/#object/vcountry__v/VENZ000004SONF5", "ES")</f>
        <v>ES</v>
      </c>
      <c r="C9098" s="8" t="s">
        <v>39</v>
      </c>
      <c r="D9098" s="9" t="str">
        <f>HYPERLINK("https://otsuka-europe-crm.veevavault.com/ui/#object/approved_document__v/V5O00000000L011", "Libro IA en psiquiatría")</f>
        <v>Libro IA en psiquiatría</v>
      </c>
      <c r="E9098" s="10" t="str">
        <f>HYPERLINK("https://otsuka-europe-crm.veevavault.com/ui/#object/sent_email__v/VBL00000003H356", "SE-001448800")</f>
        <v>SE-001448800</v>
      </c>
      <c r="F9098" s="11"/>
      <c r="G9098" s="12">
        <v>0</v>
      </c>
      <c r="H9098" s="12">
        <v>0</v>
      </c>
      <c r="I9098" s="12">
        <v>0</v>
      </c>
      <c r="J9098" s="11"/>
      <c r="K9098" s="12">
        <v>0</v>
      </c>
      <c r="L9098" s="10" t="str">
        <f>HYPERLINK("https://otsuka-europe-crm.veevavault.com/ui/#object/approved_document__v/V5O00000000L011", "Libro IA en psiquiatría")</f>
        <v>Libro IA en psiquiatría</v>
      </c>
      <c r="M9098" s="10" t="str">
        <f>HYPERLINK("mailto:jdiaz@crm.otsuka-europe.com", "jdiaz@crm.otsuka-europe.com")</f>
        <v>jdiaz@crm.otsuka-europe.com</v>
      </c>
      <c r="N9098" s="13">
        <v>46234.479675925926</v>
      </c>
      <c r="O9098" s="14" t="str">
        <f>HYPERLINK("https://otsuka-europe-crm.veevavault.com/ui/#object/email_activity__v/V8C00000004F288", "EN-002110500")</f>
        <v>EN-002110500</v>
      </c>
    </row>
    <row r="9099" spans="1:15" ht="32" x14ac:dyDescent="0.2">
      <c r="A9099" s="7" t="str">
        <f>HYPERLINK("https://otsuka-europe-crm.veevavault.com/ui/#object/account__v/V4TZ04ASG7NKRZK", "RAMSES ALEJANDRO CORTES VALDEZ")</f>
        <v>RAMSES ALEJANDRO CORTES VALDEZ</v>
      </c>
      <c r="B9099" s="7" t="str">
        <f>HYPERLINK("https://otsuka-europe-crm.veevavault.com/ui/#object/vcountry__v/VENZ000004SONF5", "ES")</f>
        <v>ES</v>
      </c>
      <c r="C9099" s="8" t="s">
        <v>39</v>
      </c>
      <c r="D9099" s="9" t="str">
        <f>HYPERLINK("https://otsuka-europe-crm.veevavault.com/ui/#object/approved_document__v/V5O00000000L011", "Libro IA en psiquiatría")</f>
        <v>Libro IA en psiquiatría</v>
      </c>
      <c r="E9099" s="10" t="str">
        <f>HYPERLINK("https://otsuka-europe-crm.veevavault.com/ui/#object/sent_email__v/VBL00000003H357", "SE-001448801")</f>
        <v>SE-001448801</v>
      </c>
      <c r="F9099" s="11"/>
      <c r="G9099" s="12">
        <v>0</v>
      </c>
      <c r="H9099" s="12">
        <v>0</v>
      </c>
      <c r="I9099" s="12">
        <v>0</v>
      </c>
      <c r="J9099" s="11"/>
      <c r="K9099" s="12">
        <v>0</v>
      </c>
      <c r="L9099" s="10" t="str">
        <f>HYPERLINK("https://otsuka-europe-crm.veevavault.com/ui/#object/approved_document__v/V5O00000000L011", "Libro IA en psiquiatría")</f>
        <v>Libro IA en psiquiatría</v>
      </c>
      <c r="M9099" s="10" t="str">
        <f>HYPERLINK("mailto:jdiaz@crm.otsuka-europe.com", "jdiaz@crm.otsuka-europe.com")</f>
        <v>jdiaz@crm.otsuka-europe.com</v>
      </c>
      <c r="N9099" s="13">
        <v>46234.47965277778</v>
      </c>
      <c r="O9099" s="14" t="str">
        <f>HYPERLINK("https://otsuka-europe-crm.veevavault.com/ui/#object/email_activity__v/V8C00000004G440", "EN-002110518")</f>
        <v>EN-002110518</v>
      </c>
    </row>
    <row r="9100" spans="1:15" ht="16" x14ac:dyDescent="0.2">
      <c r="A9100" s="18" t="str">
        <f>HYPERLINK("https://otsuka-europe-crm.veevavault.com/ui/#object/account__v/V4TZ06G6O71T9VX", "LUISA FERNANDA GOEZ SUDUPE")</f>
        <v>LUISA FERNANDA GOEZ SUDUPE</v>
      </c>
      <c r="B9100" s="18" t="str">
        <f>HYPERLINK("https://otsuka-europe-crm.veevavault.com/ui/#object/vcountry__v/VENZ000004SONF5", "ES")</f>
        <v>ES</v>
      </c>
      <c r="C9100" s="20" t="s">
        <v>39</v>
      </c>
      <c r="D9100" s="21" t="str">
        <f>HYPERLINK("https://otsuka-europe-crm.veevavault.com/ui/#object/approved_document__v/V5O00000000L011", "Libro IA en psiquiatría")</f>
        <v>Libro IA en psiquiatría</v>
      </c>
      <c r="E9100" s="22" t="str">
        <f>HYPERLINK("https://otsuka-europe-crm.veevavault.com/ui/#object/sent_email__v/VBL00000003H358", "SE-001448802")</f>
        <v>SE-001448802</v>
      </c>
      <c r="F9100" s="25">
        <v>46234.827499999999</v>
      </c>
      <c r="G9100" s="24">
        <v>1</v>
      </c>
      <c r="H9100" s="24">
        <v>2</v>
      </c>
      <c r="I9100" s="24">
        <v>0</v>
      </c>
      <c r="J9100" s="23"/>
      <c r="K9100" s="24">
        <v>0</v>
      </c>
      <c r="L9100" s="22" t="str">
        <f>HYPERLINK("https://otsuka-europe-crm.veevavault.com/ui/#object/approved_document__v/V5O00000000L011", "Libro IA en psiquiatría")</f>
        <v>Libro IA en psiquiatría</v>
      </c>
      <c r="M9100" s="22" t="str">
        <f>HYPERLINK("mailto:jdiaz@crm.otsuka-europe.com", "jdiaz@crm.otsuka-europe.com")</f>
        <v>jdiaz@crm.otsuka-europe.com</v>
      </c>
      <c r="N9100" s="25">
        <v>46234.47965277778</v>
      </c>
      <c r="O9100" s="14" t="str">
        <f>HYPERLINK("https://otsuka-europe-crm.veevavault.com/ui/#object/email_activity__v/V8C00000004F478", "EN-002110905")</f>
        <v>EN-002110905</v>
      </c>
    </row>
    <row r="9101" spans="1:15" ht="16" x14ac:dyDescent="0.2">
      <c r="A9101" s="26"/>
      <c r="B9101" s="26"/>
      <c r="C9101" s="26"/>
      <c r="D9101" s="26"/>
      <c r="E9101" s="26"/>
      <c r="F9101" s="26"/>
      <c r="G9101" s="26"/>
      <c r="H9101" s="26"/>
      <c r="I9101" s="26"/>
      <c r="J9101" s="26"/>
      <c r="K9101" s="26"/>
      <c r="L9101" s="26"/>
      <c r="M9101" s="26"/>
      <c r="N9101" s="26"/>
      <c r="O9101" s="14" t="str">
        <f>HYPERLINK("https://otsuka-europe-crm.veevavault.com/ui/#object/email_activity__v/V8C00000004G430", "EN-002110506")</f>
        <v>EN-002110506</v>
      </c>
    </row>
    <row r="9102" spans="1:15" ht="16" x14ac:dyDescent="0.2">
      <c r="A9102" s="19"/>
      <c r="B9102" s="19"/>
      <c r="C9102" s="19"/>
      <c r="D9102" s="19"/>
      <c r="E9102" s="19"/>
      <c r="F9102" s="19"/>
      <c r="G9102" s="19"/>
      <c r="H9102" s="19"/>
      <c r="I9102" s="19"/>
      <c r="J9102" s="19"/>
      <c r="K9102" s="19"/>
      <c r="L9102" s="19"/>
      <c r="M9102" s="19"/>
      <c r="N9102" s="19"/>
      <c r="O9102" s="14" t="str">
        <f>HYPERLINK("https://otsuka-europe-crm.veevavault.com/ui/#object/email_activity__v/V8C00000004G645", "EN-002110904")</f>
        <v>EN-002110904</v>
      </c>
    </row>
    <row r="9103" spans="1:15" ht="32" x14ac:dyDescent="0.2">
      <c r="A9103" s="7" t="str">
        <f>HYPERLINK("https://otsuka-europe-crm.veevavault.com/ui/#object/account__v/V4TZ04ASG7NKRZL", "FRANCISCO JESUS CAMARA AGUILERA")</f>
        <v>FRANCISCO JESUS CAMARA AGUILERA</v>
      </c>
      <c r="B9103" s="7" t="str">
        <f>HYPERLINK("https://otsuka-europe-crm.veevavault.com/ui/#object/vcountry__v/VENZ000004SONF5", "ES")</f>
        <v>ES</v>
      </c>
      <c r="C9103" s="8" t="s">
        <v>39</v>
      </c>
      <c r="D9103" s="9" t="str">
        <f>HYPERLINK("https://otsuka-europe-crm.veevavault.com/ui/#object/approved_document__v/V5O00000000L011", "Libro IA en psiquiatría")</f>
        <v>Libro IA en psiquiatría</v>
      </c>
      <c r="E9103" s="10" t="str">
        <f>HYPERLINK("https://otsuka-europe-crm.veevavault.com/ui/#object/sent_email__v/VBL00000003H359", "SE-001448803")</f>
        <v>SE-001448803</v>
      </c>
      <c r="F9103" s="11"/>
      <c r="G9103" s="12">
        <v>0</v>
      </c>
      <c r="H9103" s="12">
        <v>0</v>
      </c>
      <c r="I9103" s="12">
        <v>0</v>
      </c>
      <c r="J9103" s="11"/>
      <c r="K9103" s="12">
        <v>0</v>
      </c>
      <c r="L9103" s="10" t="str">
        <f>HYPERLINK("https://otsuka-europe-crm.veevavault.com/ui/#object/approved_document__v/V5O00000000L011", "Libro IA en psiquiatría")</f>
        <v>Libro IA en psiquiatría</v>
      </c>
      <c r="M9103" s="10" t="str">
        <f>HYPERLINK("mailto:jdiaz@crm.otsuka-europe.com", "jdiaz@crm.otsuka-europe.com")</f>
        <v>jdiaz@crm.otsuka-europe.com</v>
      </c>
      <c r="N9103" s="13">
        <v>46234.47965277778</v>
      </c>
      <c r="O9103" s="14" t="str">
        <f>HYPERLINK("https://otsuka-europe-crm.veevavault.com/ui/#object/email_activity__v/V8C00000004G415", "EN-002110488")</f>
        <v>EN-002110488</v>
      </c>
    </row>
    <row r="9104" spans="1:15" ht="16" x14ac:dyDescent="0.2">
      <c r="A9104" s="18" t="str">
        <f>HYPERLINK("https://otsuka-europe-crm.veevavault.com/ui/#object/account__v/V4T000000016118", "HELEN DOLENGEVICH SEGAL")</f>
        <v>HELEN DOLENGEVICH SEGAL</v>
      </c>
      <c r="B9104" s="18" t="str">
        <f>HYPERLINK("https://otsuka-europe-crm.veevavault.com/ui/#object/vcountry__v/VENZ000004SONF5", "ES")</f>
        <v>ES</v>
      </c>
      <c r="C9104" s="20" t="s">
        <v>39</v>
      </c>
      <c r="D9104" s="21" t="str">
        <f>HYPERLINK("https://otsuka-europe-crm.veevavault.com/ui/#object/approved_document__v/V5O00000000L011", "Libro IA en psiquiatría")</f>
        <v>Libro IA en psiquiatría</v>
      </c>
      <c r="E9104" s="22" t="str">
        <f>HYPERLINK("https://otsuka-europe-crm.veevavault.com/ui/#object/sent_email__v/VBL00000003H360", "SE-001448804")</f>
        <v>SE-001448804</v>
      </c>
      <c r="F9104" s="23"/>
      <c r="G9104" s="24">
        <v>0</v>
      </c>
      <c r="H9104" s="24">
        <v>0</v>
      </c>
      <c r="I9104" s="24">
        <v>0</v>
      </c>
      <c r="J9104" s="23"/>
      <c r="K9104" s="24">
        <v>0</v>
      </c>
      <c r="L9104" s="22" t="str">
        <f>HYPERLINK("https://otsuka-europe-crm.veevavault.com/ui/#object/approved_document__v/V5O00000000L011", "Libro IA en psiquiatría")</f>
        <v>Libro IA en psiquiatría</v>
      </c>
      <c r="M9104" s="22" t="str">
        <f>HYPERLINK("mailto:jdiaz@crm.otsuka-europe.com", "jdiaz@crm.otsuka-europe.com")</f>
        <v>jdiaz@crm.otsuka-europe.com</v>
      </c>
      <c r="N9104" s="25">
        <v>46234.479583333334</v>
      </c>
      <c r="O9104" s="14" t="str">
        <f>HYPERLINK("https://otsuka-europe-crm.veevavault.com/ui/#object/email_activity__v/V8C00000004F286", "EN-002110484")</f>
        <v>EN-002110484</v>
      </c>
    </row>
    <row r="9105" spans="1:15" ht="16" x14ac:dyDescent="0.2">
      <c r="A9105" s="19"/>
      <c r="B9105" s="19"/>
      <c r="C9105" s="19"/>
      <c r="D9105" s="19"/>
      <c r="E9105" s="19"/>
      <c r="F9105" s="19"/>
      <c r="G9105" s="19"/>
      <c r="H9105" s="19"/>
      <c r="I9105" s="19"/>
      <c r="J9105" s="19"/>
      <c r="K9105" s="19"/>
      <c r="L9105" s="19"/>
      <c r="M9105" s="19"/>
      <c r="N9105" s="19"/>
      <c r="O9105" s="14" t="str">
        <f>HYPERLINK("https://otsuka-europe-crm.veevavault.com/ui/#object/email_activity__v/V8C00000004G565", "EN-002110734")</f>
        <v>EN-002110734</v>
      </c>
    </row>
    <row r="9106" spans="1:15" ht="32" x14ac:dyDescent="0.2">
      <c r="A9106" s="7" t="str">
        <f>HYPERLINK("https://otsuka-europe-crm.veevavault.com/ui/#object/account__v/V4TZ06G6O71T9I0", "MARIA CARMEN BOSCH CALERO")</f>
        <v>MARIA CARMEN BOSCH CALERO</v>
      </c>
      <c r="B9106" s="7" t="str">
        <f>HYPERLINK("https://otsuka-europe-crm.veevavault.com/ui/#object/vcountry__v/VENZ000004SONF5", "ES")</f>
        <v>ES</v>
      </c>
      <c r="C9106" s="8" t="s">
        <v>39</v>
      </c>
      <c r="D9106" s="9" t="str">
        <f>HYPERLINK("https://otsuka-europe-crm.veevavault.com/ui/#object/approved_document__v/V5O00000000L011", "Libro IA en psiquiatría")</f>
        <v>Libro IA en psiquiatría</v>
      </c>
      <c r="E9106" s="10" t="str">
        <f>HYPERLINK("https://otsuka-europe-crm.veevavault.com/ui/#object/sent_email__v/VBL00000003H361", "SE-001448805")</f>
        <v>SE-001448805</v>
      </c>
      <c r="F9106" s="11"/>
      <c r="G9106" s="12">
        <v>0</v>
      </c>
      <c r="H9106" s="12">
        <v>0</v>
      </c>
      <c r="I9106" s="12">
        <v>0</v>
      </c>
      <c r="J9106" s="11"/>
      <c r="K9106" s="12">
        <v>0</v>
      </c>
      <c r="L9106" s="10" t="str">
        <f>HYPERLINK("https://otsuka-europe-crm.veevavault.com/ui/#object/approved_document__v/V5O00000000L011", "Libro IA en psiquiatría")</f>
        <v>Libro IA en psiquiatría</v>
      </c>
      <c r="M9106" s="10" t="str">
        <f>HYPERLINK("mailto:jdiaz@crm.otsuka-europe.com", "jdiaz@crm.otsuka-europe.com")</f>
        <v>jdiaz@crm.otsuka-europe.com</v>
      </c>
      <c r="N9106" s="13">
        <v>46234.479583333334</v>
      </c>
      <c r="O9106" s="14" t="str">
        <f>HYPERLINK("https://otsuka-europe-crm.veevavault.com/ui/#object/email_activity__v/V8C00000004F282", "EN-002110480")</f>
        <v>EN-002110480</v>
      </c>
    </row>
    <row r="9107" spans="1:15" ht="32" x14ac:dyDescent="0.2">
      <c r="A9107" s="7" t="str">
        <f>HYPERLINK("https://otsuka-europe-crm.veevavault.com/ui/#object/account__v/V4TZ06G6O71T92H", "IRATXE AGUIRRE ORUE")</f>
        <v>IRATXE AGUIRRE ORUE</v>
      </c>
      <c r="B9107" s="7" t="str">
        <f>HYPERLINK("https://otsuka-europe-crm.veevavault.com/ui/#object/vcountry__v/VENZ000004SONF5", "ES")</f>
        <v>ES</v>
      </c>
      <c r="C9107" s="8" t="s">
        <v>39</v>
      </c>
      <c r="D9107" s="9" t="str">
        <f>HYPERLINK("https://otsuka-europe-crm.veevavault.com/ui/#object/approved_document__v/V5O00000000L011", "Libro IA en psiquiatría")</f>
        <v>Libro IA en psiquiatría</v>
      </c>
      <c r="E9107" s="10" t="str">
        <f>HYPERLINK("https://otsuka-europe-crm.veevavault.com/ui/#object/sent_email__v/VBL00000003H362", "SE-001448806")</f>
        <v>SE-001448806</v>
      </c>
      <c r="F9107" s="11"/>
      <c r="G9107" s="12">
        <v>0</v>
      </c>
      <c r="H9107" s="12">
        <v>0</v>
      </c>
      <c r="I9107" s="12">
        <v>0</v>
      </c>
      <c r="J9107" s="11"/>
      <c r="K9107" s="12">
        <v>0</v>
      </c>
      <c r="L9107" s="10" t="str">
        <f>HYPERLINK("https://otsuka-europe-crm.veevavault.com/ui/#object/approved_document__v/V5O00000000L011", "Libro IA en psiquiatría")</f>
        <v>Libro IA en psiquiatría</v>
      </c>
      <c r="M9107" s="10" t="str">
        <f>HYPERLINK("mailto:jdiaz@crm.otsuka-europe.com", "jdiaz@crm.otsuka-europe.com")</f>
        <v>jdiaz@crm.otsuka-europe.com</v>
      </c>
      <c r="N9107" s="13">
        <v>46234.479583333334</v>
      </c>
      <c r="O9107" s="14" t="str">
        <f>HYPERLINK("https://otsuka-europe-crm.veevavault.com/ui/#object/email_activity__v/V8C00000004G413", "EN-002110486")</f>
        <v>EN-002110486</v>
      </c>
    </row>
    <row r="9108" spans="1:15" ht="16" x14ac:dyDescent="0.2">
      <c r="A9108" s="18" t="str">
        <f>HYPERLINK("https://otsuka-europe-crm.veevavault.com/ui/#object/account__v/V4TZ04ASG7NDM9B", "ANA BOLON MARSET")</f>
        <v>ANA BOLON MARSET</v>
      </c>
      <c r="B9108" s="18" t="str">
        <f>HYPERLINK("https://otsuka-europe-crm.veevavault.com/ui/#object/vcountry__v/VENZ000004SONF5", "ES")</f>
        <v>ES</v>
      </c>
      <c r="C9108" s="20" t="s">
        <v>39</v>
      </c>
      <c r="D9108" s="21" t="str">
        <f>HYPERLINK("https://otsuka-europe-crm.veevavault.com/ui/#object/approved_document__v/V5O00000000L011", "Libro IA en psiquiatría")</f>
        <v>Libro IA en psiquiatría</v>
      </c>
      <c r="E9108" s="22" t="str">
        <f>HYPERLINK("https://otsuka-europe-crm.veevavault.com/ui/#object/sent_email__v/VBL00000003H363", "SE-001448807")</f>
        <v>SE-001448807</v>
      </c>
      <c r="F9108" s="23"/>
      <c r="G9108" s="24">
        <v>0</v>
      </c>
      <c r="H9108" s="24">
        <v>0</v>
      </c>
      <c r="I9108" s="24">
        <v>0</v>
      </c>
      <c r="J9108" s="23"/>
      <c r="K9108" s="24">
        <v>0</v>
      </c>
      <c r="L9108" s="22" t="str">
        <f>HYPERLINK("https://otsuka-europe-crm.veevavault.com/ui/#object/approved_document__v/V5O00000000L011", "Libro IA en psiquiatría")</f>
        <v>Libro IA en psiquiatría</v>
      </c>
      <c r="M9108" s="22" t="str">
        <f>HYPERLINK("mailto:jdiaz@crm.otsuka-europe.com", "jdiaz@crm.otsuka-europe.com")</f>
        <v>jdiaz@crm.otsuka-europe.com</v>
      </c>
      <c r="N9108" s="25">
        <v>46234.479583333334</v>
      </c>
      <c r="O9108" s="14" t="str">
        <f>HYPERLINK("https://otsuka-europe-crm.veevavault.com/ui/#object/email_activity__v/V8C00000004F291", "EN-002110510")</f>
        <v>EN-002110510</v>
      </c>
    </row>
    <row r="9109" spans="1:15" ht="16" x14ac:dyDescent="0.2">
      <c r="A9109" s="26"/>
      <c r="B9109" s="26"/>
      <c r="C9109" s="26"/>
      <c r="D9109" s="26"/>
      <c r="E9109" s="26"/>
      <c r="F9109" s="26"/>
      <c r="G9109" s="26"/>
      <c r="H9109" s="26"/>
      <c r="I9109" s="26"/>
      <c r="J9109" s="26"/>
      <c r="K9109" s="26"/>
      <c r="L9109" s="26"/>
      <c r="M9109" s="26"/>
      <c r="N9109" s="26"/>
      <c r="O9109" s="14" t="str">
        <f>HYPERLINK("https://otsuka-europe-crm.veevavault.com/ui/#object/email_activity__v/V8C00000004H061", "EN-002111045")</f>
        <v>EN-002111045</v>
      </c>
    </row>
    <row r="9110" spans="1:15" ht="16" x14ac:dyDescent="0.2">
      <c r="A9110" s="19"/>
      <c r="B9110" s="19"/>
      <c r="C9110" s="19"/>
      <c r="D9110" s="19"/>
      <c r="E9110" s="19"/>
      <c r="F9110" s="19"/>
      <c r="G9110" s="19"/>
      <c r="H9110" s="19"/>
      <c r="I9110" s="19"/>
      <c r="J9110" s="19"/>
      <c r="K9110" s="19"/>
      <c r="L9110" s="19"/>
      <c r="M9110" s="19"/>
      <c r="N9110" s="19"/>
      <c r="O9110" s="14" t="str">
        <f>HYPERLINK("https://otsuka-europe-crm.veevavault.com/ui/#object/email_activity__v/V8C00000004I265", "EN-002111558")</f>
        <v>EN-002111558</v>
      </c>
    </row>
    <row r="9111" spans="1:15" ht="32" x14ac:dyDescent="0.2">
      <c r="A9111" s="7" t="str">
        <f>HYPERLINK("https://otsuka-europe-crm.veevavault.com/ui/#object/account__v/V4TZ06G6O71TA8Q", "BEGOÑA CHACARTEGUI QUETGLAS")</f>
        <v>BEGOÑA CHACARTEGUI QUETGLAS</v>
      </c>
      <c r="B9111" s="7" t="str">
        <f>HYPERLINK("https://otsuka-europe-crm.veevavault.com/ui/#object/vcountry__v/VENZ000004SONF5", "ES")</f>
        <v>ES</v>
      </c>
      <c r="C9111" s="8" t="s">
        <v>39</v>
      </c>
      <c r="D9111" s="9" t="str">
        <f>HYPERLINK("https://otsuka-europe-crm.veevavault.com/ui/#object/approved_document__v/V5O00000000L011", "Libro IA en psiquiatría")</f>
        <v>Libro IA en psiquiatría</v>
      </c>
      <c r="E9111" s="10" t="str">
        <f>HYPERLINK("https://otsuka-europe-crm.veevavault.com/ui/#object/sent_email__v/VBL00000003H364", "SE-001448808")</f>
        <v>SE-001448808</v>
      </c>
      <c r="F9111" s="11"/>
      <c r="G9111" s="12">
        <v>0</v>
      </c>
      <c r="H9111" s="12">
        <v>0</v>
      </c>
      <c r="I9111" s="12">
        <v>0</v>
      </c>
      <c r="J9111" s="11"/>
      <c r="K9111" s="12">
        <v>0</v>
      </c>
      <c r="L9111" s="10" t="str">
        <f>HYPERLINK("https://otsuka-europe-crm.veevavault.com/ui/#object/approved_document__v/V5O00000000L011", "Libro IA en psiquiatría")</f>
        <v>Libro IA en psiquiatría</v>
      </c>
      <c r="M9111" s="10" t="str">
        <f>HYPERLINK("mailto:jdiaz@crm.otsuka-europe.com", "jdiaz@crm.otsuka-europe.com")</f>
        <v>jdiaz@crm.otsuka-europe.com</v>
      </c>
      <c r="N9111" s="13">
        <v>46234.47960648148</v>
      </c>
      <c r="O9111" s="14" t="str">
        <f>HYPERLINK("https://otsuka-europe-crm.veevavault.com/ui/#object/email_activity__v/V8C00000004G426", "EN-002110499")</f>
        <v>EN-002110499</v>
      </c>
    </row>
    <row r="9112" spans="1:15" ht="32" x14ac:dyDescent="0.2">
      <c r="A9112" s="7" t="str">
        <f>HYPERLINK("https://otsuka-europe-crm.veevavault.com/ui/#object/account__v/V4TZ06G6O71T9XO", "MARIA JOSE GARCIA NAVARRO")</f>
        <v>MARIA JOSE GARCIA NAVARRO</v>
      </c>
      <c r="B9112" s="7" t="str">
        <f>HYPERLINK("https://otsuka-europe-crm.veevavault.com/ui/#object/vcountry__v/VENZ000004SONF5", "ES")</f>
        <v>ES</v>
      </c>
      <c r="C9112" s="8" t="s">
        <v>39</v>
      </c>
      <c r="D9112" s="9" t="str">
        <f>HYPERLINK("https://otsuka-europe-crm.veevavault.com/ui/#object/approved_document__v/V5O00000000L011", "Libro IA en psiquiatría")</f>
        <v>Libro IA en psiquiatría</v>
      </c>
      <c r="E9112" s="10" t="str">
        <f>HYPERLINK("https://otsuka-europe-crm.veevavault.com/ui/#object/sent_email__v/VBL00000003H365", "SE-001448809")</f>
        <v>SE-001448809</v>
      </c>
      <c r="F9112" s="11"/>
      <c r="G9112" s="12">
        <v>0</v>
      </c>
      <c r="H9112" s="12">
        <v>0</v>
      </c>
      <c r="I9112" s="12">
        <v>0</v>
      </c>
      <c r="J9112" s="11"/>
      <c r="K9112" s="12">
        <v>0</v>
      </c>
      <c r="L9112" s="10" t="str">
        <f>HYPERLINK("https://otsuka-europe-crm.veevavault.com/ui/#object/approved_document__v/V5O00000000L011", "Libro IA en psiquiatría")</f>
        <v>Libro IA en psiquiatría</v>
      </c>
      <c r="M9112" s="10" t="str">
        <f>HYPERLINK("mailto:jdiaz@crm.otsuka-europe.com", "jdiaz@crm.otsuka-europe.com")</f>
        <v>jdiaz@crm.otsuka-europe.com</v>
      </c>
      <c r="N9112" s="13">
        <v>46234.47965277778</v>
      </c>
      <c r="O9112" s="14" t="str">
        <f>HYPERLINK("https://otsuka-europe-crm.veevavault.com/ui/#object/email_activity__v/V8C00000004G434", "EN-002110512")</f>
        <v>EN-002110512</v>
      </c>
    </row>
    <row r="9113" spans="1:15" ht="32" x14ac:dyDescent="0.2">
      <c r="A9113" s="7" t="str">
        <f>HYPERLINK("https://otsuka-europe-crm.veevavault.com/ui/#object/account__v/V4TZ06G6O71T75Q", "ROCIO GOMEZ JUANES")</f>
        <v>ROCIO GOMEZ JUANES</v>
      </c>
      <c r="B9113" s="7" t="str">
        <f>HYPERLINK("https://otsuka-europe-crm.veevavault.com/ui/#object/vcountry__v/VENZ000004SONF5", "ES")</f>
        <v>ES</v>
      </c>
      <c r="C9113" s="8" t="s">
        <v>39</v>
      </c>
      <c r="D9113" s="9" t="str">
        <f>HYPERLINK("https://otsuka-europe-crm.veevavault.com/ui/#object/approved_document__v/V5O00000000L011", "Libro IA en psiquiatría")</f>
        <v>Libro IA en psiquiatría</v>
      </c>
      <c r="E9113" s="10" t="str">
        <f>HYPERLINK("https://otsuka-europe-crm.veevavault.com/ui/#object/sent_email__v/VBL00000003H366", "SE-001448810")</f>
        <v>SE-001448810</v>
      </c>
      <c r="F9113" s="11"/>
      <c r="G9113" s="12">
        <v>0</v>
      </c>
      <c r="H9113" s="12">
        <v>0</v>
      </c>
      <c r="I9113" s="12">
        <v>0</v>
      </c>
      <c r="J9113" s="11"/>
      <c r="K9113" s="12">
        <v>0</v>
      </c>
      <c r="L9113" s="10" t="str">
        <f>HYPERLINK("https://otsuka-europe-crm.veevavault.com/ui/#object/approved_document__v/V5O00000000L011", "Libro IA en psiquiatría")</f>
        <v>Libro IA en psiquiatría</v>
      </c>
      <c r="M9113" s="10" t="str">
        <f>HYPERLINK("mailto:jdiaz@crm.otsuka-europe.com", "jdiaz@crm.otsuka-europe.com")</f>
        <v>jdiaz@crm.otsuka-europe.com</v>
      </c>
      <c r="N9113" s="13">
        <v>46234.47965277778</v>
      </c>
      <c r="O9113" s="14" t="str">
        <f>HYPERLINK("https://otsuka-europe-crm.veevavault.com/ui/#object/email_activity__v/V8C00000004G442", "EN-002110520")</f>
        <v>EN-002110520</v>
      </c>
    </row>
    <row r="9114" spans="1:15" ht="16" x14ac:dyDescent="0.2">
      <c r="A9114" s="18" t="str">
        <f>HYPERLINK("https://otsuka-europe-crm.veevavault.com/ui/#object/account__v/V4TZ025E82RKL10", "CLARA CATERINA CALDENTEY DURAN")</f>
        <v>CLARA CATERINA CALDENTEY DURAN</v>
      </c>
      <c r="B9114" s="18" t="str">
        <f>HYPERLINK("https://otsuka-europe-crm.veevavault.com/ui/#object/vcountry__v/VENZ000004SONF5", "ES")</f>
        <v>ES</v>
      </c>
      <c r="C9114" s="20" t="s">
        <v>39</v>
      </c>
      <c r="D9114" s="21" t="str">
        <f>HYPERLINK("https://otsuka-europe-crm.veevavault.com/ui/#object/approved_document__v/V5O00000000L011", "Libro IA en psiquiatría")</f>
        <v>Libro IA en psiquiatría</v>
      </c>
      <c r="E9114" s="22" t="str">
        <f>HYPERLINK("https://otsuka-europe-crm.veevavault.com/ui/#object/sent_email__v/VBL00000003H367", "SE-001448811")</f>
        <v>SE-001448811</v>
      </c>
      <c r="F9114" s="25">
        <v>46235.37767361111</v>
      </c>
      <c r="G9114" s="24">
        <v>1</v>
      </c>
      <c r="H9114" s="24">
        <v>1</v>
      </c>
      <c r="I9114" s="24">
        <v>0</v>
      </c>
      <c r="J9114" s="23"/>
      <c r="K9114" s="24">
        <v>0</v>
      </c>
      <c r="L9114" s="22" t="str">
        <f>HYPERLINK("https://otsuka-europe-crm.veevavault.com/ui/#object/approved_document__v/V5O00000000L011", "Libro IA en psiquiatría")</f>
        <v>Libro IA en psiquiatría</v>
      </c>
      <c r="M9114" s="22" t="str">
        <f>HYPERLINK("mailto:jdiaz@crm.otsuka-europe.com", "jdiaz@crm.otsuka-europe.com")</f>
        <v>jdiaz@crm.otsuka-europe.com</v>
      </c>
      <c r="N9114" s="25">
        <v>46234.47965277778</v>
      </c>
      <c r="O9114" s="14" t="str">
        <f>HYPERLINK("https://otsuka-europe-crm.veevavault.com/ui/#object/email_activity__v/V8C00000004F289", "EN-002110504")</f>
        <v>EN-002110504</v>
      </c>
    </row>
    <row r="9115" spans="1:15" ht="16" x14ac:dyDescent="0.2">
      <c r="A9115" s="19"/>
      <c r="B9115" s="19"/>
      <c r="C9115" s="19"/>
      <c r="D9115" s="19"/>
      <c r="E9115" s="19"/>
      <c r="F9115" s="19"/>
      <c r="G9115" s="19"/>
      <c r="H9115" s="19"/>
      <c r="I9115" s="19"/>
      <c r="J9115" s="19"/>
      <c r="K9115" s="19"/>
      <c r="L9115" s="19"/>
      <c r="M9115" s="19"/>
      <c r="N9115" s="19"/>
      <c r="O9115" s="14" t="str">
        <f>HYPERLINK("https://otsuka-europe-crm.veevavault.com/ui/#object/email_activity__v/V8C00000004H051", "EN-002111009")</f>
        <v>EN-002111009</v>
      </c>
    </row>
    <row r="9116" spans="1:15" ht="16" x14ac:dyDescent="0.2">
      <c r="A9116" s="18" t="str">
        <f>HYPERLINK("https://otsuka-europe-crm.veevavault.com/ui/#object/account__v/V4TZ06G6O71T7CX", "MIGUEL ECHEVARRIA MARTINEZ DE BUJO")</f>
        <v>MIGUEL ECHEVARRIA MARTINEZ DE BUJO</v>
      </c>
      <c r="B9116" s="18" t="str">
        <f>HYPERLINK("https://otsuka-europe-crm.veevavault.com/ui/#object/vcountry__v/VENZ000004SONF5", "ES")</f>
        <v>ES</v>
      </c>
      <c r="C9116" s="20" t="s">
        <v>39</v>
      </c>
      <c r="D9116" s="21" t="str">
        <f>HYPERLINK("https://otsuka-europe-crm.veevavault.com/ui/#object/approved_document__v/V5O00000000L011", "Libro IA en psiquiatría")</f>
        <v>Libro IA en psiquiatría</v>
      </c>
      <c r="E9116" s="22" t="str">
        <f>HYPERLINK("https://otsuka-europe-crm.veevavault.com/ui/#object/sent_email__v/VBL00000003H368", "SE-001448812")</f>
        <v>SE-001448812</v>
      </c>
      <c r="F9116" s="23"/>
      <c r="G9116" s="24">
        <v>0</v>
      </c>
      <c r="H9116" s="24">
        <v>0</v>
      </c>
      <c r="I9116" s="24">
        <v>0</v>
      </c>
      <c r="J9116" s="23"/>
      <c r="K9116" s="24">
        <v>0</v>
      </c>
      <c r="L9116" s="22" t="str">
        <f>HYPERLINK("https://otsuka-europe-crm.veevavault.com/ui/#object/approved_document__v/V5O00000000L011", "Libro IA en psiquiatría")</f>
        <v>Libro IA en psiquiatría</v>
      </c>
      <c r="M9116" s="22" t="str">
        <f>HYPERLINK("mailto:jdiaz@crm.otsuka-europe.com", "jdiaz@crm.otsuka-europe.com")</f>
        <v>jdiaz@crm.otsuka-europe.com</v>
      </c>
      <c r="N9116" s="25">
        <v>46234.479583333334</v>
      </c>
      <c r="O9116" s="14" t="str">
        <f>HYPERLINK("https://otsuka-europe-crm.veevavault.com/ui/#object/email_activity__v/V8C00000004F431", "EN-002110829")</f>
        <v>EN-002110829</v>
      </c>
    </row>
    <row r="9117" spans="1:15" ht="16" x14ac:dyDescent="0.2">
      <c r="A9117" s="19"/>
      <c r="B9117" s="19"/>
      <c r="C9117" s="19"/>
      <c r="D9117" s="19"/>
      <c r="E9117" s="19"/>
      <c r="F9117" s="19"/>
      <c r="G9117" s="19"/>
      <c r="H9117" s="19"/>
      <c r="I9117" s="19"/>
      <c r="J9117" s="19"/>
      <c r="K9117" s="19"/>
      <c r="L9117" s="19"/>
      <c r="M9117" s="19"/>
      <c r="N9117" s="19"/>
      <c r="O9117" s="14" t="str">
        <f>HYPERLINK("https://otsuka-europe-crm.veevavault.com/ui/#object/email_activity__v/V8C00000004G423", "EN-002110496")</f>
        <v>EN-002110496</v>
      </c>
    </row>
    <row r="9118" spans="1:15" ht="32" x14ac:dyDescent="0.2">
      <c r="A9118" s="7" t="str">
        <f>HYPERLINK("https://otsuka-europe-crm.veevavault.com/ui/#object/account__v/V4TZ06G6O71T8FA", "PAOLA MICHELL BARAHONA ACEITUNO")</f>
        <v>PAOLA MICHELL BARAHONA ACEITUNO</v>
      </c>
      <c r="B9118" s="7" t="str">
        <f>HYPERLINK("https://otsuka-europe-crm.veevavault.com/ui/#object/vcountry__v/VENZ000004SONF5", "ES")</f>
        <v>ES</v>
      </c>
      <c r="C9118" s="8" t="s">
        <v>39</v>
      </c>
      <c r="D9118" s="9" t="str">
        <f>HYPERLINK("https://otsuka-europe-crm.veevavault.com/ui/#object/approved_document__v/V5O00000000L011", "Libro IA en psiquiatría")</f>
        <v>Libro IA en psiquiatría</v>
      </c>
      <c r="E9118" s="10" t="str">
        <f>HYPERLINK("https://otsuka-europe-crm.veevavault.com/ui/#object/sent_email__v/VBL00000003H369", "SE-001448813")</f>
        <v>SE-001448813</v>
      </c>
      <c r="F9118" s="11"/>
      <c r="G9118" s="12">
        <v>0</v>
      </c>
      <c r="H9118" s="12">
        <v>0</v>
      </c>
      <c r="I9118" s="12">
        <v>0</v>
      </c>
      <c r="J9118" s="11"/>
      <c r="K9118" s="12">
        <v>0</v>
      </c>
      <c r="L9118" s="10" t="str">
        <f>HYPERLINK("https://otsuka-europe-crm.veevavault.com/ui/#object/approved_document__v/V5O00000000L011", "Libro IA en psiquiatría")</f>
        <v>Libro IA en psiquiatría</v>
      </c>
      <c r="M9118" s="10" t="str">
        <f>HYPERLINK("mailto:jdiaz@crm.otsuka-europe.com", "jdiaz@crm.otsuka-europe.com")</f>
        <v>jdiaz@crm.otsuka-europe.com</v>
      </c>
      <c r="N9118" s="13">
        <v>46234.479571759257</v>
      </c>
      <c r="O9118" s="14" t="str">
        <f>HYPERLINK("https://otsuka-europe-crm.veevavault.com/ui/#object/email_activity__v/V8C00000004G422", "EN-002110495")</f>
        <v>EN-002110495</v>
      </c>
    </row>
    <row r="9119" spans="1:15" ht="32" x14ac:dyDescent="0.2">
      <c r="A9119" s="7" t="str">
        <f>HYPERLINK("https://otsuka-europe-crm.veevavault.com/ui/#object/account__v/V4TZ06G6O71TAD9", "DANIEL GINER JIMENEZ")</f>
        <v>DANIEL GINER JIMENEZ</v>
      </c>
      <c r="B9119" s="7" t="str">
        <f>HYPERLINK("https://otsuka-europe-crm.veevavault.com/ui/#object/vcountry__v/VENZ000004SONF5", "ES")</f>
        <v>ES</v>
      </c>
      <c r="C9119" s="8" t="s">
        <v>39</v>
      </c>
      <c r="D9119" s="9" t="str">
        <f>HYPERLINK("https://otsuka-europe-crm.veevavault.com/ui/#object/approved_document__v/V5O00000000L011", "Libro IA en psiquiatría")</f>
        <v>Libro IA en psiquiatría</v>
      </c>
      <c r="E9119" s="10" t="str">
        <f>HYPERLINK("https://otsuka-europe-crm.veevavault.com/ui/#object/sent_email__v/VBL00000003H370", "SE-001448814")</f>
        <v>SE-001448814</v>
      </c>
      <c r="F9119" s="11"/>
      <c r="G9119" s="12">
        <v>0</v>
      </c>
      <c r="H9119" s="12">
        <v>0</v>
      </c>
      <c r="I9119" s="12">
        <v>0</v>
      </c>
      <c r="J9119" s="11"/>
      <c r="K9119" s="12">
        <v>0</v>
      </c>
      <c r="L9119" s="10" t="str">
        <f>HYPERLINK("https://otsuka-europe-crm.veevavault.com/ui/#object/approved_document__v/V5O00000000L011", "Libro IA en psiquiatría")</f>
        <v>Libro IA en psiquiatría</v>
      </c>
      <c r="M9119" s="10" t="str">
        <f>HYPERLINK("mailto:jdiaz@crm.otsuka-europe.com", "jdiaz@crm.otsuka-europe.com")</f>
        <v>jdiaz@crm.otsuka-europe.com</v>
      </c>
      <c r="N9119" s="13">
        <v>46234.47965277778</v>
      </c>
      <c r="O9119" s="14" t="str">
        <f>HYPERLINK("https://otsuka-europe-crm.veevavault.com/ui/#object/email_activity__v/V8C00000004G431", "EN-002110507")</f>
        <v>EN-002110507</v>
      </c>
    </row>
    <row r="9120" spans="1:15" ht="16" x14ac:dyDescent="0.2">
      <c r="A9120" s="18" t="str">
        <f>HYPERLINK("https://otsuka-europe-crm.veevavault.com/ui/#object/account__v/V4TZ06G6O71T7DB", "ALBA FELEZ VIÑAS")</f>
        <v>ALBA FELEZ VIÑAS</v>
      </c>
      <c r="B9120" s="18" t="str">
        <f>HYPERLINK("https://otsuka-europe-crm.veevavault.com/ui/#object/vcountry__v/VENZ000004SONF5", "ES")</f>
        <v>ES</v>
      </c>
      <c r="C9120" s="20" t="s">
        <v>39</v>
      </c>
      <c r="D9120" s="21" t="str">
        <f>HYPERLINK("https://otsuka-europe-crm.veevavault.com/ui/#object/approved_document__v/V5O00000000L011", "Libro IA en psiquiatría")</f>
        <v>Libro IA en psiquiatría</v>
      </c>
      <c r="E9120" s="22" t="str">
        <f>HYPERLINK("https://otsuka-europe-crm.veevavault.com/ui/#object/sent_email__v/VBL00000003H371", "SE-001448815")</f>
        <v>SE-001448815</v>
      </c>
      <c r="F9120" s="25">
        <v>46234.857789351852</v>
      </c>
      <c r="G9120" s="24">
        <v>1</v>
      </c>
      <c r="H9120" s="24">
        <v>2</v>
      </c>
      <c r="I9120" s="24">
        <v>0</v>
      </c>
      <c r="J9120" s="23"/>
      <c r="K9120" s="24">
        <v>0</v>
      </c>
      <c r="L9120" s="22" t="str">
        <f>HYPERLINK("https://otsuka-europe-crm.veevavault.com/ui/#object/approved_document__v/V5O00000000L011", "Libro IA en psiquiatría")</f>
        <v>Libro IA en psiquiatría</v>
      </c>
      <c r="M9120" s="22" t="str">
        <f>HYPERLINK("mailto:jdiaz@crm.otsuka-europe.com", "jdiaz@crm.otsuka-europe.com")</f>
        <v>jdiaz@crm.otsuka-europe.com</v>
      </c>
      <c r="N9120" s="25">
        <v>46234.47965277778</v>
      </c>
      <c r="O9120" s="14" t="str">
        <f>HYPERLINK("https://otsuka-europe-crm.veevavault.com/ui/#object/email_activity__v/V8C00000004F292", "EN-002110511")</f>
        <v>EN-002110511</v>
      </c>
    </row>
    <row r="9121" spans="1:15" ht="16" x14ac:dyDescent="0.2">
      <c r="A9121" s="26"/>
      <c r="B9121" s="26"/>
      <c r="C9121" s="26"/>
      <c r="D9121" s="26"/>
      <c r="E9121" s="26"/>
      <c r="F9121" s="26"/>
      <c r="G9121" s="26"/>
      <c r="H9121" s="26"/>
      <c r="I9121" s="26"/>
      <c r="J9121" s="26"/>
      <c r="K9121" s="26"/>
      <c r="L9121" s="26"/>
      <c r="M9121" s="26"/>
      <c r="N9121" s="26"/>
      <c r="O9121" s="14" t="str">
        <f>HYPERLINK("https://otsuka-europe-crm.veevavault.com/ui/#object/email_activity__v/V8C00000004G417", "EN-002110490")</f>
        <v>EN-002110490</v>
      </c>
    </row>
    <row r="9122" spans="1:15" ht="16" x14ac:dyDescent="0.2">
      <c r="A9122" s="19"/>
      <c r="B9122" s="19"/>
      <c r="C9122" s="19"/>
      <c r="D9122" s="19"/>
      <c r="E9122" s="19"/>
      <c r="F9122" s="19"/>
      <c r="G9122" s="19"/>
      <c r="H9122" s="19"/>
      <c r="I9122" s="19"/>
      <c r="J9122" s="19"/>
      <c r="K9122" s="19"/>
      <c r="L9122" s="19"/>
      <c r="M9122" s="19"/>
      <c r="N9122" s="19"/>
      <c r="O9122" s="14" t="str">
        <f>HYPERLINK("https://otsuka-europe-crm.veevavault.com/ui/#object/email_activity__v/V8C00000004G647", "EN-002110910")</f>
        <v>EN-002110910</v>
      </c>
    </row>
    <row r="9123" spans="1:15" ht="32" x14ac:dyDescent="0.2">
      <c r="A9123" s="7" t="str">
        <f>HYPERLINK("https://otsuka-europe-crm.veevavault.com/ui/#object/account__v/V4TZ06G6O71T7HT", "LUCIA ALVAREZ-CALDERON ZUÑIGA")</f>
        <v>LUCIA ALVAREZ-CALDERON ZUÑIGA</v>
      </c>
      <c r="B9123" s="7" t="str">
        <f>HYPERLINK("https://otsuka-europe-crm.veevavault.com/ui/#object/vcountry__v/VENZ000004SONF5", "ES")</f>
        <v>ES</v>
      </c>
      <c r="C9123" s="8" t="s">
        <v>39</v>
      </c>
      <c r="D9123" s="9" t="str">
        <f>HYPERLINK("https://otsuka-europe-crm.veevavault.com/ui/#object/approved_document__v/V5O00000000L011", "Libro IA en psiquiatría")</f>
        <v>Libro IA en psiquiatría</v>
      </c>
      <c r="E9123" s="10" t="str">
        <f>HYPERLINK("https://otsuka-europe-crm.veevavault.com/ui/#object/sent_email__v/VBL00000003H372", "SE-001448816")</f>
        <v>SE-001448816</v>
      </c>
      <c r="F9123" s="11"/>
      <c r="G9123" s="12">
        <v>0</v>
      </c>
      <c r="H9123" s="12">
        <v>0</v>
      </c>
      <c r="I9123" s="12">
        <v>0</v>
      </c>
      <c r="J9123" s="11"/>
      <c r="K9123" s="12">
        <v>0</v>
      </c>
      <c r="L9123" s="10" t="str">
        <f>HYPERLINK("https://otsuka-europe-crm.veevavault.com/ui/#object/approved_document__v/V5O00000000L011", "Libro IA en psiquiatría")</f>
        <v>Libro IA en psiquiatría</v>
      </c>
      <c r="M9123" s="10" t="str">
        <f>HYPERLINK("mailto:jdiaz@crm.otsuka-europe.com", "jdiaz@crm.otsuka-europe.com")</f>
        <v>jdiaz@crm.otsuka-europe.com</v>
      </c>
      <c r="N9123" s="13">
        <v>46234.47965277778</v>
      </c>
      <c r="O9123" s="14" t="str">
        <f>HYPERLINK("https://otsuka-europe-crm.veevavault.com/ui/#object/email_activity__v/V8C00000004G418", "EN-002110491")</f>
        <v>EN-002110491</v>
      </c>
    </row>
    <row r="9124" spans="1:15" ht="16" x14ac:dyDescent="0.2">
      <c r="A9124" s="18" t="str">
        <f>HYPERLINK("https://otsuka-europe-crm.veevavault.com/ui/#object/account__v/V4TZ06G6O71T7OP", "AINA FERNANDEZ VIDAL")</f>
        <v>AINA FERNANDEZ VIDAL</v>
      </c>
      <c r="B9124" s="18" t="str">
        <f>HYPERLINK("https://otsuka-europe-crm.veevavault.com/ui/#object/vcountry__v/VENZ000004SONF5", "ES")</f>
        <v>ES</v>
      </c>
      <c r="C9124" s="20" t="s">
        <v>39</v>
      </c>
      <c r="D9124" s="21" t="str">
        <f>HYPERLINK("https://otsuka-europe-crm.veevavault.com/ui/#object/approved_document__v/V5O00000000L011", "Libro IA en psiquiatría")</f>
        <v>Libro IA en psiquiatría</v>
      </c>
      <c r="E9124" s="22" t="str">
        <f>HYPERLINK("https://otsuka-europe-crm.veevavault.com/ui/#object/sent_email__v/VBL00000003H373", "SE-001448817")</f>
        <v>SE-001448817</v>
      </c>
      <c r="F9124" s="25">
        <v>46234.728587962964</v>
      </c>
      <c r="G9124" s="24">
        <v>1</v>
      </c>
      <c r="H9124" s="24">
        <v>1</v>
      </c>
      <c r="I9124" s="24">
        <v>0</v>
      </c>
      <c r="J9124" s="23"/>
      <c r="K9124" s="24">
        <v>0</v>
      </c>
      <c r="L9124" s="22" t="str">
        <f>HYPERLINK("https://otsuka-europe-crm.veevavault.com/ui/#object/approved_document__v/V5O00000000L011", "Libro IA en psiquiatría")</f>
        <v>Libro IA en psiquiatría</v>
      </c>
      <c r="M9124" s="22" t="str">
        <f>HYPERLINK("mailto:jdiaz@crm.otsuka-europe.com", "jdiaz@crm.otsuka-europe.com")</f>
        <v>jdiaz@crm.otsuka-europe.com</v>
      </c>
      <c r="N9124" s="25">
        <v>46234.47965277778</v>
      </c>
      <c r="O9124" s="14" t="str">
        <f>HYPERLINK("https://otsuka-europe-crm.veevavault.com/ui/#object/email_activity__v/V8C00000004F290", "EN-002110505")</f>
        <v>EN-002110505</v>
      </c>
    </row>
    <row r="9125" spans="1:15" ht="16" x14ac:dyDescent="0.2">
      <c r="A9125" s="19"/>
      <c r="B9125" s="19"/>
      <c r="C9125" s="19"/>
      <c r="D9125" s="19"/>
      <c r="E9125" s="19"/>
      <c r="F9125" s="19"/>
      <c r="G9125" s="19"/>
      <c r="H9125" s="19"/>
      <c r="I9125" s="19"/>
      <c r="J9125" s="19"/>
      <c r="K9125" s="19"/>
      <c r="L9125" s="19"/>
      <c r="M9125" s="19"/>
      <c r="N9125" s="19"/>
      <c r="O9125" s="14" t="str">
        <f>HYPERLINK("https://otsuka-europe-crm.veevavault.com/ui/#object/email_activity__v/V8C00000004G622", "EN-002110855")</f>
        <v>EN-002110855</v>
      </c>
    </row>
    <row r="9126" spans="1:15" ht="16" x14ac:dyDescent="0.2">
      <c r="A9126" s="18" t="str">
        <f>HYPERLINK("https://otsuka-europe-crm.veevavault.com/ui/#object/account__v/V4TZ06G6O71T9KH", "JUAN JOSE DE FRUTOS GUIJARRO")</f>
        <v>JUAN JOSE DE FRUTOS GUIJARRO</v>
      </c>
      <c r="B9126" s="18" t="str">
        <f>HYPERLINK("https://otsuka-europe-crm.veevavault.com/ui/#object/vcountry__v/VENZ000004SONF5", "ES")</f>
        <v>ES</v>
      </c>
      <c r="C9126" s="20" t="s">
        <v>39</v>
      </c>
      <c r="D9126" s="21" t="str">
        <f>HYPERLINK("https://otsuka-europe-crm.veevavault.com/ui/#object/approved_document__v/V5O00000000L011", "Libro IA en psiquiatría")</f>
        <v>Libro IA en psiquiatría</v>
      </c>
      <c r="E9126" s="22" t="str">
        <f>HYPERLINK("https://otsuka-europe-crm.veevavault.com/ui/#object/sent_email__v/VBL00000003H374", "SE-001448818")</f>
        <v>SE-001448818</v>
      </c>
      <c r="F9126" s="25">
        <v>46234.502858796295</v>
      </c>
      <c r="G9126" s="24">
        <v>1</v>
      </c>
      <c r="H9126" s="24">
        <v>1</v>
      </c>
      <c r="I9126" s="24">
        <v>0</v>
      </c>
      <c r="J9126" s="23"/>
      <c r="K9126" s="24">
        <v>0</v>
      </c>
      <c r="L9126" s="22" t="str">
        <f>HYPERLINK("https://otsuka-europe-crm.veevavault.com/ui/#object/approved_document__v/V5O00000000L011", "Libro IA en psiquiatría")</f>
        <v>Libro IA en psiquiatría</v>
      </c>
      <c r="M9126" s="22" t="str">
        <f>HYPERLINK("mailto:jdiaz@crm.otsuka-europe.com", "jdiaz@crm.otsuka-europe.com")</f>
        <v>jdiaz@crm.otsuka-europe.com</v>
      </c>
      <c r="N9126" s="25">
        <v>46234.47965277778</v>
      </c>
      <c r="O9126" s="14" t="str">
        <f>HYPERLINK("https://otsuka-europe-crm.veevavault.com/ui/#object/email_activity__v/V8C00000004F372", "EN-002110700")</f>
        <v>EN-002110700</v>
      </c>
    </row>
    <row r="9127" spans="1:15" ht="16" x14ac:dyDescent="0.2">
      <c r="A9127" s="19"/>
      <c r="B9127" s="19"/>
      <c r="C9127" s="19"/>
      <c r="D9127" s="19"/>
      <c r="E9127" s="19"/>
      <c r="F9127" s="19"/>
      <c r="G9127" s="19"/>
      <c r="H9127" s="19"/>
      <c r="I9127" s="19"/>
      <c r="J9127" s="19"/>
      <c r="K9127" s="19"/>
      <c r="L9127" s="19"/>
      <c r="M9127" s="19"/>
      <c r="N9127" s="19"/>
      <c r="O9127" s="14" t="str">
        <f>HYPERLINK("https://otsuka-europe-crm.veevavault.com/ui/#object/email_activity__v/V8C00000004G432", "EN-002110508")</f>
        <v>EN-002110508</v>
      </c>
    </row>
    <row r="9128" spans="1:15" ht="16" x14ac:dyDescent="0.2">
      <c r="A9128" s="18" t="str">
        <f>HYPERLINK("https://otsuka-europe-crm.veevavault.com/ui/#object/account__v/V4TZ04ASGBC42NI", "MARIA ANTONIA GONZALEZ FE")</f>
        <v>MARIA ANTONIA GONZALEZ FE</v>
      </c>
      <c r="B9128" s="18" t="str">
        <f>HYPERLINK("https://otsuka-europe-crm.veevavault.com/ui/#object/vcountry__v/VENZ000004SONF5", "ES")</f>
        <v>ES</v>
      </c>
      <c r="C9128" s="20" t="s">
        <v>39</v>
      </c>
      <c r="D9128" s="21" t="str">
        <f>HYPERLINK("https://otsuka-europe-crm.veevavault.com/ui/#object/approved_document__v/V5O00000000L011", "Libro IA en psiquiatría")</f>
        <v>Libro IA en psiquiatría</v>
      </c>
      <c r="E9128" s="22" t="str">
        <f>HYPERLINK("https://otsuka-europe-crm.veevavault.com/ui/#object/sent_email__v/VBL00000003H375", "SE-001448819")</f>
        <v>SE-001448819</v>
      </c>
      <c r="F9128" s="25">
        <v>46235.6091087963</v>
      </c>
      <c r="G9128" s="24">
        <v>1</v>
      </c>
      <c r="H9128" s="24">
        <v>1</v>
      </c>
      <c r="I9128" s="24">
        <v>1</v>
      </c>
      <c r="J9128" s="25">
        <v>46235.609247685185</v>
      </c>
      <c r="K9128" s="24">
        <v>1</v>
      </c>
      <c r="L9128" s="22" t="str">
        <f>HYPERLINK("https://otsuka-europe-crm.veevavault.com/ui/#object/approved_document__v/V5O00000000L011", "Libro IA en psiquiatría")</f>
        <v>Libro IA en psiquiatría</v>
      </c>
      <c r="M9128" s="22" t="str">
        <f>HYPERLINK("mailto:jdiaz@crm.otsuka-europe.com", "jdiaz@crm.otsuka-europe.com")</f>
        <v>jdiaz@crm.otsuka-europe.com</v>
      </c>
      <c r="N9128" s="25">
        <v>46234.47965277778</v>
      </c>
      <c r="O9128" s="14" t="str">
        <f>HYPERLINK("https://otsuka-europe-crm.veevavault.com/ui/#object/email_activity__v/V8C00000004G438", "EN-002110516")</f>
        <v>EN-002110516</v>
      </c>
    </row>
    <row r="9129" spans="1:15" ht="16" x14ac:dyDescent="0.2">
      <c r="A9129" s="26"/>
      <c r="B9129" s="26"/>
      <c r="C9129" s="26"/>
      <c r="D9129" s="26"/>
      <c r="E9129" s="26"/>
      <c r="F9129" s="26"/>
      <c r="G9129" s="26"/>
      <c r="H9129" s="26"/>
      <c r="I9129" s="26"/>
      <c r="J9129" s="26"/>
      <c r="K9129" s="26"/>
      <c r="L9129" s="26"/>
      <c r="M9129" s="26"/>
      <c r="N9129" s="26"/>
      <c r="O9129" s="14" t="str">
        <f>HYPERLINK("https://otsuka-europe-crm.veevavault.com/ui/#object/email_activity__v/V8C00000004H057", "EN-002111040")</f>
        <v>EN-002111040</v>
      </c>
    </row>
    <row r="9130" spans="1:15" ht="16" x14ac:dyDescent="0.2">
      <c r="A9130" s="19"/>
      <c r="B9130" s="19"/>
      <c r="C9130" s="19"/>
      <c r="D9130" s="19"/>
      <c r="E9130" s="19"/>
      <c r="F9130" s="19"/>
      <c r="G9130" s="19"/>
      <c r="H9130" s="19"/>
      <c r="I9130" s="19"/>
      <c r="J9130" s="19"/>
      <c r="K9130" s="19"/>
      <c r="L9130" s="19"/>
      <c r="M9130" s="19"/>
      <c r="N9130" s="19"/>
      <c r="O9130" s="14" t="str">
        <f>HYPERLINK("https://otsuka-europe-crm.veevavault.com/ui/#object/email_activity__v/V8C00000004H058", "EN-002111041")</f>
        <v>EN-002111041</v>
      </c>
    </row>
    <row r="9131" spans="1:15" ht="32" x14ac:dyDescent="0.2">
      <c r="A9131" s="7" t="str">
        <f>HYPERLINK("https://otsuka-europe-crm.veevavault.com/ui/#object/account__v/V4TZ06G6O71T79U", "CARLOS GARCIA CALDENTEY")</f>
        <v>CARLOS GARCIA CALDENTEY</v>
      </c>
      <c r="B9131" s="7" t="str">
        <f>HYPERLINK("https://otsuka-europe-crm.veevavault.com/ui/#object/vcountry__v/VENZ000004SONF5", "ES")</f>
        <v>ES</v>
      </c>
      <c r="C9131" s="8" t="s">
        <v>39</v>
      </c>
      <c r="D9131" s="9" t="str">
        <f>HYPERLINK("https://otsuka-europe-crm.veevavault.com/ui/#object/approved_document__v/V5O00000000L011", "Libro IA en psiquiatría")</f>
        <v>Libro IA en psiquiatría</v>
      </c>
      <c r="E9131" s="10" t="str">
        <f>HYPERLINK("https://otsuka-europe-crm.veevavault.com/ui/#object/sent_email__v/VBL00000003H376", "SE-001448820")</f>
        <v>SE-001448820</v>
      </c>
      <c r="F9131" s="11"/>
      <c r="G9131" s="12">
        <v>0</v>
      </c>
      <c r="H9131" s="12">
        <v>0</v>
      </c>
      <c r="I9131" s="12">
        <v>0</v>
      </c>
      <c r="J9131" s="11"/>
      <c r="K9131" s="12">
        <v>0</v>
      </c>
      <c r="L9131" s="10" t="str">
        <f>HYPERLINK("https://otsuka-europe-crm.veevavault.com/ui/#object/approved_document__v/V5O00000000L011", "Libro IA en psiquiatría")</f>
        <v>Libro IA en psiquiatría</v>
      </c>
      <c r="M9131" s="10" t="str">
        <f>HYPERLINK("mailto:jdiaz@crm.otsuka-europe.com", "jdiaz@crm.otsuka-europe.com")</f>
        <v>jdiaz@crm.otsuka-europe.com</v>
      </c>
      <c r="N9131" s="13">
        <v>46234.47965277778</v>
      </c>
      <c r="O9131" s="14" t="str">
        <f>HYPERLINK("https://otsuka-europe-crm.veevavault.com/ui/#object/email_activity__v/V8C00000004G419", "EN-002110492")</f>
        <v>EN-002110492</v>
      </c>
    </row>
    <row r="9132" spans="1:15" ht="16" x14ac:dyDescent="0.2">
      <c r="A9132" s="18" t="str">
        <f>HYPERLINK("https://otsuka-europe-crm.veevavault.com/ui/#object/account__v/V4TZ06G6O71T9B4", "MARTA BEDMAR NOGUEROL")</f>
        <v>MARTA BEDMAR NOGUEROL</v>
      </c>
      <c r="B9132" s="18" t="str">
        <f>HYPERLINK("https://otsuka-europe-crm.veevavault.com/ui/#object/vcountry__v/VENZ000004SONF5", "ES")</f>
        <v>ES</v>
      </c>
      <c r="C9132" s="20" t="s">
        <v>39</v>
      </c>
      <c r="D9132" s="21" t="str">
        <f>HYPERLINK("https://otsuka-europe-crm.veevavault.com/ui/#object/approved_document__v/V5O00000000L011", "Libro IA en psiquiatría")</f>
        <v>Libro IA en psiquiatría</v>
      </c>
      <c r="E9132" s="22" t="str">
        <f>HYPERLINK("https://otsuka-europe-crm.veevavault.com/ui/#object/sent_email__v/VBL00000003H377", "SE-001448821")</f>
        <v>SE-001448821</v>
      </c>
      <c r="F9132" s="25">
        <v>46234.481041666666</v>
      </c>
      <c r="G9132" s="24">
        <v>1</v>
      </c>
      <c r="H9132" s="24">
        <v>1</v>
      </c>
      <c r="I9132" s="24">
        <v>0</v>
      </c>
      <c r="J9132" s="23"/>
      <c r="K9132" s="24">
        <v>0</v>
      </c>
      <c r="L9132" s="22" t="str">
        <f>HYPERLINK("https://otsuka-europe-crm.veevavault.com/ui/#object/approved_document__v/V5O00000000L011", "Libro IA en psiquiatría")</f>
        <v>Libro IA en psiquiatría</v>
      </c>
      <c r="M9132" s="22" t="str">
        <f>HYPERLINK("mailto:jdiaz@crm.otsuka-europe.com", "jdiaz@crm.otsuka-europe.com")</f>
        <v>jdiaz@crm.otsuka-europe.com</v>
      </c>
      <c r="N9132" s="25">
        <v>46234.47965277778</v>
      </c>
      <c r="O9132" s="14" t="str">
        <f>HYPERLINK("https://otsuka-europe-crm.veevavault.com/ui/#object/email_activity__v/V8C00000004F304", "EN-002110560")</f>
        <v>EN-002110560</v>
      </c>
    </row>
    <row r="9133" spans="1:15" ht="16" x14ac:dyDescent="0.2">
      <c r="A9133" s="19"/>
      <c r="B9133" s="19"/>
      <c r="C9133" s="19"/>
      <c r="D9133" s="19"/>
      <c r="E9133" s="19"/>
      <c r="F9133" s="19"/>
      <c r="G9133" s="19"/>
      <c r="H9133" s="19"/>
      <c r="I9133" s="19"/>
      <c r="J9133" s="19"/>
      <c r="K9133" s="19"/>
      <c r="L9133" s="19"/>
      <c r="M9133" s="19"/>
      <c r="N9133" s="19"/>
      <c r="O9133" s="14" t="str">
        <f>HYPERLINK("https://otsuka-europe-crm.veevavault.com/ui/#object/email_activity__v/V8C00000004G420", "EN-002110493")</f>
        <v>EN-002110493</v>
      </c>
    </row>
    <row r="9134" spans="1:15" ht="32" x14ac:dyDescent="0.2">
      <c r="A9134" s="7" t="str">
        <f>HYPERLINK("https://otsuka-europe-crm.veevavault.com/ui/#object/account__v/V4TZ06G6O71T9RN", "ALICIA FERRER VADELL")</f>
        <v>ALICIA FERRER VADELL</v>
      </c>
      <c r="B9134" s="7" t="str">
        <f>HYPERLINK("https://otsuka-europe-crm.veevavault.com/ui/#object/vcountry__v/VENZ000004SONF5", "ES")</f>
        <v>ES</v>
      </c>
      <c r="C9134" s="8" t="s">
        <v>39</v>
      </c>
      <c r="D9134" s="9" t="str">
        <f>HYPERLINK("https://otsuka-europe-crm.veevavault.com/ui/#object/approved_document__v/V5O00000000L011", "Libro IA en psiquiatría")</f>
        <v>Libro IA en psiquiatría</v>
      </c>
      <c r="E9134" s="10" t="str">
        <f>HYPERLINK("https://otsuka-europe-crm.veevavault.com/ui/#object/sent_email__v/VBL00000003H378", "SE-001448822")</f>
        <v>SE-001448822</v>
      </c>
      <c r="F9134" s="11"/>
      <c r="G9134" s="12">
        <v>0</v>
      </c>
      <c r="H9134" s="12">
        <v>0</v>
      </c>
      <c r="I9134" s="12">
        <v>0</v>
      </c>
      <c r="J9134" s="11"/>
      <c r="K9134" s="12">
        <v>0</v>
      </c>
      <c r="L9134" s="10" t="str">
        <f>HYPERLINK("https://otsuka-europe-crm.veevavault.com/ui/#object/approved_document__v/V5O00000000L011", "Libro IA en psiquiatría")</f>
        <v>Libro IA en psiquiatría</v>
      </c>
      <c r="M9134" s="10" t="str">
        <f>HYPERLINK("mailto:jdiaz@crm.otsuka-europe.com", "jdiaz@crm.otsuka-europe.com")</f>
        <v>jdiaz@crm.otsuka-europe.com</v>
      </c>
      <c r="N9134" s="13">
        <v>46234.47965277778</v>
      </c>
      <c r="O9134" s="14" t="str">
        <f>HYPERLINK("https://otsuka-europe-crm.veevavault.com/ui/#object/email_activity__v/V8C00000004G443", "EN-002110521")</f>
        <v>EN-002110521</v>
      </c>
    </row>
    <row r="9135" spans="1:15" ht="16" x14ac:dyDescent="0.2">
      <c r="A9135" s="18" t="str">
        <f>HYPERLINK("https://otsuka-europe-crm.veevavault.com/ui/#object/account__v/V4TZ06G6O71T7LZ", "LORENA FRANCES SORIANO")</f>
        <v>LORENA FRANCES SORIANO</v>
      </c>
      <c r="B9135" s="18" t="str">
        <f>HYPERLINK("https://otsuka-europe-crm.veevavault.com/ui/#object/vcountry__v/VENZ000004SONF5", "ES")</f>
        <v>ES</v>
      </c>
      <c r="C9135" s="20" t="s">
        <v>39</v>
      </c>
      <c r="D9135" s="21" t="str">
        <f>HYPERLINK("https://otsuka-europe-crm.veevavault.com/ui/#object/approved_document__v/V5O00000000L011", "Libro IA en psiquiatría")</f>
        <v>Libro IA en psiquiatría</v>
      </c>
      <c r="E9135" s="22" t="str">
        <f>HYPERLINK("https://otsuka-europe-crm.veevavault.com/ui/#object/sent_email__v/VBL00000003H379", "SE-001448823")</f>
        <v>SE-001448823</v>
      </c>
      <c r="F9135" s="25">
        <v>46234.941828703704</v>
      </c>
      <c r="G9135" s="24">
        <v>1</v>
      </c>
      <c r="H9135" s="24">
        <v>2</v>
      </c>
      <c r="I9135" s="24">
        <v>0</v>
      </c>
      <c r="J9135" s="23"/>
      <c r="K9135" s="24">
        <v>0</v>
      </c>
      <c r="L9135" s="22" t="str">
        <f>HYPERLINK("https://otsuka-europe-crm.veevavault.com/ui/#object/approved_document__v/V5O00000000L011", "Libro IA en psiquiatría")</f>
        <v>Libro IA en psiquiatría</v>
      </c>
      <c r="M9135" s="22" t="str">
        <f>HYPERLINK("mailto:jdiaz@crm.otsuka-europe.com", "jdiaz@crm.otsuka-europe.com")</f>
        <v>jdiaz@crm.otsuka-europe.com</v>
      </c>
      <c r="N9135" s="25">
        <v>46234.47965277778</v>
      </c>
      <c r="O9135" s="14" t="str">
        <f>HYPERLINK("https://otsuka-europe-crm.veevavault.com/ui/#object/email_activity__v/V8C00000004G416", "EN-002110489")</f>
        <v>EN-002110489</v>
      </c>
    </row>
    <row r="9136" spans="1:15" ht="16" x14ac:dyDescent="0.2">
      <c r="A9136" s="26"/>
      <c r="B9136" s="26"/>
      <c r="C9136" s="26"/>
      <c r="D9136" s="26"/>
      <c r="E9136" s="26"/>
      <c r="F9136" s="26"/>
      <c r="G9136" s="26"/>
      <c r="H9136" s="26"/>
      <c r="I9136" s="26"/>
      <c r="J9136" s="26"/>
      <c r="K9136" s="26"/>
      <c r="L9136" s="26"/>
      <c r="M9136" s="26"/>
      <c r="N9136" s="26"/>
      <c r="O9136" s="14" t="str">
        <f>HYPERLINK("https://otsuka-europe-crm.veevavault.com/ui/#object/email_activity__v/V8C00000004G492", "EN-002110620")</f>
        <v>EN-002110620</v>
      </c>
    </row>
    <row r="9137" spans="1:15" ht="16" x14ac:dyDescent="0.2">
      <c r="A9137" s="19"/>
      <c r="B9137" s="19"/>
      <c r="C9137" s="19"/>
      <c r="D9137" s="19"/>
      <c r="E9137" s="19"/>
      <c r="F9137" s="19"/>
      <c r="G9137" s="19"/>
      <c r="H9137" s="19"/>
      <c r="I9137" s="19"/>
      <c r="J9137" s="19"/>
      <c r="K9137" s="19"/>
      <c r="L9137" s="19"/>
      <c r="M9137" s="19"/>
      <c r="N9137" s="19"/>
      <c r="O9137" s="14" t="str">
        <f>HYPERLINK("https://otsuka-europe-crm.veevavault.com/ui/#object/email_activity__v/V8C00000004G656", "EN-002110931")</f>
        <v>EN-002110931</v>
      </c>
    </row>
    <row r="9138" spans="1:15" ht="32" x14ac:dyDescent="0.2">
      <c r="A9138" s="7" t="str">
        <f>HYPERLINK("https://otsuka-europe-crm.veevavault.com/ui/#object/account__v/V4TZ025E83I79AL", "PERCY OMAR ALFARO INCA")</f>
        <v>PERCY OMAR ALFARO INCA</v>
      </c>
      <c r="B9138" s="7" t="str">
        <f t="shared" ref="B9138:B9144" si="351">HYPERLINK("https://otsuka-europe-crm.veevavault.com/ui/#object/vcountry__v/VENZ000004SONF5", "ES")</f>
        <v>ES</v>
      </c>
      <c r="C9138" s="8" t="s">
        <v>39</v>
      </c>
      <c r="D9138" s="9" t="str">
        <f t="shared" ref="D9138:D9144" si="352">HYPERLINK("https://otsuka-europe-crm.veevavault.com/ui/#object/approved_document__v/V5O00000000L011", "Libro IA en psiquiatría")</f>
        <v>Libro IA en psiquiatría</v>
      </c>
      <c r="E9138" s="10" t="str">
        <f>HYPERLINK("https://otsuka-europe-crm.veevavault.com/ui/#object/sent_email__v/VBL00000003H380", "SE-001448824")</f>
        <v>SE-001448824</v>
      </c>
      <c r="F9138" s="11"/>
      <c r="G9138" s="12">
        <v>0</v>
      </c>
      <c r="H9138" s="12">
        <v>0</v>
      </c>
      <c r="I9138" s="12">
        <v>0</v>
      </c>
      <c r="J9138" s="11"/>
      <c r="K9138" s="12">
        <v>0</v>
      </c>
      <c r="L9138" s="10" t="str">
        <f t="shared" ref="L9138:L9144" si="353">HYPERLINK("https://otsuka-europe-crm.veevavault.com/ui/#object/approved_document__v/V5O00000000L011", "Libro IA en psiquiatría")</f>
        <v>Libro IA en psiquiatría</v>
      </c>
      <c r="M9138" s="10" t="str">
        <f t="shared" ref="M9138:M9144" si="354">HYPERLINK("mailto:jdiaz@crm.otsuka-europe.com", "jdiaz@crm.otsuka-europe.com")</f>
        <v>jdiaz@crm.otsuka-europe.com</v>
      </c>
      <c r="N9138" s="13">
        <v>46234.479583333334</v>
      </c>
      <c r="O9138" s="14" t="str">
        <f>HYPERLINK("https://otsuka-europe-crm.veevavault.com/ui/#object/email_activity__v/V8C00000004F287", "EN-002110485")</f>
        <v>EN-002110485</v>
      </c>
    </row>
    <row r="9139" spans="1:15" ht="32" x14ac:dyDescent="0.2">
      <c r="A9139" s="7" t="str">
        <f>HYPERLINK("https://otsuka-europe-crm.veevavault.com/ui/#object/account__v/V4TZ06G6O71T7O5", "MARIA JOSE GORDILLO MONTAÑO")</f>
        <v>MARIA JOSE GORDILLO MONTAÑO</v>
      </c>
      <c r="B9139" s="7" t="str">
        <f t="shared" si="351"/>
        <v>ES</v>
      </c>
      <c r="C9139" s="8" t="s">
        <v>39</v>
      </c>
      <c r="D9139" s="9" t="str">
        <f t="shared" si="352"/>
        <v>Libro IA en psiquiatría</v>
      </c>
      <c r="E9139" s="10" t="str">
        <f>HYPERLINK("https://otsuka-europe-crm.veevavault.com/ui/#object/sent_email__v/VBL00000003H381", "SE-001448825")</f>
        <v>SE-001448825</v>
      </c>
      <c r="F9139" s="11"/>
      <c r="G9139" s="12">
        <v>0</v>
      </c>
      <c r="H9139" s="12">
        <v>0</v>
      </c>
      <c r="I9139" s="12">
        <v>0</v>
      </c>
      <c r="J9139" s="11"/>
      <c r="K9139" s="12">
        <v>0</v>
      </c>
      <c r="L9139" s="10" t="str">
        <f t="shared" si="353"/>
        <v>Libro IA en psiquiatría</v>
      </c>
      <c r="M9139" s="10" t="str">
        <f t="shared" si="354"/>
        <v>jdiaz@crm.otsuka-europe.com</v>
      </c>
      <c r="N9139" s="13">
        <v>46234.479583333334</v>
      </c>
      <c r="O9139" s="14" t="str">
        <f>HYPERLINK("https://otsuka-europe-crm.veevavault.com/ui/#object/email_activity__v/V8C00000004F285", "EN-002110483")</f>
        <v>EN-002110483</v>
      </c>
    </row>
    <row r="9140" spans="1:15" ht="32" x14ac:dyDescent="0.2">
      <c r="A9140" s="7" t="str">
        <f>HYPERLINK("https://otsuka-europe-crm.veevavault.com/ui/#object/account__v/V4TZ025E83SXAD1", "BERTA AMOROS LLONCH")</f>
        <v>BERTA AMOROS LLONCH</v>
      </c>
      <c r="B9140" s="7" t="str">
        <f t="shared" si="351"/>
        <v>ES</v>
      </c>
      <c r="C9140" s="8" t="s">
        <v>39</v>
      </c>
      <c r="D9140" s="9" t="str">
        <f t="shared" si="352"/>
        <v>Libro IA en psiquiatría</v>
      </c>
      <c r="E9140" s="10" t="str">
        <f>HYPERLINK("https://otsuka-europe-crm.veevavault.com/ui/#object/sent_email__v/VBL00000003H382", "SE-001448826")</f>
        <v>SE-001448826</v>
      </c>
      <c r="F9140" s="11"/>
      <c r="G9140" s="12">
        <v>0</v>
      </c>
      <c r="H9140" s="12">
        <v>0</v>
      </c>
      <c r="I9140" s="12">
        <v>0</v>
      </c>
      <c r="J9140" s="11"/>
      <c r="K9140" s="12">
        <v>0</v>
      </c>
      <c r="L9140" s="10" t="str">
        <f t="shared" si="353"/>
        <v>Libro IA en psiquiatría</v>
      </c>
      <c r="M9140" s="10" t="str">
        <f t="shared" si="354"/>
        <v>jdiaz@crm.otsuka-europe.com</v>
      </c>
      <c r="N9140" s="13">
        <v>46234.479583333334</v>
      </c>
      <c r="O9140" s="14" t="str">
        <f>HYPERLINK("https://otsuka-europe-crm.veevavault.com/ui/#object/email_activity__v/V8C00000004F283", "EN-002110481")</f>
        <v>EN-002110481</v>
      </c>
    </row>
    <row r="9141" spans="1:15" ht="32" x14ac:dyDescent="0.2">
      <c r="A9141" s="7" t="str">
        <f>HYPERLINK("https://otsuka-europe-crm.veevavault.com/ui/#object/account__v/V4TZ04ASG7NKRZK", "RAMSES ALEJANDRO CORTES VALDEZ")</f>
        <v>RAMSES ALEJANDRO CORTES VALDEZ</v>
      </c>
      <c r="B9141" s="7" t="str">
        <f t="shared" si="351"/>
        <v>ES</v>
      </c>
      <c r="C9141" s="8" t="s">
        <v>39</v>
      </c>
      <c r="D9141" s="9" t="str">
        <f t="shared" si="352"/>
        <v>Libro IA en psiquiatría</v>
      </c>
      <c r="E9141" s="10" t="str">
        <f>HYPERLINK("https://otsuka-europe-crm.veevavault.com/ui/#object/sent_email__v/VBL00000003H383", "SE-001448827")</f>
        <v>SE-001448827</v>
      </c>
      <c r="F9141" s="11"/>
      <c r="G9141" s="12">
        <v>0</v>
      </c>
      <c r="H9141" s="12">
        <v>0</v>
      </c>
      <c r="I9141" s="12">
        <v>0</v>
      </c>
      <c r="J9141" s="11"/>
      <c r="K9141" s="12">
        <v>0</v>
      </c>
      <c r="L9141" s="10" t="str">
        <f t="shared" si="353"/>
        <v>Libro IA en psiquiatría</v>
      </c>
      <c r="M9141" s="10" t="str">
        <f t="shared" si="354"/>
        <v>jdiaz@crm.otsuka-europe.com</v>
      </c>
      <c r="N9141" s="13">
        <v>46234.480185185188</v>
      </c>
      <c r="O9141" s="14" t="str">
        <f>HYPERLINK("https://otsuka-europe-crm.veevavault.com/ui/#object/email_activity__v/V8C00000004G448", "EN-002110526")</f>
        <v>EN-002110526</v>
      </c>
    </row>
    <row r="9142" spans="1:15" ht="32" x14ac:dyDescent="0.2">
      <c r="A9142" s="7" t="str">
        <f>HYPERLINK("https://otsuka-europe-crm.veevavault.com/ui/#object/account__v/V4TZ06G6O71T9I0", "MARIA CARMEN BOSCH CALERO")</f>
        <v>MARIA CARMEN BOSCH CALERO</v>
      </c>
      <c r="B9142" s="7" t="str">
        <f t="shared" si="351"/>
        <v>ES</v>
      </c>
      <c r="C9142" s="8" t="s">
        <v>39</v>
      </c>
      <c r="D9142" s="9" t="str">
        <f t="shared" si="352"/>
        <v>Libro IA en psiquiatría</v>
      </c>
      <c r="E9142" s="10" t="str">
        <f>HYPERLINK("https://otsuka-europe-crm.veevavault.com/ui/#object/sent_email__v/VBL00000003H384", "SE-001448828")</f>
        <v>SE-001448828</v>
      </c>
      <c r="F9142" s="11"/>
      <c r="G9142" s="12">
        <v>0</v>
      </c>
      <c r="H9142" s="12">
        <v>0</v>
      </c>
      <c r="I9142" s="12">
        <v>0</v>
      </c>
      <c r="J9142" s="11"/>
      <c r="K9142" s="12">
        <v>0</v>
      </c>
      <c r="L9142" s="10" t="str">
        <f t="shared" si="353"/>
        <v>Libro IA en psiquiatría</v>
      </c>
      <c r="M9142" s="10" t="str">
        <f t="shared" si="354"/>
        <v>jdiaz@crm.otsuka-europe.com</v>
      </c>
      <c r="N9142" s="13">
        <v>46234.480208333334</v>
      </c>
      <c r="O9142" s="14" t="str">
        <f>HYPERLINK("https://otsuka-europe-crm.veevavault.com/ui/#object/email_activity__v/V8C00000004G464", "EN-002110552")</f>
        <v>EN-002110552</v>
      </c>
    </row>
    <row r="9143" spans="1:15" ht="32" x14ac:dyDescent="0.2">
      <c r="A9143" s="7" t="str">
        <f>HYPERLINK("https://otsuka-europe-crm.veevavault.com/ui/#object/account__v/V4TZ06G6O71TA8Q", "BEGOÑA CHACARTEGUI QUETGLAS")</f>
        <v>BEGOÑA CHACARTEGUI QUETGLAS</v>
      </c>
      <c r="B9143" s="7" t="str">
        <f t="shared" si="351"/>
        <v>ES</v>
      </c>
      <c r="C9143" s="8" t="s">
        <v>39</v>
      </c>
      <c r="D9143" s="9" t="str">
        <f t="shared" si="352"/>
        <v>Libro IA en psiquiatría</v>
      </c>
      <c r="E9143" s="10" t="str">
        <f>HYPERLINK("https://otsuka-europe-crm.veevavault.com/ui/#object/sent_email__v/VBL00000003H385", "SE-001448829")</f>
        <v>SE-001448829</v>
      </c>
      <c r="F9143" s="11"/>
      <c r="G9143" s="12">
        <v>0</v>
      </c>
      <c r="H9143" s="12">
        <v>0</v>
      </c>
      <c r="I9143" s="12">
        <v>0</v>
      </c>
      <c r="J9143" s="11"/>
      <c r="K9143" s="12">
        <v>0</v>
      </c>
      <c r="L9143" s="10" t="str">
        <f t="shared" si="353"/>
        <v>Libro IA en psiquiatría</v>
      </c>
      <c r="M9143" s="10" t="str">
        <f t="shared" si="354"/>
        <v>jdiaz@crm.otsuka-europe.com</v>
      </c>
      <c r="N9143" s="13">
        <v>46234.480185185188</v>
      </c>
      <c r="O9143" s="14" t="str">
        <f>HYPERLINK("https://otsuka-europe-crm.veevavault.com/ui/#object/email_activity__v/V8C00000004G447", "EN-002110525")</f>
        <v>EN-002110525</v>
      </c>
    </row>
    <row r="9144" spans="1:15" ht="16" x14ac:dyDescent="0.2">
      <c r="A9144" s="18" t="str">
        <f>HYPERLINK("https://otsuka-europe-crm.veevavault.com/ui/#object/account__v/V4TZ06G6O71T7OP", "AINA FERNANDEZ VIDAL")</f>
        <v>AINA FERNANDEZ VIDAL</v>
      </c>
      <c r="B9144" s="18" t="str">
        <f t="shared" si="351"/>
        <v>ES</v>
      </c>
      <c r="C9144" s="20" t="s">
        <v>39</v>
      </c>
      <c r="D9144" s="21" t="str">
        <f t="shared" si="352"/>
        <v>Libro IA en psiquiatría</v>
      </c>
      <c r="E9144" s="22" t="str">
        <f>HYPERLINK("https://otsuka-europe-crm.veevavault.com/ui/#object/sent_email__v/VBL00000003H386", "SE-001448830")</f>
        <v>SE-001448830</v>
      </c>
      <c r="F9144" s="25">
        <v>46234.728587962964</v>
      </c>
      <c r="G9144" s="24">
        <v>1</v>
      </c>
      <c r="H9144" s="24">
        <v>1</v>
      </c>
      <c r="I9144" s="24">
        <v>0</v>
      </c>
      <c r="J9144" s="23"/>
      <c r="K9144" s="24">
        <v>0</v>
      </c>
      <c r="L9144" s="22" t="str">
        <f t="shared" si="353"/>
        <v>Libro IA en psiquiatría</v>
      </c>
      <c r="M9144" s="22" t="str">
        <f t="shared" si="354"/>
        <v>jdiaz@crm.otsuka-europe.com</v>
      </c>
      <c r="N9144" s="25">
        <v>46234.480185185188</v>
      </c>
      <c r="O9144" s="14" t="str">
        <f>HYPERLINK("https://otsuka-europe-crm.veevavault.com/ui/#object/email_activity__v/V8C00000004F452", "EN-002110856")</f>
        <v>EN-002110856</v>
      </c>
    </row>
    <row r="9145" spans="1:15" ht="16" x14ac:dyDescent="0.2">
      <c r="A9145" s="19"/>
      <c r="B9145" s="19"/>
      <c r="C9145" s="19"/>
      <c r="D9145" s="19"/>
      <c r="E9145" s="19"/>
      <c r="F9145" s="19"/>
      <c r="G9145" s="19"/>
      <c r="H9145" s="19"/>
      <c r="I9145" s="19"/>
      <c r="J9145" s="19"/>
      <c r="K9145" s="19"/>
      <c r="L9145" s="19"/>
      <c r="M9145" s="19"/>
      <c r="N9145" s="19"/>
      <c r="O9145" s="14" t="str">
        <f>HYPERLINK("https://otsuka-europe-crm.veevavault.com/ui/#object/email_activity__v/V8C00000004G446", "EN-002110524")</f>
        <v>EN-002110524</v>
      </c>
    </row>
    <row r="9146" spans="1:15" ht="32" x14ac:dyDescent="0.2">
      <c r="A9146" s="7" t="str">
        <f>HYPERLINK("https://otsuka-europe-crm.veevavault.com/ui/#object/account__v/V4TZ06G6O71T7HT", "LUCIA ALVAREZ-CALDERON ZUÑIGA")</f>
        <v>LUCIA ALVAREZ-CALDERON ZUÑIGA</v>
      </c>
      <c r="B9146" s="7" t="str">
        <f>HYPERLINK("https://otsuka-europe-crm.veevavault.com/ui/#object/vcountry__v/VENZ000004SONF5", "ES")</f>
        <v>ES</v>
      </c>
      <c r="C9146" s="8" t="s">
        <v>39</v>
      </c>
      <c r="D9146" s="9" t="str">
        <f>HYPERLINK("https://otsuka-europe-crm.veevavault.com/ui/#object/approved_document__v/V5O00000000L011", "Libro IA en psiquiatría")</f>
        <v>Libro IA en psiquiatría</v>
      </c>
      <c r="E9146" s="10" t="str">
        <f>HYPERLINK("https://otsuka-europe-crm.veevavault.com/ui/#object/sent_email__v/VBL00000003H387", "SE-001448831")</f>
        <v>SE-001448831</v>
      </c>
      <c r="F9146" s="11"/>
      <c r="G9146" s="12">
        <v>0</v>
      </c>
      <c r="H9146" s="12">
        <v>0</v>
      </c>
      <c r="I9146" s="12">
        <v>0</v>
      </c>
      <c r="J9146" s="11"/>
      <c r="K9146" s="12">
        <v>0</v>
      </c>
      <c r="L9146" s="10" t="str">
        <f>HYPERLINK("https://otsuka-europe-crm.veevavault.com/ui/#object/approved_document__v/V5O00000000L011", "Libro IA en psiquiatría")</f>
        <v>Libro IA en psiquiatría</v>
      </c>
      <c r="M9146" s="10" t="str">
        <f>HYPERLINK("mailto:jdiaz@crm.otsuka-europe.com", "jdiaz@crm.otsuka-europe.com")</f>
        <v>jdiaz@crm.otsuka-europe.com</v>
      </c>
      <c r="N9146" s="13">
        <v>46234.480185185188</v>
      </c>
      <c r="O9146" s="14" t="str">
        <f>HYPERLINK("https://otsuka-europe-crm.veevavault.com/ui/#object/email_activity__v/V8C00000004F299", "EN-002110535")</f>
        <v>EN-002110535</v>
      </c>
    </row>
    <row r="9147" spans="1:15" ht="32" x14ac:dyDescent="0.2">
      <c r="A9147" s="7" t="str">
        <f>HYPERLINK("https://otsuka-europe-crm.veevavault.com/ui/#object/account__v/V4TZ06G6O71T7DB", "ALBA FELEZ VIÑAS")</f>
        <v>ALBA FELEZ VIÑAS</v>
      </c>
      <c r="B9147" s="7" t="str">
        <f>HYPERLINK("https://otsuka-europe-crm.veevavault.com/ui/#object/vcountry__v/VENZ000004SONF5", "ES")</f>
        <v>ES</v>
      </c>
      <c r="C9147" s="8" t="s">
        <v>39</v>
      </c>
      <c r="D9147" s="9" t="str">
        <f>HYPERLINK("https://otsuka-europe-crm.veevavault.com/ui/#object/approved_document__v/V5O00000000L011", "Libro IA en psiquiatría")</f>
        <v>Libro IA en psiquiatría</v>
      </c>
      <c r="E9147" s="10" t="str">
        <f>HYPERLINK("https://otsuka-europe-crm.veevavault.com/ui/#object/sent_email__v/VBL00000003H388", "SE-001448832")</f>
        <v>SE-001448832</v>
      </c>
      <c r="F9147" s="11"/>
      <c r="G9147" s="12">
        <v>0</v>
      </c>
      <c r="H9147" s="12">
        <v>0</v>
      </c>
      <c r="I9147" s="12">
        <v>0</v>
      </c>
      <c r="J9147" s="11"/>
      <c r="K9147" s="12">
        <v>0</v>
      </c>
      <c r="L9147" s="10" t="str">
        <f>HYPERLINK("https://otsuka-europe-crm.veevavault.com/ui/#object/approved_document__v/V5O00000000L011", "Libro IA en psiquiatría")</f>
        <v>Libro IA en psiquiatría</v>
      </c>
      <c r="M9147" s="10" t="str">
        <f>HYPERLINK("mailto:jdiaz@crm.otsuka-europe.com", "jdiaz@crm.otsuka-europe.com")</f>
        <v>jdiaz@crm.otsuka-europe.com</v>
      </c>
      <c r="N9147" s="13">
        <v>46234.480254629627</v>
      </c>
      <c r="O9147" s="14" t="str">
        <f>HYPERLINK("https://otsuka-europe-crm.veevavault.com/ui/#object/email_activity__v/V8C00000004F295", "EN-002110530")</f>
        <v>EN-002110530</v>
      </c>
    </row>
    <row r="9148" spans="1:15" ht="16" x14ac:dyDescent="0.2">
      <c r="A9148" s="18" t="str">
        <f>HYPERLINK("https://otsuka-europe-crm.veevavault.com/ui/#object/account__v/V4TZ06G6O71T7LZ", "LORENA FRANCES SORIANO")</f>
        <v>LORENA FRANCES SORIANO</v>
      </c>
      <c r="B9148" s="18" t="str">
        <f>HYPERLINK("https://otsuka-europe-crm.veevavault.com/ui/#object/vcountry__v/VENZ000004SONF5", "ES")</f>
        <v>ES</v>
      </c>
      <c r="C9148" s="20" t="s">
        <v>39</v>
      </c>
      <c r="D9148" s="21" t="str">
        <f>HYPERLINK("https://otsuka-europe-crm.veevavault.com/ui/#object/approved_document__v/V5O00000000L011", "Libro IA en psiquiatría")</f>
        <v>Libro IA en psiquiatría</v>
      </c>
      <c r="E9148" s="22" t="str">
        <f>HYPERLINK("https://otsuka-europe-crm.veevavault.com/ui/#object/sent_email__v/VBL00000003H389", "SE-001448833")</f>
        <v>SE-001448833</v>
      </c>
      <c r="F9148" s="25">
        <v>46234.941828703704</v>
      </c>
      <c r="G9148" s="24">
        <v>1</v>
      </c>
      <c r="H9148" s="24">
        <v>1</v>
      </c>
      <c r="I9148" s="24">
        <v>0</v>
      </c>
      <c r="J9148" s="23"/>
      <c r="K9148" s="24">
        <v>0</v>
      </c>
      <c r="L9148" s="22" t="str">
        <f>HYPERLINK("https://otsuka-europe-crm.veevavault.com/ui/#object/approved_document__v/V5O00000000L011", "Libro IA en psiquiatría")</f>
        <v>Libro IA en psiquiatría</v>
      </c>
      <c r="M9148" s="22" t="str">
        <f>HYPERLINK("mailto:jdiaz@crm.otsuka-europe.com", "jdiaz@crm.otsuka-europe.com")</f>
        <v>jdiaz@crm.otsuka-europe.com</v>
      </c>
      <c r="N9148" s="25">
        <v>46234.480254629627</v>
      </c>
      <c r="O9148" s="14" t="str">
        <f>HYPERLINK("https://otsuka-europe-crm.veevavault.com/ui/#object/email_activity__v/V8C00000004G451", "EN-002110539")</f>
        <v>EN-002110539</v>
      </c>
    </row>
    <row r="9149" spans="1:15" ht="16" x14ac:dyDescent="0.2">
      <c r="A9149" s="19"/>
      <c r="B9149" s="19"/>
      <c r="C9149" s="19"/>
      <c r="D9149" s="19"/>
      <c r="E9149" s="19"/>
      <c r="F9149" s="19"/>
      <c r="G9149" s="19"/>
      <c r="H9149" s="19"/>
      <c r="I9149" s="19"/>
      <c r="J9149" s="19"/>
      <c r="K9149" s="19"/>
      <c r="L9149" s="19"/>
      <c r="M9149" s="19"/>
      <c r="N9149" s="19"/>
      <c r="O9149" s="14" t="str">
        <f>HYPERLINK("https://otsuka-europe-crm.veevavault.com/ui/#object/email_activity__v/V8C00000004G655", "EN-002110930")</f>
        <v>EN-002110930</v>
      </c>
    </row>
    <row r="9150" spans="1:15" ht="32" x14ac:dyDescent="0.2">
      <c r="A9150" s="7" t="str">
        <f>HYPERLINK("https://otsuka-europe-crm.veevavault.com/ui/#object/account__v/V4TZ06G6O71T75Q", "ROCIO GOMEZ JUANES")</f>
        <v>ROCIO GOMEZ JUANES</v>
      </c>
      <c r="B9150" s="7" t="str">
        <f>HYPERLINK("https://otsuka-europe-crm.veevavault.com/ui/#object/vcountry__v/VENZ000004SONF5", "ES")</f>
        <v>ES</v>
      </c>
      <c r="C9150" s="8" t="s">
        <v>39</v>
      </c>
      <c r="D9150" s="9" t="str">
        <f>HYPERLINK("https://otsuka-europe-crm.veevavault.com/ui/#object/approved_document__v/V5O00000000L011", "Libro IA en psiquiatría")</f>
        <v>Libro IA en psiquiatría</v>
      </c>
      <c r="E9150" s="10" t="str">
        <f>HYPERLINK("https://otsuka-europe-crm.veevavault.com/ui/#object/sent_email__v/VBL00000003H390", "SE-001448834")</f>
        <v>SE-001448834</v>
      </c>
      <c r="F9150" s="11"/>
      <c r="G9150" s="12">
        <v>0</v>
      </c>
      <c r="H9150" s="12">
        <v>0</v>
      </c>
      <c r="I9150" s="12">
        <v>0</v>
      </c>
      <c r="J9150" s="11"/>
      <c r="K9150" s="12">
        <v>0</v>
      </c>
      <c r="L9150" s="10" t="str">
        <f>HYPERLINK("https://otsuka-europe-crm.veevavault.com/ui/#object/approved_document__v/V5O00000000L011", "Libro IA en psiquiatría")</f>
        <v>Libro IA en psiquiatría</v>
      </c>
      <c r="M9150" s="10" t="str">
        <f>HYPERLINK("mailto:jdiaz@crm.otsuka-europe.com", "jdiaz@crm.otsuka-europe.com")</f>
        <v>jdiaz@crm.otsuka-europe.com</v>
      </c>
      <c r="N9150" s="13">
        <v>46234.480254629627</v>
      </c>
      <c r="O9150" s="14" t="str">
        <f>HYPERLINK("https://otsuka-europe-crm.veevavault.com/ui/#object/email_activity__v/V8C00000004G450", "EN-002110534")</f>
        <v>EN-002110534</v>
      </c>
    </row>
    <row r="9151" spans="1:15" ht="32" x14ac:dyDescent="0.2">
      <c r="A9151" s="7" t="str">
        <f>HYPERLINK("https://otsuka-europe-crm.veevavault.com/ui/#object/account__v/V4TZ06G6O71UQRF", "ANTONIA ALOMAR GALMES")</f>
        <v>ANTONIA ALOMAR GALMES</v>
      </c>
      <c r="B9151" s="7" t="str">
        <f>HYPERLINK("https://otsuka-europe-crm.veevavault.com/ui/#object/vcountry__v/VENZ000004SONF5", "ES")</f>
        <v>ES</v>
      </c>
      <c r="C9151" s="8" t="s">
        <v>39</v>
      </c>
      <c r="D9151" s="9" t="str">
        <f>HYPERLINK("https://otsuka-europe-crm.veevavault.com/ui/#object/approved_document__v/V5O00000000L011", "Libro IA en psiquiatría")</f>
        <v>Libro IA en psiquiatría</v>
      </c>
      <c r="E9151" s="10" t="str">
        <f>HYPERLINK("https://otsuka-europe-crm.veevavault.com/ui/#object/sent_email__v/VBL00000003H391", "SE-001448835")</f>
        <v>SE-001448835</v>
      </c>
      <c r="F9151" s="11"/>
      <c r="G9151" s="12">
        <v>0</v>
      </c>
      <c r="H9151" s="12">
        <v>0</v>
      </c>
      <c r="I9151" s="12">
        <v>0</v>
      </c>
      <c r="J9151" s="11"/>
      <c r="K9151" s="12">
        <v>0</v>
      </c>
      <c r="L9151" s="10" t="str">
        <f>HYPERLINK("https://otsuka-europe-crm.veevavault.com/ui/#object/approved_document__v/V5O00000000L011", "Libro IA en psiquiatría")</f>
        <v>Libro IA en psiquiatría</v>
      </c>
      <c r="M9151" s="10" t="str">
        <f>HYPERLINK("mailto:jdiaz@crm.otsuka-europe.com", "jdiaz@crm.otsuka-europe.com")</f>
        <v>jdiaz@crm.otsuka-europe.com</v>
      </c>
      <c r="N9151" s="13">
        <v>46234.480254629627</v>
      </c>
      <c r="O9151" s="14" t="str">
        <f>HYPERLINK("https://otsuka-europe-crm.veevavault.com/ui/#object/email_activity__v/V8C00000004F300", "EN-002110536")</f>
        <v>EN-002110536</v>
      </c>
    </row>
    <row r="9152" spans="1:15" ht="32" x14ac:dyDescent="0.2">
      <c r="A9152" s="7" t="str">
        <f>HYPERLINK("https://otsuka-europe-crm.veevavault.com/ui/#object/account__v/V4TZ06G6O71T9XO", "MARIA JOSE GARCIA NAVARRO")</f>
        <v>MARIA JOSE GARCIA NAVARRO</v>
      </c>
      <c r="B9152" s="7" t="str">
        <f>HYPERLINK("https://otsuka-europe-crm.veevavault.com/ui/#object/vcountry__v/VENZ000004SONF5", "ES")</f>
        <v>ES</v>
      </c>
      <c r="C9152" s="8" t="s">
        <v>39</v>
      </c>
      <c r="D9152" s="9" t="str">
        <f>HYPERLINK("https://otsuka-europe-crm.veevavault.com/ui/#object/approved_document__v/V5O00000000L011", "Libro IA en psiquiatría")</f>
        <v>Libro IA en psiquiatría</v>
      </c>
      <c r="E9152" s="10" t="str">
        <f>HYPERLINK("https://otsuka-europe-crm.veevavault.com/ui/#object/sent_email__v/VBL00000003H392", "SE-001448836")</f>
        <v>SE-001448836</v>
      </c>
      <c r="F9152" s="11"/>
      <c r="G9152" s="12">
        <v>0</v>
      </c>
      <c r="H9152" s="12">
        <v>0</v>
      </c>
      <c r="I9152" s="12">
        <v>0</v>
      </c>
      <c r="J9152" s="11"/>
      <c r="K9152" s="12">
        <v>0</v>
      </c>
      <c r="L9152" s="10" t="str">
        <f>HYPERLINK("https://otsuka-europe-crm.veevavault.com/ui/#object/approved_document__v/V5O00000000L011", "Libro IA en psiquiatría")</f>
        <v>Libro IA en psiquiatría</v>
      </c>
      <c r="M9152" s="10" t="str">
        <f>HYPERLINK("mailto:jdiaz@crm.otsuka-europe.com", "jdiaz@crm.otsuka-europe.com")</f>
        <v>jdiaz@crm.otsuka-europe.com</v>
      </c>
      <c r="N9152" s="13">
        <v>46234.480254629627</v>
      </c>
      <c r="O9152" s="14" t="str">
        <f>HYPERLINK("https://otsuka-europe-crm.veevavault.com/ui/#object/email_activity__v/V8C00000004G519", "EN-002110661")</f>
        <v>EN-002110661</v>
      </c>
    </row>
    <row r="9153" spans="1:15" ht="16" x14ac:dyDescent="0.2">
      <c r="A9153" s="18" t="str">
        <f>HYPERLINK("https://otsuka-europe-crm.veevavault.com/ui/#object/account__v/V4TZ06G6O71T7CX", "MIGUEL ECHEVARRIA MARTINEZ DE BUJO")</f>
        <v>MIGUEL ECHEVARRIA MARTINEZ DE BUJO</v>
      </c>
      <c r="B9153" s="18" t="str">
        <f>HYPERLINK("https://otsuka-europe-crm.veevavault.com/ui/#object/vcountry__v/VENZ000004SONF5", "ES")</f>
        <v>ES</v>
      </c>
      <c r="C9153" s="20" t="s">
        <v>39</v>
      </c>
      <c r="D9153" s="21" t="str">
        <f>HYPERLINK("https://otsuka-europe-crm.veevavault.com/ui/#object/approved_document__v/V5O00000000L011", "Libro IA en psiquiatría")</f>
        <v>Libro IA en psiquiatría</v>
      </c>
      <c r="E9153" s="22" t="str">
        <f>HYPERLINK("https://otsuka-europe-crm.veevavault.com/ui/#object/sent_email__v/VBL00000003H393", "SE-001448837")</f>
        <v>SE-001448837</v>
      </c>
      <c r="F9153" s="23"/>
      <c r="G9153" s="24">
        <v>0</v>
      </c>
      <c r="H9153" s="24">
        <v>0</v>
      </c>
      <c r="I9153" s="24">
        <v>0</v>
      </c>
      <c r="J9153" s="23"/>
      <c r="K9153" s="24">
        <v>0</v>
      </c>
      <c r="L9153" s="22" t="str">
        <f>HYPERLINK("https://otsuka-europe-crm.veevavault.com/ui/#object/approved_document__v/V5O00000000L011", "Libro IA en psiquiatría")</f>
        <v>Libro IA en psiquiatría</v>
      </c>
      <c r="M9153" s="22" t="str">
        <f>HYPERLINK("mailto:jdiaz@crm.otsuka-europe.com", "jdiaz@crm.otsuka-europe.com")</f>
        <v>jdiaz@crm.otsuka-europe.com</v>
      </c>
      <c r="N9153" s="25">
        <v>46234.480254629627</v>
      </c>
      <c r="O9153" s="14" t="str">
        <f>HYPERLINK("https://otsuka-europe-crm.veevavault.com/ui/#object/email_activity__v/V8C00000004G455", "EN-002110543")</f>
        <v>EN-002110543</v>
      </c>
    </row>
    <row r="9154" spans="1:15" ht="16" x14ac:dyDescent="0.2">
      <c r="A9154" s="19"/>
      <c r="B9154" s="19"/>
      <c r="C9154" s="19"/>
      <c r="D9154" s="19"/>
      <c r="E9154" s="19"/>
      <c r="F9154" s="19"/>
      <c r="G9154" s="19"/>
      <c r="H9154" s="19"/>
      <c r="I9154" s="19"/>
      <c r="J9154" s="19"/>
      <c r="K9154" s="19"/>
      <c r="L9154" s="19"/>
      <c r="M9154" s="19"/>
      <c r="N9154" s="19"/>
      <c r="O9154" s="14" t="str">
        <f>HYPERLINK("https://otsuka-europe-crm.veevavault.com/ui/#object/email_activity__v/V8C00000004G617", "EN-002110830")</f>
        <v>EN-002110830</v>
      </c>
    </row>
    <row r="9155" spans="1:15" ht="32" x14ac:dyDescent="0.2">
      <c r="A9155" s="7" t="str">
        <f>HYPERLINK("https://otsuka-europe-crm.veevavault.com/ui/#object/account__v/V4TZ06G6O71TAD9", "DANIEL GINER JIMENEZ")</f>
        <v>DANIEL GINER JIMENEZ</v>
      </c>
      <c r="B9155" s="7" t="str">
        <f>HYPERLINK("https://otsuka-europe-crm.veevavault.com/ui/#object/vcountry__v/VENZ000004SONF5", "ES")</f>
        <v>ES</v>
      </c>
      <c r="C9155" s="8" t="s">
        <v>39</v>
      </c>
      <c r="D9155" s="9" t="str">
        <f>HYPERLINK("https://otsuka-europe-crm.veevavault.com/ui/#object/approved_document__v/V5O00000000L011", "Libro IA en psiquiatría")</f>
        <v>Libro IA en psiquiatría</v>
      </c>
      <c r="E9155" s="10" t="str">
        <f>HYPERLINK("https://otsuka-europe-crm.veevavault.com/ui/#object/sent_email__v/VBL00000003H394", "SE-001448838")</f>
        <v>SE-001448838</v>
      </c>
      <c r="F9155" s="11"/>
      <c r="G9155" s="12">
        <v>0</v>
      </c>
      <c r="H9155" s="12">
        <v>0</v>
      </c>
      <c r="I9155" s="12">
        <v>0</v>
      </c>
      <c r="J9155" s="11"/>
      <c r="K9155" s="12">
        <v>0</v>
      </c>
      <c r="L9155" s="10" t="str">
        <f>HYPERLINK("https://otsuka-europe-crm.veevavault.com/ui/#object/approved_document__v/V5O00000000L011", "Libro IA en psiquiatría")</f>
        <v>Libro IA en psiquiatría</v>
      </c>
      <c r="M9155" s="10" t="str">
        <f>HYPERLINK("mailto:jdiaz@crm.otsuka-europe.com", "jdiaz@crm.otsuka-europe.com")</f>
        <v>jdiaz@crm.otsuka-europe.com</v>
      </c>
      <c r="N9155" s="13">
        <v>46234.480254629627</v>
      </c>
      <c r="O9155" s="14" t="str">
        <f>HYPERLINK("https://otsuka-europe-crm.veevavault.com/ui/#object/email_activity__v/V8C00000004G459", "EN-002110547")</f>
        <v>EN-002110547</v>
      </c>
    </row>
    <row r="9156" spans="1:15" ht="16" x14ac:dyDescent="0.2">
      <c r="A9156" s="18" t="str">
        <f>HYPERLINK("https://otsuka-europe-crm.veevavault.com/ui/#object/account__v/V4TZ06G6O71T7IT", "GUILLEM CRESPI GINARD")</f>
        <v>GUILLEM CRESPI GINARD</v>
      </c>
      <c r="B9156" s="18" t="str">
        <f>HYPERLINK("https://otsuka-europe-crm.veevavault.com/ui/#object/vcountry__v/VENZ000004SONF5", "ES")</f>
        <v>ES</v>
      </c>
      <c r="C9156" s="20" t="s">
        <v>39</v>
      </c>
      <c r="D9156" s="21" t="str">
        <f>HYPERLINK("https://otsuka-europe-crm.veevavault.com/ui/#object/approved_document__v/V5O00000000L011", "Libro IA en psiquiatría")</f>
        <v>Libro IA en psiquiatría</v>
      </c>
      <c r="E9156" s="22" t="str">
        <f>HYPERLINK("https://otsuka-europe-crm.veevavault.com/ui/#object/sent_email__v/VBL00000003H395", "SE-001448839")</f>
        <v>SE-001448839</v>
      </c>
      <c r="F9156" s="25">
        <v>46234.712569444448</v>
      </c>
      <c r="G9156" s="24">
        <v>1</v>
      </c>
      <c r="H9156" s="24">
        <v>1</v>
      </c>
      <c r="I9156" s="24">
        <v>1</v>
      </c>
      <c r="J9156" s="25">
        <v>46234.712569444448</v>
      </c>
      <c r="K9156" s="24">
        <v>1</v>
      </c>
      <c r="L9156" s="22" t="str">
        <f>HYPERLINK("https://otsuka-europe-crm.veevavault.com/ui/#object/approved_document__v/V5O00000000L011", "Libro IA en psiquiatría")</f>
        <v>Libro IA en psiquiatría</v>
      </c>
      <c r="M9156" s="22" t="str">
        <f>HYPERLINK("mailto:jdiaz@crm.otsuka-europe.com", "jdiaz@crm.otsuka-europe.com")</f>
        <v>jdiaz@crm.otsuka-europe.com</v>
      </c>
      <c r="N9156" s="25">
        <v>46234.480254629627</v>
      </c>
      <c r="O9156" s="14" t="str">
        <f>HYPERLINK("https://otsuka-europe-crm.veevavault.com/ui/#object/email_activity__v/V8C00000004G454", "EN-002110542")</f>
        <v>EN-002110542</v>
      </c>
    </row>
    <row r="9157" spans="1:15" ht="16" x14ac:dyDescent="0.2">
      <c r="A9157" s="26"/>
      <c r="B9157" s="26"/>
      <c r="C9157" s="26"/>
      <c r="D9157" s="26"/>
      <c r="E9157" s="26"/>
      <c r="F9157" s="26"/>
      <c r="G9157" s="26"/>
      <c r="H9157" s="26"/>
      <c r="I9157" s="26"/>
      <c r="J9157" s="26"/>
      <c r="K9157" s="26"/>
      <c r="L9157" s="26"/>
      <c r="M9157" s="26"/>
      <c r="N9157" s="26"/>
      <c r="O9157" s="14" t="str">
        <f>HYPERLINK("https://otsuka-europe-crm.veevavault.com/ui/#object/email_activity__v/V8C00000004G619", "EN-002110835")</f>
        <v>EN-002110835</v>
      </c>
    </row>
    <row r="9158" spans="1:15" ht="16" x14ac:dyDescent="0.2">
      <c r="A9158" s="19"/>
      <c r="B9158" s="19"/>
      <c r="C9158" s="19"/>
      <c r="D9158" s="19"/>
      <c r="E9158" s="19"/>
      <c r="F9158" s="19"/>
      <c r="G9158" s="19"/>
      <c r="H9158" s="19"/>
      <c r="I9158" s="19"/>
      <c r="J9158" s="19"/>
      <c r="K9158" s="19"/>
      <c r="L9158" s="19"/>
      <c r="M9158" s="19"/>
      <c r="N9158" s="19"/>
      <c r="O9158" s="14" t="str">
        <f>HYPERLINK("https://otsuka-europe-crm.veevavault.com/ui/#object/email_activity__v/V8C00000004G620", "EN-002110834")</f>
        <v>EN-002110834</v>
      </c>
    </row>
    <row r="9159" spans="1:15" ht="32" x14ac:dyDescent="0.2">
      <c r="A9159" s="7" t="str">
        <f>HYPERLINK("https://otsuka-europe-crm.veevavault.com/ui/#object/account__v/V4TZ06G6O71T79U", "CARLOS GARCIA CALDENTEY")</f>
        <v>CARLOS GARCIA CALDENTEY</v>
      </c>
      <c r="B9159" s="7" t="str">
        <f>HYPERLINK("https://otsuka-europe-crm.veevavault.com/ui/#object/vcountry__v/VENZ000004SONF5", "ES")</f>
        <v>ES</v>
      </c>
      <c r="C9159" s="8" t="s">
        <v>39</v>
      </c>
      <c r="D9159" s="9" t="str">
        <f>HYPERLINK("https://otsuka-europe-crm.veevavault.com/ui/#object/approved_document__v/V5O00000000L011", "Libro IA en psiquiatría")</f>
        <v>Libro IA en psiquiatría</v>
      </c>
      <c r="E9159" s="10" t="str">
        <f>HYPERLINK("https://otsuka-europe-crm.veevavault.com/ui/#object/sent_email__v/VBL00000003H396", "SE-001448840")</f>
        <v>SE-001448840</v>
      </c>
      <c r="F9159" s="11"/>
      <c r="G9159" s="12">
        <v>0</v>
      </c>
      <c r="H9159" s="12">
        <v>0</v>
      </c>
      <c r="I9159" s="12">
        <v>0</v>
      </c>
      <c r="J9159" s="11"/>
      <c r="K9159" s="12">
        <v>0</v>
      </c>
      <c r="L9159" s="10" t="str">
        <f>HYPERLINK("https://otsuka-europe-crm.veevavault.com/ui/#object/approved_document__v/V5O00000000L011", "Libro IA en psiquiatría")</f>
        <v>Libro IA en psiquiatría</v>
      </c>
      <c r="M9159" s="10" t="str">
        <f>HYPERLINK("mailto:jdiaz@crm.otsuka-europe.com", "jdiaz@crm.otsuka-europe.com")</f>
        <v>jdiaz@crm.otsuka-europe.com</v>
      </c>
      <c r="N9159" s="13">
        <v>46234.480254629627</v>
      </c>
      <c r="O9159" s="14" t="str">
        <f>HYPERLINK("https://otsuka-europe-crm.veevavault.com/ui/#object/email_activity__v/V8C00000004G520", "EN-002110662")</f>
        <v>EN-002110662</v>
      </c>
    </row>
    <row r="9160" spans="1:15" ht="32" x14ac:dyDescent="0.2">
      <c r="A9160" s="7" t="str">
        <f>HYPERLINK("https://otsuka-europe-crm.veevavault.com/ui/#object/account__v/V4TZ025E83SXAD1", "BERTA AMOROS LLONCH")</f>
        <v>BERTA AMOROS LLONCH</v>
      </c>
      <c r="B9160" s="7" t="str">
        <f>HYPERLINK("https://otsuka-europe-crm.veevavault.com/ui/#object/vcountry__v/VENZ000004SONF5", "ES")</f>
        <v>ES</v>
      </c>
      <c r="C9160" s="8" t="s">
        <v>39</v>
      </c>
      <c r="D9160" s="9" t="str">
        <f>HYPERLINK("https://otsuka-europe-crm.veevavault.com/ui/#object/approved_document__v/V5O00000000L011", "Libro IA en psiquiatría")</f>
        <v>Libro IA en psiquiatría</v>
      </c>
      <c r="E9160" s="10" t="str">
        <f>HYPERLINK("https://otsuka-europe-crm.veevavault.com/ui/#object/sent_email__v/VBL00000003H397", "SE-001448841")</f>
        <v>SE-001448841</v>
      </c>
      <c r="F9160" s="11"/>
      <c r="G9160" s="12">
        <v>0</v>
      </c>
      <c r="H9160" s="12">
        <v>0</v>
      </c>
      <c r="I9160" s="12">
        <v>0</v>
      </c>
      <c r="J9160" s="11"/>
      <c r="K9160" s="12">
        <v>0</v>
      </c>
      <c r="L9160" s="10" t="str">
        <f>HYPERLINK("https://otsuka-europe-crm.veevavault.com/ui/#object/approved_document__v/V5O00000000L011", "Libro IA en psiquiatría")</f>
        <v>Libro IA en psiquiatría</v>
      </c>
      <c r="M9160" s="10" t="str">
        <f>HYPERLINK("mailto:jdiaz@crm.otsuka-europe.com", "jdiaz@crm.otsuka-europe.com")</f>
        <v>jdiaz@crm.otsuka-europe.com</v>
      </c>
      <c r="N9160" s="13">
        <v>46234.480254629627</v>
      </c>
      <c r="O9160" s="14" t="str">
        <f>HYPERLINK("https://otsuka-europe-crm.veevavault.com/ui/#object/email_activity__v/V8C00000004G458", "EN-002110546")</f>
        <v>EN-002110546</v>
      </c>
    </row>
    <row r="9161" spans="1:15" ht="32" x14ac:dyDescent="0.2">
      <c r="A9161" s="7" t="str">
        <f>HYPERLINK("https://otsuka-europe-crm.veevavault.com/ui/#object/account__v/V4TZ025E83I79AL", "PERCY OMAR ALFARO INCA")</f>
        <v>PERCY OMAR ALFARO INCA</v>
      </c>
      <c r="B9161" s="7" t="str">
        <f>HYPERLINK("https://otsuka-europe-crm.veevavault.com/ui/#object/vcountry__v/VENZ000004SONF5", "ES")</f>
        <v>ES</v>
      </c>
      <c r="C9161" s="8" t="s">
        <v>39</v>
      </c>
      <c r="D9161" s="9" t="str">
        <f>HYPERLINK("https://otsuka-europe-crm.veevavault.com/ui/#object/approved_document__v/V5O00000000L011", "Libro IA en psiquiatría")</f>
        <v>Libro IA en psiquiatría</v>
      </c>
      <c r="E9161" s="10" t="str">
        <f>HYPERLINK("https://otsuka-europe-crm.veevavault.com/ui/#object/sent_email__v/VBL00000003H398", "SE-001448842")</f>
        <v>SE-001448842</v>
      </c>
      <c r="F9161" s="11"/>
      <c r="G9161" s="12">
        <v>0</v>
      </c>
      <c r="H9161" s="12">
        <v>0</v>
      </c>
      <c r="I9161" s="12">
        <v>0</v>
      </c>
      <c r="J9161" s="11"/>
      <c r="K9161" s="12">
        <v>0</v>
      </c>
      <c r="L9161" s="10" t="str">
        <f>HYPERLINK("https://otsuka-europe-crm.veevavault.com/ui/#object/approved_document__v/V5O00000000L011", "Libro IA en psiquiatría")</f>
        <v>Libro IA en psiquiatría</v>
      </c>
      <c r="M9161" s="10" t="str">
        <f>HYPERLINK("mailto:jdiaz@crm.otsuka-europe.com", "jdiaz@crm.otsuka-europe.com")</f>
        <v>jdiaz@crm.otsuka-europe.com</v>
      </c>
      <c r="N9161" s="13">
        <v>46234.480254629627</v>
      </c>
      <c r="O9161" s="14" t="str">
        <f>HYPERLINK("https://otsuka-europe-crm.veevavault.com/ui/#object/email_activity__v/V8C00000004G461", "EN-002110549")</f>
        <v>EN-002110549</v>
      </c>
    </row>
    <row r="9162" spans="1:15" ht="32" x14ac:dyDescent="0.2">
      <c r="A9162" s="7" t="str">
        <f>HYPERLINK("https://otsuka-europe-crm.veevavault.com/ui/#object/account__v/V4TZ06G6O71T92H", "IRATXE AGUIRRE ORUE")</f>
        <v>IRATXE AGUIRRE ORUE</v>
      </c>
      <c r="B9162" s="7" t="str">
        <f>HYPERLINK("https://otsuka-europe-crm.veevavault.com/ui/#object/vcountry__v/VENZ000004SONF5", "ES")</f>
        <v>ES</v>
      </c>
      <c r="C9162" s="8" t="s">
        <v>39</v>
      </c>
      <c r="D9162" s="9" t="str">
        <f>HYPERLINK("https://otsuka-europe-crm.veevavault.com/ui/#object/approved_document__v/V5O00000000L011", "Libro IA en psiquiatría")</f>
        <v>Libro IA en psiquiatría</v>
      </c>
      <c r="E9162" s="10" t="str">
        <f>HYPERLINK("https://otsuka-europe-crm.veevavault.com/ui/#object/sent_email__v/VBL00000003H399", "SE-001448843")</f>
        <v>SE-001448843</v>
      </c>
      <c r="F9162" s="11"/>
      <c r="G9162" s="12">
        <v>0</v>
      </c>
      <c r="H9162" s="12">
        <v>0</v>
      </c>
      <c r="I9162" s="12">
        <v>0</v>
      </c>
      <c r="J9162" s="11"/>
      <c r="K9162" s="12">
        <v>0</v>
      </c>
      <c r="L9162" s="10" t="str">
        <f>HYPERLINK("https://otsuka-europe-crm.veevavault.com/ui/#object/approved_document__v/V5O00000000L011", "Libro IA en psiquiatría")</f>
        <v>Libro IA en psiquiatría</v>
      </c>
      <c r="M9162" s="10" t="str">
        <f>HYPERLINK("mailto:jdiaz@crm.otsuka-europe.com", "jdiaz@crm.otsuka-europe.com")</f>
        <v>jdiaz@crm.otsuka-europe.com</v>
      </c>
      <c r="N9162" s="13">
        <v>46234.480254629627</v>
      </c>
      <c r="O9162" s="14" t="str">
        <f>HYPERLINK("https://otsuka-europe-crm.veevavault.com/ui/#object/email_activity__v/V8C00000004G517", "EN-002110659")</f>
        <v>EN-002110659</v>
      </c>
    </row>
    <row r="9163" spans="1:15" ht="16" x14ac:dyDescent="0.2">
      <c r="A9163" s="18" t="str">
        <f>HYPERLINK("https://otsuka-europe-crm.veevavault.com/ui/#object/account__v/V4TZ06G6O71TA96", "NURIA ESTHER CHINCHURRETA DE LORA")</f>
        <v>NURIA ESTHER CHINCHURRETA DE LORA</v>
      </c>
      <c r="B9163" s="18" t="str">
        <f>HYPERLINK("https://otsuka-europe-crm.veevavault.com/ui/#object/vcountry__v/VENZ000004SONF5", "ES")</f>
        <v>ES</v>
      </c>
      <c r="C9163" s="20" t="s">
        <v>39</v>
      </c>
      <c r="D9163" s="21" t="str">
        <f>HYPERLINK("https://otsuka-europe-crm.veevavault.com/ui/#object/approved_document__v/V5O00000000L011", "Libro IA en psiquiatría")</f>
        <v>Libro IA en psiquiatría</v>
      </c>
      <c r="E9163" s="22" t="str">
        <f>HYPERLINK("https://otsuka-europe-crm.veevavault.com/ui/#object/sent_email__v/VBL00000003H400", "SE-001448844")</f>
        <v>SE-001448844</v>
      </c>
      <c r="F9163" s="23"/>
      <c r="G9163" s="24">
        <v>0</v>
      </c>
      <c r="H9163" s="24">
        <v>0</v>
      </c>
      <c r="I9163" s="24">
        <v>1</v>
      </c>
      <c r="J9163" s="25">
        <v>46234.549398148149</v>
      </c>
      <c r="K9163" s="24">
        <v>1</v>
      </c>
      <c r="L9163" s="22" t="str">
        <f>HYPERLINK("https://otsuka-europe-crm.veevavault.com/ui/#object/approved_document__v/V5O00000000L011", "Libro IA en psiquiatría")</f>
        <v>Libro IA en psiquiatría</v>
      </c>
      <c r="M9163" s="22" t="str">
        <f>HYPERLINK("mailto:jdiaz@crm.otsuka-europe.com", "jdiaz@crm.otsuka-europe.com")</f>
        <v>jdiaz@crm.otsuka-europe.com</v>
      </c>
      <c r="N9163" s="25">
        <v>46234.480254629627</v>
      </c>
      <c r="O9163" s="14" t="str">
        <f>HYPERLINK("https://otsuka-europe-crm.veevavault.com/ui/#object/email_activity__v/V8C00000004F392", "EN-002110752")</f>
        <v>EN-002110752</v>
      </c>
    </row>
    <row r="9164" spans="1:15" ht="16" x14ac:dyDescent="0.2">
      <c r="A9164" s="26"/>
      <c r="B9164" s="26"/>
      <c r="C9164" s="26"/>
      <c r="D9164" s="26"/>
      <c r="E9164" s="26"/>
      <c r="F9164" s="26"/>
      <c r="G9164" s="26"/>
      <c r="H9164" s="26"/>
      <c r="I9164" s="26"/>
      <c r="J9164" s="26"/>
      <c r="K9164" s="26"/>
      <c r="L9164" s="26"/>
      <c r="M9164" s="26"/>
      <c r="N9164" s="26"/>
      <c r="O9164" s="14" t="str">
        <f>HYPERLINK("https://otsuka-europe-crm.veevavault.com/ui/#object/email_activity__v/V8C00000004G453", "EN-002110541")</f>
        <v>EN-002110541</v>
      </c>
    </row>
    <row r="9165" spans="1:15" ht="16" x14ac:dyDescent="0.2">
      <c r="A9165" s="19"/>
      <c r="B9165" s="19"/>
      <c r="C9165" s="19"/>
      <c r="D9165" s="19"/>
      <c r="E9165" s="19"/>
      <c r="F9165" s="19"/>
      <c r="G9165" s="19"/>
      <c r="H9165" s="19"/>
      <c r="I9165" s="19"/>
      <c r="J9165" s="19"/>
      <c r="K9165" s="19"/>
      <c r="L9165" s="19"/>
      <c r="M9165" s="19"/>
      <c r="N9165" s="19"/>
      <c r="O9165" s="14" t="str">
        <f>HYPERLINK("https://otsuka-europe-crm.veevavault.com/ui/#object/email_activity__v/V8C00000004G578", "EN-002110754")</f>
        <v>EN-002110754</v>
      </c>
    </row>
    <row r="9166" spans="1:15" ht="16" x14ac:dyDescent="0.2">
      <c r="A9166" s="18" t="str">
        <f>HYPERLINK("https://otsuka-europe-crm.veevavault.com/ui/#object/account__v/V4TZ06G6O71T9B4", "MARTA BEDMAR NOGUEROL")</f>
        <v>MARTA BEDMAR NOGUEROL</v>
      </c>
      <c r="B9166" s="18" t="str">
        <f>HYPERLINK("https://otsuka-europe-crm.veevavault.com/ui/#object/vcountry__v/VENZ000004SONF5", "ES")</f>
        <v>ES</v>
      </c>
      <c r="C9166" s="20" t="s">
        <v>39</v>
      </c>
      <c r="D9166" s="21" t="str">
        <f>HYPERLINK("https://otsuka-europe-crm.veevavault.com/ui/#object/approved_document__v/V5O00000000L011", "Libro IA en psiquiatría")</f>
        <v>Libro IA en psiquiatría</v>
      </c>
      <c r="E9166" s="22" t="str">
        <f>HYPERLINK("https://otsuka-europe-crm.veevavault.com/ui/#object/sent_email__v/VBL00000003H401", "SE-001448845")</f>
        <v>SE-001448845</v>
      </c>
      <c r="F9166" s="25">
        <v>46235.309953703705</v>
      </c>
      <c r="G9166" s="24">
        <v>1</v>
      </c>
      <c r="H9166" s="24">
        <v>3</v>
      </c>
      <c r="I9166" s="24">
        <v>1</v>
      </c>
      <c r="J9166" s="25">
        <v>46235.310243055559</v>
      </c>
      <c r="K9166" s="24">
        <v>1</v>
      </c>
      <c r="L9166" s="22" t="str">
        <f>HYPERLINK("https://otsuka-europe-crm.veevavault.com/ui/#object/approved_document__v/V5O00000000L011", "Libro IA en psiquiatría")</f>
        <v>Libro IA en psiquiatría</v>
      </c>
      <c r="M9166" s="22" t="str">
        <f>HYPERLINK("mailto:jdiaz@crm.otsuka-europe.com", "jdiaz@crm.otsuka-europe.com")</f>
        <v>jdiaz@crm.otsuka-europe.com</v>
      </c>
      <c r="N9166" s="25">
        <v>46234.480138888888</v>
      </c>
      <c r="O9166" s="14" t="str">
        <f>HYPERLINK("https://otsuka-europe-crm.veevavault.com/ui/#object/email_activity__v/V8C00000004F394", "EN-002110757")</f>
        <v>EN-002110757</v>
      </c>
    </row>
    <row r="9167" spans="1:15" ht="16" x14ac:dyDescent="0.2">
      <c r="A9167" s="26"/>
      <c r="B9167" s="26"/>
      <c r="C9167" s="26"/>
      <c r="D9167" s="26"/>
      <c r="E9167" s="26"/>
      <c r="F9167" s="26"/>
      <c r="G9167" s="26"/>
      <c r="H9167" s="26"/>
      <c r="I9167" s="26"/>
      <c r="J9167" s="26"/>
      <c r="K9167" s="26"/>
      <c r="L9167" s="26"/>
      <c r="M9167" s="26"/>
      <c r="N9167" s="26"/>
      <c r="O9167" s="14" t="str">
        <f>HYPERLINK("https://otsuka-europe-crm.veevavault.com/ui/#object/email_activity__v/V8C00000004F395", "EN-002110758")</f>
        <v>EN-002110758</v>
      </c>
    </row>
    <row r="9168" spans="1:15" ht="16" x14ac:dyDescent="0.2">
      <c r="A9168" s="26"/>
      <c r="B9168" s="26"/>
      <c r="C9168" s="26"/>
      <c r="D9168" s="26"/>
      <c r="E9168" s="26"/>
      <c r="F9168" s="26"/>
      <c r="G9168" s="26"/>
      <c r="H9168" s="26"/>
      <c r="I9168" s="26"/>
      <c r="J9168" s="26"/>
      <c r="K9168" s="26"/>
      <c r="L9168" s="26"/>
      <c r="M9168" s="26"/>
      <c r="N9168" s="26"/>
      <c r="O9168" s="14" t="str">
        <f>HYPERLINK("https://otsuka-europe-crm.veevavault.com/ui/#object/email_activity__v/V8C00000004G514", "EN-002110656")</f>
        <v>EN-002110656</v>
      </c>
    </row>
    <row r="9169" spans="1:15" ht="16" x14ac:dyDescent="0.2">
      <c r="A9169" s="26"/>
      <c r="B9169" s="26"/>
      <c r="C9169" s="26"/>
      <c r="D9169" s="26"/>
      <c r="E9169" s="26"/>
      <c r="F9169" s="26"/>
      <c r="G9169" s="26"/>
      <c r="H9169" s="26"/>
      <c r="I9169" s="26"/>
      <c r="J9169" s="26"/>
      <c r="K9169" s="26"/>
      <c r="L9169" s="26"/>
      <c r="M9169" s="26"/>
      <c r="N9169" s="26"/>
      <c r="O9169" s="14" t="str">
        <f>HYPERLINK("https://otsuka-europe-crm.veevavault.com/ui/#object/email_activity__v/V8C00000004H044", "EN-002110997")</f>
        <v>EN-002110997</v>
      </c>
    </row>
    <row r="9170" spans="1:15" ht="16" x14ac:dyDescent="0.2">
      <c r="A9170" s="19"/>
      <c r="B9170" s="19"/>
      <c r="C9170" s="19"/>
      <c r="D9170" s="19"/>
      <c r="E9170" s="19"/>
      <c r="F9170" s="19"/>
      <c r="G9170" s="19"/>
      <c r="H9170" s="19"/>
      <c r="I9170" s="19"/>
      <c r="J9170" s="19"/>
      <c r="K9170" s="19"/>
      <c r="L9170" s="19"/>
      <c r="M9170" s="19"/>
      <c r="N9170" s="19"/>
      <c r="O9170" s="14" t="str">
        <f>HYPERLINK("https://otsuka-europe-crm.veevavault.com/ui/#object/email_activity__v/V8C00000004I004", "EN-002110998")</f>
        <v>EN-002110998</v>
      </c>
    </row>
    <row r="9171" spans="1:15" ht="16" x14ac:dyDescent="0.2">
      <c r="A9171" s="18" t="str">
        <f>HYPERLINK("https://otsuka-europe-crm.veevavault.com/ui/#object/account__v/V4TZ04ASG8MUXRO", "JOSE MANUEL BLANCO ROMERO")</f>
        <v>JOSE MANUEL BLANCO ROMERO</v>
      </c>
      <c r="B9171" s="18" t="str">
        <f>HYPERLINK("https://otsuka-europe-crm.veevavault.com/ui/#object/vcountry__v/VENZ000004SONF5", "ES")</f>
        <v>ES</v>
      </c>
      <c r="C9171" s="20" t="s">
        <v>39</v>
      </c>
      <c r="D9171" s="21" t="str">
        <f>HYPERLINK("https://otsuka-europe-crm.veevavault.com/ui/#object/approved_document__v/V5O00000000L011", "Libro IA en psiquiatría")</f>
        <v>Libro IA en psiquiatría</v>
      </c>
      <c r="E9171" s="22" t="str">
        <f>HYPERLINK("https://otsuka-europe-crm.veevavault.com/ui/#object/sent_email__v/VBL00000003H402", "SE-001448846")</f>
        <v>SE-001448846</v>
      </c>
      <c r="F9171" s="23"/>
      <c r="G9171" s="24">
        <v>0</v>
      </c>
      <c r="H9171" s="24">
        <v>0</v>
      </c>
      <c r="I9171" s="24">
        <v>0</v>
      </c>
      <c r="J9171" s="23"/>
      <c r="K9171" s="24">
        <v>0</v>
      </c>
      <c r="L9171" s="22" t="str">
        <f>HYPERLINK("https://otsuka-europe-crm.veevavault.com/ui/#object/approved_document__v/V5O00000000L011", "Libro IA en psiquiatría")</f>
        <v>Libro IA en psiquiatría</v>
      </c>
      <c r="M9171" s="22" t="str">
        <f>HYPERLINK("mailto:jdiaz@crm.otsuka-europe.com", "jdiaz@crm.otsuka-europe.com")</f>
        <v>jdiaz@crm.otsuka-europe.com</v>
      </c>
      <c r="N9171" s="25">
        <v>46234.480138888888</v>
      </c>
      <c r="O9171" s="14" t="str">
        <f>HYPERLINK("https://otsuka-europe-crm.veevavault.com/ui/#object/email_activity__v/V8C00000004G449", "EN-002110527")</f>
        <v>EN-002110527</v>
      </c>
    </row>
    <row r="9172" spans="1:15" ht="16" x14ac:dyDescent="0.2">
      <c r="A9172" s="26"/>
      <c r="B9172" s="26"/>
      <c r="C9172" s="26"/>
      <c r="D9172" s="26"/>
      <c r="E9172" s="26"/>
      <c r="F9172" s="26"/>
      <c r="G9172" s="26"/>
      <c r="H9172" s="26"/>
      <c r="I9172" s="26"/>
      <c r="J9172" s="26"/>
      <c r="K9172" s="26"/>
      <c r="L9172" s="26"/>
      <c r="M9172" s="26"/>
      <c r="N9172" s="26"/>
      <c r="O9172" s="14" t="str">
        <f>HYPERLINK("https://otsuka-europe-crm.veevavault.com/ui/#object/email_activity__v/V8C00000004G530", "EN-002110679")</f>
        <v>EN-002110679</v>
      </c>
    </row>
    <row r="9173" spans="1:15" ht="16" x14ac:dyDescent="0.2">
      <c r="A9173" s="19"/>
      <c r="B9173" s="19"/>
      <c r="C9173" s="19"/>
      <c r="D9173" s="19"/>
      <c r="E9173" s="19"/>
      <c r="F9173" s="19"/>
      <c r="G9173" s="19"/>
      <c r="H9173" s="19"/>
      <c r="I9173" s="19"/>
      <c r="J9173" s="19"/>
      <c r="K9173" s="19"/>
      <c r="L9173" s="19"/>
      <c r="M9173" s="19"/>
      <c r="N9173" s="19"/>
      <c r="O9173" s="14" t="str">
        <f>HYPERLINK("https://otsuka-europe-crm.veevavault.com/ui/#object/email_activity__v/V8C00000004G531", "EN-002110680")</f>
        <v>EN-002110680</v>
      </c>
    </row>
    <row r="9174" spans="1:15" ht="32" x14ac:dyDescent="0.2">
      <c r="A9174" s="7" t="str">
        <f>HYPERLINK("https://otsuka-europe-crm.veevavault.com/ui/#object/account__v/V4TZ06G6O71TA2I", "MARIA ISABEL FLOREZ FERNANDEZ")</f>
        <v>MARIA ISABEL FLOREZ FERNANDEZ</v>
      </c>
      <c r="B9174" s="7" t="str">
        <f>HYPERLINK("https://otsuka-europe-crm.veevavault.com/ui/#object/vcountry__v/VENZ000004SONF5", "ES")</f>
        <v>ES</v>
      </c>
      <c r="C9174" s="8" t="s">
        <v>39</v>
      </c>
      <c r="D9174" s="9" t="str">
        <f>HYPERLINK("https://otsuka-europe-crm.veevavault.com/ui/#object/approved_document__v/V5O00000000L011", "Libro IA en psiquiatría")</f>
        <v>Libro IA en psiquiatría</v>
      </c>
      <c r="E9174" s="10" t="str">
        <f>HYPERLINK("https://otsuka-europe-crm.veevavault.com/ui/#object/sent_email__v/VBL00000003H403", "SE-001448847")</f>
        <v>SE-001448847</v>
      </c>
      <c r="F9174" s="11"/>
      <c r="G9174" s="12">
        <v>0</v>
      </c>
      <c r="H9174" s="12">
        <v>0</v>
      </c>
      <c r="I9174" s="12">
        <v>0</v>
      </c>
      <c r="J9174" s="11"/>
      <c r="K9174" s="12">
        <v>0</v>
      </c>
      <c r="L9174" s="10" t="str">
        <f>HYPERLINK("https://otsuka-europe-crm.veevavault.com/ui/#object/approved_document__v/V5O00000000L011", "Libro IA en psiquiatría")</f>
        <v>Libro IA en psiquiatría</v>
      </c>
      <c r="M9174" s="10" t="str">
        <f>HYPERLINK("mailto:jdiaz@crm.otsuka-europe.com", "jdiaz@crm.otsuka-europe.com")</f>
        <v>jdiaz@crm.otsuka-europe.com</v>
      </c>
      <c r="N9174" s="13">
        <v>46234.480185185188</v>
      </c>
      <c r="O9174" s="14" t="str">
        <f>HYPERLINK("https://otsuka-europe-crm.veevavault.com/ui/#object/email_activity__v/V8C00000004G518", "EN-002110660")</f>
        <v>EN-002110660</v>
      </c>
    </row>
    <row r="9175" spans="1:15" ht="16" x14ac:dyDescent="0.2">
      <c r="A9175" s="18" t="str">
        <f>HYPERLINK("https://otsuka-europe-crm.veevavault.com/ui/#object/account__v/V4T000000018067", "DANIEL JOSE CASTRO OROPEZA")</f>
        <v>DANIEL JOSE CASTRO OROPEZA</v>
      </c>
      <c r="B9175" s="18" t="str">
        <f>HYPERLINK("https://otsuka-europe-crm.veevavault.com/ui/#object/vcountry__v/VENZ000004SONF5", "ES")</f>
        <v>ES</v>
      </c>
      <c r="C9175" s="20" t="s">
        <v>39</v>
      </c>
      <c r="D9175" s="21" t="str">
        <f>HYPERLINK("https://otsuka-europe-crm.veevavault.com/ui/#object/approved_document__v/V5O00000000L011", "Libro IA en psiquiatría")</f>
        <v>Libro IA en psiquiatría</v>
      </c>
      <c r="E9175" s="22" t="str">
        <f>HYPERLINK("https://otsuka-europe-crm.veevavault.com/ui/#object/sent_email__v/VBL00000003H404", "SE-001448848")</f>
        <v>SE-001448848</v>
      </c>
      <c r="F9175" s="23"/>
      <c r="G9175" s="24">
        <v>0</v>
      </c>
      <c r="H9175" s="24">
        <v>0</v>
      </c>
      <c r="I9175" s="24">
        <v>0</v>
      </c>
      <c r="J9175" s="23"/>
      <c r="K9175" s="24">
        <v>0</v>
      </c>
      <c r="L9175" s="22" t="str">
        <f>HYPERLINK("https://otsuka-europe-crm.veevavault.com/ui/#object/approved_document__v/V5O00000000L011", "Libro IA en psiquiatría")</f>
        <v>Libro IA en psiquiatría</v>
      </c>
      <c r="M9175" s="22" t="str">
        <f>HYPERLINK("mailto:jdiaz@crm.otsuka-europe.com", "jdiaz@crm.otsuka-europe.com")</f>
        <v>jdiaz@crm.otsuka-europe.com</v>
      </c>
      <c r="N9175" s="25">
        <v>46234.480185185188</v>
      </c>
      <c r="O9175" s="14" t="str">
        <f>HYPERLINK("https://otsuka-europe-crm.veevavault.com/ui/#object/email_activity__v/V8C00000004F297", "EN-002110532")</f>
        <v>EN-002110532</v>
      </c>
    </row>
    <row r="9176" spans="1:15" ht="16" x14ac:dyDescent="0.2">
      <c r="A9176" s="19"/>
      <c r="B9176" s="19"/>
      <c r="C9176" s="19"/>
      <c r="D9176" s="19"/>
      <c r="E9176" s="19"/>
      <c r="F9176" s="19"/>
      <c r="G9176" s="19"/>
      <c r="H9176" s="19"/>
      <c r="I9176" s="19"/>
      <c r="J9176" s="19"/>
      <c r="K9176" s="19"/>
      <c r="L9176" s="19"/>
      <c r="M9176" s="19"/>
      <c r="N9176" s="19"/>
      <c r="O9176" s="14" t="str">
        <f>HYPERLINK("https://otsuka-europe-crm.veevavault.com/ui/#object/email_activity__v/V8C00000004I093", "EN-002111166")</f>
        <v>EN-002111166</v>
      </c>
    </row>
    <row r="9177" spans="1:15" ht="16" x14ac:dyDescent="0.2">
      <c r="A9177" s="18" t="str">
        <f>HYPERLINK("https://otsuka-europe-crm.veevavault.com/ui/#object/account__v/V4TZ06G6O71T9CA", "ALEJANDRA ELIZABETH BENASICH AZUN")</f>
        <v>ALEJANDRA ELIZABETH BENASICH AZUN</v>
      </c>
      <c r="B9177" s="18" t="str">
        <f>HYPERLINK("https://otsuka-europe-crm.veevavault.com/ui/#object/vcountry__v/VENZ000004SONF5", "ES")</f>
        <v>ES</v>
      </c>
      <c r="C9177" s="20" t="s">
        <v>39</v>
      </c>
      <c r="D9177" s="21" t="str">
        <f>HYPERLINK("https://otsuka-europe-crm.veevavault.com/ui/#object/approved_document__v/V5O00000000L011", "Libro IA en psiquiatría")</f>
        <v>Libro IA en psiquiatría</v>
      </c>
      <c r="E9177" s="22" t="str">
        <f>HYPERLINK("https://otsuka-europe-crm.veevavault.com/ui/#object/sent_email__v/VBL00000003H405", "SE-001448849")</f>
        <v>SE-001448849</v>
      </c>
      <c r="F9177" s="25">
        <v>46236.204768518517</v>
      </c>
      <c r="G9177" s="24">
        <v>1</v>
      </c>
      <c r="H9177" s="24">
        <v>1</v>
      </c>
      <c r="I9177" s="24">
        <v>1</v>
      </c>
      <c r="J9177" s="25">
        <v>46236.205000000002</v>
      </c>
      <c r="K9177" s="24">
        <v>1</v>
      </c>
      <c r="L9177" s="22" t="str">
        <f>HYPERLINK("https://otsuka-europe-crm.veevavault.com/ui/#object/approved_document__v/V5O00000000L011", "Libro IA en psiquiatría")</f>
        <v>Libro IA en psiquiatría</v>
      </c>
      <c r="M9177" s="22" t="str">
        <f>HYPERLINK("mailto:jdiaz@crm.otsuka-europe.com", "jdiaz@crm.otsuka-europe.com")</f>
        <v>jdiaz@crm.otsuka-europe.com</v>
      </c>
      <c r="N9177" s="25">
        <v>46234.480219907404</v>
      </c>
      <c r="O9177" s="14" t="str">
        <f>HYPERLINK("https://otsuka-europe-crm.veevavault.com/ui/#object/email_activity__v/V8C00000004G466", "EN-002110554")</f>
        <v>EN-002110554</v>
      </c>
    </row>
    <row r="9178" spans="1:15" ht="16" x14ac:dyDescent="0.2">
      <c r="A9178" s="26"/>
      <c r="B9178" s="26"/>
      <c r="C9178" s="26"/>
      <c r="D9178" s="26"/>
      <c r="E9178" s="26"/>
      <c r="F9178" s="26"/>
      <c r="G9178" s="26"/>
      <c r="H9178" s="26"/>
      <c r="I9178" s="26"/>
      <c r="J9178" s="26"/>
      <c r="K9178" s="26"/>
      <c r="L9178" s="26"/>
      <c r="M9178" s="26"/>
      <c r="N9178" s="26"/>
      <c r="O9178" s="14" t="str">
        <f>HYPERLINK("https://otsuka-europe-crm.veevavault.com/ui/#object/email_activity__v/V8C00000004H078", "EN-002111083")</f>
        <v>EN-002111083</v>
      </c>
    </row>
    <row r="9179" spans="1:15" ht="16" x14ac:dyDescent="0.2">
      <c r="A9179" s="19"/>
      <c r="B9179" s="19"/>
      <c r="C9179" s="19"/>
      <c r="D9179" s="19"/>
      <c r="E9179" s="19"/>
      <c r="F9179" s="19"/>
      <c r="G9179" s="19"/>
      <c r="H9179" s="19"/>
      <c r="I9179" s="19"/>
      <c r="J9179" s="19"/>
      <c r="K9179" s="19"/>
      <c r="L9179" s="19"/>
      <c r="M9179" s="19"/>
      <c r="N9179" s="19"/>
      <c r="O9179" s="14" t="str">
        <f>HYPERLINK("https://otsuka-europe-crm.veevavault.com/ui/#object/email_activity__v/V8C00000004I056", "EN-002111084")</f>
        <v>EN-002111084</v>
      </c>
    </row>
    <row r="9180" spans="1:15" ht="32" x14ac:dyDescent="0.2">
      <c r="A9180" s="7" t="str">
        <f>HYPERLINK("https://otsuka-europe-crm.veevavault.com/ui/#object/account__v/V4TZ06G6O71T8FA", "PAOLA MICHELL BARAHONA ACEITUNO")</f>
        <v>PAOLA MICHELL BARAHONA ACEITUNO</v>
      </c>
      <c r="B9180" s="7" t="str">
        <f>HYPERLINK("https://otsuka-europe-crm.veevavault.com/ui/#object/vcountry__v/VENZ000004SONF5", "ES")</f>
        <v>ES</v>
      </c>
      <c r="C9180" s="8" t="s">
        <v>39</v>
      </c>
      <c r="D9180" s="9" t="str">
        <f>HYPERLINK("https://otsuka-europe-crm.veevavault.com/ui/#object/approved_document__v/V5O00000000L011", "Libro IA en psiquiatría")</f>
        <v>Libro IA en psiquiatría</v>
      </c>
      <c r="E9180" s="10" t="str">
        <f>HYPERLINK("https://otsuka-europe-crm.veevavault.com/ui/#object/sent_email__v/VBL00000003H406", "SE-001448850")</f>
        <v>SE-001448850</v>
      </c>
      <c r="F9180" s="11"/>
      <c r="G9180" s="12">
        <v>0</v>
      </c>
      <c r="H9180" s="12">
        <v>0</v>
      </c>
      <c r="I9180" s="12">
        <v>0</v>
      </c>
      <c r="J9180" s="11"/>
      <c r="K9180" s="12">
        <v>0</v>
      </c>
      <c r="L9180" s="10" t="str">
        <f>HYPERLINK("https://otsuka-europe-crm.veevavault.com/ui/#object/approved_document__v/V5O00000000L011", "Libro IA en psiquiatría")</f>
        <v>Libro IA en psiquiatría</v>
      </c>
      <c r="M9180" s="10" t="str">
        <f>HYPERLINK("mailto:jdiaz@crm.otsuka-europe.com", "jdiaz@crm.otsuka-europe.com")</f>
        <v>jdiaz@crm.otsuka-europe.com</v>
      </c>
      <c r="N9180" s="13">
        <v>46234.480185185188</v>
      </c>
      <c r="O9180" s="14" t="str">
        <f>HYPERLINK("https://otsuka-europe-crm.veevavault.com/ui/#object/email_activity__v/V8C00000004G515", "EN-002110657")</f>
        <v>EN-002110657</v>
      </c>
    </row>
    <row r="9181" spans="1:15" ht="16" x14ac:dyDescent="0.2">
      <c r="A9181" s="18" t="str">
        <f>HYPERLINK("https://otsuka-europe-crm.veevavault.com/ui/#object/account__v/V4TZ06G6O71T7O5", "MARIA JOSE GORDILLO MONTAÑO")</f>
        <v>MARIA JOSE GORDILLO MONTAÑO</v>
      </c>
      <c r="B9181" s="18" t="str">
        <f>HYPERLINK("https://otsuka-europe-crm.veevavault.com/ui/#object/vcountry__v/VENZ000004SONF5", "ES")</f>
        <v>ES</v>
      </c>
      <c r="C9181" s="20" t="s">
        <v>39</v>
      </c>
      <c r="D9181" s="21" t="str">
        <f>HYPERLINK("https://otsuka-europe-crm.veevavault.com/ui/#object/approved_document__v/V5O00000000L011", "Libro IA en psiquiatría")</f>
        <v>Libro IA en psiquiatría</v>
      </c>
      <c r="E9181" s="22" t="str">
        <f>HYPERLINK("https://otsuka-europe-crm.veevavault.com/ui/#object/sent_email__v/VBL00000003H407", "SE-001448851")</f>
        <v>SE-001448851</v>
      </c>
      <c r="F9181" s="23"/>
      <c r="G9181" s="24">
        <v>0</v>
      </c>
      <c r="H9181" s="24">
        <v>0</v>
      </c>
      <c r="I9181" s="24">
        <v>0</v>
      </c>
      <c r="J9181" s="23"/>
      <c r="K9181" s="24">
        <v>0</v>
      </c>
      <c r="L9181" s="22" t="str">
        <f>HYPERLINK("https://otsuka-europe-crm.veevavault.com/ui/#object/approved_document__v/V5O00000000L011", "Libro IA en psiquiatría")</f>
        <v>Libro IA en psiquiatría</v>
      </c>
      <c r="M9181" s="22" t="str">
        <f>HYPERLINK("mailto:jdiaz@crm.otsuka-europe.com", "jdiaz@crm.otsuka-europe.com")</f>
        <v>jdiaz@crm.otsuka-europe.com</v>
      </c>
      <c r="N9181" s="25">
        <v>46234.480185185188</v>
      </c>
      <c r="O9181" s="14" t="str">
        <f>HYPERLINK("https://otsuka-europe-crm.veevavault.com/ui/#object/email_activity__v/V8C00000004F298", "EN-002110533")</f>
        <v>EN-002110533</v>
      </c>
    </row>
    <row r="9182" spans="1:15" ht="16" x14ac:dyDescent="0.2">
      <c r="A9182" s="19"/>
      <c r="B9182" s="19"/>
      <c r="C9182" s="19"/>
      <c r="D9182" s="19"/>
      <c r="E9182" s="19"/>
      <c r="F9182" s="19"/>
      <c r="G9182" s="19"/>
      <c r="H9182" s="19"/>
      <c r="I9182" s="19"/>
      <c r="J9182" s="19"/>
      <c r="K9182" s="19"/>
      <c r="L9182" s="19"/>
      <c r="M9182" s="19"/>
      <c r="N9182" s="19"/>
      <c r="O9182" s="14" t="str">
        <f>HYPERLINK("https://otsuka-europe-crm.veevavault.com/ui/#object/email_activity__v/V8C00000004I054", "EN-002111081")</f>
        <v>EN-002111081</v>
      </c>
    </row>
    <row r="9183" spans="1:15" ht="16" x14ac:dyDescent="0.2">
      <c r="A9183" s="18" t="str">
        <f>HYPERLINK("https://otsuka-europe-crm.veevavault.com/ui/#object/account__v/V4TZ06G6O71T8ZQ", "ANA BELEN ALVAREZ GOMEZ")</f>
        <v>ANA BELEN ALVAREZ GOMEZ</v>
      </c>
      <c r="B9183" s="18" t="str">
        <f>HYPERLINK("https://otsuka-europe-crm.veevavault.com/ui/#object/vcountry__v/VENZ000004SONF5", "ES")</f>
        <v>ES</v>
      </c>
      <c r="C9183" s="20" t="s">
        <v>39</v>
      </c>
      <c r="D9183" s="21" t="str">
        <f>HYPERLINK("https://otsuka-europe-crm.veevavault.com/ui/#object/approved_document__v/V5O00000000L011", "Libro IA en psiquiatría")</f>
        <v>Libro IA en psiquiatría</v>
      </c>
      <c r="E9183" s="22" t="str">
        <f>HYPERLINK("https://otsuka-europe-crm.veevavault.com/ui/#object/sent_email__v/VBL00000003H408", "SE-001448852")</f>
        <v>SE-001448852</v>
      </c>
      <c r="F9183" s="25">
        <v>46234.544178240743</v>
      </c>
      <c r="G9183" s="24">
        <v>1</v>
      </c>
      <c r="H9183" s="24">
        <v>1</v>
      </c>
      <c r="I9183" s="24">
        <v>0</v>
      </c>
      <c r="J9183" s="23"/>
      <c r="K9183" s="24">
        <v>0</v>
      </c>
      <c r="L9183" s="22" t="str">
        <f>HYPERLINK("https://otsuka-europe-crm.veevavault.com/ui/#object/approved_document__v/V5O00000000L011", "Libro IA en psiquiatría")</f>
        <v>Libro IA en psiquiatría</v>
      </c>
      <c r="M9183" s="22" t="str">
        <f>HYPERLINK("mailto:jdiaz@crm.otsuka-europe.com", "jdiaz@crm.otsuka-europe.com")</f>
        <v>jdiaz@crm.otsuka-europe.com</v>
      </c>
      <c r="N9183" s="25">
        <v>46234.480219907404</v>
      </c>
      <c r="O9183" s="14" t="str">
        <f>HYPERLINK("https://otsuka-europe-crm.veevavault.com/ui/#object/email_activity__v/V8C00000004F389", "EN-002110745")</f>
        <v>EN-002110745</v>
      </c>
    </row>
    <row r="9184" spans="1:15" ht="16" x14ac:dyDescent="0.2">
      <c r="A9184" s="19"/>
      <c r="B9184" s="19"/>
      <c r="C9184" s="19"/>
      <c r="D9184" s="19"/>
      <c r="E9184" s="19"/>
      <c r="F9184" s="19"/>
      <c r="G9184" s="19"/>
      <c r="H9184" s="19"/>
      <c r="I9184" s="19"/>
      <c r="J9184" s="19"/>
      <c r="K9184" s="19"/>
      <c r="L9184" s="19"/>
      <c r="M9184" s="19"/>
      <c r="N9184" s="19"/>
      <c r="O9184" s="14" t="str">
        <f>HYPERLINK("https://otsuka-europe-crm.veevavault.com/ui/#object/email_activity__v/V8C00000004G465", "EN-002110553")</f>
        <v>EN-002110553</v>
      </c>
    </row>
    <row r="9185" spans="1:15" ht="32" x14ac:dyDescent="0.2">
      <c r="A9185" s="7" t="str">
        <f>HYPERLINK("https://otsuka-europe-crm.veevavault.com/ui/#object/account__v/V4TZ04ASGBNZOFH", "ROSA CANYELLES GOMEZ")</f>
        <v>ROSA CANYELLES GOMEZ</v>
      </c>
      <c r="B9185" s="7" t="str">
        <f>HYPERLINK("https://otsuka-europe-crm.veevavault.com/ui/#object/vcountry__v/VENZ000004SONF5", "ES")</f>
        <v>ES</v>
      </c>
      <c r="C9185" s="8" t="s">
        <v>39</v>
      </c>
      <c r="D9185" s="9" t="str">
        <f>HYPERLINK("https://otsuka-europe-crm.veevavault.com/ui/#object/approved_document__v/V5O00000000L011", "Libro IA en psiquiatría")</f>
        <v>Libro IA en psiquiatría</v>
      </c>
      <c r="E9185" s="10" t="str">
        <f>HYPERLINK("https://otsuka-europe-crm.veevavault.com/ui/#object/sent_email__v/VBL00000003H409", "SE-001448853")</f>
        <v>SE-001448853</v>
      </c>
      <c r="F9185" s="11"/>
      <c r="G9185" s="12">
        <v>0</v>
      </c>
      <c r="H9185" s="12">
        <v>0</v>
      </c>
      <c r="I9185" s="12">
        <v>0</v>
      </c>
      <c r="J9185" s="11"/>
      <c r="K9185" s="12">
        <v>0</v>
      </c>
      <c r="L9185" s="10" t="str">
        <f>HYPERLINK("https://otsuka-europe-crm.veevavault.com/ui/#object/approved_document__v/V5O00000000L011", "Libro IA en psiquiatría")</f>
        <v>Libro IA en psiquiatría</v>
      </c>
      <c r="M9185" s="10" t="str">
        <f>HYPERLINK("mailto:jdiaz@crm.otsuka-europe.com", "jdiaz@crm.otsuka-europe.com")</f>
        <v>jdiaz@crm.otsuka-europe.com</v>
      </c>
      <c r="N9185" s="13">
        <v>46234.480185185188</v>
      </c>
      <c r="O9185" s="14" t="str">
        <f>HYPERLINK("https://otsuka-europe-crm.veevavault.com/ui/#object/email_activity__v/V8C00000004G516", "EN-002110658")</f>
        <v>EN-002110658</v>
      </c>
    </row>
    <row r="9186" spans="1:15" ht="16" x14ac:dyDescent="0.2">
      <c r="A9186" s="18" t="str">
        <f>HYPERLINK("https://otsuka-europe-crm.veevavault.com/ui/#object/account__v/V4TZ06G6O71T9VX", "LUISA FERNANDA GOEZ SUDUPE")</f>
        <v>LUISA FERNANDA GOEZ SUDUPE</v>
      </c>
      <c r="B9186" s="18" t="str">
        <f>HYPERLINK("https://otsuka-europe-crm.veevavault.com/ui/#object/vcountry__v/VENZ000004SONF5", "ES")</f>
        <v>ES</v>
      </c>
      <c r="C9186" s="20" t="s">
        <v>39</v>
      </c>
      <c r="D9186" s="21" t="str">
        <f>HYPERLINK("https://otsuka-europe-crm.veevavault.com/ui/#object/approved_document__v/V5O00000000L011", "Libro IA en psiquiatría")</f>
        <v>Libro IA en psiquiatría</v>
      </c>
      <c r="E9186" s="22" t="str">
        <f>HYPERLINK("https://otsuka-europe-crm.veevavault.com/ui/#object/sent_email__v/VBL00000003H410", "SE-001448854")</f>
        <v>SE-001448854</v>
      </c>
      <c r="F9186" s="25">
        <v>46234.827337962961</v>
      </c>
      <c r="G9186" s="24">
        <v>1</v>
      </c>
      <c r="H9186" s="24">
        <v>2</v>
      </c>
      <c r="I9186" s="24">
        <v>0</v>
      </c>
      <c r="J9186" s="23"/>
      <c r="K9186" s="24">
        <v>0</v>
      </c>
      <c r="L9186" s="22" t="str">
        <f>HYPERLINK("https://otsuka-europe-crm.veevavault.com/ui/#object/approved_document__v/V5O00000000L011", "Libro IA en psiquiatría")</f>
        <v>Libro IA en psiquiatría</v>
      </c>
      <c r="M9186" s="22" t="str">
        <f>HYPERLINK("mailto:jdiaz@crm.otsuka-europe.com", "jdiaz@crm.otsuka-europe.com")</f>
        <v>jdiaz@crm.otsuka-europe.com</v>
      </c>
      <c r="N9186" s="25">
        <v>46234.480254629627</v>
      </c>
      <c r="O9186" s="14" t="str">
        <f>HYPERLINK("https://otsuka-europe-crm.veevavault.com/ui/#object/email_activity__v/V8C00000004F303", "EN-002110558")</f>
        <v>EN-002110558</v>
      </c>
    </row>
    <row r="9187" spans="1:15" ht="16" x14ac:dyDescent="0.2">
      <c r="A9187" s="26"/>
      <c r="B9187" s="26"/>
      <c r="C9187" s="26"/>
      <c r="D9187" s="26"/>
      <c r="E9187" s="26"/>
      <c r="F9187" s="26"/>
      <c r="G9187" s="26"/>
      <c r="H9187" s="26"/>
      <c r="I9187" s="26"/>
      <c r="J9187" s="26"/>
      <c r="K9187" s="26"/>
      <c r="L9187" s="26"/>
      <c r="M9187" s="26"/>
      <c r="N9187" s="26"/>
      <c r="O9187" s="14" t="str">
        <f>HYPERLINK("https://otsuka-europe-crm.veevavault.com/ui/#object/email_activity__v/V8C00000004G643", "EN-002110902")</f>
        <v>EN-002110902</v>
      </c>
    </row>
    <row r="9188" spans="1:15" ht="16" x14ac:dyDescent="0.2">
      <c r="A9188" s="19"/>
      <c r="B9188" s="19"/>
      <c r="C9188" s="19"/>
      <c r="D9188" s="19"/>
      <c r="E9188" s="19"/>
      <c r="F9188" s="19"/>
      <c r="G9188" s="19"/>
      <c r="H9188" s="19"/>
      <c r="I9188" s="19"/>
      <c r="J9188" s="19"/>
      <c r="K9188" s="19"/>
      <c r="L9188" s="19"/>
      <c r="M9188" s="19"/>
      <c r="N9188" s="19"/>
      <c r="O9188" s="14" t="str">
        <f>HYPERLINK("https://otsuka-europe-crm.veevavault.com/ui/#object/email_activity__v/V8C00000004G644", "EN-002110903")</f>
        <v>EN-002110903</v>
      </c>
    </row>
    <row r="9189" spans="1:15" ht="32" x14ac:dyDescent="0.2">
      <c r="A9189" s="7" t="str">
        <f>HYPERLINK("https://otsuka-europe-crm.veevavault.com/ui/#object/account__v/V4TZ04ASG7NKRZL", "FRANCISCO JESUS CAMARA AGUILERA")</f>
        <v>FRANCISCO JESUS CAMARA AGUILERA</v>
      </c>
      <c r="B9189" s="7" t="str">
        <f>HYPERLINK("https://otsuka-europe-crm.veevavault.com/ui/#object/vcountry__v/VENZ000004SONF5", "ES")</f>
        <v>ES</v>
      </c>
      <c r="C9189" s="8" t="s">
        <v>39</v>
      </c>
      <c r="D9189" s="9" t="str">
        <f>HYPERLINK("https://otsuka-europe-crm.veevavault.com/ui/#object/approved_document__v/V5O00000000L011", "Libro IA en psiquiatría")</f>
        <v>Libro IA en psiquiatría</v>
      </c>
      <c r="E9189" s="10" t="str">
        <f>HYPERLINK("https://otsuka-europe-crm.veevavault.com/ui/#object/sent_email__v/VBL00000003H411", "SE-001448855")</f>
        <v>SE-001448855</v>
      </c>
      <c r="F9189" s="11"/>
      <c r="G9189" s="12">
        <v>0</v>
      </c>
      <c r="H9189" s="12">
        <v>0</v>
      </c>
      <c r="I9189" s="12">
        <v>0</v>
      </c>
      <c r="J9189" s="11"/>
      <c r="K9189" s="12">
        <v>0</v>
      </c>
      <c r="L9189" s="10" t="str">
        <f>HYPERLINK("https://otsuka-europe-crm.veevavault.com/ui/#object/approved_document__v/V5O00000000L011", "Libro IA en psiquiatría")</f>
        <v>Libro IA en psiquiatría</v>
      </c>
      <c r="M9189" s="10" t="str">
        <f>HYPERLINK("mailto:jdiaz@crm.otsuka-europe.com", "jdiaz@crm.otsuka-europe.com")</f>
        <v>jdiaz@crm.otsuka-europe.com</v>
      </c>
      <c r="N9189" s="13">
        <v>46234.480254629627</v>
      </c>
      <c r="O9189" s="14" t="str">
        <f>HYPERLINK("https://otsuka-europe-crm.veevavault.com/ui/#object/email_activity__v/V8C00000004G452", "EN-002110540")</f>
        <v>EN-002110540</v>
      </c>
    </row>
    <row r="9190" spans="1:15" ht="32" x14ac:dyDescent="0.2">
      <c r="A9190" s="7" t="str">
        <f>HYPERLINK("https://otsuka-europe-crm.veevavault.com/ui/#object/account__v/V4TZ06G6O71TB1F", "SUSANA ARBOLEYA MARTINEZ")</f>
        <v>SUSANA ARBOLEYA MARTINEZ</v>
      </c>
      <c r="B9190" s="7" t="str">
        <f>HYPERLINK("https://otsuka-europe-crm.veevavault.com/ui/#object/vcountry__v/VENZ000004SONF5", "ES")</f>
        <v>ES</v>
      </c>
      <c r="C9190" s="8" t="s">
        <v>39</v>
      </c>
      <c r="D9190" s="9" t="str">
        <f>HYPERLINK("https://otsuka-europe-crm.veevavault.com/ui/#object/approved_document__v/V5O00000000L011", "Libro IA en psiquiatría")</f>
        <v>Libro IA en psiquiatría</v>
      </c>
      <c r="E9190" s="10" t="str">
        <f>HYPERLINK("https://otsuka-europe-crm.veevavault.com/ui/#object/sent_email__v/VBL00000003H412", "SE-001448856")</f>
        <v>SE-001448856</v>
      </c>
      <c r="F9190" s="11"/>
      <c r="G9190" s="12">
        <v>0</v>
      </c>
      <c r="H9190" s="12">
        <v>0</v>
      </c>
      <c r="I9190" s="12">
        <v>0</v>
      </c>
      <c r="J9190" s="11"/>
      <c r="K9190" s="12">
        <v>0</v>
      </c>
      <c r="L9190" s="10" t="str">
        <f>HYPERLINK("https://otsuka-europe-crm.veevavault.com/ui/#object/approved_document__v/V5O00000000L011", "Libro IA en psiquiatría")</f>
        <v>Libro IA en psiquiatría</v>
      </c>
      <c r="M9190" s="10" t="str">
        <f>HYPERLINK("mailto:jdiaz@crm.otsuka-europe.com", "jdiaz@crm.otsuka-europe.com")</f>
        <v>jdiaz@crm.otsuka-europe.com</v>
      </c>
      <c r="N9190" s="13">
        <v>46234.480254629627</v>
      </c>
      <c r="O9190" s="14" t="str">
        <f>HYPERLINK("https://otsuka-europe-crm.veevavault.com/ui/#object/email_activity__v/V8C00000004F301", "EN-002110537")</f>
        <v>EN-002110537</v>
      </c>
    </row>
    <row r="9191" spans="1:15" ht="16" x14ac:dyDescent="0.2">
      <c r="A9191" s="18" t="str">
        <f>HYPERLINK("https://otsuka-europe-crm.veevavault.com/ui/#object/account__v/V4TZ06G6O71T990", "MARIA HENAR ARNILLAS GOMEZ")</f>
        <v>MARIA HENAR ARNILLAS GOMEZ</v>
      </c>
      <c r="B9191" s="18" t="str">
        <f>HYPERLINK("https://otsuka-europe-crm.veevavault.com/ui/#object/vcountry__v/VENZ000004SONF5", "ES")</f>
        <v>ES</v>
      </c>
      <c r="C9191" s="20" t="s">
        <v>39</v>
      </c>
      <c r="D9191" s="21" t="str">
        <f>HYPERLINK("https://otsuka-europe-crm.veevavault.com/ui/#object/approved_document__v/V5O00000000L011", "Libro IA en psiquiatría")</f>
        <v>Libro IA en psiquiatría</v>
      </c>
      <c r="E9191" s="22" t="str">
        <f>HYPERLINK("https://otsuka-europe-crm.veevavault.com/ui/#object/sent_email__v/VBL00000003H413", "SE-001448857")</f>
        <v>SE-001448857</v>
      </c>
      <c r="F9191" s="23"/>
      <c r="G9191" s="24">
        <v>0</v>
      </c>
      <c r="H9191" s="24">
        <v>0</v>
      </c>
      <c r="I9191" s="24">
        <v>0</v>
      </c>
      <c r="J9191" s="23"/>
      <c r="K9191" s="24">
        <v>0</v>
      </c>
      <c r="L9191" s="22" t="str">
        <f>HYPERLINK("https://otsuka-europe-crm.veevavault.com/ui/#object/approved_document__v/V5O00000000L011", "Libro IA en psiquiatría")</f>
        <v>Libro IA en psiquiatría</v>
      </c>
      <c r="M9191" s="22" t="str">
        <f>HYPERLINK("mailto:jdiaz@crm.otsuka-europe.com", "jdiaz@crm.otsuka-europe.com")</f>
        <v>jdiaz@crm.otsuka-europe.com</v>
      </c>
      <c r="N9191" s="25">
        <v>46234.480254629627</v>
      </c>
      <c r="O9191" s="14" t="str">
        <f>HYPERLINK("https://otsuka-europe-crm.veevavault.com/ui/#object/email_activity__v/V8C00000004F293", "EN-002110528")</f>
        <v>EN-002110528</v>
      </c>
    </row>
    <row r="9192" spans="1:15" ht="16" x14ac:dyDescent="0.2">
      <c r="A9192" s="19"/>
      <c r="B9192" s="19"/>
      <c r="C9192" s="19"/>
      <c r="D9192" s="19"/>
      <c r="E9192" s="19"/>
      <c r="F9192" s="19"/>
      <c r="G9192" s="19"/>
      <c r="H9192" s="19"/>
      <c r="I9192" s="19"/>
      <c r="J9192" s="19"/>
      <c r="K9192" s="19"/>
      <c r="L9192" s="19"/>
      <c r="M9192" s="19"/>
      <c r="N9192" s="19"/>
      <c r="O9192" s="14" t="str">
        <f>HYPERLINK("https://otsuka-europe-crm.veevavault.com/ui/#object/email_activity__v/V8C00000004H056", "EN-002111038")</f>
        <v>EN-002111038</v>
      </c>
    </row>
    <row r="9193" spans="1:15" ht="32" x14ac:dyDescent="0.2">
      <c r="A9193" s="7" t="str">
        <f>HYPERLINK("https://otsuka-europe-crm.veevavault.com/ui/#object/account__v/V4TZ06G6O71T86Q", "JAVIER EDUARDO GONZALEZ LUCHA")</f>
        <v>JAVIER EDUARDO GONZALEZ LUCHA</v>
      </c>
      <c r="B9193" s="7" t="str">
        <f>HYPERLINK("https://otsuka-europe-crm.veevavault.com/ui/#object/vcountry__v/VENZ000004SONF5", "ES")</f>
        <v>ES</v>
      </c>
      <c r="C9193" s="8" t="s">
        <v>39</v>
      </c>
      <c r="D9193" s="9" t="str">
        <f>HYPERLINK("https://otsuka-europe-crm.veevavault.com/ui/#object/approved_document__v/V5O00000000L011", "Libro IA en psiquiatría")</f>
        <v>Libro IA en psiquiatría</v>
      </c>
      <c r="E9193" s="10" t="str">
        <f>HYPERLINK("https://otsuka-europe-crm.veevavault.com/ui/#object/sent_email__v/VBL00000003H414", "SE-001448858")</f>
        <v>SE-001448858</v>
      </c>
      <c r="F9193" s="11"/>
      <c r="G9193" s="12">
        <v>0</v>
      </c>
      <c r="H9193" s="12">
        <v>0</v>
      </c>
      <c r="I9193" s="12">
        <v>0</v>
      </c>
      <c r="J9193" s="11"/>
      <c r="K9193" s="12">
        <v>0</v>
      </c>
      <c r="L9193" s="10" t="str">
        <f>HYPERLINK("https://otsuka-europe-crm.veevavault.com/ui/#object/approved_document__v/V5O00000000L011", "Libro IA en psiquiatría")</f>
        <v>Libro IA en psiquiatría</v>
      </c>
      <c r="M9193" s="10" t="str">
        <f>HYPERLINK("mailto:jdiaz@crm.otsuka-europe.com", "jdiaz@crm.otsuka-europe.com")</f>
        <v>jdiaz@crm.otsuka-europe.com</v>
      </c>
      <c r="N9193" s="13">
        <v>46234.480254629627</v>
      </c>
      <c r="O9193" s="14" t="str">
        <f>HYPERLINK("https://otsuka-europe-crm.veevavault.com/ui/#object/email_activity__v/V8C00000004F296", "EN-002110531")</f>
        <v>EN-002110531</v>
      </c>
    </row>
    <row r="9194" spans="1:15" ht="16" x14ac:dyDescent="0.2">
      <c r="A9194" s="18" t="str">
        <f>HYPERLINK("https://otsuka-europe-crm.veevavault.com/ui/#object/account__v/V4TZ06G6O71T9KH", "JUAN JOSE DE FRUTOS GUIJARRO")</f>
        <v>JUAN JOSE DE FRUTOS GUIJARRO</v>
      </c>
      <c r="B9194" s="18" t="str">
        <f>HYPERLINK("https://otsuka-europe-crm.veevavault.com/ui/#object/vcountry__v/VENZ000004SONF5", "ES")</f>
        <v>ES</v>
      </c>
      <c r="C9194" s="20" t="s">
        <v>39</v>
      </c>
      <c r="D9194" s="21" t="str">
        <f>HYPERLINK("https://otsuka-europe-crm.veevavault.com/ui/#object/approved_document__v/V5O00000000L011", "Libro IA en psiquiatría")</f>
        <v>Libro IA en psiquiatría</v>
      </c>
      <c r="E9194" s="22" t="str">
        <f>HYPERLINK("https://otsuka-europe-crm.veevavault.com/ui/#object/sent_email__v/VBL00000003H415", "SE-001448859")</f>
        <v>SE-001448859</v>
      </c>
      <c r="F9194" s="25">
        <v>46234.502696759257</v>
      </c>
      <c r="G9194" s="24">
        <v>1</v>
      </c>
      <c r="H9194" s="24">
        <v>1</v>
      </c>
      <c r="I9194" s="24">
        <v>1</v>
      </c>
      <c r="J9194" s="25">
        <v>46234.502835648149</v>
      </c>
      <c r="K9194" s="24">
        <v>1</v>
      </c>
      <c r="L9194" s="22" t="str">
        <f>HYPERLINK("https://otsuka-europe-crm.veevavault.com/ui/#object/approved_document__v/V5O00000000L011", "Libro IA en psiquiatría")</f>
        <v>Libro IA en psiquiatría</v>
      </c>
      <c r="M9194" s="22" t="str">
        <f>HYPERLINK("mailto:jdiaz@crm.otsuka-europe.com", "jdiaz@crm.otsuka-europe.com")</f>
        <v>jdiaz@crm.otsuka-europe.com</v>
      </c>
      <c r="N9194" s="25">
        <v>46234.480254629627</v>
      </c>
      <c r="O9194" s="14" t="str">
        <f>HYPERLINK("https://otsuka-europe-crm.veevavault.com/ui/#object/email_activity__v/V8C00000004F302", "EN-002110538")</f>
        <v>EN-002110538</v>
      </c>
    </row>
    <row r="9195" spans="1:15" ht="16" x14ac:dyDescent="0.2">
      <c r="A9195" s="26"/>
      <c r="B9195" s="26"/>
      <c r="C9195" s="26"/>
      <c r="D9195" s="26"/>
      <c r="E9195" s="26"/>
      <c r="F9195" s="26"/>
      <c r="G9195" s="26"/>
      <c r="H9195" s="26"/>
      <c r="I9195" s="26"/>
      <c r="J9195" s="26"/>
      <c r="K9195" s="26"/>
      <c r="L9195" s="26"/>
      <c r="M9195" s="26"/>
      <c r="N9195" s="26"/>
      <c r="O9195" s="14" t="str">
        <f>HYPERLINK("https://otsuka-europe-crm.veevavault.com/ui/#object/email_activity__v/V8C00000004F371", "EN-002110699")</f>
        <v>EN-002110699</v>
      </c>
    </row>
    <row r="9196" spans="1:15" ht="16" x14ac:dyDescent="0.2">
      <c r="A9196" s="19"/>
      <c r="B9196" s="19"/>
      <c r="C9196" s="19"/>
      <c r="D9196" s="19"/>
      <c r="E9196" s="19"/>
      <c r="F9196" s="19"/>
      <c r="G9196" s="19"/>
      <c r="H9196" s="19"/>
      <c r="I9196" s="19"/>
      <c r="J9196" s="19"/>
      <c r="K9196" s="19"/>
      <c r="L9196" s="19"/>
      <c r="M9196" s="19"/>
      <c r="N9196" s="19"/>
      <c r="O9196" s="14" t="str">
        <f>HYPERLINK("https://otsuka-europe-crm.veevavault.com/ui/#object/email_activity__v/V8C00000004G542", "EN-002110698")</f>
        <v>EN-002110698</v>
      </c>
    </row>
    <row r="9197" spans="1:15" ht="32" x14ac:dyDescent="0.2">
      <c r="A9197" s="7" t="str">
        <f>HYPERLINK("https://otsuka-europe-crm.veevavault.com/ui/#object/account__v/V4TZ06G6O71T9RN", "ALICIA FERRER VADELL")</f>
        <v>ALICIA FERRER VADELL</v>
      </c>
      <c r="B9197" s="7" t="str">
        <f>HYPERLINK("https://otsuka-europe-crm.veevavault.com/ui/#object/vcountry__v/VENZ000004SONF5", "ES")</f>
        <v>ES</v>
      </c>
      <c r="C9197" s="8" t="s">
        <v>39</v>
      </c>
      <c r="D9197" s="9" t="str">
        <f>HYPERLINK("https://otsuka-europe-crm.veevavault.com/ui/#object/approved_document__v/V5O00000000L011", "Libro IA en psiquiatría")</f>
        <v>Libro IA en psiquiatría</v>
      </c>
      <c r="E9197" s="10" t="str">
        <f>HYPERLINK("https://otsuka-europe-crm.veevavault.com/ui/#object/sent_email__v/VBL00000003H416", "SE-001448860")</f>
        <v>SE-001448860</v>
      </c>
      <c r="F9197" s="11"/>
      <c r="G9197" s="12">
        <v>0</v>
      </c>
      <c r="H9197" s="12">
        <v>0</v>
      </c>
      <c r="I9197" s="12">
        <v>0</v>
      </c>
      <c r="J9197" s="11"/>
      <c r="K9197" s="12">
        <v>0</v>
      </c>
      <c r="L9197" s="10" t="str">
        <f>HYPERLINK("https://otsuka-europe-crm.veevavault.com/ui/#object/approved_document__v/V5O00000000L011", "Libro IA en psiquiatría")</f>
        <v>Libro IA en psiquiatría</v>
      </c>
      <c r="M9197" s="10" t="str">
        <f>HYPERLINK("mailto:jdiaz@crm.otsuka-europe.com", "jdiaz@crm.otsuka-europe.com")</f>
        <v>jdiaz@crm.otsuka-europe.com</v>
      </c>
      <c r="N9197" s="13">
        <v>46234.480254629627</v>
      </c>
      <c r="O9197" s="14" t="str">
        <f>HYPERLINK("https://otsuka-europe-crm.veevavault.com/ui/#object/email_activity__v/V8C00000004G469", "EN-002110557")</f>
        <v>EN-002110557</v>
      </c>
    </row>
    <row r="9198" spans="1:15" ht="32" x14ac:dyDescent="0.2">
      <c r="A9198" s="7" t="str">
        <f>HYPERLINK("https://otsuka-europe-crm.veevavault.com/ui/#object/account__v/V4TZ06G6O71T8X7", "BELEN MARIA HERNANDEZ HERRERA")</f>
        <v>BELEN MARIA HERNANDEZ HERRERA</v>
      </c>
      <c r="B9198" s="7" t="str">
        <f>HYPERLINK("https://otsuka-europe-crm.veevavault.com/ui/#object/vcountry__v/VENZ000004SONF5", "ES")</f>
        <v>ES</v>
      </c>
      <c r="C9198" s="8" t="s">
        <v>39</v>
      </c>
      <c r="D9198" s="9" t="str">
        <f>HYPERLINK("https://otsuka-europe-crm.veevavault.com/ui/#object/approved_document__v/V5O00000000L011", "Libro IA en psiquiatría")</f>
        <v>Libro IA en psiquiatría</v>
      </c>
      <c r="E9198" s="10" t="str">
        <f>HYPERLINK("https://otsuka-europe-crm.veevavault.com/ui/#object/sent_email__v/VBL00000003H417", "SE-001448861")</f>
        <v>SE-001448861</v>
      </c>
      <c r="F9198" s="11"/>
      <c r="G9198" s="12">
        <v>0</v>
      </c>
      <c r="H9198" s="12">
        <v>0</v>
      </c>
      <c r="I9198" s="12">
        <v>0</v>
      </c>
      <c r="J9198" s="11"/>
      <c r="K9198" s="12">
        <v>0</v>
      </c>
      <c r="L9198" s="10" t="str">
        <f>HYPERLINK("https://otsuka-europe-crm.veevavault.com/ui/#object/approved_document__v/V5O00000000L011", "Libro IA en psiquiatría")</f>
        <v>Libro IA en psiquiatría</v>
      </c>
      <c r="M9198" s="10" t="str">
        <f>HYPERLINK("mailto:jdiaz@crm.otsuka-europe.com", "jdiaz@crm.otsuka-europe.com")</f>
        <v>jdiaz@crm.otsuka-europe.com</v>
      </c>
      <c r="N9198" s="13">
        <v>46234.480254629627</v>
      </c>
      <c r="O9198" s="14" t="str">
        <f>HYPERLINK("https://otsuka-europe-crm.veevavault.com/ui/#object/email_activity__v/V8C00000004G456", "EN-002110544")</f>
        <v>EN-002110544</v>
      </c>
    </row>
    <row r="9199" spans="1:15" ht="16" x14ac:dyDescent="0.2">
      <c r="A9199" s="18" t="str">
        <f>HYPERLINK("https://otsuka-europe-crm.veevavault.com/ui/#object/account__v/V4TZ06G6O71TAON", "ROMINA ANDREA COMBINA FASCINA")</f>
        <v>ROMINA ANDREA COMBINA FASCINA</v>
      </c>
      <c r="B9199" s="18" t="str">
        <f>HYPERLINK("https://otsuka-europe-crm.veevavault.com/ui/#object/vcountry__v/VENZ000004SONF5", "ES")</f>
        <v>ES</v>
      </c>
      <c r="C9199" s="20" t="s">
        <v>39</v>
      </c>
      <c r="D9199" s="21" t="str">
        <f>HYPERLINK("https://otsuka-europe-crm.veevavault.com/ui/#object/approved_document__v/V5O00000000L011", "Libro IA en psiquiatría")</f>
        <v>Libro IA en psiquiatría</v>
      </c>
      <c r="E9199" s="22" t="str">
        <f>HYPERLINK("https://otsuka-europe-crm.veevavault.com/ui/#object/sent_email__v/VBL00000003H418", "SE-001448862")</f>
        <v>SE-001448862</v>
      </c>
      <c r="F9199" s="23"/>
      <c r="G9199" s="24">
        <v>0</v>
      </c>
      <c r="H9199" s="24">
        <v>0</v>
      </c>
      <c r="I9199" s="24">
        <v>1</v>
      </c>
      <c r="J9199" s="25">
        <v>46235.480914351851</v>
      </c>
      <c r="K9199" s="24">
        <v>1</v>
      </c>
      <c r="L9199" s="22" t="str">
        <f>HYPERLINK("https://otsuka-europe-crm.veevavault.com/ui/#object/approved_document__v/V5O00000000L011", "Libro IA en psiquiatría")</f>
        <v>Libro IA en psiquiatría</v>
      </c>
      <c r="M9199" s="22" t="str">
        <f>HYPERLINK("mailto:jdiaz@crm.otsuka-europe.com", "jdiaz@crm.otsuka-europe.com")</f>
        <v>jdiaz@crm.otsuka-europe.com</v>
      </c>
      <c r="N9199" s="25">
        <v>46234.480254629627</v>
      </c>
      <c r="O9199" s="14" t="str">
        <f>HYPERLINK("https://otsuka-europe-crm.veevavault.com/ui/#object/email_activity__v/V8C00000004G460", "EN-002110548")</f>
        <v>EN-002110548</v>
      </c>
    </row>
    <row r="9200" spans="1:15" ht="16" x14ac:dyDescent="0.2">
      <c r="A9200" s="26"/>
      <c r="B9200" s="26"/>
      <c r="C9200" s="26"/>
      <c r="D9200" s="26"/>
      <c r="E9200" s="26"/>
      <c r="F9200" s="26"/>
      <c r="G9200" s="26"/>
      <c r="H9200" s="26"/>
      <c r="I9200" s="26"/>
      <c r="J9200" s="26"/>
      <c r="K9200" s="26"/>
      <c r="L9200" s="26"/>
      <c r="M9200" s="26"/>
      <c r="N9200" s="26"/>
      <c r="O9200" s="14" t="str">
        <f>HYPERLINK("https://otsuka-europe-crm.veevavault.com/ui/#object/email_activity__v/V8C00000004H053", "EN-002111023")</f>
        <v>EN-002111023</v>
      </c>
    </row>
    <row r="9201" spans="1:15" ht="16" x14ac:dyDescent="0.2">
      <c r="A9201" s="19"/>
      <c r="B9201" s="19"/>
      <c r="C9201" s="19"/>
      <c r="D9201" s="19"/>
      <c r="E9201" s="19"/>
      <c r="F9201" s="19"/>
      <c r="G9201" s="19"/>
      <c r="H9201" s="19"/>
      <c r="I9201" s="19"/>
      <c r="J9201" s="19"/>
      <c r="K9201" s="19"/>
      <c r="L9201" s="19"/>
      <c r="M9201" s="19"/>
      <c r="N9201" s="19"/>
      <c r="O9201" s="14" t="str">
        <f>HYPERLINK("https://otsuka-europe-crm.veevavault.com/ui/#object/email_activity__v/V8C00000004I023", "EN-002111026")</f>
        <v>EN-002111026</v>
      </c>
    </row>
    <row r="9202" spans="1:15" ht="32" x14ac:dyDescent="0.2">
      <c r="A9202" s="7" t="str">
        <f>HYPERLINK("https://otsuka-europe-crm.veevavault.com/ui/#object/account__v/V4TZ04ASGBC42NI", "MARIA ANTONIA GONZALEZ FE")</f>
        <v>MARIA ANTONIA GONZALEZ FE</v>
      </c>
      <c r="B9202" s="7" t="str">
        <f>HYPERLINK("https://otsuka-europe-crm.veevavault.com/ui/#object/vcountry__v/VENZ000004SONF5", "ES")</f>
        <v>ES</v>
      </c>
      <c r="C9202" s="8" t="s">
        <v>39</v>
      </c>
      <c r="D9202" s="9" t="str">
        <f>HYPERLINK("https://otsuka-europe-crm.veevavault.com/ui/#object/approved_document__v/V5O00000000L011", "Libro IA en psiquiatría")</f>
        <v>Libro IA en psiquiatría</v>
      </c>
      <c r="E9202" s="10" t="str">
        <f>HYPERLINK("https://otsuka-europe-crm.veevavault.com/ui/#object/sent_email__v/VBL00000003H419", "SE-001448863")</f>
        <v>SE-001448863</v>
      </c>
      <c r="F9202" s="11"/>
      <c r="G9202" s="12">
        <v>0</v>
      </c>
      <c r="H9202" s="12">
        <v>0</v>
      </c>
      <c r="I9202" s="12">
        <v>0</v>
      </c>
      <c r="J9202" s="11"/>
      <c r="K9202" s="12">
        <v>0</v>
      </c>
      <c r="L9202" s="10" t="str">
        <f>HYPERLINK("https://otsuka-europe-crm.veevavault.com/ui/#object/approved_document__v/V5O00000000L011", "Libro IA en psiquiatría")</f>
        <v>Libro IA en psiquiatría</v>
      </c>
      <c r="M9202" s="10" t="str">
        <f>HYPERLINK("mailto:jdiaz@crm.otsuka-europe.com", "jdiaz@crm.otsuka-europe.com")</f>
        <v>jdiaz@crm.otsuka-europe.com</v>
      </c>
      <c r="N9202" s="13">
        <v>46234.480254629627</v>
      </c>
      <c r="O9202" s="14" t="str">
        <f>HYPERLINK("https://otsuka-europe-crm.veevavault.com/ui/#object/email_activity__v/V8C00000004F294", "EN-002110529")</f>
        <v>EN-002110529</v>
      </c>
    </row>
    <row r="9203" spans="1:15" ht="16" x14ac:dyDescent="0.2">
      <c r="A9203" s="18" t="str">
        <f>HYPERLINK("https://otsuka-europe-crm.veevavault.com/ui/#object/account__v/V4TZ06G6O71T8F9", "SANDRA GARCIA ANTICH")</f>
        <v>SANDRA GARCIA ANTICH</v>
      </c>
      <c r="B9203" s="18" t="str">
        <f>HYPERLINK("https://otsuka-europe-crm.veevavault.com/ui/#object/vcountry__v/VENZ000004SONF5", "ES")</f>
        <v>ES</v>
      </c>
      <c r="C9203" s="20" t="s">
        <v>39</v>
      </c>
      <c r="D9203" s="21" t="str">
        <f>HYPERLINK("https://otsuka-europe-crm.veevavault.com/ui/#object/approved_document__v/V5O00000000L011", "Libro IA en psiquiatría")</f>
        <v>Libro IA en psiquiatría</v>
      </c>
      <c r="E9203" s="22" t="str">
        <f>HYPERLINK("https://otsuka-europe-crm.veevavault.com/ui/#object/sent_email__v/VBL00000003H420", "SE-001448864")</f>
        <v>SE-001448864</v>
      </c>
      <c r="F9203" s="23"/>
      <c r="G9203" s="24">
        <v>0</v>
      </c>
      <c r="H9203" s="24">
        <v>0</v>
      </c>
      <c r="I9203" s="24">
        <v>0</v>
      </c>
      <c r="J9203" s="23"/>
      <c r="K9203" s="24">
        <v>0</v>
      </c>
      <c r="L9203" s="22" t="str">
        <f>HYPERLINK("https://otsuka-europe-crm.veevavault.com/ui/#object/approved_document__v/V5O00000000L011", "Libro IA en psiquiatría")</f>
        <v>Libro IA en psiquiatría</v>
      </c>
      <c r="M9203" s="22" t="str">
        <f>HYPERLINK("mailto:jdiaz@crm.otsuka-europe.com", "jdiaz@crm.otsuka-europe.com")</f>
        <v>jdiaz@crm.otsuka-europe.com</v>
      </c>
      <c r="N9203" s="25">
        <v>46234.480254629627</v>
      </c>
      <c r="O9203" s="14" t="str">
        <f>HYPERLINK("https://otsuka-europe-crm.veevavault.com/ui/#object/email_activity__v/V8C00000004F411", "EN-002110798")</f>
        <v>EN-002110798</v>
      </c>
    </row>
    <row r="9204" spans="1:15" ht="16" x14ac:dyDescent="0.2">
      <c r="A9204" s="19"/>
      <c r="B9204" s="19"/>
      <c r="C9204" s="19"/>
      <c r="D9204" s="19"/>
      <c r="E9204" s="19"/>
      <c r="F9204" s="19"/>
      <c r="G9204" s="19"/>
      <c r="H9204" s="19"/>
      <c r="I9204" s="19"/>
      <c r="J9204" s="19"/>
      <c r="K9204" s="19"/>
      <c r="L9204" s="19"/>
      <c r="M9204" s="19"/>
      <c r="N9204" s="19"/>
      <c r="O9204" s="14" t="str">
        <f>HYPERLINK("https://otsuka-europe-crm.veevavault.com/ui/#object/email_activity__v/V8C00000004G468", "EN-002110556")</f>
        <v>EN-002110556</v>
      </c>
    </row>
    <row r="9205" spans="1:15" ht="16" x14ac:dyDescent="0.2">
      <c r="A9205" s="18" t="str">
        <f>HYPERLINK("https://otsuka-europe-crm.veevavault.com/ui/#object/account__v/V4TZ06G6O71US3Y", "MARINA BIBILONI MARTINEZ")</f>
        <v>MARINA BIBILONI MARTINEZ</v>
      </c>
      <c r="B9205" s="18" t="str">
        <f>HYPERLINK("https://otsuka-europe-crm.veevavault.com/ui/#object/vcountry__v/VENZ000004SONF5", "ES")</f>
        <v>ES</v>
      </c>
      <c r="C9205" s="20" t="s">
        <v>39</v>
      </c>
      <c r="D9205" s="21" t="str">
        <f>HYPERLINK("https://otsuka-europe-crm.veevavault.com/ui/#object/approved_document__v/V5O00000000L011", "Libro IA en psiquiatría")</f>
        <v>Libro IA en psiquiatría</v>
      </c>
      <c r="E9205" s="22" t="str">
        <f>HYPERLINK("https://otsuka-europe-crm.veevavault.com/ui/#object/sent_email__v/VBL00000003H421", "SE-001448865")</f>
        <v>SE-001448865</v>
      </c>
      <c r="F9205" s="23"/>
      <c r="G9205" s="24">
        <v>0</v>
      </c>
      <c r="H9205" s="24">
        <v>0</v>
      </c>
      <c r="I9205" s="24">
        <v>0</v>
      </c>
      <c r="J9205" s="23"/>
      <c r="K9205" s="24">
        <v>0</v>
      </c>
      <c r="L9205" s="22" t="str">
        <f>HYPERLINK("https://otsuka-europe-crm.veevavault.com/ui/#object/approved_document__v/V5O00000000L011", "Libro IA en psiquiatría")</f>
        <v>Libro IA en psiquiatría</v>
      </c>
      <c r="M9205" s="22" t="str">
        <f>HYPERLINK("mailto:jdiaz@crm.otsuka-europe.com", "jdiaz@crm.otsuka-europe.com")</f>
        <v>jdiaz@crm.otsuka-europe.com</v>
      </c>
      <c r="N9205" s="25">
        <v>46234.480254629627</v>
      </c>
      <c r="O9205" s="14" t="str">
        <f>HYPERLINK("https://otsuka-europe-crm.veevavault.com/ui/#object/email_activity__v/V8C00000004F467", "EN-002110880")</f>
        <v>EN-002110880</v>
      </c>
    </row>
    <row r="9206" spans="1:15" ht="16" x14ac:dyDescent="0.2">
      <c r="A9206" s="19"/>
      <c r="B9206" s="19"/>
      <c r="C9206" s="19"/>
      <c r="D9206" s="19"/>
      <c r="E9206" s="19"/>
      <c r="F9206" s="19"/>
      <c r="G9206" s="19"/>
      <c r="H9206" s="19"/>
      <c r="I9206" s="19"/>
      <c r="J9206" s="19"/>
      <c r="K9206" s="19"/>
      <c r="L9206" s="19"/>
      <c r="M9206" s="19"/>
      <c r="N9206" s="19"/>
      <c r="O9206" s="14" t="str">
        <f>HYPERLINK("https://otsuka-europe-crm.veevavault.com/ui/#object/email_activity__v/V8C00000004G467", "EN-002110555")</f>
        <v>EN-002110555</v>
      </c>
    </row>
    <row r="9207" spans="1:15" ht="16" x14ac:dyDescent="0.2">
      <c r="A9207" s="18" t="str">
        <f>HYPERLINK("https://otsuka-europe-crm.veevavault.com/ui/#object/account__v/V4TZ04ASG7NDM9B", "ANA BOLON MARSET")</f>
        <v>ANA BOLON MARSET</v>
      </c>
      <c r="B9207" s="18" t="str">
        <f>HYPERLINK("https://otsuka-europe-crm.veevavault.com/ui/#object/vcountry__v/VENZ000004SONF5", "ES")</f>
        <v>ES</v>
      </c>
      <c r="C9207" s="20" t="s">
        <v>39</v>
      </c>
      <c r="D9207" s="21" t="str">
        <f>HYPERLINK("https://otsuka-europe-crm.veevavault.com/ui/#object/approved_document__v/V5O00000000L011", "Libro IA en psiquiatría")</f>
        <v>Libro IA en psiquiatría</v>
      </c>
      <c r="E9207" s="22" t="str">
        <f>HYPERLINK("https://otsuka-europe-crm.veevavault.com/ui/#object/sent_email__v/VBL00000003H422", "SE-001448866")</f>
        <v>SE-001448866</v>
      </c>
      <c r="F9207" s="23"/>
      <c r="G9207" s="24">
        <v>0</v>
      </c>
      <c r="H9207" s="24">
        <v>0</v>
      </c>
      <c r="I9207" s="24">
        <v>0</v>
      </c>
      <c r="J9207" s="23"/>
      <c r="K9207" s="24">
        <v>0</v>
      </c>
      <c r="L9207" s="22" t="str">
        <f>HYPERLINK("https://otsuka-europe-crm.veevavault.com/ui/#object/approved_document__v/V5O00000000L011", "Libro IA en psiquiatría")</f>
        <v>Libro IA en psiquiatría</v>
      </c>
      <c r="M9207" s="22" t="str">
        <f>HYPERLINK("mailto:jdiaz@crm.otsuka-europe.com", "jdiaz@crm.otsuka-europe.com")</f>
        <v>jdiaz@crm.otsuka-europe.com</v>
      </c>
      <c r="N9207" s="25">
        <v>46234.480254629627</v>
      </c>
      <c r="O9207" s="14" t="str">
        <f>HYPERLINK("https://otsuka-europe-crm.veevavault.com/ui/#object/email_activity__v/V8C00000004G457", "EN-002110545")</f>
        <v>EN-002110545</v>
      </c>
    </row>
    <row r="9208" spans="1:15" ht="16" x14ac:dyDescent="0.2">
      <c r="A9208" s="26"/>
      <c r="B9208" s="26"/>
      <c r="C9208" s="26"/>
      <c r="D9208" s="26"/>
      <c r="E9208" s="26"/>
      <c r="F9208" s="26"/>
      <c r="G9208" s="26"/>
      <c r="H9208" s="26"/>
      <c r="I9208" s="26"/>
      <c r="J9208" s="26"/>
      <c r="K9208" s="26"/>
      <c r="L9208" s="26"/>
      <c r="M9208" s="26"/>
      <c r="N9208" s="26"/>
      <c r="O9208" s="14" t="str">
        <f>HYPERLINK("https://otsuka-europe-crm.veevavault.com/ui/#object/email_activity__v/V8C00000004H060", "EN-002111044")</f>
        <v>EN-002111044</v>
      </c>
    </row>
    <row r="9209" spans="1:15" ht="16" x14ac:dyDescent="0.2">
      <c r="A9209" s="19"/>
      <c r="B9209" s="19"/>
      <c r="C9209" s="19"/>
      <c r="D9209" s="19"/>
      <c r="E9209" s="19"/>
      <c r="F9209" s="19"/>
      <c r="G9209" s="19"/>
      <c r="H9209" s="19"/>
      <c r="I9209" s="19"/>
      <c r="J9209" s="19"/>
      <c r="K9209" s="19"/>
      <c r="L9209" s="19"/>
      <c r="M9209" s="19"/>
      <c r="N9209" s="19"/>
      <c r="O9209" s="14" t="str">
        <f>HYPERLINK("https://otsuka-europe-crm.veevavault.com/ui/#object/email_activity__v/V8C00000004I264", "EN-002111557")</f>
        <v>EN-002111557</v>
      </c>
    </row>
    <row r="9210" spans="1:15" ht="16" x14ac:dyDescent="0.2">
      <c r="A9210" s="18" t="str">
        <f>HYPERLINK("https://otsuka-europe-crm.veevavault.com/ui/#object/account__v/V4TZ06G6O71T9IU", "DANIEL ALBERTO BOZZINI LEARDINI")</f>
        <v>DANIEL ALBERTO BOZZINI LEARDINI</v>
      </c>
      <c r="B9210" s="18" t="str">
        <f>HYPERLINK("https://otsuka-europe-crm.veevavault.com/ui/#object/vcountry__v/VENZ000004SONF5", "ES")</f>
        <v>ES</v>
      </c>
      <c r="C9210" s="20" t="s">
        <v>39</v>
      </c>
      <c r="D9210" s="21" t="str">
        <f>HYPERLINK("https://otsuka-europe-crm.veevavault.com/ui/#object/approved_document__v/V5O00000000L011", "Libro IA en psiquiatría")</f>
        <v>Libro IA en psiquiatría</v>
      </c>
      <c r="E9210" s="22" t="str">
        <f>HYPERLINK("https://otsuka-europe-crm.veevavault.com/ui/#object/sent_email__v/VBL00000003H423", "SE-001448867")</f>
        <v>SE-001448867</v>
      </c>
      <c r="F9210" s="25">
        <v>46238.630439814813</v>
      </c>
      <c r="G9210" s="24">
        <v>1</v>
      </c>
      <c r="H9210" s="24">
        <v>3</v>
      </c>
      <c r="I9210" s="24">
        <v>0</v>
      </c>
      <c r="J9210" s="23"/>
      <c r="K9210" s="24">
        <v>0</v>
      </c>
      <c r="L9210" s="22" t="str">
        <f>HYPERLINK("https://otsuka-europe-crm.veevavault.com/ui/#object/approved_document__v/V5O00000000L011", "Libro IA en psiquiatría")</f>
        <v>Libro IA en psiquiatría</v>
      </c>
      <c r="M9210" s="22" t="str">
        <f>HYPERLINK("mailto:jdiaz@crm.otsuka-europe.com", "jdiaz@crm.otsuka-europe.com")</f>
        <v>jdiaz@crm.otsuka-europe.com</v>
      </c>
      <c r="N9210" s="25">
        <v>46234.480138888888</v>
      </c>
      <c r="O9210" s="14" t="str">
        <f>HYPERLINK("https://otsuka-europe-crm.veevavault.com/ui/#object/email_activity__v/V8C00000004G513", "EN-002110655")</f>
        <v>EN-002110655</v>
      </c>
    </row>
    <row r="9211" spans="1:15" ht="16" x14ac:dyDescent="0.2">
      <c r="A9211" s="26"/>
      <c r="B9211" s="26"/>
      <c r="C9211" s="26"/>
      <c r="D9211" s="26"/>
      <c r="E9211" s="26"/>
      <c r="F9211" s="26"/>
      <c r="G9211" s="26"/>
      <c r="H9211" s="26"/>
      <c r="I9211" s="26"/>
      <c r="J9211" s="26"/>
      <c r="K9211" s="26"/>
      <c r="L9211" s="26"/>
      <c r="M9211" s="26"/>
      <c r="N9211" s="26"/>
      <c r="O9211" s="14" t="str">
        <f>HYPERLINK("https://otsuka-europe-crm.veevavault.com/ui/#object/email_activity__v/V8C00000004H314", "EN-002111508")</f>
        <v>EN-002111508</v>
      </c>
    </row>
    <row r="9212" spans="1:15" ht="16" x14ac:dyDescent="0.2">
      <c r="A9212" s="26"/>
      <c r="B9212" s="26"/>
      <c r="C9212" s="26"/>
      <c r="D9212" s="26"/>
      <c r="E9212" s="26"/>
      <c r="F9212" s="26"/>
      <c r="G9212" s="26"/>
      <c r="H9212" s="26"/>
      <c r="I9212" s="26"/>
      <c r="J9212" s="26"/>
      <c r="K9212" s="26"/>
      <c r="L9212" s="26"/>
      <c r="M9212" s="26"/>
      <c r="N9212" s="26"/>
      <c r="O9212" s="14" t="str">
        <f>HYPERLINK("https://otsuka-europe-crm.veevavault.com/ui/#object/email_activity__v/V8C00000004H315", "EN-002111509")</f>
        <v>EN-002111509</v>
      </c>
    </row>
    <row r="9213" spans="1:15" ht="16" x14ac:dyDescent="0.2">
      <c r="A9213" s="19"/>
      <c r="B9213" s="19"/>
      <c r="C9213" s="19"/>
      <c r="D9213" s="19"/>
      <c r="E9213" s="19"/>
      <c r="F9213" s="19"/>
      <c r="G9213" s="19"/>
      <c r="H9213" s="19"/>
      <c r="I9213" s="19"/>
      <c r="J9213" s="19"/>
      <c r="K9213" s="19"/>
      <c r="L9213" s="19"/>
      <c r="M9213" s="19"/>
      <c r="N9213" s="19"/>
      <c r="O9213" s="14" t="str">
        <f>HYPERLINK("https://otsuka-europe-crm.veevavault.com/ui/#object/email_activity__v/V8C00000004I244", "EN-002111507")</f>
        <v>EN-002111507</v>
      </c>
    </row>
    <row r="9214" spans="1:15" ht="16" x14ac:dyDescent="0.2">
      <c r="A9214" s="18" t="str">
        <f>HYPERLINK("https://otsuka-europe-crm.veevavault.com/ui/#object/account__v/V4T000000016118", "HELEN DOLENGEVICH SEGAL")</f>
        <v>HELEN DOLENGEVICH SEGAL</v>
      </c>
      <c r="B9214" s="18" t="str">
        <f>HYPERLINK("https://otsuka-europe-crm.veevavault.com/ui/#object/vcountry__v/VENZ000004SONF5", "ES")</f>
        <v>ES</v>
      </c>
      <c r="C9214" s="20" t="s">
        <v>39</v>
      </c>
      <c r="D9214" s="21" t="str">
        <f>HYPERLINK("https://otsuka-europe-crm.veevavault.com/ui/#object/approved_document__v/V5O00000000L011", "Libro IA en psiquiatría")</f>
        <v>Libro IA en psiquiatría</v>
      </c>
      <c r="E9214" s="22" t="str">
        <f>HYPERLINK("https://otsuka-europe-crm.veevavault.com/ui/#object/sent_email__v/VBL00000003H424", "SE-001448868")</f>
        <v>SE-001448868</v>
      </c>
      <c r="F9214" s="23"/>
      <c r="G9214" s="24">
        <v>0</v>
      </c>
      <c r="H9214" s="24">
        <v>0</v>
      </c>
      <c r="I9214" s="24">
        <v>1</v>
      </c>
      <c r="J9214" s="25">
        <v>46235.492974537039</v>
      </c>
      <c r="K9214" s="24">
        <v>1</v>
      </c>
      <c r="L9214" s="22" t="str">
        <f>HYPERLINK("https://otsuka-europe-crm.veevavault.com/ui/#object/approved_document__v/V5O00000000L011", "Libro IA en psiquiatría")</f>
        <v>Libro IA en psiquiatría</v>
      </c>
      <c r="M9214" s="22" t="str">
        <f>HYPERLINK("mailto:jdiaz@crm.otsuka-europe.com", "jdiaz@crm.otsuka-europe.com")</f>
        <v>jdiaz@crm.otsuka-europe.com</v>
      </c>
      <c r="N9214" s="25">
        <v>46234.480138888888</v>
      </c>
      <c r="O9214" s="14" t="str">
        <f>HYPERLINK("https://otsuka-europe-crm.veevavault.com/ui/#object/email_activity__v/V8C00000004G462", "EN-002110550")</f>
        <v>EN-002110550</v>
      </c>
    </row>
    <row r="9215" spans="1:15" ht="16" x14ac:dyDescent="0.2">
      <c r="A9215" s="26"/>
      <c r="B9215" s="26"/>
      <c r="C9215" s="26"/>
      <c r="D9215" s="26"/>
      <c r="E9215" s="26"/>
      <c r="F9215" s="26"/>
      <c r="G9215" s="26"/>
      <c r="H9215" s="26"/>
      <c r="I9215" s="26"/>
      <c r="J9215" s="26"/>
      <c r="K9215" s="26"/>
      <c r="L9215" s="26"/>
      <c r="M9215" s="26"/>
      <c r="N9215" s="26"/>
      <c r="O9215" s="14" t="str">
        <f>HYPERLINK("https://otsuka-europe-crm.veevavault.com/ui/#object/email_activity__v/V8C00000004I024", "EN-002111027")</f>
        <v>EN-002111027</v>
      </c>
    </row>
    <row r="9216" spans="1:15" ht="16" x14ac:dyDescent="0.2">
      <c r="A9216" s="26"/>
      <c r="B9216" s="26"/>
      <c r="C9216" s="26"/>
      <c r="D9216" s="26"/>
      <c r="E9216" s="26"/>
      <c r="F9216" s="26"/>
      <c r="G9216" s="26"/>
      <c r="H9216" s="26"/>
      <c r="I9216" s="26"/>
      <c r="J9216" s="26"/>
      <c r="K9216" s="26"/>
      <c r="L9216" s="26"/>
      <c r="M9216" s="26"/>
      <c r="N9216" s="26"/>
      <c r="O9216" s="14" t="str">
        <f>HYPERLINK("https://otsuka-europe-crm.veevavault.com/ui/#object/email_activity__v/V8C00000004I025", "EN-002111028")</f>
        <v>EN-002111028</v>
      </c>
    </row>
    <row r="9217" spans="1:15" ht="16" x14ac:dyDescent="0.2">
      <c r="A9217" s="26"/>
      <c r="B9217" s="26"/>
      <c r="C9217" s="26"/>
      <c r="D9217" s="26"/>
      <c r="E9217" s="26"/>
      <c r="F9217" s="26"/>
      <c r="G9217" s="26"/>
      <c r="H9217" s="26"/>
      <c r="I9217" s="26"/>
      <c r="J9217" s="26"/>
      <c r="K9217" s="26"/>
      <c r="L9217" s="26"/>
      <c r="M9217" s="26"/>
      <c r="N9217" s="26"/>
      <c r="O9217" s="14" t="str">
        <f>HYPERLINK("https://otsuka-europe-crm.veevavault.com/ui/#object/email_activity__v/V8C00000004I033", "EN-002111039")</f>
        <v>EN-002111039</v>
      </c>
    </row>
    <row r="9218" spans="1:15" ht="16" x14ac:dyDescent="0.2">
      <c r="A9218" s="19"/>
      <c r="B9218" s="19"/>
      <c r="C9218" s="19"/>
      <c r="D9218" s="19"/>
      <c r="E9218" s="19"/>
      <c r="F9218" s="19"/>
      <c r="G9218" s="19"/>
      <c r="H9218" s="19"/>
      <c r="I9218" s="19"/>
      <c r="J9218" s="19"/>
      <c r="K9218" s="19"/>
      <c r="L9218" s="19"/>
      <c r="M9218" s="19"/>
      <c r="N9218" s="19"/>
      <c r="O9218" s="14" t="str">
        <f>HYPERLINK("https://otsuka-europe-crm.veevavault.com/ui/#object/email_activity__v/V8C00000004I183", "EN-002111379")</f>
        <v>EN-002111379</v>
      </c>
    </row>
    <row r="9219" spans="1:15" ht="32" x14ac:dyDescent="0.2">
      <c r="A9219" s="7" t="str">
        <f>HYPERLINK("https://otsuka-europe-crm.veevavault.com/ui/#object/account__v/V4TZ025E82RKL10", "CLARA CATERINA CALDENTEY DURAN")</f>
        <v>CLARA CATERINA CALDENTEY DURAN</v>
      </c>
      <c r="B9219" s="7" t="str">
        <f>HYPERLINK("https://otsuka-europe-crm.veevavault.com/ui/#object/vcountry__v/VENZ000004SONF5", "ES")</f>
        <v>ES</v>
      </c>
      <c r="C9219" s="8" t="s">
        <v>39</v>
      </c>
      <c r="D9219" s="9" t="str">
        <f>HYPERLINK("https://otsuka-europe-crm.veevavault.com/ui/#object/approved_document__v/V5O00000000L011", "Libro IA en psiquiatría")</f>
        <v>Libro IA en psiquiatría</v>
      </c>
      <c r="E9219" s="10" t="str">
        <f>HYPERLINK("https://otsuka-europe-crm.veevavault.com/ui/#object/sent_email__v/VBL00000003H425", "SE-001448869")</f>
        <v>SE-001448869</v>
      </c>
      <c r="F9219" s="11"/>
      <c r="G9219" s="12">
        <v>0</v>
      </c>
      <c r="H9219" s="12">
        <v>0</v>
      </c>
      <c r="I9219" s="12">
        <v>0</v>
      </c>
      <c r="J9219" s="11"/>
      <c r="K9219" s="12">
        <v>0</v>
      </c>
      <c r="L9219" s="10" t="str">
        <f>HYPERLINK("https://otsuka-europe-crm.veevavault.com/ui/#object/approved_document__v/V5O00000000L011", "Libro IA en psiquiatría")</f>
        <v>Libro IA en psiquiatría</v>
      </c>
      <c r="M9219" s="10" t="str">
        <f>HYPERLINK("mailto:jdiaz@crm.otsuka-europe.com", "jdiaz@crm.otsuka-europe.com")</f>
        <v>jdiaz@crm.otsuka-europe.com</v>
      </c>
      <c r="N9219" s="13">
        <v>46234.480185185188</v>
      </c>
      <c r="O9219" s="14" t="str">
        <f>HYPERLINK("https://otsuka-europe-crm.veevavault.com/ui/#object/email_activity__v/V8C00000004G463", "EN-002110551")</f>
        <v>EN-002110551</v>
      </c>
    </row>
    <row r="9220" spans="1:15" ht="32" x14ac:dyDescent="0.2">
      <c r="A9220" s="7" t="str">
        <f>HYPERLINK("https://otsuka-europe-crm.veevavault.com/ui/#object/account__v/V4TZ06G6O71TA9B", "OLGA IBARRA URIA")</f>
        <v>OLGA IBARRA URIA</v>
      </c>
      <c r="B9220" s="7" t="str">
        <f>HYPERLINK("https://otsuka-europe-crm.veevavault.com/ui/#object/vcountry__v/VENZ000004SONF5", "ES")</f>
        <v>ES</v>
      </c>
      <c r="C9220" s="8" t="s">
        <v>39</v>
      </c>
      <c r="D9220" s="9" t="str">
        <f>HYPERLINK("https://otsuka-europe-crm.veevavault.com/ui/#object/approved_document__v/V5O00000000L011", "Libro IA en psiquiatría")</f>
        <v>Libro IA en psiquiatría</v>
      </c>
      <c r="E9220" s="10" t="str">
        <f>HYPERLINK("https://otsuka-europe-crm.veevavault.com/ui/#object/sent_email__v/VBL00000003H426", "SE-001448870")</f>
        <v>SE-001448870</v>
      </c>
      <c r="F9220" s="11"/>
      <c r="G9220" s="12">
        <v>0</v>
      </c>
      <c r="H9220" s="12">
        <v>0</v>
      </c>
      <c r="I9220" s="12">
        <v>0</v>
      </c>
      <c r="J9220" s="11"/>
      <c r="K9220" s="12">
        <v>0</v>
      </c>
      <c r="L9220" s="10" t="str">
        <f>HYPERLINK("https://otsuka-europe-crm.veevavault.com/ui/#object/approved_document__v/V5O00000000L011", "Libro IA en psiquiatría")</f>
        <v>Libro IA en psiquiatría</v>
      </c>
      <c r="M9220" s="10" t="str">
        <f>HYPERLINK("mailto:jdiaz@crm.otsuka-europe.com", "jdiaz@crm.otsuka-europe.com")</f>
        <v>jdiaz@crm.otsuka-europe.com</v>
      </c>
      <c r="N9220" s="13">
        <v>46234.481874999998</v>
      </c>
      <c r="O9220" s="14" t="str">
        <f>HYPERLINK("https://otsuka-europe-crm.veevavault.com/ui/#object/email_activity__v/V8C00000004G475", "EN-002110580")</f>
        <v>EN-002110580</v>
      </c>
    </row>
    <row r="9221" spans="1:15" ht="32" x14ac:dyDescent="0.2">
      <c r="A9221" s="7" t="str">
        <f>HYPERLINK("https://otsuka-europe-crm.veevavault.com/ui/#object/account__v/V4TZ06G6OB48NIY", "BLANCA HUEDO AROCA")</f>
        <v>BLANCA HUEDO AROCA</v>
      </c>
      <c r="B9221" s="7" t="str">
        <f>HYPERLINK("https://otsuka-europe-crm.veevavault.com/ui/#object/vcountry__v/VENZ000004SONF5", "ES")</f>
        <v>ES</v>
      </c>
      <c r="C9221" s="8" t="s">
        <v>39</v>
      </c>
      <c r="D9221" s="9" t="str">
        <f>HYPERLINK("https://otsuka-europe-crm.veevavault.com/ui/#object/approved_document__v/V5O00000000L011", "Libro IA en psiquiatría")</f>
        <v>Libro IA en psiquiatría</v>
      </c>
      <c r="E9221" s="10" t="str">
        <f>HYPERLINK("https://otsuka-europe-crm.veevavault.com/ui/#object/sent_email__v/VBL00000003H427", "SE-001448871")</f>
        <v>SE-001448871</v>
      </c>
      <c r="F9221" s="11"/>
      <c r="G9221" s="12">
        <v>0</v>
      </c>
      <c r="H9221" s="12">
        <v>0</v>
      </c>
      <c r="I9221" s="12">
        <v>0</v>
      </c>
      <c r="J9221" s="11"/>
      <c r="K9221" s="12">
        <v>0</v>
      </c>
      <c r="L9221" s="10" t="str">
        <f>HYPERLINK("https://otsuka-europe-crm.veevavault.com/ui/#object/approved_document__v/V5O00000000L011", "Libro IA en psiquiatría")</f>
        <v>Libro IA en psiquiatría</v>
      </c>
      <c r="M9221" s="10" t="str">
        <f>HYPERLINK("mailto:jdiaz@crm.otsuka-europe.com", "jdiaz@crm.otsuka-europe.com")</f>
        <v>jdiaz@crm.otsuka-europe.com</v>
      </c>
      <c r="N9221" s="13">
        <v>46234.481921296298</v>
      </c>
      <c r="O9221" s="14" t="str">
        <f>HYPERLINK("https://otsuka-europe-crm.veevavault.com/ui/#object/email_activity__v/V8C00000004F321", "EN-002110587")</f>
        <v>EN-002110587</v>
      </c>
    </row>
    <row r="9222" spans="1:15" ht="16" x14ac:dyDescent="0.2">
      <c r="A9222" s="18" t="str">
        <f>HYPERLINK("https://otsuka-europe-crm.veevavault.com/ui/#object/account__v/V4TZ06G6O71TBSE", "MARIA CARMEN PRADAS GUERRERO")</f>
        <v>MARIA CARMEN PRADAS GUERRERO</v>
      </c>
      <c r="B9222" s="18" t="str">
        <f>HYPERLINK("https://otsuka-europe-crm.veevavault.com/ui/#object/vcountry__v/VENZ000004SONF5", "ES")</f>
        <v>ES</v>
      </c>
      <c r="C9222" s="20" t="s">
        <v>39</v>
      </c>
      <c r="D9222" s="21" t="str">
        <f>HYPERLINK("https://otsuka-europe-crm.veevavault.com/ui/#object/approved_document__v/V5O00000000L011", "Libro IA en psiquiatría")</f>
        <v>Libro IA en psiquiatría</v>
      </c>
      <c r="E9222" s="22" t="str">
        <f>HYPERLINK("https://otsuka-europe-crm.veevavault.com/ui/#object/sent_email__v/VBL00000003H428", "SE-001448872")</f>
        <v>SE-001448872</v>
      </c>
      <c r="F9222" s="23"/>
      <c r="G9222" s="24">
        <v>0</v>
      </c>
      <c r="H9222" s="24">
        <v>0</v>
      </c>
      <c r="I9222" s="24">
        <v>0</v>
      </c>
      <c r="J9222" s="23"/>
      <c r="K9222" s="24">
        <v>0</v>
      </c>
      <c r="L9222" s="22" t="str">
        <f>HYPERLINK("https://otsuka-europe-crm.veevavault.com/ui/#object/approved_document__v/V5O00000000L011", "Libro IA en psiquiatría")</f>
        <v>Libro IA en psiquiatría</v>
      </c>
      <c r="M9222" s="22" t="str">
        <f>HYPERLINK("mailto:jdiaz@crm.otsuka-europe.com", "jdiaz@crm.otsuka-europe.com")</f>
        <v>jdiaz@crm.otsuka-europe.com</v>
      </c>
      <c r="N9222" s="25">
        <v>46234.481921296298</v>
      </c>
      <c r="O9222" s="14" t="str">
        <f>HYPERLINK("https://otsuka-europe-crm.veevavault.com/ui/#object/email_activity__v/V8C00000004G476", "EN-002110581")</f>
        <v>EN-002110581</v>
      </c>
    </row>
    <row r="9223" spans="1:15" ht="16" x14ac:dyDescent="0.2">
      <c r="A9223" s="19"/>
      <c r="B9223" s="19"/>
      <c r="C9223" s="19"/>
      <c r="D9223" s="19"/>
      <c r="E9223" s="19"/>
      <c r="F9223" s="19"/>
      <c r="G9223" s="19"/>
      <c r="H9223" s="19"/>
      <c r="I9223" s="19"/>
      <c r="J9223" s="19"/>
      <c r="K9223" s="19"/>
      <c r="L9223" s="19"/>
      <c r="M9223" s="19"/>
      <c r="N9223" s="19"/>
      <c r="O9223" s="14" t="str">
        <f>HYPERLINK("https://otsuka-europe-crm.veevavault.com/ui/#object/email_activity__v/V8C00000004G495", "EN-002110624")</f>
        <v>EN-002110624</v>
      </c>
    </row>
    <row r="9224" spans="1:15" ht="16" x14ac:dyDescent="0.2">
      <c r="A9224" s="18" t="str">
        <f>HYPERLINK("https://otsuka-europe-crm.veevavault.com/ui/#object/account__v/V4T00000001U050", "FRANCISCO MIGUEL HOMAR HERRERO")</f>
        <v>FRANCISCO MIGUEL HOMAR HERRERO</v>
      </c>
      <c r="B9224" s="18" t="str">
        <f>HYPERLINK("https://otsuka-europe-crm.veevavault.com/ui/#object/vcountry__v/VENZ000004SONF5", "ES")</f>
        <v>ES</v>
      </c>
      <c r="C9224" s="20" t="s">
        <v>39</v>
      </c>
      <c r="D9224" s="21" t="str">
        <f>HYPERLINK("https://otsuka-europe-crm.veevavault.com/ui/#object/approved_document__v/V5O00000000L011", "Libro IA en psiquiatría")</f>
        <v>Libro IA en psiquiatría</v>
      </c>
      <c r="E9224" s="22" t="str">
        <f>HYPERLINK("https://otsuka-europe-crm.veevavault.com/ui/#object/sent_email__v/VBL00000003H429", "SE-001448873")</f>
        <v>SE-001448873</v>
      </c>
      <c r="F9224" s="25">
        <v>46234.487511574072</v>
      </c>
      <c r="G9224" s="24">
        <v>1</v>
      </c>
      <c r="H9224" s="24">
        <v>2</v>
      </c>
      <c r="I9224" s="24">
        <v>1</v>
      </c>
      <c r="J9224" s="25">
        <v>46234.730358796296</v>
      </c>
      <c r="K9224" s="24">
        <v>1</v>
      </c>
      <c r="L9224" s="22" t="str">
        <f>HYPERLINK("https://otsuka-europe-crm.veevavault.com/ui/#object/approved_document__v/V5O00000000L011", "Libro IA en psiquiatría")</f>
        <v>Libro IA en psiquiatría</v>
      </c>
      <c r="M9224" s="22" t="str">
        <f>HYPERLINK("mailto:jdiaz@crm.otsuka-europe.com", "jdiaz@crm.otsuka-europe.com")</f>
        <v>jdiaz@crm.otsuka-europe.com</v>
      </c>
      <c r="N9224" s="25">
        <v>46234.481921296298</v>
      </c>
      <c r="O9224" s="14" t="str">
        <f>HYPERLINK("https://otsuka-europe-crm.veevavault.com/ui/#object/email_activity__v/V8C00000004F308", "EN-002110564")</f>
        <v>EN-002110564</v>
      </c>
    </row>
    <row r="9225" spans="1:15" ht="16" x14ac:dyDescent="0.2">
      <c r="A9225" s="26"/>
      <c r="B9225" s="26"/>
      <c r="C9225" s="26"/>
      <c r="D9225" s="26"/>
      <c r="E9225" s="26"/>
      <c r="F9225" s="26"/>
      <c r="G9225" s="26"/>
      <c r="H9225" s="26"/>
      <c r="I9225" s="26"/>
      <c r="J9225" s="26"/>
      <c r="K9225" s="26"/>
      <c r="L9225" s="26"/>
      <c r="M9225" s="26"/>
      <c r="N9225" s="26"/>
      <c r="O9225" s="14" t="str">
        <f>HYPERLINK("https://otsuka-europe-crm.veevavault.com/ui/#object/email_activity__v/V8C00000004F453", "EN-002110857")</f>
        <v>EN-002110857</v>
      </c>
    </row>
    <row r="9226" spans="1:15" ht="16" x14ac:dyDescent="0.2">
      <c r="A9226" s="26"/>
      <c r="B9226" s="26"/>
      <c r="C9226" s="26"/>
      <c r="D9226" s="26"/>
      <c r="E9226" s="26"/>
      <c r="F9226" s="26"/>
      <c r="G9226" s="26"/>
      <c r="H9226" s="26"/>
      <c r="I9226" s="26"/>
      <c r="J9226" s="26"/>
      <c r="K9226" s="26"/>
      <c r="L9226" s="26"/>
      <c r="M9226" s="26"/>
      <c r="N9226" s="26"/>
      <c r="O9226" s="14" t="str">
        <f>HYPERLINK("https://otsuka-europe-crm.veevavault.com/ui/#object/email_activity__v/V8C00000004G521", "EN-002110663")</f>
        <v>EN-002110663</v>
      </c>
    </row>
    <row r="9227" spans="1:15" ht="16" x14ac:dyDescent="0.2">
      <c r="A9227" s="19"/>
      <c r="B9227" s="19"/>
      <c r="C9227" s="19"/>
      <c r="D9227" s="19"/>
      <c r="E9227" s="19"/>
      <c r="F9227" s="19"/>
      <c r="G9227" s="19"/>
      <c r="H9227" s="19"/>
      <c r="I9227" s="19"/>
      <c r="J9227" s="19"/>
      <c r="K9227" s="19"/>
      <c r="L9227" s="19"/>
      <c r="M9227" s="19"/>
      <c r="N9227" s="19"/>
      <c r="O9227" s="14" t="str">
        <f>HYPERLINK("https://otsuka-europe-crm.veevavault.com/ui/#object/email_activity__v/V8C00000004G522", "EN-002110664")</f>
        <v>EN-002110664</v>
      </c>
    </row>
    <row r="9228" spans="1:15" ht="16" x14ac:dyDescent="0.2">
      <c r="A9228" s="18" t="str">
        <f>HYPERLINK("https://otsuka-europe-crm.veevavault.com/ui/#object/account__v/V4TZ06G6O71T7B1", "JAUME MOREY CAÑELLAS")</f>
        <v>JAUME MOREY CAÑELLAS</v>
      </c>
      <c r="B9228" s="18" t="str">
        <f>HYPERLINK("https://otsuka-europe-crm.veevavault.com/ui/#object/vcountry__v/VENZ000004SONF5", "ES")</f>
        <v>ES</v>
      </c>
      <c r="C9228" s="20" t="s">
        <v>39</v>
      </c>
      <c r="D9228" s="21" t="str">
        <f>HYPERLINK("https://otsuka-europe-crm.veevavault.com/ui/#object/approved_document__v/V5O00000000L011", "Libro IA en psiquiatría")</f>
        <v>Libro IA en psiquiatría</v>
      </c>
      <c r="E9228" s="22" t="str">
        <f>HYPERLINK("https://otsuka-europe-crm.veevavault.com/ui/#object/sent_email__v/VBL00000003H430", "SE-001448874")</f>
        <v>SE-001448874</v>
      </c>
      <c r="F9228" s="25">
        <v>46234.649768518517</v>
      </c>
      <c r="G9228" s="24">
        <v>1</v>
      </c>
      <c r="H9228" s="24">
        <v>2</v>
      </c>
      <c r="I9228" s="24">
        <v>0</v>
      </c>
      <c r="J9228" s="23"/>
      <c r="K9228" s="24">
        <v>0</v>
      </c>
      <c r="L9228" s="22" t="str">
        <f>HYPERLINK("https://otsuka-europe-crm.veevavault.com/ui/#object/approved_document__v/V5O00000000L011", "Libro IA en psiquiatría")</f>
        <v>Libro IA en psiquiatría</v>
      </c>
      <c r="M9228" s="22" t="str">
        <f>HYPERLINK("mailto:jdiaz@crm.otsuka-europe.com", "jdiaz@crm.otsuka-europe.com")</f>
        <v>jdiaz@crm.otsuka-europe.com</v>
      </c>
      <c r="N9228" s="25">
        <v>46234.48201388889</v>
      </c>
      <c r="O9228" s="14" t="str">
        <f>HYPERLINK("https://otsuka-europe-crm.veevavault.com/ui/#object/email_activity__v/V8C00000004F319", "EN-002110577")</f>
        <v>EN-002110577</v>
      </c>
    </row>
    <row r="9229" spans="1:15" ht="16" x14ac:dyDescent="0.2">
      <c r="A9229" s="26"/>
      <c r="B9229" s="26"/>
      <c r="C9229" s="26"/>
      <c r="D9229" s="26"/>
      <c r="E9229" s="26"/>
      <c r="F9229" s="26"/>
      <c r="G9229" s="26"/>
      <c r="H9229" s="26"/>
      <c r="I9229" s="26"/>
      <c r="J9229" s="26"/>
      <c r="K9229" s="26"/>
      <c r="L9229" s="26"/>
      <c r="M9229" s="26"/>
      <c r="N9229" s="26"/>
      <c r="O9229" s="14" t="str">
        <f>HYPERLINK("https://otsuka-europe-crm.veevavault.com/ui/#object/email_activity__v/V8C00000004F412", "EN-002110799")</f>
        <v>EN-002110799</v>
      </c>
    </row>
    <row r="9230" spans="1:15" ht="16" x14ac:dyDescent="0.2">
      <c r="A9230" s="26"/>
      <c r="B9230" s="26"/>
      <c r="C9230" s="26"/>
      <c r="D9230" s="26"/>
      <c r="E9230" s="26"/>
      <c r="F9230" s="26"/>
      <c r="G9230" s="26"/>
      <c r="H9230" s="26"/>
      <c r="I9230" s="26"/>
      <c r="J9230" s="26"/>
      <c r="K9230" s="26"/>
      <c r="L9230" s="26"/>
      <c r="M9230" s="26"/>
      <c r="N9230" s="26"/>
      <c r="O9230" s="14" t="str">
        <f>HYPERLINK("https://otsuka-europe-crm.veevavault.com/ui/#object/email_activity__v/V8C00000004F423", "EN-002110813")</f>
        <v>EN-002110813</v>
      </c>
    </row>
    <row r="9231" spans="1:15" ht="16" x14ac:dyDescent="0.2">
      <c r="A9231" s="19"/>
      <c r="B9231" s="19"/>
      <c r="C9231" s="19"/>
      <c r="D9231" s="19"/>
      <c r="E9231" s="19"/>
      <c r="F9231" s="19"/>
      <c r="G9231" s="19"/>
      <c r="H9231" s="19"/>
      <c r="I9231" s="19"/>
      <c r="J9231" s="19"/>
      <c r="K9231" s="19"/>
      <c r="L9231" s="19"/>
      <c r="M9231" s="19"/>
      <c r="N9231" s="19"/>
      <c r="O9231" s="14" t="str">
        <f>HYPERLINK("https://otsuka-europe-crm.veevavault.com/ui/#object/email_activity__v/V8C00000004G604", "EN-002110800")</f>
        <v>EN-002110800</v>
      </c>
    </row>
    <row r="9232" spans="1:15" ht="32" x14ac:dyDescent="0.2">
      <c r="A9232" s="7" t="str">
        <f>HYPERLINK("https://otsuka-europe-crm.veevavault.com/ui/#object/account__v/V4TZ06G6O71T88Q", "LLUIS NIELL GALMES")</f>
        <v>LLUIS NIELL GALMES</v>
      </c>
      <c r="B9232" s="7" t="str">
        <f>HYPERLINK("https://otsuka-europe-crm.veevavault.com/ui/#object/vcountry__v/VENZ000004SONF5", "ES")</f>
        <v>ES</v>
      </c>
      <c r="C9232" s="8" t="s">
        <v>39</v>
      </c>
      <c r="D9232" s="9" t="str">
        <f>HYPERLINK("https://otsuka-europe-crm.veevavault.com/ui/#object/approved_document__v/V5O00000000L011", "Libro IA en psiquiatría")</f>
        <v>Libro IA en psiquiatría</v>
      </c>
      <c r="E9232" s="10" t="str">
        <f>HYPERLINK("https://otsuka-europe-crm.veevavault.com/ui/#object/sent_email__v/VBL00000003H431", "SE-001448875")</f>
        <v>SE-001448875</v>
      </c>
      <c r="F9232" s="11"/>
      <c r="G9232" s="12">
        <v>0</v>
      </c>
      <c r="H9232" s="12">
        <v>0</v>
      </c>
      <c r="I9232" s="12">
        <v>0</v>
      </c>
      <c r="J9232" s="11"/>
      <c r="K9232" s="12">
        <v>0</v>
      </c>
      <c r="L9232" s="10" t="str">
        <f>HYPERLINK("https://otsuka-europe-crm.veevavault.com/ui/#object/approved_document__v/V5O00000000L011", "Libro IA en psiquiatría")</f>
        <v>Libro IA en psiquiatría</v>
      </c>
      <c r="M9232" s="10" t="str">
        <f>HYPERLINK("mailto:jdiaz@crm.otsuka-europe.com", "jdiaz@crm.otsuka-europe.com")</f>
        <v>jdiaz@crm.otsuka-europe.com</v>
      </c>
      <c r="N9232" s="13">
        <v>46234.481979166667</v>
      </c>
      <c r="O9232" s="14" t="str">
        <f>HYPERLINK("https://otsuka-europe-crm.veevavault.com/ui/#object/email_activity__v/V8C00000004F332", "EN-002110602")</f>
        <v>EN-002110602</v>
      </c>
    </row>
    <row r="9233" spans="1:15" ht="16" x14ac:dyDescent="0.2">
      <c r="A9233" s="18" t="str">
        <f>HYPERLINK("https://otsuka-europe-crm.veevavault.com/ui/#object/account__v/V4TZ025E82WNBT1", "MARIA CELINA MONETTI")</f>
        <v>MARIA CELINA MONETTI</v>
      </c>
      <c r="B9233" s="18" t="str">
        <f>HYPERLINK("https://otsuka-europe-crm.veevavault.com/ui/#object/vcountry__v/VENZ000004SONF5", "ES")</f>
        <v>ES</v>
      </c>
      <c r="C9233" s="20" t="s">
        <v>39</v>
      </c>
      <c r="D9233" s="21" t="str">
        <f>HYPERLINK("https://otsuka-europe-crm.veevavault.com/ui/#object/approved_document__v/V5O00000000L011", "Libro IA en psiquiatría")</f>
        <v>Libro IA en psiquiatría</v>
      </c>
      <c r="E9233" s="22" t="str">
        <f>HYPERLINK("https://otsuka-europe-crm.veevavault.com/ui/#object/sent_email__v/VBL00000003H432", "SE-001448876")</f>
        <v>SE-001448876</v>
      </c>
      <c r="F9233" s="25">
        <v>46237.622372685182</v>
      </c>
      <c r="G9233" s="24">
        <v>1</v>
      </c>
      <c r="H9233" s="24">
        <v>1</v>
      </c>
      <c r="I9233" s="24">
        <v>0</v>
      </c>
      <c r="J9233" s="23"/>
      <c r="K9233" s="24">
        <v>0</v>
      </c>
      <c r="L9233" s="22" t="str">
        <f>HYPERLINK("https://otsuka-europe-crm.veevavault.com/ui/#object/approved_document__v/V5O00000000L011", "Libro IA en psiquiatría")</f>
        <v>Libro IA en psiquiatría</v>
      </c>
      <c r="M9233" s="22" t="str">
        <f>HYPERLINK("mailto:jdiaz@crm.otsuka-europe.com", "jdiaz@crm.otsuka-europe.com")</f>
        <v>jdiaz@crm.otsuka-europe.com</v>
      </c>
      <c r="N9233" s="25">
        <v>46234.481979166667</v>
      </c>
      <c r="O9233" s="14" t="str">
        <f>HYPERLINK("https://otsuka-europe-crm.veevavault.com/ui/#object/email_activity__v/V8C00000004F326", "EN-002110592")</f>
        <v>EN-002110592</v>
      </c>
    </row>
    <row r="9234" spans="1:15" ht="16" x14ac:dyDescent="0.2">
      <c r="A9234" s="19"/>
      <c r="B9234" s="19"/>
      <c r="C9234" s="19"/>
      <c r="D9234" s="19"/>
      <c r="E9234" s="19"/>
      <c r="F9234" s="19"/>
      <c r="G9234" s="19"/>
      <c r="H9234" s="19"/>
      <c r="I9234" s="19"/>
      <c r="J9234" s="19"/>
      <c r="K9234" s="19"/>
      <c r="L9234" s="19"/>
      <c r="M9234" s="19"/>
      <c r="N9234" s="19"/>
      <c r="O9234" s="14" t="str">
        <f>HYPERLINK("https://otsuka-europe-crm.veevavault.com/ui/#object/email_activity__v/V8C00000004I158", "EN-002111335")</f>
        <v>EN-002111335</v>
      </c>
    </row>
    <row r="9235" spans="1:15" ht="32" x14ac:dyDescent="0.2">
      <c r="A9235" s="7" t="str">
        <f>HYPERLINK("https://otsuka-europe-crm.veevavault.com/ui/#object/account__v/V4TZ06G6O71TARX", "JOAQUIN LOPEZ OLASO")</f>
        <v>JOAQUIN LOPEZ OLASO</v>
      </c>
      <c r="B9235" s="7" t="str">
        <f>HYPERLINK("https://otsuka-europe-crm.veevavault.com/ui/#object/vcountry__v/VENZ000004SONF5", "ES")</f>
        <v>ES</v>
      </c>
      <c r="C9235" s="8" t="s">
        <v>39</v>
      </c>
      <c r="D9235" s="9" t="str">
        <f>HYPERLINK("https://otsuka-europe-crm.veevavault.com/ui/#object/approved_document__v/V5O00000000L011", "Libro IA en psiquiatría")</f>
        <v>Libro IA en psiquiatría</v>
      </c>
      <c r="E9235" s="10" t="str">
        <f>HYPERLINK("https://otsuka-europe-crm.veevavault.com/ui/#object/sent_email__v/VBL00000003H433", "SE-001448877")</f>
        <v>SE-001448877</v>
      </c>
      <c r="F9235" s="11"/>
      <c r="G9235" s="12">
        <v>0</v>
      </c>
      <c r="H9235" s="12">
        <v>0</v>
      </c>
      <c r="I9235" s="12">
        <v>0</v>
      </c>
      <c r="J9235" s="11"/>
      <c r="K9235" s="12">
        <v>0</v>
      </c>
      <c r="L9235" s="10" t="str">
        <f>HYPERLINK("https://otsuka-europe-crm.veevavault.com/ui/#object/approved_document__v/V5O00000000L011", "Libro IA en psiquiatría")</f>
        <v>Libro IA en psiquiatría</v>
      </c>
      <c r="M9235" s="10" t="str">
        <f>HYPERLINK("mailto:jdiaz@crm.otsuka-europe.com", "jdiaz@crm.otsuka-europe.com")</f>
        <v>jdiaz@crm.otsuka-europe.com</v>
      </c>
      <c r="N9235" s="13">
        <v>46234.481979166667</v>
      </c>
      <c r="O9235" s="14" t="str">
        <f>HYPERLINK("https://otsuka-europe-crm.veevavault.com/ui/#object/email_activity__v/V8C00000004F327", "EN-002110593")</f>
        <v>EN-002110593</v>
      </c>
    </row>
    <row r="9236" spans="1:15" ht="16" x14ac:dyDescent="0.2">
      <c r="A9236" s="18" t="str">
        <f>HYPERLINK("https://otsuka-europe-crm.veevavault.com/ui/#object/account__v/V4TZ06G6O71TBIK", "JOSE LUIS ORTEGA TORES")</f>
        <v>JOSE LUIS ORTEGA TORES</v>
      </c>
      <c r="B9236" s="18" t="str">
        <f>HYPERLINK("https://otsuka-europe-crm.veevavault.com/ui/#object/vcountry__v/VENZ000004SONF5", "ES")</f>
        <v>ES</v>
      </c>
      <c r="C9236" s="20" t="s">
        <v>39</v>
      </c>
      <c r="D9236" s="21" t="str">
        <f>HYPERLINK("https://otsuka-europe-crm.veevavault.com/ui/#object/approved_document__v/V5O00000000L011", "Libro IA en psiquiatría")</f>
        <v>Libro IA en psiquiatría</v>
      </c>
      <c r="E9236" s="22" t="str">
        <f>HYPERLINK("https://otsuka-europe-crm.veevavault.com/ui/#object/sent_email__v/VBL00000003H434", "SE-001448878")</f>
        <v>SE-001448878</v>
      </c>
      <c r="F9236" s="25">
        <v>46234.509525462963</v>
      </c>
      <c r="G9236" s="24">
        <v>1</v>
      </c>
      <c r="H9236" s="24">
        <v>1</v>
      </c>
      <c r="I9236" s="24">
        <v>1</v>
      </c>
      <c r="J9236" s="25">
        <v>46234.509525462963</v>
      </c>
      <c r="K9236" s="24">
        <v>1</v>
      </c>
      <c r="L9236" s="22" t="str">
        <f>HYPERLINK("https://otsuka-europe-crm.veevavault.com/ui/#object/approved_document__v/V5O00000000L011", "Libro IA en psiquiatría")</f>
        <v>Libro IA en psiquiatría</v>
      </c>
      <c r="M9236" s="22" t="str">
        <f>HYPERLINK("mailto:jdiaz@crm.otsuka-europe.com", "jdiaz@crm.otsuka-europe.com")</f>
        <v>jdiaz@crm.otsuka-europe.com</v>
      </c>
      <c r="N9236" s="25">
        <v>46234.481979166667</v>
      </c>
      <c r="O9236" s="14" t="str">
        <f>HYPERLINK("https://otsuka-europe-crm.veevavault.com/ui/#object/email_activity__v/V8C00000004G484", "EN-002110598")</f>
        <v>EN-002110598</v>
      </c>
    </row>
    <row r="9237" spans="1:15" ht="16" x14ac:dyDescent="0.2">
      <c r="A9237" s="26"/>
      <c r="B9237" s="26"/>
      <c r="C9237" s="26"/>
      <c r="D9237" s="26"/>
      <c r="E9237" s="26"/>
      <c r="F9237" s="26"/>
      <c r="G9237" s="26"/>
      <c r="H9237" s="26"/>
      <c r="I9237" s="26"/>
      <c r="J9237" s="26"/>
      <c r="K9237" s="26"/>
      <c r="L9237" s="26"/>
      <c r="M9237" s="26"/>
      <c r="N9237" s="26"/>
      <c r="O9237" s="14" t="str">
        <f>HYPERLINK("https://otsuka-europe-crm.veevavault.com/ui/#object/email_activity__v/V8C00000004G548", "EN-002110715")</f>
        <v>EN-002110715</v>
      </c>
    </row>
    <row r="9238" spans="1:15" ht="16" x14ac:dyDescent="0.2">
      <c r="A9238" s="19"/>
      <c r="B9238" s="19"/>
      <c r="C9238" s="19"/>
      <c r="D9238" s="19"/>
      <c r="E9238" s="19"/>
      <c r="F9238" s="19"/>
      <c r="G9238" s="19"/>
      <c r="H9238" s="19"/>
      <c r="I9238" s="19"/>
      <c r="J9238" s="19"/>
      <c r="K9238" s="19"/>
      <c r="L9238" s="19"/>
      <c r="M9238" s="19"/>
      <c r="N9238" s="19"/>
      <c r="O9238" s="14" t="str">
        <f>HYPERLINK("https://otsuka-europe-crm.veevavault.com/ui/#object/email_activity__v/V8C00000004G549", "EN-002110714")</f>
        <v>EN-002110714</v>
      </c>
    </row>
    <row r="9239" spans="1:15" ht="16" x14ac:dyDescent="0.2">
      <c r="A9239" s="18" t="str">
        <f>HYPERLINK("https://otsuka-europe-crm.veevavault.com/ui/#object/account__v/V4TZ06G6O71TB8T", "ROSA MOLINA RAMOS")</f>
        <v>ROSA MOLINA RAMOS</v>
      </c>
      <c r="B9239" s="18" t="str">
        <f>HYPERLINK("https://otsuka-europe-crm.veevavault.com/ui/#object/vcountry__v/VENZ000004SONF5", "ES")</f>
        <v>ES</v>
      </c>
      <c r="C9239" s="20" t="s">
        <v>39</v>
      </c>
      <c r="D9239" s="21" t="str">
        <f>HYPERLINK("https://otsuka-europe-crm.veevavault.com/ui/#object/approved_document__v/V5O00000000L011", "Libro IA en psiquiatría")</f>
        <v>Libro IA en psiquiatría</v>
      </c>
      <c r="E9239" s="22" t="str">
        <f>HYPERLINK("https://otsuka-europe-crm.veevavault.com/ui/#object/sent_email__v/VBL00000003H435", "SE-001448879")</f>
        <v>SE-001448879</v>
      </c>
      <c r="F9239" s="23"/>
      <c r="G9239" s="24">
        <v>0</v>
      </c>
      <c r="H9239" s="24">
        <v>0</v>
      </c>
      <c r="I9239" s="24">
        <v>0</v>
      </c>
      <c r="J9239" s="23"/>
      <c r="K9239" s="24">
        <v>0</v>
      </c>
      <c r="L9239" s="22" t="str">
        <f>HYPERLINK("https://otsuka-europe-crm.veevavault.com/ui/#object/approved_document__v/V5O00000000L011", "Libro IA en psiquiatría")</f>
        <v>Libro IA en psiquiatría</v>
      </c>
      <c r="M9239" s="22" t="str">
        <f>HYPERLINK("mailto:jdiaz@crm.otsuka-europe.com", "jdiaz@crm.otsuka-europe.com")</f>
        <v>jdiaz@crm.otsuka-europe.com</v>
      </c>
      <c r="N9239" s="25">
        <v>46234.481979166667</v>
      </c>
      <c r="O9239" s="14" t="str">
        <f>HYPERLINK("https://otsuka-europe-crm.veevavault.com/ui/#object/email_activity__v/V8C00000004F331", "EN-002110601")</f>
        <v>EN-002110601</v>
      </c>
    </row>
    <row r="9240" spans="1:15" ht="16" x14ac:dyDescent="0.2">
      <c r="A9240" s="19"/>
      <c r="B9240" s="19"/>
      <c r="C9240" s="19"/>
      <c r="D9240" s="19"/>
      <c r="E9240" s="19"/>
      <c r="F9240" s="19"/>
      <c r="G9240" s="19"/>
      <c r="H9240" s="19"/>
      <c r="I9240" s="19"/>
      <c r="J9240" s="19"/>
      <c r="K9240" s="19"/>
      <c r="L9240" s="19"/>
      <c r="M9240" s="19"/>
      <c r="N9240" s="19"/>
      <c r="O9240" s="14" t="str">
        <f>HYPERLINK("https://otsuka-europe-crm.veevavault.com/ui/#object/email_activity__v/V8C00000004H247", "EN-002111381")</f>
        <v>EN-002111381</v>
      </c>
    </row>
    <row r="9241" spans="1:15" ht="32" x14ac:dyDescent="0.2">
      <c r="A9241" s="7" t="str">
        <f>HYPERLINK("https://otsuka-europe-crm.veevavault.com/ui/#object/account__v/V4TZ06G6O7WCAT9", "YOLANDA LAZARO PASCUAL")</f>
        <v>YOLANDA LAZARO PASCUAL</v>
      </c>
      <c r="B9241" s="7" t="str">
        <f>HYPERLINK("https://otsuka-europe-crm.veevavault.com/ui/#object/vcountry__v/VENZ000004SONF5", "ES")</f>
        <v>ES</v>
      </c>
      <c r="C9241" s="8" t="s">
        <v>39</v>
      </c>
      <c r="D9241" s="9" t="str">
        <f>HYPERLINK("https://otsuka-europe-crm.veevavault.com/ui/#object/approved_document__v/V5O00000000L011", "Libro IA en psiquiatría")</f>
        <v>Libro IA en psiquiatría</v>
      </c>
      <c r="E9241" s="10" t="str">
        <f>HYPERLINK("https://otsuka-europe-crm.veevavault.com/ui/#object/sent_email__v/VBL00000003H436", "SE-001448880")</f>
        <v>SE-001448880</v>
      </c>
      <c r="F9241" s="11"/>
      <c r="G9241" s="12">
        <v>0</v>
      </c>
      <c r="H9241" s="12">
        <v>0</v>
      </c>
      <c r="I9241" s="12">
        <v>0</v>
      </c>
      <c r="J9241" s="11"/>
      <c r="K9241" s="12">
        <v>0</v>
      </c>
      <c r="L9241" s="10" t="str">
        <f>HYPERLINK("https://otsuka-europe-crm.veevavault.com/ui/#object/approved_document__v/V5O00000000L011", "Libro IA en psiquiatría")</f>
        <v>Libro IA en psiquiatría</v>
      </c>
      <c r="M9241" s="10" t="str">
        <f>HYPERLINK("mailto:jdiaz@crm.otsuka-europe.com", "jdiaz@crm.otsuka-europe.com")</f>
        <v>jdiaz@crm.otsuka-europe.com</v>
      </c>
      <c r="N9241" s="13">
        <v>46234.481979166667</v>
      </c>
      <c r="O9241" s="14" t="str">
        <f>HYPERLINK("https://otsuka-europe-crm.veevavault.com/ui/#object/email_activity__v/V8C00000004F323", "EN-002110589")</f>
        <v>EN-002110589</v>
      </c>
    </row>
    <row r="9242" spans="1:15" ht="16" x14ac:dyDescent="0.2">
      <c r="A9242" s="18" t="str">
        <f>HYPERLINK("https://otsuka-europe-crm.veevavault.com/ui/#object/account__v/V4TZ04ASG7NIT9C", "SOFIA JIMENEZ VILLAREJO")</f>
        <v>SOFIA JIMENEZ VILLAREJO</v>
      </c>
      <c r="B9242" s="18" t="str">
        <f>HYPERLINK("https://otsuka-europe-crm.veevavault.com/ui/#object/vcountry__v/VENZ000004SONF5", "ES")</f>
        <v>ES</v>
      </c>
      <c r="C9242" s="20" t="s">
        <v>39</v>
      </c>
      <c r="D9242" s="21" t="str">
        <f>HYPERLINK("https://otsuka-europe-crm.veevavault.com/ui/#object/approved_document__v/V5O00000000L011", "Libro IA en psiquiatría")</f>
        <v>Libro IA en psiquiatría</v>
      </c>
      <c r="E9242" s="22" t="str">
        <f>HYPERLINK("https://otsuka-europe-crm.veevavault.com/ui/#object/sent_email__v/VBL00000003H437", "SE-001448881")</f>
        <v>SE-001448881</v>
      </c>
      <c r="F9242" s="25">
        <v>46235.692974537036</v>
      </c>
      <c r="G9242" s="24">
        <v>1</v>
      </c>
      <c r="H9242" s="24">
        <v>2</v>
      </c>
      <c r="I9242" s="24">
        <v>0</v>
      </c>
      <c r="J9242" s="23"/>
      <c r="K9242" s="24">
        <v>0</v>
      </c>
      <c r="L9242" s="22" t="str">
        <f>HYPERLINK("https://otsuka-europe-crm.veevavault.com/ui/#object/approved_document__v/V5O00000000L011", "Libro IA en psiquiatría")</f>
        <v>Libro IA en psiquiatría</v>
      </c>
      <c r="M9242" s="22" t="str">
        <f>HYPERLINK("mailto:jdiaz@crm.otsuka-europe.com", "jdiaz@crm.otsuka-europe.com")</f>
        <v>jdiaz@crm.otsuka-europe.com</v>
      </c>
      <c r="N9242" s="25">
        <v>46234.481979166667</v>
      </c>
      <c r="O9242" s="14" t="str">
        <f>HYPERLINK("https://otsuka-europe-crm.veevavault.com/ui/#object/email_activity__v/V8C00000004F330", "EN-002110600")</f>
        <v>EN-002110600</v>
      </c>
    </row>
    <row r="9243" spans="1:15" ht="16" x14ac:dyDescent="0.2">
      <c r="A9243" s="26"/>
      <c r="B9243" s="26"/>
      <c r="C9243" s="26"/>
      <c r="D9243" s="26"/>
      <c r="E9243" s="26"/>
      <c r="F9243" s="26"/>
      <c r="G9243" s="26"/>
      <c r="H9243" s="26"/>
      <c r="I9243" s="26"/>
      <c r="J9243" s="26"/>
      <c r="K9243" s="26"/>
      <c r="L9243" s="26"/>
      <c r="M9243" s="26"/>
      <c r="N9243" s="26"/>
      <c r="O9243" s="14" t="str">
        <f>HYPERLINK("https://otsuka-europe-crm.veevavault.com/ui/#object/email_activity__v/V8C00000004G485", "EN-002110604")</f>
        <v>EN-002110604</v>
      </c>
    </row>
    <row r="9244" spans="1:15" ht="16" x14ac:dyDescent="0.2">
      <c r="A9244" s="19"/>
      <c r="B9244" s="19"/>
      <c r="C9244" s="19"/>
      <c r="D9244" s="19"/>
      <c r="E9244" s="19"/>
      <c r="F9244" s="19"/>
      <c r="G9244" s="19"/>
      <c r="H9244" s="19"/>
      <c r="I9244" s="19"/>
      <c r="J9244" s="19"/>
      <c r="K9244" s="19"/>
      <c r="L9244" s="19"/>
      <c r="M9244" s="19"/>
      <c r="N9244" s="19"/>
      <c r="O9244" s="14" t="str">
        <f>HYPERLINK("https://otsuka-europe-crm.veevavault.com/ui/#object/email_activity__v/V8C00000004H062", "EN-002111048")</f>
        <v>EN-002111048</v>
      </c>
    </row>
    <row r="9245" spans="1:15" ht="16" x14ac:dyDescent="0.2">
      <c r="A9245" s="18" t="str">
        <f>HYPERLINK("https://otsuka-europe-crm.veevavault.com/ui/#object/account__v/V4TZ06G6O71TBYA", "MANUEL JESUS RODRIGUEZ DE LA TORRE")</f>
        <v>MANUEL JESUS RODRIGUEZ DE LA TORRE</v>
      </c>
      <c r="B9245" s="18" t="str">
        <f>HYPERLINK("https://otsuka-europe-crm.veevavault.com/ui/#object/vcountry__v/VENZ000004SONF5", "ES")</f>
        <v>ES</v>
      </c>
      <c r="C9245" s="20" t="s">
        <v>39</v>
      </c>
      <c r="D9245" s="21" t="str">
        <f>HYPERLINK("https://otsuka-europe-crm.veevavault.com/ui/#object/approved_document__v/V5O00000000L011", "Libro IA en psiquiatría")</f>
        <v>Libro IA en psiquiatría</v>
      </c>
      <c r="E9245" s="22" t="str">
        <f>HYPERLINK("https://otsuka-europe-crm.veevavault.com/ui/#object/sent_email__v/VBL00000003H438", "SE-001448882")</f>
        <v>SE-001448882</v>
      </c>
      <c r="F9245" s="25">
        <v>46234.549398148149</v>
      </c>
      <c r="G9245" s="24">
        <v>1</v>
      </c>
      <c r="H9245" s="24">
        <v>5</v>
      </c>
      <c r="I9245" s="24">
        <v>0</v>
      </c>
      <c r="J9245" s="23"/>
      <c r="K9245" s="24">
        <v>0</v>
      </c>
      <c r="L9245" s="22" t="str">
        <f>HYPERLINK("https://otsuka-europe-crm.veevavault.com/ui/#object/approved_document__v/V5O00000000L011", "Libro IA en psiquiatría")</f>
        <v>Libro IA en psiquiatría</v>
      </c>
      <c r="M9245" s="22" t="str">
        <f>HYPERLINK("mailto:jdiaz@crm.otsuka-europe.com", "jdiaz@crm.otsuka-europe.com")</f>
        <v>jdiaz@crm.otsuka-europe.com</v>
      </c>
      <c r="N9245" s="25">
        <v>46234.481979166667</v>
      </c>
      <c r="O9245" s="14" t="str">
        <f>HYPERLINK("https://otsuka-europe-crm.veevavault.com/ui/#object/email_activity__v/V8C00000004F313", "EN-002110569")</f>
        <v>EN-002110569</v>
      </c>
    </row>
    <row r="9246" spans="1:15" ht="16" x14ac:dyDescent="0.2">
      <c r="A9246" s="26"/>
      <c r="B9246" s="26"/>
      <c r="C9246" s="26"/>
      <c r="D9246" s="26"/>
      <c r="E9246" s="26"/>
      <c r="F9246" s="26"/>
      <c r="G9246" s="26"/>
      <c r="H9246" s="26"/>
      <c r="I9246" s="26"/>
      <c r="J9246" s="26"/>
      <c r="K9246" s="26"/>
      <c r="L9246" s="26"/>
      <c r="M9246" s="26"/>
      <c r="N9246" s="26"/>
      <c r="O9246" s="14" t="str">
        <f>HYPERLINK("https://otsuka-europe-crm.veevavault.com/ui/#object/email_activity__v/V8C00000004F390", "EN-002110748")</f>
        <v>EN-002110748</v>
      </c>
    </row>
    <row r="9247" spans="1:15" ht="16" x14ac:dyDescent="0.2">
      <c r="A9247" s="26"/>
      <c r="B9247" s="26"/>
      <c r="C9247" s="26"/>
      <c r="D9247" s="26"/>
      <c r="E9247" s="26"/>
      <c r="F9247" s="26"/>
      <c r="G9247" s="26"/>
      <c r="H9247" s="26"/>
      <c r="I9247" s="26"/>
      <c r="J9247" s="26"/>
      <c r="K9247" s="26"/>
      <c r="L9247" s="26"/>
      <c r="M9247" s="26"/>
      <c r="N9247" s="26"/>
      <c r="O9247" s="14" t="str">
        <f>HYPERLINK("https://otsuka-europe-crm.veevavault.com/ui/#object/email_activity__v/V8C00000004F391", "EN-002110749")</f>
        <v>EN-002110749</v>
      </c>
    </row>
    <row r="9248" spans="1:15" ht="16" x14ac:dyDescent="0.2">
      <c r="A9248" s="26"/>
      <c r="B9248" s="26"/>
      <c r="C9248" s="26"/>
      <c r="D9248" s="26"/>
      <c r="E9248" s="26"/>
      <c r="F9248" s="26"/>
      <c r="G9248" s="26"/>
      <c r="H9248" s="26"/>
      <c r="I9248" s="26"/>
      <c r="J9248" s="26"/>
      <c r="K9248" s="26"/>
      <c r="L9248" s="26"/>
      <c r="M9248" s="26"/>
      <c r="N9248" s="26"/>
      <c r="O9248" s="14" t="str">
        <f>HYPERLINK("https://otsuka-europe-crm.veevavault.com/ui/#object/email_activity__v/V8C00000004F393", "EN-002110755")</f>
        <v>EN-002110755</v>
      </c>
    </row>
    <row r="9249" spans="1:15" ht="16" x14ac:dyDescent="0.2">
      <c r="A9249" s="26"/>
      <c r="B9249" s="26"/>
      <c r="C9249" s="26"/>
      <c r="D9249" s="26"/>
      <c r="E9249" s="26"/>
      <c r="F9249" s="26"/>
      <c r="G9249" s="26"/>
      <c r="H9249" s="26"/>
      <c r="I9249" s="26"/>
      <c r="J9249" s="26"/>
      <c r="K9249" s="26"/>
      <c r="L9249" s="26"/>
      <c r="M9249" s="26"/>
      <c r="N9249" s="26"/>
      <c r="O9249" s="14" t="str">
        <f>HYPERLINK("https://otsuka-europe-crm.veevavault.com/ui/#object/email_activity__v/V8C00000004G576", "EN-002110751")</f>
        <v>EN-002110751</v>
      </c>
    </row>
    <row r="9250" spans="1:15" ht="16" x14ac:dyDescent="0.2">
      <c r="A9250" s="19"/>
      <c r="B9250" s="19"/>
      <c r="C9250" s="19"/>
      <c r="D9250" s="19"/>
      <c r="E9250" s="19"/>
      <c r="F9250" s="19"/>
      <c r="G9250" s="19"/>
      <c r="H9250" s="19"/>
      <c r="I9250" s="19"/>
      <c r="J9250" s="19"/>
      <c r="K9250" s="19"/>
      <c r="L9250" s="19"/>
      <c r="M9250" s="19"/>
      <c r="N9250" s="19"/>
      <c r="O9250" s="14" t="str">
        <f>HYPERLINK("https://otsuka-europe-crm.veevavault.com/ui/#object/email_activity__v/V8C00000004G577", "EN-002110753")</f>
        <v>EN-002110753</v>
      </c>
    </row>
    <row r="9251" spans="1:15" ht="32" x14ac:dyDescent="0.2">
      <c r="A9251" s="7" t="str">
        <f>HYPERLINK("https://otsuka-europe-crm.veevavault.com/ui/#object/account__v/V4TZ06G6O71TACN", "TERESA JIMENO BELTRAN")</f>
        <v>TERESA JIMENO BELTRAN</v>
      </c>
      <c r="B9251" s="7" t="str">
        <f>HYPERLINK("https://otsuka-europe-crm.veevavault.com/ui/#object/vcountry__v/VENZ000004SONF5", "ES")</f>
        <v>ES</v>
      </c>
      <c r="C9251" s="8" t="s">
        <v>39</v>
      </c>
      <c r="D9251" s="9" t="str">
        <f>HYPERLINK("https://otsuka-europe-crm.veevavault.com/ui/#object/approved_document__v/V5O00000000L011", "Libro IA en psiquiatría")</f>
        <v>Libro IA en psiquiatría</v>
      </c>
      <c r="E9251" s="10" t="str">
        <f>HYPERLINK("https://otsuka-europe-crm.veevavault.com/ui/#object/sent_email__v/VBL00000003H439", "SE-001448883")</f>
        <v>SE-001448883</v>
      </c>
      <c r="F9251" s="11"/>
      <c r="G9251" s="12">
        <v>0</v>
      </c>
      <c r="H9251" s="12">
        <v>0</v>
      </c>
      <c r="I9251" s="12">
        <v>0</v>
      </c>
      <c r="J9251" s="11"/>
      <c r="K9251" s="12">
        <v>0</v>
      </c>
      <c r="L9251" s="10" t="str">
        <f>HYPERLINK("https://otsuka-europe-crm.veevavault.com/ui/#object/approved_document__v/V5O00000000L011", "Libro IA en psiquiatría")</f>
        <v>Libro IA en psiquiatría</v>
      </c>
      <c r="M9251" s="10" t="str">
        <f>HYPERLINK("mailto:jdiaz@crm.otsuka-europe.com", "jdiaz@crm.otsuka-europe.com")</f>
        <v>jdiaz@crm.otsuka-europe.com</v>
      </c>
      <c r="N9251" s="13">
        <v>46234.481979166667</v>
      </c>
      <c r="O9251" s="14" t="str">
        <f>HYPERLINK("https://otsuka-europe-crm.veevavault.com/ui/#object/email_activity__v/V8C00000004F322", "EN-002110588")</f>
        <v>EN-002110588</v>
      </c>
    </row>
    <row r="9252" spans="1:15" ht="16" x14ac:dyDescent="0.2">
      <c r="A9252" s="18" t="str">
        <f>HYPERLINK("https://otsuka-europe-crm.veevavault.com/ui/#object/account__v/V4TZ06G6O71T73P", "RAINER OBERGUGGENBERGER")</f>
        <v>RAINER OBERGUGGENBERGER</v>
      </c>
      <c r="B9252" s="18" t="str">
        <f>HYPERLINK("https://otsuka-europe-crm.veevavault.com/ui/#object/vcountry__v/VENZ000004SONF5", "ES")</f>
        <v>ES</v>
      </c>
      <c r="C9252" s="20" t="s">
        <v>39</v>
      </c>
      <c r="D9252" s="21" t="str">
        <f>HYPERLINK("https://otsuka-europe-crm.veevavault.com/ui/#object/approved_document__v/V5O00000000L011", "Libro IA en psiquiatría")</f>
        <v>Libro IA en psiquiatría</v>
      </c>
      <c r="E9252" s="22" t="str">
        <f>HYPERLINK("https://otsuka-europe-crm.veevavault.com/ui/#object/sent_email__v/VBL00000003H440", "SE-001448884")</f>
        <v>SE-001448884</v>
      </c>
      <c r="F9252" s="23"/>
      <c r="G9252" s="24">
        <v>0</v>
      </c>
      <c r="H9252" s="24">
        <v>0</v>
      </c>
      <c r="I9252" s="24">
        <v>0</v>
      </c>
      <c r="J9252" s="23"/>
      <c r="K9252" s="24">
        <v>0</v>
      </c>
      <c r="L9252" s="22" t="str">
        <f>HYPERLINK("https://otsuka-europe-crm.veevavault.com/ui/#object/approved_document__v/V5O00000000L011", "Libro IA en psiquiatría")</f>
        <v>Libro IA en psiquiatría</v>
      </c>
      <c r="M9252" s="22" t="str">
        <f>HYPERLINK("mailto:jdiaz@crm.otsuka-europe.com", "jdiaz@crm.otsuka-europe.com")</f>
        <v>jdiaz@crm.otsuka-europe.com</v>
      </c>
      <c r="N9252" s="25">
        <v>46234.481944444444</v>
      </c>
      <c r="O9252" s="14" t="str">
        <f>HYPERLINK("https://otsuka-europe-crm.veevavault.com/ui/#object/email_activity__v/V8C00000004F406", "EN-002110788")</f>
        <v>EN-002110788</v>
      </c>
    </row>
    <row r="9253" spans="1:15" ht="16" x14ac:dyDescent="0.2">
      <c r="A9253" s="19"/>
      <c r="B9253" s="19"/>
      <c r="C9253" s="19"/>
      <c r="D9253" s="19"/>
      <c r="E9253" s="19"/>
      <c r="F9253" s="19"/>
      <c r="G9253" s="19"/>
      <c r="H9253" s="19"/>
      <c r="I9253" s="19"/>
      <c r="J9253" s="19"/>
      <c r="K9253" s="19"/>
      <c r="L9253" s="19"/>
      <c r="M9253" s="19"/>
      <c r="N9253" s="19"/>
      <c r="O9253" s="14" t="str">
        <f>HYPERLINK("https://otsuka-europe-crm.veevavault.com/ui/#object/email_activity__v/V8C00000004G472", "EN-002110572")</f>
        <v>EN-002110572</v>
      </c>
    </row>
    <row r="9254" spans="1:15" ht="16" x14ac:dyDescent="0.2">
      <c r="A9254" s="18" t="str">
        <f>HYPERLINK("https://otsuka-europe-crm.veevavault.com/ui/#object/account__v/V4TZ06G6O71T7TB", "SILVIA PARRA BRU")</f>
        <v>SILVIA PARRA BRU</v>
      </c>
      <c r="B9254" s="18" t="str">
        <f>HYPERLINK("https://otsuka-europe-crm.veevavault.com/ui/#object/vcountry__v/VENZ000004SONF5", "ES")</f>
        <v>ES</v>
      </c>
      <c r="C9254" s="20" t="s">
        <v>39</v>
      </c>
      <c r="D9254" s="21" t="str">
        <f>HYPERLINK("https://otsuka-europe-crm.veevavault.com/ui/#object/approved_document__v/V5O00000000L011", "Libro IA en psiquiatría")</f>
        <v>Libro IA en psiquiatría</v>
      </c>
      <c r="E9254" s="22" t="str">
        <f>HYPERLINK("https://otsuka-europe-crm.veevavault.com/ui/#object/sent_email__v/VBL00000003H441", "SE-001448885")</f>
        <v>SE-001448885</v>
      </c>
      <c r="F9254" s="25">
        <v>46234.487835648149</v>
      </c>
      <c r="G9254" s="24">
        <v>1</v>
      </c>
      <c r="H9254" s="24">
        <v>1</v>
      </c>
      <c r="I9254" s="24">
        <v>1</v>
      </c>
      <c r="J9254" s="25">
        <v>46234.487916666665</v>
      </c>
      <c r="K9254" s="24">
        <v>1</v>
      </c>
      <c r="L9254" s="22" t="str">
        <f>HYPERLINK("https://otsuka-europe-crm.veevavault.com/ui/#object/approved_document__v/V5O00000000L011", "Libro IA en psiquiatría")</f>
        <v>Libro IA en psiquiatría</v>
      </c>
      <c r="M9254" s="22" t="str">
        <f>HYPERLINK("mailto:jdiaz@crm.otsuka-europe.com", "jdiaz@crm.otsuka-europe.com")</f>
        <v>jdiaz@crm.otsuka-europe.com</v>
      </c>
      <c r="N9254" s="25">
        <v>46234.481932870367</v>
      </c>
      <c r="O9254" s="14" t="str">
        <f>HYPERLINK("https://otsuka-europe-crm.veevavault.com/ui/#object/email_activity__v/V8C00000004F316", "EN-002110574")</f>
        <v>EN-002110574</v>
      </c>
    </row>
    <row r="9255" spans="1:15" ht="16" x14ac:dyDescent="0.2">
      <c r="A9255" s="26"/>
      <c r="B9255" s="26"/>
      <c r="C9255" s="26"/>
      <c r="D9255" s="26"/>
      <c r="E9255" s="26"/>
      <c r="F9255" s="26"/>
      <c r="G9255" s="26"/>
      <c r="H9255" s="26"/>
      <c r="I9255" s="26"/>
      <c r="J9255" s="26"/>
      <c r="K9255" s="26"/>
      <c r="L9255" s="26"/>
      <c r="M9255" s="26"/>
      <c r="N9255" s="26"/>
      <c r="O9255" s="14" t="str">
        <f>HYPERLINK("https://otsuka-europe-crm.veevavault.com/ui/#object/email_activity__v/V8C00000004G523", "EN-002110665")</f>
        <v>EN-002110665</v>
      </c>
    </row>
    <row r="9256" spans="1:15" ht="16" x14ac:dyDescent="0.2">
      <c r="A9256" s="19"/>
      <c r="B9256" s="19"/>
      <c r="C9256" s="19"/>
      <c r="D9256" s="19"/>
      <c r="E9256" s="19"/>
      <c r="F9256" s="19"/>
      <c r="G9256" s="19"/>
      <c r="H9256" s="19"/>
      <c r="I9256" s="19"/>
      <c r="J9256" s="19"/>
      <c r="K9256" s="19"/>
      <c r="L9256" s="19"/>
      <c r="M9256" s="19"/>
      <c r="N9256" s="19"/>
      <c r="O9256" s="14" t="str">
        <f>HYPERLINK("https://otsuka-europe-crm.veevavault.com/ui/#object/email_activity__v/V8C00000004G524", "EN-002110666")</f>
        <v>EN-002110666</v>
      </c>
    </row>
    <row r="9257" spans="1:15" ht="16" x14ac:dyDescent="0.2">
      <c r="A9257" s="18" t="str">
        <f>HYPERLINK("https://otsuka-europe-crm.veevavault.com/ui/#object/account__v/V4TZ04ASGBCLFPA", "MARIA ANTONIA MARTI FEMENIAS")</f>
        <v>MARIA ANTONIA MARTI FEMENIAS</v>
      </c>
      <c r="B9257" s="18" t="str">
        <f>HYPERLINK("https://otsuka-europe-crm.veevavault.com/ui/#object/vcountry__v/VENZ000004SONF5", "ES")</f>
        <v>ES</v>
      </c>
      <c r="C9257" s="20" t="s">
        <v>39</v>
      </c>
      <c r="D9257" s="21" t="str">
        <f>HYPERLINK("https://otsuka-europe-crm.veevavault.com/ui/#object/approved_document__v/V5O00000000L011", "Libro IA en psiquiatría")</f>
        <v>Libro IA en psiquiatría</v>
      </c>
      <c r="E9257" s="22" t="str">
        <f>HYPERLINK("https://otsuka-europe-crm.veevavault.com/ui/#object/sent_email__v/VBL00000003H442", "SE-001448886")</f>
        <v>SE-001448886</v>
      </c>
      <c r="F9257" s="23"/>
      <c r="G9257" s="24">
        <v>0</v>
      </c>
      <c r="H9257" s="24">
        <v>0</v>
      </c>
      <c r="I9257" s="24">
        <v>0</v>
      </c>
      <c r="J9257" s="23"/>
      <c r="K9257" s="24">
        <v>0</v>
      </c>
      <c r="L9257" s="22" t="str">
        <f>HYPERLINK("https://otsuka-europe-crm.veevavault.com/ui/#object/approved_document__v/V5O00000000L011", "Libro IA en psiquiatría")</f>
        <v>Libro IA en psiquiatría</v>
      </c>
      <c r="M9257" s="22" t="str">
        <f>HYPERLINK("mailto:jdiaz@crm.otsuka-europe.com", "jdiaz@crm.otsuka-europe.com")</f>
        <v>jdiaz@crm.otsuka-europe.com</v>
      </c>
      <c r="N9257" s="25">
        <v>46234.481921296298</v>
      </c>
      <c r="O9257" s="14" t="str">
        <f>HYPERLINK("https://otsuka-europe-crm.veevavault.com/ui/#object/email_activity__v/V8C00000004F320", "EN-002110586")</f>
        <v>EN-002110586</v>
      </c>
    </row>
    <row r="9258" spans="1:15" ht="16" x14ac:dyDescent="0.2">
      <c r="A9258" s="19"/>
      <c r="B9258" s="19"/>
      <c r="C9258" s="19"/>
      <c r="D9258" s="19"/>
      <c r="E9258" s="19"/>
      <c r="F9258" s="19"/>
      <c r="G9258" s="19"/>
      <c r="H9258" s="19"/>
      <c r="I9258" s="19"/>
      <c r="J9258" s="19"/>
      <c r="K9258" s="19"/>
      <c r="L9258" s="19"/>
      <c r="M9258" s="19"/>
      <c r="N9258" s="19"/>
      <c r="O9258" s="14" t="str">
        <f>HYPERLINK("https://otsuka-europe-crm.veevavault.com/ui/#object/email_activity__v/V8C00000004G493", "EN-002110622")</f>
        <v>EN-002110622</v>
      </c>
    </row>
    <row r="9259" spans="1:15" ht="32" x14ac:dyDescent="0.2">
      <c r="A9259" s="7" t="str">
        <f>HYPERLINK("https://otsuka-europe-crm.veevavault.com/ui/#object/account__v/V4TZ06G6O8RZYPQ", "JASNA RAVENTOS SIMIC")</f>
        <v>JASNA RAVENTOS SIMIC</v>
      </c>
      <c r="B9259" s="7" t="str">
        <f>HYPERLINK("https://otsuka-europe-crm.veevavault.com/ui/#object/vcountry__v/VENZ000004SONF5", "ES")</f>
        <v>ES</v>
      </c>
      <c r="C9259" s="8" t="s">
        <v>39</v>
      </c>
      <c r="D9259" s="9" t="str">
        <f>HYPERLINK("https://otsuka-europe-crm.veevavault.com/ui/#object/approved_document__v/V5O00000000L011", "Libro IA en psiquiatría")</f>
        <v>Libro IA en psiquiatría</v>
      </c>
      <c r="E9259" s="10" t="str">
        <f>HYPERLINK("https://otsuka-europe-crm.veevavault.com/ui/#object/sent_email__v/VBL00000003H443", "SE-001448887")</f>
        <v>SE-001448887</v>
      </c>
      <c r="F9259" s="11"/>
      <c r="G9259" s="12">
        <v>0</v>
      </c>
      <c r="H9259" s="12">
        <v>0</v>
      </c>
      <c r="I9259" s="12">
        <v>0</v>
      </c>
      <c r="J9259" s="11"/>
      <c r="K9259" s="12">
        <v>0</v>
      </c>
      <c r="L9259" s="10" t="str">
        <f>HYPERLINK("https://otsuka-europe-crm.veevavault.com/ui/#object/approved_document__v/V5O00000000L011", "Libro IA en psiquiatría")</f>
        <v>Libro IA en psiquiatría</v>
      </c>
      <c r="M9259" s="10" t="str">
        <f>HYPERLINK("mailto:jdiaz@crm.otsuka-europe.com", "jdiaz@crm.otsuka-europe.com")</f>
        <v>jdiaz@crm.otsuka-europe.com</v>
      </c>
      <c r="N9259" s="13">
        <v>46234.481979166667</v>
      </c>
      <c r="O9259" s="14" t="str">
        <f>HYPERLINK("https://otsuka-europe-crm.veevavault.com/ui/#object/email_activity__v/V8C00000004F329", "EN-002110599")</f>
        <v>EN-002110599</v>
      </c>
    </row>
    <row r="9260" spans="1:15" ht="16" x14ac:dyDescent="0.2">
      <c r="A9260" s="18" t="str">
        <f>HYPERLINK("https://otsuka-europe-crm.veevavault.com/ui/#object/account__v/V4TZ025E85G29KL", "AINA IGLESIAS HUGUET")</f>
        <v>AINA IGLESIAS HUGUET</v>
      </c>
      <c r="B9260" s="18" t="str">
        <f>HYPERLINK("https://otsuka-europe-crm.veevavault.com/ui/#object/vcountry__v/VENZ000004SONF5", "ES")</f>
        <v>ES</v>
      </c>
      <c r="C9260" s="20" t="s">
        <v>39</v>
      </c>
      <c r="D9260" s="21" t="str">
        <f>HYPERLINK("https://otsuka-europe-crm.veevavault.com/ui/#object/approved_document__v/V5O00000000L011", "Libro IA en psiquiatría")</f>
        <v>Libro IA en psiquiatría</v>
      </c>
      <c r="E9260" s="22" t="str">
        <f>HYPERLINK("https://otsuka-europe-crm.veevavault.com/ui/#object/sent_email__v/VBL00000003H444", "SE-001448888")</f>
        <v>SE-001448888</v>
      </c>
      <c r="F9260" s="25">
        <v>46236.727164351854</v>
      </c>
      <c r="G9260" s="24">
        <v>1</v>
      </c>
      <c r="H9260" s="24">
        <v>2</v>
      </c>
      <c r="I9260" s="24">
        <v>0</v>
      </c>
      <c r="J9260" s="23"/>
      <c r="K9260" s="24">
        <v>0</v>
      </c>
      <c r="L9260" s="22" t="str">
        <f>HYPERLINK("https://otsuka-europe-crm.veevavault.com/ui/#object/approved_document__v/V5O00000000L011", "Libro IA en psiquiatría")</f>
        <v>Libro IA en psiquiatría</v>
      </c>
      <c r="M9260" s="22" t="str">
        <f>HYPERLINK("mailto:jdiaz@crm.otsuka-europe.com", "jdiaz@crm.otsuka-europe.com")</f>
        <v>jdiaz@crm.otsuka-europe.com</v>
      </c>
      <c r="N9260" s="25">
        <v>46234.481979166667</v>
      </c>
      <c r="O9260" s="14" t="str">
        <f>HYPERLINK("https://otsuka-europe-crm.veevavault.com/ui/#object/email_activity__v/V8C00000004G480", "EN-002110585")</f>
        <v>EN-002110585</v>
      </c>
    </row>
    <row r="9261" spans="1:15" ht="16" x14ac:dyDescent="0.2">
      <c r="A9261" s="26"/>
      <c r="B9261" s="26"/>
      <c r="C9261" s="26"/>
      <c r="D9261" s="26"/>
      <c r="E9261" s="26"/>
      <c r="F9261" s="26"/>
      <c r="G9261" s="26"/>
      <c r="H9261" s="26"/>
      <c r="I9261" s="26"/>
      <c r="J9261" s="26"/>
      <c r="K9261" s="26"/>
      <c r="L9261" s="26"/>
      <c r="M9261" s="26"/>
      <c r="N9261" s="26"/>
      <c r="O9261" s="14" t="str">
        <f>HYPERLINK("https://otsuka-europe-crm.veevavault.com/ui/#object/email_activity__v/V8C00000004I074", "EN-002111130")</f>
        <v>EN-002111130</v>
      </c>
    </row>
    <row r="9262" spans="1:15" ht="16" x14ac:dyDescent="0.2">
      <c r="A9262" s="19"/>
      <c r="B9262" s="19"/>
      <c r="C9262" s="19"/>
      <c r="D9262" s="19"/>
      <c r="E9262" s="19"/>
      <c r="F9262" s="19"/>
      <c r="G9262" s="19"/>
      <c r="H9262" s="19"/>
      <c r="I9262" s="19"/>
      <c r="J9262" s="19"/>
      <c r="K9262" s="19"/>
      <c r="L9262" s="19"/>
      <c r="M9262" s="19"/>
      <c r="N9262" s="19"/>
      <c r="O9262" s="14" t="str">
        <f>HYPERLINK("https://otsuka-europe-crm.veevavault.com/ui/#object/email_activity__v/V8C00000004I075", "EN-002111131")</f>
        <v>EN-002111131</v>
      </c>
    </row>
    <row r="9263" spans="1:15" ht="32" x14ac:dyDescent="0.2">
      <c r="A9263" s="7" t="str">
        <f>HYPERLINK("https://otsuka-europe-crm.veevavault.com/ui/#object/account__v/V4TZ06G6O71TC35", "JOSE RAMON RIO PALMERO")</f>
        <v>JOSE RAMON RIO PALMERO</v>
      </c>
      <c r="B9263" s="7" t="str">
        <f>HYPERLINK("https://otsuka-europe-crm.veevavault.com/ui/#object/vcountry__v/VENZ000004SONF5", "ES")</f>
        <v>ES</v>
      </c>
      <c r="C9263" s="8" t="s">
        <v>39</v>
      </c>
      <c r="D9263" s="9" t="str">
        <f>HYPERLINK("https://otsuka-europe-crm.veevavault.com/ui/#object/approved_document__v/V5O00000000L011", "Libro IA en psiquiatría")</f>
        <v>Libro IA en psiquiatría</v>
      </c>
      <c r="E9263" s="10" t="str">
        <f>HYPERLINK("https://otsuka-europe-crm.veevavault.com/ui/#object/sent_email__v/VBL00000003H445", "SE-001448889")</f>
        <v>SE-001448889</v>
      </c>
      <c r="F9263" s="11"/>
      <c r="G9263" s="12">
        <v>0</v>
      </c>
      <c r="H9263" s="12">
        <v>0</v>
      </c>
      <c r="I9263" s="12">
        <v>0</v>
      </c>
      <c r="J9263" s="11"/>
      <c r="K9263" s="12">
        <v>0</v>
      </c>
      <c r="L9263" s="10" t="str">
        <f>HYPERLINK("https://otsuka-europe-crm.veevavault.com/ui/#object/approved_document__v/V5O00000000L011", "Libro IA en psiquiatría")</f>
        <v>Libro IA en psiquiatría</v>
      </c>
      <c r="M9263" s="10" t="str">
        <f>HYPERLINK("mailto:jdiaz@crm.otsuka-europe.com", "jdiaz@crm.otsuka-europe.com")</f>
        <v>jdiaz@crm.otsuka-europe.com</v>
      </c>
      <c r="N9263" s="13">
        <v>46234.481874999998</v>
      </c>
      <c r="O9263" s="14" t="str">
        <f>HYPERLINK("https://otsuka-europe-crm.veevavault.com/ui/#object/email_activity__v/V8C00000004F306", "EN-002110562")</f>
        <v>EN-002110562</v>
      </c>
    </row>
    <row r="9264" spans="1:15" ht="32" x14ac:dyDescent="0.2">
      <c r="A9264" s="7" t="str">
        <f>HYPERLINK("https://otsuka-europe-crm.veevavault.com/ui/#object/account__v/V4TZ04ASG7NKRZM", "GUILLERMO MOMPARLER LAZARO")</f>
        <v>GUILLERMO MOMPARLER LAZARO</v>
      </c>
      <c r="B9264" s="7" t="str">
        <f>HYPERLINK("https://otsuka-europe-crm.veevavault.com/ui/#object/vcountry__v/VENZ000004SONF5", "ES")</f>
        <v>ES</v>
      </c>
      <c r="C9264" s="8" t="s">
        <v>39</v>
      </c>
      <c r="D9264" s="9" t="str">
        <f>HYPERLINK("https://otsuka-europe-crm.veevavault.com/ui/#object/approved_document__v/V5O00000000L011", "Libro IA en psiquiatría")</f>
        <v>Libro IA en psiquiatría</v>
      </c>
      <c r="E9264" s="10" t="str">
        <f>HYPERLINK("https://otsuka-europe-crm.veevavault.com/ui/#object/sent_email__v/VBL00000003H446", "SE-001448890")</f>
        <v>SE-001448890</v>
      </c>
      <c r="F9264" s="11"/>
      <c r="G9264" s="12">
        <v>0</v>
      </c>
      <c r="H9264" s="12">
        <v>0</v>
      </c>
      <c r="I9264" s="12">
        <v>0</v>
      </c>
      <c r="J9264" s="11"/>
      <c r="K9264" s="12">
        <v>0</v>
      </c>
      <c r="L9264" s="10" t="str">
        <f>HYPERLINK("https://otsuka-europe-crm.veevavault.com/ui/#object/approved_document__v/V5O00000000L011", "Libro IA en psiquiatría")</f>
        <v>Libro IA en psiquiatría</v>
      </c>
      <c r="M9264" s="10" t="str">
        <f>HYPERLINK("mailto:jdiaz@crm.otsuka-europe.com", "jdiaz@crm.otsuka-europe.com")</f>
        <v>jdiaz@crm.otsuka-europe.com</v>
      </c>
      <c r="N9264" s="13">
        <v>46234.481874999998</v>
      </c>
      <c r="O9264" s="14" t="str">
        <f>HYPERLINK("https://otsuka-europe-crm.veevavault.com/ui/#object/email_activity__v/V8C00000004G474", "EN-002110579")</f>
        <v>EN-002110579</v>
      </c>
    </row>
    <row r="9265" spans="1:15" ht="16" x14ac:dyDescent="0.2">
      <c r="A9265" s="18" t="str">
        <f>HYPERLINK("https://otsuka-europe-crm.veevavault.com/ui/#object/account__v/V4TZ06G6O71TAOD", "SATURIO LEAL SANCHEZ")</f>
        <v>SATURIO LEAL SANCHEZ</v>
      </c>
      <c r="B9265" s="18" t="str">
        <f>HYPERLINK("https://otsuka-europe-crm.veevavault.com/ui/#object/vcountry__v/VENZ000004SONF5", "ES")</f>
        <v>ES</v>
      </c>
      <c r="C9265" s="20" t="s">
        <v>39</v>
      </c>
      <c r="D9265" s="21" t="str">
        <f>HYPERLINK("https://otsuka-europe-crm.veevavault.com/ui/#object/approved_document__v/V5O00000000L011", "Libro IA en psiquiatría")</f>
        <v>Libro IA en psiquiatría</v>
      </c>
      <c r="E9265" s="22" t="str">
        <f>HYPERLINK("https://otsuka-europe-crm.veevavault.com/ui/#object/sent_email__v/VBL00000003H447", "SE-001448891")</f>
        <v>SE-001448891</v>
      </c>
      <c r="F9265" s="25">
        <v>46236.507870370369</v>
      </c>
      <c r="G9265" s="24">
        <v>1</v>
      </c>
      <c r="H9265" s="24">
        <v>6</v>
      </c>
      <c r="I9265" s="24">
        <v>1</v>
      </c>
      <c r="J9265" s="25">
        <v>46234.49622685185</v>
      </c>
      <c r="K9265" s="24">
        <v>2</v>
      </c>
      <c r="L9265" s="22" t="str">
        <f>HYPERLINK("https://otsuka-europe-crm.veevavault.com/ui/#object/approved_document__v/V5O00000000L011", "Libro IA en psiquiatría")</f>
        <v>Libro IA en psiquiatría</v>
      </c>
      <c r="M9265" s="22" t="str">
        <f>HYPERLINK("mailto:jdiaz@crm.otsuka-europe.com", "jdiaz@crm.otsuka-europe.com")</f>
        <v>jdiaz@crm.otsuka-europe.com</v>
      </c>
      <c r="N9265" s="25">
        <v>46234.481874999998</v>
      </c>
      <c r="O9265" s="14" t="str">
        <f>HYPERLINK("https://otsuka-europe-crm.veevavault.com/ui/#object/email_activity__v/V8C00000004F305", "EN-002110561")</f>
        <v>EN-002110561</v>
      </c>
    </row>
    <row r="9266" spans="1:15" ht="16" x14ac:dyDescent="0.2">
      <c r="A9266" s="26"/>
      <c r="B9266" s="26"/>
      <c r="C9266" s="26"/>
      <c r="D9266" s="26"/>
      <c r="E9266" s="26"/>
      <c r="F9266" s="26"/>
      <c r="G9266" s="26"/>
      <c r="H9266" s="26"/>
      <c r="I9266" s="26"/>
      <c r="J9266" s="26"/>
      <c r="K9266" s="26"/>
      <c r="L9266" s="26"/>
      <c r="M9266" s="26"/>
      <c r="N9266" s="26"/>
      <c r="O9266" s="14" t="str">
        <f>HYPERLINK("https://otsuka-europe-crm.veevavault.com/ui/#object/email_activity__v/V8C00000004F364", "EN-002110681")</f>
        <v>EN-002110681</v>
      </c>
    </row>
    <row r="9267" spans="1:15" ht="16" x14ac:dyDescent="0.2">
      <c r="A9267" s="26"/>
      <c r="B9267" s="26"/>
      <c r="C9267" s="26"/>
      <c r="D9267" s="26"/>
      <c r="E9267" s="26"/>
      <c r="F9267" s="26"/>
      <c r="G9267" s="26"/>
      <c r="H9267" s="26"/>
      <c r="I9267" s="26"/>
      <c r="J9267" s="26"/>
      <c r="K9267" s="26"/>
      <c r="L9267" s="26"/>
      <c r="M9267" s="26"/>
      <c r="N9267" s="26"/>
      <c r="O9267" s="14" t="str">
        <f>HYPERLINK("https://otsuka-europe-crm.veevavault.com/ui/#object/email_activity__v/V8C00000004G511", "EN-002110653")</f>
        <v>EN-002110653</v>
      </c>
    </row>
    <row r="9268" spans="1:15" ht="16" x14ac:dyDescent="0.2">
      <c r="A9268" s="26"/>
      <c r="B9268" s="26"/>
      <c r="C9268" s="26"/>
      <c r="D9268" s="26"/>
      <c r="E9268" s="26"/>
      <c r="F9268" s="26"/>
      <c r="G9268" s="26"/>
      <c r="H9268" s="26"/>
      <c r="I9268" s="26"/>
      <c r="J9268" s="26"/>
      <c r="K9268" s="26"/>
      <c r="L9268" s="26"/>
      <c r="M9268" s="26"/>
      <c r="N9268" s="26"/>
      <c r="O9268" s="14" t="str">
        <f>HYPERLINK("https://otsuka-europe-crm.veevavault.com/ui/#object/email_activity__v/V8C00000004G532", "EN-002110683")</f>
        <v>EN-002110683</v>
      </c>
    </row>
    <row r="9269" spans="1:15" ht="16" x14ac:dyDescent="0.2">
      <c r="A9269" s="26"/>
      <c r="B9269" s="26"/>
      <c r="C9269" s="26"/>
      <c r="D9269" s="26"/>
      <c r="E9269" s="26"/>
      <c r="F9269" s="26"/>
      <c r="G9269" s="26"/>
      <c r="H9269" s="26"/>
      <c r="I9269" s="26"/>
      <c r="J9269" s="26"/>
      <c r="K9269" s="26"/>
      <c r="L9269" s="26"/>
      <c r="M9269" s="26"/>
      <c r="N9269" s="26"/>
      <c r="O9269" s="14" t="str">
        <f>HYPERLINK("https://otsuka-europe-crm.veevavault.com/ui/#object/email_activity__v/V8C00000004G533", "EN-002110684")</f>
        <v>EN-002110684</v>
      </c>
    </row>
    <row r="9270" spans="1:15" ht="16" x14ac:dyDescent="0.2">
      <c r="A9270" s="26"/>
      <c r="B9270" s="26"/>
      <c r="C9270" s="26"/>
      <c r="D9270" s="26"/>
      <c r="E9270" s="26"/>
      <c r="F9270" s="26"/>
      <c r="G9270" s="26"/>
      <c r="H9270" s="26"/>
      <c r="I9270" s="26"/>
      <c r="J9270" s="26"/>
      <c r="K9270" s="26"/>
      <c r="L9270" s="26"/>
      <c r="M9270" s="26"/>
      <c r="N9270" s="26"/>
      <c r="O9270" s="14" t="str">
        <f>HYPERLINK("https://otsuka-europe-crm.veevavault.com/ui/#object/email_activity__v/V8C00000004G534", "EN-002110685")</f>
        <v>EN-002110685</v>
      </c>
    </row>
    <row r="9271" spans="1:15" ht="16" x14ac:dyDescent="0.2">
      <c r="A9271" s="26"/>
      <c r="B9271" s="26"/>
      <c r="C9271" s="26"/>
      <c r="D9271" s="26"/>
      <c r="E9271" s="26"/>
      <c r="F9271" s="26"/>
      <c r="G9271" s="26"/>
      <c r="H9271" s="26"/>
      <c r="I9271" s="26"/>
      <c r="J9271" s="26"/>
      <c r="K9271" s="26"/>
      <c r="L9271" s="26"/>
      <c r="M9271" s="26"/>
      <c r="N9271" s="26"/>
      <c r="O9271" s="14" t="str">
        <f>HYPERLINK("https://otsuka-europe-crm.veevavault.com/ui/#object/email_activity__v/V8C00000004G535", "EN-002110686")</f>
        <v>EN-002110686</v>
      </c>
    </row>
    <row r="9272" spans="1:15" ht="16" x14ac:dyDescent="0.2">
      <c r="A9272" s="26"/>
      <c r="B9272" s="26"/>
      <c r="C9272" s="26"/>
      <c r="D9272" s="26"/>
      <c r="E9272" s="26"/>
      <c r="F9272" s="26"/>
      <c r="G9272" s="26"/>
      <c r="H9272" s="26"/>
      <c r="I9272" s="26"/>
      <c r="J9272" s="26"/>
      <c r="K9272" s="26"/>
      <c r="L9272" s="26"/>
      <c r="M9272" s="26"/>
      <c r="N9272" s="26"/>
      <c r="O9272" s="14" t="str">
        <f>HYPERLINK("https://otsuka-europe-crm.veevavault.com/ui/#object/email_activity__v/V8C00000004I066", "EN-002111115")</f>
        <v>EN-002111115</v>
      </c>
    </row>
    <row r="9273" spans="1:15" ht="16" x14ac:dyDescent="0.2">
      <c r="A9273" s="19"/>
      <c r="B9273" s="19"/>
      <c r="C9273" s="19"/>
      <c r="D9273" s="19"/>
      <c r="E9273" s="19"/>
      <c r="F9273" s="19"/>
      <c r="G9273" s="19"/>
      <c r="H9273" s="19"/>
      <c r="I9273" s="19"/>
      <c r="J9273" s="19"/>
      <c r="K9273" s="19"/>
      <c r="L9273" s="19"/>
      <c r="M9273" s="19"/>
      <c r="N9273" s="19"/>
      <c r="O9273" s="14" t="str">
        <f>HYPERLINK("https://otsuka-europe-crm.veevavault.com/ui/#object/email_activity__v/V8C00000004I068", "EN-002111117")</f>
        <v>EN-002111117</v>
      </c>
    </row>
    <row r="9274" spans="1:15" ht="16" x14ac:dyDescent="0.2">
      <c r="A9274" s="18" t="str">
        <f>HYPERLINK("https://otsuka-europe-crm.veevavault.com/ui/#object/account__v/V4TZ06G6O71TAXK", "CRISTINA MERINO DEL VILLAR")</f>
        <v>CRISTINA MERINO DEL VILLAR</v>
      </c>
      <c r="B9274" s="18" t="str">
        <f>HYPERLINK("https://otsuka-europe-crm.veevavault.com/ui/#object/vcountry__v/VENZ000004SONF5", "ES")</f>
        <v>ES</v>
      </c>
      <c r="C9274" s="20" t="s">
        <v>39</v>
      </c>
      <c r="D9274" s="21" t="str">
        <f>HYPERLINK("https://otsuka-europe-crm.veevavault.com/ui/#object/approved_document__v/V5O00000000L011", "Libro IA en psiquiatría")</f>
        <v>Libro IA en psiquiatría</v>
      </c>
      <c r="E9274" s="22" t="str">
        <f>HYPERLINK("https://otsuka-europe-crm.veevavault.com/ui/#object/sent_email__v/VBL00000003H448", "SE-001448892")</f>
        <v>SE-001448892</v>
      </c>
      <c r="F9274" s="25">
        <v>46235.424710648149</v>
      </c>
      <c r="G9274" s="24">
        <v>1</v>
      </c>
      <c r="H9274" s="24">
        <v>1</v>
      </c>
      <c r="I9274" s="24">
        <v>1</v>
      </c>
      <c r="J9274" s="25">
        <v>46235.42491898148</v>
      </c>
      <c r="K9274" s="24">
        <v>1</v>
      </c>
      <c r="L9274" s="22" t="str">
        <f>HYPERLINK("https://otsuka-europe-crm.veevavault.com/ui/#object/approved_document__v/V5O00000000L011", "Libro IA en psiquiatría")</f>
        <v>Libro IA en psiquiatría</v>
      </c>
      <c r="M9274" s="22" t="str">
        <f>HYPERLINK("mailto:jdiaz@crm.otsuka-europe.com", "jdiaz@crm.otsuka-europe.com")</f>
        <v>jdiaz@crm.otsuka-europe.com</v>
      </c>
      <c r="N9274" s="25">
        <v>46234.481921296298</v>
      </c>
      <c r="O9274" s="14" t="str">
        <f>HYPERLINK("https://otsuka-europe-crm.veevavault.com/ui/#object/email_activity__v/V8C00000004F307", "EN-002110563")</f>
        <v>EN-002110563</v>
      </c>
    </row>
    <row r="9275" spans="1:15" ht="16" x14ac:dyDescent="0.2">
      <c r="A9275" s="26"/>
      <c r="B9275" s="26"/>
      <c r="C9275" s="26"/>
      <c r="D9275" s="26"/>
      <c r="E9275" s="26"/>
      <c r="F9275" s="26"/>
      <c r="G9275" s="26"/>
      <c r="H9275" s="26"/>
      <c r="I9275" s="26"/>
      <c r="J9275" s="26"/>
      <c r="K9275" s="26"/>
      <c r="L9275" s="26"/>
      <c r="M9275" s="26"/>
      <c r="N9275" s="26"/>
      <c r="O9275" s="14" t="str">
        <f>HYPERLINK("https://otsuka-europe-crm.veevavault.com/ui/#object/email_activity__v/V8C00000004H052", "EN-002111012")</f>
        <v>EN-002111012</v>
      </c>
    </row>
    <row r="9276" spans="1:15" ht="16" x14ac:dyDescent="0.2">
      <c r="A9276" s="19"/>
      <c r="B9276" s="19"/>
      <c r="C9276" s="19"/>
      <c r="D9276" s="19"/>
      <c r="E9276" s="19"/>
      <c r="F9276" s="19"/>
      <c r="G9276" s="19"/>
      <c r="H9276" s="19"/>
      <c r="I9276" s="19"/>
      <c r="J9276" s="19"/>
      <c r="K9276" s="19"/>
      <c r="L9276" s="19"/>
      <c r="M9276" s="19"/>
      <c r="N9276" s="19"/>
      <c r="O9276" s="14" t="str">
        <f>HYPERLINK("https://otsuka-europe-crm.veevavault.com/ui/#object/email_activity__v/V8C00000004I011", "EN-002111013")</f>
        <v>EN-002111013</v>
      </c>
    </row>
    <row r="9277" spans="1:15" ht="16" x14ac:dyDescent="0.2">
      <c r="A9277" s="18" t="str">
        <f>HYPERLINK("https://otsuka-europe-crm.veevavault.com/ui/#object/account__v/V4TZ06G6O71TK0G", "JUAN IGLESIAS LOPEZ")</f>
        <v>JUAN IGLESIAS LOPEZ</v>
      </c>
      <c r="B9277" s="18" t="str">
        <f>HYPERLINK("https://otsuka-europe-crm.veevavault.com/ui/#object/vcountry__v/VENZ000004SONF5", "ES")</f>
        <v>ES</v>
      </c>
      <c r="C9277" s="20" t="s">
        <v>39</v>
      </c>
      <c r="D9277" s="21" t="str">
        <f>HYPERLINK("https://otsuka-europe-crm.veevavault.com/ui/#object/approved_document__v/V5O00000000L011", "Libro IA en psiquiatría")</f>
        <v>Libro IA en psiquiatría</v>
      </c>
      <c r="E9277" s="22" t="str">
        <f>HYPERLINK("https://otsuka-europe-crm.veevavault.com/ui/#object/sent_email__v/VBL00000003H449", "SE-001448893")</f>
        <v>SE-001448893</v>
      </c>
      <c r="F9277" s="25">
        <v>46234.493726851855</v>
      </c>
      <c r="G9277" s="24">
        <v>1</v>
      </c>
      <c r="H9277" s="24">
        <v>1</v>
      </c>
      <c r="I9277" s="24">
        <v>0</v>
      </c>
      <c r="J9277" s="23"/>
      <c r="K9277" s="24">
        <v>0</v>
      </c>
      <c r="L9277" s="22" t="str">
        <f>HYPERLINK("https://otsuka-europe-crm.veevavault.com/ui/#object/approved_document__v/V5O00000000L011", "Libro IA en psiquiatría")</f>
        <v>Libro IA en psiquiatría</v>
      </c>
      <c r="M9277" s="22" t="str">
        <f>HYPERLINK("mailto:jdiaz@crm.otsuka-europe.com", "jdiaz@crm.otsuka-europe.com")</f>
        <v>jdiaz@crm.otsuka-europe.com</v>
      </c>
      <c r="N9277" s="25">
        <v>46234.481932870367</v>
      </c>
      <c r="O9277" s="14" t="str">
        <f>HYPERLINK("https://otsuka-europe-crm.veevavault.com/ui/#object/email_activity__v/V8C00000004F363", "EN-002110676")</f>
        <v>EN-002110676</v>
      </c>
    </row>
    <row r="9278" spans="1:15" ht="16" x14ac:dyDescent="0.2">
      <c r="A9278" s="26"/>
      <c r="B9278" s="26"/>
      <c r="C9278" s="26"/>
      <c r="D9278" s="26"/>
      <c r="E9278" s="26"/>
      <c r="F9278" s="26"/>
      <c r="G9278" s="26"/>
      <c r="H9278" s="26"/>
      <c r="I9278" s="26"/>
      <c r="J9278" s="26"/>
      <c r="K9278" s="26"/>
      <c r="L9278" s="26"/>
      <c r="M9278" s="26"/>
      <c r="N9278" s="26"/>
      <c r="O9278" s="14" t="str">
        <f>HYPERLINK("https://otsuka-europe-crm.veevavault.com/ui/#object/email_activity__v/V8C00000004G471", "EN-002110571")</f>
        <v>EN-002110571</v>
      </c>
    </row>
    <row r="9279" spans="1:15" ht="16" x14ac:dyDescent="0.2">
      <c r="A9279" s="19"/>
      <c r="B9279" s="19"/>
      <c r="C9279" s="19"/>
      <c r="D9279" s="19"/>
      <c r="E9279" s="19"/>
      <c r="F9279" s="19"/>
      <c r="G9279" s="19"/>
      <c r="H9279" s="19"/>
      <c r="I9279" s="19"/>
      <c r="J9279" s="19"/>
      <c r="K9279" s="19"/>
      <c r="L9279" s="19"/>
      <c r="M9279" s="19"/>
      <c r="N9279" s="19"/>
      <c r="O9279" s="14" t="str">
        <f>HYPERLINK("https://otsuka-europe-crm.veevavault.com/ui/#object/email_activity__v/V8C00000004G662", "EN-002110940")</f>
        <v>EN-002110940</v>
      </c>
    </row>
    <row r="9280" spans="1:15" ht="32" x14ac:dyDescent="0.2">
      <c r="A9280" s="7" t="str">
        <f>HYPERLINK("https://otsuka-europe-crm.veevavault.com/ui/#object/account__v/V4TZ06G6O71TARE", "ANTONIO LIÑANA MARTORELL")</f>
        <v>ANTONIO LIÑANA MARTORELL</v>
      </c>
      <c r="B9280" s="7" t="str">
        <f>HYPERLINK("https://otsuka-europe-crm.veevavault.com/ui/#object/vcountry__v/VENZ000004SONF5", "ES")</f>
        <v>ES</v>
      </c>
      <c r="C9280" s="8" t="s">
        <v>39</v>
      </c>
      <c r="D9280" s="9" t="str">
        <f>HYPERLINK("https://otsuka-europe-crm.veevavault.com/ui/#object/approved_document__v/V5O00000000L011", "Libro IA en psiquiatría")</f>
        <v>Libro IA en psiquiatría</v>
      </c>
      <c r="E9280" s="10" t="str">
        <f>HYPERLINK("https://otsuka-europe-crm.veevavault.com/ui/#object/sent_email__v/VBL00000003H450", "SE-001448894")</f>
        <v>SE-001448894</v>
      </c>
      <c r="F9280" s="11"/>
      <c r="G9280" s="12">
        <v>0</v>
      </c>
      <c r="H9280" s="12">
        <v>0</v>
      </c>
      <c r="I9280" s="12">
        <v>0</v>
      </c>
      <c r="J9280" s="11"/>
      <c r="K9280" s="12">
        <v>0</v>
      </c>
      <c r="L9280" s="10" t="str">
        <f>HYPERLINK("https://otsuka-europe-crm.veevavault.com/ui/#object/approved_document__v/V5O00000000L011", "Libro IA en psiquiatría")</f>
        <v>Libro IA en psiquiatría</v>
      </c>
      <c r="M9280" s="10" t="str">
        <f>HYPERLINK("mailto:jdiaz@crm.otsuka-europe.com", "jdiaz@crm.otsuka-europe.com")</f>
        <v>jdiaz@crm.otsuka-europe.com</v>
      </c>
      <c r="N9280" s="13">
        <v>46234.481979166667</v>
      </c>
      <c r="O9280" s="14" t="str">
        <f>HYPERLINK("https://otsuka-europe-crm.veevavault.com/ui/#object/email_activity__v/V8C00000004F328", "EN-002110597")</f>
        <v>EN-002110597</v>
      </c>
    </row>
    <row r="9281" spans="1:15" ht="32" x14ac:dyDescent="0.2">
      <c r="A9281" s="7" t="str">
        <f>HYPERLINK("https://otsuka-europe-crm.veevavault.com/ui/#object/account__v/V4TZ06G6O71TAQB", "MARIA NEUS LLABRES FUSTER")</f>
        <v>MARIA NEUS LLABRES FUSTER</v>
      </c>
      <c r="B9281" s="7" t="str">
        <f>HYPERLINK("https://otsuka-europe-crm.veevavault.com/ui/#object/vcountry__v/VENZ000004SONF5", "ES")</f>
        <v>ES</v>
      </c>
      <c r="C9281" s="8" t="s">
        <v>39</v>
      </c>
      <c r="D9281" s="9" t="str">
        <f>HYPERLINK("https://otsuka-europe-crm.veevavault.com/ui/#object/approved_document__v/V5O00000000L011", "Libro IA en psiquiatría")</f>
        <v>Libro IA en psiquiatría</v>
      </c>
      <c r="E9281" s="10" t="str">
        <f>HYPERLINK("https://otsuka-europe-crm.veevavault.com/ui/#object/sent_email__v/VBL00000003H451", "SE-001448895")</f>
        <v>SE-001448895</v>
      </c>
      <c r="F9281" s="11"/>
      <c r="G9281" s="12">
        <v>0</v>
      </c>
      <c r="H9281" s="12">
        <v>0</v>
      </c>
      <c r="I9281" s="12">
        <v>0</v>
      </c>
      <c r="J9281" s="11"/>
      <c r="K9281" s="12">
        <v>0</v>
      </c>
      <c r="L9281" s="10" t="str">
        <f>HYPERLINK("https://otsuka-europe-crm.veevavault.com/ui/#object/approved_document__v/V5O00000000L011", "Libro IA en psiquiatría")</f>
        <v>Libro IA en psiquiatría</v>
      </c>
      <c r="M9281" s="10" t="str">
        <f>HYPERLINK("mailto:jdiaz@crm.otsuka-europe.com", "jdiaz@crm.otsuka-europe.com")</f>
        <v>jdiaz@crm.otsuka-europe.com</v>
      </c>
      <c r="N9281" s="13">
        <v>46234.481979166667</v>
      </c>
      <c r="O9281" s="14" t="str">
        <f>HYPERLINK("https://otsuka-europe-crm.veevavault.com/ui/#object/email_activity__v/V8C00000004F324", "EN-002110590")</f>
        <v>EN-002110590</v>
      </c>
    </row>
    <row r="9282" spans="1:15" ht="16" x14ac:dyDescent="0.2">
      <c r="A9282" s="18" t="str">
        <f>HYPERLINK("https://otsuka-europe-crm.veevavault.com/ui/#object/account__v/V4TZ06G6O9VNG6G", "EVA MATEOS PASCUAL")</f>
        <v>EVA MATEOS PASCUAL</v>
      </c>
      <c r="B9282" s="18" t="str">
        <f>HYPERLINK("https://otsuka-europe-crm.veevavault.com/ui/#object/vcountry__v/VENZ000004SONF5", "ES")</f>
        <v>ES</v>
      </c>
      <c r="C9282" s="20" t="s">
        <v>39</v>
      </c>
      <c r="D9282" s="21" t="str">
        <f>HYPERLINK("https://otsuka-europe-crm.veevavault.com/ui/#object/approved_document__v/V5O00000000L011", "Libro IA en psiquiatría")</f>
        <v>Libro IA en psiquiatría</v>
      </c>
      <c r="E9282" s="22" t="str">
        <f>HYPERLINK("https://otsuka-europe-crm.veevavault.com/ui/#object/sent_email__v/VBL00000003H452", "SE-001448896")</f>
        <v>SE-001448896</v>
      </c>
      <c r="F9282" s="23"/>
      <c r="G9282" s="24">
        <v>0</v>
      </c>
      <c r="H9282" s="24">
        <v>0</v>
      </c>
      <c r="I9282" s="24">
        <v>0</v>
      </c>
      <c r="J9282" s="23"/>
      <c r="K9282" s="24">
        <v>0</v>
      </c>
      <c r="L9282" s="22" t="str">
        <f>HYPERLINK("https://otsuka-europe-crm.veevavault.com/ui/#object/approved_document__v/V5O00000000L011", "Libro IA en psiquiatría")</f>
        <v>Libro IA en psiquiatría</v>
      </c>
      <c r="M9282" s="22" t="str">
        <f>HYPERLINK("mailto:jdiaz@crm.otsuka-europe.com", "jdiaz@crm.otsuka-europe.com")</f>
        <v>jdiaz@crm.otsuka-europe.com</v>
      </c>
      <c r="N9282" s="25">
        <v>46234.481979166667</v>
      </c>
      <c r="O9282" s="14" t="str">
        <f>HYPERLINK("https://otsuka-europe-crm.veevavault.com/ui/#object/email_activity__v/V8C00000004F383", "EN-002110721")</f>
        <v>EN-002110721</v>
      </c>
    </row>
    <row r="9283" spans="1:15" ht="16" x14ac:dyDescent="0.2">
      <c r="A9283" s="19"/>
      <c r="B9283" s="19"/>
      <c r="C9283" s="19"/>
      <c r="D9283" s="19"/>
      <c r="E9283" s="19"/>
      <c r="F9283" s="19"/>
      <c r="G9283" s="19"/>
      <c r="H9283" s="19"/>
      <c r="I9283" s="19"/>
      <c r="J9283" s="19"/>
      <c r="K9283" s="19"/>
      <c r="L9283" s="19"/>
      <c r="M9283" s="19"/>
      <c r="N9283" s="19"/>
      <c r="O9283" s="14" t="str">
        <f>HYPERLINK("https://otsuka-europe-crm.veevavault.com/ui/#object/email_activity__v/V8C00000004G483", "EN-002110596")</f>
        <v>EN-002110596</v>
      </c>
    </row>
    <row r="9284" spans="1:15" ht="16" x14ac:dyDescent="0.2">
      <c r="A9284" s="18" t="str">
        <f>HYPERLINK("https://otsuka-europe-crm.veevavault.com/ui/#object/account__v/V4TZ06G6O71TB7Z", "MANUEL MILLAN SALGADO")</f>
        <v>MANUEL MILLAN SALGADO</v>
      </c>
      <c r="B9284" s="18" t="str">
        <f>HYPERLINK("https://otsuka-europe-crm.veevavault.com/ui/#object/vcountry__v/VENZ000004SONF5", "ES")</f>
        <v>ES</v>
      </c>
      <c r="C9284" s="20" t="s">
        <v>39</v>
      </c>
      <c r="D9284" s="21" t="str">
        <f>HYPERLINK("https://otsuka-europe-crm.veevavault.com/ui/#object/approved_document__v/V5O00000000L011", "Libro IA en psiquiatría")</f>
        <v>Libro IA en psiquiatría</v>
      </c>
      <c r="E9284" s="22" t="str">
        <f>HYPERLINK("https://otsuka-europe-crm.veevavault.com/ui/#object/sent_email__v/VBL00000003H453", "SE-001448897")</f>
        <v>SE-001448897</v>
      </c>
      <c r="F9284" s="23"/>
      <c r="G9284" s="24">
        <v>0</v>
      </c>
      <c r="H9284" s="24">
        <v>0</v>
      </c>
      <c r="I9284" s="24">
        <v>0</v>
      </c>
      <c r="J9284" s="23"/>
      <c r="K9284" s="24">
        <v>0</v>
      </c>
      <c r="L9284" s="22" t="str">
        <f>HYPERLINK("https://otsuka-europe-crm.veevavault.com/ui/#object/approved_document__v/V5O00000000L011", "Libro IA en psiquiatría")</f>
        <v>Libro IA en psiquiatría</v>
      </c>
      <c r="M9284" s="22" t="str">
        <f>HYPERLINK("mailto:jdiaz@crm.otsuka-europe.com", "jdiaz@crm.otsuka-europe.com")</f>
        <v>jdiaz@crm.otsuka-europe.com</v>
      </c>
      <c r="N9284" s="25">
        <v>46234.481979166667</v>
      </c>
      <c r="O9284" s="14" t="str">
        <f>HYPERLINK("https://otsuka-europe-crm.veevavault.com/ui/#object/email_activity__v/V8C00000004G481", "EN-002110594")</f>
        <v>EN-002110594</v>
      </c>
    </row>
    <row r="9285" spans="1:15" ht="16" x14ac:dyDescent="0.2">
      <c r="A9285" s="19"/>
      <c r="B9285" s="19"/>
      <c r="C9285" s="19"/>
      <c r="D9285" s="19"/>
      <c r="E9285" s="19"/>
      <c r="F9285" s="19"/>
      <c r="G9285" s="19"/>
      <c r="H9285" s="19"/>
      <c r="I9285" s="19"/>
      <c r="J9285" s="19"/>
      <c r="K9285" s="19"/>
      <c r="L9285" s="19"/>
      <c r="M9285" s="19"/>
      <c r="N9285" s="19"/>
      <c r="O9285" s="14" t="str">
        <f>HYPERLINK("https://otsuka-europe-crm.veevavault.com/ui/#object/email_activity__v/V8C00000004G528", "EN-002110677")</f>
        <v>EN-002110677</v>
      </c>
    </row>
    <row r="9286" spans="1:15" ht="32" x14ac:dyDescent="0.2">
      <c r="A9286" s="7" t="str">
        <f>HYPERLINK("https://otsuka-europe-crm.veevavault.com/ui/#object/account__v/V4TZ06G6O71T88K", "ALVARO JOSE PALMA CONESA")</f>
        <v>ALVARO JOSE PALMA CONESA</v>
      </c>
      <c r="B9286" s="7" t="str">
        <f>HYPERLINK("https://otsuka-europe-crm.veevavault.com/ui/#object/vcountry__v/VENZ000004SONF5", "ES")</f>
        <v>ES</v>
      </c>
      <c r="C9286" s="8" t="s">
        <v>39</v>
      </c>
      <c r="D9286" s="9" t="str">
        <f>HYPERLINK("https://otsuka-europe-crm.veevavault.com/ui/#object/approved_document__v/V5O00000000L011", "Libro IA en psiquiatría")</f>
        <v>Libro IA en psiquiatría</v>
      </c>
      <c r="E9286" s="10" t="str">
        <f>HYPERLINK("https://otsuka-europe-crm.veevavault.com/ui/#object/sent_email__v/VBL00000003H454", "SE-001448898")</f>
        <v>SE-001448898</v>
      </c>
      <c r="F9286" s="11"/>
      <c r="G9286" s="12">
        <v>0</v>
      </c>
      <c r="H9286" s="12">
        <v>0</v>
      </c>
      <c r="I9286" s="12">
        <v>0</v>
      </c>
      <c r="J9286" s="11"/>
      <c r="K9286" s="12">
        <v>0</v>
      </c>
      <c r="L9286" s="10" t="str">
        <f>HYPERLINK("https://otsuka-europe-crm.veevavault.com/ui/#object/approved_document__v/V5O00000000L011", "Libro IA en psiquiatría")</f>
        <v>Libro IA en psiquiatría</v>
      </c>
      <c r="M9286" s="10" t="str">
        <f>HYPERLINK("mailto:jdiaz@crm.otsuka-europe.com", "jdiaz@crm.otsuka-europe.com")</f>
        <v>jdiaz@crm.otsuka-europe.com</v>
      </c>
      <c r="N9286" s="13">
        <v>46234.482002314813</v>
      </c>
      <c r="O9286" s="14" t="str">
        <f>HYPERLINK("https://otsuka-europe-crm.veevavault.com/ui/#object/email_activity__v/V8C00000004F318", "EN-002110576")</f>
        <v>EN-002110576</v>
      </c>
    </row>
    <row r="9287" spans="1:15" ht="32" x14ac:dyDescent="0.2">
      <c r="A9287" s="7" t="str">
        <f>HYPERLINK("https://otsuka-europe-crm.veevavault.com/ui/#object/account__v/V4TZ025E82ROWYW", "LUCIANNA IFARRAGUIRRE MELLO")</f>
        <v>LUCIANNA IFARRAGUIRRE MELLO</v>
      </c>
      <c r="B9287" s="7" t="str">
        <f>HYPERLINK("https://otsuka-europe-crm.veevavault.com/ui/#object/vcountry__v/VENZ000004SONF5", "ES")</f>
        <v>ES</v>
      </c>
      <c r="C9287" s="8" t="s">
        <v>39</v>
      </c>
      <c r="D9287" s="9" t="str">
        <f>HYPERLINK("https://otsuka-europe-crm.veevavault.com/ui/#object/approved_document__v/V5O00000000L011", "Libro IA en psiquiatría")</f>
        <v>Libro IA en psiquiatría</v>
      </c>
      <c r="E9287" s="10" t="str">
        <f>HYPERLINK("https://otsuka-europe-crm.veevavault.com/ui/#object/sent_email__v/VBL00000003H455", "SE-001448899")</f>
        <v>SE-001448899</v>
      </c>
      <c r="F9287" s="11"/>
      <c r="G9287" s="12">
        <v>0</v>
      </c>
      <c r="H9287" s="12">
        <v>0</v>
      </c>
      <c r="I9287" s="12">
        <v>0</v>
      </c>
      <c r="J9287" s="11"/>
      <c r="K9287" s="12">
        <v>0</v>
      </c>
      <c r="L9287" s="10" t="str">
        <f>HYPERLINK("https://otsuka-europe-crm.veevavault.com/ui/#object/approved_document__v/V5O00000000L011", "Libro IA en psiquiatría")</f>
        <v>Libro IA en psiquiatría</v>
      </c>
      <c r="M9287" s="10" t="str">
        <f>HYPERLINK("mailto:jdiaz@crm.otsuka-europe.com", "jdiaz@crm.otsuka-europe.com")</f>
        <v>jdiaz@crm.otsuka-europe.com</v>
      </c>
      <c r="N9287" s="13">
        <v>46234.481979166667</v>
      </c>
      <c r="O9287" s="14" t="str">
        <f>HYPERLINK("https://otsuka-europe-crm.veevavault.com/ui/#object/email_activity__v/V8C00000004F314", "EN-002110570")</f>
        <v>EN-002110570</v>
      </c>
    </row>
    <row r="9288" spans="1:15" ht="16" x14ac:dyDescent="0.2">
      <c r="A9288" s="18" t="str">
        <f>HYPERLINK("https://otsuka-europe-crm.veevavault.com/ui/#object/account__v/V4TZ06G6O71TBR6", "JOSE MARIA PLAYA BUSQUETS")</f>
        <v>JOSE MARIA PLAYA BUSQUETS</v>
      </c>
      <c r="B9288" s="18" t="str">
        <f>HYPERLINK("https://otsuka-europe-crm.veevavault.com/ui/#object/vcountry__v/VENZ000004SONF5", "ES")</f>
        <v>ES</v>
      </c>
      <c r="C9288" s="20" t="s">
        <v>39</v>
      </c>
      <c r="D9288" s="21" t="str">
        <f>HYPERLINK("https://otsuka-europe-crm.veevavault.com/ui/#object/approved_document__v/V5O00000000L011", "Libro IA en psiquiatría")</f>
        <v>Libro IA en psiquiatría</v>
      </c>
      <c r="E9288" s="22" t="str">
        <f>HYPERLINK("https://otsuka-europe-crm.veevavault.com/ui/#object/sent_email__v/VBL00000003H456", "SE-001448900")</f>
        <v>SE-001448900</v>
      </c>
      <c r="F9288" s="23"/>
      <c r="G9288" s="24">
        <v>0</v>
      </c>
      <c r="H9288" s="24">
        <v>0</v>
      </c>
      <c r="I9288" s="24">
        <v>0</v>
      </c>
      <c r="J9288" s="23"/>
      <c r="K9288" s="24">
        <v>0</v>
      </c>
      <c r="L9288" s="22" t="str">
        <f>HYPERLINK("https://otsuka-europe-crm.veevavault.com/ui/#object/approved_document__v/V5O00000000L011", "Libro IA en psiquiatría")</f>
        <v>Libro IA en psiquiatría</v>
      </c>
      <c r="M9288" s="22" t="str">
        <f>HYPERLINK("mailto:jdiaz@crm.otsuka-europe.com", "jdiaz@crm.otsuka-europe.com")</f>
        <v>jdiaz@crm.otsuka-europe.com</v>
      </c>
      <c r="N9288" s="25">
        <v>46234.481990740744</v>
      </c>
      <c r="O9288" s="14" t="str">
        <f>HYPERLINK("https://otsuka-europe-crm.veevavault.com/ui/#object/email_activity__v/V8C00000004F317", "EN-002110575")</f>
        <v>EN-002110575</v>
      </c>
    </row>
    <row r="9289" spans="1:15" ht="16" x14ac:dyDescent="0.2">
      <c r="A9289" s="19"/>
      <c r="B9289" s="19"/>
      <c r="C9289" s="19"/>
      <c r="D9289" s="19"/>
      <c r="E9289" s="19"/>
      <c r="F9289" s="19"/>
      <c r="G9289" s="19"/>
      <c r="H9289" s="19"/>
      <c r="I9289" s="19"/>
      <c r="J9289" s="19"/>
      <c r="K9289" s="19"/>
      <c r="L9289" s="19"/>
      <c r="M9289" s="19"/>
      <c r="N9289" s="19"/>
      <c r="O9289" s="14" t="str">
        <f>HYPERLINK("https://otsuka-europe-crm.veevavault.com/ui/#object/email_activity__v/V8C00000004G571", "EN-002110741")</f>
        <v>EN-002110741</v>
      </c>
    </row>
    <row r="9290" spans="1:15" ht="32" x14ac:dyDescent="0.2">
      <c r="A9290" s="7" t="str">
        <f>HYPERLINK("https://otsuka-europe-crm.veevavault.com/ui/#object/account__v/V4TZ06G6O8AH6OK", "JULIA RODRIGUEZ MARTIN")</f>
        <v>JULIA RODRIGUEZ MARTIN</v>
      </c>
      <c r="B9290" s="7" t="str">
        <f>HYPERLINK("https://otsuka-europe-crm.veevavault.com/ui/#object/vcountry__v/VENZ000004SONF5", "ES")</f>
        <v>ES</v>
      </c>
      <c r="C9290" s="8" t="s">
        <v>39</v>
      </c>
      <c r="D9290" s="9" t="str">
        <f>HYPERLINK("https://otsuka-europe-crm.veevavault.com/ui/#object/approved_document__v/V5O00000000L011", "Libro IA en psiquiatría")</f>
        <v>Libro IA en psiquiatría</v>
      </c>
      <c r="E9290" s="10" t="str">
        <f>HYPERLINK("https://otsuka-europe-crm.veevavault.com/ui/#object/sent_email__v/VBL00000003H457", "SE-001448901")</f>
        <v>SE-001448901</v>
      </c>
      <c r="F9290" s="11"/>
      <c r="G9290" s="12">
        <v>0</v>
      </c>
      <c r="H9290" s="12">
        <v>0</v>
      </c>
      <c r="I9290" s="12">
        <v>0</v>
      </c>
      <c r="J9290" s="11"/>
      <c r="K9290" s="12">
        <v>0</v>
      </c>
      <c r="L9290" s="10" t="str">
        <f>HYPERLINK("https://otsuka-europe-crm.veevavault.com/ui/#object/approved_document__v/V5O00000000L011", "Libro IA en psiquiatría")</f>
        <v>Libro IA en psiquiatría</v>
      </c>
      <c r="M9290" s="10" t="str">
        <f>HYPERLINK("mailto:jdiaz@crm.otsuka-europe.com", "jdiaz@crm.otsuka-europe.com")</f>
        <v>jdiaz@crm.otsuka-europe.com</v>
      </c>
      <c r="N9290" s="13">
        <v>46234.481979166667</v>
      </c>
      <c r="O9290" s="14" t="str">
        <f>HYPERLINK("https://otsuka-europe-crm.veevavault.com/ui/#object/email_activity__v/V8C00000004F312", "EN-002110568")</f>
        <v>EN-002110568</v>
      </c>
    </row>
    <row r="9291" spans="1:15" ht="16" x14ac:dyDescent="0.2">
      <c r="A9291" s="18" t="str">
        <f>HYPERLINK("https://otsuka-europe-crm.veevavault.com/ui/#object/account__v/V4TZ06G6O71TAQW", "PATRICIA ROXANA LARRAURI ECHEVARRIA")</f>
        <v>PATRICIA ROXANA LARRAURI ECHEVARRIA</v>
      </c>
      <c r="B9291" s="18" t="str">
        <f>HYPERLINK("https://otsuka-europe-crm.veevavault.com/ui/#object/vcountry__v/VENZ000004SONF5", "ES")</f>
        <v>ES</v>
      </c>
      <c r="C9291" s="20" t="s">
        <v>39</v>
      </c>
      <c r="D9291" s="21" t="str">
        <f>HYPERLINK("https://otsuka-europe-crm.veevavault.com/ui/#object/approved_document__v/V5O00000000L011", "Libro IA en psiquiatría")</f>
        <v>Libro IA en psiquiatría</v>
      </c>
      <c r="E9291" s="22" t="str">
        <f>HYPERLINK("https://otsuka-europe-crm.veevavault.com/ui/#object/sent_email__v/VBL00000003H458", "SE-001448902")</f>
        <v>SE-001448902</v>
      </c>
      <c r="F9291" s="25">
        <v>46234.484074074076</v>
      </c>
      <c r="G9291" s="24">
        <v>1</v>
      </c>
      <c r="H9291" s="24">
        <v>1</v>
      </c>
      <c r="I9291" s="24">
        <v>0</v>
      </c>
      <c r="J9291" s="23"/>
      <c r="K9291" s="24">
        <v>0</v>
      </c>
      <c r="L9291" s="22" t="str">
        <f>HYPERLINK("https://otsuka-europe-crm.veevavault.com/ui/#object/approved_document__v/V5O00000000L011", "Libro IA en psiquiatría")</f>
        <v>Libro IA en psiquiatría</v>
      </c>
      <c r="M9291" s="22" t="str">
        <f>HYPERLINK("mailto:jdiaz@crm.otsuka-europe.com", "jdiaz@crm.otsuka-europe.com")</f>
        <v>jdiaz@crm.otsuka-europe.com</v>
      </c>
      <c r="N9291" s="25">
        <v>46234.481979166667</v>
      </c>
      <c r="O9291" s="14" t="str">
        <f>HYPERLINK("https://otsuka-europe-crm.veevavault.com/ui/#object/email_activity__v/V8C00000004G482", "EN-002110595")</f>
        <v>EN-002110595</v>
      </c>
    </row>
    <row r="9292" spans="1:15" ht="16" x14ac:dyDescent="0.2">
      <c r="A9292" s="19"/>
      <c r="B9292" s="19"/>
      <c r="C9292" s="19"/>
      <c r="D9292" s="19"/>
      <c r="E9292" s="19"/>
      <c r="F9292" s="19"/>
      <c r="G9292" s="19"/>
      <c r="H9292" s="19"/>
      <c r="I9292" s="19"/>
      <c r="J9292" s="19"/>
      <c r="K9292" s="19"/>
      <c r="L9292" s="19"/>
      <c r="M9292" s="19"/>
      <c r="N9292" s="19"/>
      <c r="O9292" s="14" t="str">
        <f>HYPERLINK("https://otsuka-europe-crm.veevavault.com/ui/#object/email_activity__v/V8C00000004G494", "EN-002110623")</f>
        <v>EN-002110623</v>
      </c>
    </row>
    <row r="9293" spans="1:15" ht="16" x14ac:dyDescent="0.2">
      <c r="A9293" s="18" t="str">
        <f>HYPERLINK("https://otsuka-europe-crm.veevavault.com/ui/#object/account__v/V4TZ025E83ALH4D", "BORJA MACIAS GAMO")</f>
        <v>BORJA MACIAS GAMO</v>
      </c>
      <c r="B9293" s="18" t="str">
        <f>HYPERLINK("https://otsuka-europe-crm.veevavault.com/ui/#object/vcountry__v/VENZ000004SONF5", "ES")</f>
        <v>ES</v>
      </c>
      <c r="C9293" s="20" t="s">
        <v>39</v>
      </c>
      <c r="D9293" s="21" t="str">
        <f>HYPERLINK("https://otsuka-europe-crm.veevavault.com/ui/#object/approved_document__v/V5O00000000L011", "Libro IA en psiquiatría")</f>
        <v>Libro IA en psiquiatría</v>
      </c>
      <c r="E9293" s="22" t="str">
        <f>HYPERLINK("https://otsuka-europe-crm.veevavault.com/ui/#object/sent_email__v/VBL00000003H459", "SE-001448903")</f>
        <v>SE-001448903</v>
      </c>
      <c r="F9293" s="23"/>
      <c r="G9293" s="24">
        <v>0</v>
      </c>
      <c r="H9293" s="24">
        <v>0</v>
      </c>
      <c r="I9293" s="24">
        <v>0</v>
      </c>
      <c r="J9293" s="23"/>
      <c r="K9293" s="24">
        <v>0</v>
      </c>
      <c r="L9293" s="22" t="str">
        <f>HYPERLINK("https://otsuka-europe-crm.veevavault.com/ui/#object/approved_document__v/V5O00000000L011", "Libro IA en psiquiatría")</f>
        <v>Libro IA en psiquiatría</v>
      </c>
      <c r="M9293" s="22" t="str">
        <f>HYPERLINK("mailto:jdiaz@crm.otsuka-europe.com", "jdiaz@crm.otsuka-europe.com")</f>
        <v>jdiaz@crm.otsuka-europe.com</v>
      </c>
      <c r="N9293" s="25">
        <v>46234.481979166667</v>
      </c>
      <c r="O9293" s="14" t="str">
        <f>HYPERLINK("https://otsuka-europe-crm.veevavault.com/ui/#object/email_activity__v/V8C00000004F311", "EN-002110567")</f>
        <v>EN-002110567</v>
      </c>
    </row>
    <row r="9294" spans="1:15" ht="16" x14ac:dyDescent="0.2">
      <c r="A9294" s="19"/>
      <c r="B9294" s="19"/>
      <c r="C9294" s="19"/>
      <c r="D9294" s="19"/>
      <c r="E9294" s="19"/>
      <c r="F9294" s="19"/>
      <c r="G9294" s="19"/>
      <c r="H9294" s="19"/>
      <c r="I9294" s="19"/>
      <c r="J9294" s="19"/>
      <c r="K9294" s="19"/>
      <c r="L9294" s="19"/>
      <c r="M9294" s="19"/>
      <c r="N9294" s="19"/>
      <c r="O9294" s="14" t="str">
        <f>HYPERLINK("https://otsuka-europe-crm.veevavault.com/ui/#object/email_activity__v/V8C00000004F477", "EN-002110901")</f>
        <v>EN-002110901</v>
      </c>
    </row>
    <row r="9295" spans="1:15" ht="32" x14ac:dyDescent="0.2">
      <c r="A9295" s="7" t="str">
        <f>HYPERLINK("https://otsuka-europe-crm.veevavault.com/ui/#object/account__v/V4TZ06G6O71T7LA", "MONICA BRENDA ORTEGA PACHECO")</f>
        <v>MONICA BRENDA ORTEGA PACHECO</v>
      </c>
      <c r="B9295" s="7" t="str">
        <f>HYPERLINK("https://otsuka-europe-crm.veevavault.com/ui/#object/vcountry__v/VENZ000004SONF5", "ES")</f>
        <v>ES</v>
      </c>
      <c r="C9295" s="8" t="s">
        <v>39</v>
      </c>
      <c r="D9295" s="9" t="str">
        <f>HYPERLINK("https://otsuka-europe-crm.veevavault.com/ui/#object/approved_document__v/V5O00000000L011", "Libro IA en psiquiatría")</f>
        <v>Libro IA en psiquiatría</v>
      </c>
      <c r="E9295" s="10" t="str">
        <f>HYPERLINK("https://otsuka-europe-crm.veevavault.com/ui/#object/sent_email__v/VBL00000003H460", "SE-001448904")</f>
        <v>SE-001448904</v>
      </c>
      <c r="F9295" s="11"/>
      <c r="G9295" s="12">
        <v>0</v>
      </c>
      <c r="H9295" s="12">
        <v>0</v>
      </c>
      <c r="I9295" s="12">
        <v>0</v>
      </c>
      <c r="J9295" s="11"/>
      <c r="K9295" s="12">
        <v>0</v>
      </c>
      <c r="L9295" s="10" t="str">
        <f>HYPERLINK("https://otsuka-europe-crm.veevavault.com/ui/#object/approved_document__v/V5O00000000L011", "Libro IA en psiquiatría")</f>
        <v>Libro IA en psiquiatría</v>
      </c>
      <c r="M9295" s="10" t="str">
        <f>HYPERLINK("mailto:jdiaz@crm.otsuka-europe.com", "jdiaz@crm.otsuka-europe.com")</f>
        <v>jdiaz@crm.otsuka-europe.com</v>
      </c>
      <c r="N9295" s="13">
        <v>46234.481932870367</v>
      </c>
      <c r="O9295" s="14" t="str">
        <f>HYPERLINK("https://otsuka-europe-crm.veevavault.com/ui/#object/email_activity__v/V8C00000004F315", "EN-002110573")</f>
        <v>EN-002110573</v>
      </c>
    </row>
    <row r="9296" spans="1:15" ht="16" x14ac:dyDescent="0.2">
      <c r="A9296" s="18" t="str">
        <f>HYPERLINK("https://otsuka-europe-crm.veevavault.com/ui/#object/account__v/V4TZ06G6O7WCARL", "JOAQUIN POYATO URBANO")</f>
        <v>JOAQUIN POYATO URBANO</v>
      </c>
      <c r="B9296" s="18" t="str">
        <f>HYPERLINK("https://otsuka-europe-crm.veevavault.com/ui/#object/vcountry__v/VENZ000004SONF5", "ES")</f>
        <v>ES</v>
      </c>
      <c r="C9296" s="20" t="s">
        <v>39</v>
      </c>
      <c r="D9296" s="21" t="str">
        <f>HYPERLINK("https://otsuka-europe-crm.veevavault.com/ui/#object/approved_document__v/V5O00000000L011", "Libro IA en psiquiatría")</f>
        <v>Libro IA en psiquiatría</v>
      </c>
      <c r="E9296" s="22" t="str">
        <f>HYPERLINK("https://otsuka-europe-crm.veevavault.com/ui/#object/sent_email__v/VBL00000003H461", "SE-001448905")</f>
        <v>SE-001448905</v>
      </c>
      <c r="F9296" s="25">
        <v>46236.754432870373</v>
      </c>
      <c r="G9296" s="24">
        <v>1</v>
      </c>
      <c r="H9296" s="24">
        <v>1</v>
      </c>
      <c r="I9296" s="24">
        <v>1</v>
      </c>
      <c r="J9296" s="25">
        <v>46236.754618055558</v>
      </c>
      <c r="K9296" s="24">
        <v>1</v>
      </c>
      <c r="L9296" s="22" t="str">
        <f>HYPERLINK("https://otsuka-europe-crm.veevavault.com/ui/#object/approved_document__v/V5O00000000L011", "Libro IA en psiquiatría")</f>
        <v>Libro IA en psiquiatría</v>
      </c>
      <c r="M9296" s="22" t="str">
        <f>HYPERLINK("mailto:jdiaz@crm.otsuka-europe.com", "jdiaz@crm.otsuka-europe.com")</f>
        <v>jdiaz@crm.otsuka-europe.com</v>
      </c>
      <c r="N9296" s="25">
        <v>46234.481921296298</v>
      </c>
      <c r="O9296" s="14" t="str">
        <f>HYPERLINK("https://otsuka-europe-crm.veevavault.com/ui/#object/email_activity__v/V8C00000004G478", "EN-002110583")</f>
        <v>EN-002110583</v>
      </c>
    </row>
    <row r="9297" spans="1:15" ht="16" x14ac:dyDescent="0.2">
      <c r="A9297" s="26"/>
      <c r="B9297" s="26"/>
      <c r="C9297" s="26"/>
      <c r="D9297" s="26"/>
      <c r="E9297" s="26"/>
      <c r="F9297" s="26"/>
      <c r="G9297" s="26"/>
      <c r="H9297" s="26"/>
      <c r="I9297" s="26"/>
      <c r="J9297" s="26"/>
      <c r="K9297" s="26"/>
      <c r="L9297" s="26"/>
      <c r="M9297" s="26"/>
      <c r="N9297" s="26"/>
      <c r="O9297" s="14" t="str">
        <f>HYPERLINK("https://otsuka-europe-crm.veevavault.com/ui/#object/email_activity__v/V8C00000004I079", "EN-002111136")</f>
        <v>EN-002111136</v>
      </c>
    </row>
    <row r="9298" spans="1:15" ht="16" x14ac:dyDescent="0.2">
      <c r="A9298" s="19"/>
      <c r="B9298" s="19"/>
      <c r="C9298" s="19"/>
      <c r="D9298" s="19"/>
      <c r="E9298" s="19"/>
      <c r="F9298" s="19"/>
      <c r="G9298" s="19"/>
      <c r="H9298" s="19"/>
      <c r="I9298" s="19"/>
      <c r="J9298" s="19"/>
      <c r="K9298" s="19"/>
      <c r="L9298" s="19"/>
      <c r="M9298" s="19"/>
      <c r="N9298" s="19"/>
      <c r="O9298" s="14" t="str">
        <f>HYPERLINK("https://otsuka-europe-crm.veevavault.com/ui/#object/email_activity__v/V8C00000004I080", "EN-002111137")</f>
        <v>EN-002111137</v>
      </c>
    </row>
    <row r="9299" spans="1:15" ht="16" x14ac:dyDescent="0.2">
      <c r="A9299" s="18" t="str">
        <f>HYPERLINK("https://otsuka-europe-crm.veevavault.com/ui/#object/account__v/V4TZ06G6O71TBA5", "ISABEL ANA MORENO ENCABO")</f>
        <v>ISABEL ANA MORENO ENCABO</v>
      </c>
      <c r="B9299" s="18" t="str">
        <f>HYPERLINK("https://otsuka-europe-crm.veevavault.com/ui/#object/vcountry__v/VENZ000004SONF5", "ES")</f>
        <v>ES</v>
      </c>
      <c r="C9299" s="20" t="s">
        <v>39</v>
      </c>
      <c r="D9299" s="21" t="str">
        <f>HYPERLINK("https://otsuka-europe-crm.veevavault.com/ui/#object/approved_document__v/V5O00000000L011", "Libro IA en psiquiatría")</f>
        <v>Libro IA en psiquiatría</v>
      </c>
      <c r="E9299" s="22" t="str">
        <f>HYPERLINK("https://otsuka-europe-crm.veevavault.com/ui/#object/sent_email__v/VBL00000003H462", "SE-001448906")</f>
        <v>SE-001448906</v>
      </c>
      <c r="F9299" s="23"/>
      <c r="G9299" s="24">
        <v>0</v>
      </c>
      <c r="H9299" s="24">
        <v>0</v>
      </c>
      <c r="I9299" s="24">
        <v>0</v>
      </c>
      <c r="J9299" s="23"/>
      <c r="K9299" s="24">
        <v>0</v>
      </c>
      <c r="L9299" s="22" t="str">
        <f>HYPERLINK("https://otsuka-europe-crm.veevavault.com/ui/#object/approved_document__v/V5O00000000L011", "Libro IA en psiquiatría")</f>
        <v>Libro IA en psiquiatría</v>
      </c>
      <c r="M9299" s="22" t="str">
        <f>HYPERLINK("mailto:jdiaz@crm.otsuka-europe.com", "jdiaz@crm.otsuka-europe.com")</f>
        <v>jdiaz@crm.otsuka-europe.com</v>
      </c>
      <c r="N9299" s="25">
        <v>46234.481921296298</v>
      </c>
      <c r="O9299" s="14" t="str">
        <f>HYPERLINK("https://otsuka-europe-crm.veevavault.com/ui/#object/email_activity__v/V8C00000004F494", "EN-002110932")</f>
        <v>EN-002110932</v>
      </c>
    </row>
    <row r="9300" spans="1:15" ht="16" x14ac:dyDescent="0.2">
      <c r="A9300" s="19"/>
      <c r="B9300" s="19"/>
      <c r="C9300" s="19"/>
      <c r="D9300" s="19"/>
      <c r="E9300" s="19"/>
      <c r="F9300" s="19"/>
      <c r="G9300" s="19"/>
      <c r="H9300" s="19"/>
      <c r="I9300" s="19"/>
      <c r="J9300" s="19"/>
      <c r="K9300" s="19"/>
      <c r="L9300" s="19"/>
      <c r="M9300" s="19"/>
      <c r="N9300" s="19"/>
      <c r="O9300" s="14" t="str">
        <f>HYPERLINK("https://otsuka-europe-crm.veevavault.com/ui/#object/email_activity__v/V8C00000004G477", "EN-002110582")</f>
        <v>EN-002110582</v>
      </c>
    </row>
    <row r="9301" spans="1:15" ht="32" x14ac:dyDescent="0.2">
      <c r="A9301" s="7" t="str">
        <f>HYPERLINK("https://otsuka-europe-crm.veevavault.com/ui/#object/account__v/V4TZ06G6O71TB8P", "JOSE MARIA MISIEGO PERAL")</f>
        <v>JOSE MARIA MISIEGO PERAL</v>
      </c>
      <c r="B9301" s="7" t="str">
        <f>HYPERLINK("https://otsuka-europe-crm.veevavault.com/ui/#object/vcountry__v/VENZ000004SONF5", "ES")</f>
        <v>ES</v>
      </c>
      <c r="C9301" s="8" t="s">
        <v>39</v>
      </c>
      <c r="D9301" s="9" t="str">
        <f>HYPERLINK("https://otsuka-europe-crm.veevavault.com/ui/#object/approved_document__v/V5O00000000L011", "Libro IA en psiquiatría")</f>
        <v>Libro IA en psiquiatría</v>
      </c>
      <c r="E9301" s="10" t="str">
        <f>HYPERLINK("https://otsuka-europe-crm.veevavault.com/ui/#object/sent_email__v/VBL00000003H463", "SE-001448907")</f>
        <v>SE-001448907</v>
      </c>
      <c r="F9301" s="11"/>
      <c r="G9301" s="12">
        <v>0</v>
      </c>
      <c r="H9301" s="12">
        <v>0</v>
      </c>
      <c r="I9301" s="12">
        <v>0</v>
      </c>
      <c r="J9301" s="11"/>
      <c r="K9301" s="12">
        <v>0</v>
      </c>
      <c r="L9301" s="10" t="str">
        <f>HYPERLINK("https://otsuka-europe-crm.veevavault.com/ui/#object/approved_document__v/V5O00000000L011", "Libro IA en psiquiatría")</f>
        <v>Libro IA en psiquiatría</v>
      </c>
      <c r="M9301" s="10" t="str">
        <f>HYPERLINK("mailto:jdiaz@crm.otsuka-europe.com", "jdiaz@crm.otsuka-europe.com")</f>
        <v>jdiaz@crm.otsuka-europe.com</v>
      </c>
      <c r="N9301" s="13">
        <v>46234.481921296298</v>
      </c>
      <c r="O9301" s="14" t="str">
        <f>HYPERLINK("https://otsuka-europe-crm.veevavault.com/ui/#object/email_activity__v/V8C00000004F309", "EN-002110565")</f>
        <v>EN-002110565</v>
      </c>
    </row>
    <row r="9302" spans="1:15" ht="32" x14ac:dyDescent="0.2">
      <c r="A9302" s="7" t="str">
        <f>HYPERLINK("https://otsuka-europe-crm.veevavault.com/ui/#object/account__v/V4TZ06G6O71TAXS", "MARTIN MESTRE ROCA")</f>
        <v>MARTIN MESTRE ROCA</v>
      </c>
      <c r="B9302" s="7" t="str">
        <f>HYPERLINK("https://otsuka-europe-crm.veevavault.com/ui/#object/vcountry__v/VENZ000004SONF5", "ES")</f>
        <v>ES</v>
      </c>
      <c r="C9302" s="8" t="s">
        <v>39</v>
      </c>
      <c r="D9302" s="9" t="str">
        <f>HYPERLINK("https://otsuka-europe-crm.veevavault.com/ui/#object/approved_document__v/V5O00000000L011", "Libro IA en psiquiatría")</f>
        <v>Libro IA en psiquiatría</v>
      </c>
      <c r="E9302" s="10" t="str">
        <f>HYPERLINK("https://otsuka-europe-crm.veevavault.com/ui/#object/sent_email__v/VBL00000003H464", "SE-001448908")</f>
        <v>SE-001448908</v>
      </c>
      <c r="F9302" s="11"/>
      <c r="G9302" s="12">
        <v>0</v>
      </c>
      <c r="H9302" s="12">
        <v>0</v>
      </c>
      <c r="I9302" s="12">
        <v>0</v>
      </c>
      <c r="J9302" s="11"/>
      <c r="K9302" s="12">
        <v>0</v>
      </c>
      <c r="L9302" s="10" t="str">
        <f>HYPERLINK("https://otsuka-europe-crm.veevavault.com/ui/#object/approved_document__v/V5O00000000L011", "Libro IA en psiquiatría")</f>
        <v>Libro IA en psiquiatría</v>
      </c>
      <c r="M9302" s="10" t="str">
        <f>HYPERLINK("mailto:jdiaz@crm.otsuka-europe.com", "jdiaz@crm.otsuka-europe.com")</f>
        <v>jdiaz@crm.otsuka-europe.com</v>
      </c>
      <c r="N9302" s="13">
        <v>46234.481921296298</v>
      </c>
      <c r="O9302" s="14" t="str">
        <f>HYPERLINK("https://otsuka-europe-crm.veevavault.com/ui/#object/email_activity__v/V8C00000004G479", "EN-002110584")</f>
        <v>EN-002110584</v>
      </c>
    </row>
    <row r="9303" spans="1:15" ht="16" x14ac:dyDescent="0.2">
      <c r="A9303" s="18" t="str">
        <f>HYPERLINK("https://otsuka-europe-crm.veevavault.com/ui/#object/account__v/V4TZ06G6O71TAOA", "MIGUEL MARCOS LAZARO FERRERUELA")</f>
        <v>MIGUEL MARCOS LAZARO FERRERUELA</v>
      </c>
      <c r="B9303" s="18" t="str">
        <f>HYPERLINK("https://otsuka-europe-crm.veevavault.com/ui/#object/vcountry__v/VENZ000004SONF5", "ES")</f>
        <v>ES</v>
      </c>
      <c r="C9303" s="20" t="s">
        <v>39</v>
      </c>
      <c r="D9303" s="21" t="str">
        <f>HYPERLINK("https://otsuka-europe-crm.veevavault.com/ui/#object/approved_document__v/V5O00000000L011", "Libro IA en psiquiatría")</f>
        <v>Libro IA en psiquiatría</v>
      </c>
      <c r="E9303" s="22" t="str">
        <f>HYPERLINK("https://otsuka-europe-crm.veevavault.com/ui/#object/sent_email__v/VBL00000003H465", "SE-001448909")</f>
        <v>SE-001448909</v>
      </c>
      <c r="F9303" s="23"/>
      <c r="G9303" s="24">
        <v>0</v>
      </c>
      <c r="H9303" s="24">
        <v>0</v>
      </c>
      <c r="I9303" s="24">
        <v>0</v>
      </c>
      <c r="J9303" s="23"/>
      <c r="K9303" s="24">
        <v>0</v>
      </c>
      <c r="L9303" s="22" t="str">
        <f>HYPERLINK("https://otsuka-europe-crm.veevavault.com/ui/#object/approved_document__v/V5O00000000L011", "Libro IA en psiquiatría")</f>
        <v>Libro IA en psiquiatría</v>
      </c>
      <c r="M9303" s="22" t="str">
        <f>HYPERLINK("mailto:jdiaz@crm.otsuka-europe.com", "jdiaz@crm.otsuka-europe.com")</f>
        <v>jdiaz@crm.otsuka-europe.com</v>
      </c>
      <c r="N9303" s="25">
        <v>46234.481979166667</v>
      </c>
      <c r="O9303" s="14" t="str">
        <f>HYPERLINK("https://otsuka-europe-crm.veevavault.com/ui/#object/email_activity__v/V8C00000004F325", "EN-002110591")</f>
        <v>EN-002110591</v>
      </c>
    </row>
    <row r="9304" spans="1:15" ht="16" x14ac:dyDescent="0.2">
      <c r="A9304" s="19"/>
      <c r="B9304" s="19"/>
      <c r="C9304" s="19"/>
      <c r="D9304" s="19"/>
      <c r="E9304" s="19"/>
      <c r="F9304" s="19"/>
      <c r="G9304" s="19"/>
      <c r="H9304" s="19"/>
      <c r="I9304" s="19"/>
      <c r="J9304" s="19"/>
      <c r="K9304" s="19"/>
      <c r="L9304" s="19"/>
      <c r="M9304" s="19"/>
      <c r="N9304" s="19"/>
      <c r="O9304" s="14" t="str">
        <f>HYPERLINK("https://otsuka-europe-crm.veevavault.com/ui/#object/email_activity__v/V8C00000004G633", "EN-002110883")</f>
        <v>EN-002110883</v>
      </c>
    </row>
    <row r="9305" spans="1:15" ht="32" x14ac:dyDescent="0.2">
      <c r="A9305" s="7" t="str">
        <f>HYPERLINK("https://otsuka-europe-crm.veevavault.com/ui/#object/account__v/V4TZ06G6O71T7T9", "FRANCESCA RADO PORTELL")</f>
        <v>FRANCESCA RADO PORTELL</v>
      </c>
      <c r="B9305" s="7" t="str">
        <f>HYPERLINK("https://otsuka-europe-crm.veevavault.com/ui/#object/vcountry__v/VENZ000004SONF5", "ES")</f>
        <v>ES</v>
      </c>
      <c r="C9305" s="8" t="s">
        <v>39</v>
      </c>
      <c r="D9305" s="9" t="str">
        <f>HYPERLINK("https://otsuka-europe-crm.veevavault.com/ui/#object/approved_document__v/V5O00000000L011", "Libro IA en psiquiatría")</f>
        <v>Libro IA en psiquiatría</v>
      </c>
      <c r="E9305" s="10" t="str">
        <f>HYPERLINK("https://otsuka-europe-crm.veevavault.com/ui/#object/sent_email__v/VBL00000003H466", "SE-001448910")</f>
        <v>SE-001448910</v>
      </c>
      <c r="F9305" s="11"/>
      <c r="G9305" s="12">
        <v>0</v>
      </c>
      <c r="H9305" s="12">
        <v>0</v>
      </c>
      <c r="I9305" s="12">
        <v>0</v>
      </c>
      <c r="J9305" s="11"/>
      <c r="K9305" s="12">
        <v>0</v>
      </c>
      <c r="L9305" s="10" t="str">
        <f>HYPERLINK("https://otsuka-europe-crm.veevavault.com/ui/#object/approved_document__v/V5O00000000L011", "Libro IA en psiquiatría")</f>
        <v>Libro IA en psiquiatría</v>
      </c>
      <c r="M9305" s="10" t="str">
        <f>HYPERLINK("mailto:jdiaz@crm.otsuka-europe.com", "jdiaz@crm.otsuka-europe.com")</f>
        <v>jdiaz@crm.otsuka-europe.com</v>
      </c>
      <c r="N9305" s="13">
        <v>46234.481979166667</v>
      </c>
      <c r="O9305" s="14" t="str">
        <f>HYPERLINK("https://otsuka-europe-crm.veevavault.com/ui/#object/email_activity__v/V8C00000004F310", "EN-002110566")</f>
        <v>EN-002110566</v>
      </c>
    </row>
    <row r="9306" spans="1:15" ht="32" x14ac:dyDescent="0.2">
      <c r="A9306" s="7" t="str">
        <f>HYPERLINK("https://otsuka-europe-crm.veevavault.com/ui/#object/account__v/V4TZ04ASGAPDXSF", "JASMINE CHARLOTTE MORGAN MORO")</f>
        <v>JASMINE CHARLOTTE MORGAN MORO</v>
      </c>
      <c r="B9306" s="7" t="str">
        <f>HYPERLINK("https://otsuka-europe-crm.veevavault.com/ui/#object/vcountry__v/VENZ000004SONF5", "ES")</f>
        <v>ES</v>
      </c>
      <c r="C9306" s="8" t="s">
        <v>39</v>
      </c>
      <c r="D9306" s="9" t="str">
        <f>HYPERLINK("https://otsuka-europe-crm.veevavault.com/ui/#object/approved_document__v/V5O00000000L011", "Libro IA en psiquiatría")</f>
        <v>Libro IA en psiquiatría</v>
      </c>
      <c r="E9306" s="10" t="str">
        <f>HYPERLINK("https://otsuka-europe-crm.veevavault.com/ui/#object/sent_email__v/VBL00000003H467", "SE-001448911")</f>
        <v>SE-001448911</v>
      </c>
      <c r="F9306" s="11"/>
      <c r="G9306" s="12">
        <v>0</v>
      </c>
      <c r="H9306" s="12">
        <v>0</v>
      </c>
      <c r="I9306" s="12">
        <v>0</v>
      </c>
      <c r="J9306" s="11"/>
      <c r="K9306" s="12">
        <v>0</v>
      </c>
      <c r="L9306" s="10" t="str">
        <f>HYPERLINK("https://otsuka-europe-crm.veevavault.com/ui/#object/approved_document__v/V5O00000000L011", "Libro IA en psiquiatría")</f>
        <v>Libro IA en psiquiatría</v>
      </c>
      <c r="M9306" s="10" t="str">
        <f>HYPERLINK("mailto:jdiaz@crm.otsuka-europe.com", "jdiaz@crm.otsuka-europe.com")</f>
        <v>jdiaz@crm.otsuka-europe.com</v>
      </c>
      <c r="N9306" s="13">
        <v>46234.481874999998</v>
      </c>
      <c r="O9306" s="14" t="str">
        <f>HYPERLINK("https://otsuka-europe-crm.veevavault.com/ui/#object/email_activity__v/V8C00000004G473", "EN-002110578")</f>
        <v>EN-002110578</v>
      </c>
    </row>
    <row r="9307" spans="1:15" ht="16" x14ac:dyDescent="0.2">
      <c r="A9307" s="18" t="str">
        <f>HYPERLINK("https://otsuka-europe-crm.veevavault.com/ui/#object/account__v/V4TZ06G6O71T81G", "CAROLINA ROSET FERRER")</f>
        <v>CAROLINA ROSET FERRER</v>
      </c>
      <c r="B9307" s="18" t="str">
        <f>HYPERLINK("https://otsuka-europe-crm.veevavault.com/ui/#object/vcountry__v/VENZ000004SONF5", "ES")</f>
        <v>ES</v>
      </c>
      <c r="C9307" s="20" t="s">
        <v>39</v>
      </c>
      <c r="D9307" s="21" t="str">
        <f>HYPERLINK("https://otsuka-europe-crm.veevavault.com/ui/#object/approved_document__v/V5O00000000L011", "Libro IA en psiquiatría")</f>
        <v>Libro IA en psiquiatría</v>
      </c>
      <c r="E9307" s="22" t="str">
        <f>HYPERLINK("https://otsuka-europe-crm.veevavault.com/ui/#object/sent_email__v/VBL00000003G148", "SE-001448912")</f>
        <v>SE-001448912</v>
      </c>
      <c r="F9307" s="25">
        <v>46236.549571759257</v>
      </c>
      <c r="G9307" s="24">
        <v>1</v>
      </c>
      <c r="H9307" s="24">
        <v>1</v>
      </c>
      <c r="I9307" s="24">
        <v>0</v>
      </c>
      <c r="J9307" s="23"/>
      <c r="K9307" s="24">
        <v>0</v>
      </c>
      <c r="L9307" s="22" t="str">
        <f>HYPERLINK("https://otsuka-europe-crm.veevavault.com/ui/#object/approved_document__v/V5O00000000L011", "Libro IA en psiquiatría")</f>
        <v>Libro IA en psiquiatría</v>
      </c>
      <c r="M9307" s="22" t="str">
        <f>HYPERLINK("mailto:jdiaz@crm.otsuka-europe.com", "jdiaz@crm.otsuka-europe.com")</f>
        <v>jdiaz@crm.otsuka-europe.com</v>
      </c>
      <c r="N9307" s="25">
        <v>46234.482824074075</v>
      </c>
      <c r="O9307" s="14" t="str">
        <f>HYPERLINK("https://otsuka-europe-crm.veevavault.com/ui/#object/email_activity__v/V8C00000004F335", "EN-002110606")</f>
        <v>EN-002110606</v>
      </c>
    </row>
    <row r="9308" spans="1:15" ht="16" x14ac:dyDescent="0.2">
      <c r="A9308" s="19"/>
      <c r="B9308" s="19"/>
      <c r="C9308" s="19"/>
      <c r="D9308" s="19"/>
      <c r="E9308" s="19"/>
      <c r="F9308" s="19"/>
      <c r="G9308" s="19"/>
      <c r="H9308" s="19"/>
      <c r="I9308" s="19"/>
      <c r="J9308" s="19"/>
      <c r="K9308" s="19"/>
      <c r="L9308" s="19"/>
      <c r="M9308" s="19"/>
      <c r="N9308" s="19"/>
      <c r="O9308" s="14" t="str">
        <f>HYPERLINK("https://otsuka-europe-crm.veevavault.com/ui/#object/email_activity__v/V8C00000004I070", "EN-002111121")</f>
        <v>EN-002111121</v>
      </c>
    </row>
    <row r="9309" spans="1:15" ht="32" x14ac:dyDescent="0.2">
      <c r="A9309" s="7" t="str">
        <f>HYPERLINK("https://otsuka-europe-crm.veevavault.com/ui/#object/account__v/V4TZ06G6O71TC0N", "MARIA ROMERA TORRENS")</f>
        <v>MARIA ROMERA TORRENS</v>
      </c>
      <c r="B9309" s="7" t="str">
        <f>HYPERLINK("https://otsuka-europe-crm.veevavault.com/ui/#object/vcountry__v/VENZ000004SONF5", "ES")</f>
        <v>ES</v>
      </c>
      <c r="C9309" s="8" t="s">
        <v>39</v>
      </c>
      <c r="D9309" s="9" t="str">
        <f>HYPERLINK("https://otsuka-europe-crm.veevavault.com/ui/#object/approved_document__v/V5O00000000L011", "Libro IA en psiquiatría")</f>
        <v>Libro IA en psiquiatría</v>
      </c>
      <c r="E9309" s="10" t="str">
        <f>HYPERLINK("https://otsuka-europe-crm.veevavault.com/ui/#object/sent_email__v/VBL00000003G149", "SE-001448913")</f>
        <v>SE-001448913</v>
      </c>
      <c r="F9309" s="11"/>
      <c r="G9309" s="12">
        <v>0</v>
      </c>
      <c r="H9309" s="12">
        <v>0</v>
      </c>
      <c r="I9309" s="12">
        <v>0</v>
      </c>
      <c r="J9309" s="11"/>
      <c r="K9309" s="12">
        <v>0</v>
      </c>
      <c r="L9309" s="10" t="str">
        <f>HYPERLINK("https://otsuka-europe-crm.veevavault.com/ui/#object/approved_document__v/V5O00000000L011", "Libro IA en psiquiatría")</f>
        <v>Libro IA en psiquiatría</v>
      </c>
      <c r="M9309" s="10" t="str">
        <f>HYPERLINK("mailto:jdiaz@crm.otsuka-europe.com", "jdiaz@crm.otsuka-europe.com")</f>
        <v>jdiaz@crm.otsuka-europe.com</v>
      </c>
      <c r="N9309" s="13">
        <v>46234.482789351852</v>
      </c>
      <c r="O9309" s="14" t="str">
        <f>HYPERLINK("https://otsuka-europe-crm.veevavault.com/ui/#object/email_activity__v/V8C00000004F341", "EN-002110616")</f>
        <v>EN-002110616</v>
      </c>
    </row>
    <row r="9310" spans="1:15" ht="16" x14ac:dyDescent="0.2">
      <c r="A9310" s="18" t="str">
        <f>HYPERLINK("https://otsuka-europe-crm.veevavault.com/ui/#object/account__v/V4T000000018066", "PAULA SANCHEZ-BEATO SEPULVEDA")</f>
        <v>PAULA SANCHEZ-BEATO SEPULVEDA</v>
      </c>
      <c r="B9310" s="18" t="str">
        <f>HYPERLINK("https://otsuka-europe-crm.veevavault.com/ui/#object/vcountry__v/VENZ000004SONF5", "ES")</f>
        <v>ES</v>
      </c>
      <c r="C9310" s="20" t="s">
        <v>39</v>
      </c>
      <c r="D9310" s="21" t="str">
        <f>HYPERLINK("https://otsuka-europe-crm.veevavault.com/ui/#object/approved_document__v/V5O00000000L011", "Libro IA en psiquiatría")</f>
        <v>Libro IA en psiquiatría</v>
      </c>
      <c r="E9310" s="22" t="str">
        <f>HYPERLINK("https://otsuka-europe-crm.veevavault.com/ui/#object/sent_email__v/VBL00000003G150", "SE-001448914")</f>
        <v>SE-001448914</v>
      </c>
      <c r="F9310" s="25">
        <v>46238.010891203703</v>
      </c>
      <c r="G9310" s="24">
        <v>1</v>
      </c>
      <c r="H9310" s="24">
        <v>2</v>
      </c>
      <c r="I9310" s="24">
        <v>0</v>
      </c>
      <c r="J9310" s="23"/>
      <c r="K9310" s="24">
        <v>0</v>
      </c>
      <c r="L9310" s="22" t="str">
        <f>HYPERLINK("https://otsuka-europe-crm.veevavault.com/ui/#object/approved_document__v/V5O00000000L011", "Libro IA en psiquiatría")</f>
        <v>Libro IA en psiquiatría</v>
      </c>
      <c r="M9310" s="22" t="str">
        <f>HYPERLINK("mailto:jdiaz@crm.otsuka-europe.com", "jdiaz@crm.otsuka-europe.com")</f>
        <v>jdiaz@crm.otsuka-europe.com</v>
      </c>
      <c r="N9310" s="25">
        <v>46234.482789351852</v>
      </c>
      <c r="O9310" s="14" t="str">
        <f>HYPERLINK("https://otsuka-europe-crm.veevavault.com/ui/#object/email_activity__v/V8C00000004F360", "EN-002110670")</f>
        <v>EN-002110670</v>
      </c>
    </row>
    <row r="9311" spans="1:15" ht="16" x14ac:dyDescent="0.2">
      <c r="A9311" s="26"/>
      <c r="B9311" s="26"/>
      <c r="C9311" s="26"/>
      <c r="D9311" s="26"/>
      <c r="E9311" s="26"/>
      <c r="F9311" s="26"/>
      <c r="G9311" s="26"/>
      <c r="H9311" s="26"/>
      <c r="I9311" s="26"/>
      <c r="J9311" s="26"/>
      <c r="K9311" s="26"/>
      <c r="L9311" s="26"/>
      <c r="M9311" s="26"/>
      <c r="N9311" s="26"/>
      <c r="O9311" s="14" t="str">
        <f>HYPERLINK("https://otsuka-europe-crm.veevavault.com/ui/#object/email_activity__v/V8C00000004I181", "EN-002111377")</f>
        <v>EN-002111377</v>
      </c>
    </row>
    <row r="9312" spans="1:15" ht="16" x14ac:dyDescent="0.2">
      <c r="A9312" s="19"/>
      <c r="B9312" s="19"/>
      <c r="C9312" s="19"/>
      <c r="D9312" s="19"/>
      <c r="E9312" s="19"/>
      <c r="F9312" s="19"/>
      <c r="G9312" s="19"/>
      <c r="H9312" s="19"/>
      <c r="I9312" s="19"/>
      <c r="J9312" s="19"/>
      <c r="K9312" s="19"/>
      <c r="L9312" s="19"/>
      <c r="M9312" s="19"/>
      <c r="N9312" s="19"/>
      <c r="O9312" s="14" t="str">
        <f>HYPERLINK("https://otsuka-europe-crm.veevavault.com/ui/#object/email_activity__v/V8C00000004I182", "EN-002111378")</f>
        <v>EN-002111378</v>
      </c>
    </row>
    <row r="9313" spans="1:15" ht="16" x14ac:dyDescent="0.2">
      <c r="A9313" s="18" t="str">
        <f>HYPERLINK("https://otsuka-europe-crm.veevavault.com/ui/#object/account__v/V4TZ04ASG7NNKY8", "ONORINA STOICEV STEFOGLO")</f>
        <v>ONORINA STOICEV STEFOGLO</v>
      </c>
      <c r="B9313" s="18" t="str">
        <f>HYPERLINK("https://otsuka-europe-crm.veevavault.com/ui/#object/vcountry__v/VENZ000004SONF5", "ES")</f>
        <v>ES</v>
      </c>
      <c r="C9313" s="20" t="s">
        <v>39</v>
      </c>
      <c r="D9313" s="21" t="str">
        <f>HYPERLINK("https://otsuka-europe-crm.veevavault.com/ui/#object/approved_document__v/V5O00000000L011", "Libro IA en psiquiatría")</f>
        <v>Libro IA en psiquiatría</v>
      </c>
      <c r="E9313" s="22" t="str">
        <f>HYPERLINK("https://otsuka-europe-crm.veevavault.com/ui/#object/sent_email__v/VBL00000003G151", "SE-001448915")</f>
        <v>SE-001448915</v>
      </c>
      <c r="F9313" s="25">
        <v>46234.48296296296</v>
      </c>
      <c r="G9313" s="24">
        <v>1</v>
      </c>
      <c r="H9313" s="24">
        <v>1</v>
      </c>
      <c r="I9313" s="24">
        <v>0</v>
      </c>
      <c r="J9313" s="23"/>
      <c r="K9313" s="24">
        <v>0</v>
      </c>
      <c r="L9313" s="22" t="str">
        <f>HYPERLINK("https://otsuka-europe-crm.veevavault.com/ui/#object/approved_document__v/V5O00000000L011", "Libro IA en psiquiatría")</f>
        <v>Libro IA en psiquiatría</v>
      </c>
      <c r="M9313" s="22" t="str">
        <f>HYPERLINK("mailto:jdiaz@crm.otsuka-europe.com", "jdiaz@crm.otsuka-europe.com")</f>
        <v>jdiaz@crm.otsuka-europe.com</v>
      </c>
      <c r="N9313" s="25">
        <v>46234.482870370368</v>
      </c>
      <c r="O9313" s="14" t="str">
        <f>HYPERLINK("https://otsuka-europe-crm.veevavault.com/ui/#object/email_activity__v/V8C00000004F343", "EN-002110621")</f>
        <v>EN-002110621</v>
      </c>
    </row>
    <row r="9314" spans="1:15" ht="16" x14ac:dyDescent="0.2">
      <c r="A9314" s="19"/>
      <c r="B9314" s="19"/>
      <c r="C9314" s="19"/>
      <c r="D9314" s="19"/>
      <c r="E9314" s="19"/>
      <c r="F9314" s="19"/>
      <c r="G9314" s="19"/>
      <c r="H9314" s="19"/>
      <c r="I9314" s="19"/>
      <c r="J9314" s="19"/>
      <c r="K9314" s="19"/>
      <c r="L9314" s="19"/>
      <c r="M9314" s="19"/>
      <c r="N9314" s="19"/>
      <c r="O9314" s="14" t="str">
        <f>HYPERLINK("https://otsuka-europe-crm.veevavault.com/ui/#object/email_activity__v/V8C00000004G488", "EN-002110611")</f>
        <v>EN-002110611</v>
      </c>
    </row>
    <row r="9315" spans="1:15" ht="32" x14ac:dyDescent="0.2">
      <c r="A9315" s="7" t="str">
        <f>HYPERLINK("https://otsuka-europe-crm.veevavault.com/ui/#object/account__v/V4TZ06G6O71T898", "ANTONIO ZAMORA GONZALEZ")</f>
        <v>ANTONIO ZAMORA GONZALEZ</v>
      </c>
      <c r="B9315" s="7" t="str">
        <f t="shared" ref="B9315:B9322" si="355">HYPERLINK("https://otsuka-europe-crm.veevavault.com/ui/#object/vcountry__v/VENZ000004SONF5", "ES")</f>
        <v>ES</v>
      </c>
      <c r="C9315" s="8" t="s">
        <v>39</v>
      </c>
      <c r="D9315" s="9" t="str">
        <f t="shared" ref="D9315:D9322" si="356">HYPERLINK("https://otsuka-europe-crm.veevavault.com/ui/#object/approved_document__v/V5O00000000L011", "Libro IA en psiquiatría")</f>
        <v>Libro IA en psiquiatría</v>
      </c>
      <c r="E9315" s="10" t="str">
        <f>HYPERLINK("https://otsuka-europe-crm.veevavault.com/ui/#object/sent_email__v/VBL00000003G152", "SE-001448916")</f>
        <v>SE-001448916</v>
      </c>
      <c r="F9315" s="11"/>
      <c r="G9315" s="12">
        <v>0</v>
      </c>
      <c r="H9315" s="12">
        <v>0</v>
      </c>
      <c r="I9315" s="12">
        <v>0</v>
      </c>
      <c r="J9315" s="11"/>
      <c r="K9315" s="12">
        <v>0</v>
      </c>
      <c r="L9315" s="10" t="str">
        <f t="shared" ref="L9315:L9322" si="357">HYPERLINK("https://otsuka-europe-crm.veevavault.com/ui/#object/approved_document__v/V5O00000000L011", "Libro IA en psiquiatría")</f>
        <v>Libro IA en psiquiatría</v>
      </c>
      <c r="M9315" s="10" t="str">
        <f t="shared" ref="M9315:M9322" si="358">HYPERLINK("mailto:jdiaz@crm.otsuka-europe.com", "jdiaz@crm.otsuka-europe.com")</f>
        <v>jdiaz@crm.otsuka-europe.com</v>
      </c>
      <c r="N9315" s="13">
        <v>46234.482824074075</v>
      </c>
      <c r="O9315" s="14" t="str">
        <f>HYPERLINK("https://otsuka-europe-crm.veevavault.com/ui/#object/email_activity__v/V8C00000004G486", "EN-002110609")</f>
        <v>EN-002110609</v>
      </c>
    </row>
    <row r="9316" spans="1:15" ht="32" x14ac:dyDescent="0.2">
      <c r="A9316" s="7" t="str">
        <f>HYPERLINK("https://otsuka-europe-crm.veevavault.com/ui/#object/account__v/V4TZ06G6O71TCJ1", "CLAUDIO ANDRES TULJAK BARRETO")</f>
        <v>CLAUDIO ANDRES TULJAK BARRETO</v>
      </c>
      <c r="B9316" s="7" t="str">
        <f t="shared" si="355"/>
        <v>ES</v>
      </c>
      <c r="C9316" s="8" t="s">
        <v>39</v>
      </c>
      <c r="D9316" s="9" t="str">
        <f t="shared" si="356"/>
        <v>Libro IA en psiquiatría</v>
      </c>
      <c r="E9316" s="10" t="str">
        <f>HYPERLINK("https://otsuka-europe-crm.veevavault.com/ui/#object/sent_email__v/VBL00000003G153", "SE-001448917")</f>
        <v>SE-001448917</v>
      </c>
      <c r="F9316" s="11"/>
      <c r="G9316" s="12">
        <v>0</v>
      </c>
      <c r="H9316" s="12">
        <v>0</v>
      </c>
      <c r="I9316" s="12">
        <v>0</v>
      </c>
      <c r="J9316" s="11"/>
      <c r="K9316" s="12">
        <v>0</v>
      </c>
      <c r="L9316" s="10" t="str">
        <f t="shared" si="357"/>
        <v>Libro IA en psiquiatría</v>
      </c>
      <c r="M9316" s="10" t="str">
        <f t="shared" si="358"/>
        <v>jdiaz@crm.otsuka-europe.com</v>
      </c>
      <c r="N9316" s="13">
        <v>46234.482789351852</v>
      </c>
      <c r="O9316" s="14" t="str">
        <f>HYPERLINK("https://otsuka-europe-crm.veevavault.com/ui/#object/email_activity__v/V8C00000004F361", "EN-002110671")</f>
        <v>EN-002110671</v>
      </c>
    </row>
    <row r="9317" spans="1:15" ht="32" x14ac:dyDescent="0.2">
      <c r="A9317" s="7" t="str">
        <f>HYPERLINK("https://otsuka-europe-crm.veevavault.com/ui/#object/account__v/V4TZ06G6O71TC1M", "JOAN SALVA COLL")</f>
        <v>JOAN SALVA COLL</v>
      </c>
      <c r="B9317" s="7" t="str">
        <f t="shared" si="355"/>
        <v>ES</v>
      </c>
      <c r="C9317" s="8" t="s">
        <v>39</v>
      </c>
      <c r="D9317" s="9" t="str">
        <f t="shared" si="356"/>
        <v>Libro IA en psiquiatría</v>
      </c>
      <c r="E9317" s="10" t="str">
        <f>HYPERLINK("https://otsuka-europe-crm.veevavault.com/ui/#object/sent_email__v/VBL00000003G154", "SE-001448918")</f>
        <v>SE-001448918</v>
      </c>
      <c r="F9317" s="11"/>
      <c r="G9317" s="12">
        <v>0</v>
      </c>
      <c r="H9317" s="12">
        <v>0</v>
      </c>
      <c r="I9317" s="12">
        <v>0</v>
      </c>
      <c r="J9317" s="11"/>
      <c r="K9317" s="12">
        <v>0</v>
      </c>
      <c r="L9317" s="10" t="str">
        <f t="shared" si="357"/>
        <v>Libro IA en psiquiatría</v>
      </c>
      <c r="M9317" s="10" t="str">
        <f t="shared" si="358"/>
        <v>jdiaz@crm.otsuka-europe.com</v>
      </c>
      <c r="N9317" s="13">
        <v>46234.482754629629</v>
      </c>
      <c r="O9317" s="14" t="str">
        <f>HYPERLINK("https://otsuka-europe-crm.veevavault.com/ui/#object/email_activity__v/V8C00000004F358", "EN-002110668")</f>
        <v>EN-002110668</v>
      </c>
    </row>
    <row r="9318" spans="1:15" ht="32" x14ac:dyDescent="0.2">
      <c r="A9318" s="7" t="str">
        <f>HYPERLINK("https://otsuka-europe-crm.veevavault.com/ui/#object/account__v/V4TZ06G6O71TCFZ", "CLAIRE TEIJEIRA LEVET")</f>
        <v>CLAIRE TEIJEIRA LEVET</v>
      </c>
      <c r="B9318" s="7" t="str">
        <f t="shared" si="355"/>
        <v>ES</v>
      </c>
      <c r="C9318" s="8" t="s">
        <v>39</v>
      </c>
      <c r="D9318" s="9" t="str">
        <f t="shared" si="356"/>
        <v>Libro IA en psiquiatría</v>
      </c>
      <c r="E9318" s="10" t="str">
        <f>HYPERLINK("https://otsuka-europe-crm.veevavault.com/ui/#object/sent_email__v/VBL00000003G155", "SE-001448919")</f>
        <v>SE-001448919</v>
      </c>
      <c r="F9318" s="11"/>
      <c r="G9318" s="12">
        <v>0</v>
      </c>
      <c r="H9318" s="12">
        <v>0</v>
      </c>
      <c r="I9318" s="12">
        <v>0</v>
      </c>
      <c r="J9318" s="11"/>
      <c r="K9318" s="12">
        <v>0</v>
      </c>
      <c r="L9318" s="10" t="str">
        <f t="shared" si="357"/>
        <v>Libro IA en psiquiatría</v>
      </c>
      <c r="M9318" s="10" t="str">
        <f t="shared" si="358"/>
        <v>jdiaz@crm.otsuka-europe.com</v>
      </c>
      <c r="N9318" s="13">
        <v>46234.482754629629</v>
      </c>
      <c r="O9318" s="14" t="str">
        <f>HYPERLINK("https://otsuka-europe-crm.veevavault.com/ui/#object/email_activity__v/V8C00000004G490", "EN-002110618")</f>
        <v>EN-002110618</v>
      </c>
    </row>
    <row r="9319" spans="1:15" ht="32" x14ac:dyDescent="0.2">
      <c r="A9319" s="7" t="str">
        <f>HYPERLINK("https://otsuka-europe-crm.veevavault.com/ui/#object/account__v/V4TZ025E8450JT2", "JULIA VAN DER WALT MONASTERIO")</f>
        <v>JULIA VAN DER WALT MONASTERIO</v>
      </c>
      <c r="B9319" s="7" t="str">
        <f t="shared" si="355"/>
        <v>ES</v>
      </c>
      <c r="C9319" s="8" t="s">
        <v>39</v>
      </c>
      <c r="D9319" s="9" t="str">
        <f t="shared" si="356"/>
        <v>Libro IA en psiquiatría</v>
      </c>
      <c r="E9319" s="10" t="str">
        <f>HYPERLINK("https://otsuka-europe-crm.veevavault.com/ui/#object/sent_email__v/VBL00000003G156", "SE-001448920")</f>
        <v>SE-001448920</v>
      </c>
      <c r="F9319" s="11"/>
      <c r="G9319" s="12">
        <v>0</v>
      </c>
      <c r="H9319" s="12">
        <v>0</v>
      </c>
      <c r="I9319" s="12">
        <v>0</v>
      </c>
      <c r="J9319" s="11"/>
      <c r="K9319" s="12">
        <v>0</v>
      </c>
      <c r="L9319" s="10" t="str">
        <f t="shared" si="357"/>
        <v>Libro IA en psiquiatría</v>
      </c>
      <c r="M9319" s="10" t="str">
        <f t="shared" si="358"/>
        <v>jdiaz@crm.otsuka-europe.com</v>
      </c>
      <c r="N9319" s="13">
        <v>46234.482754629629</v>
      </c>
      <c r="O9319" s="14" t="str">
        <f>HYPERLINK("https://otsuka-europe-crm.veevavault.com/ui/#object/email_activity__v/V8C00000004F339", "EN-002110614")</f>
        <v>EN-002110614</v>
      </c>
    </row>
    <row r="9320" spans="1:15" ht="32" x14ac:dyDescent="0.2">
      <c r="A9320" s="7" t="str">
        <f>HYPERLINK("https://otsuka-europe-crm.veevavault.com/ui/#object/account__v/V4TZ06G6O71TCJI", "SUSANA ZALDIVAR SANTAMARIA")</f>
        <v>SUSANA ZALDIVAR SANTAMARIA</v>
      </c>
      <c r="B9320" s="7" t="str">
        <f t="shared" si="355"/>
        <v>ES</v>
      </c>
      <c r="C9320" s="8" t="s">
        <v>39</v>
      </c>
      <c r="D9320" s="9" t="str">
        <f t="shared" si="356"/>
        <v>Libro IA en psiquiatría</v>
      </c>
      <c r="E9320" s="10" t="str">
        <f>HYPERLINK("https://otsuka-europe-crm.veevavault.com/ui/#object/sent_email__v/VBL00000003G157", "SE-001448921")</f>
        <v>SE-001448921</v>
      </c>
      <c r="F9320" s="11"/>
      <c r="G9320" s="12">
        <v>0</v>
      </c>
      <c r="H9320" s="12">
        <v>0</v>
      </c>
      <c r="I9320" s="12">
        <v>0</v>
      </c>
      <c r="J9320" s="11"/>
      <c r="K9320" s="12">
        <v>0</v>
      </c>
      <c r="L9320" s="10" t="str">
        <f t="shared" si="357"/>
        <v>Libro IA en psiquiatría</v>
      </c>
      <c r="M9320" s="10" t="str">
        <f t="shared" si="358"/>
        <v>jdiaz@crm.otsuka-europe.com</v>
      </c>
      <c r="N9320" s="13">
        <v>46234.482754629629</v>
      </c>
      <c r="O9320" s="14" t="str">
        <f>HYPERLINK("https://otsuka-europe-crm.veevavault.com/ui/#object/email_activity__v/V8C00000004F340", "EN-002110615")</f>
        <v>EN-002110615</v>
      </c>
    </row>
    <row r="9321" spans="1:15" ht="32" x14ac:dyDescent="0.2">
      <c r="A9321" s="7" t="str">
        <f>HYPERLINK("https://otsuka-europe-crm.veevavault.com/ui/#object/account__v/V4TZ06G6O71TCIT", "VIRGILIO TRAID SENDER")</f>
        <v>VIRGILIO TRAID SENDER</v>
      </c>
      <c r="B9321" s="7" t="str">
        <f t="shared" si="355"/>
        <v>ES</v>
      </c>
      <c r="C9321" s="8" t="s">
        <v>39</v>
      </c>
      <c r="D9321" s="9" t="str">
        <f t="shared" si="356"/>
        <v>Libro IA en psiquiatría</v>
      </c>
      <c r="E9321" s="10" t="str">
        <f>HYPERLINK("https://otsuka-europe-crm.veevavault.com/ui/#object/sent_email__v/VBL00000003G158", "SE-001448922")</f>
        <v>SE-001448922</v>
      </c>
      <c r="F9321" s="11"/>
      <c r="G9321" s="12">
        <v>0</v>
      </c>
      <c r="H9321" s="12">
        <v>0</v>
      </c>
      <c r="I9321" s="12">
        <v>0</v>
      </c>
      <c r="J9321" s="11"/>
      <c r="K9321" s="12">
        <v>0</v>
      </c>
      <c r="L9321" s="10" t="str">
        <f t="shared" si="357"/>
        <v>Libro IA en psiquiatría</v>
      </c>
      <c r="M9321" s="10" t="str">
        <f t="shared" si="358"/>
        <v>jdiaz@crm.otsuka-europe.com</v>
      </c>
      <c r="N9321" s="13">
        <v>46234.482835648145</v>
      </c>
      <c r="O9321" s="14" t="str">
        <f>HYPERLINK("https://otsuka-europe-crm.veevavault.com/ui/#object/email_activity__v/V8C00000004F336", "EN-002110607")</f>
        <v>EN-002110607</v>
      </c>
    </row>
    <row r="9322" spans="1:15" ht="16" x14ac:dyDescent="0.2">
      <c r="A9322" s="18" t="str">
        <f>HYPERLINK("https://otsuka-europe-crm.veevavault.com/ui/#object/account__v/V4TZ025E843QNSW", "CLAUDIA RUIZ BENNASAR")</f>
        <v>CLAUDIA RUIZ BENNASAR</v>
      </c>
      <c r="B9322" s="18" t="str">
        <f t="shared" si="355"/>
        <v>ES</v>
      </c>
      <c r="C9322" s="20" t="s">
        <v>39</v>
      </c>
      <c r="D9322" s="21" t="str">
        <f t="shared" si="356"/>
        <v>Libro IA en psiquiatría</v>
      </c>
      <c r="E9322" s="22" t="str">
        <f>HYPERLINK("https://otsuka-europe-crm.veevavault.com/ui/#object/sent_email__v/VBL00000003G159", "SE-001448923")</f>
        <v>SE-001448923</v>
      </c>
      <c r="F9322" s="25">
        <v>46234.814328703702</v>
      </c>
      <c r="G9322" s="24">
        <v>1</v>
      </c>
      <c r="H9322" s="24">
        <v>2</v>
      </c>
      <c r="I9322" s="24">
        <v>1</v>
      </c>
      <c r="J9322" s="25">
        <v>46234.814328703702</v>
      </c>
      <c r="K9322" s="24">
        <v>1</v>
      </c>
      <c r="L9322" s="22" t="str">
        <f t="shared" si="357"/>
        <v>Libro IA en psiquiatría</v>
      </c>
      <c r="M9322" s="22" t="str">
        <f t="shared" si="358"/>
        <v>jdiaz@crm.otsuka-europe.com</v>
      </c>
      <c r="N9322" s="25">
        <v>46234.482789351852</v>
      </c>
      <c r="O9322" s="14" t="str">
        <f>HYPERLINK("https://otsuka-europe-crm.veevavault.com/ui/#object/email_activity__v/V8C00000004F342", "EN-002110617")</f>
        <v>EN-002110617</v>
      </c>
    </row>
    <row r="9323" spans="1:15" ht="16" x14ac:dyDescent="0.2">
      <c r="A9323" s="26"/>
      <c r="B9323" s="26"/>
      <c r="C9323" s="26"/>
      <c r="D9323" s="26"/>
      <c r="E9323" s="26"/>
      <c r="F9323" s="26"/>
      <c r="G9323" s="26"/>
      <c r="H9323" s="26"/>
      <c r="I9323" s="26"/>
      <c r="J9323" s="26"/>
      <c r="K9323" s="26"/>
      <c r="L9323" s="26"/>
      <c r="M9323" s="26"/>
      <c r="N9323" s="26"/>
      <c r="O9323" s="14" t="str">
        <f>HYPERLINK("https://otsuka-europe-crm.veevavault.com/ui/#object/email_activity__v/V8C00000004G640", "EN-002110899")</f>
        <v>EN-002110899</v>
      </c>
    </row>
    <row r="9324" spans="1:15" ht="16" x14ac:dyDescent="0.2">
      <c r="A9324" s="26"/>
      <c r="B9324" s="26"/>
      <c r="C9324" s="26"/>
      <c r="D9324" s="26"/>
      <c r="E9324" s="26"/>
      <c r="F9324" s="26"/>
      <c r="G9324" s="26"/>
      <c r="H9324" s="26"/>
      <c r="I9324" s="26"/>
      <c r="J9324" s="26"/>
      <c r="K9324" s="26"/>
      <c r="L9324" s="26"/>
      <c r="M9324" s="26"/>
      <c r="N9324" s="26"/>
      <c r="O9324" s="14" t="str">
        <f>HYPERLINK("https://otsuka-europe-crm.veevavault.com/ui/#object/email_activity__v/V8C00000004G641", "EN-002110898")</f>
        <v>EN-002110898</v>
      </c>
    </row>
    <row r="9325" spans="1:15" ht="16" x14ac:dyDescent="0.2">
      <c r="A9325" s="19"/>
      <c r="B9325" s="19"/>
      <c r="C9325" s="19"/>
      <c r="D9325" s="19"/>
      <c r="E9325" s="19"/>
      <c r="F9325" s="19"/>
      <c r="G9325" s="19"/>
      <c r="H9325" s="19"/>
      <c r="I9325" s="19"/>
      <c r="J9325" s="19"/>
      <c r="K9325" s="19"/>
      <c r="L9325" s="19"/>
      <c r="M9325" s="19"/>
      <c r="N9325" s="19"/>
      <c r="O9325" s="14" t="str">
        <f>HYPERLINK("https://otsuka-europe-crm.veevavault.com/ui/#object/email_activity__v/V8C00000004G642", "EN-002110900")</f>
        <v>EN-002110900</v>
      </c>
    </row>
    <row r="9326" spans="1:15" ht="16" x14ac:dyDescent="0.2">
      <c r="A9326" s="18" t="str">
        <f>HYPERLINK("https://otsuka-europe-crm.veevavault.com/ui/#object/account__v/V4TZ06G6O71T7FE", "LAURA TORRES ENCINA")</f>
        <v>LAURA TORRES ENCINA</v>
      </c>
      <c r="B9326" s="18" t="str">
        <f>HYPERLINK("https://otsuka-europe-crm.veevavault.com/ui/#object/vcountry__v/VENZ000004SONF5", "ES")</f>
        <v>ES</v>
      </c>
      <c r="C9326" s="20" t="s">
        <v>39</v>
      </c>
      <c r="D9326" s="21" t="str">
        <f>HYPERLINK("https://otsuka-europe-crm.veevavault.com/ui/#object/approved_document__v/V5O00000000L011", "Libro IA en psiquiatría")</f>
        <v>Libro IA en psiquiatría</v>
      </c>
      <c r="E9326" s="22" t="str">
        <f>HYPERLINK("https://otsuka-europe-crm.veevavault.com/ui/#object/sent_email__v/VBL00000003G160", "SE-001448924")</f>
        <v>SE-001448924</v>
      </c>
      <c r="F9326" s="25">
        <v>46234.499143518522</v>
      </c>
      <c r="G9326" s="24">
        <v>1</v>
      </c>
      <c r="H9326" s="24">
        <v>2</v>
      </c>
      <c r="I9326" s="24">
        <v>0</v>
      </c>
      <c r="J9326" s="23"/>
      <c r="K9326" s="24">
        <v>0</v>
      </c>
      <c r="L9326" s="22" t="str">
        <f>HYPERLINK("https://otsuka-europe-crm.veevavault.com/ui/#object/approved_document__v/V5O00000000L011", "Libro IA en psiquiatría")</f>
        <v>Libro IA en psiquiatría</v>
      </c>
      <c r="M9326" s="22" t="str">
        <f>HYPERLINK("mailto:jdiaz@crm.otsuka-europe.com", "jdiaz@crm.otsuka-europe.com")</f>
        <v>jdiaz@crm.otsuka-europe.com</v>
      </c>
      <c r="N9326" s="25">
        <v>46234.482881944445</v>
      </c>
      <c r="O9326" s="14" t="str">
        <f>HYPERLINK("https://otsuka-europe-crm.veevavault.com/ui/#object/email_activity__v/V8C00000004F366", "EN-002110689")</f>
        <v>EN-002110689</v>
      </c>
    </row>
    <row r="9327" spans="1:15" ht="16" x14ac:dyDescent="0.2">
      <c r="A9327" s="26"/>
      <c r="B9327" s="26"/>
      <c r="C9327" s="26"/>
      <c r="D9327" s="26"/>
      <c r="E9327" s="26"/>
      <c r="F9327" s="26"/>
      <c r="G9327" s="26"/>
      <c r="H9327" s="26"/>
      <c r="I9327" s="26"/>
      <c r="J9327" s="26"/>
      <c r="K9327" s="26"/>
      <c r="L9327" s="26"/>
      <c r="M9327" s="26"/>
      <c r="N9327" s="26"/>
      <c r="O9327" s="14" t="str">
        <f>HYPERLINK("https://otsuka-europe-crm.veevavault.com/ui/#object/email_activity__v/V8C00000004F368", "EN-002110691")</f>
        <v>EN-002110691</v>
      </c>
    </row>
    <row r="9328" spans="1:15" ht="16" x14ac:dyDescent="0.2">
      <c r="A9328" s="19"/>
      <c r="B9328" s="19"/>
      <c r="C9328" s="19"/>
      <c r="D9328" s="19"/>
      <c r="E9328" s="19"/>
      <c r="F9328" s="19"/>
      <c r="G9328" s="19"/>
      <c r="H9328" s="19"/>
      <c r="I9328" s="19"/>
      <c r="J9328" s="19"/>
      <c r="K9328" s="19"/>
      <c r="L9328" s="19"/>
      <c r="M9328" s="19"/>
      <c r="N9328" s="19"/>
      <c r="O9328" s="14" t="str">
        <f>HYPERLINK("https://otsuka-europe-crm.veevavault.com/ui/#object/email_activity__v/V8C00000004G489", "EN-002110612")</f>
        <v>EN-002110612</v>
      </c>
    </row>
    <row r="9329" spans="1:15" ht="16" x14ac:dyDescent="0.2">
      <c r="A9329" s="18" t="str">
        <f>HYPERLINK("https://otsuka-europe-crm.veevavault.com/ui/#object/account__v/V4TZ06G6O71TC7T", "MARIA SAGRARIO SANCHEZ DE MUNIAIN")</f>
        <v>MARIA SAGRARIO SANCHEZ DE MUNIAIN</v>
      </c>
      <c r="B9329" s="18" t="str">
        <f>HYPERLINK("https://otsuka-europe-crm.veevavault.com/ui/#object/vcountry__v/VENZ000004SONF5", "ES")</f>
        <v>ES</v>
      </c>
      <c r="C9329" s="20" t="s">
        <v>39</v>
      </c>
      <c r="D9329" s="21" t="str">
        <f>HYPERLINK("https://otsuka-europe-crm.veevavault.com/ui/#object/approved_document__v/V5O00000000L011", "Libro IA en psiquiatría")</f>
        <v>Libro IA en psiquiatría</v>
      </c>
      <c r="E9329" s="22" t="str">
        <f>HYPERLINK("https://otsuka-europe-crm.veevavault.com/ui/#object/sent_email__v/VBL00000003G161", "SE-001448925")</f>
        <v>SE-001448925</v>
      </c>
      <c r="F9329" s="23"/>
      <c r="G9329" s="24">
        <v>0</v>
      </c>
      <c r="H9329" s="24">
        <v>0</v>
      </c>
      <c r="I9329" s="24">
        <v>0</v>
      </c>
      <c r="J9329" s="23"/>
      <c r="K9329" s="24">
        <v>0</v>
      </c>
      <c r="L9329" s="22" t="str">
        <f>HYPERLINK("https://otsuka-europe-crm.veevavault.com/ui/#object/approved_document__v/V5O00000000L011", "Libro IA en psiquiatría")</f>
        <v>Libro IA en psiquiatría</v>
      </c>
      <c r="M9329" s="22" t="str">
        <f>HYPERLINK("mailto:jdiaz@crm.otsuka-europe.com", "jdiaz@crm.otsuka-europe.com")</f>
        <v>jdiaz@crm.otsuka-europe.com</v>
      </c>
      <c r="N9329" s="25">
        <v>46234.482789351852</v>
      </c>
      <c r="O9329" s="14" t="str">
        <f>HYPERLINK("https://otsuka-europe-crm.veevavault.com/ui/#object/email_activity__v/V8C00000004F334", "EN-002110605")</f>
        <v>EN-002110605</v>
      </c>
    </row>
    <row r="9330" spans="1:15" ht="16" x14ac:dyDescent="0.2">
      <c r="A9330" s="26"/>
      <c r="B9330" s="26"/>
      <c r="C9330" s="26"/>
      <c r="D9330" s="26"/>
      <c r="E9330" s="26"/>
      <c r="F9330" s="26"/>
      <c r="G9330" s="26"/>
      <c r="H9330" s="26"/>
      <c r="I9330" s="26"/>
      <c r="J9330" s="26"/>
      <c r="K9330" s="26"/>
      <c r="L9330" s="26"/>
      <c r="M9330" s="26"/>
      <c r="N9330" s="26"/>
      <c r="O9330" s="14" t="str">
        <f>HYPERLINK("https://otsuka-europe-crm.veevavault.com/ui/#object/email_activity__v/V8C00000004F381", "EN-002110717")</f>
        <v>EN-002110717</v>
      </c>
    </row>
    <row r="9331" spans="1:15" ht="16" x14ac:dyDescent="0.2">
      <c r="A9331" s="19"/>
      <c r="B9331" s="19"/>
      <c r="C9331" s="19"/>
      <c r="D9331" s="19"/>
      <c r="E9331" s="19"/>
      <c r="F9331" s="19"/>
      <c r="G9331" s="19"/>
      <c r="H9331" s="19"/>
      <c r="I9331" s="19"/>
      <c r="J9331" s="19"/>
      <c r="K9331" s="19"/>
      <c r="L9331" s="19"/>
      <c r="M9331" s="19"/>
      <c r="N9331" s="19"/>
      <c r="O9331" s="14" t="str">
        <f>HYPERLINK("https://otsuka-europe-crm.veevavault.com/ui/#object/email_activity__v/V8C00000004H066", "EN-002111055")</f>
        <v>EN-002111055</v>
      </c>
    </row>
    <row r="9332" spans="1:15" ht="16" x14ac:dyDescent="0.2">
      <c r="A9332" s="18" t="str">
        <f>HYPERLINK("https://otsuka-europe-crm.veevavault.com/ui/#object/account__v/V4TZ06G6O71T75V", "CLARA VIESCA EGUREN")</f>
        <v>CLARA VIESCA EGUREN</v>
      </c>
      <c r="B9332" s="18" t="str">
        <f>HYPERLINK("https://otsuka-europe-crm.veevavault.com/ui/#object/vcountry__v/VENZ000004SONF5", "ES")</f>
        <v>ES</v>
      </c>
      <c r="C9332" s="20" t="s">
        <v>39</v>
      </c>
      <c r="D9332" s="21" t="str">
        <f>HYPERLINK("https://otsuka-europe-crm.veevavault.com/ui/#object/approved_document__v/V5O00000000L011", "Libro IA en psiquiatría")</f>
        <v>Libro IA en psiquiatría</v>
      </c>
      <c r="E9332" s="22" t="str">
        <f>HYPERLINK("https://otsuka-europe-crm.veevavault.com/ui/#object/sent_email__v/VBL00000003G162", "SE-001448926")</f>
        <v>SE-001448926</v>
      </c>
      <c r="F9332" s="25">
        <v>46236.511747685188</v>
      </c>
      <c r="G9332" s="24">
        <v>1</v>
      </c>
      <c r="H9332" s="24">
        <v>9</v>
      </c>
      <c r="I9332" s="24">
        <v>0</v>
      </c>
      <c r="J9332" s="23"/>
      <c r="K9332" s="24">
        <v>0</v>
      </c>
      <c r="L9332" s="22" t="str">
        <f>HYPERLINK("https://otsuka-europe-crm.veevavault.com/ui/#object/approved_document__v/V5O00000000L011", "Libro IA en psiquiatría")</f>
        <v>Libro IA en psiquiatría</v>
      </c>
      <c r="M9332" s="22" t="str">
        <f>HYPERLINK("mailto:jdiaz@crm.otsuka-europe.com", "jdiaz@crm.otsuka-europe.com")</f>
        <v>jdiaz@crm.otsuka-europe.com</v>
      </c>
      <c r="N9332" s="25">
        <v>46234.482858796298</v>
      </c>
      <c r="O9332" s="14" t="str">
        <f>HYPERLINK("https://otsuka-europe-crm.veevavault.com/ui/#object/email_activity__v/V8C00000004F337", "EN-002110608")</f>
        <v>EN-002110608</v>
      </c>
    </row>
    <row r="9333" spans="1:15" ht="16" x14ac:dyDescent="0.2">
      <c r="A9333" s="26"/>
      <c r="B9333" s="26"/>
      <c r="C9333" s="26"/>
      <c r="D9333" s="26"/>
      <c r="E9333" s="26"/>
      <c r="F9333" s="26"/>
      <c r="G9333" s="26"/>
      <c r="H9333" s="26"/>
      <c r="I9333" s="26"/>
      <c r="J9333" s="26"/>
      <c r="K9333" s="26"/>
      <c r="L9333" s="26"/>
      <c r="M9333" s="26"/>
      <c r="N9333" s="26"/>
      <c r="O9333" s="14" t="str">
        <f>HYPERLINK("https://otsuka-europe-crm.veevavault.com/ui/#object/email_activity__v/V8C00000004F415", "EN-002110804")</f>
        <v>EN-002110804</v>
      </c>
    </row>
    <row r="9334" spans="1:15" ht="16" x14ac:dyDescent="0.2">
      <c r="A9334" s="26"/>
      <c r="B9334" s="26"/>
      <c r="C9334" s="26"/>
      <c r="D9334" s="26"/>
      <c r="E9334" s="26"/>
      <c r="F9334" s="26"/>
      <c r="G9334" s="26"/>
      <c r="H9334" s="26"/>
      <c r="I9334" s="26"/>
      <c r="J9334" s="26"/>
      <c r="K9334" s="26"/>
      <c r="L9334" s="26"/>
      <c r="M9334" s="26"/>
      <c r="N9334" s="26"/>
      <c r="O9334" s="14" t="str">
        <f>HYPERLINK("https://otsuka-europe-crm.veevavault.com/ui/#object/email_activity__v/V8C00000004F416", "EN-002110805")</f>
        <v>EN-002110805</v>
      </c>
    </row>
    <row r="9335" spans="1:15" ht="16" x14ac:dyDescent="0.2">
      <c r="A9335" s="26"/>
      <c r="B9335" s="26"/>
      <c r="C9335" s="26"/>
      <c r="D9335" s="26"/>
      <c r="E9335" s="26"/>
      <c r="F9335" s="26"/>
      <c r="G9335" s="26"/>
      <c r="H9335" s="26"/>
      <c r="I9335" s="26"/>
      <c r="J9335" s="26"/>
      <c r="K9335" s="26"/>
      <c r="L9335" s="26"/>
      <c r="M9335" s="26"/>
      <c r="N9335" s="26"/>
      <c r="O9335" s="14" t="str">
        <f>HYPERLINK("https://otsuka-europe-crm.veevavault.com/ui/#object/email_activity__v/V8C00000004F417", "EN-002110806")</f>
        <v>EN-002110806</v>
      </c>
    </row>
    <row r="9336" spans="1:15" ht="16" x14ac:dyDescent="0.2">
      <c r="A9336" s="26"/>
      <c r="B9336" s="26"/>
      <c r="C9336" s="26"/>
      <c r="D9336" s="26"/>
      <c r="E9336" s="26"/>
      <c r="F9336" s="26"/>
      <c r="G9336" s="26"/>
      <c r="H9336" s="26"/>
      <c r="I9336" s="26"/>
      <c r="J9336" s="26"/>
      <c r="K9336" s="26"/>
      <c r="L9336" s="26"/>
      <c r="M9336" s="26"/>
      <c r="N9336" s="26"/>
      <c r="O9336" s="14" t="str">
        <f>HYPERLINK("https://otsuka-europe-crm.veevavault.com/ui/#object/email_activity__v/V8C00000004F418", "EN-002110807")</f>
        <v>EN-002110807</v>
      </c>
    </row>
    <row r="9337" spans="1:15" ht="16" x14ac:dyDescent="0.2">
      <c r="A9337" s="26"/>
      <c r="B9337" s="26"/>
      <c r="C9337" s="26"/>
      <c r="D9337" s="26"/>
      <c r="E9337" s="26"/>
      <c r="F9337" s="26"/>
      <c r="G9337" s="26"/>
      <c r="H9337" s="26"/>
      <c r="I9337" s="26"/>
      <c r="J9337" s="26"/>
      <c r="K9337" s="26"/>
      <c r="L9337" s="26"/>
      <c r="M9337" s="26"/>
      <c r="N9337" s="26"/>
      <c r="O9337" s="14" t="str">
        <f>HYPERLINK("https://otsuka-europe-crm.veevavault.com/ui/#object/email_activity__v/V8C00000004F421", "EN-002110810")</f>
        <v>EN-002110810</v>
      </c>
    </row>
    <row r="9338" spans="1:15" ht="16" x14ac:dyDescent="0.2">
      <c r="A9338" s="26"/>
      <c r="B9338" s="26"/>
      <c r="C9338" s="26"/>
      <c r="D9338" s="26"/>
      <c r="E9338" s="26"/>
      <c r="F9338" s="26"/>
      <c r="G9338" s="26"/>
      <c r="H9338" s="26"/>
      <c r="I9338" s="26"/>
      <c r="J9338" s="26"/>
      <c r="K9338" s="26"/>
      <c r="L9338" s="26"/>
      <c r="M9338" s="26"/>
      <c r="N9338" s="26"/>
      <c r="O9338" s="14" t="str">
        <f>HYPERLINK("https://otsuka-europe-crm.veevavault.com/ui/#object/email_activity__v/V8C00000004F490", "EN-002110925")</f>
        <v>EN-002110925</v>
      </c>
    </row>
    <row r="9339" spans="1:15" ht="16" x14ac:dyDescent="0.2">
      <c r="A9339" s="26"/>
      <c r="B9339" s="26"/>
      <c r="C9339" s="26"/>
      <c r="D9339" s="26"/>
      <c r="E9339" s="26"/>
      <c r="F9339" s="26"/>
      <c r="G9339" s="26"/>
      <c r="H9339" s="26"/>
      <c r="I9339" s="26"/>
      <c r="J9339" s="26"/>
      <c r="K9339" s="26"/>
      <c r="L9339" s="26"/>
      <c r="M9339" s="26"/>
      <c r="N9339" s="26"/>
      <c r="O9339" s="14" t="str">
        <f>HYPERLINK("https://otsuka-europe-crm.veevavault.com/ui/#object/email_activity__v/V8C00000004H100", "EN-002111119")</f>
        <v>EN-002111119</v>
      </c>
    </row>
    <row r="9340" spans="1:15" ht="16" x14ac:dyDescent="0.2">
      <c r="A9340" s="26"/>
      <c r="B9340" s="26"/>
      <c r="C9340" s="26"/>
      <c r="D9340" s="26"/>
      <c r="E9340" s="26"/>
      <c r="F9340" s="26"/>
      <c r="G9340" s="26"/>
      <c r="H9340" s="26"/>
      <c r="I9340" s="26"/>
      <c r="J9340" s="26"/>
      <c r="K9340" s="26"/>
      <c r="L9340" s="26"/>
      <c r="M9340" s="26"/>
      <c r="N9340" s="26"/>
      <c r="O9340" s="14" t="str">
        <f>HYPERLINK("https://otsuka-europe-crm.veevavault.com/ui/#object/email_activity__v/V8C00000004I053", "EN-002111077")</f>
        <v>EN-002111077</v>
      </c>
    </row>
    <row r="9341" spans="1:15" ht="16" x14ac:dyDescent="0.2">
      <c r="A9341" s="19"/>
      <c r="B9341" s="19"/>
      <c r="C9341" s="19"/>
      <c r="D9341" s="19"/>
      <c r="E9341" s="19"/>
      <c r="F9341" s="19"/>
      <c r="G9341" s="19"/>
      <c r="H9341" s="19"/>
      <c r="I9341" s="19"/>
      <c r="J9341" s="19"/>
      <c r="K9341" s="19"/>
      <c r="L9341" s="19"/>
      <c r="M9341" s="19"/>
      <c r="N9341" s="19"/>
      <c r="O9341" s="14" t="str">
        <f>HYPERLINK("https://otsuka-europe-crm.veevavault.com/ui/#object/email_activity__v/V8C00000004I069", "EN-002111118")</f>
        <v>EN-002111118</v>
      </c>
    </row>
    <row r="9342" spans="1:15" ht="16" x14ac:dyDescent="0.2">
      <c r="A9342" s="18" t="str">
        <f>HYPERLINK("https://otsuka-europe-crm.veevavault.com/ui/#object/account__v/V4T00000001X216", "CLAUDIA SOPELANA ALVAREZ")</f>
        <v>CLAUDIA SOPELANA ALVAREZ</v>
      </c>
      <c r="B9342" s="18" t="str">
        <f>HYPERLINK("https://otsuka-europe-crm.veevavault.com/ui/#object/vcountry__v/VENZ000004SONF5", "ES")</f>
        <v>ES</v>
      </c>
      <c r="C9342" s="20" t="s">
        <v>39</v>
      </c>
      <c r="D9342" s="21" t="str">
        <f>HYPERLINK("https://otsuka-europe-crm.veevavault.com/ui/#object/approved_document__v/V5O00000000L011", "Libro IA en psiquiatría")</f>
        <v>Libro IA en psiquiatría</v>
      </c>
      <c r="E9342" s="22" t="str">
        <f>HYPERLINK("https://otsuka-europe-crm.veevavault.com/ui/#object/sent_email__v/VBL00000003G163", "SE-001448927")</f>
        <v>SE-001448927</v>
      </c>
      <c r="F9342" s="25">
        <v>46238.436701388891</v>
      </c>
      <c r="G9342" s="24">
        <v>1</v>
      </c>
      <c r="H9342" s="24">
        <v>2</v>
      </c>
      <c r="I9342" s="24">
        <v>1</v>
      </c>
      <c r="J9342" s="25">
        <v>46238.436701388891</v>
      </c>
      <c r="K9342" s="24">
        <v>1</v>
      </c>
      <c r="L9342" s="22" t="str">
        <f>HYPERLINK("https://otsuka-europe-crm.veevavault.com/ui/#object/approved_document__v/V5O00000000L011", "Libro IA en psiquiatría")</f>
        <v>Libro IA en psiquiatría</v>
      </c>
      <c r="M9342" s="22" t="str">
        <f>HYPERLINK("mailto:jdiaz@crm.otsuka-europe.com", "jdiaz@crm.otsuka-europe.com")</f>
        <v>jdiaz@crm.otsuka-europe.com</v>
      </c>
      <c r="N9342" s="25">
        <v>46234.482824074075</v>
      </c>
      <c r="O9342" s="14" t="str">
        <f>HYPERLINK("https://otsuka-europe-crm.veevavault.com/ui/#object/email_activity__v/V8C00000004G487", "EN-002110610")</f>
        <v>EN-002110610</v>
      </c>
    </row>
    <row r="9343" spans="1:15" ht="16" x14ac:dyDescent="0.2">
      <c r="A9343" s="26"/>
      <c r="B9343" s="26"/>
      <c r="C9343" s="26"/>
      <c r="D9343" s="26"/>
      <c r="E9343" s="26"/>
      <c r="F9343" s="26"/>
      <c r="G9343" s="26"/>
      <c r="H9343" s="26"/>
      <c r="I9343" s="26"/>
      <c r="J9343" s="26"/>
      <c r="K9343" s="26"/>
      <c r="L9343" s="26"/>
      <c r="M9343" s="26"/>
      <c r="N9343" s="26"/>
      <c r="O9343" s="14" t="str">
        <f>HYPERLINK("https://otsuka-europe-crm.veevavault.com/ui/#object/email_activity__v/V8C00000004I211", "EN-002111455")</f>
        <v>EN-002111455</v>
      </c>
    </row>
    <row r="9344" spans="1:15" ht="16" x14ac:dyDescent="0.2">
      <c r="A9344" s="26"/>
      <c r="B9344" s="26"/>
      <c r="C9344" s="26"/>
      <c r="D9344" s="26"/>
      <c r="E9344" s="26"/>
      <c r="F9344" s="26"/>
      <c r="G9344" s="26"/>
      <c r="H9344" s="26"/>
      <c r="I9344" s="26"/>
      <c r="J9344" s="26"/>
      <c r="K9344" s="26"/>
      <c r="L9344" s="26"/>
      <c r="M9344" s="26"/>
      <c r="N9344" s="26"/>
      <c r="O9344" s="14" t="str">
        <f>HYPERLINK("https://otsuka-europe-crm.veevavault.com/ui/#object/email_activity__v/V8C00000004I212", "EN-002111453")</f>
        <v>EN-002111453</v>
      </c>
    </row>
    <row r="9345" spans="1:15" ht="16" x14ac:dyDescent="0.2">
      <c r="A9345" s="19"/>
      <c r="B9345" s="19"/>
      <c r="C9345" s="19"/>
      <c r="D9345" s="19"/>
      <c r="E9345" s="19"/>
      <c r="F9345" s="19"/>
      <c r="G9345" s="19"/>
      <c r="H9345" s="19"/>
      <c r="I9345" s="19"/>
      <c r="J9345" s="19"/>
      <c r="K9345" s="19"/>
      <c r="L9345" s="19"/>
      <c r="M9345" s="19"/>
      <c r="N9345" s="19"/>
      <c r="O9345" s="14" t="str">
        <f>HYPERLINK("https://otsuka-europe-crm.veevavault.com/ui/#object/email_activity__v/V8C00000004I213", "EN-002111454")</f>
        <v>EN-002111454</v>
      </c>
    </row>
    <row r="9346" spans="1:15" ht="16" x14ac:dyDescent="0.2">
      <c r="A9346" s="18" t="str">
        <f>HYPERLINK("https://otsuka-europe-crm.veevavault.com/ui/#object/account__v/V4TZ06G6O71TCH7", "PABLO ANTONIO TOBAJAS RUBER")</f>
        <v>PABLO ANTONIO TOBAJAS RUBER</v>
      </c>
      <c r="B9346" s="18" t="str">
        <f>HYPERLINK("https://otsuka-europe-crm.veevavault.com/ui/#object/vcountry__v/VENZ000004SONF5", "ES")</f>
        <v>ES</v>
      </c>
      <c r="C9346" s="20" t="s">
        <v>39</v>
      </c>
      <c r="D9346" s="21" t="str">
        <f>HYPERLINK("https://otsuka-europe-crm.veevavault.com/ui/#object/approved_document__v/V5O00000000L011", "Libro IA en psiquiatría")</f>
        <v>Libro IA en psiquiatría</v>
      </c>
      <c r="E9346" s="22" t="str">
        <f>HYPERLINK("https://otsuka-europe-crm.veevavault.com/ui/#object/sent_email__v/VBL00000003G164", "SE-001448928")</f>
        <v>SE-001448928</v>
      </c>
      <c r="F9346" s="23"/>
      <c r="G9346" s="24">
        <v>0</v>
      </c>
      <c r="H9346" s="24">
        <v>0</v>
      </c>
      <c r="I9346" s="24">
        <v>0</v>
      </c>
      <c r="J9346" s="23"/>
      <c r="K9346" s="24">
        <v>0</v>
      </c>
      <c r="L9346" s="22" t="str">
        <f>HYPERLINK("https://otsuka-europe-crm.veevavault.com/ui/#object/approved_document__v/V5O00000000L011", "Libro IA en psiquiatría")</f>
        <v>Libro IA en psiquiatría</v>
      </c>
      <c r="M9346" s="22" t="str">
        <f>HYPERLINK("mailto:jdiaz@crm.otsuka-europe.com", "jdiaz@crm.otsuka-europe.com")</f>
        <v>jdiaz@crm.otsuka-europe.com</v>
      </c>
      <c r="N9346" s="25">
        <v>46234.482789351852</v>
      </c>
      <c r="O9346" s="14" t="str">
        <f>HYPERLINK("https://otsuka-europe-crm.veevavault.com/ui/#object/email_activity__v/V8C00000004F338", "EN-002110613")</f>
        <v>EN-002110613</v>
      </c>
    </row>
    <row r="9347" spans="1:15" ht="16" x14ac:dyDescent="0.2">
      <c r="A9347" s="19"/>
      <c r="B9347" s="19"/>
      <c r="C9347" s="19"/>
      <c r="D9347" s="19"/>
      <c r="E9347" s="19"/>
      <c r="F9347" s="19"/>
      <c r="G9347" s="19"/>
      <c r="H9347" s="19"/>
      <c r="I9347" s="19"/>
      <c r="J9347" s="19"/>
      <c r="K9347" s="19"/>
      <c r="L9347" s="19"/>
      <c r="M9347" s="19"/>
      <c r="N9347" s="19"/>
      <c r="O9347" s="14" t="str">
        <f>HYPERLINK("https://otsuka-europe-crm.veevavault.com/ui/#object/email_activity__v/V8C00000004I095", "EN-002111170")</f>
        <v>EN-002111170</v>
      </c>
    </row>
    <row r="9348" spans="1:15" ht="16" x14ac:dyDescent="0.2">
      <c r="A9348" s="18" t="str">
        <f>HYPERLINK("https://otsuka-europe-crm.veevavault.com/ui/#object/account__v/V4T00000001O024", "YULISSA VARELA DEL VALLE")</f>
        <v>YULISSA VARELA DEL VALLE</v>
      </c>
      <c r="B9348" s="18" t="str">
        <f>HYPERLINK("https://otsuka-europe-crm.veevavault.com/ui/#object/vcountry__v/VENZ000004SONF5", "ES")</f>
        <v>ES</v>
      </c>
      <c r="C9348" s="20" t="s">
        <v>39</v>
      </c>
      <c r="D9348" s="21" t="str">
        <f>HYPERLINK("https://otsuka-europe-crm.veevavault.com/ui/#object/approved_document__v/V5O00000000L011", "Libro IA en psiquiatría")</f>
        <v>Libro IA en psiquiatría</v>
      </c>
      <c r="E9348" s="22" t="str">
        <f>HYPERLINK("https://otsuka-europe-crm.veevavault.com/ui/#object/sent_email__v/VBL00000003G165", "SE-001448929")</f>
        <v>SE-001448929</v>
      </c>
      <c r="F9348" s="25">
        <v>46235.396203703705</v>
      </c>
      <c r="G9348" s="24">
        <v>1</v>
      </c>
      <c r="H9348" s="24">
        <v>2</v>
      </c>
      <c r="I9348" s="24">
        <v>0</v>
      </c>
      <c r="J9348" s="23"/>
      <c r="K9348" s="24">
        <v>0</v>
      </c>
      <c r="L9348" s="22" t="str">
        <f>HYPERLINK("https://otsuka-europe-crm.veevavault.com/ui/#object/approved_document__v/V5O00000000L011", "Libro IA en psiquiatría")</f>
        <v>Libro IA en psiquiatría</v>
      </c>
      <c r="M9348" s="22" t="str">
        <f>HYPERLINK("mailto:jdiaz@crm.otsuka-europe.com", "jdiaz@crm.otsuka-europe.com")</f>
        <v>jdiaz@crm.otsuka-europe.com</v>
      </c>
      <c r="N9348" s="25">
        <v>46234.482754629629</v>
      </c>
      <c r="O9348" s="14" t="str">
        <f>HYPERLINK("https://otsuka-europe-crm.veevavault.com/ui/#object/email_activity__v/V8C00000004F359", "EN-002110669")</f>
        <v>EN-002110669</v>
      </c>
    </row>
    <row r="9349" spans="1:15" ht="16" x14ac:dyDescent="0.2">
      <c r="A9349" s="26"/>
      <c r="B9349" s="26"/>
      <c r="C9349" s="26"/>
      <c r="D9349" s="26"/>
      <c r="E9349" s="26"/>
      <c r="F9349" s="26"/>
      <c r="G9349" s="26"/>
      <c r="H9349" s="26"/>
      <c r="I9349" s="26"/>
      <c r="J9349" s="26"/>
      <c r="K9349" s="26"/>
      <c r="L9349" s="26"/>
      <c r="M9349" s="26"/>
      <c r="N9349" s="26"/>
      <c r="O9349" s="14" t="str">
        <f>HYPERLINK("https://otsuka-europe-crm.veevavault.com/ui/#object/email_activity__v/V8C00000004I009", "EN-002111010")</f>
        <v>EN-002111010</v>
      </c>
    </row>
    <row r="9350" spans="1:15" ht="16" x14ac:dyDescent="0.2">
      <c r="A9350" s="19"/>
      <c r="B9350" s="19"/>
      <c r="C9350" s="19"/>
      <c r="D9350" s="19"/>
      <c r="E9350" s="19"/>
      <c r="F9350" s="19"/>
      <c r="G9350" s="19"/>
      <c r="H9350" s="19"/>
      <c r="I9350" s="19"/>
      <c r="J9350" s="19"/>
      <c r="K9350" s="19"/>
      <c r="L9350" s="19"/>
      <c r="M9350" s="19"/>
      <c r="N9350" s="19"/>
      <c r="O9350" s="14" t="str">
        <f>HYPERLINK("https://otsuka-europe-crm.veevavault.com/ui/#object/email_activity__v/V8C00000004I010", "EN-002111011")</f>
        <v>EN-002111011</v>
      </c>
    </row>
    <row r="9351" spans="1:15" ht="16" x14ac:dyDescent="0.2">
      <c r="A9351" s="18" t="str">
        <f>HYPERLINK("https://otsuka-europe-crm.veevavault.com/ui/#object/account__v/V4TZ06G6O71TD85", "CARMEN GONZALVO OLLER")</f>
        <v>CARMEN GONZALVO OLLER</v>
      </c>
      <c r="B9351" s="18" t="str">
        <f>HYPERLINK("https://otsuka-europe-crm.veevavault.com/ui/#object/vcountry__v/VENZ000004SONF5", "ES")</f>
        <v>ES</v>
      </c>
      <c r="C9351" s="20" t="s">
        <v>39</v>
      </c>
      <c r="D9351" s="21" t="str">
        <f>HYPERLINK("https://otsuka-europe-crm.veevavault.com/ui/#object/approved_document__v/V5OZ025E82PTCBT", "ENFERMERÍA - Revista Peplau nº5")</f>
        <v>ENFERMERÍA - Revista Peplau nº5</v>
      </c>
      <c r="E9351" s="22" t="str">
        <f>HYPERLINK("https://otsuka-europe-crm.veevavault.com/ui/#object/sent_email__v/VBL00000003H468", "SE-001448930")</f>
        <v>SE-001448930</v>
      </c>
      <c r="F9351" s="23"/>
      <c r="G9351" s="24">
        <v>0</v>
      </c>
      <c r="H9351" s="24">
        <v>0</v>
      </c>
      <c r="I9351" s="24">
        <v>0</v>
      </c>
      <c r="J9351" s="23"/>
      <c r="K9351" s="24">
        <v>0</v>
      </c>
      <c r="L9351" s="22" t="str">
        <f>HYPERLINK("https://otsuka-europe-crm.veevavault.com/ui/#object/approved_document__v/V5OZ025E82PTCBT", "ENFERMERÍA - Revista Peplau nº5")</f>
        <v>ENFERMERÍA - Revista Peplau nº5</v>
      </c>
      <c r="M9351" s="22" t="str">
        <f>HYPERLINK("mailto:jdiaz@crm.otsuka-europe.com", "jdiaz@crm.otsuka-europe.com")</f>
        <v>jdiaz@crm.otsuka-europe.com</v>
      </c>
      <c r="N9351" s="25">
        <v>46234.484155092592</v>
      </c>
      <c r="O9351" s="14" t="str">
        <f>HYPERLINK("https://otsuka-europe-crm.veevavault.com/ui/#object/email_activity__v/V8C00000004F355", "EN-002110647")</f>
        <v>EN-002110647</v>
      </c>
    </row>
    <row r="9352" spans="1:15" ht="16" x14ac:dyDescent="0.2">
      <c r="A9352" s="19"/>
      <c r="B9352" s="19"/>
      <c r="C9352" s="19"/>
      <c r="D9352" s="19"/>
      <c r="E9352" s="19"/>
      <c r="F9352" s="19"/>
      <c r="G9352" s="19"/>
      <c r="H9352" s="19"/>
      <c r="I9352" s="19"/>
      <c r="J9352" s="19"/>
      <c r="K9352" s="19"/>
      <c r="L9352" s="19"/>
      <c r="M9352" s="19"/>
      <c r="N9352" s="19"/>
      <c r="O9352" s="14" t="str">
        <f>HYPERLINK("https://otsuka-europe-crm.veevavault.com/ui/#object/email_activity__v/V8C00000004F497", "EN-002110942")</f>
        <v>EN-002110942</v>
      </c>
    </row>
    <row r="9353" spans="1:15" ht="32" x14ac:dyDescent="0.2">
      <c r="A9353" s="7" t="str">
        <f>HYPERLINK("https://otsuka-europe-crm.veevavault.com/ui/#object/account__v/V4TZ06G6O71TDJ8", "ELENA SANZ ALVAREZ")</f>
        <v>ELENA SANZ ALVAREZ</v>
      </c>
      <c r="B9353" s="7" t="str">
        <f>HYPERLINK("https://otsuka-europe-crm.veevavault.com/ui/#object/vcountry__v/VENZ000004SONF5", "ES")</f>
        <v>ES</v>
      </c>
      <c r="C9353" s="8" t="s">
        <v>39</v>
      </c>
      <c r="D9353" s="9" t="str">
        <f>HYPERLINK("https://otsuka-europe-crm.veevavault.com/ui/#object/approved_document__v/V5OZ025E82PTCBT", "ENFERMERÍA - Revista Peplau nº5")</f>
        <v>ENFERMERÍA - Revista Peplau nº5</v>
      </c>
      <c r="E9353" s="10" t="str">
        <f>HYPERLINK("https://otsuka-europe-crm.veevavault.com/ui/#object/sent_email__v/VBL00000003H469", "SE-001448931")</f>
        <v>SE-001448931</v>
      </c>
      <c r="F9353" s="11"/>
      <c r="G9353" s="12">
        <v>0</v>
      </c>
      <c r="H9353" s="12">
        <v>0</v>
      </c>
      <c r="I9353" s="12">
        <v>0</v>
      </c>
      <c r="J9353" s="11"/>
      <c r="K9353" s="12">
        <v>0</v>
      </c>
      <c r="L9353" s="10" t="str">
        <f>HYPERLINK("https://otsuka-europe-crm.veevavault.com/ui/#object/approved_document__v/V5OZ025E82PTCBT", "ENFERMERÍA - Revista Peplau nº5")</f>
        <v>ENFERMERÍA - Revista Peplau nº5</v>
      </c>
      <c r="M9353" s="10" t="str">
        <f>HYPERLINK("mailto:jdiaz@crm.otsuka-europe.com", "jdiaz@crm.otsuka-europe.com")</f>
        <v>jdiaz@crm.otsuka-europe.com</v>
      </c>
      <c r="N9353" s="13">
        <v>46234.484155092592</v>
      </c>
      <c r="O9353" s="14" t="str">
        <f>HYPERLINK("https://otsuka-europe-crm.veevavault.com/ui/#object/email_activity__v/V8C00000004F356", "EN-002110648")</f>
        <v>EN-002110648</v>
      </c>
    </row>
    <row r="9354" spans="1:15" ht="32" x14ac:dyDescent="0.2">
      <c r="A9354" s="7" t="str">
        <f>HYPERLINK("https://otsuka-europe-crm.veevavault.com/ui/#object/account__v/V4TZ06G6O90JG62", "EVA RIBAS CARDONA")</f>
        <v>EVA RIBAS CARDONA</v>
      </c>
      <c r="B9354" s="7" t="str">
        <f>HYPERLINK("https://otsuka-europe-crm.veevavault.com/ui/#object/vcountry__v/VENZ000004SONF5", "ES")</f>
        <v>ES</v>
      </c>
      <c r="C9354" s="8" t="s">
        <v>39</v>
      </c>
      <c r="D9354" s="9" t="str">
        <f>HYPERLINK("https://otsuka-europe-crm.veevavault.com/ui/#object/approved_document__v/V5OZ025E82PTCBT", "ENFERMERÍA - Revista Peplau nº5")</f>
        <v>ENFERMERÍA - Revista Peplau nº5</v>
      </c>
      <c r="E9354" s="10" t="str">
        <f>HYPERLINK("https://otsuka-europe-crm.veevavault.com/ui/#object/sent_email__v/VBL00000003H470", "SE-001448932")</f>
        <v>SE-001448932</v>
      </c>
      <c r="F9354" s="11"/>
      <c r="G9354" s="12">
        <v>0</v>
      </c>
      <c r="H9354" s="12">
        <v>0</v>
      </c>
      <c r="I9354" s="12">
        <v>0</v>
      </c>
      <c r="J9354" s="11"/>
      <c r="K9354" s="12">
        <v>0</v>
      </c>
      <c r="L9354" s="10" t="str">
        <f>HYPERLINK("https://otsuka-europe-crm.veevavault.com/ui/#object/approved_document__v/V5OZ025E82PTCBT", "ENFERMERÍA - Revista Peplau nº5")</f>
        <v>ENFERMERÍA - Revista Peplau nº5</v>
      </c>
      <c r="M9354" s="10" t="str">
        <f>HYPERLINK("mailto:jdiaz@crm.otsuka-europe.com", "jdiaz@crm.otsuka-europe.com")</f>
        <v>jdiaz@crm.otsuka-europe.com</v>
      </c>
      <c r="N9354" s="13">
        <v>46234.484224537038</v>
      </c>
      <c r="O9354" s="14" t="str">
        <f>HYPERLINK("https://otsuka-europe-crm.veevavault.com/ui/#object/email_activity__v/V8C00000004G496", "EN-002110625")</f>
        <v>EN-002110625</v>
      </c>
    </row>
    <row r="9355" spans="1:15" ht="16" x14ac:dyDescent="0.2">
      <c r="A9355" s="18" t="str">
        <f>HYPERLINK("https://otsuka-europe-crm.veevavault.com/ui/#object/account__v/V4TZ04ASGBCMJIN", "MARTA BENITEZ SORIA")</f>
        <v>MARTA BENITEZ SORIA</v>
      </c>
      <c r="B9355" s="18" t="str">
        <f>HYPERLINK("https://otsuka-europe-crm.veevavault.com/ui/#object/vcountry__v/VENZ000004SONF5", "ES")</f>
        <v>ES</v>
      </c>
      <c r="C9355" s="20" t="s">
        <v>39</v>
      </c>
      <c r="D9355" s="21" t="str">
        <f>HYPERLINK("https://otsuka-europe-crm.veevavault.com/ui/#object/approved_document__v/V5OZ025E82PTCBT", "ENFERMERÍA - Revista Peplau nº5")</f>
        <v>ENFERMERÍA - Revista Peplau nº5</v>
      </c>
      <c r="E9355" s="22" t="str">
        <f>HYPERLINK("https://otsuka-europe-crm.veevavault.com/ui/#object/sent_email__v/VBL00000003H471", "SE-001448933")</f>
        <v>SE-001448933</v>
      </c>
      <c r="F9355" s="25">
        <v>46236.637094907404</v>
      </c>
      <c r="G9355" s="24">
        <v>1</v>
      </c>
      <c r="H9355" s="24">
        <v>1</v>
      </c>
      <c r="I9355" s="24">
        <v>0</v>
      </c>
      <c r="J9355" s="23"/>
      <c r="K9355" s="24">
        <v>0</v>
      </c>
      <c r="L9355" s="22" t="str">
        <f>HYPERLINK("https://otsuka-europe-crm.veevavault.com/ui/#object/approved_document__v/V5OZ025E82PTCBT", "ENFERMERÍA - Revista Peplau nº5")</f>
        <v>ENFERMERÍA - Revista Peplau nº5</v>
      </c>
      <c r="M9355" s="22" t="str">
        <f>HYPERLINK("mailto:jdiaz@crm.otsuka-europe.com", "jdiaz@crm.otsuka-europe.com")</f>
        <v>jdiaz@crm.otsuka-europe.com</v>
      </c>
      <c r="N9355" s="25">
        <v>46234.484224537038</v>
      </c>
      <c r="O9355" s="14" t="str">
        <f>HYPERLINK("https://otsuka-europe-crm.veevavault.com/ui/#object/email_activity__v/V8C00000004F346", "EN-002110631")</f>
        <v>EN-002110631</v>
      </c>
    </row>
    <row r="9356" spans="1:15" ht="16" x14ac:dyDescent="0.2">
      <c r="A9356" s="19"/>
      <c r="B9356" s="19"/>
      <c r="C9356" s="19"/>
      <c r="D9356" s="19"/>
      <c r="E9356" s="19"/>
      <c r="F9356" s="19"/>
      <c r="G9356" s="19"/>
      <c r="H9356" s="19"/>
      <c r="I9356" s="19"/>
      <c r="J9356" s="19"/>
      <c r="K9356" s="19"/>
      <c r="L9356" s="19"/>
      <c r="M9356" s="19"/>
      <c r="N9356" s="19"/>
      <c r="O9356" s="14" t="str">
        <f>HYPERLINK("https://otsuka-europe-crm.veevavault.com/ui/#object/email_activity__v/V8C00000004I071", "EN-002111123")</f>
        <v>EN-002111123</v>
      </c>
    </row>
    <row r="9357" spans="1:15" ht="32" x14ac:dyDescent="0.2">
      <c r="A9357" s="7" t="str">
        <f>HYPERLINK("https://otsuka-europe-crm.veevavault.com/ui/#object/account__v/V4TZ06G6O71TD9E", "MARIA CARMEN CANET CORTES")</f>
        <v>MARIA CARMEN CANET CORTES</v>
      </c>
      <c r="B9357" s="7" t="str">
        <f>HYPERLINK("https://otsuka-europe-crm.veevavault.com/ui/#object/vcountry__v/VENZ000004SONF5", "ES")</f>
        <v>ES</v>
      </c>
      <c r="C9357" s="8" t="s">
        <v>39</v>
      </c>
      <c r="D9357" s="9" t="str">
        <f>HYPERLINK("https://otsuka-europe-crm.veevavault.com/ui/#object/approved_document__v/V5OZ025E82PTCBT", "ENFERMERÍA - Revista Peplau nº5")</f>
        <v>ENFERMERÍA - Revista Peplau nº5</v>
      </c>
      <c r="E9357" s="10" t="str">
        <f>HYPERLINK("https://otsuka-europe-crm.veevavault.com/ui/#object/sent_email__v/VBL00000003H472", "SE-001448934")</f>
        <v>SE-001448934</v>
      </c>
      <c r="F9357" s="11"/>
      <c r="G9357" s="12">
        <v>0</v>
      </c>
      <c r="H9357" s="12">
        <v>0</v>
      </c>
      <c r="I9357" s="12">
        <v>0</v>
      </c>
      <c r="J9357" s="11"/>
      <c r="K9357" s="12">
        <v>0</v>
      </c>
      <c r="L9357" s="10" t="str">
        <f>HYPERLINK("https://otsuka-europe-crm.veevavault.com/ui/#object/approved_document__v/V5OZ025E82PTCBT", "ENFERMERÍA - Revista Peplau nº5")</f>
        <v>ENFERMERÍA - Revista Peplau nº5</v>
      </c>
      <c r="M9357" s="10" t="str">
        <f>HYPERLINK("mailto:jdiaz@crm.otsuka-europe.com", "jdiaz@crm.otsuka-europe.com")</f>
        <v>jdiaz@crm.otsuka-europe.com</v>
      </c>
      <c r="N9357" s="13">
        <v>46234.484224537038</v>
      </c>
      <c r="O9357" s="14" t="str">
        <f>HYPERLINK("https://otsuka-europe-crm.veevavault.com/ui/#object/email_activity__v/V8C00000004F345", "EN-002110630")</f>
        <v>EN-002110630</v>
      </c>
    </row>
    <row r="9358" spans="1:15" ht="32" x14ac:dyDescent="0.2">
      <c r="A9358" s="7" t="str">
        <f>HYPERLINK("https://otsuka-europe-crm.veevavault.com/ui/#object/account__v/V4TZ06G6O71TDJ5", "ANA ISABEL CASTAÑO FERNANDEZ")</f>
        <v>ANA ISABEL CASTAÑO FERNANDEZ</v>
      </c>
      <c r="B9358" s="7" t="str">
        <f>HYPERLINK("https://otsuka-europe-crm.veevavault.com/ui/#object/vcountry__v/VENZ000004SONF5", "ES")</f>
        <v>ES</v>
      </c>
      <c r="C9358" s="8" t="s">
        <v>39</v>
      </c>
      <c r="D9358" s="9" t="str">
        <f>HYPERLINK("https://otsuka-europe-crm.veevavault.com/ui/#object/approved_document__v/V5OZ025E82PTCBT", "ENFERMERÍA - Revista Peplau nº5")</f>
        <v>ENFERMERÍA - Revista Peplau nº5</v>
      </c>
      <c r="E9358" s="10" t="str">
        <f>HYPERLINK("https://otsuka-europe-crm.veevavault.com/ui/#object/sent_email__v/VBL00000003H473", "SE-001448935")</f>
        <v>SE-001448935</v>
      </c>
      <c r="F9358" s="11"/>
      <c r="G9358" s="12">
        <v>0</v>
      </c>
      <c r="H9358" s="12">
        <v>0</v>
      </c>
      <c r="I9358" s="12">
        <v>0</v>
      </c>
      <c r="J9358" s="11"/>
      <c r="K9358" s="12">
        <v>0</v>
      </c>
      <c r="L9358" s="10" t="str">
        <f>HYPERLINK("https://otsuka-europe-crm.veevavault.com/ui/#object/approved_document__v/V5OZ025E82PTCBT", "ENFERMERÍA - Revista Peplau nº5")</f>
        <v>ENFERMERÍA - Revista Peplau nº5</v>
      </c>
      <c r="M9358" s="10" t="str">
        <f>HYPERLINK("mailto:jdiaz@crm.otsuka-europe.com", "jdiaz@crm.otsuka-europe.com")</f>
        <v>jdiaz@crm.otsuka-europe.com</v>
      </c>
      <c r="N9358" s="13">
        <v>46234.484224537038</v>
      </c>
      <c r="O9358" s="14" t="str">
        <f>HYPERLINK("https://otsuka-europe-crm.veevavault.com/ui/#object/email_activity__v/V8C00000004G501", "EN-002110635")</f>
        <v>EN-002110635</v>
      </c>
    </row>
    <row r="9359" spans="1:15" ht="16" x14ac:dyDescent="0.2">
      <c r="A9359" s="18" t="str">
        <f>HYPERLINK("https://otsuka-europe-crm.veevavault.com/ui/#object/account__v/V4TZ06G6OCEH9IE", "LUIS GONZALEZ VAZ-ROMERO")</f>
        <v>LUIS GONZALEZ VAZ-ROMERO</v>
      </c>
      <c r="B9359" s="18" t="str">
        <f>HYPERLINK("https://otsuka-europe-crm.veevavault.com/ui/#object/vcountry__v/VENZ000004SONF5", "ES")</f>
        <v>ES</v>
      </c>
      <c r="C9359" s="20" t="s">
        <v>39</v>
      </c>
      <c r="D9359" s="21" t="str">
        <f>HYPERLINK("https://otsuka-europe-crm.veevavault.com/ui/#object/approved_document__v/V5OZ025E82PTCBT", "ENFERMERÍA - Revista Peplau nº5")</f>
        <v>ENFERMERÍA - Revista Peplau nº5</v>
      </c>
      <c r="E9359" s="22" t="str">
        <f>HYPERLINK("https://otsuka-europe-crm.veevavault.com/ui/#object/sent_email__v/VBL00000003H474", "SE-001448936")</f>
        <v>SE-001448936</v>
      </c>
      <c r="F9359" s="23"/>
      <c r="G9359" s="24">
        <v>0</v>
      </c>
      <c r="H9359" s="24">
        <v>0</v>
      </c>
      <c r="I9359" s="24">
        <v>0</v>
      </c>
      <c r="J9359" s="23"/>
      <c r="K9359" s="24">
        <v>0</v>
      </c>
      <c r="L9359" s="22" t="str">
        <f>HYPERLINK("https://otsuka-europe-crm.veevavault.com/ui/#object/approved_document__v/V5OZ025E82PTCBT", "ENFERMERÍA - Revista Peplau nº5")</f>
        <v>ENFERMERÍA - Revista Peplau nº5</v>
      </c>
      <c r="M9359" s="22" t="str">
        <f>HYPERLINK("mailto:jdiaz@crm.otsuka-europe.com", "jdiaz@crm.otsuka-europe.com")</f>
        <v>jdiaz@crm.otsuka-europe.com</v>
      </c>
      <c r="N9359" s="25">
        <v>46234.484224537038</v>
      </c>
      <c r="O9359" s="14" t="str">
        <f>HYPERLINK("https://otsuka-europe-crm.veevavault.com/ui/#object/email_activity__v/V8C00000004G503", "EN-002110639")</f>
        <v>EN-002110639</v>
      </c>
    </row>
    <row r="9360" spans="1:15" ht="16" x14ac:dyDescent="0.2">
      <c r="A9360" s="19"/>
      <c r="B9360" s="19"/>
      <c r="C9360" s="19"/>
      <c r="D9360" s="19"/>
      <c r="E9360" s="19"/>
      <c r="F9360" s="19"/>
      <c r="G9360" s="19"/>
      <c r="H9360" s="19"/>
      <c r="I9360" s="19"/>
      <c r="J9360" s="19"/>
      <c r="K9360" s="19"/>
      <c r="L9360" s="19"/>
      <c r="M9360" s="19"/>
      <c r="N9360" s="19"/>
      <c r="O9360" s="14" t="str">
        <f>HYPERLINK("https://otsuka-europe-crm.veevavault.com/ui/#object/email_activity__v/V8C00000004H080", "EN-002111087")</f>
        <v>EN-002111087</v>
      </c>
    </row>
    <row r="9361" spans="1:15" ht="32" x14ac:dyDescent="0.2">
      <c r="A9361" s="7" t="str">
        <f>HYPERLINK("https://otsuka-europe-crm.veevavault.com/ui/#object/account__v/V4TZ06G6O71TKPQ", "EUGENIA NADOLU VELEZ")</f>
        <v>EUGENIA NADOLU VELEZ</v>
      </c>
      <c r="B9361" s="7" t="str">
        <f>HYPERLINK("https://otsuka-europe-crm.veevavault.com/ui/#object/vcountry__v/VENZ000004SONF5", "ES")</f>
        <v>ES</v>
      </c>
      <c r="C9361" s="8" t="s">
        <v>39</v>
      </c>
      <c r="D9361" s="9" t="str">
        <f>HYPERLINK("https://otsuka-europe-crm.veevavault.com/ui/#object/approved_document__v/V5OZ025E82PTCBT", "ENFERMERÍA - Revista Peplau nº5")</f>
        <v>ENFERMERÍA - Revista Peplau nº5</v>
      </c>
      <c r="E9361" s="10" t="str">
        <f>HYPERLINK("https://otsuka-europe-crm.veevavault.com/ui/#object/sent_email__v/VBL00000003H475", "SE-001448937")</f>
        <v>SE-001448937</v>
      </c>
      <c r="F9361" s="11"/>
      <c r="G9361" s="12">
        <v>0</v>
      </c>
      <c r="H9361" s="12">
        <v>0</v>
      </c>
      <c r="I9361" s="12">
        <v>0</v>
      </c>
      <c r="J9361" s="11"/>
      <c r="K9361" s="12">
        <v>0</v>
      </c>
      <c r="L9361" s="10" t="str">
        <f>HYPERLINK("https://otsuka-europe-crm.veevavault.com/ui/#object/approved_document__v/V5OZ025E82PTCBT", "ENFERMERÍA - Revista Peplau nº5")</f>
        <v>ENFERMERÍA - Revista Peplau nº5</v>
      </c>
      <c r="M9361" s="10" t="str">
        <f>HYPERLINK("mailto:jdiaz@crm.otsuka-europe.com", "jdiaz@crm.otsuka-europe.com")</f>
        <v>jdiaz@crm.otsuka-europe.com</v>
      </c>
      <c r="N9361" s="13">
        <v>46234.484224537038</v>
      </c>
      <c r="O9361" s="14" t="str">
        <f>HYPERLINK("https://otsuka-europe-crm.veevavault.com/ui/#object/email_activity__v/V8C00000004F349", "EN-002110636")</f>
        <v>EN-002110636</v>
      </c>
    </row>
    <row r="9362" spans="1:15" ht="16" x14ac:dyDescent="0.2">
      <c r="A9362" s="18" t="str">
        <f>HYPERLINK("https://otsuka-europe-crm.veevavault.com/ui/#object/account__v/V4TZ025E831HSTP", "MARIA TERCERO HIDALGO")</f>
        <v>MARIA TERCERO HIDALGO</v>
      </c>
      <c r="B9362" s="18" t="str">
        <f>HYPERLINK("https://otsuka-europe-crm.veevavault.com/ui/#object/vcountry__v/VENZ000004SONF5", "ES")</f>
        <v>ES</v>
      </c>
      <c r="C9362" s="20" t="s">
        <v>39</v>
      </c>
      <c r="D9362" s="21" t="str">
        <f>HYPERLINK("https://otsuka-europe-crm.veevavault.com/ui/#object/approved_document__v/V5OZ025E82PTCBT", "ENFERMERÍA - Revista Peplau nº5")</f>
        <v>ENFERMERÍA - Revista Peplau nº5</v>
      </c>
      <c r="E9362" s="22" t="str">
        <f>HYPERLINK("https://otsuka-europe-crm.veevavault.com/ui/#object/sent_email__v/VBL00000003H476", "SE-001448938")</f>
        <v>SE-001448938</v>
      </c>
      <c r="F9362" s="25">
        <v>46234.498981481483</v>
      </c>
      <c r="G9362" s="24">
        <v>1</v>
      </c>
      <c r="H9362" s="24">
        <v>1</v>
      </c>
      <c r="I9362" s="24">
        <v>0</v>
      </c>
      <c r="J9362" s="23"/>
      <c r="K9362" s="24">
        <v>0</v>
      </c>
      <c r="L9362" s="22" t="str">
        <f>HYPERLINK("https://otsuka-europe-crm.veevavault.com/ui/#object/approved_document__v/V5OZ025E82PTCBT", "ENFERMERÍA - Revista Peplau nº5")</f>
        <v>ENFERMERÍA - Revista Peplau nº5</v>
      </c>
      <c r="M9362" s="22" t="str">
        <f>HYPERLINK("mailto:jdiaz@crm.otsuka-europe.com", "jdiaz@crm.otsuka-europe.com")</f>
        <v>jdiaz@crm.otsuka-europe.com</v>
      </c>
      <c r="N9362" s="25">
        <v>46234.484224537038</v>
      </c>
      <c r="O9362" s="14" t="str">
        <f>HYPERLINK("https://otsuka-europe-crm.veevavault.com/ui/#object/email_activity__v/V8C00000004F347", "EN-002110632")</f>
        <v>EN-002110632</v>
      </c>
    </row>
    <row r="9363" spans="1:15" ht="16" x14ac:dyDescent="0.2">
      <c r="A9363" s="19"/>
      <c r="B9363" s="19"/>
      <c r="C9363" s="19"/>
      <c r="D9363" s="19"/>
      <c r="E9363" s="19"/>
      <c r="F9363" s="19"/>
      <c r="G9363" s="19"/>
      <c r="H9363" s="19"/>
      <c r="I9363" s="19"/>
      <c r="J9363" s="19"/>
      <c r="K9363" s="19"/>
      <c r="L9363" s="19"/>
      <c r="M9363" s="19"/>
      <c r="N9363" s="19"/>
      <c r="O9363" s="14" t="str">
        <f>HYPERLINK("https://otsuka-europe-crm.veevavault.com/ui/#object/email_activity__v/V8C00000004F367", "EN-002110690")</f>
        <v>EN-002110690</v>
      </c>
    </row>
    <row r="9364" spans="1:15" ht="32" x14ac:dyDescent="0.2">
      <c r="A9364" s="7" t="str">
        <f>HYPERLINK("https://otsuka-europe-crm.veevavault.com/ui/#object/account__v/V4TZ06G6O71TDM8", "JESUS RELINQUE VILLALTA")</f>
        <v>JESUS RELINQUE VILLALTA</v>
      </c>
      <c r="B9364" s="7" t="str">
        <f>HYPERLINK("https://otsuka-europe-crm.veevavault.com/ui/#object/vcountry__v/VENZ000004SONF5", "ES")</f>
        <v>ES</v>
      </c>
      <c r="C9364" s="8" t="s">
        <v>39</v>
      </c>
      <c r="D9364" s="9" t="str">
        <f>HYPERLINK("https://otsuka-europe-crm.veevavault.com/ui/#object/approved_document__v/V5OZ025E82PTCBT", "ENFERMERÍA - Revista Peplau nº5")</f>
        <v>ENFERMERÍA - Revista Peplau nº5</v>
      </c>
      <c r="E9364" s="10" t="str">
        <f>HYPERLINK("https://otsuka-europe-crm.veevavault.com/ui/#object/sent_email__v/VBL00000003H477", "SE-001448939")</f>
        <v>SE-001448939</v>
      </c>
      <c r="F9364" s="11"/>
      <c r="G9364" s="12">
        <v>0</v>
      </c>
      <c r="H9364" s="12">
        <v>0</v>
      </c>
      <c r="I9364" s="12">
        <v>0</v>
      </c>
      <c r="J9364" s="11"/>
      <c r="K9364" s="12">
        <v>0</v>
      </c>
      <c r="L9364" s="10" t="str">
        <f>HYPERLINK("https://otsuka-europe-crm.veevavault.com/ui/#object/approved_document__v/V5OZ025E82PTCBT", "ENFERMERÍA - Revista Peplau nº5")</f>
        <v>ENFERMERÍA - Revista Peplau nº5</v>
      </c>
      <c r="M9364" s="10" t="str">
        <f>HYPERLINK("mailto:jdiaz@crm.otsuka-europe.com", "jdiaz@crm.otsuka-europe.com")</f>
        <v>jdiaz@crm.otsuka-europe.com</v>
      </c>
      <c r="N9364" s="13">
        <v>46234.484224537038</v>
      </c>
      <c r="O9364" s="14" t="str">
        <f>HYPERLINK("https://otsuka-europe-crm.veevavault.com/ui/#object/email_activity__v/V8C00000004G510", "EN-002110652")</f>
        <v>EN-002110652</v>
      </c>
    </row>
    <row r="9365" spans="1:15" ht="32" x14ac:dyDescent="0.2">
      <c r="A9365" s="7" t="str">
        <f>HYPERLINK("https://otsuka-europe-crm.veevavault.com/ui/#object/account__v/V4TZ06G6OC6N1KK", "MARTA MARTINEZ JIMENEZ")</f>
        <v>MARTA MARTINEZ JIMENEZ</v>
      </c>
      <c r="B9365" s="7" t="str">
        <f>HYPERLINK("https://otsuka-europe-crm.veevavault.com/ui/#object/vcountry__v/VENZ000004SONF5", "ES")</f>
        <v>ES</v>
      </c>
      <c r="C9365" s="8" t="s">
        <v>39</v>
      </c>
      <c r="D9365" s="9" t="str">
        <f>HYPERLINK("https://otsuka-europe-crm.veevavault.com/ui/#object/approved_document__v/V5OZ025E82PTCBT", "ENFERMERÍA - Revista Peplau nº5")</f>
        <v>ENFERMERÍA - Revista Peplau nº5</v>
      </c>
      <c r="E9365" s="10" t="str">
        <f>HYPERLINK("https://otsuka-europe-crm.veevavault.com/ui/#object/sent_email__v/VBL00000003H478", "SE-001448940")</f>
        <v>SE-001448940</v>
      </c>
      <c r="F9365" s="11"/>
      <c r="G9365" s="12">
        <v>0</v>
      </c>
      <c r="H9365" s="12">
        <v>0</v>
      </c>
      <c r="I9365" s="12">
        <v>0</v>
      </c>
      <c r="J9365" s="11"/>
      <c r="K9365" s="12">
        <v>0</v>
      </c>
      <c r="L9365" s="10" t="str">
        <f>HYPERLINK("https://otsuka-europe-crm.veevavault.com/ui/#object/approved_document__v/V5OZ025E82PTCBT", "ENFERMERÍA - Revista Peplau nº5")</f>
        <v>ENFERMERÍA - Revista Peplau nº5</v>
      </c>
      <c r="M9365" s="10" t="str">
        <f>HYPERLINK("mailto:jdiaz@crm.otsuka-europe.com", "jdiaz@crm.otsuka-europe.com")</f>
        <v>jdiaz@crm.otsuka-europe.com</v>
      </c>
      <c r="N9365" s="13">
        <v>46234.484224537038</v>
      </c>
      <c r="O9365" s="14" t="str">
        <f>HYPERLINK("https://otsuka-europe-crm.veevavault.com/ui/#object/email_activity__v/V8C00000004G502", "EN-002110638")</f>
        <v>EN-002110638</v>
      </c>
    </row>
    <row r="9366" spans="1:15" ht="32" x14ac:dyDescent="0.2">
      <c r="A9366" s="7" t="str">
        <f>HYPERLINK("https://otsuka-europe-crm.veevavault.com/ui/#object/account__v/V4T000000012103", "MARIA LOURDES ALCALA ARANDA")</f>
        <v>MARIA LOURDES ALCALA ARANDA</v>
      </c>
      <c r="B9366" s="7" t="str">
        <f>HYPERLINK("https://otsuka-europe-crm.veevavault.com/ui/#object/vcountry__v/VENZ000004SONF5", "ES")</f>
        <v>ES</v>
      </c>
      <c r="C9366" s="8" t="s">
        <v>39</v>
      </c>
      <c r="D9366" s="9" t="str">
        <f>HYPERLINK("https://otsuka-europe-crm.veevavault.com/ui/#object/approved_document__v/V5OZ025E82PTCBT", "ENFERMERÍA - Revista Peplau nº5")</f>
        <v>ENFERMERÍA - Revista Peplau nº5</v>
      </c>
      <c r="E9366" s="10" t="str">
        <f>HYPERLINK("https://otsuka-europe-crm.veevavault.com/ui/#object/sent_email__v/VBL00000003H479", "SE-001448941")</f>
        <v>SE-001448941</v>
      </c>
      <c r="F9366" s="11"/>
      <c r="G9366" s="12">
        <v>0</v>
      </c>
      <c r="H9366" s="12">
        <v>0</v>
      </c>
      <c r="I9366" s="12">
        <v>0</v>
      </c>
      <c r="J9366" s="11"/>
      <c r="K9366" s="12">
        <v>0</v>
      </c>
      <c r="L9366" s="10" t="str">
        <f>HYPERLINK("https://otsuka-europe-crm.veevavault.com/ui/#object/approved_document__v/V5OZ025E82PTCBT", "ENFERMERÍA - Revista Peplau nº5")</f>
        <v>ENFERMERÍA - Revista Peplau nº5</v>
      </c>
      <c r="M9366" s="10" t="str">
        <f>HYPERLINK("mailto:jdiaz@crm.otsuka-europe.com", "jdiaz@crm.otsuka-europe.com")</f>
        <v>jdiaz@crm.otsuka-europe.com</v>
      </c>
      <c r="N9366" s="13">
        <v>46234.484224537038</v>
      </c>
      <c r="O9366" s="14" t="str">
        <f>HYPERLINK("https://otsuka-europe-crm.veevavault.com/ui/#object/email_activity__v/V8C00000004F353", "EN-002110644")</f>
        <v>EN-002110644</v>
      </c>
    </row>
    <row r="9367" spans="1:15" ht="16" x14ac:dyDescent="0.2">
      <c r="A9367" s="18" t="str">
        <f>HYPERLINK("https://otsuka-europe-crm.veevavault.com/ui/#object/account__v/V4TZ06G6O71TDD5", "MARTA VILARDELL BALASCH")</f>
        <v>MARTA VILARDELL BALASCH</v>
      </c>
      <c r="B9367" s="18" t="str">
        <f>HYPERLINK("https://otsuka-europe-crm.veevavault.com/ui/#object/vcountry__v/VENZ000004SONF5", "ES")</f>
        <v>ES</v>
      </c>
      <c r="C9367" s="20" t="s">
        <v>39</v>
      </c>
      <c r="D9367" s="21" t="str">
        <f>HYPERLINK("https://otsuka-europe-crm.veevavault.com/ui/#object/approved_document__v/V5OZ025E82PTCBT", "ENFERMERÍA - Revista Peplau nº5")</f>
        <v>ENFERMERÍA - Revista Peplau nº5</v>
      </c>
      <c r="E9367" s="22" t="str">
        <f>HYPERLINK("https://otsuka-europe-crm.veevavault.com/ui/#object/sent_email__v/VBL00000003H480", "SE-001448942")</f>
        <v>SE-001448942</v>
      </c>
      <c r="F9367" s="25">
        <v>46238.460555555554</v>
      </c>
      <c r="G9367" s="24">
        <v>1</v>
      </c>
      <c r="H9367" s="24">
        <v>3</v>
      </c>
      <c r="I9367" s="24">
        <v>0</v>
      </c>
      <c r="J9367" s="23"/>
      <c r="K9367" s="24">
        <v>0</v>
      </c>
      <c r="L9367" s="22" t="str">
        <f>HYPERLINK("https://otsuka-europe-crm.veevavault.com/ui/#object/approved_document__v/V5OZ025E82PTCBT", "ENFERMERÍA - Revista Peplau nº5")</f>
        <v>ENFERMERÍA - Revista Peplau nº5</v>
      </c>
      <c r="M9367" s="22" t="str">
        <f>HYPERLINK("mailto:jdiaz@crm.otsuka-europe.com", "jdiaz@crm.otsuka-europe.com")</f>
        <v>jdiaz@crm.otsuka-europe.com</v>
      </c>
      <c r="N9367" s="25">
        <v>46234.484155092592</v>
      </c>
      <c r="O9367" s="14" t="str">
        <f>HYPERLINK("https://otsuka-europe-crm.veevavault.com/ui/#object/email_activity__v/V8C00000004F354", "EN-002110646")</f>
        <v>EN-002110646</v>
      </c>
    </row>
    <row r="9368" spans="1:15" ht="16" x14ac:dyDescent="0.2">
      <c r="A9368" s="26"/>
      <c r="B9368" s="26"/>
      <c r="C9368" s="26"/>
      <c r="D9368" s="26"/>
      <c r="E9368" s="26"/>
      <c r="F9368" s="26"/>
      <c r="G9368" s="26"/>
      <c r="H9368" s="26"/>
      <c r="I9368" s="26"/>
      <c r="J9368" s="26"/>
      <c r="K9368" s="26"/>
      <c r="L9368" s="26"/>
      <c r="M9368" s="26"/>
      <c r="N9368" s="26"/>
      <c r="O9368" s="14" t="str">
        <f>HYPERLINK("https://otsuka-europe-crm.veevavault.com/ui/#object/email_activity__v/V8C00000004H292", "EN-002111451")</f>
        <v>EN-002111451</v>
      </c>
    </row>
    <row r="9369" spans="1:15" ht="16" x14ac:dyDescent="0.2">
      <c r="A9369" s="26"/>
      <c r="B9369" s="26"/>
      <c r="C9369" s="26"/>
      <c r="D9369" s="26"/>
      <c r="E9369" s="26"/>
      <c r="F9369" s="26"/>
      <c r="G9369" s="26"/>
      <c r="H9369" s="26"/>
      <c r="I9369" s="26"/>
      <c r="J9369" s="26"/>
      <c r="K9369" s="26"/>
      <c r="L9369" s="26"/>
      <c r="M9369" s="26"/>
      <c r="N9369" s="26"/>
      <c r="O9369" s="14" t="str">
        <f>HYPERLINK("https://otsuka-europe-crm.veevavault.com/ui/#object/email_activity__v/V8C00000004I185", "EN-002111384")</f>
        <v>EN-002111384</v>
      </c>
    </row>
    <row r="9370" spans="1:15" ht="16" x14ac:dyDescent="0.2">
      <c r="A9370" s="19"/>
      <c r="B9370" s="19"/>
      <c r="C9370" s="19"/>
      <c r="D9370" s="19"/>
      <c r="E9370" s="19"/>
      <c r="F9370" s="19"/>
      <c r="G9370" s="19"/>
      <c r="H9370" s="19"/>
      <c r="I9370" s="19"/>
      <c r="J9370" s="19"/>
      <c r="K9370" s="19"/>
      <c r="L9370" s="19"/>
      <c r="M9370" s="19"/>
      <c r="N9370" s="19"/>
      <c r="O9370" s="14" t="str">
        <f>HYPERLINK("https://otsuka-europe-crm.veevavault.com/ui/#object/email_activity__v/V8C00000004I218", "EN-002111464")</f>
        <v>EN-002111464</v>
      </c>
    </row>
    <row r="9371" spans="1:15" ht="16" x14ac:dyDescent="0.2">
      <c r="A9371" s="18" t="str">
        <f>HYPERLINK("https://otsuka-europe-crm.veevavault.com/ui/#object/account__v/V4TZ06G6O90JGQU", "SONIA VANESSA BONED TORRES")</f>
        <v>SONIA VANESSA BONED TORRES</v>
      </c>
      <c r="B9371" s="18" t="str">
        <f>HYPERLINK("https://otsuka-europe-crm.veevavault.com/ui/#object/vcountry__v/VENZ000004SONF5", "ES")</f>
        <v>ES</v>
      </c>
      <c r="C9371" s="20" t="s">
        <v>39</v>
      </c>
      <c r="D9371" s="21" t="str">
        <f>HYPERLINK("https://otsuka-europe-crm.veevavault.com/ui/#object/approved_document__v/V5OZ025E82PTCBT", "ENFERMERÍA - Revista Peplau nº5")</f>
        <v>ENFERMERÍA - Revista Peplau nº5</v>
      </c>
      <c r="E9371" s="22" t="str">
        <f>HYPERLINK("https://otsuka-europe-crm.veevavault.com/ui/#object/sent_email__v/VBL00000003H481", "SE-001448943")</f>
        <v>SE-001448943</v>
      </c>
      <c r="F9371" s="25">
        <v>46235.737129629626</v>
      </c>
      <c r="G9371" s="24">
        <v>1</v>
      </c>
      <c r="H9371" s="24">
        <v>2</v>
      </c>
      <c r="I9371" s="24">
        <v>0</v>
      </c>
      <c r="J9371" s="23"/>
      <c r="K9371" s="24">
        <v>0</v>
      </c>
      <c r="L9371" s="22" t="str">
        <f>HYPERLINK("https://otsuka-europe-crm.veevavault.com/ui/#object/approved_document__v/V5OZ025E82PTCBT", "ENFERMERÍA - Revista Peplau nº5")</f>
        <v>ENFERMERÍA - Revista Peplau nº5</v>
      </c>
      <c r="M9371" s="22" t="str">
        <f>HYPERLINK("mailto:jdiaz@crm.otsuka-europe.com", "jdiaz@crm.otsuka-europe.com")</f>
        <v>jdiaz@crm.otsuka-europe.com</v>
      </c>
      <c r="N9371" s="25">
        <v>46234.484155092592</v>
      </c>
      <c r="O9371" s="14" t="str">
        <f>HYPERLINK("https://otsuka-europe-crm.veevavault.com/ui/#object/email_activity__v/V8C00000004G508", "EN-002110650")</f>
        <v>EN-002110650</v>
      </c>
    </row>
    <row r="9372" spans="1:15" ht="16" x14ac:dyDescent="0.2">
      <c r="A9372" s="26"/>
      <c r="B9372" s="26"/>
      <c r="C9372" s="26"/>
      <c r="D9372" s="26"/>
      <c r="E9372" s="26"/>
      <c r="F9372" s="26"/>
      <c r="G9372" s="26"/>
      <c r="H9372" s="26"/>
      <c r="I9372" s="26"/>
      <c r="J9372" s="26"/>
      <c r="K9372" s="26"/>
      <c r="L9372" s="26"/>
      <c r="M9372" s="26"/>
      <c r="N9372" s="26"/>
      <c r="O9372" s="14" t="str">
        <f>HYPERLINK("https://otsuka-europe-crm.veevavault.com/ui/#object/email_activity__v/V8C00000004I037", "EN-002111052")</f>
        <v>EN-002111052</v>
      </c>
    </row>
    <row r="9373" spans="1:15" ht="16" x14ac:dyDescent="0.2">
      <c r="A9373" s="19"/>
      <c r="B9373" s="19"/>
      <c r="C9373" s="19"/>
      <c r="D9373" s="19"/>
      <c r="E9373" s="19"/>
      <c r="F9373" s="19"/>
      <c r="G9373" s="19"/>
      <c r="H9373" s="19"/>
      <c r="I9373" s="19"/>
      <c r="J9373" s="19"/>
      <c r="K9373" s="19"/>
      <c r="L9373" s="19"/>
      <c r="M9373" s="19"/>
      <c r="N9373" s="19"/>
      <c r="O9373" s="14" t="str">
        <f>HYPERLINK("https://otsuka-europe-crm.veevavault.com/ui/#object/email_activity__v/V8C00000004I038", "EN-002111053")</f>
        <v>EN-002111053</v>
      </c>
    </row>
    <row r="9374" spans="1:15" ht="16" x14ac:dyDescent="0.2">
      <c r="A9374" s="18" t="str">
        <f>HYPERLINK("https://otsuka-europe-crm.veevavault.com/ui/#object/account__v/V4TZ04ASGCHSX1E", "BARBARA ROMERO SALICIO")</f>
        <v>BARBARA ROMERO SALICIO</v>
      </c>
      <c r="B9374" s="18" t="str">
        <f>HYPERLINK("https://otsuka-europe-crm.veevavault.com/ui/#object/vcountry__v/VENZ000004SONF5", "ES")</f>
        <v>ES</v>
      </c>
      <c r="C9374" s="20" t="s">
        <v>39</v>
      </c>
      <c r="D9374" s="21" t="str">
        <f>HYPERLINK("https://otsuka-europe-crm.veevavault.com/ui/#object/approved_document__v/V5OZ025E82PTCBT", "ENFERMERÍA - Revista Peplau nº5")</f>
        <v>ENFERMERÍA - Revista Peplau nº5</v>
      </c>
      <c r="E9374" s="22" t="str">
        <f>HYPERLINK("https://otsuka-europe-crm.veevavault.com/ui/#object/sent_email__v/VBL00000003H482", "SE-001448944")</f>
        <v>SE-001448944</v>
      </c>
      <c r="F9374" s="23"/>
      <c r="G9374" s="24">
        <v>0</v>
      </c>
      <c r="H9374" s="24">
        <v>0</v>
      </c>
      <c r="I9374" s="24">
        <v>0</v>
      </c>
      <c r="J9374" s="23"/>
      <c r="K9374" s="24">
        <v>0</v>
      </c>
      <c r="L9374" s="22" t="str">
        <f>HYPERLINK("https://otsuka-europe-crm.veevavault.com/ui/#object/approved_document__v/V5OZ025E82PTCBT", "ENFERMERÍA - Revista Peplau nº5")</f>
        <v>ENFERMERÍA - Revista Peplau nº5</v>
      </c>
      <c r="M9374" s="22" t="str">
        <f>HYPERLINK("mailto:jdiaz@crm.otsuka-europe.com", "jdiaz@crm.otsuka-europe.com")</f>
        <v>jdiaz@crm.otsuka-europe.com</v>
      </c>
      <c r="N9374" s="25">
        <v>46234.484155092592</v>
      </c>
      <c r="O9374" s="14" t="str">
        <f>HYPERLINK("https://otsuka-europe-crm.veevavault.com/ui/#object/email_activity__v/V8C00000004G507", "EN-002110649")</f>
        <v>EN-002110649</v>
      </c>
    </row>
    <row r="9375" spans="1:15" ht="16" x14ac:dyDescent="0.2">
      <c r="A9375" s="19"/>
      <c r="B9375" s="19"/>
      <c r="C9375" s="19"/>
      <c r="D9375" s="19"/>
      <c r="E9375" s="19"/>
      <c r="F9375" s="19"/>
      <c r="G9375" s="19"/>
      <c r="H9375" s="19"/>
      <c r="I9375" s="19"/>
      <c r="J9375" s="19"/>
      <c r="K9375" s="19"/>
      <c r="L9375" s="19"/>
      <c r="M9375" s="19"/>
      <c r="N9375" s="19"/>
      <c r="O9375" s="14" t="str">
        <f>HYPERLINK("https://otsuka-europe-crm.veevavault.com/ui/#object/email_activity__v/V8C00000004G570", "EN-002110740")</f>
        <v>EN-002110740</v>
      </c>
    </row>
    <row r="9376" spans="1:15" ht="32" x14ac:dyDescent="0.2">
      <c r="A9376" s="7" t="str">
        <f>HYPERLINK("https://otsuka-europe-crm.veevavault.com/ui/#object/account__v/V4TZ06G6O71US6V", "FRANCISCA CAÑETE RUIZ")</f>
        <v>FRANCISCA CAÑETE RUIZ</v>
      </c>
      <c r="B9376" s="7" t="str">
        <f>HYPERLINK("https://otsuka-europe-crm.veevavault.com/ui/#object/vcountry__v/VENZ000004SONF5", "ES")</f>
        <v>ES</v>
      </c>
      <c r="C9376" s="8" t="s">
        <v>39</v>
      </c>
      <c r="D9376" s="9" t="str">
        <f>HYPERLINK("https://otsuka-europe-crm.veevavault.com/ui/#object/approved_document__v/V5OZ025E82PTCBT", "ENFERMERÍA - Revista Peplau nº5")</f>
        <v>ENFERMERÍA - Revista Peplau nº5</v>
      </c>
      <c r="E9376" s="10" t="str">
        <f>HYPERLINK("https://otsuka-europe-crm.veevavault.com/ui/#object/sent_email__v/VBL00000003H483", "SE-001448945")</f>
        <v>SE-001448945</v>
      </c>
      <c r="F9376" s="11"/>
      <c r="G9376" s="12">
        <v>0</v>
      </c>
      <c r="H9376" s="12">
        <v>0</v>
      </c>
      <c r="I9376" s="12">
        <v>0</v>
      </c>
      <c r="J9376" s="11"/>
      <c r="K9376" s="12">
        <v>0</v>
      </c>
      <c r="L9376" s="10" t="str">
        <f>HYPERLINK("https://otsuka-europe-crm.veevavault.com/ui/#object/approved_document__v/V5OZ025E82PTCBT", "ENFERMERÍA - Revista Peplau nº5")</f>
        <v>ENFERMERÍA - Revista Peplau nº5</v>
      </c>
      <c r="M9376" s="10" t="str">
        <f>HYPERLINK("mailto:jdiaz@crm.otsuka-europe.com", "jdiaz@crm.otsuka-europe.com")</f>
        <v>jdiaz@crm.otsuka-europe.com</v>
      </c>
      <c r="N9376" s="13">
        <v>46234.484224537038</v>
      </c>
      <c r="O9376" s="14" t="str">
        <f>HYPERLINK("https://otsuka-europe-crm.veevavault.com/ui/#object/email_activity__v/V8C00000004F352", "EN-002110643")</f>
        <v>EN-002110643</v>
      </c>
    </row>
    <row r="9377" spans="1:15" ht="32" x14ac:dyDescent="0.2">
      <c r="A9377" s="7" t="str">
        <f>HYPERLINK("https://otsuka-europe-crm.veevavault.com/ui/#object/account__v/V4TZ06G6O71UQZF", "IRENE MARIA NAVARRO MORALES")</f>
        <v>IRENE MARIA NAVARRO MORALES</v>
      </c>
      <c r="B9377" s="7" t="str">
        <f>HYPERLINK("https://otsuka-europe-crm.veevavault.com/ui/#object/vcountry__v/VENZ000004SONF5", "ES")</f>
        <v>ES</v>
      </c>
      <c r="C9377" s="8" t="s">
        <v>39</v>
      </c>
      <c r="D9377" s="9" t="str">
        <f>HYPERLINK("https://otsuka-europe-crm.veevavault.com/ui/#object/approved_document__v/V5OZ025E82PTCBT", "ENFERMERÍA - Revista Peplau nº5")</f>
        <v>ENFERMERÍA - Revista Peplau nº5</v>
      </c>
      <c r="E9377" s="10" t="str">
        <f>HYPERLINK("https://otsuka-europe-crm.veevavault.com/ui/#object/sent_email__v/VBL00000003H484", "SE-001448946")</f>
        <v>SE-001448946</v>
      </c>
      <c r="F9377" s="11"/>
      <c r="G9377" s="12">
        <v>0</v>
      </c>
      <c r="H9377" s="12">
        <v>0</v>
      </c>
      <c r="I9377" s="12">
        <v>0</v>
      </c>
      <c r="J9377" s="11"/>
      <c r="K9377" s="12">
        <v>0</v>
      </c>
      <c r="L9377" s="10" t="str">
        <f>HYPERLINK("https://otsuka-europe-crm.veevavault.com/ui/#object/approved_document__v/V5OZ025E82PTCBT", "ENFERMERÍA - Revista Peplau nº5")</f>
        <v>ENFERMERÍA - Revista Peplau nº5</v>
      </c>
      <c r="M9377" s="10" t="str">
        <f>HYPERLINK("mailto:jdiaz@crm.otsuka-europe.com", "jdiaz@crm.otsuka-europe.com")</f>
        <v>jdiaz@crm.otsuka-europe.com</v>
      </c>
      <c r="N9377" s="13">
        <v>46234.484224537038</v>
      </c>
      <c r="O9377" s="14" t="str">
        <f>HYPERLINK("https://otsuka-europe-crm.veevavault.com/ui/#object/email_activity__v/V8C00000004G504", "EN-002110640")</f>
        <v>EN-002110640</v>
      </c>
    </row>
    <row r="9378" spans="1:15" ht="16" x14ac:dyDescent="0.2">
      <c r="A9378" s="18" t="str">
        <f>HYPERLINK("https://otsuka-europe-crm.veevavault.com/ui/#object/account__v/V4TZ06G6OC6N1KD", "MONICA BERCIANO MORAN")</f>
        <v>MONICA BERCIANO MORAN</v>
      </c>
      <c r="B9378" s="18" t="str">
        <f>HYPERLINK("https://otsuka-europe-crm.veevavault.com/ui/#object/vcountry__v/VENZ000004SONF5", "ES")</f>
        <v>ES</v>
      </c>
      <c r="C9378" s="20" t="s">
        <v>39</v>
      </c>
      <c r="D9378" s="21" t="str">
        <f>HYPERLINK("https://otsuka-europe-crm.veevavault.com/ui/#object/approved_document__v/V5OZ025E82PTCBT", "ENFERMERÍA - Revista Peplau nº5")</f>
        <v>ENFERMERÍA - Revista Peplau nº5</v>
      </c>
      <c r="E9378" s="22" t="str">
        <f>HYPERLINK("https://otsuka-europe-crm.veevavault.com/ui/#object/sent_email__v/VBL00000003H485", "SE-001448947")</f>
        <v>SE-001448947</v>
      </c>
      <c r="F9378" s="23"/>
      <c r="G9378" s="24">
        <v>0</v>
      </c>
      <c r="H9378" s="24">
        <v>0</v>
      </c>
      <c r="I9378" s="24">
        <v>0</v>
      </c>
      <c r="J9378" s="23"/>
      <c r="K9378" s="24">
        <v>0</v>
      </c>
      <c r="L9378" s="22" t="str">
        <f>HYPERLINK("https://otsuka-europe-crm.veevavault.com/ui/#object/approved_document__v/V5OZ025E82PTCBT", "ENFERMERÍA - Revista Peplau nº5")</f>
        <v>ENFERMERÍA - Revista Peplau nº5</v>
      </c>
      <c r="M9378" s="22" t="str">
        <f>HYPERLINK("mailto:jdiaz@crm.otsuka-europe.com", "jdiaz@crm.otsuka-europe.com")</f>
        <v>jdiaz@crm.otsuka-europe.com</v>
      </c>
      <c r="N9378" s="25">
        <v>46234.484224537038</v>
      </c>
      <c r="O9378" s="14" t="str">
        <f>HYPERLINK("https://otsuka-europe-crm.veevavault.com/ui/#object/email_activity__v/V8C00000004F344", "EN-002110629")</f>
        <v>EN-002110629</v>
      </c>
    </row>
    <row r="9379" spans="1:15" ht="16" x14ac:dyDescent="0.2">
      <c r="A9379" s="19"/>
      <c r="B9379" s="19"/>
      <c r="C9379" s="19"/>
      <c r="D9379" s="19"/>
      <c r="E9379" s="19"/>
      <c r="F9379" s="19"/>
      <c r="G9379" s="19"/>
      <c r="H9379" s="19"/>
      <c r="I9379" s="19"/>
      <c r="J9379" s="19"/>
      <c r="K9379" s="19"/>
      <c r="L9379" s="19"/>
      <c r="M9379" s="19"/>
      <c r="N9379" s="19"/>
      <c r="O9379" s="14" t="str">
        <f>HYPERLINK("https://otsuka-europe-crm.veevavault.com/ui/#object/email_activity__v/V8C00000004F468", "EN-002110882")</f>
        <v>EN-002110882</v>
      </c>
    </row>
    <row r="9380" spans="1:15" ht="16" x14ac:dyDescent="0.2">
      <c r="A9380" s="18" t="str">
        <f>HYPERLINK("https://otsuka-europe-crm.veevavault.com/ui/#object/account__v/V4TZ025E831HSTQ", "CAROLINA MARQUET VAUBAN")</f>
        <v>CAROLINA MARQUET VAUBAN</v>
      </c>
      <c r="B9380" s="18" t="str">
        <f>HYPERLINK("https://otsuka-europe-crm.veevavault.com/ui/#object/vcountry__v/VENZ000004SONF5", "ES")</f>
        <v>ES</v>
      </c>
      <c r="C9380" s="20" t="s">
        <v>39</v>
      </c>
      <c r="D9380" s="21" t="str">
        <f>HYPERLINK("https://otsuka-europe-crm.veevavault.com/ui/#object/approved_document__v/V5OZ025E82PTCBT", "ENFERMERÍA - Revista Peplau nº5")</f>
        <v>ENFERMERÍA - Revista Peplau nº5</v>
      </c>
      <c r="E9380" s="22" t="str">
        <f>HYPERLINK("https://otsuka-europe-crm.veevavault.com/ui/#object/sent_email__v/VBL00000003H486", "SE-001448948")</f>
        <v>SE-001448948</v>
      </c>
      <c r="F9380" s="25">
        <v>46238.84233796296</v>
      </c>
      <c r="G9380" s="24">
        <v>1</v>
      </c>
      <c r="H9380" s="24">
        <v>1</v>
      </c>
      <c r="I9380" s="24">
        <v>0</v>
      </c>
      <c r="J9380" s="23"/>
      <c r="K9380" s="24">
        <v>0</v>
      </c>
      <c r="L9380" s="22" t="str">
        <f>HYPERLINK("https://otsuka-europe-crm.veevavault.com/ui/#object/approved_document__v/V5OZ025E82PTCBT", "ENFERMERÍA - Revista Peplau nº5")</f>
        <v>ENFERMERÍA - Revista Peplau nº5</v>
      </c>
      <c r="M9380" s="22" t="str">
        <f>HYPERLINK("mailto:jdiaz@crm.otsuka-europe.com", "jdiaz@crm.otsuka-europe.com")</f>
        <v>jdiaz@crm.otsuka-europe.com</v>
      </c>
      <c r="N9380" s="25">
        <v>46234.484224537038</v>
      </c>
      <c r="O9380" s="14" t="str">
        <f>HYPERLINK("https://otsuka-europe-crm.veevavault.com/ui/#object/email_activity__v/V8C00000004G498", "EN-002110627")</f>
        <v>EN-002110627</v>
      </c>
    </row>
    <row r="9381" spans="1:15" ht="16" x14ac:dyDescent="0.2">
      <c r="A9381" s="19"/>
      <c r="B9381" s="19"/>
      <c r="C9381" s="19"/>
      <c r="D9381" s="19"/>
      <c r="E9381" s="19"/>
      <c r="F9381" s="19"/>
      <c r="G9381" s="19"/>
      <c r="H9381" s="19"/>
      <c r="I9381" s="19"/>
      <c r="J9381" s="19"/>
      <c r="K9381" s="19"/>
      <c r="L9381" s="19"/>
      <c r="M9381" s="19"/>
      <c r="N9381" s="19"/>
      <c r="O9381" s="14" t="str">
        <f>HYPERLINK("https://otsuka-europe-crm.veevavault.com/ui/#object/email_activity__v/V8C00000004H344", "EN-002111560")</f>
        <v>EN-002111560</v>
      </c>
    </row>
    <row r="9382" spans="1:15" ht="16" x14ac:dyDescent="0.2">
      <c r="A9382" s="18" t="str">
        <f>HYPERLINK("https://otsuka-europe-crm.veevavault.com/ui/#object/account__v/V4TZ06G6O71US7K", "LAURA FERNANDEZ TOMAS")</f>
        <v>LAURA FERNANDEZ TOMAS</v>
      </c>
      <c r="B9382" s="18" t="str">
        <f>HYPERLINK("https://otsuka-europe-crm.veevavault.com/ui/#object/vcountry__v/VENZ000004SONF5", "ES")</f>
        <v>ES</v>
      </c>
      <c r="C9382" s="20" t="s">
        <v>39</v>
      </c>
      <c r="D9382" s="21" t="str">
        <f>HYPERLINK("https://otsuka-europe-crm.veevavault.com/ui/#object/approved_document__v/V5OZ025E82PTCBT", "ENFERMERÍA - Revista Peplau nº5")</f>
        <v>ENFERMERÍA - Revista Peplau nº5</v>
      </c>
      <c r="E9382" s="22" t="str">
        <f>HYPERLINK("https://otsuka-europe-crm.veevavault.com/ui/#object/sent_email__v/VBL00000003H487", "SE-001448949")</f>
        <v>SE-001448949</v>
      </c>
      <c r="F9382" s="25">
        <v>46234.52412037037</v>
      </c>
      <c r="G9382" s="24">
        <v>1</v>
      </c>
      <c r="H9382" s="24">
        <v>1</v>
      </c>
      <c r="I9382" s="24">
        <v>0</v>
      </c>
      <c r="J9382" s="23"/>
      <c r="K9382" s="24">
        <v>0</v>
      </c>
      <c r="L9382" s="22" t="str">
        <f>HYPERLINK("https://otsuka-europe-crm.veevavault.com/ui/#object/approved_document__v/V5OZ025E82PTCBT", "ENFERMERÍA - Revista Peplau nº5")</f>
        <v>ENFERMERÍA - Revista Peplau nº5</v>
      </c>
      <c r="M9382" s="22" t="str">
        <f>HYPERLINK("mailto:jdiaz@crm.otsuka-europe.com", "jdiaz@crm.otsuka-europe.com")</f>
        <v>jdiaz@crm.otsuka-europe.com</v>
      </c>
      <c r="N9382" s="25">
        <v>46234.484224537038</v>
      </c>
      <c r="O9382" s="14" t="str">
        <f>HYPERLINK("https://otsuka-europe-crm.veevavault.com/ui/#object/email_activity__v/V8C00000004F351", "EN-002110642")</f>
        <v>EN-002110642</v>
      </c>
    </row>
    <row r="9383" spans="1:15" ht="16" x14ac:dyDescent="0.2">
      <c r="A9383" s="19"/>
      <c r="B9383" s="19"/>
      <c r="C9383" s="19"/>
      <c r="D9383" s="19"/>
      <c r="E9383" s="19"/>
      <c r="F9383" s="19"/>
      <c r="G9383" s="19"/>
      <c r="H9383" s="19"/>
      <c r="I9383" s="19"/>
      <c r="J9383" s="19"/>
      <c r="K9383" s="19"/>
      <c r="L9383" s="19"/>
      <c r="M9383" s="19"/>
      <c r="N9383" s="19"/>
      <c r="O9383" s="14" t="str">
        <f>HYPERLINK("https://otsuka-europe-crm.veevavault.com/ui/#object/email_activity__v/V8C00000004G557", "EN-002110726")</f>
        <v>EN-002110726</v>
      </c>
    </row>
    <row r="9384" spans="1:15" ht="16" x14ac:dyDescent="0.2">
      <c r="A9384" s="18" t="str">
        <f>HYPERLINK("https://otsuka-europe-crm.veevavault.com/ui/#object/account__v/V4TZ025E86VA61U", "MARIA ISABEL ALARCON SAIZ")</f>
        <v>MARIA ISABEL ALARCON SAIZ</v>
      </c>
      <c r="B9384" s="18" t="str">
        <f>HYPERLINK("https://otsuka-europe-crm.veevavault.com/ui/#object/vcountry__v/VENZ000004SONF5", "ES")</f>
        <v>ES</v>
      </c>
      <c r="C9384" s="20" t="s">
        <v>39</v>
      </c>
      <c r="D9384" s="21" t="str">
        <f>HYPERLINK("https://otsuka-europe-crm.veevavault.com/ui/#object/approved_document__v/V5OZ025E82PTCBT", "ENFERMERÍA - Revista Peplau nº5")</f>
        <v>ENFERMERÍA - Revista Peplau nº5</v>
      </c>
      <c r="E9384" s="22" t="str">
        <f>HYPERLINK("https://otsuka-europe-crm.veevavault.com/ui/#object/sent_email__v/VBL00000003H488", "SE-001448950")</f>
        <v>SE-001448950</v>
      </c>
      <c r="F9384" s="25">
        <v>46236.491643518515</v>
      </c>
      <c r="G9384" s="24">
        <v>1</v>
      </c>
      <c r="H9384" s="24">
        <v>1</v>
      </c>
      <c r="I9384" s="24">
        <v>0</v>
      </c>
      <c r="J9384" s="23"/>
      <c r="K9384" s="24">
        <v>0</v>
      </c>
      <c r="L9384" s="22" t="str">
        <f>HYPERLINK("https://otsuka-europe-crm.veevavault.com/ui/#object/approved_document__v/V5OZ025E82PTCBT", "ENFERMERÍA - Revista Peplau nº5")</f>
        <v>ENFERMERÍA - Revista Peplau nº5</v>
      </c>
      <c r="M9384" s="22" t="str">
        <f>HYPERLINK("mailto:jdiaz@crm.otsuka-europe.com", "jdiaz@crm.otsuka-europe.com")</f>
        <v>jdiaz@crm.otsuka-europe.com</v>
      </c>
      <c r="N9384" s="25">
        <v>46234.484224537038</v>
      </c>
      <c r="O9384" s="14" t="str">
        <f>HYPERLINK("https://otsuka-europe-crm.veevavault.com/ui/#object/email_activity__v/V8C00000004G505", "EN-002110641")</f>
        <v>EN-002110641</v>
      </c>
    </row>
    <row r="9385" spans="1:15" ht="16" x14ac:dyDescent="0.2">
      <c r="A9385" s="19"/>
      <c r="B9385" s="19"/>
      <c r="C9385" s="19"/>
      <c r="D9385" s="19"/>
      <c r="E9385" s="19"/>
      <c r="F9385" s="19"/>
      <c r="G9385" s="19"/>
      <c r="H9385" s="19"/>
      <c r="I9385" s="19"/>
      <c r="J9385" s="19"/>
      <c r="K9385" s="19"/>
      <c r="L9385" s="19"/>
      <c r="M9385" s="19"/>
      <c r="N9385" s="19"/>
      <c r="O9385" s="14" t="str">
        <f>HYPERLINK("https://otsuka-europe-crm.veevavault.com/ui/#object/email_activity__v/V8C00000004H097", "EN-002111111")</f>
        <v>EN-002111111</v>
      </c>
    </row>
    <row r="9386" spans="1:15" ht="32" x14ac:dyDescent="0.2">
      <c r="A9386" s="7" t="str">
        <f>HYPERLINK("https://otsuka-europe-crm.veevavault.com/ui/#object/account__v/V4TZ025E877HZ8A", "MARIA MILAGROS ALFAGEME RODRIGUEZ")</f>
        <v>MARIA MILAGROS ALFAGEME RODRIGUEZ</v>
      </c>
      <c r="B9386" s="7" t="str">
        <f>HYPERLINK("https://otsuka-europe-crm.veevavault.com/ui/#object/vcountry__v/VENZ000004SONF5", "ES")</f>
        <v>ES</v>
      </c>
      <c r="C9386" s="8" t="s">
        <v>39</v>
      </c>
      <c r="D9386" s="9" t="str">
        <f>HYPERLINK("https://otsuka-europe-crm.veevavault.com/ui/#object/approved_document__v/V5OZ025E82PTCBT", "ENFERMERÍA - Revista Peplau nº5")</f>
        <v>ENFERMERÍA - Revista Peplau nº5</v>
      </c>
      <c r="E9386" s="10" t="str">
        <f>HYPERLINK("https://otsuka-europe-crm.veevavault.com/ui/#object/sent_email__v/VBL00000003H489", "SE-001448951")</f>
        <v>SE-001448951</v>
      </c>
      <c r="F9386" s="11"/>
      <c r="G9386" s="12">
        <v>0</v>
      </c>
      <c r="H9386" s="12">
        <v>0</v>
      </c>
      <c r="I9386" s="12">
        <v>0</v>
      </c>
      <c r="J9386" s="11"/>
      <c r="K9386" s="12">
        <v>0</v>
      </c>
      <c r="L9386" s="10" t="str">
        <f>HYPERLINK("https://otsuka-europe-crm.veevavault.com/ui/#object/approved_document__v/V5OZ025E82PTCBT", "ENFERMERÍA - Revista Peplau nº5")</f>
        <v>ENFERMERÍA - Revista Peplau nº5</v>
      </c>
      <c r="M9386" s="10" t="str">
        <f>HYPERLINK("mailto:jdiaz@crm.otsuka-europe.com", "jdiaz@crm.otsuka-europe.com")</f>
        <v>jdiaz@crm.otsuka-europe.com</v>
      </c>
      <c r="N9386" s="13">
        <v>46234.484155092592</v>
      </c>
      <c r="O9386" s="14" t="str">
        <f>HYPERLINK("https://otsuka-europe-crm.veevavault.com/ui/#object/email_activity__v/V8C00000004G506", "EN-002110645")</f>
        <v>EN-002110645</v>
      </c>
    </row>
    <row r="9387" spans="1:15" ht="16" x14ac:dyDescent="0.2">
      <c r="A9387" s="18" t="str">
        <f>HYPERLINK("https://otsuka-europe-crm.veevavault.com/ui/#object/account__v/V4TZ06G6O71TD7H", "BELINDA FLORES LUNA TORREJON")</f>
        <v>BELINDA FLORES LUNA TORREJON</v>
      </c>
      <c r="B9387" s="18" t="str">
        <f>HYPERLINK("https://otsuka-europe-crm.veevavault.com/ui/#object/vcountry__v/VENZ000004SONF5", "ES")</f>
        <v>ES</v>
      </c>
      <c r="C9387" s="20" t="s">
        <v>39</v>
      </c>
      <c r="D9387" s="21" t="str">
        <f>HYPERLINK("https://otsuka-europe-crm.veevavault.com/ui/#object/approved_document__v/V5OZ025E82PTCBT", "ENFERMERÍA - Revista Peplau nº5")</f>
        <v>ENFERMERÍA - Revista Peplau nº5</v>
      </c>
      <c r="E9387" s="22" t="str">
        <f>HYPERLINK("https://otsuka-europe-crm.veevavault.com/ui/#object/sent_email__v/VBL00000003H490", "SE-001448952")</f>
        <v>SE-001448952</v>
      </c>
      <c r="F9387" s="23"/>
      <c r="G9387" s="24">
        <v>0</v>
      </c>
      <c r="H9387" s="24">
        <v>0</v>
      </c>
      <c r="I9387" s="24">
        <v>0</v>
      </c>
      <c r="J9387" s="23"/>
      <c r="K9387" s="24">
        <v>0</v>
      </c>
      <c r="L9387" s="22" t="str">
        <f>HYPERLINK("https://otsuka-europe-crm.veevavault.com/ui/#object/approved_document__v/V5OZ025E82PTCBT", "ENFERMERÍA - Revista Peplau nº5")</f>
        <v>ENFERMERÍA - Revista Peplau nº5</v>
      </c>
      <c r="M9387" s="22" t="str">
        <f>HYPERLINK("mailto:jdiaz@crm.otsuka-europe.com", "jdiaz@crm.otsuka-europe.com")</f>
        <v>jdiaz@crm.otsuka-europe.com</v>
      </c>
      <c r="N9387" s="25">
        <v>46234.484224537038</v>
      </c>
      <c r="O9387" s="14" t="str">
        <f>HYPERLINK("https://otsuka-europe-crm.veevavault.com/ui/#object/email_activity__v/V8C00000004F387", "EN-002110743")</f>
        <v>EN-002110743</v>
      </c>
    </row>
    <row r="9388" spans="1:15" ht="16" x14ac:dyDescent="0.2">
      <c r="A9388" s="19"/>
      <c r="B9388" s="19"/>
      <c r="C9388" s="19"/>
      <c r="D9388" s="19"/>
      <c r="E9388" s="19"/>
      <c r="F9388" s="19"/>
      <c r="G9388" s="19"/>
      <c r="H9388" s="19"/>
      <c r="I9388" s="19"/>
      <c r="J9388" s="19"/>
      <c r="K9388" s="19"/>
      <c r="L9388" s="19"/>
      <c r="M9388" s="19"/>
      <c r="N9388" s="19"/>
      <c r="O9388" s="14" t="str">
        <f>HYPERLINK("https://otsuka-europe-crm.veevavault.com/ui/#object/email_activity__v/V8C00000004G499", "EN-002110628")</f>
        <v>EN-002110628</v>
      </c>
    </row>
    <row r="9389" spans="1:15" ht="32" x14ac:dyDescent="0.2">
      <c r="A9389" s="7" t="str">
        <f>HYPERLINK("https://otsuka-europe-crm.veevavault.com/ui/#object/account__v/V4TZ025E82YVDR4", "MARTA MARIA MARTINEZ CIFUENTES")</f>
        <v>MARTA MARIA MARTINEZ CIFUENTES</v>
      </c>
      <c r="B9389" s="7" t="str">
        <f>HYPERLINK("https://otsuka-europe-crm.veevavault.com/ui/#object/vcountry__v/VENZ000004SONF5", "ES")</f>
        <v>ES</v>
      </c>
      <c r="C9389" s="8" t="s">
        <v>39</v>
      </c>
      <c r="D9389" s="9" t="str">
        <f>HYPERLINK("https://otsuka-europe-crm.veevavault.com/ui/#object/approved_document__v/V5OZ025E82PTCBT", "ENFERMERÍA - Revista Peplau nº5")</f>
        <v>ENFERMERÍA - Revista Peplau nº5</v>
      </c>
      <c r="E9389" s="10" t="str">
        <f>HYPERLINK("https://otsuka-europe-crm.veevavault.com/ui/#object/sent_email__v/VBL00000003H491", "SE-001448953")</f>
        <v>SE-001448953</v>
      </c>
      <c r="F9389" s="11"/>
      <c r="G9389" s="12">
        <v>0</v>
      </c>
      <c r="H9389" s="12">
        <v>0</v>
      </c>
      <c r="I9389" s="12">
        <v>0</v>
      </c>
      <c r="J9389" s="11"/>
      <c r="K9389" s="12">
        <v>0</v>
      </c>
      <c r="L9389" s="10" t="str">
        <f>HYPERLINK("https://otsuka-europe-crm.veevavault.com/ui/#object/approved_document__v/V5OZ025E82PTCBT", "ENFERMERÍA - Revista Peplau nº5")</f>
        <v>ENFERMERÍA - Revista Peplau nº5</v>
      </c>
      <c r="M9389" s="10" t="str">
        <f>HYPERLINK("mailto:jdiaz@crm.otsuka-europe.com", "jdiaz@crm.otsuka-europe.com")</f>
        <v>jdiaz@crm.otsuka-europe.com</v>
      </c>
      <c r="N9389" s="13">
        <v>46234.484224537038</v>
      </c>
      <c r="O9389" s="14" t="str">
        <f>HYPERLINK("https://otsuka-europe-crm.veevavault.com/ui/#object/email_activity__v/V8C00000004F348", "EN-002110633")</f>
        <v>EN-002110633</v>
      </c>
    </row>
    <row r="9390" spans="1:15" ht="16" x14ac:dyDescent="0.2">
      <c r="A9390" s="18" t="str">
        <f>HYPERLINK("https://otsuka-europe-crm.veevavault.com/ui/#object/account__v/V4TZ06G6OC6N1KI", "JAIME SEPULVEDA HARO")</f>
        <v>JAIME SEPULVEDA HARO</v>
      </c>
      <c r="B9390" s="18" t="str">
        <f>HYPERLINK("https://otsuka-europe-crm.veevavault.com/ui/#object/vcountry__v/VENZ000004SONF5", "ES")</f>
        <v>ES</v>
      </c>
      <c r="C9390" s="20" t="s">
        <v>39</v>
      </c>
      <c r="D9390" s="21" t="str">
        <f>HYPERLINK("https://otsuka-europe-crm.veevavault.com/ui/#object/approved_document__v/V5OZ025E82PTCBT", "ENFERMERÍA - Revista Peplau nº5")</f>
        <v>ENFERMERÍA - Revista Peplau nº5</v>
      </c>
      <c r="E9390" s="22" t="str">
        <f>HYPERLINK("https://otsuka-europe-crm.veevavault.com/ui/#object/sent_email__v/VBL00000003H492", "SE-001448954")</f>
        <v>SE-001448954</v>
      </c>
      <c r="F9390" s="25">
        <v>46234.497094907405</v>
      </c>
      <c r="G9390" s="24">
        <v>1</v>
      </c>
      <c r="H9390" s="24">
        <v>1</v>
      </c>
      <c r="I9390" s="24">
        <v>0</v>
      </c>
      <c r="J9390" s="23"/>
      <c r="K9390" s="24">
        <v>0</v>
      </c>
      <c r="L9390" s="22" t="str">
        <f>HYPERLINK("https://otsuka-europe-crm.veevavault.com/ui/#object/approved_document__v/V5OZ025E82PTCBT", "ENFERMERÍA - Revista Peplau nº5")</f>
        <v>ENFERMERÍA - Revista Peplau nº5</v>
      </c>
      <c r="M9390" s="22" t="str">
        <f>HYPERLINK("mailto:jdiaz@crm.otsuka-europe.com", "jdiaz@crm.otsuka-europe.com")</f>
        <v>jdiaz@crm.otsuka-europe.com</v>
      </c>
      <c r="N9390" s="25">
        <v>46234.484224537038</v>
      </c>
      <c r="O9390" s="14" t="str">
        <f>HYPERLINK("https://otsuka-europe-crm.veevavault.com/ui/#object/email_activity__v/V8C00000004F350", "EN-002110637")</f>
        <v>EN-002110637</v>
      </c>
    </row>
    <row r="9391" spans="1:15" ht="16" x14ac:dyDescent="0.2">
      <c r="A9391" s="19"/>
      <c r="B9391" s="19"/>
      <c r="C9391" s="19"/>
      <c r="D9391" s="19"/>
      <c r="E9391" s="19"/>
      <c r="F9391" s="19"/>
      <c r="G9391" s="19"/>
      <c r="H9391" s="19"/>
      <c r="I9391" s="19"/>
      <c r="J9391" s="19"/>
      <c r="K9391" s="19"/>
      <c r="L9391" s="19"/>
      <c r="M9391" s="19"/>
      <c r="N9391" s="19"/>
      <c r="O9391" s="14" t="str">
        <f>HYPERLINK("https://otsuka-europe-crm.veevavault.com/ui/#object/email_activity__v/V8C00000004G536", "EN-002110687")</f>
        <v>EN-002110687</v>
      </c>
    </row>
    <row r="9392" spans="1:15" ht="16" x14ac:dyDescent="0.2">
      <c r="A9392" s="18" t="str">
        <f>HYPERLINK("https://otsuka-europe-crm.veevavault.com/ui/#object/account__v/V4TZ025E87AAYM8", "MONICA GRACIA ROSICH")</f>
        <v>MONICA GRACIA ROSICH</v>
      </c>
      <c r="B9392" s="18" t="str">
        <f>HYPERLINK("https://otsuka-europe-crm.veevavault.com/ui/#object/vcountry__v/VENZ000004SONF5", "ES")</f>
        <v>ES</v>
      </c>
      <c r="C9392" s="20" t="s">
        <v>39</v>
      </c>
      <c r="D9392" s="21" t="str">
        <f>HYPERLINK("https://otsuka-europe-crm.veevavault.com/ui/#object/approved_document__v/V5OZ025E82PTCBT", "ENFERMERÍA - Revista Peplau nº5")</f>
        <v>ENFERMERÍA - Revista Peplau nº5</v>
      </c>
      <c r="E9392" s="22" t="str">
        <f>HYPERLINK("https://otsuka-europe-crm.veevavault.com/ui/#object/sent_email__v/VBL00000003H493", "SE-001448955")</f>
        <v>SE-001448955</v>
      </c>
      <c r="F9392" s="25">
        <v>46234.716053240743</v>
      </c>
      <c r="G9392" s="24">
        <v>1</v>
      </c>
      <c r="H9392" s="24">
        <v>1</v>
      </c>
      <c r="I9392" s="24">
        <v>0</v>
      </c>
      <c r="J9392" s="23"/>
      <c r="K9392" s="24">
        <v>0</v>
      </c>
      <c r="L9392" s="22" t="str">
        <f>HYPERLINK("https://otsuka-europe-crm.veevavault.com/ui/#object/approved_document__v/V5OZ025E82PTCBT", "ENFERMERÍA - Revista Peplau nº5")</f>
        <v>ENFERMERÍA - Revista Peplau nº5</v>
      </c>
      <c r="M9392" s="22" t="str">
        <f>HYPERLINK("mailto:jdiaz@crm.otsuka-europe.com", "jdiaz@crm.otsuka-europe.com")</f>
        <v>jdiaz@crm.otsuka-europe.com</v>
      </c>
      <c r="N9392" s="25">
        <v>46234.484224537038</v>
      </c>
      <c r="O9392" s="14" t="str">
        <f>HYPERLINK("https://otsuka-europe-crm.veevavault.com/ui/#object/email_activity__v/V8C00000004G497", "EN-002110626")</f>
        <v>EN-002110626</v>
      </c>
    </row>
    <row r="9393" spans="1:15" ht="16" x14ac:dyDescent="0.2">
      <c r="A9393" s="19"/>
      <c r="B9393" s="19"/>
      <c r="C9393" s="19"/>
      <c r="D9393" s="19"/>
      <c r="E9393" s="19"/>
      <c r="F9393" s="19"/>
      <c r="G9393" s="19"/>
      <c r="H9393" s="19"/>
      <c r="I9393" s="19"/>
      <c r="J9393" s="19"/>
      <c r="K9393" s="19"/>
      <c r="L9393" s="19"/>
      <c r="M9393" s="19"/>
      <c r="N9393" s="19"/>
      <c r="O9393" s="14" t="str">
        <f>HYPERLINK("https://otsuka-europe-crm.veevavault.com/ui/#object/email_activity__v/V8C00000004G621", "EN-002110840")</f>
        <v>EN-002110840</v>
      </c>
    </row>
    <row r="9394" spans="1:15" ht="32" x14ac:dyDescent="0.2">
      <c r="A9394" s="7" t="str">
        <f>HYPERLINK("https://otsuka-europe-crm.veevavault.com/ui/#object/account__v/V4TZ06G6OC6N1KJ", "AINHOA JURADO SANCHEZ")</f>
        <v>AINHOA JURADO SANCHEZ</v>
      </c>
      <c r="B9394" s="7" t="str">
        <f>HYPERLINK("https://otsuka-europe-crm.veevavault.com/ui/#object/vcountry__v/VENZ000004SONF5", "ES")</f>
        <v>ES</v>
      </c>
      <c r="C9394" s="8" t="s">
        <v>39</v>
      </c>
      <c r="D9394" s="9" t="str">
        <f>HYPERLINK("https://otsuka-europe-crm.veevavault.com/ui/#object/approved_document__v/V5OZ025E82PTCBT", "ENFERMERÍA - Revista Peplau nº5")</f>
        <v>ENFERMERÍA - Revista Peplau nº5</v>
      </c>
      <c r="E9394" s="10" t="str">
        <f>HYPERLINK("https://otsuka-europe-crm.veevavault.com/ui/#object/sent_email__v/VBL00000003H494", "SE-001448956")</f>
        <v>SE-001448956</v>
      </c>
      <c r="F9394" s="11"/>
      <c r="G9394" s="12">
        <v>0</v>
      </c>
      <c r="H9394" s="12">
        <v>0</v>
      </c>
      <c r="I9394" s="12">
        <v>0</v>
      </c>
      <c r="J9394" s="11"/>
      <c r="K9394" s="12">
        <v>0</v>
      </c>
      <c r="L9394" s="10" t="str">
        <f>HYPERLINK("https://otsuka-europe-crm.veevavault.com/ui/#object/approved_document__v/V5OZ025E82PTCBT", "ENFERMERÍA - Revista Peplau nº5")</f>
        <v>ENFERMERÍA - Revista Peplau nº5</v>
      </c>
      <c r="M9394" s="10" t="str">
        <f>HYPERLINK("mailto:jdiaz@crm.otsuka-europe.com", "jdiaz@crm.otsuka-europe.com")</f>
        <v>jdiaz@crm.otsuka-europe.com</v>
      </c>
      <c r="N9394" s="13">
        <v>46234.484224537038</v>
      </c>
      <c r="O9394" s="14" t="str">
        <f>HYPERLINK("https://otsuka-europe-crm.veevavault.com/ui/#object/email_activity__v/V8C00000004G500", "EN-002110634")</f>
        <v>EN-002110634</v>
      </c>
    </row>
    <row r="9395" spans="1:15" ht="16" x14ac:dyDescent="0.2">
      <c r="A9395" s="18" t="str">
        <f>HYPERLINK("https://otsuka-europe-crm.veevavault.com/ui/#object/account__v/V4TZ025E866HXWT", "VIRGINIA PUEBLA GARCIA")</f>
        <v>VIRGINIA PUEBLA GARCIA</v>
      </c>
      <c r="B9395" s="18" t="str">
        <f>HYPERLINK("https://otsuka-europe-crm.veevavault.com/ui/#object/vcountry__v/VENZ000004SONF5", "ES")</f>
        <v>ES</v>
      </c>
      <c r="C9395" s="20" t="s">
        <v>39</v>
      </c>
      <c r="D9395" s="21" t="str">
        <f>HYPERLINK("https://otsuka-europe-crm.veevavault.com/ui/#object/approved_document__v/V5OZ06G6O6RFL1P", "ES Veeva Privacy Notice Email")</f>
        <v>ES Veeva Privacy Notice Email</v>
      </c>
      <c r="E9395" s="22" t="str">
        <f>HYPERLINK("https://otsuka-europe-crm.veevavault.com/ui/#object/sent_email__v/VBL00000003G166", "SE-001448957")</f>
        <v>SE-001448957</v>
      </c>
      <c r="F9395" s="25">
        <v>46234.752546296295</v>
      </c>
      <c r="G9395" s="24">
        <v>1</v>
      </c>
      <c r="H9395" s="24">
        <v>2</v>
      </c>
      <c r="I9395" s="24">
        <v>0</v>
      </c>
      <c r="J9395" s="23"/>
      <c r="K9395" s="24">
        <v>0</v>
      </c>
      <c r="L9395" s="22" t="str">
        <f>HYPERLINK("https://otsuka-europe-crm.veevavault.com/ui/#object/approved_document__v/V5OZ06G6O6RFL1P", "ES Veeva Privacy Notice Email")</f>
        <v>ES Veeva Privacy Notice Email</v>
      </c>
      <c r="M9395" s="22" t="str">
        <f>HYPERLINK("mailto:amartinez@crm.otsuka-europe.com", "amartinez@crm.otsuka-europe.com")</f>
        <v>amartinez@crm.otsuka-europe.com</v>
      </c>
      <c r="N9395" s="25">
        <v>46234.493217592593</v>
      </c>
      <c r="O9395" s="14" t="str">
        <f>HYPERLINK("https://otsuka-europe-crm.veevavault.com/ui/#object/email_activity__v/V8C00000004F460", "EN-002110867")</f>
        <v>EN-002110867</v>
      </c>
    </row>
    <row r="9396" spans="1:15" ht="16" x14ac:dyDescent="0.2">
      <c r="A9396" s="26"/>
      <c r="B9396" s="26"/>
      <c r="C9396" s="26"/>
      <c r="D9396" s="26"/>
      <c r="E9396" s="26"/>
      <c r="F9396" s="26"/>
      <c r="G9396" s="26"/>
      <c r="H9396" s="26"/>
      <c r="I9396" s="26"/>
      <c r="J9396" s="26"/>
      <c r="K9396" s="26"/>
      <c r="L9396" s="26"/>
      <c r="M9396" s="26"/>
      <c r="N9396" s="26"/>
      <c r="O9396" s="14" t="str">
        <f>HYPERLINK("https://otsuka-europe-crm.veevavault.com/ui/#object/email_activity__v/V8C00000004G527", "EN-002110675")</f>
        <v>EN-002110675</v>
      </c>
    </row>
    <row r="9397" spans="1:15" ht="16" x14ac:dyDescent="0.2">
      <c r="A9397" s="19"/>
      <c r="B9397" s="19"/>
      <c r="C9397" s="19"/>
      <c r="D9397" s="19"/>
      <c r="E9397" s="19"/>
      <c r="F9397" s="19"/>
      <c r="G9397" s="19"/>
      <c r="H9397" s="19"/>
      <c r="I9397" s="19"/>
      <c r="J9397" s="19"/>
      <c r="K9397" s="19"/>
      <c r="L9397" s="19"/>
      <c r="M9397" s="19"/>
      <c r="N9397" s="19"/>
      <c r="O9397" s="14" t="str">
        <f>HYPERLINK("https://otsuka-europe-crm.veevavault.com/ui/#object/email_activity__v/V8C00000004G625", "EN-002110866")</f>
        <v>EN-002110866</v>
      </c>
    </row>
    <row r="9398" spans="1:15" ht="16" x14ac:dyDescent="0.2">
      <c r="A9398" s="18" t="str">
        <f>HYPERLINK("https://otsuka-europe-crm.veevavault.com/ui/#object/account__v/V4TZ06G6OA5WQFG", "TEST OPSA HCP TEST OPSA HCP")</f>
        <v>TEST OPSA HCP TEST OPSA HCP</v>
      </c>
      <c r="B9398" s="18" t="str">
        <f>HYPERLINK("https://otsuka-europe-crm.veevavault.com/ui/#object/vcountry__v/VENZ000004SONF5", "ES")</f>
        <v>ES</v>
      </c>
      <c r="C9398" s="20" t="s">
        <v>39</v>
      </c>
      <c r="D9398" s="21" t="str">
        <f>HYPERLINK("https://otsuka-europe-crm.veevavault.com/ui/#object/approved_document__v/V5O000000022001", "ECNP Munich: Invitación evento A Moment 2 Share")</f>
        <v>ECNP Munich: Invitación evento A Moment 2 Share</v>
      </c>
      <c r="E9398" s="22" t="str">
        <f>HYPERLINK("https://otsuka-europe-crm.veevavault.com/ui/#object/sent_email__v/VBL00000003G167", "SE-001448958")</f>
        <v>SE-001448958</v>
      </c>
      <c r="F9398" s="25">
        <v>46234.506064814814</v>
      </c>
      <c r="G9398" s="24">
        <v>1</v>
      </c>
      <c r="H9398" s="24">
        <v>3</v>
      </c>
      <c r="I9398" s="24">
        <v>1</v>
      </c>
      <c r="J9398" s="25">
        <v>46234.506423611114</v>
      </c>
      <c r="K9398" s="24">
        <v>3</v>
      </c>
      <c r="L9398" s="22" t="str">
        <f>HYPERLINK("https://otsuka-europe-crm.veevavault.com/ui/#object/approved_document__v/V5O000000022001", "ECNP Munich: Invitación evento A Moment 2 Share")</f>
        <v>ECNP Munich: Invitación evento A Moment 2 Share</v>
      </c>
      <c r="M9398" s="22" t="str">
        <f>HYPERLINK("mailto:msala@crm.otsuka-europe.com", "msala@crm.otsuka-europe.com")</f>
        <v>msala@crm.otsuka-europe.com</v>
      </c>
      <c r="N9398" s="25">
        <v>46234.504884259259</v>
      </c>
      <c r="O9398" s="14" t="str">
        <f>HYPERLINK("https://otsuka-europe-crm.veevavault.com/ui/#object/email_activity__v/V8C00000004F373", "EN-002110703")</f>
        <v>EN-002110703</v>
      </c>
    </row>
    <row r="9399" spans="1:15" ht="16" x14ac:dyDescent="0.2">
      <c r="A9399" s="26"/>
      <c r="B9399" s="26"/>
      <c r="C9399" s="26"/>
      <c r="D9399" s="26"/>
      <c r="E9399" s="26"/>
      <c r="F9399" s="26"/>
      <c r="G9399" s="26"/>
      <c r="H9399" s="26"/>
      <c r="I9399" s="26"/>
      <c r="J9399" s="26"/>
      <c r="K9399" s="26"/>
      <c r="L9399" s="26"/>
      <c r="M9399" s="26"/>
      <c r="N9399" s="26"/>
      <c r="O9399" s="14" t="str">
        <f>HYPERLINK("https://otsuka-europe-crm.veevavault.com/ui/#object/email_activity__v/V8C00000004F374", "EN-002110704")</f>
        <v>EN-002110704</v>
      </c>
    </row>
    <row r="9400" spans="1:15" ht="16" x14ac:dyDescent="0.2">
      <c r="A9400" s="26"/>
      <c r="B9400" s="26"/>
      <c r="C9400" s="26"/>
      <c r="D9400" s="26"/>
      <c r="E9400" s="26"/>
      <c r="F9400" s="26"/>
      <c r="G9400" s="26"/>
      <c r="H9400" s="26"/>
      <c r="I9400" s="26"/>
      <c r="J9400" s="26"/>
      <c r="K9400" s="26"/>
      <c r="L9400" s="26"/>
      <c r="M9400" s="26"/>
      <c r="N9400" s="26"/>
      <c r="O9400" s="14" t="str">
        <f>HYPERLINK("https://otsuka-europe-crm.veevavault.com/ui/#object/email_activity__v/V8C00000004F375", "EN-002110705")</f>
        <v>EN-002110705</v>
      </c>
    </row>
    <row r="9401" spans="1:15" ht="16" x14ac:dyDescent="0.2">
      <c r="A9401" s="26"/>
      <c r="B9401" s="26"/>
      <c r="C9401" s="26"/>
      <c r="D9401" s="26"/>
      <c r="E9401" s="26"/>
      <c r="F9401" s="26"/>
      <c r="G9401" s="26"/>
      <c r="H9401" s="26"/>
      <c r="I9401" s="26"/>
      <c r="J9401" s="26"/>
      <c r="K9401" s="26"/>
      <c r="L9401" s="26"/>
      <c r="M9401" s="26"/>
      <c r="N9401" s="26"/>
      <c r="O9401" s="14" t="str">
        <f>HYPERLINK("https://otsuka-europe-crm.veevavault.com/ui/#object/email_activity__v/V8C00000004F376", "EN-002110706")</f>
        <v>EN-002110706</v>
      </c>
    </row>
    <row r="9402" spans="1:15" ht="16" x14ac:dyDescent="0.2">
      <c r="A9402" s="26"/>
      <c r="B9402" s="26"/>
      <c r="C9402" s="26"/>
      <c r="D9402" s="26"/>
      <c r="E9402" s="26"/>
      <c r="F9402" s="26"/>
      <c r="G9402" s="26"/>
      <c r="H9402" s="26"/>
      <c r="I9402" s="26"/>
      <c r="J9402" s="26"/>
      <c r="K9402" s="26"/>
      <c r="L9402" s="26"/>
      <c r="M9402" s="26"/>
      <c r="N9402" s="26"/>
      <c r="O9402" s="14" t="str">
        <f>HYPERLINK("https://otsuka-europe-crm.veevavault.com/ui/#object/email_activity__v/V8C00000004F377", "EN-002110708")</f>
        <v>EN-002110708</v>
      </c>
    </row>
    <row r="9403" spans="1:15" ht="16" x14ac:dyDescent="0.2">
      <c r="A9403" s="26"/>
      <c r="B9403" s="26"/>
      <c r="C9403" s="26"/>
      <c r="D9403" s="26"/>
      <c r="E9403" s="26"/>
      <c r="F9403" s="26"/>
      <c r="G9403" s="26"/>
      <c r="H9403" s="26"/>
      <c r="I9403" s="26"/>
      <c r="J9403" s="26"/>
      <c r="K9403" s="26"/>
      <c r="L9403" s="26"/>
      <c r="M9403" s="26"/>
      <c r="N9403" s="26"/>
      <c r="O9403" s="14" t="str">
        <f>HYPERLINK("https://otsuka-europe-crm.veevavault.com/ui/#object/email_activity__v/V8C00000004F378", "EN-002110709")</f>
        <v>EN-002110709</v>
      </c>
    </row>
    <row r="9404" spans="1:15" ht="16" x14ac:dyDescent="0.2">
      <c r="A9404" s="19"/>
      <c r="B9404" s="19"/>
      <c r="C9404" s="19"/>
      <c r="D9404" s="19"/>
      <c r="E9404" s="19"/>
      <c r="F9404" s="19"/>
      <c r="G9404" s="19"/>
      <c r="H9404" s="19"/>
      <c r="I9404" s="19"/>
      <c r="J9404" s="19"/>
      <c r="K9404" s="19"/>
      <c r="L9404" s="19"/>
      <c r="M9404" s="19"/>
      <c r="N9404" s="19"/>
      <c r="O9404" s="14" t="str">
        <f>HYPERLINK("https://otsuka-europe-crm.veevavault.com/ui/#object/email_activity__v/V8C00000004G544", "EN-002110702")</f>
        <v>EN-002110702</v>
      </c>
    </row>
    <row r="9405" spans="1:15" ht="16" x14ac:dyDescent="0.2">
      <c r="A9405" s="18" t="str">
        <f>HYPERLINK("https://otsuka-europe-crm.veevavault.com/ui/#object/account__v/V4TZ06G6O71TA16", "MARIA PIEDAD FERNANDEZ CAVIA")</f>
        <v>MARIA PIEDAD FERNANDEZ CAVIA</v>
      </c>
      <c r="B9405" s="18" t="str">
        <f>HYPERLINK("https://otsuka-europe-crm.veevavault.com/ui/#object/vcountry__v/VENZ000004SONF5", "ES")</f>
        <v>ES</v>
      </c>
      <c r="C9405" s="20" t="s">
        <v>39</v>
      </c>
      <c r="D9405" s="21" t="str">
        <f>HYPERLINK("https://otsuka-europe-crm.veevavault.com/ui/#object/approved_document__v/V5O000000022001", "ECNP Munich: Invitación evento A Moment 2 Share")</f>
        <v>ECNP Munich: Invitación evento A Moment 2 Share</v>
      </c>
      <c r="E9405" s="22" t="str">
        <f>HYPERLINK("https://otsuka-europe-crm.veevavault.com/ui/#object/sent_email__v/VBL00000003H495", "SE-001448959")</f>
        <v>SE-001448959</v>
      </c>
      <c r="F9405" s="25">
        <v>46237.574363425927</v>
      </c>
      <c r="G9405" s="24">
        <v>1</v>
      </c>
      <c r="H9405" s="24">
        <v>1</v>
      </c>
      <c r="I9405" s="24">
        <v>0</v>
      </c>
      <c r="J9405" s="23"/>
      <c r="K9405" s="24">
        <v>0</v>
      </c>
      <c r="L9405" s="22" t="str">
        <f>HYPERLINK("https://otsuka-europe-crm.veevavault.com/ui/#object/approved_document__v/V5O000000022001", "ECNP Munich: Invitación evento A Moment 2 Share")</f>
        <v>ECNP Munich: Invitación evento A Moment 2 Share</v>
      </c>
      <c r="M9405" s="22" t="str">
        <f>HYPERLINK("mailto:jllombart@crm.otsuka-europe.com", "jllombart@crm.otsuka-europe.com")</f>
        <v>jllombart@crm.otsuka-europe.com</v>
      </c>
      <c r="N9405" s="25">
        <v>46234.519016203703</v>
      </c>
      <c r="O9405" s="14" t="str">
        <f>HYPERLINK("https://otsuka-europe-crm.veevavault.com/ui/#object/email_activity__v/V8C00000004G553", "EN-002110722")</f>
        <v>EN-002110722</v>
      </c>
    </row>
    <row r="9406" spans="1:15" ht="16" x14ac:dyDescent="0.2">
      <c r="A9406" s="19"/>
      <c r="B9406" s="19"/>
      <c r="C9406" s="19"/>
      <c r="D9406" s="19"/>
      <c r="E9406" s="19"/>
      <c r="F9406" s="19"/>
      <c r="G9406" s="19"/>
      <c r="H9406" s="19"/>
      <c r="I9406" s="19"/>
      <c r="J9406" s="19"/>
      <c r="K9406" s="19"/>
      <c r="L9406" s="19"/>
      <c r="M9406" s="19"/>
      <c r="N9406" s="19"/>
      <c r="O9406" s="14" t="str">
        <f>HYPERLINK("https://otsuka-europe-crm.veevavault.com/ui/#object/email_activity__v/V8C00000004I152", "EN-002111322")</f>
        <v>EN-002111322</v>
      </c>
    </row>
    <row r="9407" spans="1:15" ht="16" x14ac:dyDescent="0.2">
      <c r="A9407" s="18" t="str">
        <f>HYPERLINK("https://otsuka-europe-crm.veevavault.com/ui/#object/account__v/V4TZ06G6O71TAWZ", "CHRISTOPHER MELENDEZ GARCIA")</f>
        <v>CHRISTOPHER MELENDEZ GARCIA</v>
      </c>
      <c r="B9407" s="18" t="str">
        <f>HYPERLINK("https://otsuka-europe-crm.veevavault.com/ui/#object/vcountry__v/VENZ000004SONF5", "ES")</f>
        <v>ES</v>
      </c>
      <c r="C9407" s="20" t="s">
        <v>39</v>
      </c>
      <c r="D9407" s="21" t="str">
        <f>HYPERLINK("https://otsuka-europe-crm.veevavault.com/ui/#object/approved_document__v/V5O000000022001", "ECNP Munich: Invitación evento A Moment 2 Share")</f>
        <v>ECNP Munich: Invitación evento A Moment 2 Share</v>
      </c>
      <c r="E9407" s="22" t="str">
        <f>HYPERLINK("https://otsuka-europe-crm.veevavault.com/ui/#object/sent_email__v/VBL00000003H496", "SE-001448960")</f>
        <v>SE-001448960</v>
      </c>
      <c r="F9407" s="23"/>
      <c r="G9407" s="24">
        <v>0</v>
      </c>
      <c r="H9407" s="24">
        <v>0</v>
      </c>
      <c r="I9407" s="24">
        <v>0</v>
      </c>
      <c r="J9407" s="23"/>
      <c r="K9407" s="24">
        <v>0</v>
      </c>
      <c r="L9407" s="22" t="str">
        <f>HYPERLINK("https://otsuka-europe-crm.veevavault.com/ui/#object/approved_document__v/V5O000000022001", "ECNP Munich: Invitación evento A Moment 2 Share")</f>
        <v>ECNP Munich: Invitación evento A Moment 2 Share</v>
      </c>
      <c r="M9407" s="22" t="str">
        <f>HYPERLINK("mailto:sruiz@crm.otsuka-europe.com", "sruiz@crm.otsuka-europe.com")</f>
        <v>sruiz@crm.otsuka-europe.com</v>
      </c>
      <c r="N9407" s="25">
        <v>46234.695451388892</v>
      </c>
      <c r="O9407" s="14" t="str">
        <f>HYPERLINK("https://otsuka-europe-crm.veevavault.com/ui/#object/email_activity__v/V8C00000004F430", "EN-002110828")</f>
        <v>EN-002110828</v>
      </c>
    </row>
    <row r="9408" spans="1:15" ht="16" x14ac:dyDescent="0.2">
      <c r="A9408" s="19"/>
      <c r="B9408" s="19"/>
      <c r="C9408" s="19"/>
      <c r="D9408" s="19"/>
      <c r="E9408" s="19"/>
      <c r="F9408" s="19"/>
      <c r="G9408" s="19"/>
      <c r="H9408" s="19"/>
      <c r="I9408" s="19"/>
      <c r="J9408" s="19"/>
      <c r="K9408" s="19"/>
      <c r="L9408" s="19"/>
      <c r="M9408" s="19"/>
      <c r="N9408" s="19"/>
      <c r="O9408" s="14" t="str">
        <f>HYPERLINK("https://otsuka-europe-crm.veevavault.com/ui/#object/email_activity__v/V8C00000004G614", "EN-002110825")</f>
        <v>EN-002110825</v>
      </c>
    </row>
    <row r="9409" spans="1:15" ht="16" x14ac:dyDescent="0.2">
      <c r="A9409" s="18" t="str">
        <f>HYPERLINK("https://otsuka-europe-crm.veevavault.com/ui/#object/account__v/V4TZ06G6O71T8T9", "INMACULADA CONCEPCION NAVAS DOMENECH")</f>
        <v>INMACULADA CONCEPCION NAVAS DOMENECH</v>
      </c>
      <c r="B9409" s="18" t="str">
        <f>HYPERLINK("https://otsuka-europe-crm.veevavault.com/ui/#object/vcountry__v/VENZ000004SONF5", "ES")</f>
        <v>ES</v>
      </c>
      <c r="C9409" s="20" t="s">
        <v>39</v>
      </c>
      <c r="D9409" s="21" t="str">
        <f>HYPERLINK("https://otsuka-europe-crm.veevavault.com/ui/#object/approved_document__v/V5O000000022001", "ECNP Munich: Invitación evento A Moment 2 Share")</f>
        <v>ECNP Munich: Invitación evento A Moment 2 Share</v>
      </c>
      <c r="E9409" s="22" t="str">
        <f>HYPERLINK("https://otsuka-europe-crm.veevavault.com/ui/#object/sent_email__v/VBL00000003H497", "SE-001448961")</f>
        <v>SE-001448961</v>
      </c>
      <c r="F9409" s="23"/>
      <c r="G9409" s="24">
        <v>0</v>
      </c>
      <c r="H9409" s="24">
        <v>0</v>
      </c>
      <c r="I9409" s="24">
        <v>0</v>
      </c>
      <c r="J9409" s="23"/>
      <c r="K9409" s="24">
        <v>0</v>
      </c>
      <c r="L9409" s="22" t="str">
        <f>HYPERLINK("https://otsuka-europe-crm.veevavault.com/ui/#object/approved_document__v/V5O000000022001", "ECNP Munich: Invitación evento A Moment 2 Share")</f>
        <v>ECNP Munich: Invitación evento A Moment 2 Share</v>
      </c>
      <c r="M9409" s="22" t="str">
        <f>HYPERLINK("mailto:sruiz@crm.otsuka-europe.com", "sruiz@crm.otsuka-europe.com")</f>
        <v>sruiz@crm.otsuka-europe.com</v>
      </c>
      <c r="N9409" s="25">
        <v>46234.695451388892</v>
      </c>
      <c r="O9409" s="14" t="str">
        <f>HYPERLINK("https://otsuka-europe-crm.veevavault.com/ui/#object/email_activity__v/V8C00000004F428", "EN-002110824")</f>
        <v>EN-002110824</v>
      </c>
    </row>
    <row r="9410" spans="1:15" ht="16" x14ac:dyDescent="0.2">
      <c r="A9410" s="19"/>
      <c r="B9410" s="19"/>
      <c r="C9410" s="19"/>
      <c r="D9410" s="19"/>
      <c r="E9410" s="19"/>
      <c r="F9410" s="19"/>
      <c r="G9410" s="19"/>
      <c r="H9410" s="19"/>
      <c r="I9410" s="19"/>
      <c r="J9410" s="19"/>
      <c r="K9410" s="19"/>
      <c r="L9410" s="19"/>
      <c r="M9410" s="19"/>
      <c r="N9410" s="19"/>
      <c r="O9410" s="14" t="str">
        <f>HYPERLINK("https://otsuka-europe-crm.veevavault.com/ui/#object/email_activity__v/V8C00000004F454", "EN-002110858")</f>
        <v>EN-002110858</v>
      </c>
    </row>
    <row r="9411" spans="1:15" ht="32" x14ac:dyDescent="0.2">
      <c r="A9411" s="7" t="str">
        <f>HYPERLINK("https://otsuka-europe-crm.veevavault.com/ui/#object/account__v/V4TZ06G6OBULSRN", "BETZABETH SUAREZ GUTIERREZ")</f>
        <v>BETZABETH SUAREZ GUTIERREZ</v>
      </c>
      <c r="B9411" s="7" t="str">
        <f>HYPERLINK("https://otsuka-europe-crm.veevavault.com/ui/#object/vcountry__v/VENZ000004SONF5", "ES")</f>
        <v>ES</v>
      </c>
      <c r="C9411" s="8" t="s">
        <v>39</v>
      </c>
      <c r="D9411" s="9" t="str">
        <f>HYPERLINK("https://otsuka-europe-crm.veevavault.com/ui/#object/approved_document__v/V5O000000022001", "ECNP Munich: Invitación evento A Moment 2 Share")</f>
        <v>ECNP Munich: Invitación evento A Moment 2 Share</v>
      </c>
      <c r="E9411" s="10" t="str">
        <f>HYPERLINK("https://otsuka-europe-crm.veevavault.com/ui/#object/sent_email__v/VBL00000003G168", "SE-001448962")</f>
        <v>SE-001448962</v>
      </c>
      <c r="F9411" s="11"/>
      <c r="G9411" s="12">
        <v>0</v>
      </c>
      <c r="H9411" s="12">
        <v>0</v>
      </c>
      <c r="I9411" s="12">
        <v>0</v>
      </c>
      <c r="J9411" s="11"/>
      <c r="K9411" s="12">
        <v>0</v>
      </c>
      <c r="L9411" s="10" t="str">
        <f>HYPERLINK("https://otsuka-europe-crm.veevavault.com/ui/#object/approved_document__v/V5O000000022001", "ECNP Munich: Invitación evento A Moment 2 Share")</f>
        <v>ECNP Munich: Invitación evento A Moment 2 Share</v>
      </c>
      <c r="M9411" s="10" t="str">
        <f>HYPERLINK("mailto:iortega@crm.otsuka-europe.com", "iortega@crm.otsuka-europe.com")</f>
        <v>iortega@crm.otsuka-europe.com</v>
      </c>
      <c r="N9411" s="13">
        <v>46234.716990740744</v>
      </c>
      <c r="O9411" s="14" t="str">
        <f>HYPERLINK("https://otsuka-europe-crm.veevavault.com/ui/#object/email_activity__v/V8C00000004F439", "EN-002110842")</f>
        <v>EN-002110842</v>
      </c>
    </row>
    <row r="9412" spans="1:15" ht="16" x14ac:dyDescent="0.2">
      <c r="A9412" s="18" t="str">
        <f>HYPERLINK("https://otsuka-europe-crm.veevavault.com/ui/#object/account__v/V4TZ025E82SAEA2", "SUSANA SABATER GOMEZ-LUS")</f>
        <v>SUSANA SABATER GOMEZ-LUS</v>
      </c>
      <c r="B9412" s="18" t="str">
        <f>HYPERLINK("https://otsuka-europe-crm.veevavault.com/ui/#object/vcountry__v/VENZ000004SONF5", "ES")</f>
        <v>ES</v>
      </c>
      <c r="C9412" s="20" t="s">
        <v>39</v>
      </c>
      <c r="D9412" s="21" t="str">
        <f>HYPERLINK("https://otsuka-europe-crm.veevavault.com/ui/#object/approved_document__v/V5O000000022001", "ECNP Munich: Invitación evento A Moment 2 Share")</f>
        <v>ECNP Munich: Invitación evento A Moment 2 Share</v>
      </c>
      <c r="E9412" s="22" t="str">
        <f>HYPERLINK("https://otsuka-europe-crm.veevavault.com/ui/#object/sent_email__v/VBL00000003G169", "SE-001448963")</f>
        <v>SE-001448963</v>
      </c>
      <c r="F9412" s="23"/>
      <c r="G9412" s="24">
        <v>0</v>
      </c>
      <c r="H9412" s="24">
        <v>0</v>
      </c>
      <c r="I9412" s="24">
        <v>0</v>
      </c>
      <c r="J9412" s="23"/>
      <c r="K9412" s="24">
        <v>0</v>
      </c>
      <c r="L9412" s="22" t="str">
        <f>HYPERLINK("https://otsuka-europe-crm.veevavault.com/ui/#object/approved_document__v/V5O000000022001", "ECNP Munich: Invitación evento A Moment 2 Share")</f>
        <v>ECNP Munich: Invitación evento A Moment 2 Share</v>
      </c>
      <c r="M9412" s="22" t="str">
        <f>HYPERLINK("mailto:iortega@crm.otsuka-europe.com", "iortega@crm.otsuka-europe.com")</f>
        <v>iortega@crm.otsuka-europe.com</v>
      </c>
      <c r="N9412" s="25">
        <v>46234.717013888891</v>
      </c>
      <c r="O9412" s="14" t="str">
        <f>HYPERLINK("https://otsuka-europe-crm.veevavault.com/ui/#object/email_activity__v/V8C00000004F442", "EN-002110845")</f>
        <v>EN-002110845</v>
      </c>
    </row>
    <row r="9413" spans="1:15" ht="16" x14ac:dyDescent="0.2">
      <c r="A9413" s="19"/>
      <c r="B9413" s="19"/>
      <c r="C9413" s="19"/>
      <c r="D9413" s="19"/>
      <c r="E9413" s="19"/>
      <c r="F9413" s="19"/>
      <c r="G9413" s="19"/>
      <c r="H9413" s="19"/>
      <c r="I9413" s="19"/>
      <c r="J9413" s="19"/>
      <c r="K9413" s="19"/>
      <c r="L9413" s="19"/>
      <c r="M9413" s="19"/>
      <c r="N9413" s="19"/>
      <c r="O9413" s="14" t="str">
        <f>HYPERLINK("https://otsuka-europe-crm.veevavault.com/ui/#object/email_activity__v/V8C00000004G658", "EN-002110936")</f>
        <v>EN-002110936</v>
      </c>
    </row>
    <row r="9414" spans="1:15" ht="16" x14ac:dyDescent="0.2">
      <c r="A9414" s="18" t="str">
        <f>HYPERLINK("https://otsuka-europe-crm.veevavault.com/ui/#object/account__v/V4TZ025E83946IX", "MARIA FERNANDA SUAREZ BELTRAN")</f>
        <v>MARIA FERNANDA SUAREZ BELTRAN</v>
      </c>
      <c r="B9414" s="18" t="str">
        <f>HYPERLINK("https://otsuka-europe-crm.veevavault.com/ui/#object/vcountry__v/VENZ000004SONF5", "ES")</f>
        <v>ES</v>
      </c>
      <c r="C9414" s="20" t="s">
        <v>39</v>
      </c>
      <c r="D9414" s="21" t="str">
        <f>HYPERLINK("https://otsuka-europe-crm.veevavault.com/ui/#object/approved_document__v/V5O000000022001", "ECNP Munich: Invitación evento A Moment 2 Share")</f>
        <v>ECNP Munich: Invitación evento A Moment 2 Share</v>
      </c>
      <c r="E9414" s="22" t="str">
        <f>HYPERLINK("https://otsuka-europe-crm.veevavault.com/ui/#object/sent_email__v/VBL00000003G170", "SE-001448964")</f>
        <v>SE-001448964</v>
      </c>
      <c r="F9414" s="25">
        <v>46238.434027777781</v>
      </c>
      <c r="G9414" s="24">
        <v>1</v>
      </c>
      <c r="H9414" s="24">
        <v>3</v>
      </c>
      <c r="I9414" s="24">
        <v>0</v>
      </c>
      <c r="J9414" s="23"/>
      <c r="K9414" s="24">
        <v>0</v>
      </c>
      <c r="L9414" s="22" t="str">
        <f>HYPERLINK("https://otsuka-europe-crm.veevavault.com/ui/#object/approved_document__v/V5O000000022001", "ECNP Munich: Invitación evento A Moment 2 Share")</f>
        <v>ECNP Munich: Invitación evento A Moment 2 Share</v>
      </c>
      <c r="M9414" s="22" t="str">
        <f>HYPERLINK("mailto:iortega@crm.otsuka-europe.com", "iortega@crm.otsuka-europe.com")</f>
        <v>iortega@crm.otsuka-europe.com</v>
      </c>
      <c r="N9414" s="25">
        <v>46234.717013888891</v>
      </c>
      <c r="O9414" s="14" t="str">
        <f>HYPERLINK("https://otsuka-europe-crm.veevavault.com/ui/#object/email_activity__v/V8C00000004F444", "EN-002110847")</f>
        <v>EN-002110847</v>
      </c>
    </row>
    <row r="9415" spans="1:15" ht="16" x14ac:dyDescent="0.2">
      <c r="A9415" s="26"/>
      <c r="B9415" s="26"/>
      <c r="C9415" s="26"/>
      <c r="D9415" s="26"/>
      <c r="E9415" s="26"/>
      <c r="F9415" s="26"/>
      <c r="G9415" s="26"/>
      <c r="H9415" s="26"/>
      <c r="I9415" s="26"/>
      <c r="J9415" s="26"/>
      <c r="K9415" s="26"/>
      <c r="L9415" s="26"/>
      <c r="M9415" s="26"/>
      <c r="N9415" s="26"/>
      <c r="O9415" s="14" t="str">
        <f>HYPERLINK("https://otsuka-europe-crm.veevavault.com/ui/#object/email_activity__v/V8C00000004H050", "EN-002111008")</f>
        <v>EN-002111008</v>
      </c>
    </row>
    <row r="9416" spans="1:15" ht="16" x14ac:dyDescent="0.2">
      <c r="A9416" s="26"/>
      <c r="B9416" s="26"/>
      <c r="C9416" s="26"/>
      <c r="D9416" s="26"/>
      <c r="E9416" s="26"/>
      <c r="F9416" s="26"/>
      <c r="G9416" s="26"/>
      <c r="H9416" s="26"/>
      <c r="I9416" s="26"/>
      <c r="J9416" s="26"/>
      <c r="K9416" s="26"/>
      <c r="L9416" s="26"/>
      <c r="M9416" s="26"/>
      <c r="N9416" s="26"/>
      <c r="O9416" s="14" t="str">
        <f>HYPERLINK("https://otsuka-europe-crm.veevavault.com/ui/#object/email_activity__v/V8C00000004I031", "EN-002111035")</f>
        <v>EN-002111035</v>
      </c>
    </row>
    <row r="9417" spans="1:15" ht="16" x14ac:dyDescent="0.2">
      <c r="A9417" s="19"/>
      <c r="B9417" s="19"/>
      <c r="C9417" s="19"/>
      <c r="D9417" s="19"/>
      <c r="E9417" s="19"/>
      <c r="F9417" s="19"/>
      <c r="G9417" s="19"/>
      <c r="H9417" s="19"/>
      <c r="I9417" s="19"/>
      <c r="J9417" s="19"/>
      <c r="K9417" s="19"/>
      <c r="L9417" s="19"/>
      <c r="M9417" s="19"/>
      <c r="N9417" s="19"/>
      <c r="O9417" s="14" t="str">
        <f>HYPERLINK("https://otsuka-europe-crm.veevavault.com/ui/#object/email_activity__v/V8C00000004I210", "EN-002111452")</f>
        <v>EN-002111452</v>
      </c>
    </row>
    <row r="9418" spans="1:15" ht="16" x14ac:dyDescent="0.2">
      <c r="A9418" s="18" t="str">
        <f>HYPERLINK("https://otsuka-europe-crm.veevavault.com/ui/#object/account__v/V4TZ06G6O71TAER", "MARIA TERESA CAMPILLO SANZ")</f>
        <v>MARIA TERESA CAMPILLO SANZ</v>
      </c>
      <c r="B9418" s="18" t="str">
        <f>HYPERLINK("https://otsuka-europe-crm.veevavault.com/ui/#object/vcountry__v/VENZ000004SONF5", "ES")</f>
        <v>ES</v>
      </c>
      <c r="C9418" s="20" t="s">
        <v>39</v>
      </c>
      <c r="D9418" s="21" t="str">
        <f>HYPERLINK("https://otsuka-europe-crm.veevavault.com/ui/#object/approved_document__v/V5O000000022001", "ECNP Munich: Invitación evento A Moment 2 Share")</f>
        <v>ECNP Munich: Invitación evento A Moment 2 Share</v>
      </c>
      <c r="E9418" s="22" t="str">
        <f>HYPERLINK("https://otsuka-europe-crm.veevavault.com/ui/#object/sent_email__v/VBL00000003G171", "SE-001448965")</f>
        <v>SE-001448965</v>
      </c>
      <c r="F9418" s="25">
        <v>46237.855613425927</v>
      </c>
      <c r="G9418" s="24">
        <v>1</v>
      </c>
      <c r="H9418" s="24">
        <v>2</v>
      </c>
      <c r="I9418" s="24">
        <v>0</v>
      </c>
      <c r="J9418" s="23"/>
      <c r="K9418" s="24">
        <v>0</v>
      </c>
      <c r="L9418" s="22" t="str">
        <f>HYPERLINK("https://otsuka-europe-crm.veevavault.com/ui/#object/approved_document__v/V5O000000022001", "ECNP Munich: Invitación evento A Moment 2 Share")</f>
        <v>ECNP Munich: Invitación evento A Moment 2 Share</v>
      </c>
      <c r="M9418" s="22" t="str">
        <f>HYPERLINK("mailto:iortega@crm.otsuka-europe.com", "iortega@crm.otsuka-europe.com")</f>
        <v>iortega@crm.otsuka-europe.com</v>
      </c>
      <c r="N9418" s="25">
        <v>46234.717013888891</v>
      </c>
      <c r="O9418" s="14" t="str">
        <f>HYPERLINK("https://otsuka-europe-crm.veevavault.com/ui/#object/email_activity__v/V8C00000004F445", "EN-002110848")</f>
        <v>EN-002110848</v>
      </c>
    </row>
    <row r="9419" spans="1:15" ht="16" x14ac:dyDescent="0.2">
      <c r="A9419" s="26"/>
      <c r="B9419" s="26"/>
      <c r="C9419" s="26"/>
      <c r="D9419" s="26"/>
      <c r="E9419" s="26"/>
      <c r="F9419" s="26"/>
      <c r="G9419" s="26"/>
      <c r="H9419" s="26"/>
      <c r="I9419" s="26"/>
      <c r="J9419" s="26"/>
      <c r="K9419" s="26"/>
      <c r="L9419" s="26"/>
      <c r="M9419" s="26"/>
      <c r="N9419" s="26"/>
      <c r="O9419" s="14" t="str">
        <f>HYPERLINK("https://otsuka-europe-crm.veevavault.com/ui/#object/email_activity__v/V8C00000004H129", "EN-002111177")</f>
        <v>EN-002111177</v>
      </c>
    </row>
    <row r="9420" spans="1:15" ht="16" x14ac:dyDescent="0.2">
      <c r="A9420" s="26"/>
      <c r="B9420" s="26"/>
      <c r="C9420" s="26"/>
      <c r="D9420" s="26"/>
      <c r="E9420" s="26"/>
      <c r="F9420" s="26"/>
      <c r="G9420" s="26"/>
      <c r="H9420" s="26"/>
      <c r="I9420" s="26"/>
      <c r="J9420" s="26"/>
      <c r="K9420" s="26"/>
      <c r="L9420" s="26"/>
      <c r="M9420" s="26"/>
      <c r="N9420" s="26"/>
      <c r="O9420" s="14" t="str">
        <f>HYPERLINK("https://otsuka-europe-crm.veevavault.com/ui/#object/email_activity__v/V8C00000004I020", "EN-002111022")</f>
        <v>EN-002111022</v>
      </c>
    </row>
    <row r="9421" spans="1:15" ht="16" x14ac:dyDescent="0.2">
      <c r="A9421" s="19"/>
      <c r="B9421" s="19"/>
      <c r="C9421" s="19"/>
      <c r="D9421" s="19"/>
      <c r="E9421" s="19"/>
      <c r="F9421" s="19"/>
      <c r="G9421" s="19"/>
      <c r="H9421" s="19"/>
      <c r="I9421" s="19"/>
      <c r="J9421" s="19"/>
      <c r="K9421" s="19"/>
      <c r="L9421" s="19"/>
      <c r="M9421" s="19"/>
      <c r="N9421" s="19"/>
      <c r="O9421" s="14" t="str">
        <f>HYPERLINK("https://otsuka-europe-crm.veevavault.com/ui/#object/email_activity__v/V8C00000004I178", "EN-002111367")</f>
        <v>EN-002111367</v>
      </c>
    </row>
    <row r="9422" spans="1:15" ht="32" x14ac:dyDescent="0.2">
      <c r="A9422" s="7" t="str">
        <f>HYPERLINK("https://otsuka-europe-crm.veevavault.com/ui/#object/account__v/V4TZ06G6O8AELGY", "MARIA FERNANDA MANTILLA REYES")</f>
        <v>MARIA FERNANDA MANTILLA REYES</v>
      </c>
      <c r="B9422" s="7" t="str">
        <f>HYPERLINK("https://otsuka-europe-crm.veevavault.com/ui/#object/vcountry__v/VENZ000004SONF5", "ES")</f>
        <v>ES</v>
      </c>
      <c r="C9422" s="8" t="s">
        <v>39</v>
      </c>
      <c r="D9422" s="9" t="str">
        <f>HYPERLINK("https://otsuka-europe-crm.veevavault.com/ui/#object/approved_document__v/V5O000000022001", "ECNP Munich: Invitación evento A Moment 2 Share")</f>
        <v>ECNP Munich: Invitación evento A Moment 2 Share</v>
      </c>
      <c r="E9422" s="10" t="str">
        <f>HYPERLINK("https://otsuka-europe-crm.veevavault.com/ui/#object/sent_email__v/VBL00000003G172", "SE-001448966")</f>
        <v>SE-001448966</v>
      </c>
      <c r="F9422" s="11"/>
      <c r="G9422" s="12">
        <v>0</v>
      </c>
      <c r="H9422" s="12">
        <v>0</v>
      </c>
      <c r="I9422" s="12">
        <v>0</v>
      </c>
      <c r="J9422" s="11"/>
      <c r="K9422" s="12">
        <v>0</v>
      </c>
      <c r="L9422" s="10" t="str">
        <f>HYPERLINK("https://otsuka-europe-crm.veevavault.com/ui/#object/approved_document__v/V5O000000022001", "ECNP Munich: Invitación evento A Moment 2 Share")</f>
        <v>ECNP Munich: Invitación evento A Moment 2 Share</v>
      </c>
      <c r="M9422" s="10" t="str">
        <f>HYPERLINK("mailto:iortega@crm.otsuka-europe.com", "iortega@crm.otsuka-europe.com")</f>
        <v>iortega@crm.otsuka-europe.com</v>
      </c>
      <c r="N9422" s="13">
        <v>46234.717013888891</v>
      </c>
      <c r="O9422" s="14" t="str">
        <f>HYPERLINK("https://otsuka-europe-crm.veevavault.com/ui/#object/email_activity__v/V8C00000004F441", "EN-002110844")</f>
        <v>EN-002110844</v>
      </c>
    </row>
    <row r="9423" spans="1:15" ht="16" x14ac:dyDescent="0.2">
      <c r="A9423" s="18" t="str">
        <f>HYPERLINK("https://otsuka-europe-crm.veevavault.com/ui/#object/account__v/V4TZ06G6O71WWNF", "MONICA PATRICIA ARIZA ARIZA")</f>
        <v>MONICA PATRICIA ARIZA ARIZA</v>
      </c>
      <c r="B9423" s="18" t="str">
        <f>HYPERLINK("https://otsuka-europe-crm.veevavault.com/ui/#object/vcountry__v/VENZ000004SONF5", "ES")</f>
        <v>ES</v>
      </c>
      <c r="C9423" s="20" t="s">
        <v>39</v>
      </c>
      <c r="D9423" s="21" t="str">
        <f>HYPERLINK("https://otsuka-europe-crm.veevavault.com/ui/#object/approved_document__v/V5O000000022001", "ECNP Munich: Invitación evento A Moment 2 Share")</f>
        <v>ECNP Munich: Invitación evento A Moment 2 Share</v>
      </c>
      <c r="E9423" s="22" t="str">
        <f>HYPERLINK("https://otsuka-europe-crm.veevavault.com/ui/#object/sent_email__v/VBL00000003G173", "SE-001448967")</f>
        <v>SE-001448967</v>
      </c>
      <c r="F9423" s="25">
        <v>46237.300763888888</v>
      </c>
      <c r="G9423" s="24">
        <v>1</v>
      </c>
      <c r="H9423" s="24">
        <v>6</v>
      </c>
      <c r="I9423" s="24">
        <v>0</v>
      </c>
      <c r="J9423" s="23"/>
      <c r="K9423" s="24">
        <v>0</v>
      </c>
      <c r="L9423" s="22" t="str">
        <f>HYPERLINK("https://otsuka-europe-crm.veevavault.com/ui/#object/approved_document__v/V5O000000022001", "ECNP Munich: Invitación evento A Moment 2 Share")</f>
        <v>ECNP Munich: Invitación evento A Moment 2 Share</v>
      </c>
      <c r="M9423" s="22" t="str">
        <f>HYPERLINK("mailto:iortega@crm.otsuka-europe.com", "iortega@crm.otsuka-europe.com")</f>
        <v>iortega@crm.otsuka-europe.com</v>
      </c>
      <c r="N9423" s="25">
        <v>46234.717013888891</v>
      </c>
      <c r="O9423" s="14" t="str">
        <f>HYPERLINK("https://otsuka-europe-crm.veevavault.com/ui/#object/email_activity__v/V8C00000004F438", "EN-002110841")</f>
        <v>EN-002110841</v>
      </c>
    </row>
    <row r="9424" spans="1:15" ht="16" x14ac:dyDescent="0.2">
      <c r="A9424" s="26"/>
      <c r="B9424" s="26"/>
      <c r="C9424" s="26"/>
      <c r="D9424" s="26"/>
      <c r="E9424" s="26"/>
      <c r="F9424" s="26"/>
      <c r="G9424" s="26"/>
      <c r="H9424" s="26"/>
      <c r="I9424" s="26"/>
      <c r="J9424" s="26"/>
      <c r="K9424" s="26"/>
      <c r="L9424" s="26"/>
      <c r="M9424" s="26"/>
      <c r="N9424" s="26"/>
      <c r="O9424" s="14" t="str">
        <f>HYPERLINK("https://otsuka-europe-crm.veevavault.com/ui/#object/email_activity__v/V8C00000004H045", "EN-002111002")</f>
        <v>EN-002111002</v>
      </c>
    </row>
    <row r="9425" spans="1:15" ht="16" x14ac:dyDescent="0.2">
      <c r="A9425" s="26"/>
      <c r="B9425" s="26"/>
      <c r="C9425" s="26"/>
      <c r="D9425" s="26"/>
      <c r="E9425" s="26"/>
      <c r="F9425" s="26"/>
      <c r="G9425" s="26"/>
      <c r="H9425" s="26"/>
      <c r="I9425" s="26"/>
      <c r="J9425" s="26"/>
      <c r="K9425" s="26"/>
      <c r="L9425" s="26"/>
      <c r="M9425" s="26"/>
      <c r="N9425" s="26"/>
      <c r="O9425" s="14" t="str">
        <f>HYPERLINK("https://otsuka-europe-crm.veevavault.com/ui/#object/email_activity__v/V8C00000004H069", "EN-002111059")</f>
        <v>EN-002111059</v>
      </c>
    </row>
    <row r="9426" spans="1:15" ht="16" x14ac:dyDescent="0.2">
      <c r="A9426" s="26"/>
      <c r="B9426" s="26"/>
      <c r="C9426" s="26"/>
      <c r="D9426" s="26"/>
      <c r="E9426" s="26"/>
      <c r="F9426" s="26"/>
      <c r="G9426" s="26"/>
      <c r="H9426" s="26"/>
      <c r="I9426" s="26"/>
      <c r="J9426" s="26"/>
      <c r="K9426" s="26"/>
      <c r="L9426" s="26"/>
      <c r="M9426" s="26"/>
      <c r="N9426" s="26"/>
      <c r="O9426" s="14" t="str">
        <f>HYPERLINK("https://otsuka-europe-crm.veevavault.com/ui/#object/email_activity__v/V8C00000004H130", "EN-002111178")</f>
        <v>EN-002111178</v>
      </c>
    </row>
    <row r="9427" spans="1:15" ht="16" x14ac:dyDescent="0.2">
      <c r="A9427" s="26"/>
      <c r="B9427" s="26"/>
      <c r="C9427" s="26"/>
      <c r="D9427" s="26"/>
      <c r="E9427" s="26"/>
      <c r="F9427" s="26"/>
      <c r="G9427" s="26"/>
      <c r="H9427" s="26"/>
      <c r="I9427" s="26"/>
      <c r="J9427" s="26"/>
      <c r="K9427" s="26"/>
      <c r="L9427" s="26"/>
      <c r="M9427" s="26"/>
      <c r="N9427" s="26"/>
      <c r="O9427" s="14" t="str">
        <f>HYPERLINK("https://otsuka-europe-crm.veevavault.com/ui/#object/email_activity__v/V8C00000004H131", "EN-002111179")</f>
        <v>EN-002111179</v>
      </c>
    </row>
    <row r="9428" spans="1:15" ht="16" x14ac:dyDescent="0.2">
      <c r="A9428" s="26"/>
      <c r="B9428" s="26"/>
      <c r="C9428" s="26"/>
      <c r="D9428" s="26"/>
      <c r="E9428" s="26"/>
      <c r="F9428" s="26"/>
      <c r="G9428" s="26"/>
      <c r="H9428" s="26"/>
      <c r="I9428" s="26"/>
      <c r="J9428" s="26"/>
      <c r="K9428" s="26"/>
      <c r="L9428" s="26"/>
      <c r="M9428" s="26"/>
      <c r="N9428" s="26"/>
      <c r="O9428" s="14" t="str">
        <f>HYPERLINK("https://otsuka-europe-crm.veevavault.com/ui/#object/email_activity__v/V8C00000004I006", "EN-002111000")</f>
        <v>EN-002111000</v>
      </c>
    </row>
    <row r="9429" spans="1:15" ht="16" x14ac:dyDescent="0.2">
      <c r="A9429" s="19"/>
      <c r="B9429" s="19"/>
      <c r="C9429" s="19"/>
      <c r="D9429" s="19"/>
      <c r="E9429" s="19"/>
      <c r="F9429" s="19"/>
      <c r="G9429" s="19"/>
      <c r="H9429" s="19"/>
      <c r="I9429" s="19"/>
      <c r="J9429" s="19"/>
      <c r="K9429" s="19"/>
      <c r="L9429" s="19"/>
      <c r="M9429" s="19"/>
      <c r="N9429" s="19"/>
      <c r="O9429" s="14" t="str">
        <f>HYPERLINK("https://otsuka-europe-crm.veevavault.com/ui/#object/email_activity__v/V8C00000004I007", "EN-002111001")</f>
        <v>EN-002111001</v>
      </c>
    </row>
    <row r="9430" spans="1:15" ht="32" x14ac:dyDescent="0.2">
      <c r="A9430" s="7" t="str">
        <f>HYPERLINK("https://otsuka-europe-crm.veevavault.com/ui/#object/account__v/V4TZ025E8393SK6", "DIXIANA CARMEN PLANCHE RODRIGUEZ")</f>
        <v>DIXIANA CARMEN PLANCHE RODRIGUEZ</v>
      </c>
      <c r="B9430" s="7" t="str">
        <f>HYPERLINK("https://otsuka-europe-crm.veevavault.com/ui/#object/vcountry__v/VENZ000004SONF5", "ES")</f>
        <v>ES</v>
      </c>
      <c r="C9430" s="8" t="s">
        <v>39</v>
      </c>
      <c r="D9430" s="9" t="str">
        <f>HYPERLINK("https://otsuka-europe-crm.veevavault.com/ui/#object/approved_document__v/V5O000000022001", "ECNP Munich: Invitación evento A Moment 2 Share")</f>
        <v>ECNP Munich: Invitación evento A Moment 2 Share</v>
      </c>
      <c r="E9430" s="10" t="str">
        <f>HYPERLINK("https://otsuka-europe-crm.veevavault.com/ui/#object/sent_email__v/VBL00000003G174", "SE-001448968")</f>
        <v>SE-001448968</v>
      </c>
      <c r="F9430" s="11"/>
      <c r="G9430" s="12">
        <v>0</v>
      </c>
      <c r="H9430" s="12">
        <v>0</v>
      </c>
      <c r="I9430" s="12">
        <v>0</v>
      </c>
      <c r="J9430" s="11"/>
      <c r="K9430" s="12">
        <v>0</v>
      </c>
      <c r="L9430" s="10" t="str">
        <f>HYPERLINK("https://otsuka-europe-crm.veevavault.com/ui/#object/approved_document__v/V5O000000022001", "ECNP Munich: Invitación evento A Moment 2 Share")</f>
        <v>ECNP Munich: Invitación evento A Moment 2 Share</v>
      </c>
      <c r="M9430" s="10" t="str">
        <f>HYPERLINK("mailto:iortega@crm.otsuka-europe.com", "iortega@crm.otsuka-europe.com")</f>
        <v>iortega@crm.otsuka-europe.com</v>
      </c>
      <c r="N9430" s="13">
        <v>46234.717013888891</v>
      </c>
      <c r="O9430" s="14" t="str">
        <f>HYPERLINK("https://otsuka-europe-crm.veevavault.com/ui/#object/email_activity__v/V8C00000004F446", "EN-002110849")</f>
        <v>EN-002110849</v>
      </c>
    </row>
    <row r="9431" spans="1:15" ht="32" x14ac:dyDescent="0.2">
      <c r="A9431" s="7" t="str">
        <f>HYPERLINK("https://otsuka-europe-crm.veevavault.com/ui/#object/account__v/V4TZ06G6O71UQPI", "JOANA MARIA BAUZA RAMIS")</f>
        <v>JOANA MARIA BAUZA RAMIS</v>
      </c>
      <c r="B9431" s="7" t="str">
        <f>HYPERLINK("https://otsuka-europe-crm.veevavault.com/ui/#object/vcountry__v/VENZ000004SONF5", "ES")</f>
        <v>ES</v>
      </c>
      <c r="C9431" s="8" t="s">
        <v>39</v>
      </c>
      <c r="D9431" s="9" t="str">
        <f>HYPERLINK("https://otsuka-europe-crm.veevavault.com/ui/#object/approved_document__v/V5O000000022001", "ECNP Munich: Invitación evento A Moment 2 Share")</f>
        <v>ECNP Munich: Invitación evento A Moment 2 Share</v>
      </c>
      <c r="E9431" s="10" t="str">
        <f>HYPERLINK("https://otsuka-europe-crm.veevavault.com/ui/#object/sent_email__v/VBL00000003G175", "SE-001448969")</f>
        <v>SE-001448969</v>
      </c>
      <c r="F9431" s="11"/>
      <c r="G9431" s="12">
        <v>0</v>
      </c>
      <c r="H9431" s="12">
        <v>0</v>
      </c>
      <c r="I9431" s="12">
        <v>0</v>
      </c>
      <c r="J9431" s="11"/>
      <c r="K9431" s="12">
        <v>0</v>
      </c>
      <c r="L9431" s="10" t="str">
        <f>HYPERLINK("https://otsuka-europe-crm.veevavault.com/ui/#object/approved_document__v/V5O000000022001", "ECNP Munich: Invitación evento A Moment 2 Share")</f>
        <v>ECNP Munich: Invitación evento A Moment 2 Share</v>
      </c>
      <c r="M9431" s="10" t="str">
        <f>HYPERLINK("mailto:iortega@crm.otsuka-europe.com", "iortega@crm.otsuka-europe.com")</f>
        <v>iortega@crm.otsuka-europe.com</v>
      </c>
      <c r="N9431" s="13">
        <v>46234.717013888891</v>
      </c>
      <c r="O9431" s="14" t="str">
        <f>HYPERLINK("https://otsuka-europe-crm.veevavault.com/ui/#object/email_activity__v/V8C00000004F443", "EN-002110846")</f>
        <v>EN-002110846</v>
      </c>
    </row>
    <row r="9432" spans="1:15" ht="16" x14ac:dyDescent="0.2">
      <c r="A9432" s="18" t="str">
        <f>HYPERLINK("https://otsuka-europe-crm.veevavault.com/ui/#object/account__v/V4TZ025E82QX5NU", "FRANCESCA GARCIAS PUIGSERVER")</f>
        <v>FRANCESCA GARCIAS PUIGSERVER</v>
      </c>
      <c r="B9432" s="18" t="str">
        <f>HYPERLINK("https://otsuka-europe-crm.veevavault.com/ui/#object/vcountry__v/VENZ000004SONF5", "ES")</f>
        <v>ES</v>
      </c>
      <c r="C9432" s="20" t="s">
        <v>39</v>
      </c>
      <c r="D9432" s="21" t="str">
        <f>HYPERLINK("https://otsuka-europe-crm.veevavault.com/ui/#object/approved_document__v/V5O000000022001", "ECNP Munich: Invitación evento A Moment 2 Share")</f>
        <v>ECNP Munich: Invitación evento A Moment 2 Share</v>
      </c>
      <c r="E9432" s="22" t="str">
        <f>HYPERLINK("https://otsuka-europe-crm.veevavault.com/ui/#object/sent_email__v/VBL00000003G176", "SE-001448970")</f>
        <v>SE-001448970</v>
      </c>
      <c r="F9432" s="25">
        <v>46236.923900462964</v>
      </c>
      <c r="G9432" s="24">
        <v>1</v>
      </c>
      <c r="H9432" s="24">
        <v>1</v>
      </c>
      <c r="I9432" s="24">
        <v>0</v>
      </c>
      <c r="J9432" s="23"/>
      <c r="K9432" s="24">
        <v>0</v>
      </c>
      <c r="L9432" s="22" t="str">
        <f>HYPERLINK("https://otsuka-europe-crm.veevavault.com/ui/#object/approved_document__v/V5O000000022001", "ECNP Munich: Invitación evento A Moment 2 Share")</f>
        <v>ECNP Munich: Invitación evento A Moment 2 Share</v>
      </c>
      <c r="M9432" s="22" t="str">
        <f>HYPERLINK("mailto:iortega@crm.otsuka-europe.com", "iortega@crm.otsuka-europe.com")</f>
        <v>iortega@crm.otsuka-europe.com</v>
      </c>
      <c r="N9432" s="25">
        <v>46234.717013888891</v>
      </c>
      <c r="O9432" s="14" t="str">
        <f>HYPERLINK("https://otsuka-europe-crm.veevavault.com/ui/#object/email_activity__v/V8C00000004F447", "EN-002110850")</f>
        <v>EN-002110850</v>
      </c>
    </row>
    <row r="9433" spans="1:15" ht="16" x14ac:dyDescent="0.2">
      <c r="A9433" s="19"/>
      <c r="B9433" s="19"/>
      <c r="C9433" s="19"/>
      <c r="D9433" s="19"/>
      <c r="E9433" s="19"/>
      <c r="F9433" s="19"/>
      <c r="G9433" s="19"/>
      <c r="H9433" s="19"/>
      <c r="I9433" s="19"/>
      <c r="J9433" s="19"/>
      <c r="K9433" s="19"/>
      <c r="L9433" s="19"/>
      <c r="M9433" s="19"/>
      <c r="N9433" s="19"/>
      <c r="O9433" s="14" t="str">
        <f>HYPERLINK("https://otsuka-europe-crm.veevavault.com/ui/#object/email_activity__v/V8C00000004I089", "EN-002111158")</f>
        <v>EN-002111158</v>
      </c>
    </row>
    <row r="9434" spans="1:15" ht="16" x14ac:dyDescent="0.2">
      <c r="A9434" s="18" t="str">
        <f>HYPERLINK("https://otsuka-europe-crm.veevavault.com/ui/#object/account__v/V4TZ06G6O71TACV", "LUIS GONZALEZ CONTRERAS")</f>
        <v>LUIS GONZALEZ CONTRERAS</v>
      </c>
      <c r="B9434" s="18" t="str">
        <f>HYPERLINK("https://otsuka-europe-crm.veevavault.com/ui/#object/vcountry__v/VENZ000004SONF5", "ES")</f>
        <v>ES</v>
      </c>
      <c r="C9434" s="20" t="s">
        <v>39</v>
      </c>
      <c r="D9434" s="21" t="str">
        <f>HYPERLINK("https://otsuka-europe-crm.veevavault.com/ui/#object/approved_document__v/V5O000000022001", "ECNP Munich: Invitación evento A Moment 2 Share")</f>
        <v>ECNP Munich: Invitación evento A Moment 2 Share</v>
      </c>
      <c r="E9434" s="22" t="str">
        <f>HYPERLINK("https://otsuka-europe-crm.veevavault.com/ui/#object/sent_email__v/VBL00000003G177", "SE-001448971")</f>
        <v>SE-001448971</v>
      </c>
      <c r="F9434" s="25">
        <v>46238.290185185186</v>
      </c>
      <c r="G9434" s="24">
        <v>1</v>
      </c>
      <c r="H9434" s="24">
        <v>1</v>
      </c>
      <c r="I9434" s="24">
        <v>0</v>
      </c>
      <c r="J9434" s="23"/>
      <c r="K9434" s="24">
        <v>0</v>
      </c>
      <c r="L9434" s="22" t="str">
        <f>HYPERLINK("https://otsuka-europe-crm.veevavault.com/ui/#object/approved_document__v/V5O000000022001", "ECNP Munich: Invitación evento A Moment 2 Share")</f>
        <v>ECNP Munich: Invitación evento A Moment 2 Share</v>
      </c>
      <c r="M9434" s="22" t="str">
        <f>HYPERLINK("mailto:iortega@crm.otsuka-europe.com", "iortega@crm.otsuka-europe.com")</f>
        <v>iortega@crm.otsuka-europe.com</v>
      </c>
      <c r="N9434" s="25">
        <v>46234.716990740744</v>
      </c>
      <c r="O9434" s="14" t="str">
        <f>HYPERLINK("https://otsuka-europe-crm.veevavault.com/ui/#object/email_activity__v/V8C00000004F440", "EN-002110843")</f>
        <v>EN-002110843</v>
      </c>
    </row>
    <row r="9435" spans="1:15" ht="16" x14ac:dyDescent="0.2">
      <c r="A9435" s="19"/>
      <c r="B9435" s="19"/>
      <c r="C9435" s="19"/>
      <c r="D9435" s="19"/>
      <c r="E9435" s="19"/>
      <c r="F9435" s="19"/>
      <c r="G9435" s="19"/>
      <c r="H9435" s="19"/>
      <c r="I9435" s="19"/>
      <c r="J9435" s="19"/>
      <c r="K9435" s="19"/>
      <c r="L9435" s="19"/>
      <c r="M9435" s="19"/>
      <c r="N9435" s="19"/>
      <c r="O9435" s="14" t="str">
        <f>HYPERLINK("https://otsuka-europe-crm.veevavault.com/ui/#object/email_activity__v/V8C00000004H252", "EN-002111387")</f>
        <v>EN-002111387</v>
      </c>
    </row>
  </sheetData>
  <mergeCells count="30480">
    <mergeCell ref="A9432:A9433"/>
    <mergeCell ref="B9432:B9433"/>
    <mergeCell ref="C9432:C9433"/>
    <mergeCell ref="D9432:D9433"/>
    <mergeCell ref="E9432:E9433"/>
    <mergeCell ref="F9432:F9433"/>
    <mergeCell ref="G9432:G9433"/>
    <mergeCell ref="H9432:H9433"/>
    <mergeCell ref="I9432:I9433"/>
    <mergeCell ref="J9432:J9433"/>
    <mergeCell ref="K9432:K9433"/>
    <mergeCell ref="L9432:L9433"/>
    <mergeCell ref="M9432:M9433"/>
    <mergeCell ref="N9432:N9433"/>
    <mergeCell ref="A9434:A9435"/>
    <mergeCell ref="B9434:B9435"/>
    <mergeCell ref="C9434:C9435"/>
    <mergeCell ref="D9434:D9435"/>
    <mergeCell ref="E9434:E9435"/>
    <mergeCell ref="F9434:F9435"/>
    <mergeCell ref="G9434:G9435"/>
    <mergeCell ref="H9434:H9435"/>
    <mergeCell ref="I9434:I9435"/>
    <mergeCell ref="J9434:J9435"/>
    <mergeCell ref="K9434:K9435"/>
    <mergeCell ref="L9434:L9435"/>
    <mergeCell ref="M9434:M9435"/>
    <mergeCell ref="N9434:N9435"/>
    <mergeCell ref="A9414:A9417"/>
    <mergeCell ref="B9414:B9417"/>
    <mergeCell ref="C9414:C9417"/>
    <mergeCell ref="D9414:D9417"/>
    <mergeCell ref="E9414:E9417"/>
    <mergeCell ref="F9414:F9417"/>
    <mergeCell ref="G9414:G9417"/>
    <mergeCell ref="H9414:H9417"/>
    <mergeCell ref="I9414:I9417"/>
    <mergeCell ref="J9414:J9417"/>
    <mergeCell ref="K9414:K9417"/>
    <mergeCell ref="L9414:L9417"/>
    <mergeCell ref="M9414:M9417"/>
    <mergeCell ref="N9414:N9417"/>
    <mergeCell ref="A9418:A9421"/>
    <mergeCell ref="B9418:B9421"/>
    <mergeCell ref="C9418:C9421"/>
    <mergeCell ref="D9418:D9421"/>
    <mergeCell ref="E9418:E9421"/>
    <mergeCell ref="F9418:F9421"/>
    <mergeCell ref="G9418:G9421"/>
    <mergeCell ref="H9418:H9421"/>
    <mergeCell ref="I9418:I9421"/>
    <mergeCell ref="J9418:J9421"/>
    <mergeCell ref="K9418:K9421"/>
    <mergeCell ref="L9418:L9421"/>
    <mergeCell ref="M9418:M9421"/>
    <mergeCell ref="N9418:N9421"/>
    <mergeCell ref="A9423:A9429"/>
    <mergeCell ref="B9423:B9429"/>
    <mergeCell ref="C9423:C9429"/>
    <mergeCell ref="D9423:D9429"/>
    <mergeCell ref="E9423:E9429"/>
    <mergeCell ref="F9423:F9429"/>
    <mergeCell ref="G9423:G9429"/>
    <mergeCell ref="H9423:H9429"/>
    <mergeCell ref="I9423:I9429"/>
    <mergeCell ref="J9423:J9429"/>
    <mergeCell ref="K9423:K9429"/>
    <mergeCell ref="L9423:L9429"/>
    <mergeCell ref="M9423:M9429"/>
    <mergeCell ref="N9423:N9429"/>
    <mergeCell ref="A9407:A9408"/>
    <mergeCell ref="B9407:B9408"/>
    <mergeCell ref="C9407:C9408"/>
    <mergeCell ref="D9407:D9408"/>
    <mergeCell ref="E9407:E9408"/>
    <mergeCell ref="F9407:F9408"/>
    <mergeCell ref="G9407:G9408"/>
    <mergeCell ref="H9407:H9408"/>
    <mergeCell ref="I9407:I9408"/>
    <mergeCell ref="J9407:J9408"/>
    <mergeCell ref="K9407:K9408"/>
    <mergeCell ref="L9407:L9408"/>
    <mergeCell ref="M9407:M9408"/>
    <mergeCell ref="N9407:N9408"/>
    <mergeCell ref="A9409:A9410"/>
    <mergeCell ref="B9409:B9410"/>
    <mergeCell ref="C9409:C9410"/>
    <mergeCell ref="D9409:D9410"/>
    <mergeCell ref="E9409:E9410"/>
    <mergeCell ref="F9409:F9410"/>
    <mergeCell ref="G9409:G9410"/>
    <mergeCell ref="H9409:H9410"/>
    <mergeCell ref="I9409:I9410"/>
    <mergeCell ref="J9409:J9410"/>
    <mergeCell ref="K9409:K9410"/>
    <mergeCell ref="L9409:L9410"/>
    <mergeCell ref="M9409:M9410"/>
    <mergeCell ref="N9409:N9410"/>
    <mergeCell ref="A9412:A9413"/>
    <mergeCell ref="B9412:B9413"/>
    <mergeCell ref="C9412:C9413"/>
    <mergeCell ref="D9412:D9413"/>
    <mergeCell ref="E9412:E9413"/>
    <mergeCell ref="F9412:F9413"/>
    <mergeCell ref="G9412:G9413"/>
    <mergeCell ref="H9412:H9413"/>
    <mergeCell ref="I9412:I9413"/>
    <mergeCell ref="J9412:J9413"/>
    <mergeCell ref="K9412:K9413"/>
    <mergeCell ref="L9412:L9413"/>
    <mergeCell ref="M9412:M9413"/>
    <mergeCell ref="N9412:N9413"/>
    <mergeCell ref="A9395:A9397"/>
    <mergeCell ref="B9395:B9397"/>
    <mergeCell ref="C9395:C9397"/>
    <mergeCell ref="D9395:D9397"/>
    <mergeCell ref="E9395:E9397"/>
    <mergeCell ref="F9395:F9397"/>
    <mergeCell ref="G9395:G9397"/>
    <mergeCell ref="H9395:H9397"/>
    <mergeCell ref="I9395:I9397"/>
    <mergeCell ref="J9395:J9397"/>
    <mergeCell ref="K9395:K9397"/>
    <mergeCell ref="L9395:L9397"/>
    <mergeCell ref="M9395:M9397"/>
    <mergeCell ref="N9395:N9397"/>
    <mergeCell ref="A9398:A9404"/>
    <mergeCell ref="B9398:B9404"/>
    <mergeCell ref="C9398:C9404"/>
    <mergeCell ref="D9398:D9404"/>
    <mergeCell ref="E9398:E9404"/>
    <mergeCell ref="F9398:F9404"/>
    <mergeCell ref="G9398:G9404"/>
    <mergeCell ref="H9398:H9404"/>
    <mergeCell ref="I9398:I9404"/>
    <mergeCell ref="J9398:J9404"/>
    <mergeCell ref="K9398:K9404"/>
    <mergeCell ref="L9398:L9404"/>
    <mergeCell ref="M9398:M9404"/>
    <mergeCell ref="N9398:N9404"/>
    <mergeCell ref="A9405:A9406"/>
    <mergeCell ref="B9405:B9406"/>
    <mergeCell ref="C9405:C9406"/>
    <mergeCell ref="D9405:D9406"/>
    <mergeCell ref="E9405:E9406"/>
    <mergeCell ref="F9405:F9406"/>
    <mergeCell ref="G9405:G9406"/>
    <mergeCell ref="H9405:H9406"/>
    <mergeCell ref="I9405:I9406"/>
    <mergeCell ref="J9405:J9406"/>
    <mergeCell ref="K9405:K9406"/>
    <mergeCell ref="L9405:L9406"/>
    <mergeCell ref="M9405:M9406"/>
    <mergeCell ref="N9405:N9406"/>
    <mergeCell ref="A9387:A9388"/>
    <mergeCell ref="B9387:B9388"/>
    <mergeCell ref="C9387:C9388"/>
    <mergeCell ref="D9387:D9388"/>
    <mergeCell ref="E9387:E9388"/>
    <mergeCell ref="F9387:F9388"/>
    <mergeCell ref="G9387:G9388"/>
    <mergeCell ref="H9387:H9388"/>
    <mergeCell ref="I9387:I9388"/>
    <mergeCell ref="J9387:J9388"/>
    <mergeCell ref="K9387:K9388"/>
    <mergeCell ref="L9387:L9388"/>
    <mergeCell ref="M9387:M9388"/>
    <mergeCell ref="N9387:N9388"/>
    <mergeCell ref="A9390:A9391"/>
    <mergeCell ref="B9390:B9391"/>
    <mergeCell ref="C9390:C9391"/>
    <mergeCell ref="D9390:D9391"/>
    <mergeCell ref="E9390:E9391"/>
    <mergeCell ref="F9390:F9391"/>
    <mergeCell ref="G9390:G9391"/>
    <mergeCell ref="H9390:H9391"/>
    <mergeCell ref="I9390:I9391"/>
    <mergeCell ref="J9390:J9391"/>
    <mergeCell ref="K9390:K9391"/>
    <mergeCell ref="L9390:L9391"/>
    <mergeCell ref="M9390:M9391"/>
    <mergeCell ref="N9390:N9391"/>
    <mergeCell ref="A9392:A9393"/>
    <mergeCell ref="B9392:B9393"/>
    <mergeCell ref="C9392:C9393"/>
    <mergeCell ref="D9392:D9393"/>
    <mergeCell ref="E9392:E9393"/>
    <mergeCell ref="F9392:F9393"/>
    <mergeCell ref="G9392:G9393"/>
    <mergeCell ref="H9392:H9393"/>
    <mergeCell ref="I9392:I9393"/>
    <mergeCell ref="J9392:J9393"/>
    <mergeCell ref="K9392:K9393"/>
    <mergeCell ref="L9392:L9393"/>
    <mergeCell ref="M9392:M9393"/>
    <mergeCell ref="N9392:N9393"/>
    <mergeCell ref="A9380:A9381"/>
    <mergeCell ref="B9380:B9381"/>
    <mergeCell ref="C9380:C9381"/>
    <mergeCell ref="D9380:D9381"/>
    <mergeCell ref="E9380:E9381"/>
    <mergeCell ref="F9380:F9381"/>
    <mergeCell ref="G9380:G9381"/>
    <mergeCell ref="H9380:H9381"/>
    <mergeCell ref="I9380:I9381"/>
    <mergeCell ref="J9380:J9381"/>
    <mergeCell ref="K9380:K9381"/>
    <mergeCell ref="L9380:L9381"/>
    <mergeCell ref="M9380:M9381"/>
    <mergeCell ref="N9380:N9381"/>
    <mergeCell ref="A9382:A9383"/>
    <mergeCell ref="B9382:B9383"/>
    <mergeCell ref="C9382:C9383"/>
    <mergeCell ref="D9382:D9383"/>
    <mergeCell ref="E9382:E9383"/>
    <mergeCell ref="F9382:F9383"/>
    <mergeCell ref="G9382:G9383"/>
    <mergeCell ref="H9382:H9383"/>
    <mergeCell ref="I9382:I9383"/>
    <mergeCell ref="J9382:J9383"/>
    <mergeCell ref="K9382:K9383"/>
    <mergeCell ref="L9382:L9383"/>
    <mergeCell ref="M9382:M9383"/>
    <mergeCell ref="N9382:N9383"/>
    <mergeCell ref="A9384:A9385"/>
    <mergeCell ref="B9384:B9385"/>
    <mergeCell ref="C9384:C9385"/>
    <mergeCell ref="D9384:D9385"/>
    <mergeCell ref="E9384:E9385"/>
    <mergeCell ref="F9384:F9385"/>
    <mergeCell ref="G9384:G9385"/>
    <mergeCell ref="H9384:H9385"/>
    <mergeCell ref="I9384:I9385"/>
    <mergeCell ref="J9384:J9385"/>
    <mergeCell ref="K9384:K9385"/>
    <mergeCell ref="L9384:L9385"/>
    <mergeCell ref="M9384:M9385"/>
    <mergeCell ref="N9384:N9385"/>
    <mergeCell ref="A9371:A9373"/>
    <mergeCell ref="B9371:B9373"/>
    <mergeCell ref="C9371:C9373"/>
    <mergeCell ref="D9371:D9373"/>
    <mergeCell ref="E9371:E9373"/>
    <mergeCell ref="F9371:F9373"/>
    <mergeCell ref="G9371:G9373"/>
    <mergeCell ref="H9371:H9373"/>
    <mergeCell ref="I9371:I9373"/>
    <mergeCell ref="J9371:J9373"/>
    <mergeCell ref="K9371:K9373"/>
    <mergeCell ref="L9371:L9373"/>
    <mergeCell ref="M9371:M9373"/>
    <mergeCell ref="N9371:N9373"/>
    <mergeCell ref="A9374:A9375"/>
    <mergeCell ref="B9374:B9375"/>
    <mergeCell ref="C9374:C9375"/>
    <mergeCell ref="D9374:D9375"/>
    <mergeCell ref="E9374:E9375"/>
    <mergeCell ref="F9374:F9375"/>
    <mergeCell ref="G9374:G9375"/>
    <mergeCell ref="H9374:H9375"/>
    <mergeCell ref="I9374:I9375"/>
    <mergeCell ref="J9374:J9375"/>
    <mergeCell ref="K9374:K9375"/>
    <mergeCell ref="L9374:L9375"/>
    <mergeCell ref="M9374:M9375"/>
    <mergeCell ref="N9374:N9375"/>
    <mergeCell ref="A9378:A9379"/>
    <mergeCell ref="B9378:B9379"/>
    <mergeCell ref="C9378:C9379"/>
    <mergeCell ref="D9378:D9379"/>
    <mergeCell ref="E9378:E9379"/>
    <mergeCell ref="F9378:F9379"/>
    <mergeCell ref="G9378:G9379"/>
    <mergeCell ref="H9378:H9379"/>
    <mergeCell ref="I9378:I9379"/>
    <mergeCell ref="J9378:J9379"/>
    <mergeCell ref="K9378:K9379"/>
    <mergeCell ref="L9378:L9379"/>
    <mergeCell ref="M9378:M9379"/>
    <mergeCell ref="N9378:N9379"/>
    <mergeCell ref="A9359:A9360"/>
    <mergeCell ref="B9359:B9360"/>
    <mergeCell ref="C9359:C9360"/>
    <mergeCell ref="D9359:D9360"/>
    <mergeCell ref="E9359:E9360"/>
    <mergeCell ref="F9359:F9360"/>
    <mergeCell ref="G9359:G9360"/>
    <mergeCell ref="H9359:H9360"/>
    <mergeCell ref="I9359:I9360"/>
    <mergeCell ref="J9359:J9360"/>
    <mergeCell ref="K9359:K9360"/>
    <mergeCell ref="L9359:L9360"/>
    <mergeCell ref="M9359:M9360"/>
    <mergeCell ref="N9359:N9360"/>
    <mergeCell ref="A9362:A9363"/>
    <mergeCell ref="B9362:B9363"/>
    <mergeCell ref="C9362:C9363"/>
    <mergeCell ref="D9362:D9363"/>
    <mergeCell ref="E9362:E9363"/>
    <mergeCell ref="F9362:F9363"/>
    <mergeCell ref="G9362:G9363"/>
    <mergeCell ref="H9362:H9363"/>
    <mergeCell ref="I9362:I9363"/>
    <mergeCell ref="J9362:J9363"/>
    <mergeCell ref="K9362:K9363"/>
    <mergeCell ref="L9362:L9363"/>
    <mergeCell ref="M9362:M9363"/>
    <mergeCell ref="N9362:N9363"/>
    <mergeCell ref="A9367:A9370"/>
    <mergeCell ref="B9367:B9370"/>
    <mergeCell ref="C9367:C9370"/>
    <mergeCell ref="D9367:D9370"/>
    <mergeCell ref="E9367:E9370"/>
    <mergeCell ref="F9367:F9370"/>
    <mergeCell ref="G9367:G9370"/>
    <mergeCell ref="H9367:H9370"/>
    <mergeCell ref="I9367:I9370"/>
    <mergeCell ref="J9367:J9370"/>
    <mergeCell ref="K9367:K9370"/>
    <mergeCell ref="L9367:L9370"/>
    <mergeCell ref="M9367:M9370"/>
    <mergeCell ref="N9367:N9370"/>
    <mergeCell ref="A9348:A9350"/>
    <mergeCell ref="B9348:B9350"/>
    <mergeCell ref="C9348:C9350"/>
    <mergeCell ref="D9348:D9350"/>
    <mergeCell ref="E9348:E9350"/>
    <mergeCell ref="F9348:F9350"/>
    <mergeCell ref="G9348:G9350"/>
    <mergeCell ref="H9348:H9350"/>
    <mergeCell ref="I9348:I9350"/>
    <mergeCell ref="J9348:J9350"/>
    <mergeCell ref="K9348:K9350"/>
    <mergeCell ref="L9348:L9350"/>
    <mergeCell ref="M9348:M9350"/>
    <mergeCell ref="N9348:N9350"/>
    <mergeCell ref="A9351:A9352"/>
    <mergeCell ref="B9351:B9352"/>
    <mergeCell ref="C9351:C9352"/>
    <mergeCell ref="D9351:D9352"/>
    <mergeCell ref="E9351:E9352"/>
    <mergeCell ref="F9351:F9352"/>
    <mergeCell ref="G9351:G9352"/>
    <mergeCell ref="H9351:H9352"/>
    <mergeCell ref="I9351:I9352"/>
    <mergeCell ref="J9351:J9352"/>
    <mergeCell ref="K9351:K9352"/>
    <mergeCell ref="L9351:L9352"/>
    <mergeCell ref="M9351:M9352"/>
    <mergeCell ref="N9351:N9352"/>
    <mergeCell ref="A9355:A9356"/>
    <mergeCell ref="B9355:B9356"/>
    <mergeCell ref="C9355:C9356"/>
    <mergeCell ref="D9355:D9356"/>
    <mergeCell ref="E9355:E9356"/>
    <mergeCell ref="F9355:F9356"/>
    <mergeCell ref="G9355:G9356"/>
    <mergeCell ref="H9355:H9356"/>
    <mergeCell ref="I9355:I9356"/>
    <mergeCell ref="J9355:J9356"/>
    <mergeCell ref="K9355:K9356"/>
    <mergeCell ref="L9355:L9356"/>
    <mergeCell ref="M9355:M9356"/>
    <mergeCell ref="N9355:N9356"/>
    <mergeCell ref="A9332:A9341"/>
    <mergeCell ref="B9332:B9341"/>
    <mergeCell ref="C9332:C9341"/>
    <mergeCell ref="D9332:D9341"/>
    <mergeCell ref="E9332:E9341"/>
    <mergeCell ref="F9332:F9341"/>
    <mergeCell ref="G9332:G9341"/>
    <mergeCell ref="H9332:H9341"/>
    <mergeCell ref="I9332:I9341"/>
    <mergeCell ref="J9332:J9341"/>
    <mergeCell ref="K9332:K9341"/>
    <mergeCell ref="L9332:L9341"/>
    <mergeCell ref="M9332:M9341"/>
    <mergeCell ref="N9332:N9341"/>
    <mergeCell ref="A9342:A9345"/>
    <mergeCell ref="B9342:B9345"/>
    <mergeCell ref="C9342:C9345"/>
    <mergeCell ref="D9342:D9345"/>
    <mergeCell ref="E9342:E9345"/>
    <mergeCell ref="F9342:F9345"/>
    <mergeCell ref="G9342:G9345"/>
    <mergeCell ref="H9342:H9345"/>
    <mergeCell ref="I9342:I9345"/>
    <mergeCell ref="J9342:J9345"/>
    <mergeCell ref="K9342:K9345"/>
    <mergeCell ref="L9342:L9345"/>
    <mergeCell ref="M9342:M9345"/>
    <mergeCell ref="N9342:N9345"/>
    <mergeCell ref="A9346:A9347"/>
    <mergeCell ref="B9346:B9347"/>
    <mergeCell ref="C9346:C9347"/>
    <mergeCell ref="D9346:D9347"/>
    <mergeCell ref="E9346:E9347"/>
    <mergeCell ref="F9346:F9347"/>
    <mergeCell ref="G9346:G9347"/>
    <mergeCell ref="H9346:H9347"/>
    <mergeCell ref="I9346:I9347"/>
    <mergeCell ref="J9346:J9347"/>
    <mergeCell ref="K9346:K9347"/>
    <mergeCell ref="L9346:L9347"/>
    <mergeCell ref="M9346:M9347"/>
    <mergeCell ref="N9346:N9347"/>
    <mergeCell ref="A9322:A9325"/>
    <mergeCell ref="B9322:B9325"/>
    <mergeCell ref="C9322:C9325"/>
    <mergeCell ref="D9322:D9325"/>
    <mergeCell ref="E9322:E9325"/>
    <mergeCell ref="F9322:F9325"/>
    <mergeCell ref="G9322:G9325"/>
    <mergeCell ref="H9322:H9325"/>
    <mergeCell ref="I9322:I9325"/>
    <mergeCell ref="J9322:J9325"/>
    <mergeCell ref="K9322:K9325"/>
    <mergeCell ref="L9322:L9325"/>
    <mergeCell ref="M9322:M9325"/>
    <mergeCell ref="N9322:N9325"/>
    <mergeCell ref="A9326:A9328"/>
    <mergeCell ref="B9326:B9328"/>
    <mergeCell ref="C9326:C9328"/>
    <mergeCell ref="D9326:D9328"/>
    <mergeCell ref="E9326:E9328"/>
    <mergeCell ref="F9326:F9328"/>
    <mergeCell ref="G9326:G9328"/>
    <mergeCell ref="H9326:H9328"/>
    <mergeCell ref="I9326:I9328"/>
    <mergeCell ref="J9326:J9328"/>
    <mergeCell ref="K9326:K9328"/>
    <mergeCell ref="L9326:L9328"/>
    <mergeCell ref="M9326:M9328"/>
    <mergeCell ref="N9326:N9328"/>
    <mergeCell ref="A9329:A9331"/>
    <mergeCell ref="B9329:B9331"/>
    <mergeCell ref="C9329:C9331"/>
    <mergeCell ref="D9329:D9331"/>
    <mergeCell ref="E9329:E9331"/>
    <mergeCell ref="F9329:F9331"/>
    <mergeCell ref="G9329:G9331"/>
    <mergeCell ref="H9329:H9331"/>
    <mergeCell ref="I9329:I9331"/>
    <mergeCell ref="J9329:J9331"/>
    <mergeCell ref="K9329:K9331"/>
    <mergeCell ref="L9329:L9331"/>
    <mergeCell ref="M9329:M9331"/>
    <mergeCell ref="N9329:N9331"/>
    <mergeCell ref="A9307:A9308"/>
    <mergeCell ref="B9307:B9308"/>
    <mergeCell ref="C9307:C9308"/>
    <mergeCell ref="D9307:D9308"/>
    <mergeCell ref="E9307:E9308"/>
    <mergeCell ref="F9307:F9308"/>
    <mergeCell ref="G9307:G9308"/>
    <mergeCell ref="H9307:H9308"/>
    <mergeCell ref="I9307:I9308"/>
    <mergeCell ref="J9307:J9308"/>
    <mergeCell ref="K9307:K9308"/>
    <mergeCell ref="L9307:L9308"/>
    <mergeCell ref="M9307:M9308"/>
    <mergeCell ref="N9307:N9308"/>
    <mergeCell ref="A9310:A9312"/>
    <mergeCell ref="B9310:B9312"/>
    <mergeCell ref="C9310:C9312"/>
    <mergeCell ref="D9310:D9312"/>
    <mergeCell ref="E9310:E9312"/>
    <mergeCell ref="F9310:F9312"/>
    <mergeCell ref="G9310:G9312"/>
    <mergeCell ref="H9310:H9312"/>
    <mergeCell ref="I9310:I9312"/>
    <mergeCell ref="J9310:J9312"/>
    <mergeCell ref="K9310:K9312"/>
    <mergeCell ref="L9310:L9312"/>
    <mergeCell ref="M9310:M9312"/>
    <mergeCell ref="N9310:N9312"/>
    <mergeCell ref="A9313:A9314"/>
    <mergeCell ref="B9313:B9314"/>
    <mergeCell ref="C9313:C9314"/>
    <mergeCell ref="D9313:D9314"/>
    <mergeCell ref="E9313:E9314"/>
    <mergeCell ref="F9313:F9314"/>
    <mergeCell ref="G9313:G9314"/>
    <mergeCell ref="H9313:H9314"/>
    <mergeCell ref="I9313:I9314"/>
    <mergeCell ref="J9313:J9314"/>
    <mergeCell ref="K9313:K9314"/>
    <mergeCell ref="L9313:L9314"/>
    <mergeCell ref="M9313:M9314"/>
    <mergeCell ref="N9313:N9314"/>
    <mergeCell ref="A9296:A9298"/>
    <mergeCell ref="B9296:B9298"/>
    <mergeCell ref="C9296:C9298"/>
    <mergeCell ref="D9296:D9298"/>
    <mergeCell ref="E9296:E9298"/>
    <mergeCell ref="F9296:F9298"/>
    <mergeCell ref="G9296:G9298"/>
    <mergeCell ref="H9296:H9298"/>
    <mergeCell ref="I9296:I9298"/>
    <mergeCell ref="J9296:J9298"/>
    <mergeCell ref="K9296:K9298"/>
    <mergeCell ref="L9296:L9298"/>
    <mergeCell ref="M9296:M9298"/>
    <mergeCell ref="N9296:N9298"/>
    <mergeCell ref="A9299:A9300"/>
    <mergeCell ref="B9299:B9300"/>
    <mergeCell ref="C9299:C9300"/>
    <mergeCell ref="D9299:D9300"/>
    <mergeCell ref="E9299:E9300"/>
    <mergeCell ref="F9299:F9300"/>
    <mergeCell ref="G9299:G9300"/>
    <mergeCell ref="H9299:H9300"/>
    <mergeCell ref="I9299:I9300"/>
    <mergeCell ref="J9299:J9300"/>
    <mergeCell ref="K9299:K9300"/>
    <mergeCell ref="L9299:L9300"/>
    <mergeCell ref="M9299:M9300"/>
    <mergeCell ref="N9299:N9300"/>
    <mergeCell ref="A9303:A9304"/>
    <mergeCell ref="B9303:B9304"/>
    <mergeCell ref="C9303:C9304"/>
    <mergeCell ref="D9303:D9304"/>
    <mergeCell ref="E9303:E9304"/>
    <mergeCell ref="F9303:F9304"/>
    <mergeCell ref="G9303:G9304"/>
    <mergeCell ref="H9303:H9304"/>
    <mergeCell ref="I9303:I9304"/>
    <mergeCell ref="J9303:J9304"/>
    <mergeCell ref="K9303:K9304"/>
    <mergeCell ref="L9303:L9304"/>
    <mergeCell ref="M9303:M9304"/>
    <mergeCell ref="N9303:N9304"/>
    <mergeCell ref="A9288:A9289"/>
    <mergeCell ref="B9288:B9289"/>
    <mergeCell ref="C9288:C9289"/>
    <mergeCell ref="D9288:D9289"/>
    <mergeCell ref="E9288:E9289"/>
    <mergeCell ref="F9288:F9289"/>
    <mergeCell ref="G9288:G9289"/>
    <mergeCell ref="H9288:H9289"/>
    <mergeCell ref="I9288:I9289"/>
    <mergeCell ref="J9288:J9289"/>
    <mergeCell ref="K9288:K9289"/>
    <mergeCell ref="L9288:L9289"/>
    <mergeCell ref="M9288:M9289"/>
    <mergeCell ref="N9288:N9289"/>
    <mergeCell ref="A9291:A9292"/>
    <mergeCell ref="B9291:B9292"/>
    <mergeCell ref="C9291:C9292"/>
    <mergeCell ref="D9291:D9292"/>
    <mergeCell ref="E9291:E9292"/>
    <mergeCell ref="F9291:F9292"/>
    <mergeCell ref="G9291:G9292"/>
    <mergeCell ref="H9291:H9292"/>
    <mergeCell ref="I9291:I9292"/>
    <mergeCell ref="J9291:J9292"/>
    <mergeCell ref="K9291:K9292"/>
    <mergeCell ref="L9291:L9292"/>
    <mergeCell ref="M9291:M9292"/>
    <mergeCell ref="N9291:N9292"/>
    <mergeCell ref="A9293:A9294"/>
    <mergeCell ref="B9293:B9294"/>
    <mergeCell ref="C9293:C9294"/>
    <mergeCell ref="D9293:D9294"/>
    <mergeCell ref="E9293:E9294"/>
    <mergeCell ref="F9293:F9294"/>
    <mergeCell ref="G9293:G9294"/>
    <mergeCell ref="H9293:H9294"/>
    <mergeCell ref="I9293:I9294"/>
    <mergeCell ref="J9293:J9294"/>
    <mergeCell ref="K9293:K9294"/>
    <mergeCell ref="L9293:L9294"/>
    <mergeCell ref="M9293:M9294"/>
    <mergeCell ref="N9293:N9294"/>
    <mergeCell ref="A9277:A9279"/>
    <mergeCell ref="B9277:B9279"/>
    <mergeCell ref="C9277:C9279"/>
    <mergeCell ref="D9277:D9279"/>
    <mergeCell ref="E9277:E9279"/>
    <mergeCell ref="F9277:F9279"/>
    <mergeCell ref="G9277:G9279"/>
    <mergeCell ref="H9277:H9279"/>
    <mergeCell ref="I9277:I9279"/>
    <mergeCell ref="J9277:J9279"/>
    <mergeCell ref="K9277:K9279"/>
    <mergeCell ref="L9277:L9279"/>
    <mergeCell ref="M9277:M9279"/>
    <mergeCell ref="N9277:N9279"/>
    <mergeCell ref="A9282:A9283"/>
    <mergeCell ref="B9282:B9283"/>
    <mergeCell ref="C9282:C9283"/>
    <mergeCell ref="D9282:D9283"/>
    <mergeCell ref="E9282:E9283"/>
    <mergeCell ref="F9282:F9283"/>
    <mergeCell ref="G9282:G9283"/>
    <mergeCell ref="H9282:H9283"/>
    <mergeCell ref="I9282:I9283"/>
    <mergeCell ref="J9282:J9283"/>
    <mergeCell ref="K9282:K9283"/>
    <mergeCell ref="L9282:L9283"/>
    <mergeCell ref="M9282:M9283"/>
    <mergeCell ref="N9282:N9283"/>
    <mergeCell ref="A9284:A9285"/>
    <mergeCell ref="B9284:B9285"/>
    <mergeCell ref="C9284:C9285"/>
    <mergeCell ref="D9284:D9285"/>
    <mergeCell ref="E9284:E9285"/>
    <mergeCell ref="F9284:F9285"/>
    <mergeCell ref="G9284:G9285"/>
    <mergeCell ref="H9284:H9285"/>
    <mergeCell ref="I9284:I9285"/>
    <mergeCell ref="J9284:J9285"/>
    <mergeCell ref="K9284:K9285"/>
    <mergeCell ref="L9284:L9285"/>
    <mergeCell ref="M9284:M9285"/>
    <mergeCell ref="N9284:N9285"/>
    <mergeCell ref="A9260:A9262"/>
    <mergeCell ref="B9260:B9262"/>
    <mergeCell ref="C9260:C9262"/>
    <mergeCell ref="D9260:D9262"/>
    <mergeCell ref="E9260:E9262"/>
    <mergeCell ref="F9260:F9262"/>
    <mergeCell ref="G9260:G9262"/>
    <mergeCell ref="H9260:H9262"/>
    <mergeCell ref="I9260:I9262"/>
    <mergeCell ref="J9260:J9262"/>
    <mergeCell ref="K9260:K9262"/>
    <mergeCell ref="L9260:L9262"/>
    <mergeCell ref="M9260:M9262"/>
    <mergeCell ref="N9260:N9262"/>
    <mergeCell ref="A9265:A9273"/>
    <mergeCell ref="B9265:B9273"/>
    <mergeCell ref="C9265:C9273"/>
    <mergeCell ref="D9265:D9273"/>
    <mergeCell ref="E9265:E9273"/>
    <mergeCell ref="F9265:F9273"/>
    <mergeCell ref="G9265:G9273"/>
    <mergeCell ref="H9265:H9273"/>
    <mergeCell ref="I9265:I9273"/>
    <mergeCell ref="J9265:J9273"/>
    <mergeCell ref="K9265:K9273"/>
    <mergeCell ref="L9265:L9273"/>
    <mergeCell ref="M9265:M9273"/>
    <mergeCell ref="N9265:N9273"/>
    <mergeCell ref="A9274:A9276"/>
    <mergeCell ref="B9274:B9276"/>
    <mergeCell ref="C9274:C9276"/>
    <mergeCell ref="D9274:D9276"/>
    <mergeCell ref="E9274:E9276"/>
    <mergeCell ref="F9274:F9276"/>
    <mergeCell ref="G9274:G9276"/>
    <mergeCell ref="H9274:H9276"/>
    <mergeCell ref="I9274:I9276"/>
    <mergeCell ref="J9274:J9276"/>
    <mergeCell ref="K9274:K9276"/>
    <mergeCell ref="L9274:L9276"/>
    <mergeCell ref="M9274:M9276"/>
    <mergeCell ref="N9274:N9276"/>
    <mergeCell ref="A9252:A9253"/>
    <mergeCell ref="B9252:B9253"/>
    <mergeCell ref="C9252:C9253"/>
    <mergeCell ref="D9252:D9253"/>
    <mergeCell ref="E9252:E9253"/>
    <mergeCell ref="F9252:F9253"/>
    <mergeCell ref="G9252:G9253"/>
    <mergeCell ref="H9252:H9253"/>
    <mergeCell ref="I9252:I9253"/>
    <mergeCell ref="J9252:J9253"/>
    <mergeCell ref="K9252:K9253"/>
    <mergeCell ref="L9252:L9253"/>
    <mergeCell ref="M9252:M9253"/>
    <mergeCell ref="N9252:N9253"/>
    <mergeCell ref="A9254:A9256"/>
    <mergeCell ref="B9254:B9256"/>
    <mergeCell ref="C9254:C9256"/>
    <mergeCell ref="D9254:D9256"/>
    <mergeCell ref="E9254:E9256"/>
    <mergeCell ref="F9254:F9256"/>
    <mergeCell ref="G9254:G9256"/>
    <mergeCell ref="H9254:H9256"/>
    <mergeCell ref="I9254:I9256"/>
    <mergeCell ref="J9254:J9256"/>
    <mergeCell ref="K9254:K9256"/>
    <mergeCell ref="L9254:L9256"/>
    <mergeCell ref="M9254:M9256"/>
    <mergeCell ref="N9254:N9256"/>
    <mergeCell ref="A9257:A9258"/>
    <mergeCell ref="B9257:B9258"/>
    <mergeCell ref="C9257:C9258"/>
    <mergeCell ref="D9257:D9258"/>
    <mergeCell ref="E9257:E9258"/>
    <mergeCell ref="F9257:F9258"/>
    <mergeCell ref="G9257:G9258"/>
    <mergeCell ref="H9257:H9258"/>
    <mergeCell ref="I9257:I9258"/>
    <mergeCell ref="J9257:J9258"/>
    <mergeCell ref="K9257:K9258"/>
    <mergeCell ref="L9257:L9258"/>
    <mergeCell ref="M9257:M9258"/>
    <mergeCell ref="N9257:N9258"/>
    <mergeCell ref="A9239:A9240"/>
    <mergeCell ref="B9239:B9240"/>
    <mergeCell ref="C9239:C9240"/>
    <mergeCell ref="D9239:D9240"/>
    <mergeCell ref="E9239:E9240"/>
    <mergeCell ref="F9239:F9240"/>
    <mergeCell ref="G9239:G9240"/>
    <mergeCell ref="H9239:H9240"/>
    <mergeCell ref="I9239:I9240"/>
    <mergeCell ref="J9239:J9240"/>
    <mergeCell ref="K9239:K9240"/>
    <mergeCell ref="L9239:L9240"/>
    <mergeCell ref="M9239:M9240"/>
    <mergeCell ref="N9239:N9240"/>
    <mergeCell ref="A9242:A9244"/>
    <mergeCell ref="B9242:B9244"/>
    <mergeCell ref="C9242:C9244"/>
    <mergeCell ref="D9242:D9244"/>
    <mergeCell ref="E9242:E9244"/>
    <mergeCell ref="F9242:F9244"/>
    <mergeCell ref="G9242:G9244"/>
    <mergeCell ref="H9242:H9244"/>
    <mergeCell ref="I9242:I9244"/>
    <mergeCell ref="J9242:J9244"/>
    <mergeCell ref="K9242:K9244"/>
    <mergeCell ref="L9242:L9244"/>
    <mergeCell ref="M9242:M9244"/>
    <mergeCell ref="N9242:N9244"/>
    <mergeCell ref="A9245:A9250"/>
    <mergeCell ref="B9245:B9250"/>
    <mergeCell ref="C9245:C9250"/>
    <mergeCell ref="D9245:D9250"/>
    <mergeCell ref="E9245:E9250"/>
    <mergeCell ref="F9245:F9250"/>
    <mergeCell ref="G9245:G9250"/>
    <mergeCell ref="H9245:H9250"/>
    <mergeCell ref="I9245:I9250"/>
    <mergeCell ref="J9245:J9250"/>
    <mergeCell ref="K9245:K9250"/>
    <mergeCell ref="L9245:L9250"/>
    <mergeCell ref="M9245:M9250"/>
    <mergeCell ref="N9245:N9250"/>
    <mergeCell ref="A9228:A9231"/>
    <mergeCell ref="B9228:B9231"/>
    <mergeCell ref="C9228:C9231"/>
    <mergeCell ref="D9228:D9231"/>
    <mergeCell ref="E9228:E9231"/>
    <mergeCell ref="F9228:F9231"/>
    <mergeCell ref="G9228:G9231"/>
    <mergeCell ref="H9228:H9231"/>
    <mergeCell ref="I9228:I9231"/>
    <mergeCell ref="J9228:J9231"/>
    <mergeCell ref="K9228:K9231"/>
    <mergeCell ref="L9228:L9231"/>
    <mergeCell ref="M9228:M9231"/>
    <mergeCell ref="N9228:N9231"/>
    <mergeCell ref="A9233:A9234"/>
    <mergeCell ref="B9233:B9234"/>
    <mergeCell ref="C9233:C9234"/>
    <mergeCell ref="D9233:D9234"/>
    <mergeCell ref="E9233:E9234"/>
    <mergeCell ref="F9233:F9234"/>
    <mergeCell ref="G9233:G9234"/>
    <mergeCell ref="H9233:H9234"/>
    <mergeCell ref="I9233:I9234"/>
    <mergeCell ref="J9233:J9234"/>
    <mergeCell ref="K9233:K9234"/>
    <mergeCell ref="L9233:L9234"/>
    <mergeCell ref="M9233:M9234"/>
    <mergeCell ref="N9233:N9234"/>
    <mergeCell ref="A9236:A9238"/>
    <mergeCell ref="B9236:B9238"/>
    <mergeCell ref="C9236:C9238"/>
    <mergeCell ref="D9236:D9238"/>
    <mergeCell ref="E9236:E9238"/>
    <mergeCell ref="F9236:F9238"/>
    <mergeCell ref="G9236:G9238"/>
    <mergeCell ref="H9236:H9238"/>
    <mergeCell ref="I9236:I9238"/>
    <mergeCell ref="J9236:J9238"/>
    <mergeCell ref="K9236:K9238"/>
    <mergeCell ref="L9236:L9238"/>
    <mergeCell ref="M9236:M9238"/>
    <mergeCell ref="N9236:N9238"/>
    <mergeCell ref="A9214:A9218"/>
    <mergeCell ref="B9214:B9218"/>
    <mergeCell ref="C9214:C9218"/>
    <mergeCell ref="D9214:D9218"/>
    <mergeCell ref="E9214:E9218"/>
    <mergeCell ref="F9214:F9218"/>
    <mergeCell ref="G9214:G9218"/>
    <mergeCell ref="H9214:H9218"/>
    <mergeCell ref="I9214:I9218"/>
    <mergeCell ref="J9214:J9218"/>
    <mergeCell ref="K9214:K9218"/>
    <mergeCell ref="L9214:L9218"/>
    <mergeCell ref="M9214:M9218"/>
    <mergeCell ref="N9214:N9218"/>
    <mergeCell ref="A9222:A9223"/>
    <mergeCell ref="B9222:B9223"/>
    <mergeCell ref="C9222:C9223"/>
    <mergeCell ref="D9222:D9223"/>
    <mergeCell ref="E9222:E9223"/>
    <mergeCell ref="F9222:F9223"/>
    <mergeCell ref="G9222:G9223"/>
    <mergeCell ref="H9222:H9223"/>
    <mergeCell ref="I9222:I9223"/>
    <mergeCell ref="J9222:J9223"/>
    <mergeCell ref="K9222:K9223"/>
    <mergeCell ref="L9222:L9223"/>
    <mergeCell ref="M9222:M9223"/>
    <mergeCell ref="N9222:N9223"/>
    <mergeCell ref="A9224:A9227"/>
    <mergeCell ref="B9224:B9227"/>
    <mergeCell ref="C9224:C9227"/>
    <mergeCell ref="D9224:D9227"/>
    <mergeCell ref="E9224:E9227"/>
    <mergeCell ref="F9224:F9227"/>
    <mergeCell ref="G9224:G9227"/>
    <mergeCell ref="H9224:H9227"/>
    <mergeCell ref="I9224:I9227"/>
    <mergeCell ref="J9224:J9227"/>
    <mergeCell ref="K9224:K9227"/>
    <mergeCell ref="L9224:L9227"/>
    <mergeCell ref="M9224:M9227"/>
    <mergeCell ref="N9224:N9227"/>
    <mergeCell ref="A9205:A9206"/>
    <mergeCell ref="B9205:B9206"/>
    <mergeCell ref="C9205:C9206"/>
    <mergeCell ref="D9205:D9206"/>
    <mergeCell ref="E9205:E9206"/>
    <mergeCell ref="F9205:F9206"/>
    <mergeCell ref="G9205:G9206"/>
    <mergeCell ref="H9205:H9206"/>
    <mergeCell ref="I9205:I9206"/>
    <mergeCell ref="J9205:J9206"/>
    <mergeCell ref="K9205:K9206"/>
    <mergeCell ref="L9205:L9206"/>
    <mergeCell ref="M9205:M9206"/>
    <mergeCell ref="N9205:N9206"/>
    <mergeCell ref="A9207:A9209"/>
    <mergeCell ref="B9207:B9209"/>
    <mergeCell ref="C9207:C9209"/>
    <mergeCell ref="D9207:D9209"/>
    <mergeCell ref="E9207:E9209"/>
    <mergeCell ref="F9207:F9209"/>
    <mergeCell ref="G9207:G9209"/>
    <mergeCell ref="H9207:H9209"/>
    <mergeCell ref="I9207:I9209"/>
    <mergeCell ref="J9207:J9209"/>
    <mergeCell ref="K9207:K9209"/>
    <mergeCell ref="L9207:L9209"/>
    <mergeCell ref="M9207:M9209"/>
    <mergeCell ref="N9207:N9209"/>
    <mergeCell ref="A9210:A9213"/>
    <mergeCell ref="B9210:B9213"/>
    <mergeCell ref="C9210:C9213"/>
    <mergeCell ref="D9210:D9213"/>
    <mergeCell ref="E9210:E9213"/>
    <mergeCell ref="F9210:F9213"/>
    <mergeCell ref="G9210:G9213"/>
    <mergeCell ref="H9210:H9213"/>
    <mergeCell ref="I9210:I9213"/>
    <mergeCell ref="J9210:J9213"/>
    <mergeCell ref="K9210:K9213"/>
    <mergeCell ref="L9210:L9213"/>
    <mergeCell ref="M9210:M9213"/>
    <mergeCell ref="N9210:N9213"/>
    <mergeCell ref="A9194:A9196"/>
    <mergeCell ref="B9194:B9196"/>
    <mergeCell ref="C9194:C9196"/>
    <mergeCell ref="D9194:D9196"/>
    <mergeCell ref="E9194:E9196"/>
    <mergeCell ref="F9194:F9196"/>
    <mergeCell ref="G9194:G9196"/>
    <mergeCell ref="H9194:H9196"/>
    <mergeCell ref="I9194:I9196"/>
    <mergeCell ref="J9194:J9196"/>
    <mergeCell ref="K9194:K9196"/>
    <mergeCell ref="L9194:L9196"/>
    <mergeCell ref="M9194:M9196"/>
    <mergeCell ref="N9194:N9196"/>
    <mergeCell ref="A9199:A9201"/>
    <mergeCell ref="B9199:B9201"/>
    <mergeCell ref="C9199:C9201"/>
    <mergeCell ref="D9199:D9201"/>
    <mergeCell ref="E9199:E9201"/>
    <mergeCell ref="F9199:F9201"/>
    <mergeCell ref="G9199:G9201"/>
    <mergeCell ref="H9199:H9201"/>
    <mergeCell ref="I9199:I9201"/>
    <mergeCell ref="J9199:J9201"/>
    <mergeCell ref="K9199:K9201"/>
    <mergeCell ref="L9199:L9201"/>
    <mergeCell ref="M9199:M9201"/>
    <mergeCell ref="N9199:N9201"/>
    <mergeCell ref="A9203:A9204"/>
    <mergeCell ref="B9203:B9204"/>
    <mergeCell ref="C9203:C9204"/>
    <mergeCell ref="D9203:D9204"/>
    <mergeCell ref="E9203:E9204"/>
    <mergeCell ref="F9203:F9204"/>
    <mergeCell ref="G9203:G9204"/>
    <mergeCell ref="H9203:H9204"/>
    <mergeCell ref="I9203:I9204"/>
    <mergeCell ref="J9203:J9204"/>
    <mergeCell ref="K9203:K9204"/>
    <mergeCell ref="L9203:L9204"/>
    <mergeCell ref="M9203:M9204"/>
    <mergeCell ref="N9203:N9204"/>
    <mergeCell ref="A9183:A9184"/>
    <mergeCell ref="B9183:B9184"/>
    <mergeCell ref="C9183:C9184"/>
    <mergeCell ref="D9183:D9184"/>
    <mergeCell ref="E9183:E9184"/>
    <mergeCell ref="F9183:F9184"/>
    <mergeCell ref="G9183:G9184"/>
    <mergeCell ref="H9183:H9184"/>
    <mergeCell ref="I9183:I9184"/>
    <mergeCell ref="J9183:J9184"/>
    <mergeCell ref="K9183:K9184"/>
    <mergeCell ref="L9183:L9184"/>
    <mergeCell ref="M9183:M9184"/>
    <mergeCell ref="N9183:N9184"/>
    <mergeCell ref="A9186:A9188"/>
    <mergeCell ref="B9186:B9188"/>
    <mergeCell ref="C9186:C9188"/>
    <mergeCell ref="D9186:D9188"/>
    <mergeCell ref="E9186:E9188"/>
    <mergeCell ref="F9186:F9188"/>
    <mergeCell ref="G9186:G9188"/>
    <mergeCell ref="H9186:H9188"/>
    <mergeCell ref="I9186:I9188"/>
    <mergeCell ref="J9186:J9188"/>
    <mergeCell ref="K9186:K9188"/>
    <mergeCell ref="L9186:L9188"/>
    <mergeCell ref="M9186:M9188"/>
    <mergeCell ref="N9186:N9188"/>
    <mergeCell ref="A9191:A9192"/>
    <mergeCell ref="B9191:B9192"/>
    <mergeCell ref="C9191:C9192"/>
    <mergeCell ref="D9191:D9192"/>
    <mergeCell ref="E9191:E9192"/>
    <mergeCell ref="F9191:F9192"/>
    <mergeCell ref="G9191:G9192"/>
    <mergeCell ref="H9191:H9192"/>
    <mergeCell ref="I9191:I9192"/>
    <mergeCell ref="J9191:J9192"/>
    <mergeCell ref="K9191:K9192"/>
    <mergeCell ref="L9191:L9192"/>
    <mergeCell ref="M9191:M9192"/>
    <mergeCell ref="N9191:N9192"/>
    <mergeCell ref="A9175:A9176"/>
    <mergeCell ref="B9175:B9176"/>
    <mergeCell ref="C9175:C9176"/>
    <mergeCell ref="D9175:D9176"/>
    <mergeCell ref="E9175:E9176"/>
    <mergeCell ref="F9175:F9176"/>
    <mergeCell ref="G9175:G9176"/>
    <mergeCell ref="H9175:H9176"/>
    <mergeCell ref="I9175:I9176"/>
    <mergeCell ref="J9175:J9176"/>
    <mergeCell ref="K9175:K9176"/>
    <mergeCell ref="L9175:L9176"/>
    <mergeCell ref="M9175:M9176"/>
    <mergeCell ref="N9175:N9176"/>
    <mergeCell ref="A9177:A9179"/>
    <mergeCell ref="B9177:B9179"/>
    <mergeCell ref="C9177:C9179"/>
    <mergeCell ref="D9177:D9179"/>
    <mergeCell ref="E9177:E9179"/>
    <mergeCell ref="F9177:F9179"/>
    <mergeCell ref="G9177:G9179"/>
    <mergeCell ref="H9177:H9179"/>
    <mergeCell ref="I9177:I9179"/>
    <mergeCell ref="J9177:J9179"/>
    <mergeCell ref="K9177:K9179"/>
    <mergeCell ref="L9177:L9179"/>
    <mergeCell ref="M9177:M9179"/>
    <mergeCell ref="N9177:N9179"/>
    <mergeCell ref="A9181:A9182"/>
    <mergeCell ref="B9181:B9182"/>
    <mergeCell ref="C9181:C9182"/>
    <mergeCell ref="D9181:D9182"/>
    <mergeCell ref="E9181:E9182"/>
    <mergeCell ref="F9181:F9182"/>
    <mergeCell ref="G9181:G9182"/>
    <mergeCell ref="H9181:H9182"/>
    <mergeCell ref="I9181:I9182"/>
    <mergeCell ref="J9181:J9182"/>
    <mergeCell ref="K9181:K9182"/>
    <mergeCell ref="L9181:L9182"/>
    <mergeCell ref="M9181:M9182"/>
    <mergeCell ref="N9181:N9182"/>
    <mergeCell ref="A9163:A9165"/>
    <mergeCell ref="B9163:B9165"/>
    <mergeCell ref="C9163:C9165"/>
    <mergeCell ref="D9163:D9165"/>
    <mergeCell ref="E9163:E9165"/>
    <mergeCell ref="F9163:F9165"/>
    <mergeCell ref="G9163:G9165"/>
    <mergeCell ref="H9163:H9165"/>
    <mergeCell ref="I9163:I9165"/>
    <mergeCell ref="J9163:J9165"/>
    <mergeCell ref="K9163:K9165"/>
    <mergeCell ref="L9163:L9165"/>
    <mergeCell ref="M9163:M9165"/>
    <mergeCell ref="N9163:N9165"/>
    <mergeCell ref="A9166:A9170"/>
    <mergeCell ref="B9166:B9170"/>
    <mergeCell ref="C9166:C9170"/>
    <mergeCell ref="D9166:D9170"/>
    <mergeCell ref="E9166:E9170"/>
    <mergeCell ref="F9166:F9170"/>
    <mergeCell ref="G9166:G9170"/>
    <mergeCell ref="H9166:H9170"/>
    <mergeCell ref="I9166:I9170"/>
    <mergeCell ref="J9166:J9170"/>
    <mergeCell ref="K9166:K9170"/>
    <mergeCell ref="L9166:L9170"/>
    <mergeCell ref="M9166:M9170"/>
    <mergeCell ref="N9166:N9170"/>
    <mergeCell ref="A9171:A9173"/>
    <mergeCell ref="B9171:B9173"/>
    <mergeCell ref="C9171:C9173"/>
    <mergeCell ref="D9171:D9173"/>
    <mergeCell ref="E9171:E9173"/>
    <mergeCell ref="F9171:F9173"/>
    <mergeCell ref="G9171:G9173"/>
    <mergeCell ref="H9171:H9173"/>
    <mergeCell ref="I9171:I9173"/>
    <mergeCell ref="J9171:J9173"/>
    <mergeCell ref="K9171:K9173"/>
    <mergeCell ref="L9171:L9173"/>
    <mergeCell ref="M9171:M9173"/>
    <mergeCell ref="N9171:N9173"/>
    <mergeCell ref="A9148:A9149"/>
    <mergeCell ref="B9148:B9149"/>
    <mergeCell ref="C9148:C9149"/>
    <mergeCell ref="D9148:D9149"/>
    <mergeCell ref="E9148:E9149"/>
    <mergeCell ref="F9148:F9149"/>
    <mergeCell ref="G9148:G9149"/>
    <mergeCell ref="H9148:H9149"/>
    <mergeCell ref="I9148:I9149"/>
    <mergeCell ref="J9148:J9149"/>
    <mergeCell ref="K9148:K9149"/>
    <mergeCell ref="L9148:L9149"/>
    <mergeCell ref="M9148:M9149"/>
    <mergeCell ref="N9148:N9149"/>
    <mergeCell ref="A9153:A9154"/>
    <mergeCell ref="B9153:B9154"/>
    <mergeCell ref="C9153:C9154"/>
    <mergeCell ref="D9153:D9154"/>
    <mergeCell ref="E9153:E9154"/>
    <mergeCell ref="F9153:F9154"/>
    <mergeCell ref="G9153:G9154"/>
    <mergeCell ref="H9153:H9154"/>
    <mergeCell ref="I9153:I9154"/>
    <mergeCell ref="J9153:J9154"/>
    <mergeCell ref="K9153:K9154"/>
    <mergeCell ref="L9153:L9154"/>
    <mergeCell ref="M9153:M9154"/>
    <mergeCell ref="N9153:N9154"/>
    <mergeCell ref="A9156:A9158"/>
    <mergeCell ref="B9156:B9158"/>
    <mergeCell ref="C9156:C9158"/>
    <mergeCell ref="D9156:D9158"/>
    <mergeCell ref="E9156:E9158"/>
    <mergeCell ref="F9156:F9158"/>
    <mergeCell ref="G9156:G9158"/>
    <mergeCell ref="H9156:H9158"/>
    <mergeCell ref="I9156:I9158"/>
    <mergeCell ref="J9156:J9158"/>
    <mergeCell ref="K9156:K9158"/>
    <mergeCell ref="L9156:L9158"/>
    <mergeCell ref="M9156:M9158"/>
    <mergeCell ref="N9156:N9158"/>
    <mergeCell ref="A9132:A9133"/>
    <mergeCell ref="B9132:B9133"/>
    <mergeCell ref="C9132:C9133"/>
    <mergeCell ref="D9132:D9133"/>
    <mergeCell ref="E9132:E9133"/>
    <mergeCell ref="F9132:F9133"/>
    <mergeCell ref="G9132:G9133"/>
    <mergeCell ref="H9132:H9133"/>
    <mergeCell ref="I9132:I9133"/>
    <mergeCell ref="J9132:J9133"/>
    <mergeCell ref="K9132:K9133"/>
    <mergeCell ref="L9132:L9133"/>
    <mergeCell ref="M9132:M9133"/>
    <mergeCell ref="N9132:N9133"/>
    <mergeCell ref="A9135:A9137"/>
    <mergeCell ref="B9135:B9137"/>
    <mergeCell ref="C9135:C9137"/>
    <mergeCell ref="D9135:D9137"/>
    <mergeCell ref="E9135:E9137"/>
    <mergeCell ref="F9135:F9137"/>
    <mergeCell ref="G9135:G9137"/>
    <mergeCell ref="H9135:H9137"/>
    <mergeCell ref="I9135:I9137"/>
    <mergeCell ref="J9135:J9137"/>
    <mergeCell ref="K9135:K9137"/>
    <mergeCell ref="L9135:L9137"/>
    <mergeCell ref="M9135:M9137"/>
    <mergeCell ref="N9135:N9137"/>
    <mergeCell ref="A9144:A9145"/>
    <mergeCell ref="B9144:B9145"/>
    <mergeCell ref="C9144:C9145"/>
    <mergeCell ref="D9144:D9145"/>
    <mergeCell ref="E9144:E9145"/>
    <mergeCell ref="F9144:F9145"/>
    <mergeCell ref="G9144:G9145"/>
    <mergeCell ref="H9144:H9145"/>
    <mergeCell ref="I9144:I9145"/>
    <mergeCell ref="J9144:J9145"/>
    <mergeCell ref="K9144:K9145"/>
    <mergeCell ref="L9144:L9145"/>
    <mergeCell ref="M9144:M9145"/>
    <mergeCell ref="N9144:N9145"/>
    <mergeCell ref="A9124:A9125"/>
    <mergeCell ref="B9124:B9125"/>
    <mergeCell ref="C9124:C9125"/>
    <mergeCell ref="D9124:D9125"/>
    <mergeCell ref="E9124:E9125"/>
    <mergeCell ref="F9124:F9125"/>
    <mergeCell ref="G9124:G9125"/>
    <mergeCell ref="H9124:H9125"/>
    <mergeCell ref="I9124:I9125"/>
    <mergeCell ref="J9124:J9125"/>
    <mergeCell ref="K9124:K9125"/>
    <mergeCell ref="L9124:L9125"/>
    <mergeCell ref="M9124:M9125"/>
    <mergeCell ref="N9124:N9125"/>
    <mergeCell ref="A9126:A9127"/>
    <mergeCell ref="B9126:B9127"/>
    <mergeCell ref="C9126:C9127"/>
    <mergeCell ref="D9126:D9127"/>
    <mergeCell ref="E9126:E9127"/>
    <mergeCell ref="F9126:F9127"/>
    <mergeCell ref="G9126:G9127"/>
    <mergeCell ref="H9126:H9127"/>
    <mergeCell ref="I9126:I9127"/>
    <mergeCell ref="J9126:J9127"/>
    <mergeCell ref="K9126:K9127"/>
    <mergeCell ref="L9126:L9127"/>
    <mergeCell ref="M9126:M9127"/>
    <mergeCell ref="N9126:N9127"/>
    <mergeCell ref="A9128:A9130"/>
    <mergeCell ref="B9128:B9130"/>
    <mergeCell ref="C9128:C9130"/>
    <mergeCell ref="D9128:D9130"/>
    <mergeCell ref="E9128:E9130"/>
    <mergeCell ref="F9128:F9130"/>
    <mergeCell ref="G9128:G9130"/>
    <mergeCell ref="H9128:H9130"/>
    <mergeCell ref="I9128:I9130"/>
    <mergeCell ref="J9128:J9130"/>
    <mergeCell ref="K9128:K9130"/>
    <mergeCell ref="L9128:L9130"/>
    <mergeCell ref="M9128:M9130"/>
    <mergeCell ref="N9128:N9130"/>
    <mergeCell ref="A9114:A9115"/>
    <mergeCell ref="B9114:B9115"/>
    <mergeCell ref="C9114:C9115"/>
    <mergeCell ref="D9114:D9115"/>
    <mergeCell ref="E9114:E9115"/>
    <mergeCell ref="F9114:F9115"/>
    <mergeCell ref="G9114:G9115"/>
    <mergeCell ref="H9114:H9115"/>
    <mergeCell ref="I9114:I9115"/>
    <mergeCell ref="J9114:J9115"/>
    <mergeCell ref="K9114:K9115"/>
    <mergeCell ref="L9114:L9115"/>
    <mergeCell ref="M9114:M9115"/>
    <mergeCell ref="N9114:N9115"/>
    <mergeCell ref="A9116:A9117"/>
    <mergeCell ref="B9116:B9117"/>
    <mergeCell ref="C9116:C9117"/>
    <mergeCell ref="D9116:D9117"/>
    <mergeCell ref="E9116:E9117"/>
    <mergeCell ref="F9116:F9117"/>
    <mergeCell ref="G9116:G9117"/>
    <mergeCell ref="H9116:H9117"/>
    <mergeCell ref="I9116:I9117"/>
    <mergeCell ref="J9116:J9117"/>
    <mergeCell ref="K9116:K9117"/>
    <mergeCell ref="L9116:L9117"/>
    <mergeCell ref="M9116:M9117"/>
    <mergeCell ref="N9116:N9117"/>
    <mergeCell ref="A9120:A9122"/>
    <mergeCell ref="B9120:B9122"/>
    <mergeCell ref="C9120:C9122"/>
    <mergeCell ref="D9120:D9122"/>
    <mergeCell ref="E9120:E9122"/>
    <mergeCell ref="F9120:F9122"/>
    <mergeCell ref="G9120:G9122"/>
    <mergeCell ref="H9120:H9122"/>
    <mergeCell ref="I9120:I9122"/>
    <mergeCell ref="J9120:J9122"/>
    <mergeCell ref="K9120:K9122"/>
    <mergeCell ref="L9120:L9122"/>
    <mergeCell ref="M9120:M9122"/>
    <mergeCell ref="N9120:N9122"/>
    <mergeCell ref="A9100:A9102"/>
    <mergeCell ref="B9100:B9102"/>
    <mergeCell ref="C9100:C9102"/>
    <mergeCell ref="D9100:D9102"/>
    <mergeCell ref="E9100:E9102"/>
    <mergeCell ref="F9100:F9102"/>
    <mergeCell ref="G9100:G9102"/>
    <mergeCell ref="H9100:H9102"/>
    <mergeCell ref="I9100:I9102"/>
    <mergeCell ref="J9100:J9102"/>
    <mergeCell ref="K9100:K9102"/>
    <mergeCell ref="L9100:L9102"/>
    <mergeCell ref="M9100:M9102"/>
    <mergeCell ref="N9100:N9102"/>
    <mergeCell ref="A9104:A9105"/>
    <mergeCell ref="B9104:B9105"/>
    <mergeCell ref="C9104:C9105"/>
    <mergeCell ref="D9104:D9105"/>
    <mergeCell ref="E9104:E9105"/>
    <mergeCell ref="F9104:F9105"/>
    <mergeCell ref="G9104:G9105"/>
    <mergeCell ref="H9104:H9105"/>
    <mergeCell ref="I9104:I9105"/>
    <mergeCell ref="J9104:J9105"/>
    <mergeCell ref="K9104:K9105"/>
    <mergeCell ref="L9104:L9105"/>
    <mergeCell ref="M9104:M9105"/>
    <mergeCell ref="N9104:N9105"/>
    <mergeCell ref="A9108:A9110"/>
    <mergeCell ref="B9108:B9110"/>
    <mergeCell ref="C9108:C9110"/>
    <mergeCell ref="D9108:D9110"/>
    <mergeCell ref="E9108:E9110"/>
    <mergeCell ref="F9108:F9110"/>
    <mergeCell ref="G9108:G9110"/>
    <mergeCell ref="H9108:H9110"/>
    <mergeCell ref="I9108:I9110"/>
    <mergeCell ref="J9108:J9110"/>
    <mergeCell ref="K9108:K9110"/>
    <mergeCell ref="L9108:L9110"/>
    <mergeCell ref="M9108:M9110"/>
    <mergeCell ref="N9108:N9110"/>
    <mergeCell ref="A9086:A9087"/>
    <mergeCell ref="B9086:B9087"/>
    <mergeCell ref="C9086:C9087"/>
    <mergeCell ref="D9086:D9087"/>
    <mergeCell ref="E9086:E9087"/>
    <mergeCell ref="F9086:F9087"/>
    <mergeCell ref="G9086:G9087"/>
    <mergeCell ref="H9086:H9087"/>
    <mergeCell ref="I9086:I9087"/>
    <mergeCell ref="J9086:J9087"/>
    <mergeCell ref="K9086:K9087"/>
    <mergeCell ref="L9086:L9087"/>
    <mergeCell ref="M9086:M9087"/>
    <mergeCell ref="N9086:N9087"/>
    <mergeCell ref="A9089:A9093"/>
    <mergeCell ref="B9089:B9093"/>
    <mergeCell ref="C9089:C9093"/>
    <mergeCell ref="D9089:D9093"/>
    <mergeCell ref="E9089:E9093"/>
    <mergeCell ref="F9089:F9093"/>
    <mergeCell ref="G9089:G9093"/>
    <mergeCell ref="H9089:H9093"/>
    <mergeCell ref="I9089:I9093"/>
    <mergeCell ref="J9089:J9093"/>
    <mergeCell ref="K9089:K9093"/>
    <mergeCell ref="L9089:L9093"/>
    <mergeCell ref="M9089:M9093"/>
    <mergeCell ref="N9089:N9093"/>
    <mergeCell ref="A9094:A9095"/>
    <mergeCell ref="B9094:B9095"/>
    <mergeCell ref="C9094:C9095"/>
    <mergeCell ref="D9094:D9095"/>
    <mergeCell ref="E9094:E9095"/>
    <mergeCell ref="F9094:F9095"/>
    <mergeCell ref="G9094:G9095"/>
    <mergeCell ref="H9094:H9095"/>
    <mergeCell ref="I9094:I9095"/>
    <mergeCell ref="J9094:J9095"/>
    <mergeCell ref="K9094:K9095"/>
    <mergeCell ref="L9094:L9095"/>
    <mergeCell ref="M9094:M9095"/>
    <mergeCell ref="N9094:N9095"/>
    <mergeCell ref="A9071:A9072"/>
    <mergeCell ref="B9071:B9072"/>
    <mergeCell ref="C9071:C9072"/>
    <mergeCell ref="D9071:D9072"/>
    <mergeCell ref="E9071:E9072"/>
    <mergeCell ref="F9071:F9072"/>
    <mergeCell ref="G9071:G9072"/>
    <mergeCell ref="H9071:H9072"/>
    <mergeCell ref="I9071:I9072"/>
    <mergeCell ref="J9071:J9072"/>
    <mergeCell ref="K9071:K9072"/>
    <mergeCell ref="L9071:L9072"/>
    <mergeCell ref="M9071:M9072"/>
    <mergeCell ref="N9071:N9072"/>
    <mergeCell ref="A9073:A9080"/>
    <mergeCell ref="B9073:B9080"/>
    <mergeCell ref="C9073:C9080"/>
    <mergeCell ref="D9073:D9080"/>
    <mergeCell ref="E9073:E9080"/>
    <mergeCell ref="F9073:F9080"/>
    <mergeCell ref="G9073:G9080"/>
    <mergeCell ref="H9073:H9080"/>
    <mergeCell ref="I9073:I9080"/>
    <mergeCell ref="J9073:J9080"/>
    <mergeCell ref="K9073:K9080"/>
    <mergeCell ref="L9073:L9080"/>
    <mergeCell ref="M9073:M9080"/>
    <mergeCell ref="N9073:N9080"/>
    <mergeCell ref="A9084:A9085"/>
    <mergeCell ref="B9084:B9085"/>
    <mergeCell ref="C9084:C9085"/>
    <mergeCell ref="D9084:D9085"/>
    <mergeCell ref="E9084:E9085"/>
    <mergeCell ref="F9084:F9085"/>
    <mergeCell ref="G9084:G9085"/>
    <mergeCell ref="H9084:H9085"/>
    <mergeCell ref="I9084:I9085"/>
    <mergeCell ref="J9084:J9085"/>
    <mergeCell ref="K9084:K9085"/>
    <mergeCell ref="L9084:L9085"/>
    <mergeCell ref="M9084:M9085"/>
    <mergeCell ref="N9084:N9085"/>
    <mergeCell ref="A9064:A9065"/>
    <mergeCell ref="B9064:B9065"/>
    <mergeCell ref="C9064:C9065"/>
    <mergeCell ref="D9064:D9065"/>
    <mergeCell ref="E9064:E9065"/>
    <mergeCell ref="F9064:F9065"/>
    <mergeCell ref="G9064:G9065"/>
    <mergeCell ref="H9064:H9065"/>
    <mergeCell ref="I9064:I9065"/>
    <mergeCell ref="J9064:J9065"/>
    <mergeCell ref="K9064:K9065"/>
    <mergeCell ref="L9064:L9065"/>
    <mergeCell ref="M9064:M9065"/>
    <mergeCell ref="N9064:N9065"/>
    <mergeCell ref="A9066:A9067"/>
    <mergeCell ref="B9066:B9067"/>
    <mergeCell ref="C9066:C9067"/>
    <mergeCell ref="D9066:D9067"/>
    <mergeCell ref="E9066:E9067"/>
    <mergeCell ref="F9066:F9067"/>
    <mergeCell ref="G9066:G9067"/>
    <mergeCell ref="H9066:H9067"/>
    <mergeCell ref="I9066:I9067"/>
    <mergeCell ref="J9066:J9067"/>
    <mergeCell ref="K9066:K9067"/>
    <mergeCell ref="L9066:L9067"/>
    <mergeCell ref="M9066:M9067"/>
    <mergeCell ref="N9066:N9067"/>
    <mergeCell ref="A9069:A9070"/>
    <mergeCell ref="B9069:B9070"/>
    <mergeCell ref="C9069:C9070"/>
    <mergeCell ref="D9069:D9070"/>
    <mergeCell ref="E9069:E9070"/>
    <mergeCell ref="F9069:F9070"/>
    <mergeCell ref="G9069:G9070"/>
    <mergeCell ref="H9069:H9070"/>
    <mergeCell ref="I9069:I9070"/>
    <mergeCell ref="J9069:J9070"/>
    <mergeCell ref="K9069:K9070"/>
    <mergeCell ref="L9069:L9070"/>
    <mergeCell ref="M9069:M9070"/>
    <mergeCell ref="N9069:N9070"/>
    <mergeCell ref="A9046:A9047"/>
    <mergeCell ref="B9046:B9047"/>
    <mergeCell ref="C9046:C9047"/>
    <mergeCell ref="D9046:D9047"/>
    <mergeCell ref="E9046:E9047"/>
    <mergeCell ref="F9046:F9047"/>
    <mergeCell ref="G9046:G9047"/>
    <mergeCell ref="H9046:H9047"/>
    <mergeCell ref="I9046:I9047"/>
    <mergeCell ref="J9046:J9047"/>
    <mergeCell ref="K9046:K9047"/>
    <mergeCell ref="L9046:L9047"/>
    <mergeCell ref="M9046:M9047"/>
    <mergeCell ref="N9046:N9047"/>
    <mergeCell ref="A9054:A9057"/>
    <mergeCell ref="B9054:B9057"/>
    <mergeCell ref="C9054:C9057"/>
    <mergeCell ref="D9054:D9057"/>
    <mergeCell ref="E9054:E9057"/>
    <mergeCell ref="F9054:F9057"/>
    <mergeCell ref="G9054:G9057"/>
    <mergeCell ref="H9054:H9057"/>
    <mergeCell ref="I9054:I9057"/>
    <mergeCell ref="J9054:J9057"/>
    <mergeCell ref="K9054:K9057"/>
    <mergeCell ref="L9054:L9057"/>
    <mergeCell ref="M9054:M9057"/>
    <mergeCell ref="N9054:N9057"/>
    <mergeCell ref="A9058:A9060"/>
    <mergeCell ref="B9058:B9060"/>
    <mergeCell ref="C9058:C9060"/>
    <mergeCell ref="D9058:D9060"/>
    <mergeCell ref="E9058:E9060"/>
    <mergeCell ref="F9058:F9060"/>
    <mergeCell ref="G9058:G9060"/>
    <mergeCell ref="H9058:H9060"/>
    <mergeCell ref="I9058:I9060"/>
    <mergeCell ref="J9058:J9060"/>
    <mergeCell ref="K9058:K9060"/>
    <mergeCell ref="L9058:L9060"/>
    <mergeCell ref="M9058:M9060"/>
    <mergeCell ref="N9058:N9060"/>
    <mergeCell ref="A9030:A9031"/>
    <mergeCell ref="B9030:B9031"/>
    <mergeCell ref="C9030:C9031"/>
    <mergeCell ref="D9030:D9031"/>
    <mergeCell ref="E9030:E9031"/>
    <mergeCell ref="F9030:F9031"/>
    <mergeCell ref="G9030:G9031"/>
    <mergeCell ref="H9030:H9031"/>
    <mergeCell ref="I9030:I9031"/>
    <mergeCell ref="J9030:J9031"/>
    <mergeCell ref="K9030:K9031"/>
    <mergeCell ref="L9030:L9031"/>
    <mergeCell ref="M9030:M9031"/>
    <mergeCell ref="N9030:N9031"/>
    <mergeCell ref="A9036:A9039"/>
    <mergeCell ref="B9036:B9039"/>
    <mergeCell ref="C9036:C9039"/>
    <mergeCell ref="D9036:D9039"/>
    <mergeCell ref="E9036:E9039"/>
    <mergeCell ref="F9036:F9039"/>
    <mergeCell ref="G9036:G9039"/>
    <mergeCell ref="H9036:H9039"/>
    <mergeCell ref="I9036:I9039"/>
    <mergeCell ref="J9036:J9039"/>
    <mergeCell ref="K9036:K9039"/>
    <mergeCell ref="L9036:L9039"/>
    <mergeCell ref="M9036:M9039"/>
    <mergeCell ref="N9036:N9039"/>
    <mergeCell ref="A9042:A9043"/>
    <mergeCell ref="B9042:B9043"/>
    <mergeCell ref="C9042:C9043"/>
    <mergeCell ref="D9042:D9043"/>
    <mergeCell ref="E9042:E9043"/>
    <mergeCell ref="F9042:F9043"/>
    <mergeCell ref="G9042:G9043"/>
    <mergeCell ref="H9042:H9043"/>
    <mergeCell ref="I9042:I9043"/>
    <mergeCell ref="J9042:J9043"/>
    <mergeCell ref="K9042:K9043"/>
    <mergeCell ref="L9042:L9043"/>
    <mergeCell ref="M9042:M9043"/>
    <mergeCell ref="N9042:N9043"/>
    <mergeCell ref="A9016:A9021"/>
    <mergeCell ref="B9016:B9021"/>
    <mergeCell ref="C9016:C9021"/>
    <mergeCell ref="D9016:D9021"/>
    <mergeCell ref="E9016:E9021"/>
    <mergeCell ref="F9016:F9021"/>
    <mergeCell ref="G9016:G9021"/>
    <mergeCell ref="H9016:H9021"/>
    <mergeCell ref="I9016:I9021"/>
    <mergeCell ref="J9016:J9021"/>
    <mergeCell ref="K9016:K9021"/>
    <mergeCell ref="L9016:L9021"/>
    <mergeCell ref="M9016:M9021"/>
    <mergeCell ref="N9016:N9021"/>
    <mergeCell ref="A9024:A9025"/>
    <mergeCell ref="B9024:B9025"/>
    <mergeCell ref="C9024:C9025"/>
    <mergeCell ref="D9024:D9025"/>
    <mergeCell ref="E9024:E9025"/>
    <mergeCell ref="F9024:F9025"/>
    <mergeCell ref="G9024:G9025"/>
    <mergeCell ref="H9024:H9025"/>
    <mergeCell ref="I9024:I9025"/>
    <mergeCell ref="J9024:J9025"/>
    <mergeCell ref="K9024:K9025"/>
    <mergeCell ref="L9024:L9025"/>
    <mergeCell ref="M9024:M9025"/>
    <mergeCell ref="N9024:N9025"/>
    <mergeCell ref="A9027:A9028"/>
    <mergeCell ref="B9027:B9028"/>
    <mergeCell ref="C9027:C9028"/>
    <mergeCell ref="D9027:D9028"/>
    <mergeCell ref="E9027:E9028"/>
    <mergeCell ref="F9027:F9028"/>
    <mergeCell ref="G9027:G9028"/>
    <mergeCell ref="H9027:H9028"/>
    <mergeCell ref="I9027:I9028"/>
    <mergeCell ref="J9027:J9028"/>
    <mergeCell ref="K9027:K9028"/>
    <mergeCell ref="L9027:L9028"/>
    <mergeCell ref="M9027:M9028"/>
    <mergeCell ref="N9027:N9028"/>
    <mergeCell ref="A9007:A9008"/>
    <mergeCell ref="B9007:B9008"/>
    <mergeCell ref="C9007:C9008"/>
    <mergeCell ref="D9007:D9008"/>
    <mergeCell ref="E9007:E9008"/>
    <mergeCell ref="F9007:F9008"/>
    <mergeCell ref="G9007:G9008"/>
    <mergeCell ref="H9007:H9008"/>
    <mergeCell ref="I9007:I9008"/>
    <mergeCell ref="J9007:J9008"/>
    <mergeCell ref="K9007:K9008"/>
    <mergeCell ref="L9007:L9008"/>
    <mergeCell ref="M9007:M9008"/>
    <mergeCell ref="N9007:N9008"/>
    <mergeCell ref="A9009:A9012"/>
    <mergeCell ref="B9009:B9012"/>
    <mergeCell ref="C9009:C9012"/>
    <mergeCell ref="D9009:D9012"/>
    <mergeCell ref="E9009:E9012"/>
    <mergeCell ref="F9009:F9012"/>
    <mergeCell ref="G9009:G9012"/>
    <mergeCell ref="H9009:H9012"/>
    <mergeCell ref="I9009:I9012"/>
    <mergeCell ref="J9009:J9012"/>
    <mergeCell ref="K9009:K9012"/>
    <mergeCell ref="L9009:L9012"/>
    <mergeCell ref="M9009:M9012"/>
    <mergeCell ref="N9009:N9012"/>
    <mergeCell ref="A9014:A9015"/>
    <mergeCell ref="B9014:B9015"/>
    <mergeCell ref="C9014:C9015"/>
    <mergeCell ref="D9014:D9015"/>
    <mergeCell ref="E9014:E9015"/>
    <mergeCell ref="F9014:F9015"/>
    <mergeCell ref="G9014:G9015"/>
    <mergeCell ref="H9014:H9015"/>
    <mergeCell ref="I9014:I9015"/>
    <mergeCell ref="J9014:J9015"/>
    <mergeCell ref="K9014:K9015"/>
    <mergeCell ref="L9014:L9015"/>
    <mergeCell ref="M9014:M9015"/>
    <mergeCell ref="N9014:N9015"/>
    <mergeCell ref="A8993:A8995"/>
    <mergeCell ref="B8993:B8995"/>
    <mergeCell ref="C8993:C8995"/>
    <mergeCell ref="D8993:D8995"/>
    <mergeCell ref="E8993:E8995"/>
    <mergeCell ref="F8993:F8995"/>
    <mergeCell ref="G8993:G8995"/>
    <mergeCell ref="H8993:H8995"/>
    <mergeCell ref="I8993:I8995"/>
    <mergeCell ref="J8993:J8995"/>
    <mergeCell ref="K8993:K8995"/>
    <mergeCell ref="L8993:L8995"/>
    <mergeCell ref="M8993:M8995"/>
    <mergeCell ref="N8993:N8995"/>
    <mergeCell ref="A8999:A9001"/>
    <mergeCell ref="B8999:B9001"/>
    <mergeCell ref="C8999:C9001"/>
    <mergeCell ref="D8999:D9001"/>
    <mergeCell ref="E8999:E9001"/>
    <mergeCell ref="F8999:F9001"/>
    <mergeCell ref="G8999:G9001"/>
    <mergeCell ref="H8999:H9001"/>
    <mergeCell ref="I8999:I9001"/>
    <mergeCell ref="J8999:J9001"/>
    <mergeCell ref="K8999:K9001"/>
    <mergeCell ref="L8999:L9001"/>
    <mergeCell ref="M8999:M9001"/>
    <mergeCell ref="N8999:N9001"/>
    <mergeCell ref="A9002:A9003"/>
    <mergeCell ref="B9002:B9003"/>
    <mergeCell ref="C9002:C9003"/>
    <mergeCell ref="D9002:D9003"/>
    <mergeCell ref="E9002:E9003"/>
    <mergeCell ref="F9002:F9003"/>
    <mergeCell ref="G9002:G9003"/>
    <mergeCell ref="H9002:H9003"/>
    <mergeCell ref="I9002:I9003"/>
    <mergeCell ref="J9002:J9003"/>
    <mergeCell ref="K9002:K9003"/>
    <mergeCell ref="L9002:L9003"/>
    <mergeCell ref="M9002:M9003"/>
    <mergeCell ref="N9002:N9003"/>
    <mergeCell ref="A8981:A8982"/>
    <mergeCell ref="B8981:B8982"/>
    <mergeCell ref="C8981:C8982"/>
    <mergeCell ref="D8981:D8982"/>
    <mergeCell ref="E8981:E8982"/>
    <mergeCell ref="F8981:F8982"/>
    <mergeCell ref="G8981:G8982"/>
    <mergeCell ref="H8981:H8982"/>
    <mergeCell ref="I8981:I8982"/>
    <mergeCell ref="J8981:J8982"/>
    <mergeCell ref="K8981:K8982"/>
    <mergeCell ref="L8981:L8982"/>
    <mergeCell ref="M8981:M8982"/>
    <mergeCell ref="N8981:N8982"/>
    <mergeCell ref="A8986:A8987"/>
    <mergeCell ref="B8986:B8987"/>
    <mergeCell ref="C8986:C8987"/>
    <mergeCell ref="D8986:D8987"/>
    <mergeCell ref="E8986:E8987"/>
    <mergeCell ref="F8986:F8987"/>
    <mergeCell ref="G8986:G8987"/>
    <mergeCell ref="H8986:H8987"/>
    <mergeCell ref="I8986:I8987"/>
    <mergeCell ref="J8986:J8987"/>
    <mergeCell ref="K8986:K8987"/>
    <mergeCell ref="L8986:L8987"/>
    <mergeCell ref="M8986:M8987"/>
    <mergeCell ref="N8986:N8987"/>
    <mergeCell ref="A8990:A8991"/>
    <mergeCell ref="B8990:B8991"/>
    <mergeCell ref="C8990:C8991"/>
    <mergeCell ref="D8990:D8991"/>
    <mergeCell ref="E8990:E8991"/>
    <mergeCell ref="F8990:F8991"/>
    <mergeCell ref="G8990:G8991"/>
    <mergeCell ref="H8990:H8991"/>
    <mergeCell ref="I8990:I8991"/>
    <mergeCell ref="J8990:J8991"/>
    <mergeCell ref="K8990:K8991"/>
    <mergeCell ref="L8990:L8991"/>
    <mergeCell ref="M8990:M8991"/>
    <mergeCell ref="N8990:N8991"/>
    <mergeCell ref="A8974:A8975"/>
    <mergeCell ref="B8974:B8975"/>
    <mergeCell ref="C8974:C8975"/>
    <mergeCell ref="D8974:D8975"/>
    <mergeCell ref="E8974:E8975"/>
    <mergeCell ref="F8974:F8975"/>
    <mergeCell ref="G8974:G8975"/>
    <mergeCell ref="H8974:H8975"/>
    <mergeCell ref="I8974:I8975"/>
    <mergeCell ref="J8974:J8975"/>
    <mergeCell ref="K8974:K8975"/>
    <mergeCell ref="L8974:L8975"/>
    <mergeCell ref="M8974:M8975"/>
    <mergeCell ref="N8974:N8975"/>
    <mergeCell ref="A8976:A8977"/>
    <mergeCell ref="B8976:B8977"/>
    <mergeCell ref="C8976:C8977"/>
    <mergeCell ref="D8976:D8977"/>
    <mergeCell ref="E8976:E8977"/>
    <mergeCell ref="F8976:F8977"/>
    <mergeCell ref="G8976:G8977"/>
    <mergeCell ref="H8976:H8977"/>
    <mergeCell ref="I8976:I8977"/>
    <mergeCell ref="J8976:J8977"/>
    <mergeCell ref="K8976:K8977"/>
    <mergeCell ref="L8976:L8977"/>
    <mergeCell ref="M8976:M8977"/>
    <mergeCell ref="N8976:N8977"/>
    <mergeCell ref="A8978:A8979"/>
    <mergeCell ref="B8978:B8979"/>
    <mergeCell ref="C8978:C8979"/>
    <mergeCell ref="D8978:D8979"/>
    <mergeCell ref="E8978:E8979"/>
    <mergeCell ref="F8978:F8979"/>
    <mergeCell ref="G8978:G8979"/>
    <mergeCell ref="H8978:H8979"/>
    <mergeCell ref="I8978:I8979"/>
    <mergeCell ref="J8978:J8979"/>
    <mergeCell ref="K8978:K8979"/>
    <mergeCell ref="L8978:L8979"/>
    <mergeCell ref="M8978:M8979"/>
    <mergeCell ref="N8978:N8979"/>
    <mergeCell ref="A8962:A8964"/>
    <mergeCell ref="B8962:B8964"/>
    <mergeCell ref="C8962:C8964"/>
    <mergeCell ref="D8962:D8964"/>
    <mergeCell ref="E8962:E8964"/>
    <mergeCell ref="F8962:F8964"/>
    <mergeCell ref="G8962:G8964"/>
    <mergeCell ref="H8962:H8964"/>
    <mergeCell ref="I8962:I8964"/>
    <mergeCell ref="J8962:J8964"/>
    <mergeCell ref="K8962:K8964"/>
    <mergeCell ref="L8962:L8964"/>
    <mergeCell ref="M8962:M8964"/>
    <mergeCell ref="N8962:N8964"/>
    <mergeCell ref="A8967:A8969"/>
    <mergeCell ref="B8967:B8969"/>
    <mergeCell ref="C8967:C8969"/>
    <mergeCell ref="D8967:D8969"/>
    <mergeCell ref="E8967:E8969"/>
    <mergeCell ref="F8967:F8969"/>
    <mergeCell ref="G8967:G8969"/>
    <mergeCell ref="H8967:H8969"/>
    <mergeCell ref="I8967:I8969"/>
    <mergeCell ref="J8967:J8969"/>
    <mergeCell ref="K8967:K8969"/>
    <mergeCell ref="L8967:L8969"/>
    <mergeCell ref="M8967:M8969"/>
    <mergeCell ref="N8967:N8969"/>
    <mergeCell ref="A8971:A8972"/>
    <mergeCell ref="B8971:B8972"/>
    <mergeCell ref="C8971:C8972"/>
    <mergeCell ref="D8971:D8972"/>
    <mergeCell ref="E8971:E8972"/>
    <mergeCell ref="F8971:F8972"/>
    <mergeCell ref="G8971:G8972"/>
    <mergeCell ref="H8971:H8972"/>
    <mergeCell ref="I8971:I8972"/>
    <mergeCell ref="J8971:J8972"/>
    <mergeCell ref="K8971:K8972"/>
    <mergeCell ref="L8971:L8972"/>
    <mergeCell ref="M8971:M8972"/>
    <mergeCell ref="N8971:N8972"/>
    <mergeCell ref="A8950:A8951"/>
    <mergeCell ref="B8950:B8951"/>
    <mergeCell ref="C8950:C8951"/>
    <mergeCell ref="D8950:D8951"/>
    <mergeCell ref="E8950:E8951"/>
    <mergeCell ref="F8950:F8951"/>
    <mergeCell ref="G8950:G8951"/>
    <mergeCell ref="H8950:H8951"/>
    <mergeCell ref="I8950:I8951"/>
    <mergeCell ref="J8950:J8951"/>
    <mergeCell ref="K8950:K8951"/>
    <mergeCell ref="L8950:L8951"/>
    <mergeCell ref="M8950:M8951"/>
    <mergeCell ref="N8950:N8951"/>
    <mergeCell ref="A8955:A8956"/>
    <mergeCell ref="B8955:B8956"/>
    <mergeCell ref="C8955:C8956"/>
    <mergeCell ref="D8955:D8956"/>
    <mergeCell ref="E8955:E8956"/>
    <mergeCell ref="F8955:F8956"/>
    <mergeCell ref="G8955:G8956"/>
    <mergeCell ref="H8955:H8956"/>
    <mergeCell ref="I8955:I8956"/>
    <mergeCell ref="J8955:J8956"/>
    <mergeCell ref="K8955:K8956"/>
    <mergeCell ref="L8955:L8956"/>
    <mergeCell ref="M8955:M8956"/>
    <mergeCell ref="N8955:N8956"/>
    <mergeCell ref="A8958:A8959"/>
    <mergeCell ref="B8958:B8959"/>
    <mergeCell ref="C8958:C8959"/>
    <mergeCell ref="D8958:D8959"/>
    <mergeCell ref="E8958:E8959"/>
    <mergeCell ref="F8958:F8959"/>
    <mergeCell ref="G8958:G8959"/>
    <mergeCell ref="H8958:H8959"/>
    <mergeCell ref="I8958:I8959"/>
    <mergeCell ref="J8958:J8959"/>
    <mergeCell ref="K8958:K8959"/>
    <mergeCell ref="L8958:L8959"/>
    <mergeCell ref="M8958:M8959"/>
    <mergeCell ref="N8958:N8959"/>
    <mergeCell ref="A8943:A8944"/>
    <mergeCell ref="B8943:B8944"/>
    <mergeCell ref="C8943:C8944"/>
    <mergeCell ref="D8943:D8944"/>
    <mergeCell ref="E8943:E8944"/>
    <mergeCell ref="F8943:F8944"/>
    <mergeCell ref="G8943:G8944"/>
    <mergeCell ref="H8943:H8944"/>
    <mergeCell ref="I8943:I8944"/>
    <mergeCell ref="J8943:J8944"/>
    <mergeCell ref="K8943:K8944"/>
    <mergeCell ref="L8943:L8944"/>
    <mergeCell ref="M8943:M8944"/>
    <mergeCell ref="N8943:N8944"/>
    <mergeCell ref="A8945:A8946"/>
    <mergeCell ref="B8945:B8946"/>
    <mergeCell ref="C8945:C8946"/>
    <mergeCell ref="D8945:D8946"/>
    <mergeCell ref="E8945:E8946"/>
    <mergeCell ref="F8945:F8946"/>
    <mergeCell ref="G8945:G8946"/>
    <mergeCell ref="H8945:H8946"/>
    <mergeCell ref="I8945:I8946"/>
    <mergeCell ref="J8945:J8946"/>
    <mergeCell ref="K8945:K8946"/>
    <mergeCell ref="L8945:L8946"/>
    <mergeCell ref="M8945:M8946"/>
    <mergeCell ref="N8945:N8946"/>
    <mergeCell ref="A8947:A8948"/>
    <mergeCell ref="B8947:B8948"/>
    <mergeCell ref="C8947:C8948"/>
    <mergeCell ref="D8947:D8948"/>
    <mergeCell ref="E8947:E8948"/>
    <mergeCell ref="F8947:F8948"/>
    <mergeCell ref="G8947:G8948"/>
    <mergeCell ref="H8947:H8948"/>
    <mergeCell ref="I8947:I8948"/>
    <mergeCell ref="J8947:J8948"/>
    <mergeCell ref="K8947:K8948"/>
    <mergeCell ref="L8947:L8948"/>
    <mergeCell ref="M8947:M8948"/>
    <mergeCell ref="N8947:N8948"/>
    <mergeCell ref="A8932:A8933"/>
    <mergeCell ref="B8932:B8933"/>
    <mergeCell ref="C8932:C8933"/>
    <mergeCell ref="D8932:D8933"/>
    <mergeCell ref="E8932:E8933"/>
    <mergeCell ref="F8932:F8933"/>
    <mergeCell ref="G8932:G8933"/>
    <mergeCell ref="H8932:H8933"/>
    <mergeCell ref="I8932:I8933"/>
    <mergeCell ref="J8932:J8933"/>
    <mergeCell ref="K8932:K8933"/>
    <mergeCell ref="L8932:L8933"/>
    <mergeCell ref="M8932:M8933"/>
    <mergeCell ref="N8932:N8933"/>
    <mergeCell ref="A8935:A8936"/>
    <mergeCell ref="B8935:B8936"/>
    <mergeCell ref="C8935:C8936"/>
    <mergeCell ref="D8935:D8936"/>
    <mergeCell ref="E8935:E8936"/>
    <mergeCell ref="F8935:F8936"/>
    <mergeCell ref="G8935:G8936"/>
    <mergeCell ref="H8935:H8936"/>
    <mergeCell ref="I8935:I8936"/>
    <mergeCell ref="J8935:J8936"/>
    <mergeCell ref="K8935:K8936"/>
    <mergeCell ref="L8935:L8936"/>
    <mergeCell ref="M8935:M8936"/>
    <mergeCell ref="N8935:N8936"/>
    <mergeCell ref="A8940:A8942"/>
    <mergeCell ref="B8940:B8942"/>
    <mergeCell ref="C8940:C8942"/>
    <mergeCell ref="D8940:D8942"/>
    <mergeCell ref="E8940:E8942"/>
    <mergeCell ref="F8940:F8942"/>
    <mergeCell ref="G8940:G8942"/>
    <mergeCell ref="H8940:H8942"/>
    <mergeCell ref="I8940:I8942"/>
    <mergeCell ref="J8940:J8942"/>
    <mergeCell ref="K8940:K8942"/>
    <mergeCell ref="L8940:L8942"/>
    <mergeCell ref="M8940:M8942"/>
    <mergeCell ref="N8940:N8942"/>
    <mergeCell ref="A8914:A8916"/>
    <mergeCell ref="B8914:B8916"/>
    <mergeCell ref="C8914:C8916"/>
    <mergeCell ref="D8914:D8916"/>
    <mergeCell ref="E8914:E8916"/>
    <mergeCell ref="F8914:F8916"/>
    <mergeCell ref="G8914:G8916"/>
    <mergeCell ref="H8914:H8916"/>
    <mergeCell ref="I8914:I8916"/>
    <mergeCell ref="J8914:J8916"/>
    <mergeCell ref="K8914:K8916"/>
    <mergeCell ref="L8914:L8916"/>
    <mergeCell ref="M8914:M8916"/>
    <mergeCell ref="N8914:N8916"/>
    <mergeCell ref="A8927:A8928"/>
    <mergeCell ref="B8927:B8928"/>
    <mergeCell ref="C8927:C8928"/>
    <mergeCell ref="D8927:D8928"/>
    <mergeCell ref="E8927:E8928"/>
    <mergeCell ref="F8927:F8928"/>
    <mergeCell ref="G8927:G8928"/>
    <mergeCell ref="H8927:H8928"/>
    <mergeCell ref="I8927:I8928"/>
    <mergeCell ref="J8927:J8928"/>
    <mergeCell ref="K8927:K8928"/>
    <mergeCell ref="L8927:L8928"/>
    <mergeCell ref="M8927:M8928"/>
    <mergeCell ref="N8927:N8928"/>
    <mergeCell ref="A8930:A8931"/>
    <mergeCell ref="B8930:B8931"/>
    <mergeCell ref="C8930:C8931"/>
    <mergeCell ref="D8930:D8931"/>
    <mergeCell ref="E8930:E8931"/>
    <mergeCell ref="F8930:F8931"/>
    <mergeCell ref="G8930:G8931"/>
    <mergeCell ref="H8930:H8931"/>
    <mergeCell ref="I8930:I8931"/>
    <mergeCell ref="J8930:J8931"/>
    <mergeCell ref="K8930:K8931"/>
    <mergeCell ref="L8930:L8931"/>
    <mergeCell ref="M8930:M8931"/>
    <mergeCell ref="N8930:N8931"/>
    <mergeCell ref="A8885:A8886"/>
    <mergeCell ref="B8885:B8886"/>
    <mergeCell ref="C8885:C8886"/>
    <mergeCell ref="D8885:D8886"/>
    <mergeCell ref="E8885:E8886"/>
    <mergeCell ref="F8885:F8886"/>
    <mergeCell ref="G8885:G8886"/>
    <mergeCell ref="H8885:H8886"/>
    <mergeCell ref="I8885:I8886"/>
    <mergeCell ref="J8885:J8886"/>
    <mergeCell ref="K8885:K8886"/>
    <mergeCell ref="L8885:L8886"/>
    <mergeCell ref="M8885:M8886"/>
    <mergeCell ref="N8885:N8886"/>
    <mergeCell ref="A8893:A8894"/>
    <mergeCell ref="B8893:B8894"/>
    <mergeCell ref="C8893:C8894"/>
    <mergeCell ref="D8893:D8894"/>
    <mergeCell ref="E8893:E8894"/>
    <mergeCell ref="F8893:F8894"/>
    <mergeCell ref="G8893:G8894"/>
    <mergeCell ref="H8893:H8894"/>
    <mergeCell ref="I8893:I8894"/>
    <mergeCell ref="J8893:J8894"/>
    <mergeCell ref="K8893:K8894"/>
    <mergeCell ref="L8893:L8894"/>
    <mergeCell ref="M8893:M8894"/>
    <mergeCell ref="N8893:N8894"/>
    <mergeCell ref="A8906:A8908"/>
    <mergeCell ref="B8906:B8908"/>
    <mergeCell ref="C8906:C8908"/>
    <mergeCell ref="D8906:D8908"/>
    <mergeCell ref="E8906:E8908"/>
    <mergeCell ref="F8906:F8908"/>
    <mergeCell ref="G8906:G8908"/>
    <mergeCell ref="H8906:H8908"/>
    <mergeCell ref="I8906:I8908"/>
    <mergeCell ref="J8906:J8908"/>
    <mergeCell ref="K8906:K8908"/>
    <mergeCell ref="L8906:L8908"/>
    <mergeCell ref="M8906:M8908"/>
    <mergeCell ref="N8906:N8908"/>
    <mergeCell ref="A8878:A8879"/>
    <mergeCell ref="B8878:B8879"/>
    <mergeCell ref="C8878:C8879"/>
    <mergeCell ref="D8878:D8879"/>
    <mergeCell ref="E8878:E8879"/>
    <mergeCell ref="F8878:F8879"/>
    <mergeCell ref="G8878:G8879"/>
    <mergeCell ref="H8878:H8879"/>
    <mergeCell ref="I8878:I8879"/>
    <mergeCell ref="J8878:J8879"/>
    <mergeCell ref="K8878:K8879"/>
    <mergeCell ref="L8878:L8879"/>
    <mergeCell ref="M8878:M8879"/>
    <mergeCell ref="N8878:N8879"/>
    <mergeCell ref="A8880:A8882"/>
    <mergeCell ref="B8880:B8882"/>
    <mergeCell ref="C8880:C8882"/>
    <mergeCell ref="D8880:D8882"/>
    <mergeCell ref="E8880:E8882"/>
    <mergeCell ref="F8880:F8882"/>
    <mergeCell ref="G8880:G8882"/>
    <mergeCell ref="H8880:H8882"/>
    <mergeCell ref="I8880:I8882"/>
    <mergeCell ref="J8880:J8882"/>
    <mergeCell ref="K8880:K8882"/>
    <mergeCell ref="L8880:L8882"/>
    <mergeCell ref="M8880:M8882"/>
    <mergeCell ref="N8880:N8882"/>
    <mergeCell ref="A8883:A8884"/>
    <mergeCell ref="B8883:B8884"/>
    <mergeCell ref="C8883:C8884"/>
    <mergeCell ref="D8883:D8884"/>
    <mergeCell ref="E8883:E8884"/>
    <mergeCell ref="F8883:F8884"/>
    <mergeCell ref="G8883:G8884"/>
    <mergeCell ref="H8883:H8884"/>
    <mergeCell ref="I8883:I8884"/>
    <mergeCell ref="J8883:J8884"/>
    <mergeCell ref="K8883:K8884"/>
    <mergeCell ref="L8883:L8884"/>
    <mergeCell ref="M8883:M8884"/>
    <mergeCell ref="N8883:N8884"/>
    <mergeCell ref="A8870:A8873"/>
    <mergeCell ref="B8870:B8873"/>
    <mergeCell ref="C8870:C8873"/>
    <mergeCell ref="D8870:D8873"/>
    <mergeCell ref="E8870:E8873"/>
    <mergeCell ref="F8870:F8873"/>
    <mergeCell ref="G8870:G8873"/>
    <mergeCell ref="H8870:H8873"/>
    <mergeCell ref="I8870:I8873"/>
    <mergeCell ref="J8870:J8873"/>
    <mergeCell ref="K8870:K8873"/>
    <mergeCell ref="L8870:L8873"/>
    <mergeCell ref="M8870:M8873"/>
    <mergeCell ref="N8870:N8873"/>
    <mergeCell ref="A8874:A8875"/>
    <mergeCell ref="B8874:B8875"/>
    <mergeCell ref="C8874:C8875"/>
    <mergeCell ref="D8874:D8875"/>
    <mergeCell ref="E8874:E8875"/>
    <mergeCell ref="F8874:F8875"/>
    <mergeCell ref="G8874:G8875"/>
    <mergeCell ref="H8874:H8875"/>
    <mergeCell ref="I8874:I8875"/>
    <mergeCell ref="J8874:J8875"/>
    <mergeCell ref="K8874:K8875"/>
    <mergeCell ref="L8874:L8875"/>
    <mergeCell ref="M8874:M8875"/>
    <mergeCell ref="N8874:N8875"/>
    <mergeCell ref="A8876:A8877"/>
    <mergeCell ref="B8876:B8877"/>
    <mergeCell ref="C8876:C8877"/>
    <mergeCell ref="D8876:D8877"/>
    <mergeCell ref="E8876:E8877"/>
    <mergeCell ref="F8876:F8877"/>
    <mergeCell ref="G8876:G8877"/>
    <mergeCell ref="H8876:H8877"/>
    <mergeCell ref="I8876:I8877"/>
    <mergeCell ref="J8876:J8877"/>
    <mergeCell ref="K8876:K8877"/>
    <mergeCell ref="L8876:L8877"/>
    <mergeCell ref="M8876:M8877"/>
    <mergeCell ref="N8876:N8877"/>
    <mergeCell ref="A8858:A8859"/>
    <mergeCell ref="B8858:B8859"/>
    <mergeCell ref="C8858:C8859"/>
    <mergeCell ref="D8858:D8859"/>
    <mergeCell ref="E8858:E8859"/>
    <mergeCell ref="F8858:F8859"/>
    <mergeCell ref="G8858:G8859"/>
    <mergeCell ref="H8858:H8859"/>
    <mergeCell ref="I8858:I8859"/>
    <mergeCell ref="J8858:J8859"/>
    <mergeCell ref="K8858:K8859"/>
    <mergeCell ref="L8858:L8859"/>
    <mergeCell ref="M8858:M8859"/>
    <mergeCell ref="N8858:N8859"/>
    <mergeCell ref="A8863:A8864"/>
    <mergeCell ref="B8863:B8864"/>
    <mergeCell ref="C8863:C8864"/>
    <mergeCell ref="D8863:D8864"/>
    <mergeCell ref="E8863:E8864"/>
    <mergeCell ref="F8863:F8864"/>
    <mergeCell ref="G8863:G8864"/>
    <mergeCell ref="H8863:H8864"/>
    <mergeCell ref="I8863:I8864"/>
    <mergeCell ref="J8863:J8864"/>
    <mergeCell ref="K8863:K8864"/>
    <mergeCell ref="L8863:L8864"/>
    <mergeCell ref="M8863:M8864"/>
    <mergeCell ref="N8863:N8864"/>
    <mergeCell ref="A8866:A8868"/>
    <mergeCell ref="B8866:B8868"/>
    <mergeCell ref="C8866:C8868"/>
    <mergeCell ref="D8866:D8868"/>
    <mergeCell ref="E8866:E8868"/>
    <mergeCell ref="F8866:F8868"/>
    <mergeCell ref="G8866:G8868"/>
    <mergeCell ref="H8866:H8868"/>
    <mergeCell ref="I8866:I8868"/>
    <mergeCell ref="J8866:J8868"/>
    <mergeCell ref="K8866:K8868"/>
    <mergeCell ref="L8866:L8868"/>
    <mergeCell ref="M8866:M8868"/>
    <mergeCell ref="N8866:N8868"/>
    <mergeCell ref="A8843:A8845"/>
    <mergeCell ref="B8843:B8845"/>
    <mergeCell ref="C8843:C8845"/>
    <mergeCell ref="D8843:D8845"/>
    <mergeCell ref="E8843:E8845"/>
    <mergeCell ref="F8843:F8845"/>
    <mergeCell ref="G8843:G8845"/>
    <mergeCell ref="H8843:H8845"/>
    <mergeCell ref="I8843:I8845"/>
    <mergeCell ref="J8843:J8845"/>
    <mergeCell ref="K8843:K8845"/>
    <mergeCell ref="L8843:L8845"/>
    <mergeCell ref="M8843:M8845"/>
    <mergeCell ref="N8843:N8845"/>
    <mergeCell ref="A8846:A8848"/>
    <mergeCell ref="B8846:B8848"/>
    <mergeCell ref="C8846:C8848"/>
    <mergeCell ref="D8846:D8848"/>
    <mergeCell ref="E8846:E8848"/>
    <mergeCell ref="F8846:F8848"/>
    <mergeCell ref="G8846:G8848"/>
    <mergeCell ref="H8846:H8848"/>
    <mergeCell ref="I8846:I8848"/>
    <mergeCell ref="J8846:J8848"/>
    <mergeCell ref="K8846:K8848"/>
    <mergeCell ref="L8846:L8848"/>
    <mergeCell ref="M8846:M8848"/>
    <mergeCell ref="N8846:N8848"/>
    <mergeCell ref="A8853:A8855"/>
    <mergeCell ref="B8853:B8855"/>
    <mergeCell ref="C8853:C8855"/>
    <mergeCell ref="D8853:D8855"/>
    <mergeCell ref="E8853:E8855"/>
    <mergeCell ref="F8853:F8855"/>
    <mergeCell ref="G8853:G8855"/>
    <mergeCell ref="H8853:H8855"/>
    <mergeCell ref="I8853:I8855"/>
    <mergeCell ref="J8853:J8855"/>
    <mergeCell ref="K8853:K8855"/>
    <mergeCell ref="L8853:L8855"/>
    <mergeCell ref="M8853:M8855"/>
    <mergeCell ref="N8853:N8855"/>
    <mergeCell ref="A8829:A8830"/>
    <mergeCell ref="B8829:B8830"/>
    <mergeCell ref="C8829:C8830"/>
    <mergeCell ref="D8829:D8830"/>
    <mergeCell ref="E8829:E8830"/>
    <mergeCell ref="F8829:F8830"/>
    <mergeCell ref="G8829:G8830"/>
    <mergeCell ref="H8829:H8830"/>
    <mergeCell ref="I8829:I8830"/>
    <mergeCell ref="J8829:J8830"/>
    <mergeCell ref="K8829:K8830"/>
    <mergeCell ref="L8829:L8830"/>
    <mergeCell ref="M8829:M8830"/>
    <mergeCell ref="N8829:N8830"/>
    <mergeCell ref="A8831:A8832"/>
    <mergeCell ref="B8831:B8832"/>
    <mergeCell ref="C8831:C8832"/>
    <mergeCell ref="D8831:D8832"/>
    <mergeCell ref="E8831:E8832"/>
    <mergeCell ref="F8831:F8832"/>
    <mergeCell ref="G8831:G8832"/>
    <mergeCell ref="H8831:H8832"/>
    <mergeCell ref="I8831:I8832"/>
    <mergeCell ref="J8831:J8832"/>
    <mergeCell ref="K8831:K8832"/>
    <mergeCell ref="L8831:L8832"/>
    <mergeCell ref="M8831:M8832"/>
    <mergeCell ref="N8831:N8832"/>
    <mergeCell ref="A8833:A8838"/>
    <mergeCell ref="B8833:B8838"/>
    <mergeCell ref="C8833:C8838"/>
    <mergeCell ref="D8833:D8838"/>
    <mergeCell ref="E8833:E8838"/>
    <mergeCell ref="F8833:F8838"/>
    <mergeCell ref="G8833:G8838"/>
    <mergeCell ref="H8833:H8838"/>
    <mergeCell ref="I8833:I8838"/>
    <mergeCell ref="J8833:J8838"/>
    <mergeCell ref="K8833:K8838"/>
    <mergeCell ref="L8833:L8838"/>
    <mergeCell ref="M8833:M8838"/>
    <mergeCell ref="N8833:N8838"/>
    <mergeCell ref="A8809:A8810"/>
    <mergeCell ref="B8809:B8810"/>
    <mergeCell ref="C8809:C8810"/>
    <mergeCell ref="D8809:D8810"/>
    <mergeCell ref="E8809:E8810"/>
    <mergeCell ref="F8809:F8810"/>
    <mergeCell ref="G8809:G8810"/>
    <mergeCell ref="H8809:H8810"/>
    <mergeCell ref="I8809:I8810"/>
    <mergeCell ref="J8809:J8810"/>
    <mergeCell ref="K8809:K8810"/>
    <mergeCell ref="L8809:L8810"/>
    <mergeCell ref="M8809:M8810"/>
    <mergeCell ref="N8809:N8810"/>
    <mergeCell ref="A8817:A8821"/>
    <mergeCell ref="B8817:B8821"/>
    <mergeCell ref="C8817:C8821"/>
    <mergeCell ref="D8817:D8821"/>
    <mergeCell ref="E8817:E8821"/>
    <mergeCell ref="F8817:F8821"/>
    <mergeCell ref="G8817:G8821"/>
    <mergeCell ref="H8817:H8821"/>
    <mergeCell ref="I8817:I8821"/>
    <mergeCell ref="J8817:J8821"/>
    <mergeCell ref="K8817:K8821"/>
    <mergeCell ref="L8817:L8821"/>
    <mergeCell ref="M8817:M8821"/>
    <mergeCell ref="N8817:N8821"/>
    <mergeCell ref="A8826:A8828"/>
    <mergeCell ref="B8826:B8828"/>
    <mergeCell ref="C8826:C8828"/>
    <mergeCell ref="D8826:D8828"/>
    <mergeCell ref="E8826:E8828"/>
    <mergeCell ref="F8826:F8828"/>
    <mergeCell ref="G8826:G8828"/>
    <mergeCell ref="H8826:H8828"/>
    <mergeCell ref="I8826:I8828"/>
    <mergeCell ref="J8826:J8828"/>
    <mergeCell ref="K8826:K8828"/>
    <mergeCell ref="L8826:L8828"/>
    <mergeCell ref="M8826:M8828"/>
    <mergeCell ref="N8826:N8828"/>
    <mergeCell ref="A8785:A8788"/>
    <mergeCell ref="B8785:B8788"/>
    <mergeCell ref="C8785:C8788"/>
    <mergeCell ref="D8785:D8788"/>
    <mergeCell ref="E8785:E8788"/>
    <mergeCell ref="F8785:F8788"/>
    <mergeCell ref="G8785:G8788"/>
    <mergeCell ref="H8785:H8788"/>
    <mergeCell ref="I8785:I8788"/>
    <mergeCell ref="J8785:J8788"/>
    <mergeCell ref="K8785:K8788"/>
    <mergeCell ref="L8785:L8788"/>
    <mergeCell ref="M8785:M8788"/>
    <mergeCell ref="N8785:N8788"/>
    <mergeCell ref="A8796:A8798"/>
    <mergeCell ref="B8796:B8798"/>
    <mergeCell ref="C8796:C8798"/>
    <mergeCell ref="D8796:D8798"/>
    <mergeCell ref="E8796:E8798"/>
    <mergeCell ref="F8796:F8798"/>
    <mergeCell ref="G8796:G8798"/>
    <mergeCell ref="H8796:H8798"/>
    <mergeCell ref="I8796:I8798"/>
    <mergeCell ref="J8796:J8798"/>
    <mergeCell ref="K8796:K8798"/>
    <mergeCell ref="L8796:L8798"/>
    <mergeCell ref="M8796:M8798"/>
    <mergeCell ref="N8796:N8798"/>
    <mergeCell ref="A8800:A8801"/>
    <mergeCell ref="B8800:B8801"/>
    <mergeCell ref="C8800:C8801"/>
    <mergeCell ref="D8800:D8801"/>
    <mergeCell ref="E8800:E8801"/>
    <mergeCell ref="F8800:F8801"/>
    <mergeCell ref="G8800:G8801"/>
    <mergeCell ref="H8800:H8801"/>
    <mergeCell ref="I8800:I8801"/>
    <mergeCell ref="J8800:J8801"/>
    <mergeCell ref="K8800:K8801"/>
    <mergeCell ref="L8800:L8801"/>
    <mergeCell ref="M8800:M8801"/>
    <mergeCell ref="N8800:N8801"/>
    <mergeCell ref="A8774:A8775"/>
    <mergeCell ref="B8774:B8775"/>
    <mergeCell ref="C8774:C8775"/>
    <mergeCell ref="D8774:D8775"/>
    <mergeCell ref="E8774:E8775"/>
    <mergeCell ref="F8774:F8775"/>
    <mergeCell ref="G8774:G8775"/>
    <mergeCell ref="H8774:H8775"/>
    <mergeCell ref="I8774:I8775"/>
    <mergeCell ref="J8774:J8775"/>
    <mergeCell ref="K8774:K8775"/>
    <mergeCell ref="L8774:L8775"/>
    <mergeCell ref="M8774:M8775"/>
    <mergeCell ref="N8774:N8775"/>
    <mergeCell ref="A8776:A8781"/>
    <mergeCell ref="B8776:B8781"/>
    <mergeCell ref="C8776:C8781"/>
    <mergeCell ref="D8776:D8781"/>
    <mergeCell ref="E8776:E8781"/>
    <mergeCell ref="F8776:F8781"/>
    <mergeCell ref="G8776:G8781"/>
    <mergeCell ref="H8776:H8781"/>
    <mergeCell ref="I8776:I8781"/>
    <mergeCell ref="J8776:J8781"/>
    <mergeCell ref="K8776:K8781"/>
    <mergeCell ref="L8776:L8781"/>
    <mergeCell ref="M8776:M8781"/>
    <mergeCell ref="N8776:N8781"/>
    <mergeCell ref="A8782:A8783"/>
    <mergeCell ref="B8782:B8783"/>
    <mergeCell ref="C8782:C8783"/>
    <mergeCell ref="D8782:D8783"/>
    <mergeCell ref="E8782:E8783"/>
    <mergeCell ref="F8782:F8783"/>
    <mergeCell ref="G8782:G8783"/>
    <mergeCell ref="H8782:H8783"/>
    <mergeCell ref="I8782:I8783"/>
    <mergeCell ref="J8782:J8783"/>
    <mergeCell ref="K8782:K8783"/>
    <mergeCell ref="L8782:L8783"/>
    <mergeCell ref="M8782:M8783"/>
    <mergeCell ref="N8782:N8783"/>
    <mergeCell ref="A8758:A8759"/>
    <mergeCell ref="B8758:B8759"/>
    <mergeCell ref="C8758:C8759"/>
    <mergeCell ref="D8758:D8759"/>
    <mergeCell ref="E8758:E8759"/>
    <mergeCell ref="F8758:F8759"/>
    <mergeCell ref="G8758:G8759"/>
    <mergeCell ref="H8758:H8759"/>
    <mergeCell ref="I8758:I8759"/>
    <mergeCell ref="J8758:J8759"/>
    <mergeCell ref="K8758:K8759"/>
    <mergeCell ref="L8758:L8759"/>
    <mergeCell ref="M8758:M8759"/>
    <mergeCell ref="N8758:N8759"/>
    <mergeCell ref="A8762:A8763"/>
    <mergeCell ref="B8762:B8763"/>
    <mergeCell ref="C8762:C8763"/>
    <mergeCell ref="D8762:D8763"/>
    <mergeCell ref="E8762:E8763"/>
    <mergeCell ref="F8762:F8763"/>
    <mergeCell ref="G8762:G8763"/>
    <mergeCell ref="H8762:H8763"/>
    <mergeCell ref="I8762:I8763"/>
    <mergeCell ref="J8762:J8763"/>
    <mergeCell ref="K8762:K8763"/>
    <mergeCell ref="L8762:L8763"/>
    <mergeCell ref="M8762:M8763"/>
    <mergeCell ref="N8762:N8763"/>
    <mergeCell ref="A8768:A8769"/>
    <mergeCell ref="B8768:B8769"/>
    <mergeCell ref="C8768:C8769"/>
    <mergeCell ref="D8768:D8769"/>
    <mergeCell ref="E8768:E8769"/>
    <mergeCell ref="F8768:F8769"/>
    <mergeCell ref="G8768:G8769"/>
    <mergeCell ref="H8768:H8769"/>
    <mergeCell ref="I8768:I8769"/>
    <mergeCell ref="J8768:J8769"/>
    <mergeCell ref="K8768:K8769"/>
    <mergeCell ref="L8768:L8769"/>
    <mergeCell ref="M8768:M8769"/>
    <mergeCell ref="N8768:N8769"/>
    <mergeCell ref="A8741:A8746"/>
    <mergeCell ref="B8741:B8746"/>
    <mergeCell ref="C8741:C8746"/>
    <mergeCell ref="D8741:D8746"/>
    <mergeCell ref="E8741:E8746"/>
    <mergeCell ref="F8741:F8746"/>
    <mergeCell ref="G8741:G8746"/>
    <mergeCell ref="H8741:H8746"/>
    <mergeCell ref="I8741:I8746"/>
    <mergeCell ref="J8741:J8746"/>
    <mergeCell ref="K8741:K8746"/>
    <mergeCell ref="L8741:L8746"/>
    <mergeCell ref="M8741:M8746"/>
    <mergeCell ref="N8741:N8746"/>
    <mergeCell ref="A8751:A8753"/>
    <mergeCell ref="B8751:B8753"/>
    <mergeCell ref="C8751:C8753"/>
    <mergeCell ref="D8751:D8753"/>
    <mergeCell ref="E8751:E8753"/>
    <mergeCell ref="F8751:F8753"/>
    <mergeCell ref="G8751:G8753"/>
    <mergeCell ref="H8751:H8753"/>
    <mergeCell ref="I8751:I8753"/>
    <mergeCell ref="J8751:J8753"/>
    <mergeCell ref="K8751:K8753"/>
    <mergeCell ref="L8751:L8753"/>
    <mergeCell ref="M8751:M8753"/>
    <mergeCell ref="N8751:N8753"/>
    <mergeCell ref="A8754:A8755"/>
    <mergeCell ref="B8754:B8755"/>
    <mergeCell ref="C8754:C8755"/>
    <mergeCell ref="D8754:D8755"/>
    <mergeCell ref="E8754:E8755"/>
    <mergeCell ref="F8754:F8755"/>
    <mergeCell ref="G8754:G8755"/>
    <mergeCell ref="H8754:H8755"/>
    <mergeCell ref="I8754:I8755"/>
    <mergeCell ref="J8754:J8755"/>
    <mergeCell ref="K8754:K8755"/>
    <mergeCell ref="L8754:L8755"/>
    <mergeCell ref="M8754:M8755"/>
    <mergeCell ref="N8754:N8755"/>
    <mergeCell ref="A8732:A8733"/>
    <mergeCell ref="B8732:B8733"/>
    <mergeCell ref="C8732:C8733"/>
    <mergeCell ref="D8732:D8733"/>
    <mergeCell ref="E8732:E8733"/>
    <mergeCell ref="F8732:F8733"/>
    <mergeCell ref="G8732:G8733"/>
    <mergeCell ref="H8732:H8733"/>
    <mergeCell ref="I8732:I8733"/>
    <mergeCell ref="J8732:J8733"/>
    <mergeCell ref="K8732:K8733"/>
    <mergeCell ref="L8732:L8733"/>
    <mergeCell ref="M8732:M8733"/>
    <mergeCell ref="N8732:N8733"/>
    <mergeCell ref="A8735:A8736"/>
    <mergeCell ref="B8735:B8736"/>
    <mergeCell ref="C8735:C8736"/>
    <mergeCell ref="D8735:D8736"/>
    <mergeCell ref="E8735:E8736"/>
    <mergeCell ref="F8735:F8736"/>
    <mergeCell ref="G8735:G8736"/>
    <mergeCell ref="H8735:H8736"/>
    <mergeCell ref="I8735:I8736"/>
    <mergeCell ref="J8735:J8736"/>
    <mergeCell ref="K8735:K8736"/>
    <mergeCell ref="L8735:L8736"/>
    <mergeCell ref="M8735:M8736"/>
    <mergeCell ref="N8735:N8736"/>
    <mergeCell ref="A8737:A8738"/>
    <mergeCell ref="B8737:B8738"/>
    <mergeCell ref="C8737:C8738"/>
    <mergeCell ref="D8737:D8738"/>
    <mergeCell ref="E8737:E8738"/>
    <mergeCell ref="F8737:F8738"/>
    <mergeCell ref="G8737:G8738"/>
    <mergeCell ref="H8737:H8738"/>
    <mergeCell ref="I8737:I8738"/>
    <mergeCell ref="J8737:J8738"/>
    <mergeCell ref="K8737:K8738"/>
    <mergeCell ref="L8737:L8738"/>
    <mergeCell ref="M8737:M8738"/>
    <mergeCell ref="N8737:N8738"/>
    <mergeCell ref="A8715:A8717"/>
    <mergeCell ref="B8715:B8717"/>
    <mergeCell ref="C8715:C8717"/>
    <mergeCell ref="D8715:D8717"/>
    <mergeCell ref="E8715:E8717"/>
    <mergeCell ref="F8715:F8717"/>
    <mergeCell ref="G8715:G8717"/>
    <mergeCell ref="H8715:H8717"/>
    <mergeCell ref="I8715:I8717"/>
    <mergeCell ref="J8715:J8717"/>
    <mergeCell ref="K8715:K8717"/>
    <mergeCell ref="L8715:L8717"/>
    <mergeCell ref="M8715:M8717"/>
    <mergeCell ref="N8715:N8717"/>
    <mergeCell ref="A8718:A8721"/>
    <mergeCell ref="B8718:B8721"/>
    <mergeCell ref="C8718:C8721"/>
    <mergeCell ref="D8718:D8721"/>
    <mergeCell ref="E8718:E8721"/>
    <mergeCell ref="F8718:F8721"/>
    <mergeCell ref="G8718:G8721"/>
    <mergeCell ref="H8718:H8721"/>
    <mergeCell ref="I8718:I8721"/>
    <mergeCell ref="J8718:J8721"/>
    <mergeCell ref="K8718:K8721"/>
    <mergeCell ref="L8718:L8721"/>
    <mergeCell ref="M8718:M8721"/>
    <mergeCell ref="N8718:N8721"/>
    <mergeCell ref="A8729:A8731"/>
    <mergeCell ref="B8729:B8731"/>
    <mergeCell ref="C8729:C8731"/>
    <mergeCell ref="D8729:D8731"/>
    <mergeCell ref="E8729:E8731"/>
    <mergeCell ref="F8729:F8731"/>
    <mergeCell ref="G8729:G8731"/>
    <mergeCell ref="H8729:H8731"/>
    <mergeCell ref="I8729:I8731"/>
    <mergeCell ref="J8729:J8731"/>
    <mergeCell ref="K8729:K8731"/>
    <mergeCell ref="L8729:L8731"/>
    <mergeCell ref="M8729:M8731"/>
    <mergeCell ref="N8729:N8731"/>
    <mergeCell ref="A8691:A8692"/>
    <mergeCell ref="B8691:B8692"/>
    <mergeCell ref="C8691:C8692"/>
    <mergeCell ref="D8691:D8692"/>
    <mergeCell ref="E8691:E8692"/>
    <mergeCell ref="F8691:F8692"/>
    <mergeCell ref="G8691:G8692"/>
    <mergeCell ref="H8691:H8692"/>
    <mergeCell ref="I8691:I8692"/>
    <mergeCell ref="J8691:J8692"/>
    <mergeCell ref="K8691:K8692"/>
    <mergeCell ref="L8691:L8692"/>
    <mergeCell ref="M8691:M8692"/>
    <mergeCell ref="N8691:N8692"/>
    <mergeCell ref="A8706:A8708"/>
    <mergeCell ref="B8706:B8708"/>
    <mergeCell ref="C8706:C8708"/>
    <mergeCell ref="D8706:D8708"/>
    <mergeCell ref="E8706:E8708"/>
    <mergeCell ref="F8706:F8708"/>
    <mergeCell ref="G8706:G8708"/>
    <mergeCell ref="H8706:H8708"/>
    <mergeCell ref="I8706:I8708"/>
    <mergeCell ref="J8706:J8708"/>
    <mergeCell ref="K8706:K8708"/>
    <mergeCell ref="L8706:L8708"/>
    <mergeCell ref="M8706:M8708"/>
    <mergeCell ref="N8706:N8708"/>
    <mergeCell ref="A8712:A8713"/>
    <mergeCell ref="B8712:B8713"/>
    <mergeCell ref="C8712:C8713"/>
    <mergeCell ref="D8712:D8713"/>
    <mergeCell ref="E8712:E8713"/>
    <mergeCell ref="F8712:F8713"/>
    <mergeCell ref="G8712:G8713"/>
    <mergeCell ref="H8712:H8713"/>
    <mergeCell ref="I8712:I8713"/>
    <mergeCell ref="J8712:J8713"/>
    <mergeCell ref="K8712:K8713"/>
    <mergeCell ref="L8712:L8713"/>
    <mergeCell ref="M8712:M8713"/>
    <mergeCell ref="N8712:N8713"/>
    <mergeCell ref="A8680:A8682"/>
    <mergeCell ref="B8680:B8682"/>
    <mergeCell ref="C8680:C8682"/>
    <mergeCell ref="D8680:D8682"/>
    <mergeCell ref="E8680:E8682"/>
    <mergeCell ref="F8680:F8682"/>
    <mergeCell ref="G8680:G8682"/>
    <mergeCell ref="H8680:H8682"/>
    <mergeCell ref="I8680:I8682"/>
    <mergeCell ref="J8680:J8682"/>
    <mergeCell ref="K8680:K8682"/>
    <mergeCell ref="L8680:L8682"/>
    <mergeCell ref="M8680:M8682"/>
    <mergeCell ref="N8680:N8682"/>
    <mergeCell ref="A8683:A8686"/>
    <mergeCell ref="B8683:B8686"/>
    <mergeCell ref="C8683:C8686"/>
    <mergeCell ref="D8683:D8686"/>
    <mergeCell ref="E8683:E8686"/>
    <mergeCell ref="F8683:F8686"/>
    <mergeCell ref="G8683:G8686"/>
    <mergeCell ref="H8683:H8686"/>
    <mergeCell ref="I8683:I8686"/>
    <mergeCell ref="J8683:J8686"/>
    <mergeCell ref="K8683:K8686"/>
    <mergeCell ref="L8683:L8686"/>
    <mergeCell ref="M8683:M8686"/>
    <mergeCell ref="N8683:N8686"/>
    <mergeCell ref="A8688:A8690"/>
    <mergeCell ref="B8688:B8690"/>
    <mergeCell ref="C8688:C8690"/>
    <mergeCell ref="D8688:D8690"/>
    <mergeCell ref="E8688:E8690"/>
    <mergeCell ref="F8688:F8690"/>
    <mergeCell ref="G8688:G8690"/>
    <mergeCell ref="H8688:H8690"/>
    <mergeCell ref="I8688:I8690"/>
    <mergeCell ref="J8688:J8690"/>
    <mergeCell ref="K8688:K8690"/>
    <mergeCell ref="L8688:L8690"/>
    <mergeCell ref="M8688:M8690"/>
    <mergeCell ref="N8688:N8690"/>
    <mergeCell ref="A8669:A8671"/>
    <mergeCell ref="B8669:B8671"/>
    <mergeCell ref="C8669:C8671"/>
    <mergeCell ref="D8669:D8671"/>
    <mergeCell ref="E8669:E8671"/>
    <mergeCell ref="F8669:F8671"/>
    <mergeCell ref="G8669:G8671"/>
    <mergeCell ref="H8669:H8671"/>
    <mergeCell ref="I8669:I8671"/>
    <mergeCell ref="J8669:J8671"/>
    <mergeCell ref="K8669:K8671"/>
    <mergeCell ref="L8669:L8671"/>
    <mergeCell ref="M8669:M8671"/>
    <mergeCell ref="N8669:N8671"/>
    <mergeCell ref="A8672:A8674"/>
    <mergeCell ref="B8672:B8674"/>
    <mergeCell ref="C8672:C8674"/>
    <mergeCell ref="D8672:D8674"/>
    <mergeCell ref="E8672:E8674"/>
    <mergeCell ref="F8672:F8674"/>
    <mergeCell ref="G8672:G8674"/>
    <mergeCell ref="H8672:H8674"/>
    <mergeCell ref="I8672:I8674"/>
    <mergeCell ref="J8672:J8674"/>
    <mergeCell ref="K8672:K8674"/>
    <mergeCell ref="L8672:L8674"/>
    <mergeCell ref="M8672:M8674"/>
    <mergeCell ref="N8672:N8674"/>
    <mergeCell ref="A8676:A8677"/>
    <mergeCell ref="B8676:B8677"/>
    <mergeCell ref="C8676:C8677"/>
    <mergeCell ref="D8676:D8677"/>
    <mergeCell ref="E8676:E8677"/>
    <mergeCell ref="F8676:F8677"/>
    <mergeCell ref="G8676:G8677"/>
    <mergeCell ref="H8676:H8677"/>
    <mergeCell ref="I8676:I8677"/>
    <mergeCell ref="J8676:J8677"/>
    <mergeCell ref="K8676:K8677"/>
    <mergeCell ref="L8676:L8677"/>
    <mergeCell ref="M8676:M8677"/>
    <mergeCell ref="N8676:N8677"/>
    <mergeCell ref="A8660:A8661"/>
    <mergeCell ref="B8660:B8661"/>
    <mergeCell ref="C8660:C8661"/>
    <mergeCell ref="D8660:D8661"/>
    <mergeCell ref="E8660:E8661"/>
    <mergeCell ref="F8660:F8661"/>
    <mergeCell ref="G8660:G8661"/>
    <mergeCell ref="H8660:H8661"/>
    <mergeCell ref="I8660:I8661"/>
    <mergeCell ref="J8660:J8661"/>
    <mergeCell ref="K8660:K8661"/>
    <mergeCell ref="L8660:L8661"/>
    <mergeCell ref="M8660:M8661"/>
    <mergeCell ref="N8660:N8661"/>
    <mergeCell ref="A8663:A8664"/>
    <mergeCell ref="B8663:B8664"/>
    <mergeCell ref="C8663:C8664"/>
    <mergeCell ref="D8663:D8664"/>
    <mergeCell ref="E8663:E8664"/>
    <mergeCell ref="F8663:F8664"/>
    <mergeCell ref="G8663:G8664"/>
    <mergeCell ref="H8663:H8664"/>
    <mergeCell ref="I8663:I8664"/>
    <mergeCell ref="J8663:J8664"/>
    <mergeCell ref="K8663:K8664"/>
    <mergeCell ref="L8663:L8664"/>
    <mergeCell ref="M8663:M8664"/>
    <mergeCell ref="N8663:N8664"/>
    <mergeCell ref="A8666:A8668"/>
    <mergeCell ref="B8666:B8668"/>
    <mergeCell ref="C8666:C8668"/>
    <mergeCell ref="D8666:D8668"/>
    <mergeCell ref="E8666:E8668"/>
    <mergeCell ref="F8666:F8668"/>
    <mergeCell ref="G8666:G8668"/>
    <mergeCell ref="H8666:H8668"/>
    <mergeCell ref="I8666:I8668"/>
    <mergeCell ref="J8666:J8668"/>
    <mergeCell ref="K8666:K8668"/>
    <mergeCell ref="L8666:L8668"/>
    <mergeCell ref="M8666:M8668"/>
    <mergeCell ref="N8666:N8668"/>
    <mergeCell ref="A8651:A8652"/>
    <mergeCell ref="B8651:B8652"/>
    <mergeCell ref="C8651:C8652"/>
    <mergeCell ref="D8651:D8652"/>
    <mergeCell ref="E8651:E8652"/>
    <mergeCell ref="F8651:F8652"/>
    <mergeCell ref="G8651:G8652"/>
    <mergeCell ref="H8651:H8652"/>
    <mergeCell ref="I8651:I8652"/>
    <mergeCell ref="J8651:J8652"/>
    <mergeCell ref="K8651:K8652"/>
    <mergeCell ref="L8651:L8652"/>
    <mergeCell ref="M8651:M8652"/>
    <mergeCell ref="N8651:N8652"/>
    <mergeCell ref="A8653:A8654"/>
    <mergeCell ref="B8653:B8654"/>
    <mergeCell ref="C8653:C8654"/>
    <mergeCell ref="D8653:D8654"/>
    <mergeCell ref="E8653:E8654"/>
    <mergeCell ref="F8653:F8654"/>
    <mergeCell ref="G8653:G8654"/>
    <mergeCell ref="H8653:H8654"/>
    <mergeCell ref="I8653:I8654"/>
    <mergeCell ref="J8653:J8654"/>
    <mergeCell ref="K8653:K8654"/>
    <mergeCell ref="L8653:L8654"/>
    <mergeCell ref="M8653:M8654"/>
    <mergeCell ref="N8653:N8654"/>
    <mergeCell ref="A8657:A8659"/>
    <mergeCell ref="B8657:B8659"/>
    <mergeCell ref="C8657:C8659"/>
    <mergeCell ref="D8657:D8659"/>
    <mergeCell ref="E8657:E8659"/>
    <mergeCell ref="F8657:F8659"/>
    <mergeCell ref="G8657:G8659"/>
    <mergeCell ref="H8657:H8659"/>
    <mergeCell ref="I8657:I8659"/>
    <mergeCell ref="J8657:J8659"/>
    <mergeCell ref="K8657:K8659"/>
    <mergeCell ref="L8657:L8659"/>
    <mergeCell ref="M8657:M8659"/>
    <mergeCell ref="N8657:N8659"/>
    <mergeCell ref="A8624:A8626"/>
    <mergeCell ref="B8624:B8626"/>
    <mergeCell ref="C8624:C8626"/>
    <mergeCell ref="D8624:D8626"/>
    <mergeCell ref="E8624:E8626"/>
    <mergeCell ref="F8624:F8626"/>
    <mergeCell ref="G8624:G8626"/>
    <mergeCell ref="H8624:H8626"/>
    <mergeCell ref="I8624:I8626"/>
    <mergeCell ref="J8624:J8626"/>
    <mergeCell ref="K8624:K8626"/>
    <mergeCell ref="L8624:L8626"/>
    <mergeCell ref="M8624:M8626"/>
    <mergeCell ref="N8624:N8626"/>
    <mergeCell ref="A8627:A8629"/>
    <mergeCell ref="B8627:B8629"/>
    <mergeCell ref="C8627:C8629"/>
    <mergeCell ref="D8627:D8629"/>
    <mergeCell ref="E8627:E8629"/>
    <mergeCell ref="F8627:F8629"/>
    <mergeCell ref="G8627:G8629"/>
    <mergeCell ref="H8627:H8629"/>
    <mergeCell ref="I8627:I8629"/>
    <mergeCell ref="J8627:J8629"/>
    <mergeCell ref="K8627:K8629"/>
    <mergeCell ref="L8627:L8629"/>
    <mergeCell ref="M8627:M8629"/>
    <mergeCell ref="N8627:N8629"/>
    <mergeCell ref="A8632:A8649"/>
    <mergeCell ref="B8632:B8649"/>
    <mergeCell ref="C8632:C8649"/>
    <mergeCell ref="D8632:D8649"/>
    <mergeCell ref="E8632:E8649"/>
    <mergeCell ref="F8632:F8649"/>
    <mergeCell ref="G8632:G8649"/>
    <mergeCell ref="H8632:H8649"/>
    <mergeCell ref="I8632:I8649"/>
    <mergeCell ref="J8632:J8649"/>
    <mergeCell ref="K8632:K8649"/>
    <mergeCell ref="L8632:L8649"/>
    <mergeCell ref="M8632:M8649"/>
    <mergeCell ref="N8632:N8649"/>
    <mergeCell ref="A8613:A8614"/>
    <mergeCell ref="B8613:B8614"/>
    <mergeCell ref="C8613:C8614"/>
    <mergeCell ref="D8613:D8614"/>
    <mergeCell ref="E8613:E8614"/>
    <mergeCell ref="F8613:F8614"/>
    <mergeCell ref="G8613:G8614"/>
    <mergeCell ref="H8613:H8614"/>
    <mergeCell ref="I8613:I8614"/>
    <mergeCell ref="J8613:J8614"/>
    <mergeCell ref="K8613:K8614"/>
    <mergeCell ref="L8613:L8614"/>
    <mergeCell ref="M8613:M8614"/>
    <mergeCell ref="N8613:N8614"/>
    <mergeCell ref="A8617:A8621"/>
    <mergeCell ref="B8617:B8621"/>
    <mergeCell ref="C8617:C8621"/>
    <mergeCell ref="D8617:D8621"/>
    <mergeCell ref="E8617:E8621"/>
    <mergeCell ref="F8617:F8621"/>
    <mergeCell ref="G8617:G8621"/>
    <mergeCell ref="H8617:H8621"/>
    <mergeCell ref="I8617:I8621"/>
    <mergeCell ref="J8617:J8621"/>
    <mergeCell ref="K8617:K8621"/>
    <mergeCell ref="L8617:L8621"/>
    <mergeCell ref="M8617:M8621"/>
    <mergeCell ref="N8617:N8621"/>
    <mergeCell ref="A8622:A8623"/>
    <mergeCell ref="B8622:B8623"/>
    <mergeCell ref="C8622:C8623"/>
    <mergeCell ref="D8622:D8623"/>
    <mergeCell ref="E8622:E8623"/>
    <mergeCell ref="F8622:F8623"/>
    <mergeCell ref="G8622:G8623"/>
    <mergeCell ref="H8622:H8623"/>
    <mergeCell ref="I8622:I8623"/>
    <mergeCell ref="J8622:J8623"/>
    <mergeCell ref="K8622:K8623"/>
    <mergeCell ref="L8622:L8623"/>
    <mergeCell ref="M8622:M8623"/>
    <mergeCell ref="N8622:N8623"/>
    <mergeCell ref="A8578:A8585"/>
    <mergeCell ref="B8578:B8585"/>
    <mergeCell ref="C8578:C8585"/>
    <mergeCell ref="D8578:D8585"/>
    <mergeCell ref="E8578:E8585"/>
    <mergeCell ref="F8578:F8585"/>
    <mergeCell ref="G8578:G8585"/>
    <mergeCell ref="H8578:H8585"/>
    <mergeCell ref="I8578:I8585"/>
    <mergeCell ref="J8578:J8585"/>
    <mergeCell ref="K8578:K8585"/>
    <mergeCell ref="L8578:L8585"/>
    <mergeCell ref="M8578:M8585"/>
    <mergeCell ref="N8578:N8585"/>
    <mergeCell ref="A8587:A8610"/>
    <mergeCell ref="B8587:B8610"/>
    <mergeCell ref="C8587:C8610"/>
    <mergeCell ref="D8587:D8610"/>
    <mergeCell ref="E8587:E8610"/>
    <mergeCell ref="F8587:F8610"/>
    <mergeCell ref="G8587:G8610"/>
    <mergeCell ref="H8587:H8610"/>
    <mergeCell ref="I8587:I8610"/>
    <mergeCell ref="J8587:J8610"/>
    <mergeCell ref="K8587:K8610"/>
    <mergeCell ref="L8587:L8610"/>
    <mergeCell ref="M8587:M8610"/>
    <mergeCell ref="N8587:N8610"/>
    <mergeCell ref="A8611:A8612"/>
    <mergeCell ref="B8611:B8612"/>
    <mergeCell ref="C8611:C8612"/>
    <mergeCell ref="D8611:D8612"/>
    <mergeCell ref="E8611:E8612"/>
    <mergeCell ref="F8611:F8612"/>
    <mergeCell ref="G8611:G8612"/>
    <mergeCell ref="H8611:H8612"/>
    <mergeCell ref="I8611:I8612"/>
    <mergeCell ref="J8611:J8612"/>
    <mergeCell ref="K8611:K8612"/>
    <mergeCell ref="L8611:L8612"/>
    <mergeCell ref="M8611:M8612"/>
    <mergeCell ref="N8611:N8612"/>
    <mergeCell ref="A8569:A8570"/>
    <mergeCell ref="B8569:B8570"/>
    <mergeCell ref="C8569:C8570"/>
    <mergeCell ref="D8569:D8570"/>
    <mergeCell ref="E8569:E8570"/>
    <mergeCell ref="F8569:F8570"/>
    <mergeCell ref="G8569:G8570"/>
    <mergeCell ref="H8569:H8570"/>
    <mergeCell ref="I8569:I8570"/>
    <mergeCell ref="J8569:J8570"/>
    <mergeCell ref="K8569:K8570"/>
    <mergeCell ref="L8569:L8570"/>
    <mergeCell ref="M8569:M8570"/>
    <mergeCell ref="N8569:N8570"/>
    <mergeCell ref="A8571:A8573"/>
    <mergeCell ref="B8571:B8573"/>
    <mergeCell ref="C8571:C8573"/>
    <mergeCell ref="D8571:D8573"/>
    <mergeCell ref="E8571:E8573"/>
    <mergeCell ref="F8571:F8573"/>
    <mergeCell ref="G8571:G8573"/>
    <mergeCell ref="H8571:H8573"/>
    <mergeCell ref="I8571:I8573"/>
    <mergeCell ref="J8571:J8573"/>
    <mergeCell ref="K8571:K8573"/>
    <mergeCell ref="L8571:L8573"/>
    <mergeCell ref="M8571:M8573"/>
    <mergeCell ref="N8571:N8573"/>
    <mergeCell ref="A8575:A8576"/>
    <mergeCell ref="B8575:B8576"/>
    <mergeCell ref="C8575:C8576"/>
    <mergeCell ref="D8575:D8576"/>
    <mergeCell ref="E8575:E8576"/>
    <mergeCell ref="F8575:F8576"/>
    <mergeCell ref="G8575:G8576"/>
    <mergeCell ref="H8575:H8576"/>
    <mergeCell ref="I8575:I8576"/>
    <mergeCell ref="J8575:J8576"/>
    <mergeCell ref="K8575:K8576"/>
    <mergeCell ref="L8575:L8576"/>
    <mergeCell ref="M8575:M8576"/>
    <mergeCell ref="N8575:N8576"/>
    <mergeCell ref="A8549:A8550"/>
    <mergeCell ref="B8549:B8550"/>
    <mergeCell ref="C8549:C8550"/>
    <mergeCell ref="D8549:D8550"/>
    <mergeCell ref="E8549:E8550"/>
    <mergeCell ref="F8549:F8550"/>
    <mergeCell ref="G8549:G8550"/>
    <mergeCell ref="H8549:H8550"/>
    <mergeCell ref="I8549:I8550"/>
    <mergeCell ref="J8549:J8550"/>
    <mergeCell ref="K8549:K8550"/>
    <mergeCell ref="L8549:L8550"/>
    <mergeCell ref="M8549:M8550"/>
    <mergeCell ref="N8549:N8550"/>
    <mergeCell ref="A8554:A8555"/>
    <mergeCell ref="B8554:B8555"/>
    <mergeCell ref="C8554:C8555"/>
    <mergeCell ref="D8554:D8555"/>
    <mergeCell ref="E8554:E8555"/>
    <mergeCell ref="F8554:F8555"/>
    <mergeCell ref="G8554:G8555"/>
    <mergeCell ref="H8554:H8555"/>
    <mergeCell ref="I8554:I8555"/>
    <mergeCell ref="J8554:J8555"/>
    <mergeCell ref="K8554:K8555"/>
    <mergeCell ref="L8554:L8555"/>
    <mergeCell ref="M8554:M8555"/>
    <mergeCell ref="N8554:N8555"/>
    <mergeCell ref="A8558:A8567"/>
    <mergeCell ref="B8558:B8567"/>
    <mergeCell ref="C8558:C8567"/>
    <mergeCell ref="D8558:D8567"/>
    <mergeCell ref="E8558:E8567"/>
    <mergeCell ref="F8558:F8567"/>
    <mergeCell ref="G8558:G8567"/>
    <mergeCell ref="H8558:H8567"/>
    <mergeCell ref="I8558:I8567"/>
    <mergeCell ref="J8558:J8567"/>
    <mergeCell ref="K8558:K8567"/>
    <mergeCell ref="L8558:L8567"/>
    <mergeCell ref="M8558:M8567"/>
    <mergeCell ref="N8558:N8567"/>
    <mergeCell ref="A8539:A8540"/>
    <mergeCell ref="B8539:B8540"/>
    <mergeCell ref="C8539:C8540"/>
    <mergeCell ref="D8539:D8540"/>
    <mergeCell ref="E8539:E8540"/>
    <mergeCell ref="F8539:F8540"/>
    <mergeCell ref="G8539:G8540"/>
    <mergeCell ref="H8539:H8540"/>
    <mergeCell ref="I8539:I8540"/>
    <mergeCell ref="J8539:J8540"/>
    <mergeCell ref="K8539:K8540"/>
    <mergeCell ref="L8539:L8540"/>
    <mergeCell ref="M8539:M8540"/>
    <mergeCell ref="N8539:N8540"/>
    <mergeCell ref="A8542:A8543"/>
    <mergeCell ref="B8542:B8543"/>
    <mergeCell ref="C8542:C8543"/>
    <mergeCell ref="D8542:D8543"/>
    <mergeCell ref="E8542:E8543"/>
    <mergeCell ref="F8542:F8543"/>
    <mergeCell ref="G8542:G8543"/>
    <mergeCell ref="H8542:H8543"/>
    <mergeCell ref="I8542:I8543"/>
    <mergeCell ref="J8542:J8543"/>
    <mergeCell ref="K8542:K8543"/>
    <mergeCell ref="L8542:L8543"/>
    <mergeCell ref="M8542:M8543"/>
    <mergeCell ref="N8542:N8543"/>
    <mergeCell ref="A8545:A8548"/>
    <mergeCell ref="B8545:B8548"/>
    <mergeCell ref="C8545:C8548"/>
    <mergeCell ref="D8545:D8548"/>
    <mergeCell ref="E8545:E8548"/>
    <mergeCell ref="F8545:F8548"/>
    <mergeCell ref="G8545:G8548"/>
    <mergeCell ref="H8545:H8548"/>
    <mergeCell ref="I8545:I8548"/>
    <mergeCell ref="J8545:J8548"/>
    <mergeCell ref="K8545:K8548"/>
    <mergeCell ref="L8545:L8548"/>
    <mergeCell ref="M8545:M8548"/>
    <mergeCell ref="N8545:N8548"/>
    <mergeCell ref="A8525:A8526"/>
    <mergeCell ref="B8525:B8526"/>
    <mergeCell ref="C8525:C8526"/>
    <mergeCell ref="D8525:D8526"/>
    <mergeCell ref="E8525:E8526"/>
    <mergeCell ref="F8525:F8526"/>
    <mergeCell ref="G8525:G8526"/>
    <mergeCell ref="H8525:H8526"/>
    <mergeCell ref="I8525:I8526"/>
    <mergeCell ref="J8525:J8526"/>
    <mergeCell ref="K8525:K8526"/>
    <mergeCell ref="L8525:L8526"/>
    <mergeCell ref="M8525:M8526"/>
    <mergeCell ref="N8525:N8526"/>
    <mergeCell ref="A8528:A8535"/>
    <mergeCell ref="B8528:B8535"/>
    <mergeCell ref="C8528:C8535"/>
    <mergeCell ref="D8528:D8535"/>
    <mergeCell ref="E8528:E8535"/>
    <mergeCell ref="F8528:F8535"/>
    <mergeCell ref="G8528:G8535"/>
    <mergeCell ref="H8528:H8535"/>
    <mergeCell ref="I8528:I8535"/>
    <mergeCell ref="J8528:J8535"/>
    <mergeCell ref="K8528:K8535"/>
    <mergeCell ref="L8528:L8535"/>
    <mergeCell ref="M8528:M8535"/>
    <mergeCell ref="N8528:N8535"/>
    <mergeCell ref="A8536:A8538"/>
    <mergeCell ref="B8536:B8538"/>
    <mergeCell ref="C8536:C8538"/>
    <mergeCell ref="D8536:D8538"/>
    <mergeCell ref="E8536:E8538"/>
    <mergeCell ref="F8536:F8538"/>
    <mergeCell ref="G8536:G8538"/>
    <mergeCell ref="H8536:H8538"/>
    <mergeCell ref="I8536:I8538"/>
    <mergeCell ref="J8536:J8538"/>
    <mergeCell ref="K8536:K8538"/>
    <mergeCell ref="L8536:L8538"/>
    <mergeCell ref="M8536:M8538"/>
    <mergeCell ref="N8536:N8538"/>
    <mergeCell ref="A8514:A8516"/>
    <mergeCell ref="B8514:B8516"/>
    <mergeCell ref="C8514:C8516"/>
    <mergeCell ref="D8514:D8516"/>
    <mergeCell ref="E8514:E8516"/>
    <mergeCell ref="F8514:F8516"/>
    <mergeCell ref="G8514:G8516"/>
    <mergeCell ref="H8514:H8516"/>
    <mergeCell ref="I8514:I8516"/>
    <mergeCell ref="J8514:J8516"/>
    <mergeCell ref="K8514:K8516"/>
    <mergeCell ref="L8514:L8516"/>
    <mergeCell ref="M8514:M8516"/>
    <mergeCell ref="N8514:N8516"/>
    <mergeCell ref="A8518:A8519"/>
    <mergeCell ref="B8518:B8519"/>
    <mergeCell ref="C8518:C8519"/>
    <mergeCell ref="D8518:D8519"/>
    <mergeCell ref="E8518:E8519"/>
    <mergeCell ref="F8518:F8519"/>
    <mergeCell ref="G8518:G8519"/>
    <mergeCell ref="H8518:H8519"/>
    <mergeCell ref="I8518:I8519"/>
    <mergeCell ref="J8518:J8519"/>
    <mergeCell ref="K8518:K8519"/>
    <mergeCell ref="L8518:L8519"/>
    <mergeCell ref="M8518:M8519"/>
    <mergeCell ref="N8518:N8519"/>
    <mergeCell ref="A8520:A8522"/>
    <mergeCell ref="B8520:B8522"/>
    <mergeCell ref="C8520:C8522"/>
    <mergeCell ref="D8520:D8522"/>
    <mergeCell ref="E8520:E8522"/>
    <mergeCell ref="F8520:F8522"/>
    <mergeCell ref="G8520:G8522"/>
    <mergeCell ref="H8520:H8522"/>
    <mergeCell ref="I8520:I8522"/>
    <mergeCell ref="J8520:J8522"/>
    <mergeCell ref="K8520:K8522"/>
    <mergeCell ref="L8520:L8522"/>
    <mergeCell ref="M8520:M8522"/>
    <mergeCell ref="N8520:N8522"/>
    <mergeCell ref="A8474:A8488"/>
    <mergeCell ref="B8474:B8488"/>
    <mergeCell ref="C8474:C8488"/>
    <mergeCell ref="D8474:D8488"/>
    <mergeCell ref="E8474:E8488"/>
    <mergeCell ref="F8474:F8488"/>
    <mergeCell ref="G8474:G8488"/>
    <mergeCell ref="H8474:H8488"/>
    <mergeCell ref="I8474:I8488"/>
    <mergeCell ref="J8474:J8488"/>
    <mergeCell ref="K8474:K8488"/>
    <mergeCell ref="L8474:L8488"/>
    <mergeCell ref="M8474:M8488"/>
    <mergeCell ref="N8474:N8488"/>
    <mergeCell ref="A8497:A8508"/>
    <mergeCell ref="B8497:B8508"/>
    <mergeCell ref="C8497:C8508"/>
    <mergeCell ref="D8497:D8508"/>
    <mergeCell ref="E8497:E8508"/>
    <mergeCell ref="F8497:F8508"/>
    <mergeCell ref="G8497:G8508"/>
    <mergeCell ref="H8497:H8508"/>
    <mergeCell ref="I8497:I8508"/>
    <mergeCell ref="J8497:J8508"/>
    <mergeCell ref="K8497:K8508"/>
    <mergeCell ref="L8497:L8508"/>
    <mergeCell ref="M8497:M8508"/>
    <mergeCell ref="N8497:N8508"/>
    <mergeCell ref="A8510:A8512"/>
    <mergeCell ref="B8510:B8512"/>
    <mergeCell ref="C8510:C8512"/>
    <mergeCell ref="D8510:D8512"/>
    <mergeCell ref="E8510:E8512"/>
    <mergeCell ref="F8510:F8512"/>
    <mergeCell ref="G8510:G8512"/>
    <mergeCell ref="H8510:H8512"/>
    <mergeCell ref="I8510:I8512"/>
    <mergeCell ref="J8510:J8512"/>
    <mergeCell ref="K8510:K8512"/>
    <mergeCell ref="L8510:L8512"/>
    <mergeCell ref="M8510:M8512"/>
    <mergeCell ref="N8510:N8512"/>
    <mergeCell ref="A8462:A8463"/>
    <mergeCell ref="B8462:B8463"/>
    <mergeCell ref="C8462:C8463"/>
    <mergeCell ref="D8462:D8463"/>
    <mergeCell ref="E8462:E8463"/>
    <mergeCell ref="F8462:F8463"/>
    <mergeCell ref="G8462:G8463"/>
    <mergeCell ref="H8462:H8463"/>
    <mergeCell ref="I8462:I8463"/>
    <mergeCell ref="J8462:J8463"/>
    <mergeCell ref="K8462:K8463"/>
    <mergeCell ref="L8462:L8463"/>
    <mergeCell ref="M8462:M8463"/>
    <mergeCell ref="N8462:N8463"/>
    <mergeCell ref="A8466:A8469"/>
    <mergeCell ref="B8466:B8469"/>
    <mergeCell ref="C8466:C8469"/>
    <mergeCell ref="D8466:D8469"/>
    <mergeCell ref="E8466:E8469"/>
    <mergeCell ref="F8466:F8469"/>
    <mergeCell ref="G8466:G8469"/>
    <mergeCell ref="H8466:H8469"/>
    <mergeCell ref="I8466:I8469"/>
    <mergeCell ref="J8466:J8469"/>
    <mergeCell ref="K8466:K8469"/>
    <mergeCell ref="L8466:L8469"/>
    <mergeCell ref="M8466:M8469"/>
    <mergeCell ref="N8466:N8469"/>
    <mergeCell ref="A8470:A8471"/>
    <mergeCell ref="B8470:B8471"/>
    <mergeCell ref="C8470:C8471"/>
    <mergeCell ref="D8470:D8471"/>
    <mergeCell ref="E8470:E8471"/>
    <mergeCell ref="F8470:F8471"/>
    <mergeCell ref="G8470:G8471"/>
    <mergeCell ref="H8470:H8471"/>
    <mergeCell ref="I8470:I8471"/>
    <mergeCell ref="J8470:J8471"/>
    <mergeCell ref="K8470:K8471"/>
    <mergeCell ref="L8470:L8471"/>
    <mergeCell ref="M8470:M8471"/>
    <mergeCell ref="N8470:N8471"/>
    <mergeCell ref="A8456:A8457"/>
    <mergeCell ref="B8456:B8457"/>
    <mergeCell ref="C8456:C8457"/>
    <mergeCell ref="D8456:D8457"/>
    <mergeCell ref="E8456:E8457"/>
    <mergeCell ref="F8456:F8457"/>
    <mergeCell ref="G8456:G8457"/>
    <mergeCell ref="H8456:H8457"/>
    <mergeCell ref="I8456:I8457"/>
    <mergeCell ref="J8456:J8457"/>
    <mergeCell ref="K8456:K8457"/>
    <mergeCell ref="L8456:L8457"/>
    <mergeCell ref="M8456:M8457"/>
    <mergeCell ref="N8456:N8457"/>
    <mergeCell ref="A8458:A8459"/>
    <mergeCell ref="B8458:B8459"/>
    <mergeCell ref="C8458:C8459"/>
    <mergeCell ref="D8458:D8459"/>
    <mergeCell ref="E8458:E8459"/>
    <mergeCell ref="F8458:F8459"/>
    <mergeCell ref="G8458:G8459"/>
    <mergeCell ref="H8458:H8459"/>
    <mergeCell ref="I8458:I8459"/>
    <mergeCell ref="J8458:J8459"/>
    <mergeCell ref="K8458:K8459"/>
    <mergeCell ref="L8458:L8459"/>
    <mergeCell ref="M8458:M8459"/>
    <mergeCell ref="N8458:N8459"/>
    <mergeCell ref="A8460:A8461"/>
    <mergeCell ref="B8460:B8461"/>
    <mergeCell ref="C8460:C8461"/>
    <mergeCell ref="D8460:D8461"/>
    <mergeCell ref="E8460:E8461"/>
    <mergeCell ref="F8460:F8461"/>
    <mergeCell ref="G8460:G8461"/>
    <mergeCell ref="H8460:H8461"/>
    <mergeCell ref="I8460:I8461"/>
    <mergeCell ref="J8460:J8461"/>
    <mergeCell ref="K8460:K8461"/>
    <mergeCell ref="L8460:L8461"/>
    <mergeCell ref="M8460:M8461"/>
    <mergeCell ref="N8460:N8461"/>
    <mergeCell ref="A8441:A8442"/>
    <mergeCell ref="B8441:B8442"/>
    <mergeCell ref="C8441:C8442"/>
    <mergeCell ref="D8441:D8442"/>
    <mergeCell ref="E8441:E8442"/>
    <mergeCell ref="F8441:F8442"/>
    <mergeCell ref="G8441:G8442"/>
    <mergeCell ref="H8441:H8442"/>
    <mergeCell ref="I8441:I8442"/>
    <mergeCell ref="J8441:J8442"/>
    <mergeCell ref="K8441:K8442"/>
    <mergeCell ref="L8441:L8442"/>
    <mergeCell ref="M8441:M8442"/>
    <mergeCell ref="N8441:N8442"/>
    <mergeCell ref="A8446:A8449"/>
    <mergeCell ref="B8446:B8449"/>
    <mergeCell ref="C8446:C8449"/>
    <mergeCell ref="D8446:D8449"/>
    <mergeCell ref="E8446:E8449"/>
    <mergeCell ref="F8446:F8449"/>
    <mergeCell ref="G8446:G8449"/>
    <mergeCell ref="H8446:H8449"/>
    <mergeCell ref="I8446:I8449"/>
    <mergeCell ref="J8446:J8449"/>
    <mergeCell ref="K8446:K8449"/>
    <mergeCell ref="L8446:L8449"/>
    <mergeCell ref="M8446:M8449"/>
    <mergeCell ref="N8446:N8449"/>
    <mergeCell ref="A8452:A8455"/>
    <mergeCell ref="B8452:B8455"/>
    <mergeCell ref="C8452:C8455"/>
    <mergeCell ref="D8452:D8455"/>
    <mergeCell ref="E8452:E8455"/>
    <mergeCell ref="F8452:F8455"/>
    <mergeCell ref="G8452:G8455"/>
    <mergeCell ref="H8452:H8455"/>
    <mergeCell ref="I8452:I8455"/>
    <mergeCell ref="J8452:J8455"/>
    <mergeCell ref="K8452:K8455"/>
    <mergeCell ref="L8452:L8455"/>
    <mergeCell ref="M8452:M8455"/>
    <mergeCell ref="N8452:N8455"/>
    <mergeCell ref="A8425:A8434"/>
    <mergeCell ref="B8425:B8434"/>
    <mergeCell ref="C8425:C8434"/>
    <mergeCell ref="D8425:D8434"/>
    <mergeCell ref="E8425:E8434"/>
    <mergeCell ref="F8425:F8434"/>
    <mergeCell ref="G8425:G8434"/>
    <mergeCell ref="H8425:H8434"/>
    <mergeCell ref="I8425:I8434"/>
    <mergeCell ref="J8425:J8434"/>
    <mergeCell ref="K8425:K8434"/>
    <mergeCell ref="L8425:L8434"/>
    <mergeCell ref="M8425:M8434"/>
    <mergeCell ref="N8425:N8434"/>
    <mergeCell ref="A8435:A8436"/>
    <mergeCell ref="B8435:B8436"/>
    <mergeCell ref="C8435:C8436"/>
    <mergeCell ref="D8435:D8436"/>
    <mergeCell ref="E8435:E8436"/>
    <mergeCell ref="F8435:F8436"/>
    <mergeCell ref="G8435:G8436"/>
    <mergeCell ref="H8435:H8436"/>
    <mergeCell ref="I8435:I8436"/>
    <mergeCell ref="J8435:J8436"/>
    <mergeCell ref="K8435:K8436"/>
    <mergeCell ref="L8435:L8436"/>
    <mergeCell ref="M8435:M8436"/>
    <mergeCell ref="N8435:N8436"/>
    <mergeCell ref="A8438:A8439"/>
    <mergeCell ref="B8438:B8439"/>
    <mergeCell ref="C8438:C8439"/>
    <mergeCell ref="D8438:D8439"/>
    <mergeCell ref="E8438:E8439"/>
    <mergeCell ref="F8438:F8439"/>
    <mergeCell ref="G8438:G8439"/>
    <mergeCell ref="H8438:H8439"/>
    <mergeCell ref="I8438:I8439"/>
    <mergeCell ref="J8438:J8439"/>
    <mergeCell ref="K8438:K8439"/>
    <mergeCell ref="L8438:L8439"/>
    <mergeCell ref="M8438:M8439"/>
    <mergeCell ref="N8438:N8439"/>
    <mergeCell ref="A8415:A8416"/>
    <mergeCell ref="B8415:B8416"/>
    <mergeCell ref="C8415:C8416"/>
    <mergeCell ref="D8415:D8416"/>
    <mergeCell ref="E8415:E8416"/>
    <mergeCell ref="F8415:F8416"/>
    <mergeCell ref="G8415:G8416"/>
    <mergeCell ref="H8415:H8416"/>
    <mergeCell ref="I8415:I8416"/>
    <mergeCell ref="J8415:J8416"/>
    <mergeCell ref="K8415:K8416"/>
    <mergeCell ref="L8415:L8416"/>
    <mergeCell ref="M8415:M8416"/>
    <mergeCell ref="N8415:N8416"/>
    <mergeCell ref="A8417:A8418"/>
    <mergeCell ref="B8417:B8418"/>
    <mergeCell ref="C8417:C8418"/>
    <mergeCell ref="D8417:D8418"/>
    <mergeCell ref="E8417:E8418"/>
    <mergeCell ref="F8417:F8418"/>
    <mergeCell ref="G8417:G8418"/>
    <mergeCell ref="H8417:H8418"/>
    <mergeCell ref="I8417:I8418"/>
    <mergeCell ref="J8417:J8418"/>
    <mergeCell ref="K8417:K8418"/>
    <mergeCell ref="L8417:L8418"/>
    <mergeCell ref="M8417:M8418"/>
    <mergeCell ref="N8417:N8418"/>
    <mergeCell ref="A8419:A8424"/>
    <mergeCell ref="B8419:B8424"/>
    <mergeCell ref="C8419:C8424"/>
    <mergeCell ref="D8419:D8424"/>
    <mergeCell ref="E8419:E8424"/>
    <mergeCell ref="F8419:F8424"/>
    <mergeCell ref="G8419:G8424"/>
    <mergeCell ref="H8419:H8424"/>
    <mergeCell ref="I8419:I8424"/>
    <mergeCell ref="J8419:J8424"/>
    <mergeCell ref="K8419:K8424"/>
    <mergeCell ref="L8419:L8424"/>
    <mergeCell ref="M8419:M8424"/>
    <mergeCell ref="N8419:N8424"/>
    <mergeCell ref="A8395:A8396"/>
    <mergeCell ref="B8395:B8396"/>
    <mergeCell ref="C8395:C8396"/>
    <mergeCell ref="D8395:D8396"/>
    <mergeCell ref="E8395:E8396"/>
    <mergeCell ref="F8395:F8396"/>
    <mergeCell ref="G8395:G8396"/>
    <mergeCell ref="H8395:H8396"/>
    <mergeCell ref="I8395:I8396"/>
    <mergeCell ref="J8395:J8396"/>
    <mergeCell ref="K8395:K8396"/>
    <mergeCell ref="L8395:L8396"/>
    <mergeCell ref="M8395:M8396"/>
    <mergeCell ref="N8395:N8396"/>
    <mergeCell ref="A8401:A8405"/>
    <mergeCell ref="B8401:B8405"/>
    <mergeCell ref="C8401:C8405"/>
    <mergeCell ref="D8401:D8405"/>
    <mergeCell ref="E8401:E8405"/>
    <mergeCell ref="F8401:F8405"/>
    <mergeCell ref="G8401:G8405"/>
    <mergeCell ref="H8401:H8405"/>
    <mergeCell ref="I8401:I8405"/>
    <mergeCell ref="J8401:J8405"/>
    <mergeCell ref="K8401:K8405"/>
    <mergeCell ref="L8401:L8405"/>
    <mergeCell ref="M8401:M8405"/>
    <mergeCell ref="N8401:N8405"/>
    <mergeCell ref="A8407:A8414"/>
    <mergeCell ref="B8407:B8414"/>
    <mergeCell ref="C8407:C8414"/>
    <mergeCell ref="D8407:D8414"/>
    <mergeCell ref="E8407:E8414"/>
    <mergeCell ref="F8407:F8414"/>
    <mergeCell ref="G8407:G8414"/>
    <mergeCell ref="H8407:H8414"/>
    <mergeCell ref="I8407:I8414"/>
    <mergeCell ref="J8407:J8414"/>
    <mergeCell ref="K8407:K8414"/>
    <mergeCell ref="L8407:L8414"/>
    <mergeCell ref="M8407:M8414"/>
    <mergeCell ref="N8407:N8414"/>
    <mergeCell ref="A8380:A8381"/>
    <mergeCell ref="B8380:B8381"/>
    <mergeCell ref="C8380:C8381"/>
    <mergeCell ref="D8380:D8381"/>
    <mergeCell ref="E8380:E8381"/>
    <mergeCell ref="F8380:F8381"/>
    <mergeCell ref="G8380:G8381"/>
    <mergeCell ref="H8380:H8381"/>
    <mergeCell ref="I8380:I8381"/>
    <mergeCell ref="J8380:J8381"/>
    <mergeCell ref="K8380:K8381"/>
    <mergeCell ref="L8380:L8381"/>
    <mergeCell ref="M8380:M8381"/>
    <mergeCell ref="N8380:N8381"/>
    <mergeCell ref="A8382:A8388"/>
    <mergeCell ref="B8382:B8388"/>
    <mergeCell ref="C8382:C8388"/>
    <mergeCell ref="D8382:D8388"/>
    <mergeCell ref="E8382:E8388"/>
    <mergeCell ref="F8382:F8388"/>
    <mergeCell ref="G8382:G8388"/>
    <mergeCell ref="H8382:H8388"/>
    <mergeCell ref="I8382:I8388"/>
    <mergeCell ref="J8382:J8388"/>
    <mergeCell ref="K8382:K8388"/>
    <mergeCell ref="L8382:L8388"/>
    <mergeCell ref="M8382:M8388"/>
    <mergeCell ref="N8382:N8388"/>
    <mergeCell ref="A8390:A8394"/>
    <mergeCell ref="B8390:B8394"/>
    <mergeCell ref="C8390:C8394"/>
    <mergeCell ref="D8390:D8394"/>
    <mergeCell ref="E8390:E8394"/>
    <mergeCell ref="F8390:F8394"/>
    <mergeCell ref="G8390:G8394"/>
    <mergeCell ref="H8390:H8394"/>
    <mergeCell ref="I8390:I8394"/>
    <mergeCell ref="J8390:J8394"/>
    <mergeCell ref="K8390:K8394"/>
    <mergeCell ref="L8390:L8394"/>
    <mergeCell ref="M8390:M8394"/>
    <mergeCell ref="N8390:N8394"/>
    <mergeCell ref="A8367:A8369"/>
    <mergeCell ref="B8367:B8369"/>
    <mergeCell ref="C8367:C8369"/>
    <mergeCell ref="D8367:D8369"/>
    <mergeCell ref="E8367:E8369"/>
    <mergeCell ref="F8367:F8369"/>
    <mergeCell ref="G8367:G8369"/>
    <mergeCell ref="H8367:H8369"/>
    <mergeCell ref="I8367:I8369"/>
    <mergeCell ref="J8367:J8369"/>
    <mergeCell ref="K8367:K8369"/>
    <mergeCell ref="L8367:L8369"/>
    <mergeCell ref="M8367:M8369"/>
    <mergeCell ref="N8367:N8369"/>
    <mergeCell ref="A8373:A8374"/>
    <mergeCell ref="B8373:B8374"/>
    <mergeCell ref="C8373:C8374"/>
    <mergeCell ref="D8373:D8374"/>
    <mergeCell ref="E8373:E8374"/>
    <mergeCell ref="F8373:F8374"/>
    <mergeCell ref="G8373:G8374"/>
    <mergeCell ref="H8373:H8374"/>
    <mergeCell ref="I8373:I8374"/>
    <mergeCell ref="J8373:J8374"/>
    <mergeCell ref="K8373:K8374"/>
    <mergeCell ref="L8373:L8374"/>
    <mergeCell ref="M8373:M8374"/>
    <mergeCell ref="N8373:N8374"/>
    <mergeCell ref="A8377:A8378"/>
    <mergeCell ref="B8377:B8378"/>
    <mergeCell ref="C8377:C8378"/>
    <mergeCell ref="D8377:D8378"/>
    <mergeCell ref="E8377:E8378"/>
    <mergeCell ref="F8377:F8378"/>
    <mergeCell ref="G8377:G8378"/>
    <mergeCell ref="H8377:H8378"/>
    <mergeCell ref="I8377:I8378"/>
    <mergeCell ref="J8377:J8378"/>
    <mergeCell ref="K8377:K8378"/>
    <mergeCell ref="L8377:L8378"/>
    <mergeCell ref="M8377:M8378"/>
    <mergeCell ref="N8377:N8378"/>
    <mergeCell ref="A8348:A8351"/>
    <mergeCell ref="B8348:B8351"/>
    <mergeCell ref="C8348:C8351"/>
    <mergeCell ref="D8348:D8351"/>
    <mergeCell ref="E8348:E8351"/>
    <mergeCell ref="F8348:F8351"/>
    <mergeCell ref="G8348:G8351"/>
    <mergeCell ref="H8348:H8351"/>
    <mergeCell ref="I8348:I8351"/>
    <mergeCell ref="J8348:J8351"/>
    <mergeCell ref="K8348:K8351"/>
    <mergeCell ref="L8348:L8351"/>
    <mergeCell ref="M8348:M8351"/>
    <mergeCell ref="N8348:N8351"/>
    <mergeCell ref="A8352:A8359"/>
    <mergeCell ref="B8352:B8359"/>
    <mergeCell ref="C8352:C8359"/>
    <mergeCell ref="D8352:D8359"/>
    <mergeCell ref="E8352:E8359"/>
    <mergeCell ref="F8352:F8359"/>
    <mergeCell ref="G8352:G8359"/>
    <mergeCell ref="H8352:H8359"/>
    <mergeCell ref="I8352:I8359"/>
    <mergeCell ref="J8352:J8359"/>
    <mergeCell ref="K8352:K8359"/>
    <mergeCell ref="L8352:L8359"/>
    <mergeCell ref="M8352:M8359"/>
    <mergeCell ref="N8352:N8359"/>
    <mergeCell ref="A8361:A8366"/>
    <mergeCell ref="B8361:B8366"/>
    <mergeCell ref="C8361:C8366"/>
    <mergeCell ref="D8361:D8366"/>
    <mergeCell ref="E8361:E8366"/>
    <mergeCell ref="F8361:F8366"/>
    <mergeCell ref="G8361:G8366"/>
    <mergeCell ref="H8361:H8366"/>
    <mergeCell ref="I8361:I8366"/>
    <mergeCell ref="J8361:J8366"/>
    <mergeCell ref="K8361:K8366"/>
    <mergeCell ref="L8361:L8366"/>
    <mergeCell ref="M8361:M8366"/>
    <mergeCell ref="N8361:N8366"/>
    <mergeCell ref="A8336:A8339"/>
    <mergeCell ref="B8336:B8339"/>
    <mergeCell ref="C8336:C8339"/>
    <mergeCell ref="D8336:D8339"/>
    <mergeCell ref="E8336:E8339"/>
    <mergeCell ref="F8336:F8339"/>
    <mergeCell ref="G8336:G8339"/>
    <mergeCell ref="H8336:H8339"/>
    <mergeCell ref="I8336:I8339"/>
    <mergeCell ref="J8336:J8339"/>
    <mergeCell ref="K8336:K8339"/>
    <mergeCell ref="L8336:L8339"/>
    <mergeCell ref="M8336:M8339"/>
    <mergeCell ref="N8336:N8339"/>
    <mergeCell ref="A8341:A8342"/>
    <mergeCell ref="B8341:B8342"/>
    <mergeCell ref="C8341:C8342"/>
    <mergeCell ref="D8341:D8342"/>
    <mergeCell ref="E8341:E8342"/>
    <mergeCell ref="F8341:F8342"/>
    <mergeCell ref="G8341:G8342"/>
    <mergeCell ref="H8341:H8342"/>
    <mergeCell ref="I8341:I8342"/>
    <mergeCell ref="J8341:J8342"/>
    <mergeCell ref="K8341:K8342"/>
    <mergeCell ref="L8341:L8342"/>
    <mergeCell ref="M8341:M8342"/>
    <mergeCell ref="N8341:N8342"/>
    <mergeCell ref="A8346:A8347"/>
    <mergeCell ref="B8346:B8347"/>
    <mergeCell ref="C8346:C8347"/>
    <mergeCell ref="D8346:D8347"/>
    <mergeCell ref="E8346:E8347"/>
    <mergeCell ref="F8346:F8347"/>
    <mergeCell ref="G8346:G8347"/>
    <mergeCell ref="H8346:H8347"/>
    <mergeCell ref="I8346:I8347"/>
    <mergeCell ref="J8346:J8347"/>
    <mergeCell ref="K8346:K8347"/>
    <mergeCell ref="L8346:L8347"/>
    <mergeCell ref="M8346:M8347"/>
    <mergeCell ref="N8346:N8347"/>
    <mergeCell ref="A8326:A8328"/>
    <mergeCell ref="B8326:B8328"/>
    <mergeCell ref="C8326:C8328"/>
    <mergeCell ref="D8326:D8328"/>
    <mergeCell ref="E8326:E8328"/>
    <mergeCell ref="F8326:F8328"/>
    <mergeCell ref="G8326:G8328"/>
    <mergeCell ref="H8326:H8328"/>
    <mergeCell ref="I8326:I8328"/>
    <mergeCell ref="J8326:J8328"/>
    <mergeCell ref="K8326:K8328"/>
    <mergeCell ref="L8326:L8328"/>
    <mergeCell ref="M8326:M8328"/>
    <mergeCell ref="N8326:N8328"/>
    <mergeCell ref="A8329:A8330"/>
    <mergeCell ref="B8329:B8330"/>
    <mergeCell ref="C8329:C8330"/>
    <mergeCell ref="D8329:D8330"/>
    <mergeCell ref="E8329:E8330"/>
    <mergeCell ref="F8329:F8330"/>
    <mergeCell ref="G8329:G8330"/>
    <mergeCell ref="H8329:H8330"/>
    <mergeCell ref="I8329:I8330"/>
    <mergeCell ref="J8329:J8330"/>
    <mergeCell ref="K8329:K8330"/>
    <mergeCell ref="L8329:L8330"/>
    <mergeCell ref="M8329:M8330"/>
    <mergeCell ref="N8329:N8330"/>
    <mergeCell ref="A8334:A8335"/>
    <mergeCell ref="B8334:B8335"/>
    <mergeCell ref="C8334:C8335"/>
    <mergeCell ref="D8334:D8335"/>
    <mergeCell ref="E8334:E8335"/>
    <mergeCell ref="F8334:F8335"/>
    <mergeCell ref="G8334:G8335"/>
    <mergeCell ref="H8334:H8335"/>
    <mergeCell ref="I8334:I8335"/>
    <mergeCell ref="J8334:J8335"/>
    <mergeCell ref="K8334:K8335"/>
    <mergeCell ref="L8334:L8335"/>
    <mergeCell ref="M8334:M8335"/>
    <mergeCell ref="N8334:N8335"/>
    <mergeCell ref="A8314:A8315"/>
    <mergeCell ref="B8314:B8315"/>
    <mergeCell ref="C8314:C8315"/>
    <mergeCell ref="D8314:D8315"/>
    <mergeCell ref="E8314:E8315"/>
    <mergeCell ref="F8314:F8315"/>
    <mergeCell ref="G8314:G8315"/>
    <mergeCell ref="H8314:H8315"/>
    <mergeCell ref="I8314:I8315"/>
    <mergeCell ref="J8314:J8315"/>
    <mergeCell ref="K8314:K8315"/>
    <mergeCell ref="L8314:L8315"/>
    <mergeCell ref="M8314:M8315"/>
    <mergeCell ref="N8314:N8315"/>
    <mergeCell ref="A8319:A8320"/>
    <mergeCell ref="B8319:B8320"/>
    <mergeCell ref="C8319:C8320"/>
    <mergeCell ref="D8319:D8320"/>
    <mergeCell ref="E8319:E8320"/>
    <mergeCell ref="F8319:F8320"/>
    <mergeCell ref="G8319:G8320"/>
    <mergeCell ref="H8319:H8320"/>
    <mergeCell ref="I8319:I8320"/>
    <mergeCell ref="J8319:J8320"/>
    <mergeCell ref="K8319:K8320"/>
    <mergeCell ref="L8319:L8320"/>
    <mergeCell ref="M8319:M8320"/>
    <mergeCell ref="N8319:N8320"/>
    <mergeCell ref="A8323:A8325"/>
    <mergeCell ref="B8323:B8325"/>
    <mergeCell ref="C8323:C8325"/>
    <mergeCell ref="D8323:D8325"/>
    <mergeCell ref="E8323:E8325"/>
    <mergeCell ref="F8323:F8325"/>
    <mergeCell ref="G8323:G8325"/>
    <mergeCell ref="H8323:H8325"/>
    <mergeCell ref="I8323:I8325"/>
    <mergeCell ref="J8323:J8325"/>
    <mergeCell ref="K8323:K8325"/>
    <mergeCell ref="L8323:L8325"/>
    <mergeCell ref="M8323:M8325"/>
    <mergeCell ref="N8323:N8325"/>
    <mergeCell ref="A8291:A8299"/>
    <mergeCell ref="B8291:B8299"/>
    <mergeCell ref="C8291:C8299"/>
    <mergeCell ref="D8291:D8299"/>
    <mergeCell ref="E8291:E8299"/>
    <mergeCell ref="F8291:F8299"/>
    <mergeCell ref="G8291:G8299"/>
    <mergeCell ref="H8291:H8299"/>
    <mergeCell ref="I8291:I8299"/>
    <mergeCell ref="J8291:J8299"/>
    <mergeCell ref="K8291:K8299"/>
    <mergeCell ref="L8291:L8299"/>
    <mergeCell ref="M8291:M8299"/>
    <mergeCell ref="N8291:N8299"/>
    <mergeCell ref="A8301:A8307"/>
    <mergeCell ref="B8301:B8307"/>
    <mergeCell ref="C8301:C8307"/>
    <mergeCell ref="D8301:D8307"/>
    <mergeCell ref="E8301:E8307"/>
    <mergeCell ref="F8301:F8307"/>
    <mergeCell ref="G8301:G8307"/>
    <mergeCell ref="H8301:H8307"/>
    <mergeCell ref="I8301:I8307"/>
    <mergeCell ref="J8301:J8307"/>
    <mergeCell ref="K8301:K8307"/>
    <mergeCell ref="L8301:L8307"/>
    <mergeCell ref="M8301:M8307"/>
    <mergeCell ref="N8301:N8307"/>
    <mergeCell ref="A8310:A8311"/>
    <mergeCell ref="B8310:B8311"/>
    <mergeCell ref="C8310:C8311"/>
    <mergeCell ref="D8310:D8311"/>
    <mergeCell ref="E8310:E8311"/>
    <mergeCell ref="F8310:F8311"/>
    <mergeCell ref="G8310:G8311"/>
    <mergeCell ref="H8310:H8311"/>
    <mergeCell ref="I8310:I8311"/>
    <mergeCell ref="J8310:J8311"/>
    <mergeCell ref="K8310:K8311"/>
    <mergeCell ref="L8310:L8311"/>
    <mergeCell ref="M8310:M8311"/>
    <mergeCell ref="N8310:N8311"/>
    <mergeCell ref="A8284:A8285"/>
    <mergeCell ref="B8284:B8285"/>
    <mergeCell ref="C8284:C8285"/>
    <mergeCell ref="D8284:D8285"/>
    <mergeCell ref="E8284:E8285"/>
    <mergeCell ref="F8284:F8285"/>
    <mergeCell ref="G8284:G8285"/>
    <mergeCell ref="H8284:H8285"/>
    <mergeCell ref="I8284:I8285"/>
    <mergeCell ref="J8284:J8285"/>
    <mergeCell ref="K8284:K8285"/>
    <mergeCell ref="L8284:L8285"/>
    <mergeCell ref="M8284:M8285"/>
    <mergeCell ref="N8284:N8285"/>
    <mergeCell ref="A8286:A8288"/>
    <mergeCell ref="B8286:B8288"/>
    <mergeCell ref="C8286:C8288"/>
    <mergeCell ref="D8286:D8288"/>
    <mergeCell ref="E8286:E8288"/>
    <mergeCell ref="F8286:F8288"/>
    <mergeCell ref="G8286:G8288"/>
    <mergeCell ref="H8286:H8288"/>
    <mergeCell ref="I8286:I8288"/>
    <mergeCell ref="J8286:J8288"/>
    <mergeCell ref="K8286:K8288"/>
    <mergeCell ref="L8286:L8288"/>
    <mergeCell ref="M8286:M8288"/>
    <mergeCell ref="N8286:N8288"/>
    <mergeCell ref="A8289:A8290"/>
    <mergeCell ref="B8289:B8290"/>
    <mergeCell ref="C8289:C8290"/>
    <mergeCell ref="D8289:D8290"/>
    <mergeCell ref="E8289:E8290"/>
    <mergeCell ref="F8289:F8290"/>
    <mergeCell ref="G8289:G8290"/>
    <mergeCell ref="H8289:H8290"/>
    <mergeCell ref="I8289:I8290"/>
    <mergeCell ref="J8289:J8290"/>
    <mergeCell ref="K8289:K8290"/>
    <mergeCell ref="L8289:L8290"/>
    <mergeCell ref="M8289:M8290"/>
    <mergeCell ref="N8289:N8290"/>
    <mergeCell ref="A8269:A8270"/>
    <mergeCell ref="B8269:B8270"/>
    <mergeCell ref="C8269:C8270"/>
    <mergeCell ref="D8269:D8270"/>
    <mergeCell ref="E8269:E8270"/>
    <mergeCell ref="F8269:F8270"/>
    <mergeCell ref="G8269:G8270"/>
    <mergeCell ref="H8269:H8270"/>
    <mergeCell ref="I8269:I8270"/>
    <mergeCell ref="J8269:J8270"/>
    <mergeCell ref="K8269:K8270"/>
    <mergeCell ref="L8269:L8270"/>
    <mergeCell ref="M8269:M8270"/>
    <mergeCell ref="N8269:N8270"/>
    <mergeCell ref="A8274:A8280"/>
    <mergeCell ref="B8274:B8280"/>
    <mergeCell ref="C8274:C8280"/>
    <mergeCell ref="D8274:D8280"/>
    <mergeCell ref="E8274:E8280"/>
    <mergeCell ref="F8274:F8280"/>
    <mergeCell ref="G8274:G8280"/>
    <mergeCell ref="H8274:H8280"/>
    <mergeCell ref="I8274:I8280"/>
    <mergeCell ref="J8274:J8280"/>
    <mergeCell ref="K8274:K8280"/>
    <mergeCell ref="L8274:L8280"/>
    <mergeCell ref="M8274:M8280"/>
    <mergeCell ref="N8274:N8280"/>
    <mergeCell ref="A8281:A8283"/>
    <mergeCell ref="B8281:B8283"/>
    <mergeCell ref="C8281:C8283"/>
    <mergeCell ref="D8281:D8283"/>
    <mergeCell ref="E8281:E8283"/>
    <mergeCell ref="F8281:F8283"/>
    <mergeCell ref="G8281:G8283"/>
    <mergeCell ref="H8281:H8283"/>
    <mergeCell ref="I8281:I8283"/>
    <mergeCell ref="J8281:J8283"/>
    <mergeCell ref="K8281:K8283"/>
    <mergeCell ref="L8281:L8283"/>
    <mergeCell ref="M8281:M8283"/>
    <mergeCell ref="N8281:N8283"/>
    <mergeCell ref="A8257:A8259"/>
    <mergeCell ref="B8257:B8259"/>
    <mergeCell ref="C8257:C8259"/>
    <mergeCell ref="D8257:D8259"/>
    <mergeCell ref="E8257:E8259"/>
    <mergeCell ref="F8257:F8259"/>
    <mergeCell ref="G8257:G8259"/>
    <mergeCell ref="H8257:H8259"/>
    <mergeCell ref="I8257:I8259"/>
    <mergeCell ref="J8257:J8259"/>
    <mergeCell ref="K8257:K8259"/>
    <mergeCell ref="L8257:L8259"/>
    <mergeCell ref="M8257:M8259"/>
    <mergeCell ref="N8257:N8259"/>
    <mergeCell ref="A8262:A8264"/>
    <mergeCell ref="B8262:B8264"/>
    <mergeCell ref="C8262:C8264"/>
    <mergeCell ref="D8262:D8264"/>
    <mergeCell ref="E8262:E8264"/>
    <mergeCell ref="F8262:F8264"/>
    <mergeCell ref="G8262:G8264"/>
    <mergeCell ref="H8262:H8264"/>
    <mergeCell ref="I8262:I8264"/>
    <mergeCell ref="J8262:J8264"/>
    <mergeCell ref="K8262:K8264"/>
    <mergeCell ref="L8262:L8264"/>
    <mergeCell ref="M8262:M8264"/>
    <mergeCell ref="N8262:N8264"/>
    <mergeCell ref="A8267:A8268"/>
    <mergeCell ref="B8267:B8268"/>
    <mergeCell ref="C8267:C8268"/>
    <mergeCell ref="D8267:D8268"/>
    <mergeCell ref="E8267:E8268"/>
    <mergeCell ref="F8267:F8268"/>
    <mergeCell ref="G8267:G8268"/>
    <mergeCell ref="H8267:H8268"/>
    <mergeCell ref="I8267:I8268"/>
    <mergeCell ref="J8267:J8268"/>
    <mergeCell ref="K8267:K8268"/>
    <mergeCell ref="L8267:L8268"/>
    <mergeCell ref="M8267:M8268"/>
    <mergeCell ref="N8267:N8268"/>
    <mergeCell ref="A8245:A8246"/>
    <mergeCell ref="B8245:B8246"/>
    <mergeCell ref="C8245:C8246"/>
    <mergeCell ref="D8245:D8246"/>
    <mergeCell ref="E8245:E8246"/>
    <mergeCell ref="F8245:F8246"/>
    <mergeCell ref="G8245:G8246"/>
    <mergeCell ref="H8245:H8246"/>
    <mergeCell ref="I8245:I8246"/>
    <mergeCell ref="J8245:J8246"/>
    <mergeCell ref="K8245:K8246"/>
    <mergeCell ref="L8245:L8246"/>
    <mergeCell ref="M8245:M8246"/>
    <mergeCell ref="N8245:N8246"/>
    <mergeCell ref="A8249:A8250"/>
    <mergeCell ref="B8249:B8250"/>
    <mergeCell ref="C8249:C8250"/>
    <mergeCell ref="D8249:D8250"/>
    <mergeCell ref="E8249:E8250"/>
    <mergeCell ref="F8249:F8250"/>
    <mergeCell ref="G8249:G8250"/>
    <mergeCell ref="H8249:H8250"/>
    <mergeCell ref="I8249:I8250"/>
    <mergeCell ref="J8249:J8250"/>
    <mergeCell ref="K8249:K8250"/>
    <mergeCell ref="L8249:L8250"/>
    <mergeCell ref="M8249:M8250"/>
    <mergeCell ref="N8249:N8250"/>
    <mergeCell ref="A8251:A8252"/>
    <mergeCell ref="B8251:B8252"/>
    <mergeCell ref="C8251:C8252"/>
    <mergeCell ref="D8251:D8252"/>
    <mergeCell ref="E8251:E8252"/>
    <mergeCell ref="F8251:F8252"/>
    <mergeCell ref="G8251:G8252"/>
    <mergeCell ref="H8251:H8252"/>
    <mergeCell ref="I8251:I8252"/>
    <mergeCell ref="J8251:J8252"/>
    <mergeCell ref="K8251:K8252"/>
    <mergeCell ref="L8251:L8252"/>
    <mergeCell ref="M8251:M8252"/>
    <mergeCell ref="N8251:N8252"/>
    <mergeCell ref="A8235:A8239"/>
    <mergeCell ref="B8235:B8239"/>
    <mergeCell ref="C8235:C8239"/>
    <mergeCell ref="D8235:D8239"/>
    <mergeCell ref="E8235:E8239"/>
    <mergeCell ref="F8235:F8239"/>
    <mergeCell ref="G8235:G8239"/>
    <mergeCell ref="H8235:H8239"/>
    <mergeCell ref="I8235:I8239"/>
    <mergeCell ref="J8235:J8239"/>
    <mergeCell ref="K8235:K8239"/>
    <mergeCell ref="L8235:L8239"/>
    <mergeCell ref="M8235:M8239"/>
    <mergeCell ref="N8235:N8239"/>
    <mergeCell ref="A8240:A8241"/>
    <mergeCell ref="B8240:B8241"/>
    <mergeCell ref="C8240:C8241"/>
    <mergeCell ref="D8240:D8241"/>
    <mergeCell ref="E8240:E8241"/>
    <mergeCell ref="F8240:F8241"/>
    <mergeCell ref="G8240:G8241"/>
    <mergeCell ref="H8240:H8241"/>
    <mergeCell ref="I8240:I8241"/>
    <mergeCell ref="J8240:J8241"/>
    <mergeCell ref="K8240:K8241"/>
    <mergeCell ref="L8240:L8241"/>
    <mergeCell ref="M8240:M8241"/>
    <mergeCell ref="N8240:N8241"/>
    <mergeCell ref="A8242:A8244"/>
    <mergeCell ref="B8242:B8244"/>
    <mergeCell ref="C8242:C8244"/>
    <mergeCell ref="D8242:D8244"/>
    <mergeCell ref="E8242:E8244"/>
    <mergeCell ref="F8242:F8244"/>
    <mergeCell ref="G8242:G8244"/>
    <mergeCell ref="H8242:H8244"/>
    <mergeCell ref="I8242:I8244"/>
    <mergeCell ref="J8242:J8244"/>
    <mergeCell ref="K8242:K8244"/>
    <mergeCell ref="L8242:L8244"/>
    <mergeCell ref="M8242:M8244"/>
    <mergeCell ref="N8242:N8244"/>
    <mergeCell ref="A8227:A8229"/>
    <mergeCell ref="B8227:B8229"/>
    <mergeCell ref="C8227:C8229"/>
    <mergeCell ref="D8227:D8229"/>
    <mergeCell ref="E8227:E8229"/>
    <mergeCell ref="F8227:F8229"/>
    <mergeCell ref="G8227:G8229"/>
    <mergeCell ref="H8227:H8229"/>
    <mergeCell ref="I8227:I8229"/>
    <mergeCell ref="J8227:J8229"/>
    <mergeCell ref="K8227:K8229"/>
    <mergeCell ref="L8227:L8229"/>
    <mergeCell ref="M8227:M8229"/>
    <mergeCell ref="N8227:N8229"/>
    <mergeCell ref="A8230:A8232"/>
    <mergeCell ref="B8230:B8232"/>
    <mergeCell ref="C8230:C8232"/>
    <mergeCell ref="D8230:D8232"/>
    <mergeCell ref="E8230:E8232"/>
    <mergeCell ref="F8230:F8232"/>
    <mergeCell ref="G8230:G8232"/>
    <mergeCell ref="H8230:H8232"/>
    <mergeCell ref="I8230:I8232"/>
    <mergeCell ref="J8230:J8232"/>
    <mergeCell ref="K8230:K8232"/>
    <mergeCell ref="L8230:L8232"/>
    <mergeCell ref="M8230:M8232"/>
    <mergeCell ref="N8230:N8232"/>
    <mergeCell ref="A8233:A8234"/>
    <mergeCell ref="B8233:B8234"/>
    <mergeCell ref="C8233:C8234"/>
    <mergeCell ref="D8233:D8234"/>
    <mergeCell ref="E8233:E8234"/>
    <mergeCell ref="F8233:F8234"/>
    <mergeCell ref="G8233:G8234"/>
    <mergeCell ref="H8233:H8234"/>
    <mergeCell ref="I8233:I8234"/>
    <mergeCell ref="J8233:J8234"/>
    <mergeCell ref="K8233:K8234"/>
    <mergeCell ref="L8233:L8234"/>
    <mergeCell ref="M8233:M8234"/>
    <mergeCell ref="N8233:N8234"/>
    <mergeCell ref="A8213:A8216"/>
    <mergeCell ref="B8213:B8216"/>
    <mergeCell ref="C8213:C8216"/>
    <mergeCell ref="D8213:D8216"/>
    <mergeCell ref="E8213:E8216"/>
    <mergeCell ref="F8213:F8216"/>
    <mergeCell ref="G8213:G8216"/>
    <mergeCell ref="H8213:H8216"/>
    <mergeCell ref="I8213:I8216"/>
    <mergeCell ref="J8213:J8216"/>
    <mergeCell ref="K8213:K8216"/>
    <mergeCell ref="L8213:L8216"/>
    <mergeCell ref="M8213:M8216"/>
    <mergeCell ref="N8213:N8216"/>
    <mergeCell ref="A8217:A8219"/>
    <mergeCell ref="B8217:B8219"/>
    <mergeCell ref="C8217:C8219"/>
    <mergeCell ref="D8217:D8219"/>
    <mergeCell ref="E8217:E8219"/>
    <mergeCell ref="F8217:F8219"/>
    <mergeCell ref="G8217:G8219"/>
    <mergeCell ref="H8217:H8219"/>
    <mergeCell ref="I8217:I8219"/>
    <mergeCell ref="J8217:J8219"/>
    <mergeCell ref="K8217:K8219"/>
    <mergeCell ref="L8217:L8219"/>
    <mergeCell ref="M8217:M8219"/>
    <mergeCell ref="N8217:N8219"/>
    <mergeCell ref="A8224:A8225"/>
    <mergeCell ref="B8224:B8225"/>
    <mergeCell ref="C8224:C8225"/>
    <mergeCell ref="D8224:D8225"/>
    <mergeCell ref="E8224:E8225"/>
    <mergeCell ref="F8224:F8225"/>
    <mergeCell ref="G8224:G8225"/>
    <mergeCell ref="H8224:H8225"/>
    <mergeCell ref="I8224:I8225"/>
    <mergeCell ref="J8224:J8225"/>
    <mergeCell ref="K8224:K8225"/>
    <mergeCell ref="L8224:L8225"/>
    <mergeCell ref="M8224:M8225"/>
    <mergeCell ref="N8224:N8225"/>
    <mergeCell ref="A8195:A8201"/>
    <mergeCell ref="B8195:B8201"/>
    <mergeCell ref="C8195:C8201"/>
    <mergeCell ref="D8195:D8201"/>
    <mergeCell ref="E8195:E8201"/>
    <mergeCell ref="F8195:F8201"/>
    <mergeCell ref="G8195:G8201"/>
    <mergeCell ref="H8195:H8201"/>
    <mergeCell ref="I8195:I8201"/>
    <mergeCell ref="J8195:J8201"/>
    <mergeCell ref="K8195:K8201"/>
    <mergeCell ref="L8195:L8201"/>
    <mergeCell ref="M8195:M8201"/>
    <mergeCell ref="N8195:N8201"/>
    <mergeCell ref="A8204:A8207"/>
    <mergeCell ref="B8204:B8207"/>
    <mergeCell ref="C8204:C8207"/>
    <mergeCell ref="D8204:D8207"/>
    <mergeCell ref="E8204:E8207"/>
    <mergeCell ref="F8204:F8207"/>
    <mergeCell ref="G8204:G8207"/>
    <mergeCell ref="H8204:H8207"/>
    <mergeCell ref="I8204:I8207"/>
    <mergeCell ref="J8204:J8207"/>
    <mergeCell ref="K8204:K8207"/>
    <mergeCell ref="L8204:L8207"/>
    <mergeCell ref="M8204:M8207"/>
    <mergeCell ref="N8204:N8207"/>
    <mergeCell ref="A8211:A8212"/>
    <mergeCell ref="B8211:B8212"/>
    <mergeCell ref="C8211:C8212"/>
    <mergeCell ref="D8211:D8212"/>
    <mergeCell ref="E8211:E8212"/>
    <mergeCell ref="F8211:F8212"/>
    <mergeCell ref="G8211:G8212"/>
    <mergeCell ref="H8211:H8212"/>
    <mergeCell ref="I8211:I8212"/>
    <mergeCell ref="J8211:J8212"/>
    <mergeCell ref="K8211:K8212"/>
    <mergeCell ref="L8211:L8212"/>
    <mergeCell ref="M8211:M8212"/>
    <mergeCell ref="N8211:N8212"/>
    <mergeCell ref="A8181:A8185"/>
    <mergeCell ref="B8181:B8185"/>
    <mergeCell ref="C8181:C8185"/>
    <mergeCell ref="D8181:D8185"/>
    <mergeCell ref="E8181:E8185"/>
    <mergeCell ref="F8181:F8185"/>
    <mergeCell ref="G8181:G8185"/>
    <mergeCell ref="H8181:H8185"/>
    <mergeCell ref="I8181:I8185"/>
    <mergeCell ref="J8181:J8185"/>
    <mergeCell ref="K8181:K8185"/>
    <mergeCell ref="L8181:L8185"/>
    <mergeCell ref="M8181:M8185"/>
    <mergeCell ref="N8181:N8185"/>
    <mergeCell ref="A8186:A8187"/>
    <mergeCell ref="B8186:B8187"/>
    <mergeCell ref="C8186:C8187"/>
    <mergeCell ref="D8186:D8187"/>
    <mergeCell ref="E8186:E8187"/>
    <mergeCell ref="F8186:F8187"/>
    <mergeCell ref="G8186:G8187"/>
    <mergeCell ref="H8186:H8187"/>
    <mergeCell ref="I8186:I8187"/>
    <mergeCell ref="J8186:J8187"/>
    <mergeCell ref="K8186:K8187"/>
    <mergeCell ref="L8186:L8187"/>
    <mergeCell ref="M8186:M8187"/>
    <mergeCell ref="N8186:N8187"/>
    <mergeCell ref="A8192:A8193"/>
    <mergeCell ref="B8192:B8193"/>
    <mergeCell ref="C8192:C8193"/>
    <mergeCell ref="D8192:D8193"/>
    <mergeCell ref="E8192:E8193"/>
    <mergeCell ref="F8192:F8193"/>
    <mergeCell ref="G8192:G8193"/>
    <mergeCell ref="H8192:H8193"/>
    <mergeCell ref="I8192:I8193"/>
    <mergeCell ref="J8192:J8193"/>
    <mergeCell ref="K8192:K8193"/>
    <mergeCell ref="L8192:L8193"/>
    <mergeCell ref="M8192:M8193"/>
    <mergeCell ref="N8192:N8193"/>
    <mergeCell ref="A8173:A8174"/>
    <mergeCell ref="B8173:B8174"/>
    <mergeCell ref="C8173:C8174"/>
    <mergeCell ref="D8173:D8174"/>
    <mergeCell ref="E8173:E8174"/>
    <mergeCell ref="F8173:F8174"/>
    <mergeCell ref="G8173:G8174"/>
    <mergeCell ref="H8173:H8174"/>
    <mergeCell ref="I8173:I8174"/>
    <mergeCell ref="J8173:J8174"/>
    <mergeCell ref="K8173:K8174"/>
    <mergeCell ref="L8173:L8174"/>
    <mergeCell ref="M8173:M8174"/>
    <mergeCell ref="N8173:N8174"/>
    <mergeCell ref="A8175:A8176"/>
    <mergeCell ref="B8175:B8176"/>
    <mergeCell ref="C8175:C8176"/>
    <mergeCell ref="D8175:D8176"/>
    <mergeCell ref="E8175:E8176"/>
    <mergeCell ref="F8175:F8176"/>
    <mergeCell ref="G8175:G8176"/>
    <mergeCell ref="H8175:H8176"/>
    <mergeCell ref="I8175:I8176"/>
    <mergeCell ref="J8175:J8176"/>
    <mergeCell ref="K8175:K8176"/>
    <mergeCell ref="L8175:L8176"/>
    <mergeCell ref="M8175:M8176"/>
    <mergeCell ref="N8175:N8176"/>
    <mergeCell ref="A8177:A8178"/>
    <mergeCell ref="B8177:B8178"/>
    <mergeCell ref="C8177:C8178"/>
    <mergeCell ref="D8177:D8178"/>
    <mergeCell ref="E8177:E8178"/>
    <mergeCell ref="F8177:F8178"/>
    <mergeCell ref="G8177:G8178"/>
    <mergeCell ref="H8177:H8178"/>
    <mergeCell ref="I8177:I8178"/>
    <mergeCell ref="J8177:J8178"/>
    <mergeCell ref="K8177:K8178"/>
    <mergeCell ref="L8177:L8178"/>
    <mergeCell ref="M8177:M8178"/>
    <mergeCell ref="N8177:N8178"/>
    <mergeCell ref="A8151:A8153"/>
    <mergeCell ref="B8151:B8153"/>
    <mergeCell ref="C8151:C8153"/>
    <mergeCell ref="D8151:D8153"/>
    <mergeCell ref="E8151:E8153"/>
    <mergeCell ref="F8151:F8153"/>
    <mergeCell ref="G8151:G8153"/>
    <mergeCell ref="H8151:H8153"/>
    <mergeCell ref="I8151:I8153"/>
    <mergeCell ref="J8151:J8153"/>
    <mergeCell ref="K8151:K8153"/>
    <mergeCell ref="L8151:L8153"/>
    <mergeCell ref="M8151:M8153"/>
    <mergeCell ref="N8151:N8153"/>
    <mergeCell ref="A8156:A8157"/>
    <mergeCell ref="B8156:B8157"/>
    <mergeCell ref="C8156:C8157"/>
    <mergeCell ref="D8156:D8157"/>
    <mergeCell ref="E8156:E8157"/>
    <mergeCell ref="F8156:F8157"/>
    <mergeCell ref="G8156:G8157"/>
    <mergeCell ref="H8156:H8157"/>
    <mergeCell ref="I8156:I8157"/>
    <mergeCell ref="J8156:J8157"/>
    <mergeCell ref="K8156:K8157"/>
    <mergeCell ref="L8156:L8157"/>
    <mergeCell ref="M8156:M8157"/>
    <mergeCell ref="N8156:N8157"/>
    <mergeCell ref="A8168:A8169"/>
    <mergeCell ref="B8168:B8169"/>
    <mergeCell ref="C8168:C8169"/>
    <mergeCell ref="D8168:D8169"/>
    <mergeCell ref="E8168:E8169"/>
    <mergeCell ref="F8168:F8169"/>
    <mergeCell ref="G8168:G8169"/>
    <mergeCell ref="H8168:H8169"/>
    <mergeCell ref="I8168:I8169"/>
    <mergeCell ref="J8168:J8169"/>
    <mergeCell ref="K8168:K8169"/>
    <mergeCell ref="L8168:L8169"/>
    <mergeCell ref="M8168:M8169"/>
    <mergeCell ref="N8168:N8169"/>
    <mergeCell ref="A8139:A8142"/>
    <mergeCell ref="B8139:B8142"/>
    <mergeCell ref="C8139:C8142"/>
    <mergeCell ref="D8139:D8142"/>
    <mergeCell ref="E8139:E8142"/>
    <mergeCell ref="F8139:F8142"/>
    <mergeCell ref="G8139:G8142"/>
    <mergeCell ref="H8139:H8142"/>
    <mergeCell ref="I8139:I8142"/>
    <mergeCell ref="J8139:J8142"/>
    <mergeCell ref="K8139:K8142"/>
    <mergeCell ref="L8139:L8142"/>
    <mergeCell ref="M8139:M8142"/>
    <mergeCell ref="N8139:N8142"/>
    <mergeCell ref="A8143:A8145"/>
    <mergeCell ref="B8143:B8145"/>
    <mergeCell ref="C8143:C8145"/>
    <mergeCell ref="D8143:D8145"/>
    <mergeCell ref="E8143:E8145"/>
    <mergeCell ref="F8143:F8145"/>
    <mergeCell ref="G8143:G8145"/>
    <mergeCell ref="H8143:H8145"/>
    <mergeCell ref="I8143:I8145"/>
    <mergeCell ref="J8143:J8145"/>
    <mergeCell ref="K8143:K8145"/>
    <mergeCell ref="L8143:L8145"/>
    <mergeCell ref="M8143:M8145"/>
    <mergeCell ref="N8143:N8145"/>
    <mergeCell ref="A8146:A8148"/>
    <mergeCell ref="B8146:B8148"/>
    <mergeCell ref="C8146:C8148"/>
    <mergeCell ref="D8146:D8148"/>
    <mergeCell ref="E8146:E8148"/>
    <mergeCell ref="F8146:F8148"/>
    <mergeCell ref="G8146:G8148"/>
    <mergeCell ref="H8146:H8148"/>
    <mergeCell ref="I8146:I8148"/>
    <mergeCell ref="J8146:J8148"/>
    <mergeCell ref="K8146:K8148"/>
    <mergeCell ref="L8146:L8148"/>
    <mergeCell ref="M8146:M8148"/>
    <mergeCell ref="N8146:N8148"/>
    <mergeCell ref="A8119:A8123"/>
    <mergeCell ref="B8119:B8123"/>
    <mergeCell ref="C8119:C8123"/>
    <mergeCell ref="D8119:D8123"/>
    <mergeCell ref="E8119:E8123"/>
    <mergeCell ref="F8119:F8123"/>
    <mergeCell ref="G8119:G8123"/>
    <mergeCell ref="H8119:H8123"/>
    <mergeCell ref="I8119:I8123"/>
    <mergeCell ref="J8119:J8123"/>
    <mergeCell ref="K8119:K8123"/>
    <mergeCell ref="L8119:L8123"/>
    <mergeCell ref="M8119:M8123"/>
    <mergeCell ref="N8119:N8123"/>
    <mergeCell ref="A8124:A8126"/>
    <mergeCell ref="B8124:B8126"/>
    <mergeCell ref="C8124:C8126"/>
    <mergeCell ref="D8124:D8126"/>
    <mergeCell ref="E8124:E8126"/>
    <mergeCell ref="F8124:F8126"/>
    <mergeCell ref="G8124:G8126"/>
    <mergeCell ref="H8124:H8126"/>
    <mergeCell ref="I8124:I8126"/>
    <mergeCell ref="J8124:J8126"/>
    <mergeCell ref="K8124:K8126"/>
    <mergeCell ref="L8124:L8126"/>
    <mergeCell ref="M8124:M8126"/>
    <mergeCell ref="N8124:N8126"/>
    <mergeCell ref="A8129:A8138"/>
    <mergeCell ref="B8129:B8138"/>
    <mergeCell ref="C8129:C8138"/>
    <mergeCell ref="D8129:D8138"/>
    <mergeCell ref="E8129:E8138"/>
    <mergeCell ref="F8129:F8138"/>
    <mergeCell ref="G8129:G8138"/>
    <mergeCell ref="H8129:H8138"/>
    <mergeCell ref="I8129:I8138"/>
    <mergeCell ref="J8129:J8138"/>
    <mergeCell ref="K8129:K8138"/>
    <mergeCell ref="L8129:L8138"/>
    <mergeCell ref="M8129:M8138"/>
    <mergeCell ref="N8129:N8138"/>
    <mergeCell ref="A8104:A8106"/>
    <mergeCell ref="B8104:B8106"/>
    <mergeCell ref="C8104:C8106"/>
    <mergeCell ref="D8104:D8106"/>
    <mergeCell ref="E8104:E8106"/>
    <mergeCell ref="F8104:F8106"/>
    <mergeCell ref="G8104:G8106"/>
    <mergeCell ref="H8104:H8106"/>
    <mergeCell ref="I8104:I8106"/>
    <mergeCell ref="J8104:J8106"/>
    <mergeCell ref="K8104:K8106"/>
    <mergeCell ref="L8104:L8106"/>
    <mergeCell ref="M8104:M8106"/>
    <mergeCell ref="N8104:N8106"/>
    <mergeCell ref="A8107:A8111"/>
    <mergeCell ref="B8107:B8111"/>
    <mergeCell ref="C8107:C8111"/>
    <mergeCell ref="D8107:D8111"/>
    <mergeCell ref="E8107:E8111"/>
    <mergeCell ref="F8107:F8111"/>
    <mergeCell ref="G8107:G8111"/>
    <mergeCell ref="H8107:H8111"/>
    <mergeCell ref="I8107:I8111"/>
    <mergeCell ref="J8107:J8111"/>
    <mergeCell ref="K8107:K8111"/>
    <mergeCell ref="L8107:L8111"/>
    <mergeCell ref="M8107:M8111"/>
    <mergeCell ref="N8107:N8111"/>
    <mergeCell ref="A8112:A8115"/>
    <mergeCell ref="B8112:B8115"/>
    <mergeCell ref="C8112:C8115"/>
    <mergeCell ref="D8112:D8115"/>
    <mergeCell ref="E8112:E8115"/>
    <mergeCell ref="F8112:F8115"/>
    <mergeCell ref="G8112:G8115"/>
    <mergeCell ref="H8112:H8115"/>
    <mergeCell ref="I8112:I8115"/>
    <mergeCell ref="J8112:J8115"/>
    <mergeCell ref="K8112:K8115"/>
    <mergeCell ref="L8112:L8115"/>
    <mergeCell ref="M8112:M8115"/>
    <mergeCell ref="N8112:N8115"/>
    <mergeCell ref="A8092:A8094"/>
    <mergeCell ref="B8092:B8094"/>
    <mergeCell ref="C8092:C8094"/>
    <mergeCell ref="D8092:D8094"/>
    <mergeCell ref="E8092:E8094"/>
    <mergeCell ref="F8092:F8094"/>
    <mergeCell ref="G8092:G8094"/>
    <mergeCell ref="H8092:H8094"/>
    <mergeCell ref="I8092:I8094"/>
    <mergeCell ref="J8092:J8094"/>
    <mergeCell ref="K8092:K8094"/>
    <mergeCell ref="L8092:L8094"/>
    <mergeCell ref="M8092:M8094"/>
    <mergeCell ref="N8092:N8094"/>
    <mergeCell ref="A8095:A8096"/>
    <mergeCell ref="B8095:B8096"/>
    <mergeCell ref="C8095:C8096"/>
    <mergeCell ref="D8095:D8096"/>
    <mergeCell ref="E8095:E8096"/>
    <mergeCell ref="F8095:F8096"/>
    <mergeCell ref="G8095:G8096"/>
    <mergeCell ref="H8095:H8096"/>
    <mergeCell ref="I8095:I8096"/>
    <mergeCell ref="J8095:J8096"/>
    <mergeCell ref="K8095:K8096"/>
    <mergeCell ref="L8095:L8096"/>
    <mergeCell ref="M8095:M8096"/>
    <mergeCell ref="N8095:N8096"/>
    <mergeCell ref="A8099:A8103"/>
    <mergeCell ref="B8099:B8103"/>
    <mergeCell ref="C8099:C8103"/>
    <mergeCell ref="D8099:D8103"/>
    <mergeCell ref="E8099:E8103"/>
    <mergeCell ref="F8099:F8103"/>
    <mergeCell ref="G8099:G8103"/>
    <mergeCell ref="H8099:H8103"/>
    <mergeCell ref="I8099:I8103"/>
    <mergeCell ref="J8099:J8103"/>
    <mergeCell ref="K8099:K8103"/>
    <mergeCell ref="L8099:L8103"/>
    <mergeCell ref="M8099:M8103"/>
    <mergeCell ref="N8099:N8103"/>
    <mergeCell ref="A8083:A8084"/>
    <mergeCell ref="B8083:B8084"/>
    <mergeCell ref="C8083:C8084"/>
    <mergeCell ref="D8083:D8084"/>
    <mergeCell ref="E8083:E8084"/>
    <mergeCell ref="F8083:F8084"/>
    <mergeCell ref="G8083:G8084"/>
    <mergeCell ref="H8083:H8084"/>
    <mergeCell ref="I8083:I8084"/>
    <mergeCell ref="J8083:J8084"/>
    <mergeCell ref="K8083:K8084"/>
    <mergeCell ref="L8083:L8084"/>
    <mergeCell ref="M8083:M8084"/>
    <mergeCell ref="N8083:N8084"/>
    <mergeCell ref="A8087:A8088"/>
    <mergeCell ref="B8087:B8088"/>
    <mergeCell ref="C8087:C8088"/>
    <mergeCell ref="D8087:D8088"/>
    <mergeCell ref="E8087:E8088"/>
    <mergeCell ref="F8087:F8088"/>
    <mergeCell ref="G8087:G8088"/>
    <mergeCell ref="H8087:H8088"/>
    <mergeCell ref="I8087:I8088"/>
    <mergeCell ref="J8087:J8088"/>
    <mergeCell ref="K8087:K8088"/>
    <mergeCell ref="L8087:L8088"/>
    <mergeCell ref="M8087:M8088"/>
    <mergeCell ref="N8087:N8088"/>
    <mergeCell ref="A8089:A8091"/>
    <mergeCell ref="B8089:B8091"/>
    <mergeCell ref="C8089:C8091"/>
    <mergeCell ref="D8089:D8091"/>
    <mergeCell ref="E8089:E8091"/>
    <mergeCell ref="F8089:F8091"/>
    <mergeCell ref="G8089:G8091"/>
    <mergeCell ref="H8089:H8091"/>
    <mergeCell ref="I8089:I8091"/>
    <mergeCell ref="J8089:J8091"/>
    <mergeCell ref="K8089:K8091"/>
    <mergeCell ref="L8089:L8091"/>
    <mergeCell ref="M8089:M8091"/>
    <mergeCell ref="N8089:N8091"/>
    <mergeCell ref="A8068:A8070"/>
    <mergeCell ref="B8068:B8070"/>
    <mergeCell ref="C8068:C8070"/>
    <mergeCell ref="D8068:D8070"/>
    <mergeCell ref="E8068:E8070"/>
    <mergeCell ref="F8068:F8070"/>
    <mergeCell ref="G8068:G8070"/>
    <mergeCell ref="H8068:H8070"/>
    <mergeCell ref="I8068:I8070"/>
    <mergeCell ref="J8068:J8070"/>
    <mergeCell ref="K8068:K8070"/>
    <mergeCell ref="L8068:L8070"/>
    <mergeCell ref="M8068:M8070"/>
    <mergeCell ref="N8068:N8070"/>
    <mergeCell ref="A8075:A8076"/>
    <mergeCell ref="B8075:B8076"/>
    <mergeCell ref="C8075:C8076"/>
    <mergeCell ref="D8075:D8076"/>
    <mergeCell ref="E8075:E8076"/>
    <mergeCell ref="F8075:F8076"/>
    <mergeCell ref="G8075:G8076"/>
    <mergeCell ref="H8075:H8076"/>
    <mergeCell ref="I8075:I8076"/>
    <mergeCell ref="J8075:J8076"/>
    <mergeCell ref="K8075:K8076"/>
    <mergeCell ref="L8075:L8076"/>
    <mergeCell ref="M8075:M8076"/>
    <mergeCell ref="N8075:N8076"/>
    <mergeCell ref="A8079:A8080"/>
    <mergeCell ref="B8079:B8080"/>
    <mergeCell ref="C8079:C8080"/>
    <mergeCell ref="D8079:D8080"/>
    <mergeCell ref="E8079:E8080"/>
    <mergeCell ref="F8079:F8080"/>
    <mergeCell ref="G8079:G8080"/>
    <mergeCell ref="H8079:H8080"/>
    <mergeCell ref="I8079:I8080"/>
    <mergeCell ref="J8079:J8080"/>
    <mergeCell ref="K8079:K8080"/>
    <mergeCell ref="L8079:L8080"/>
    <mergeCell ref="M8079:M8080"/>
    <mergeCell ref="N8079:N8080"/>
    <mergeCell ref="A8055:A8056"/>
    <mergeCell ref="B8055:B8056"/>
    <mergeCell ref="C8055:C8056"/>
    <mergeCell ref="D8055:D8056"/>
    <mergeCell ref="E8055:E8056"/>
    <mergeCell ref="F8055:F8056"/>
    <mergeCell ref="G8055:G8056"/>
    <mergeCell ref="H8055:H8056"/>
    <mergeCell ref="I8055:I8056"/>
    <mergeCell ref="J8055:J8056"/>
    <mergeCell ref="K8055:K8056"/>
    <mergeCell ref="L8055:L8056"/>
    <mergeCell ref="M8055:M8056"/>
    <mergeCell ref="N8055:N8056"/>
    <mergeCell ref="A8057:A8060"/>
    <mergeCell ref="B8057:B8060"/>
    <mergeCell ref="C8057:C8060"/>
    <mergeCell ref="D8057:D8060"/>
    <mergeCell ref="E8057:E8060"/>
    <mergeCell ref="F8057:F8060"/>
    <mergeCell ref="G8057:G8060"/>
    <mergeCell ref="H8057:H8060"/>
    <mergeCell ref="I8057:I8060"/>
    <mergeCell ref="J8057:J8060"/>
    <mergeCell ref="K8057:K8060"/>
    <mergeCell ref="L8057:L8060"/>
    <mergeCell ref="M8057:M8060"/>
    <mergeCell ref="N8057:N8060"/>
    <mergeCell ref="A8062:A8064"/>
    <mergeCell ref="B8062:B8064"/>
    <mergeCell ref="C8062:C8064"/>
    <mergeCell ref="D8062:D8064"/>
    <mergeCell ref="E8062:E8064"/>
    <mergeCell ref="F8062:F8064"/>
    <mergeCell ref="G8062:G8064"/>
    <mergeCell ref="H8062:H8064"/>
    <mergeCell ref="I8062:I8064"/>
    <mergeCell ref="J8062:J8064"/>
    <mergeCell ref="K8062:K8064"/>
    <mergeCell ref="L8062:L8064"/>
    <mergeCell ref="M8062:M8064"/>
    <mergeCell ref="N8062:N8064"/>
    <mergeCell ref="A8035:A8036"/>
    <mergeCell ref="B8035:B8036"/>
    <mergeCell ref="C8035:C8036"/>
    <mergeCell ref="D8035:D8036"/>
    <mergeCell ref="E8035:E8036"/>
    <mergeCell ref="F8035:F8036"/>
    <mergeCell ref="G8035:G8036"/>
    <mergeCell ref="H8035:H8036"/>
    <mergeCell ref="I8035:I8036"/>
    <mergeCell ref="J8035:J8036"/>
    <mergeCell ref="K8035:K8036"/>
    <mergeCell ref="L8035:L8036"/>
    <mergeCell ref="M8035:M8036"/>
    <mergeCell ref="N8035:N8036"/>
    <mergeCell ref="A8039:A8041"/>
    <mergeCell ref="B8039:B8041"/>
    <mergeCell ref="C8039:C8041"/>
    <mergeCell ref="D8039:D8041"/>
    <mergeCell ref="E8039:E8041"/>
    <mergeCell ref="F8039:F8041"/>
    <mergeCell ref="G8039:G8041"/>
    <mergeCell ref="H8039:H8041"/>
    <mergeCell ref="I8039:I8041"/>
    <mergeCell ref="J8039:J8041"/>
    <mergeCell ref="K8039:K8041"/>
    <mergeCell ref="L8039:L8041"/>
    <mergeCell ref="M8039:M8041"/>
    <mergeCell ref="N8039:N8041"/>
    <mergeCell ref="A8047:A8051"/>
    <mergeCell ref="B8047:B8051"/>
    <mergeCell ref="C8047:C8051"/>
    <mergeCell ref="D8047:D8051"/>
    <mergeCell ref="E8047:E8051"/>
    <mergeCell ref="F8047:F8051"/>
    <mergeCell ref="G8047:G8051"/>
    <mergeCell ref="H8047:H8051"/>
    <mergeCell ref="I8047:I8051"/>
    <mergeCell ref="J8047:J8051"/>
    <mergeCell ref="K8047:K8051"/>
    <mergeCell ref="L8047:L8051"/>
    <mergeCell ref="M8047:M8051"/>
    <mergeCell ref="N8047:N8051"/>
    <mergeCell ref="A8015:A8018"/>
    <mergeCell ref="B8015:B8018"/>
    <mergeCell ref="C8015:C8018"/>
    <mergeCell ref="D8015:D8018"/>
    <mergeCell ref="E8015:E8018"/>
    <mergeCell ref="F8015:F8018"/>
    <mergeCell ref="G8015:G8018"/>
    <mergeCell ref="H8015:H8018"/>
    <mergeCell ref="I8015:I8018"/>
    <mergeCell ref="J8015:J8018"/>
    <mergeCell ref="K8015:K8018"/>
    <mergeCell ref="L8015:L8018"/>
    <mergeCell ref="M8015:M8018"/>
    <mergeCell ref="N8015:N8018"/>
    <mergeCell ref="A8021:A8022"/>
    <mergeCell ref="B8021:B8022"/>
    <mergeCell ref="C8021:C8022"/>
    <mergeCell ref="D8021:D8022"/>
    <mergeCell ref="E8021:E8022"/>
    <mergeCell ref="F8021:F8022"/>
    <mergeCell ref="G8021:G8022"/>
    <mergeCell ref="H8021:H8022"/>
    <mergeCell ref="I8021:I8022"/>
    <mergeCell ref="J8021:J8022"/>
    <mergeCell ref="K8021:K8022"/>
    <mergeCell ref="L8021:L8022"/>
    <mergeCell ref="M8021:M8022"/>
    <mergeCell ref="N8021:N8022"/>
    <mergeCell ref="A8028:A8032"/>
    <mergeCell ref="B8028:B8032"/>
    <mergeCell ref="C8028:C8032"/>
    <mergeCell ref="D8028:D8032"/>
    <mergeCell ref="E8028:E8032"/>
    <mergeCell ref="F8028:F8032"/>
    <mergeCell ref="G8028:G8032"/>
    <mergeCell ref="H8028:H8032"/>
    <mergeCell ref="I8028:I8032"/>
    <mergeCell ref="J8028:J8032"/>
    <mergeCell ref="K8028:K8032"/>
    <mergeCell ref="L8028:L8032"/>
    <mergeCell ref="M8028:M8032"/>
    <mergeCell ref="N8028:N8032"/>
    <mergeCell ref="A8003:A8007"/>
    <mergeCell ref="B8003:B8007"/>
    <mergeCell ref="C8003:C8007"/>
    <mergeCell ref="D8003:D8007"/>
    <mergeCell ref="E8003:E8007"/>
    <mergeCell ref="F8003:F8007"/>
    <mergeCell ref="G8003:G8007"/>
    <mergeCell ref="H8003:H8007"/>
    <mergeCell ref="I8003:I8007"/>
    <mergeCell ref="J8003:J8007"/>
    <mergeCell ref="K8003:K8007"/>
    <mergeCell ref="L8003:L8007"/>
    <mergeCell ref="M8003:M8007"/>
    <mergeCell ref="N8003:N8007"/>
    <mergeCell ref="A8008:A8010"/>
    <mergeCell ref="B8008:B8010"/>
    <mergeCell ref="C8008:C8010"/>
    <mergeCell ref="D8008:D8010"/>
    <mergeCell ref="E8008:E8010"/>
    <mergeCell ref="F8008:F8010"/>
    <mergeCell ref="G8008:G8010"/>
    <mergeCell ref="H8008:H8010"/>
    <mergeCell ref="I8008:I8010"/>
    <mergeCell ref="J8008:J8010"/>
    <mergeCell ref="K8008:K8010"/>
    <mergeCell ref="L8008:L8010"/>
    <mergeCell ref="M8008:M8010"/>
    <mergeCell ref="N8008:N8010"/>
    <mergeCell ref="A8011:A8014"/>
    <mergeCell ref="B8011:B8014"/>
    <mergeCell ref="C8011:C8014"/>
    <mergeCell ref="D8011:D8014"/>
    <mergeCell ref="E8011:E8014"/>
    <mergeCell ref="F8011:F8014"/>
    <mergeCell ref="G8011:G8014"/>
    <mergeCell ref="H8011:H8014"/>
    <mergeCell ref="I8011:I8014"/>
    <mergeCell ref="J8011:J8014"/>
    <mergeCell ref="K8011:K8014"/>
    <mergeCell ref="L8011:L8014"/>
    <mergeCell ref="M8011:M8014"/>
    <mergeCell ref="N8011:N8014"/>
    <mergeCell ref="A7982:A7985"/>
    <mergeCell ref="B7982:B7985"/>
    <mergeCell ref="C7982:C7985"/>
    <mergeCell ref="D7982:D7985"/>
    <mergeCell ref="E7982:E7985"/>
    <mergeCell ref="F7982:F7985"/>
    <mergeCell ref="G7982:G7985"/>
    <mergeCell ref="H7982:H7985"/>
    <mergeCell ref="I7982:I7985"/>
    <mergeCell ref="J7982:J7985"/>
    <mergeCell ref="K7982:K7985"/>
    <mergeCell ref="L7982:L7985"/>
    <mergeCell ref="M7982:M7985"/>
    <mergeCell ref="N7982:N7985"/>
    <mergeCell ref="A7986:A7992"/>
    <mergeCell ref="B7986:B7992"/>
    <mergeCell ref="C7986:C7992"/>
    <mergeCell ref="D7986:D7992"/>
    <mergeCell ref="E7986:E7992"/>
    <mergeCell ref="F7986:F7992"/>
    <mergeCell ref="G7986:G7992"/>
    <mergeCell ref="H7986:H7992"/>
    <mergeCell ref="I7986:I7992"/>
    <mergeCell ref="J7986:J7992"/>
    <mergeCell ref="K7986:K7992"/>
    <mergeCell ref="L7986:L7992"/>
    <mergeCell ref="M7986:M7992"/>
    <mergeCell ref="N7986:N7992"/>
    <mergeCell ref="A7993:A7999"/>
    <mergeCell ref="B7993:B7999"/>
    <mergeCell ref="C7993:C7999"/>
    <mergeCell ref="D7993:D7999"/>
    <mergeCell ref="E7993:E7999"/>
    <mergeCell ref="F7993:F7999"/>
    <mergeCell ref="G7993:G7999"/>
    <mergeCell ref="H7993:H7999"/>
    <mergeCell ref="I7993:I7999"/>
    <mergeCell ref="J7993:J7999"/>
    <mergeCell ref="K7993:K7999"/>
    <mergeCell ref="L7993:L7999"/>
    <mergeCell ref="M7993:M7999"/>
    <mergeCell ref="N7993:N7999"/>
    <mergeCell ref="A7961:A7967"/>
    <mergeCell ref="B7961:B7967"/>
    <mergeCell ref="C7961:C7967"/>
    <mergeCell ref="D7961:D7967"/>
    <mergeCell ref="E7961:E7967"/>
    <mergeCell ref="F7961:F7967"/>
    <mergeCell ref="G7961:G7967"/>
    <mergeCell ref="H7961:H7967"/>
    <mergeCell ref="I7961:I7967"/>
    <mergeCell ref="J7961:J7967"/>
    <mergeCell ref="K7961:K7967"/>
    <mergeCell ref="L7961:L7967"/>
    <mergeCell ref="M7961:M7967"/>
    <mergeCell ref="N7961:N7967"/>
    <mergeCell ref="A7968:A7974"/>
    <mergeCell ref="B7968:B7974"/>
    <mergeCell ref="C7968:C7974"/>
    <mergeCell ref="D7968:D7974"/>
    <mergeCell ref="E7968:E7974"/>
    <mergeCell ref="F7968:F7974"/>
    <mergeCell ref="G7968:G7974"/>
    <mergeCell ref="H7968:H7974"/>
    <mergeCell ref="I7968:I7974"/>
    <mergeCell ref="J7968:J7974"/>
    <mergeCell ref="K7968:K7974"/>
    <mergeCell ref="L7968:L7974"/>
    <mergeCell ref="M7968:M7974"/>
    <mergeCell ref="N7968:N7974"/>
    <mergeCell ref="A7975:A7981"/>
    <mergeCell ref="B7975:B7981"/>
    <mergeCell ref="C7975:C7981"/>
    <mergeCell ref="D7975:D7981"/>
    <mergeCell ref="E7975:E7981"/>
    <mergeCell ref="F7975:F7981"/>
    <mergeCell ref="G7975:G7981"/>
    <mergeCell ref="H7975:H7981"/>
    <mergeCell ref="I7975:I7981"/>
    <mergeCell ref="J7975:J7981"/>
    <mergeCell ref="K7975:K7981"/>
    <mergeCell ref="L7975:L7981"/>
    <mergeCell ref="M7975:M7981"/>
    <mergeCell ref="N7975:N7981"/>
    <mergeCell ref="A7944:A7947"/>
    <mergeCell ref="B7944:B7947"/>
    <mergeCell ref="C7944:C7947"/>
    <mergeCell ref="D7944:D7947"/>
    <mergeCell ref="E7944:E7947"/>
    <mergeCell ref="F7944:F7947"/>
    <mergeCell ref="G7944:G7947"/>
    <mergeCell ref="H7944:H7947"/>
    <mergeCell ref="I7944:I7947"/>
    <mergeCell ref="J7944:J7947"/>
    <mergeCell ref="K7944:K7947"/>
    <mergeCell ref="L7944:L7947"/>
    <mergeCell ref="M7944:M7947"/>
    <mergeCell ref="N7944:N7947"/>
    <mergeCell ref="A7948:A7953"/>
    <mergeCell ref="B7948:B7953"/>
    <mergeCell ref="C7948:C7953"/>
    <mergeCell ref="D7948:D7953"/>
    <mergeCell ref="E7948:E7953"/>
    <mergeCell ref="F7948:F7953"/>
    <mergeCell ref="G7948:G7953"/>
    <mergeCell ref="H7948:H7953"/>
    <mergeCell ref="I7948:I7953"/>
    <mergeCell ref="J7948:J7953"/>
    <mergeCell ref="K7948:K7953"/>
    <mergeCell ref="L7948:L7953"/>
    <mergeCell ref="M7948:M7953"/>
    <mergeCell ref="N7948:N7953"/>
    <mergeCell ref="A7955:A7960"/>
    <mergeCell ref="B7955:B7960"/>
    <mergeCell ref="C7955:C7960"/>
    <mergeCell ref="D7955:D7960"/>
    <mergeCell ref="E7955:E7960"/>
    <mergeCell ref="F7955:F7960"/>
    <mergeCell ref="G7955:G7960"/>
    <mergeCell ref="H7955:H7960"/>
    <mergeCell ref="I7955:I7960"/>
    <mergeCell ref="J7955:J7960"/>
    <mergeCell ref="K7955:K7960"/>
    <mergeCell ref="L7955:L7960"/>
    <mergeCell ref="M7955:M7960"/>
    <mergeCell ref="N7955:N7960"/>
    <mergeCell ref="A7932:A7934"/>
    <mergeCell ref="B7932:B7934"/>
    <mergeCell ref="C7932:C7934"/>
    <mergeCell ref="D7932:D7934"/>
    <mergeCell ref="E7932:E7934"/>
    <mergeCell ref="F7932:F7934"/>
    <mergeCell ref="G7932:G7934"/>
    <mergeCell ref="H7932:H7934"/>
    <mergeCell ref="I7932:I7934"/>
    <mergeCell ref="J7932:J7934"/>
    <mergeCell ref="K7932:K7934"/>
    <mergeCell ref="L7932:L7934"/>
    <mergeCell ref="M7932:M7934"/>
    <mergeCell ref="N7932:N7934"/>
    <mergeCell ref="A7935:A7937"/>
    <mergeCell ref="B7935:B7937"/>
    <mergeCell ref="C7935:C7937"/>
    <mergeCell ref="D7935:D7937"/>
    <mergeCell ref="E7935:E7937"/>
    <mergeCell ref="F7935:F7937"/>
    <mergeCell ref="G7935:G7937"/>
    <mergeCell ref="H7935:H7937"/>
    <mergeCell ref="I7935:I7937"/>
    <mergeCell ref="J7935:J7937"/>
    <mergeCell ref="K7935:K7937"/>
    <mergeCell ref="L7935:L7937"/>
    <mergeCell ref="M7935:M7937"/>
    <mergeCell ref="N7935:N7937"/>
    <mergeCell ref="A7941:A7943"/>
    <mergeCell ref="B7941:B7943"/>
    <mergeCell ref="C7941:C7943"/>
    <mergeCell ref="D7941:D7943"/>
    <mergeCell ref="E7941:E7943"/>
    <mergeCell ref="F7941:F7943"/>
    <mergeCell ref="G7941:G7943"/>
    <mergeCell ref="H7941:H7943"/>
    <mergeCell ref="I7941:I7943"/>
    <mergeCell ref="J7941:J7943"/>
    <mergeCell ref="K7941:K7943"/>
    <mergeCell ref="L7941:L7943"/>
    <mergeCell ref="M7941:M7943"/>
    <mergeCell ref="N7941:N7943"/>
    <mergeCell ref="A7918:A7921"/>
    <mergeCell ref="B7918:B7921"/>
    <mergeCell ref="C7918:C7921"/>
    <mergeCell ref="D7918:D7921"/>
    <mergeCell ref="E7918:E7921"/>
    <mergeCell ref="F7918:F7921"/>
    <mergeCell ref="G7918:G7921"/>
    <mergeCell ref="H7918:H7921"/>
    <mergeCell ref="I7918:I7921"/>
    <mergeCell ref="J7918:J7921"/>
    <mergeCell ref="K7918:K7921"/>
    <mergeCell ref="L7918:L7921"/>
    <mergeCell ref="M7918:M7921"/>
    <mergeCell ref="N7918:N7921"/>
    <mergeCell ref="A7925:A7928"/>
    <mergeCell ref="B7925:B7928"/>
    <mergeCell ref="C7925:C7928"/>
    <mergeCell ref="D7925:D7928"/>
    <mergeCell ref="E7925:E7928"/>
    <mergeCell ref="F7925:F7928"/>
    <mergeCell ref="G7925:G7928"/>
    <mergeCell ref="H7925:H7928"/>
    <mergeCell ref="I7925:I7928"/>
    <mergeCell ref="J7925:J7928"/>
    <mergeCell ref="K7925:K7928"/>
    <mergeCell ref="L7925:L7928"/>
    <mergeCell ref="M7925:M7928"/>
    <mergeCell ref="N7925:N7928"/>
    <mergeCell ref="A7929:A7930"/>
    <mergeCell ref="B7929:B7930"/>
    <mergeCell ref="C7929:C7930"/>
    <mergeCell ref="D7929:D7930"/>
    <mergeCell ref="E7929:E7930"/>
    <mergeCell ref="F7929:F7930"/>
    <mergeCell ref="G7929:G7930"/>
    <mergeCell ref="H7929:H7930"/>
    <mergeCell ref="I7929:I7930"/>
    <mergeCell ref="J7929:J7930"/>
    <mergeCell ref="K7929:K7930"/>
    <mergeCell ref="L7929:L7930"/>
    <mergeCell ref="M7929:M7930"/>
    <mergeCell ref="N7929:N7930"/>
    <mergeCell ref="A7904:A7906"/>
    <mergeCell ref="B7904:B7906"/>
    <mergeCell ref="C7904:C7906"/>
    <mergeCell ref="D7904:D7906"/>
    <mergeCell ref="E7904:E7906"/>
    <mergeCell ref="F7904:F7906"/>
    <mergeCell ref="G7904:G7906"/>
    <mergeCell ref="H7904:H7906"/>
    <mergeCell ref="I7904:I7906"/>
    <mergeCell ref="J7904:J7906"/>
    <mergeCell ref="K7904:K7906"/>
    <mergeCell ref="L7904:L7906"/>
    <mergeCell ref="M7904:M7906"/>
    <mergeCell ref="N7904:N7906"/>
    <mergeCell ref="A7907:A7909"/>
    <mergeCell ref="B7907:B7909"/>
    <mergeCell ref="C7907:C7909"/>
    <mergeCell ref="D7907:D7909"/>
    <mergeCell ref="E7907:E7909"/>
    <mergeCell ref="F7907:F7909"/>
    <mergeCell ref="G7907:G7909"/>
    <mergeCell ref="H7907:H7909"/>
    <mergeCell ref="I7907:I7909"/>
    <mergeCell ref="J7907:J7909"/>
    <mergeCell ref="K7907:K7909"/>
    <mergeCell ref="L7907:L7909"/>
    <mergeCell ref="M7907:M7909"/>
    <mergeCell ref="N7907:N7909"/>
    <mergeCell ref="A7911:A7914"/>
    <mergeCell ref="B7911:B7914"/>
    <mergeCell ref="C7911:C7914"/>
    <mergeCell ref="D7911:D7914"/>
    <mergeCell ref="E7911:E7914"/>
    <mergeCell ref="F7911:F7914"/>
    <mergeCell ref="G7911:G7914"/>
    <mergeCell ref="H7911:H7914"/>
    <mergeCell ref="I7911:I7914"/>
    <mergeCell ref="J7911:J7914"/>
    <mergeCell ref="K7911:K7914"/>
    <mergeCell ref="L7911:L7914"/>
    <mergeCell ref="M7911:M7914"/>
    <mergeCell ref="N7911:N7914"/>
    <mergeCell ref="A7886:A7889"/>
    <mergeCell ref="B7886:B7889"/>
    <mergeCell ref="C7886:C7889"/>
    <mergeCell ref="D7886:D7889"/>
    <mergeCell ref="E7886:E7889"/>
    <mergeCell ref="F7886:F7889"/>
    <mergeCell ref="G7886:G7889"/>
    <mergeCell ref="H7886:H7889"/>
    <mergeCell ref="I7886:I7889"/>
    <mergeCell ref="J7886:J7889"/>
    <mergeCell ref="K7886:K7889"/>
    <mergeCell ref="L7886:L7889"/>
    <mergeCell ref="M7886:M7889"/>
    <mergeCell ref="N7886:N7889"/>
    <mergeCell ref="A7890:A7895"/>
    <mergeCell ref="B7890:B7895"/>
    <mergeCell ref="C7890:C7895"/>
    <mergeCell ref="D7890:D7895"/>
    <mergeCell ref="E7890:E7895"/>
    <mergeCell ref="F7890:F7895"/>
    <mergeCell ref="G7890:G7895"/>
    <mergeCell ref="H7890:H7895"/>
    <mergeCell ref="I7890:I7895"/>
    <mergeCell ref="J7890:J7895"/>
    <mergeCell ref="K7890:K7895"/>
    <mergeCell ref="L7890:L7895"/>
    <mergeCell ref="M7890:M7895"/>
    <mergeCell ref="N7890:N7895"/>
    <mergeCell ref="A7899:A7903"/>
    <mergeCell ref="B7899:B7903"/>
    <mergeCell ref="C7899:C7903"/>
    <mergeCell ref="D7899:D7903"/>
    <mergeCell ref="E7899:E7903"/>
    <mergeCell ref="F7899:F7903"/>
    <mergeCell ref="G7899:G7903"/>
    <mergeCell ref="H7899:H7903"/>
    <mergeCell ref="I7899:I7903"/>
    <mergeCell ref="J7899:J7903"/>
    <mergeCell ref="K7899:K7903"/>
    <mergeCell ref="L7899:L7903"/>
    <mergeCell ref="M7899:M7903"/>
    <mergeCell ref="N7899:N7903"/>
    <mergeCell ref="A7869:A7871"/>
    <mergeCell ref="B7869:B7871"/>
    <mergeCell ref="C7869:C7871"/>
    <mergeCell ref="D7869:D7871"/>
    <mergeCell ref="E7869:E7871"/>
    <mergeCell ref="F7869:F7871"/>
    <mergeCell ref="G7869:G7871"/>
    <mergeCell ref="H7869:H7871"/>
    <mergeCell ref="I7869:I7871"/>
    <mergeCell ref="J7869:J7871"/>
    <mergeCell ref="K7869:K7871"/>
    <mergeCell ref="L7869:L7871"/>
    <mergeCell ref="M7869:M7871"/>
    <mergeCell ref="N7869:N7871"/>
    <mergeCell ref="A7874:A7876"/>
    <mergeCell ref="B7874:B7876"/>
    <mergeCell ref="C7874:C7876"/>
    <mergeCell ref="D7874:D7876"/>
    <mergeCell ref="E7874:E7876"/>
    <mergeCell ref="F7874:F7876"/>
    <mergeCell ref="G7874:G7876"/>
    <mergeCell ref="H7874:H7876"/>
    <mergeCell ref="I7874:I7876"/>
    <mergeCell ref="J7874:J7876"/>
    <mergeCell ref="K7874:K7876"/>
    <mergeCell ref="L7874:L7876"/>
    <mergeCell ref="M7874:M7876"/>
    <mergeCell ref="N7874:N7876"/>
    <mergeCell ref="A7882:A7885"/>
    <mergeCell ref="B7882:B7885"/>
    <mergeCell ref="C7882:C7885"/>
    <mergeCell ref="D7882:D7885"/>
    <mergeCell ref="E7882:E7885"/>
    <mergeCell ref="F7882:F7885"/>
    <mergeCell ref="G7882:G7885"/>
    <mergeCell ref="H7882:H7885"/>
    <mergeCell ref="I7882:I7885"/>
    <mergeCell ref="J7882:J7885"/>
    <mergeCell ref="K7882:K7885"/>
    <mergeCell ref="L7882:L7885"/>
    <mergeCell ref="M7882:M7885"/>
    <mergeCell ref="N7882:N7885"/>
    <mergeCell ref="A7840:A7841"/>
    <mergeCell ref="B7840:B7841"/>
    <mergeCell ref="C7840:C7841"/>
    <mergeCell ref="D7840:D7841"/>
    <mergeCell ref="E7840:E7841"/>
    <mergeCell ref="F7840:F7841"/>
    <mergeCell ref="G7840:G7841"/>
    <mergeCell ref="H7840:H7841"/>
    <mergeCell ref="I7840:I7841"/>
    <mergeCell ref="J7840:J7841"/>
    <mergeCell ref="K7840:K7841"/>
    <mergeCell ref="L7840:L7841"/>
    <mergeCell ref="M7840:M7841"/>
    <mergeCell ref="N7840:N7841"/>
    <mergeCell ref="A7844:A7846"/>
    <mergeCell ref="B7844:B7846"/>
    <mergeCell ref="C7844:C7846"/>
    <mergeCell ref="D7844:D7846"/>
    <mergeCell ref="E7844:E7846"/>
    <mergeCell ref="F7844:F7846"/>
    <mergeCell ref="G7844:G7846"/>
    <mergeCell ref="H7844:H7846"/>
    <mergeCell ref="I7844:I7846"/>
    <mergeCell ref="J7844:J7846"/>
    <mergeCell ref="K7844:K7846"/>
    <mergeCell ref="L7844:L7846"/>
    <mergeCell ref="M7844:M7846"/>
    <mergeCell ref="N7844:N7846"/>
    <mergeCell ref="A7851:A7868"/>
    <mergeCell ref="B7851:B7868"/>
    <mergeCell ref="C7851:C7868"/>
    <mergeCell ref="D7851:D7868"/>
    <mergeCell ref="E7851:E7868"/>
    <mergeCell ref="F7851:F7868"/>
    <mergeCell ref="G7851:G7868"/>
    <mergeCell ref="H7851:H7868"/>
    <mergeCell ref="I7851:I7868"/>
    <mergeCell ref="J7851:J7868"/>
    <mergeCell ref="K7851:K7868"/>
    <mergeCell ref="L7851:L7868"/>
    <mergeCell ref="M7851:M7868"/>
    <mergeCell ref="N7851:N7868"/>
    <mergeCell ref="A7832:A7833"/>
    <mergeCell ref="B7832:B7833"/>
    <mergeCell ref="C7832:C7833"/>
    <mergeCell ref="D7832:D7833"/>
    <mergeCell ref="E7832:E7833"/>
    <mergeCell ref="F7832:F7833"/>
    <mergeCell ref="G7832:G7833"/>
    <mergeCell ref="H7832:H7833"/>
    <mergeCell ref="I7832:I7833"/>
    <mergeCell ref="J7832:J7833"/>
    <mergeCell ref="K7832:K7833"/>
    <mergeCell ref="L7832:L7833"/>
    <mergeCell ref="M7832:M7833"/>
    <mergeCell ref="N7832:N7833"/>
    <mergeCell ref="A7834:A7837"/>
    <mergeCell ref="B7834:B7837"/>
    <mergeCell ref="C7834:C7837"/>
    <mergeCell ref="D7834:D7837"/>
    <mergeCell ref="E7834:E7837"/>
    <mergeCell ref="F7834:F7837"/>
    <mergeCell ref="G7834:G7837"/>
    <mergeCell ref="H7834:H7837"/>
    <mergeCell ref="I7834:I7837"/>
    <mergeCell ref="J7834:J7837"/>
    <mergeCell ref="K7834:K7837"/>
    <mergeCell ref="L7834:L7837"/>
    <mergeCell ref="M7834:M7837"/>
    <mergeCell ref="N7834:N7837"/>
    <mergeCell ref="A7838:A7839"/>
    <mergeCell ref="B7838:B7839"/>
    <mergeCell ref="C7838:C7839"/>
    <mergeCell ref="D7838:D7839"/>
    <mergeCell ref="E7838:E7839"/>
    <mergeCell ref="F7838:F7839"/>
    <mergeCell ref="G7838:G7839"/>
    <mergeCell ref="H7838:H7839"/>
    <mergeCell ref="I7838:I7839"/>
    <mergeCell ref="J7838:J7839"/>
    <mergeCell ref="K7838:K7839"/>
    <mergeCell ref="L7838:L7839"/>
    <mergeCell ref="M7838:M7839"/>
    <mergeCell ref="N7838:N7839"/>
    <mergeCell ref="A7815:A7817"/>
    <mergeCell ref="B7815:B7817"/>
    <mergeCell ref="C7815:C7817"/>
    <mergeCell ref="D7815:D7817"/>
    <mergeCell ref="E7815:E7817"/>
    <mergeCell ref="F7815:F7817"/>
    <mergeCell ref="G7815:G7817"/>
    <mergeCell ref="H7815:H7817"/>
    <mergeCell ref="I7815:I7817"/>
    <mergeCell ref="J7815:J7817"/>
    <mergeCell ref="K7815:K7817"/>
    <mergeCell ref="L7815:L7817"/>
    <mergeCell ref="M7815:M7817"/>
    <mergeCell ref="N7815:N7817"/>
    <mergeCell ref="A7823:A7824"/>
    <mergeCell ref="B7823:B7824"/>
    <mergeCell ref="C7823:C7824"/>
    <mergeCell ref="D7823:D7824"/>
    <mergeCell ref="E7823:E7824"/>
    <mergeCell ref="F7823:F7824"/>
    <mergeCell ref="G7823:G7824"/>
    <mergeCell ref="H7823:H7824"/>
    <mergeCell ref="I7823:I7824"/>
    <mergeCell ref="J7823:J7824"/>
    <mergeCell ref="K7823:K7824"/>
    <mergeCell ref="L7823:L7824"/>
    <mergeCell ref="M7823:M7824"/>
    <mergeCell ref="N7823:N7824"/>
    <mergeCell ref="A7825:A7828"/>
    <mergeCell ref="B7825:B7828"/>
    <mergeCell ref="C7825:C7828"/>
    <mergeCell ref="D7825:D7828"/>
    <mergeCell ref="E7825:E7828"/>
    <mergeCell ref="F7825:F7828"/>
    <mergeCell ref="G7825:G7828"/>
    <mergeCell ref="H7825:H7828"/>
    <mergeCell ref="I7825:I7828"/>
    <mergeCell ref="J7825:J7828"/>
    <mergeCell ref="K7825:K7828"/>
    <mergeCell ref="L7825:L7828"/>
    <mergeCell ref="M7825:M7828"/>
    <mergeCell ref="N7825:N7828"/>
    <mergeCell ref="A7802:A7803"/>
    <mergeCell ref="B7802:B7803"/>
    <mergeCell ref="C7802:C7803"/>
    <mergeCell ref="D7802:D7803"/>
    <mergeCell ref="E7802:E7803"/>
    <mergeCell ref="F7802:F7803"/>
    <mergeCell ref="G7802:G7803"/>
    <mergeCell ref="H7802:H7803"/>
    <mergeCell ref="I7802:I7803"/>
    <mergeCell ref="J7802:J7803"/>
    <mergeCell ref="K7802:K7803"/>
    <mergeCell ref="L7802:L7803"/>
    <mergeCell ref="M7802:M7803"/>
    <mergeCell ref="N7802:N7803"/>
    <mergeCell ref="A7809:A7811"/>
    <mergeCell ref="B7809:B7811"/>
    <mergeCell ref="C7809:C7811"/>
    <mergeCell ref="D7809:D7811"/>
    <mergeCell ref="E7809:E7811"/>
    <mergeCell ref="F7809:F7811"/>
    <mergeCell ref="G7809:G7811"/>
    <mergeCell ref="H7809:H7811"/>
    <mergeCell ref="I7809:I7811"/>
    <mergeCell ref="J7809:J7811"/>
    <mergeCell ref="K7809:K7811"/>
    <mergeCell ref="L7809:L7811"/>
    <mergeCell ref="M7809:M7811"/>
    <mergeCell ref="N7809:N7811"/>
    <mergeCell ref="A7812:A7814"/>
    <mergeCell ref="B7812:B7814"/>
    <mergeCell ref="C7812:C7814"/>
    <mergeCell ref="D7812:D7814"/>
    <mergeCell ref="E7812:E7814"/>
    <mergeCell ref="F7812:F7814"/>
    <mergeCell ref="G7812:G7814"/>
    <mergeCell ref="H7812:H7814"/>
    <mergeCell ref="I7812:I7814"/>
    <mergeCell ref="J7812:J7814"/>
    <mergeCell ref="K7812:K7814"/>
    <mergeCell ref="L7812:L7814"/>
    <mergeCell ref="M7812:M7814"/>
    <mergeCell ref="N7812:N7814"/>
    <mergeCell ref="A7790:A7791"/>
    <mergeCell ref="B7790:B7791"/>
    <mergeCell ref="C7790:C7791"/>
    <mergeCell ref="D7790:D7791"/>
    <mergeCell ref="E7790:E7791"/>
    <mergeCell ref="F7790:F7791"/>
    <mergeCell ref="G7790:G7791"/>
    <mergeCell ref="H7790:H7791"/>
    <mergeCell ref="I7790:I7791"/>
    <mergeCell ref="J7790:J7791"/>
    <mergeCell ref="K7790:K7791"/>
    <mergeCell ref="L7790:L7791"/>
    <mergeCell ref="M7790:M7791"/>
    <mergeCell ref="N7790:N7791"/>
    <mergeCell ref="A7794:A7796"/>
    <mergeCell ref="B7794:B7796"/>
    <mergeCell ref="C7794:C7796"/>
    <mergeCell ref="D7794:D7796"/>
    <mergeCell ref="E7794:E7796"/>
    <mergeCell ref="F7794:F7796"/>
    <mergeCell ref="G7794:G7796"/>
    <mergeCell ref="H7794:H7796"/>
    <mergeCell ref="I7794:I7796"/>
    <mergeCell ref="J7794:J7796"/>
    <mergeCell ref="K7794:K7796"/>
    <mergeCell ref="L7794:L7796"/>
    <mergeCell ref="M7794:M7796"/>
    <mergeCell ref="N7794:N7796"/>
    <mergeCell ref="A7799:A7800"/>
    <mergeCell ref="B7799:B7800"/>
    <mergeCell ref="C7799:C7800"/>
    <mergeCell ref="D7799:D7800"/>
    <mergeCell ref="E7799:E7800"/>
    <mergeCell ref="F7799:F7800"/>
    <mergeCell ref="G7799:G7800"/>
    <mergeCell ref="H7799:H7800"/>
    <mergeCell ref="I7799:I7800"/>
    <mergeCell ref="J7799:J7800"/>
    <mergeCell ref="K7799:K7800"/>
    <mergeCell ref="L7799:L7800"/>
    <mergeCell ref="M7799:M7800"/>
    <mergeCell ref="N7799:N7800"/>
    <mergeCell ref="A7779:A7780"/>
    <mergeCell ref="B7779:B7780"/>
    <mergeCell ref="C7779:C7780"/>
    <mergeCell ref="D7779:D7780"/>
    <mergeCell ref="E7779:E7780"/>
    <mergeCell ref="F7779:F7780"/>
    <mergeCell ref="G7779:G7780"/>
    <mergeCell ref="H7779:H7780"/>
    <mergeCell ref="I7779:I7780"/>
    <mergeCell ref="J7779:J7780"/>
    <mergeCell ref="K7779:K7780"/>
    <mergeCell ref="L7779:L7780"/>
    <mergeCell ref="M7779:M7780"/>
    <mergeCell ref="N7779:N7780"/>
    <mergeCell ref="A7782:A7783"/>
    <mergeCell ref="B7782:B7783"/>
    <mergeCell ref="C7782:C7783"/>
    <mergeCell ref="D7782:D7783"/>
    <mergeCell ref="E7782:E7783"/>
    <mergeCell ref="F7782:F7783"/>
    <mergeCell ref="G7782:G7783"/>
    <mergeCell ref="H7782:H7783"/>
    <mergeCell ref="I7782:I7783"/>
    <mergeCell ref="J7782:J7783"/>
    <mergeCell ref="K7782:K7783"/>
    <mergeCell ref="L7782:L7783"/>
    <mergeCell ref="M7782:M7783"/>
    <mergeCell ref="N7782:N7783"/>
    <mergeCell ref="A7785:A7787"/>
    <mergeCell ref="B7785:B7787"/>
    <mergeCell ref="C7785:C7787"/>
    <mergeCell ref="D7785:D7787"/>
    <mergeCell ref="E7785:E7787"/>
    <mergeCell ref="F7785:F7787"/>
    <mergeCell ref="G7785:G7787"/>
    <mergeCell ref="H7785:H7787"/>
    <mergeCell ref="I7785:I7787"/>
    <mergeCell ref="J7785:J7787"/>
    <mergeCell ref="K7785:K7787"/>
    <mergeCell ref="L7785:L7787"/>
    <mergeCell ref="M7785:M7787"/>
    <mergeCell ref="N7785:N7787"/>
    <mergeCell ref="A7772:A7773"/>
    <mergeCell ref="B7772:B7773"/>
    <mergeCell ref="C7772:C7773"/>
    <mergeCell ref="D7772:D7773"/>
    <mergeCell ref="E7772:E7773"/>
    <mergeCell ref="F7772:F7773"/>
    <mergeCell ref="G7772:G7773"/>
    <mergeCell ref="H7772:H7773"/>
    <mergeCell ref="I7772:I7773"/>
    <mergeCell ref="J7772:J7773"/>
    <mergeCell ref="K7772:K7773"/>
    <mergeCell ref="L7772:L7773"/>
    <mergeCell ref="M7772:M7773"/>
    <mergeCell ref="N7772:N7773"/>
    <mergeCell ref="A7774:A7775"/>
    <mergeCell ref="B7774:B7775"/>
    <mergeCell ref="C7774:C7775"/>
    <mergeCell ref="D7774:D7775"/>
    <mergeCell ref="E7774:E7775"/>
    <mergeCell ref="F7774:F7775"/>
    <mergeCell ref="G7774:G7775"/>
    <mergeCell ref="H7774:H7775"/>
    <mergeCell ref="I7774:I7775"/>
    <mergeCell ref="J7774:J7775"/>
    <mergeCell ref="K7774:K7775"/>
    <mergeCell ref="L7774:L7775"/>
    <mergeCell ref="M7774:M7775"/>
    <mergeCell ref="N7774:N7775"/>
    <mergeCell ref="A7777:A7778"/>
    <mergeCell ref="B7777:B7778"/>
    <mergeCell ref="C7777:C7778"/>
    <mergeCell ref="D7777:D7778"/>
    <mergeCell ref="E7777:E7778"/>
    <mergeCell ref="F7777:F7778"/>
    <mergeCell ref="G7777:G7778"/>
    <mergeCell ref="H7777:H7778"/>
    <mergeCell ref="I7777:I7778"/>
    <mergeCell ref="J7777:J7778"/>
    <mergeCell ref="K7777:K7778"/>
    <mergeCell ref="L7777:L7778"/>
    <mergeCell ref="M7777:M7778"/>
    <mergeCell ref="N7777:N7778"/>
    <mergeCell ref="A7764:A7765"/>
    <mergeCell ref="B7764:B7765"/>
    <mergeCell ref="C7764:C7765"/>
    <mergeCell ref="D7764:D7765"/>
    <mergeCell ref="E7764:E7765"/>
    <mergeCell ref="F7764:F7765"/>
    <mergeCell ref="G7764:G7765"/>
    <mergeCell ref="H7764:H7765"/>
    <mergeCell ref="I7764:I7765"/>
    <mergeCell ref="J7764:J7765"/>
    <mergeCell ref="K7764:K7765"/>
    <mergeCell ref="L7764:L7765"/>
    <mergeCell ref="M7764:M7765"/>
    <mergeCell ref="N7764:N7765"/>
    <mergeCell ref="A7766:A7768"/>
    <mergeCell ref="B7766:B7768"/>
    <mergeCell ref="C7766:C7768"/>
    <mergeCell ref="D7766:D7768"/>
    <mergeCell ref="E7766:E7768"/>
    <mergeCell ref="F7766:F7768"/>
    <mergeCell ref="G7766:G7768"/>
    <mergeCell ref="H7766:H7768"/>
    <mergeCell ref="I7766:I7768"/>
    <mergeCell ref="J7766:J7768"/>
    <mergeCell ref="K7766:K7768"/>
    <mergeCell ref="L7766:L7768"/>
    <mergeCell ref="M7766:M7768"/>
    <mergeCell ref="N7766:N7768"/>
    <mergeCell ref="A7770:A7771"/>
    <mergeCell ref="B7770:B7771"/>
    <mergeCell ref="C7770:C7771"/>
    <mergeCell ref="D7770:D7771"/>
    <mergeCell ref="E7770:E7771"/>
    <mergeCell ref="F7770:F7771"/>
    <mergeCell ref="G7770:G7771"/>
    <mergeCell ref="H7770:H7771"/>
    <mergeCell ref="I7770:I7771"/>
    <mergeCell ref="J7770:J7771"/>
    <mergeCell ref="K7770:K7771"/>
    <mergeCell ref="L7770:L7771"/>
    <mergeCell ref="M7770:M7771"/>
    <mergeCell ref="N7770:N7771"/>
    <mergeCell ref="A7752:A7753"/>
    <mergeCell ref="B7752:B7753"/>
    <mergeCell ref="C7752:C7753"/>
    <mergeCell ref="D7752:D7753"/>
    <mergeCell ref="E7752:E7753"/>
    <mergeCell ref="F7752:F7753"/>
    <mergeCell ref="G7752:G7753"/>
    <mergeCell ref="H7752:H7753"/>
    <mergeCell ref="I7752:I7753"/>
    <mergeCell ref="J7752:J7753"/>
    <mergeCell ref="K7752:K7753"/>
    <mergeCell ref="L7752:L7753"/>
    <mergeCell ref="M7752:M7753"/>
    <mergeCell ref="N7752:N7753"/>
    <mergeCell ref="A7756:A7759"/>
    <mergeCell ref="B7756:B7759"/>
    <mergeCell ref="C7756:C7759"/>
    <mergeCell ref="D7756:D7759"/>
    <mergeCell ref="E7756:E7759"/>
    <mergeCell ref="F7756:F7759"/>
    <mergeCell ref="G7756:G7759"/>
    <mergeCell ref="H7756:H7759"/>
    <mergeCell ref="I7756:I7759"/>
    <mergeCell ref="J7756:J7759"/>
    <mergeCell ref="K7756:K7759"/>
    <mergeCell ref="L7756:L7759"/>
    <mergeCell ref="M7756:M7759"/>
    <mergeCell ref="N7756:N7759"/>
    <mergeCell ref="A7760:A7761"/>
    <mergeCell ref="B7760:B7761"/>
    <mergeCell ref="C7760:C7761"/>
    <mergeCell ref="D7760:D7761"/>
    <mergeCell ref="E7760:E7761"/>
    <mergeCell ref="F7760:F7761"/>
    <mergeCell ref="G7760:G7761"/>
    <mergeCell ref="H7760:H7761"/>
    <mergeCell ref="I7760:I7761"/>
    <mergeCell ref="J7760:J7761"/>
    <mergeCell ref="K7760:K7761"/>
    <mergeCell ref="L7760:L7761"/>
    <mergeCell ref="M7760:M7761"/>
    <mergeCell ref="N7760:N7761"/>
    <mergeCell ref="A7743:A7744"/>
    <mergeCell ref="B7743:B7744"/>
    <mergeCell ref="C7743:C7744"/>
    <mergeCell ref="D7743:D7744"/>
    <mergeCell ref="E7743:E7744"/>
    <mergeCell ref="F7743:F7744"/>
    <mergeCell ref="G7743:G7744"/>
    <mergeCell ref="H7743:H7744"/>
    <mergeCell ref="I7743:I7744"/>
    <mergeCell ref="J7743:J7744"/>
    <mergeCell ref="K7743:K7744"/>
    <mergeCell ref="L7743:L7744"/>
    <mergeCell ref="M7743:M7744"/>
    <mergeCell ref="N7743:N7744"/>
    <mergeCell ref="A7745:A7746"/>
    <mergeCell ref="B7745:B7746"/>
    <mergeCell ref="C7745:C7746"/>
    <mergeCell ref="D7745:D7746"/>
    <mergeCell ref="E7745:E7746"/>
    <mergeCell ref="F7745:F7746"/>
    <mergeCell ref="G7745:G7746"/>
    <mergeCell ref="H7745:H7746"/>
    <mergeCell ref="I7745:I7746"/>
    <mergeCell ref="J7745:J7746"/>
    <mergeCell ref="K7745:K7746"/>
    <mergeCell ref="L7745:L7746"/>
    <mergeCell ref="M7745:M7746"/>
    <mergeCell ref="N7745:N7746"/>
    <mergeCell ref="A7747:A7750"/>
    <mergeCell ref="B7747:B7750"/>
    <mergeCell ref="C7747:C7750"/>
    <mergeCell ref="D7747:D7750"/>
    <mergeCell ref="E7747:E7750"/>
    <mergeCell ref="F7747:F7750"/>
    <mergeCell ref="G7747:G7750"/>
    <mergeCell ref="H7747:H7750"/>
    <mergeCell ref="I7747:I7750"/>
    <mergeCell ref="J7747:J7750"/>
    <mergeCell ref="K7747:K7750"/>
    <mergeCell ref="L7747:L7750"/>
    <mergeCell ref="M7747:M7750"/>
    <mergeCell ref="N7747:N7750"/>
    <mergeCell ref="A7730:A7731"/>
    <mergeCell ref="B7730:B7731"/>
    <mergeCell ref="C7730:C7731"/>
    <mergeCell ref="D7730:D7731"/>
    <mergeCell ref="E7730:E7731"/>
    <mergeCell ref="F7730:F7731"/>
    <mergeCell ref="G7730:G7731"/>
    <mergeCell ref="H7730:H7731"/>
    <mergeCell ref="I7730:I7731"/>
    <mergeCell ref="J7730:J7731"/>
    <mergeCell ref="K7730:K7731"/>
    <mergeCell ref="L7730:L7731"/>
    <mergeCell ref="M7730:M7731"/>
    <mergeCell ref="N7730:N7731"/>
    <mergeCell ref="A7732:A7733"/>
    <mergeCell ref="B7732:B7733"/>
    <mergeCell ref="C7732:C7733"/>
    <mergeCell ref="D7732:D7733"/>
    <mergeCell ref="E7732:E7733"/>
    <mergeCell ref="F7732:F7733"/>
    <mergeCell ref="G7732:G7733"/>
    <mergeCell ref="H7732:H7733"/>
    <mergeCell ref="I7732:I7733"/>
    <mergeCell ref="J7732:J7733"/>
    <mergeCell ref="K7732:K7733"/>
    <mergeCell ref="L7732:L7733"/>
    <mergeCell ref="M7732:M7733"/>
    <mergeCell ref="N7732:N7733"/>
    <mergeCell ref="A7734:A7736"/>
    <mergeCell ref="B7734:B7736"/>
    <mergeCell ref="C7734:C7736"/>
    <mergeCell ref="D7734:D7736"/>
    <mergeCell ref="E7734:E7736"/>
    <mergeCell ref="F7734:F7736"/>
    <mergeCell ref="G7734:G7736"/>
    <mergeCell ref="H7734:H7736"/>
    <mergeCell ref="I7734:I7736"/>
    <mergeCell ref="J7734:J7736"/>
    <mergeCell ref="K7734:K7736"/>
    <mergeCell ref="L7734:L7736"/>
    <mergeCell ref="M7734:M7736"/>
    <mergeCell ref="N7734:N7736"/>
    <mergeCell ref="A7722:A7723"/>
    <mergeCell ref="B7722:B7723"/>
    <mergeCell ref="C7722:C7723"/>
    <mergeCell ref="D7722:D7723"/>
    <mergeCell ref="E7722:E7723"/>
    <mergeCell ref="F7722:F7723"/>
    <mergeCell ref="G7722:G7723"/>
    <mergeCell ref="H7722:H7723"/>
    <mergeCell ref="I7722:I7723"/>
    <mergeCell ref="J7722:J7723"/>
    <mergeCell ref="K7722:K7723"/>
    <mergeCell ref="L7722:L7723"/>
    <mergeCell ref="M7722:M7723"/>
    <mergeCell ref="N7722:N7723"/>
    <mergeCell ref="A7725:A7726"/>
    <mergeCell ref="B7725:B7726"/>
    <mergeCell ref="C7725:C7726"/>
    <mergeCell ref="D7725:D7726"/>
    <mergeCell ref="E7725:E7726"/>
    <mergeCell ref="F7725:F7726"/>
    <mergeCell ref="G7725:G7726"/>
    <mergeCell ref="H7725:H7726"/>
    <mergeCell ref="I7725:I7726"/>
    <mergeCell ref="J7725:J7726"/>
    <mergeCell ref="K7725:K7726"/>
    <mergeCell ref="L7725:L7726"/>
    <mergeCell ref="M7725:M7726"/>
    <mergeCell ref="N7725:N7726"/>
    <mergeCell ref="A7728:A7729"/>
    <mergeCell ref="B7728:B7729"/>
    <mergeCell ref="C7728:C7729"/>
    <mergeCell ref="D7728:D7729"/>
    <mergeCell ref="E7728:E7729"/>
    <mergeCell ref="F7728:F7729"/>
    <mergeCell ref="G7728:G7729"/>
    <mergeCell ref="H7728:H7729"/>
    <mergeCell ref="I7728:I7729"/>
    <mergeCell ref="J7728:J7729"/>
    <mergeCell ref="K7728:K7729"/>
    <mergeCell ref="L7728:L7729"/>
    <mergeCell ref="M7728:M7729"/>
    <mergeCell ref="N7728:N7729"/>
    <mergeCell ref="A7711:A7714"/>
    <mergeCell ref="B7711:B7714"/>
    <mergeCell ref="C7711:C7714"/>
    <mergeCell ref="D7711:D7714"/>
    <mergeCell ref="E7711:E7714"/>
    <mergeCell ref="F7711:F7714"/>
    <mergeCell ref="G7711:G7714"/>
    <mergeCell ref="H7711:H7714"/>
    <mergeCell ref="I7711:I7714"/>
    <mergeCell ref="J7711:J7714"/>
    <mergeCell ref="K7711:K7714"/>
    <mergeCell ref="L7711:L7714"/>
    <mergeCell ref="M7711:M7714"/>
    <mergeCell ref="N7711:N7714"/>
    <mergeCell ref="A7716:A7718"/>
    <mergeCell ref="B7716:B7718"/>
    <mergeCell ref="C7716:C7718"/>
    <mergeCell ref="D7716:D7718"/>
    <mergeCell ref="E7716:E7718"/>
    <mergeCell ref="F7716:F7718"/>
    <mergeCell ref="G7716:G7718"/>
    <mergeCell ref="H7716:H7718"/>
    <mergeCell ref="I7716:I7718"/>
    <mergeCell ref="J7716:J7718"/>
    <mergeCell ref="K7716:K7718"/>
    <mergeCell ref="L7716:L7718"/>
    <mergeCell ref="M7716:M7718"/>
    <mergeCell ref="N7716:N7718"/>
    <mergeCell ref="A7719:A7721"/>
    <mergeCell ref="B7719:B7721"/>
    <mergeCell ref="C7719:C7721"/>
    <mergeCell ref="D7719:D7721"/>
    <mergeCell ref="E7719:E7721"/>
    <mergeCell ref="F7719:F7721"/>
    <mergeCell ref="G7719:G7721"/>
    <mergeCell ref="H7719:H7721"/>
    <mergeCell ref="I7719:I7721"/>
    <mergeCell ref="J7719:J7721"/>
    <mergeCell ref="K7719:K7721"/>
    <mergeCell ref="L7719:L7721"/>
    <mergeCell ref="M7719:M7721"/>
    <mergeCell ref="N7719:N7721"/>
    <mergeCell ref="A7696:A7697"/>
    <mergeCell ref="B7696:B7697"/>
    <mergeCell ref="C7696:C7697"/>
    <mergeCell ref="D7696:D7697"/>
    <mergeCell ref="E7696:E7697"/>
    <mergeCell ref="F7696:F7697"/>
    <mergeCell ref="G7696:G7697"/>
    <mergeCell ref="H7696:H7697"/>
    <mergeCell ref="I7696:I7697"/>
    <mergeCell ref="J7696:J7697"/>
    <mergeCell ref="K7696:K7697"/>
    <mergeCell ref="L7696:L7697"/>
    <mergeCell ref="M7696:M7697"/>
    <mergeCell ref="N7696:N7697"/>
    <mergeCell ref="A7700:A7702"/>
    <mergeCell ref="B7700:B7702"/>
    <mergeCell ref="C7700:C7702"/>
    <mergeCell ref="D7700:D7702"/>
    <mergeCell ref="E7700:E7702"/>
    <mergeCell ref="F7700:F7702"/>
    <mergeCell ref="G7700:G7702"/>
    <mergeCell ref="H7700:H7702"/>
    <mergeCell ref="I7700:I7702"/>
    <mergeCell ref="J7700:J7702"/>
    <mergeCell ref="K7700:K7702"/>
    <mergeCell ref="L7700:L7702"/>
    <mergeCell ref="M7700:M7702"/>
    <mergeCell ref="N7700:N7702"/>
    <mergeCell ref="A7707:A7708"/>
    <mergeCell ref="B7707:B7708"/>
    <mergeCell ref="C7707:C7708"/>
    <mergeCell ref="D7707:D7708"/>
    <mergeCell ref="E7707:E7708"/>
    <mergeCell ref="F7707:F7708"/>
    <mergeCell ref="G7707:G7708"/>
    <mergeCell ref="H7707:H7708"/>
    <mergeCell ref="I7707:I7708"/>
    <mergeCell ref="J7707:J7708"/>
    <mergeCell ref="K7707:K7708"/>
    <mergeCell ref="L7707:L7708"/>
    <mergeCell ref="M7707:M7708"/>
    <mergeCell ref="N7707:N7708"/>
    <mergeCell ref="A7688:A7689"/>
    <mergeCell ref="B7688:B7689"/>
    <mergeCell ref="C7688:C7689"/>
    <mergeCell ref="D7688:D7689"/>
    <mergeCell ref="E7688:E7689"/>
    <mergeCell ref="F7688:F7689"/>
    <mergeCell ref="G7688:G7689"/>
    <mergeCell ref="H7688:H7689"/>
    <mergeCell ref="I7688:I7689"/>
    <mergeCell ref="J7688:J7689"/>
    <mergeCell ref="K7688:K7689"/>
    <mergeCell ref="L7688:L7689"/>
    <mergeCell ref="M7688:M7689"/>
    <mergeCell ref="N7688:N7689"/>
    <mergeCell ref="A7691:A7692"/>
    <mergeCell ref="B7691:B7692"/>
    <mergeCell ref="C7691:C7692"/>
    <mergeCell ref="D7691:D7692"/>
    <mergeCell ref="E7691:E7692"/>
    <mergeCell ref="F7691:F7692"/>
    <mergeCell ref="G7691:G7692"/>
    <mergeCell ref="H7691:H7692"/>
    <mergeCell ref="I7691:I7692"/>
    <mergeCell ref="J7691:J7692"/>
    <mergeCell ref="K7691:K7692"/>
    <mergeCell ref="L7691:L7692"/>
    <mergeCell ref="M7691:M7692"/>
    <mergeCell ref="N7691:N7692"/>
    <mergeCell ref="A7693:A7694"/>
    <mergeCell ref="B7693:B7694"/>
    <mergeCell ref="C7693:C7694"/>
    <mergeCell ref="D7693:D7694"/>
    <mergeCell ref="E7693:E7694"/>
    <mergeCell ref="F7693:F7694"/>
    <mergeCell ref="G7693:G7694"/>
    <mergeCell ref="H7693:H7694"/>
    <mergeCell ref="I7693:I7694"/>
    <mergeCell ref="J7693:J7694"/>
    <mergeCell ref="K7693:K7694"/>
    <mergeCell ref="L7693:L7694"/>
    <mergeCell ref="M7693:M7694"/>
    <mergeCell ref="N7693:N7694"/>
    <mergeCell ref="A7672:A7673"/>
    <mergeCell ref="B7672:B7673"/>
    <mergeCell ref="C7672:C7673"/>
    <mergeCell ref="D7672:D7673"/>
    <mergeCell ref="E7672:E7673"/>
    <mergeCell ref="F7672:F7673"/>
    <mergeCell ref="G7672:G7673"/>
    <mergeCell ref="H7672:H7673"/>
    <mergeCell ref="I7672:I7673"/>
    <mergeCell ref="J7672:J7673"/>
    <mergeCell ref="K7672:K7673"/>
    <mergeCell ref="L7672:L7673"/>
    <mergeCell ref="M7672:M7673"/>
    <mergeCell ref="N7672:N7673"/>
    <mergeCell ref="A7676:A7682"/>
    <mergeCell ref="B7676:B7682"/>
    <mergeCell ref="C7676:C7682"/>
    <mergeCell ref="D7676:D7682"/>
    <mergeCell ref="E7676:E7682"/>
    <mergeCell ref="F7676:F7682"/>
    <mergeCell ref="G7676:G7682"/>
    <mergeCell ref="H7676:H7682"/>
    <mergeCell ref="I7676:I7682"/>
    <mergeCell ref="J7676:J7682"/>
    <mergeCell ref="K7676:K7682"/>
    <mergeCell ref="L7676:L7682"/>
    <mergeCell ref="M7676:M7682"/>
    <mergeCell ref="N7676:N7682"/>
    <mergeCell ref="A7683:A7687"/>
    <mergeCell ref="B7683:B7687"/>
    <mergeCell ref="C7683:C7687"/>
    <mergeCell ref="D7683:D7687"/>
    <mergeCell ref="E7683:E7687"/>
    <mergeCell ref="F7683:F7687"/>
    <mergeCell ref="G7683:G7687"/>
    <mergeCell ref="H7683:H7687"/>
    <mergeCell ref="I7683:I7687"/>
    <mergeCell ref="J7683:J7687"/>
    <mergeCell ref="K7683:K7687"/>
    <mergeCell ref="L7683:L7687"/>
    <mergeCell ref="M7683:M7687"/>
    <mergeCell ref="N7683:N7687"/>
    <mergeCell ref="A7661:A7662"/>
    <mergeCell ref="B7661:B7662"/>
    <mergeCell ref="C7661:C7662"/>
    <mergeCell ref="D7661:D7662"/>
    <mergeCell ref="E7661:E7662"/>
    <mergeCell ref="F7661:F7662"/>
    <mergeCell ref="G7661:G7662"/>
    <mergeCell ref="H7661:H7662"/>
    <mergeCell ref="I7661:I7662"/>
    <mergeCell ref="J7661:J7662"/>
    <mergeCell ref="K7661:K7662"/>
    <mergeCell ref="L7661:L7662"/>
    <mergeCell ref="M7661:M7662"/>
    <mergeCell ref="N7661:N7662"/>
    <mergeCell ref="A7666:A7667"/>
    <mergeCell ref="B7666:B7667"/>
    <mergeCell ref="C7666:C7667"/>
    <mergeCell ref="D7666:D7667"/>
    <mergeCell ref="E7666:E7667"/>
    <mergeCell ref="F7666:F7667"/>
    <mergeCell ref="G7666:G7667"/>
    <mergeCell ref="H7666:H7667"/>
    <mergeCell ref="I7666:I7667"/>
    <mergeCell ref="J7666:J7667"/>
    <mergeCell ref="K7666:K7667"/>
    <mergeCell ref="L7666:L7667"/>
    <mergeCell ref="M7666:M7667"/>
    <mergeCell ref="N7666:N7667"/>
    <mergeCell ref="A7670:A7671"/>
    <mergeCell ref="B7670:B7671"/>
    <mergeCell ref="C7670:C7671"/>
    <mergeCell ref="D7670:D7671"/>
    <mergeCell ref="E7670:E7671"/>
    <mergeCell ref="F7670:F7671"/>
    <mergeCell ref="G7670:G7671"/>
    <mergeCell ref="H7670:H7671"/>
    <mergeCell ref="I7670:I7671"/>
    <mergeCell ref="J7670:J7671"/>
    <mergeCell ref="K7670:K7671"/>
    <mergeCell ref="L7670:L7671"/>
    <mergeCell ref="M7670:M7671"/>
    <mergeCell ref="N7670:N7671"/>
    <mergeCell ref="A7652:A7654"/>
    <mergeCell ref="B7652:B7654"/>
    <mergeCell ref="C7652:C7654"/>
    <mergeCell ref="D7652:D7654"/>
    <mergeCell ref="E7652:E7654"/>
    <mergeCell ref="F7652:F7654"/>
    <mergeCell ref="G7652:G7654"/>
    <mergeCell ref="H7652:H7654"/>
    <mergeCell ref="I7652:I7654"/>
    <mergeCell ref="J7652:J7654"/>
    <mergeCell ref="K7652:K7654"/>
    <mergeCell ref="L7652:L7654"/>
    <mergeCell ref="M7652:M7654"/>
    <mergeCell ref="N7652:N7654"/>
    <mergeCell ref="A7655:A7657"/>
    <mergeCell ref="B7655:B7657"/>
    <mergeCell ref="C7655:C7657"/>
    <mergeCell ref="D7655:D7657"/>
    <mergeCell ref="E7655:E7657"/>
    <mergeCell ref="F7655:F7657"/>
    <mergeCell ref="G7655:G7657"/>
    <mergeCell ref="H7655:H7657"/>
    <mergeCell ref="I7655:I7657"/>
    <mergeCell ref="J7655:J7657"/>
    <mergeCell ref="K7655:K7657"/>
    <mergeCell ref="L7655:L7657"/>
    <mergeCell ref="M7655:M7657"/>
    <mergeCell ref="N7655:N7657"/>
    <mergeCell ref="A7658:A7660"/>
    <mergeCell ref="B7658:B7660"/>
    <mergeCell ref="C7658:C7660"/>
    <mergeCell ref="D7658:D7660"/>
    <mergeCell ref="E7658:E7660"/>
    <mergeCell ref="F7658:F7660"/>
    <mergeCell ref="G7658:G7660"/>
    <mergeCell ref="H7658:H7660"/>
    <mergeCell ref="I7658:I7660"/>
    <mergeCell ref="J7658:J7660"/>
    <mergeCell ref="K7658:K7660"/>
    <mergeCell ref="L7658:L7660"/>
    <mergeCell ref="M7658:M7660"/>
    <mergeCell ref="N7658:N7660"/>
    <mergeCell ref="A7641:A7643"/>
    <mergeCell ref="B7641:B7643"/>
    <mergeCell ref="C7641:C7643"/>
    <mergeCell ref="D7641:D7643"/>
    <mergeCell ref="E7641:E7643"/>
    <mergeCell ref="F7641:F7643"/>
    <mergeCell ref="G7641:G7643"/>
    <mergeCell ref="H7641:H7643"/>
    <mergeCell ref="I7641:I7643"/>
    <mergeCell ref="J7641:J7643"/>
    <mergeCell ref="K7641:K7643"/>
    <mergeCell ref="L7641:L7643"/>
    <mergeCell ref="M7641:M7643"/>
    <mergeCell ref="N7641:N7643"/>
    <mergeCell ref="A7646:A7648"/>
    <mergeCell ref="B7646:B7648"/>
    <mergeCell ref="C7646:C7648"/>
    <mergeCell ref="D7646:D7648"/>
    <mergeCell ref="E7646:E7648"/>
    <mergeCell ref="F7646:F7648"/>
    <mergeCell ref="G7646:G7648"/>
    <mergeCell ref="H7646:H7648"/>
    <mergeCell ref="I7646:I7648"/>
    <mergeCell ref="J7646:J7648"/>
    <mergeCell ref="K7646:K7648"/>
    <mergeCell ref="L7646:L7648"/>
    <mergeCell ref="M7646:M7648"/>
    <mergeCell ref="N7646:N7648"/>
    <mergeCell ref="A7649:A7650"/>
    <mergeCell ref="B7649:B7650"/>
    <mergeCell ref="C7649:C7650"/>
    <mergeCell ref="D7649:D7650"/>
    <mergeCell ref="E7649:E7650"/>
    <mergeCell ref="F7649:F7650"/>
    <mergeCell ref="G7649:G7650"/>
    <mergeCell ref="H7649:H7650"/>
    <mergeCell ref="I7649:I7650"/>
    <mergeCell ref="J7649:J7650"/>
    <mergeCell ref="K7649:K7650"/>
    <mergeCell ref="L7649:L7650"/>
    <mergeCell ref="M7649:M7650"/>
    <mergeCell ref="N7649:N7650"/>
    <mergeCell ref="A7630:A7631"/>
    <mergeCell ref="B7630:B7631"/>
    <mergeCell ref="C7630:C7631"/>
    <mergeCell ref="D7630:D7631"/>
    <mergeCell ref="E7630:E7631"/>
    <mergeCell ref="F7630:F7631"/>
    <mergeCell ref="G7630:G7631"/>
    <mergeCell ref="H7630:H7631"/>
    <mergeCell ref="I7630:I7631"/>
    <mergeCell ref="J7630:J7631"/>
    <mergeCell ref="K7630:K7631"/>
    <mergeCell ref="L7630:L7631"/>
    <mergeCell ref="M7630:M7631"/>
    <mergeCell ref="N7630:N7631"/>
    <mergeCell ref="A7635:A7637"/>
    <mergeCell ref="B7635:B7637"/>
    <mergeCell ref="C7635:C7637"/>
    <mergeCell ref="D7635:D7637"/>
    <mergeCell ref="E7635:E7637"/>
    <mergeCell ref="F7635:F7637"/>
    <mergeCell ref="G7635:G7637"/>
    <mergeCell ref="H7635:H7637"/>
    <mergeCell ref="I7635:I7637"/>
    <mergeCell ref="J7635:J7637"/>
    <mergeCell ref="K7635:K7637"/>
    <mergeCell ref="L7635:L7637"/>
    <mergeCell ref="M7635:M7637"/>
    <mergeCell ref="N7635:N7637"/>
    <mergeCell ref="A7638:A7640"/>
    <mergeCell ref="B7638:B7640"/>
    <mergeCell ref="C7638:C7640"/>
    <mergeCell ref="D7638:D7640"/>
    <mergeCell ref="E7638:E7640"/>
    <mergeCell ref="F7638:F7640"/>
    <mergeCell ref="G7638:G7640"/>
    <mergeCell ref="H7638:H7640"/>
    <mergeCell ref="I7638:I7640"/>
    <mergeCell ref="J7638:J7640"/>
    <mergeCell ref="K7638:K7640"/>
    <mergeCell ref="L7638:L7640"/>
    <mergeCell ref="M7638:M7640"/>
    <mergeCell ref="N7638:N7640"/>
    <mergeCell ref="A7616:A7618"/>
    <mergeCell ref="B7616:B7618"/>
    <mergeCell ref="C7616:C7618"/>
    <mergeCell ref="D7616:D7618"/>
    <mergeCell ref="E7616:E7618"/>
    <mergeCell ref="F7616:F7618"/>
    <mergeCell ref="G7616:G7618"/>
    <mergeCell ref="H7616:H7618"/>
    <mergeCell ref="I7616:I7618"/>
    <mergeCell ref="J7616:J7618"/>
    <mergeCell ref="K7616:K7618"/>
    <mergeCell ref="L7616:L7618"/>
    <mergeCell ref="M7616:M7618"/>
    <mergeCell ref="N7616:N7618"/>
    <mergeCell ref="A7619:A7620"/>
    <mergeCell ref="B7619:B7620"/>
    <mergeCell ref="C7619:C7620"/>
    <mergeCell ref="D7619:D7620"/>
    <mergeCell ref="E7619:E7620"/>
    <mergeCell ref="F7619:F7620"/>
    <mergeCell ref="G7619:G7620"/>
    <mergeCell ref="H7619:H7620"/>
    <mergeCell ref="I7619:I7620"/>
    <mergeCell ref="J7619:J7620"/>
    <mergeCell ref="K7619:K7620"/>
    <mergeCell ref="L7619:L7620"/>
    <mergeCell ref="M7619:M7620"/>
    <mergeCell ref="N7619:N7620"/>
    <mergeCell ref="A7621:A7623"/>
    <mergeCell ref="B7621:B7623"/>
    <mergeCell ref="C7621:C7623"/>
    <mergeCell ref="D7621:D7623"/>
    <mergeCell ref="E7621:E7623"/>
    <mergeCell ref="F7621:F7623"/>
    <mergeCell ref="G7621:G7623"/>
    <mergeCell ref="H7621:H7623"/>
    <mergeCell ref="I7621:I7623"/>
    <mergeCell ref="J7621:J7623"/>
    <mergeCell ref="K7621:K7623"/>
    <mergeCell ref="L7621:L7623"/>
    <mergeCell ref="M7621:M7623"/>
    <mergeCell ref="N7621:N7623"/>
    <mergeCell ref="A7606:A7607"/>
    <mergeCell ref="B7606:B7607"/>
    <mergeCell ref="C7606:C7607"/>
    <mergeCell ref="D7606:D7607"/>
    <mergeCell ref="E7606:E7607"/>
    <mergeCell ref="F7606:F7607"/>
    <mergeCell ref="G7606:G7607"/>
    <mergeCell ref="H7606:H7607"/>
    <mergeCell ref="I7606:I7607"/>
    <mergeCell ref="J7606:J7607"/>
    <mergeCell ref="K7606:K7607"/>
    <mergeCell ref="L7606:L7607"/>
    <mergeCell ref="M7606:M7607"/>
    <mergeCell ref="N7606:N7607"/>
    <mergeCell ref="A7609:A7610"/>
    <mergeCell ref="B7609:B7610"/>
    <mergeCell ref="C7609:C7610"/>
    <mergeCell ref="D7609:D7610"/>
    <mergeCell ref="E7609:E7610"/>
    <mergeCell ref="F7609:F7610"/>
    <mergeCell ref="G7609:G7610"/>
    <mergeCell ref="H7609:H7610"/>
    <mergeCell ref="I7609:I7610"/>
    <mergeCell ref="J7609:J7610"/>
    <mergeCell ref="K7609:K7610"/>
    <mergeCell ref="L7609:L7610"/>
    <mergeCell ref="M7609:M7610"/>
    <mergeCell ref="N7609:N7610"/>
    <mergeCell ref="A7611:A7613"/>
    <mergeCell ref="B7611:B7613"/>
    <mergeCell ref="C7611:C7613"/>
    <mergeCell ref="D7611:D7613"/>
    <mergeCell ref="E7611:E7613"/>
    <mergeCell ref="F7611:F7613"/>
    <mergeCell ref="G7611:G7613"/>
    <mergeCell ref="H7611:H7613"/>
    <mergeCell ref="I7611:I7613"/>
    <mergeCell ref="J7611:J7613"/>
    <mergeCell ref="K7611:K7613"/>
    <mergeCell ref="L7611:L7613"/>
    <mergeCell ref="M7611:M7613"/>
    <mergeCell ref="N7611:N7613"/>
    <mergeCell ref="A7597:A7598"/>
    <mergeCell ref="B7597:B7598"/>
    <mergeCell ref="C7597:C7598"/>
    <mergeCell ref="D7597:D7598"/>
    <mergeCell ref="E7597:E7598"/>
    <mergeCell ref="F7597:F7598"/>
    <mergeCell ref="G7597:G7598"/>
    <mergeCell ref="H7597:H7598"/>
    <mergeCell ref="I7597:I7598"/>
    <mergeCell ref="J7597:J7598"/>
    <mergeCell ref="K7597:K7598"/>
    <mergeCell ref="L7597:L7598"/>
    <mergeCell ref="M7597:M7598"/>
    <mergeCell ref="N7597:N7598"/>
    <mergeCell ref="A7599:A7601"/>
    <mergeCell ref="B7599:B7601"/>
    <mergeCell ref="C7599:C7601"/>
    <mergeCell ref="D7599:D7601"/>
    <mergeCell ref="E7599:E7601"/>
    <mergeCell ref="F7599:F7601"/>
    <mergeCell ref="G7599:G7601"/>
    <mergeCell ref="H7599:H7601"/>
    <mergeCell ref="I7599:I7601"/>
    <mergeCell ref="J7599:J7601"/>
    <mergeCell ref="K7599:K7601"/>
    <mergeCell ref="L7599:L7601"/>
    <mergeCell ref="M7599:M7601"/>
    <mergeCell ref="N7599:N7601"/>
    <mergeCell ref="A7602:A7605"/>
    <mergeCell ref="B7602:B7605"/>
    <mergeCell ref="C7602:C7605"/>
    <mergeCell ref="D7602:D7605"/>
    <mergeCell ref="E7602:E7605"/>
    <mergeCell ref="F7602:F7605"/>
    <mergeCell ref="G7602:G7605"/>
    <mergeCell ref="H7602:H7605"/>
    <mergeCell ref="I7602:I7605"/>
    <mergeCell ref="J7602:J7605"/>
    <mergeCell ref="K7602:K7605"/>
    <mergeCell ref="L7602:L7605"/>
    <mergeCell ref="M7602:M7605"/>
    <mergeCell ref="N7602:N7605"/>
    <mergeCell ref="A7586:A7590"/>
    <mergeCell ref="B7586:B7590"/>
    <mergeCell ref="C7586:C7590"/>
    <mergeCell ref="D7586:D7590"/>
    <mergeCell ref="E7586:E7590"/>
    <mergeCell ref="F7586:F7590"/>
    <mergeCell ref="G7586:G7590"/>
    <mergeCell ref="H7586:H7590"/>
    <mergeCell ref="I7586:I7590"/>
    <mergeCell ref="J7586:J7590"/>
    <mergeCell ref="K7586:K7590"/>
    <mergeCell ref="L7586:L7590"/>
    <mergeCell ref="M7586:M7590"/>
    <mergeCell ref="N7586:N7590"/>
    <mergeCell ref="A7591:A7592"/>
    <mergeCell ref="B7591:B7592"/>
    <mergeCell ref="C7591:C7592"/>
    <mergeCell ref="D7591:D7592"/>
    <mergeCell ref="E7591:E7592"/>
    <mergeCell ref="F7591:F7592"/>
    <mergeCell ref="G7591:G7592"/>
    <mergeCell ref="H7591:H7592"/>
    <mergeCell ref="I7591:I7592"/>
    <mergeCell ref="J7591:J7592"/>
    <mergeCell ref="K7591:K7592"/>
    <mergeCell ref="L7591:L7592"/>
    <mergeCell ref="M7591:M7592"/>
    <mergeCell ref="N7591:N7592"/>
    <mergeCell ref="A7594:A7596"/>
    <mergeCell ref="B7594:B7596"/>
    <mergeCell ref="C7594:C7596"/>
    <mergeCell ref="D7594:D7596"/>
    <mergeCell ref="E7594:E7596"/>
    <mergeCell ref="F7594:F7596"/>
    <mergeCell ref="G7594:G7596"/>
    <mergeCell ref="H7594:H7596"/>
    <mergeCell ref="I7594:I7596"/>
    <mergeCell ref="J7594:J7596"/>
    <mergeCell ref="K7594:K7596"/>
    <mergeCell ref="L7594:L7596"/>
    <mergeCell ref="M7594:M7596"/>
    <mergeCell ref="N7594:N7596"/>
    <mergeCell ref="A7571:A7572"/>
    <mergeCell ref="B7571:B7572"/>
    <mergeCell ref="C7571:C7572"/>
    <mergeCell ref="D7571:D7572"/>
    <mergeCell ref="E7571:E7572"/>
    <mergeCell ref="F7571:F7572"/>
    <mergeCell ref="G7571:G7572"/>
    <mergeCell ref="H7571:H7572"/>
    <mergeCell ref="I7571:I7572"/>
    <mergeCell ref="J7571:J7572"/>
    <mergeCell ref="K7571:K7572"/>
    <mergeCell ref="L7571:L7572"/>
    <mergeCell ref="M7571:M7572"/>
    <mergeCell ref="N7571:N7572"/>
    <mergeCell ref="A7575:A7578"/>
    <mergeCell ref="B7575:B7578"/>
    <mergeCell ref="C7575:C7578"/>
    <mergeCell ref="D7575:D7578"/>
    <mergeCell ref="E7575:E7578"/>
    <mergeCell ref="F7575:F7578"/>
    <mergeCell ref="G7575:G7578"/>
    <mergeCell ref="H7575:H7578"/>
    <mergeCell ref="I7575:I7578"/>
    <mergeCell ref="J7575:J7578"/>
    <mergeCell ref="K7575:K7578"/>
    <mergeCell ref="L7575:L7578"/>
    <mergeCell ref="M7575:M7578"/>
    <mergeCell ref="N7575:N7578"/>
    <mergeCell ref="A7582:A7585"/>
    <mergeCell ref="B7582:B7585"/>
    <mergeCell ref="C7582:C7585"/>
    <mergeCell ref="D7582:D7585"/>
    <mergeCell ref="E7582:E7585"/>
    <mergeCell ref="F7582:F7585"/>
    <mergeCell ref="G7582:G7585"/>
    <mergeCell ref="H7582:H7585"/>
    <mergeCell ref="I7582:I7585"/>
    <mergeCell ref="J7582:J7585"/>
    <mergeCell ref="K7582:K7585"/>
    <mergeCell ref="L7582:L7585"/>
    <mergeCell ref="M7582:M7585"/>
    <mergeCell ref="N7582:N7585"/>
    <mergeCell ref="A7564:A7565"/>
    <mergeCell ref="B7564:B7565"/>
    <mergeCell ref="C7564:C7565"/>
    <mergeCell ref="D7564:D7565"/>
    <mergeCell ref="E7564:E7565"/>
    <mergeCell ref="F7564:F7565"/>
    <mergeCell ref="G7564:G7565"/>
    <mergeCell ref="H7564:H7565"/>
    <mergeCell ref="I7564:I7565"/>
    <mergeCell ref="J7564:J7565"/>
    <mergeCell ref="K7564:K7565"/>
    <mergeCell ref="L7564:L7565"/>
    <mergeCell ref="M7564:M7565"/>
    <mergeCell ref="N7564:N7565"/>
    <mergeCell ref="A7566:A7568"/>
    <mergeCell ref="B7566:B7568"/>
    <mergeCell ref="C7566:C7568"/>
    <mergeCell ref="D7566:D7568"/>
    <mergeCell ref="E7566:E7568"/>
    <mergeCell ref="F7566:F7568"/>
    <mergeCell ref="G7566:G7568"/>
    <mergeCell ref="H7566:H7568"/>
    <mergeCell ref="I7566:I7568"/>
    <mergeCell ref="J7566:J7568"/>
    <mergeCell ref="K7566:K7568"/>
    <mergeCell ref="L7566:L7568"/>
    <mergeCell ref="M7566:M7568"/>
    <mergeCell ref="N7566:N7568"/>
    <mergeCell ref="A7569:A7570"/>
    <mergeCell ref="B7569:B7570"/>
    <mergeCell ref="C7569:C7570"/>
    <mergeCell ref="D7569:D7570"/>
    <mergeCell ref="E7569:E7570"/>
    <mergeCell ref="F7569:F7570"/>
    <mergeCell ref="G7569:G7570"/>
    <mergeCell ref="H7569:H7570"/>
    <mergeCell ref="I7569:I7570"/>
    <mergeCell ref="J7569:J7570"/>
    <mergeCell ref="K7569:K7570"/>
    <mergeCell ref="L7569:L7570"/>
    <mergeCell ref="M7569:M7570"/>
    <mergeCell ref="N7569:N7570"/>
    <mergeCell ref="A7554:A7555"/>
    <mergeCell ref="B7554:B7555"/>
    <mergeCell ref="C7554:C7555"/>
    <mergeCell ref="D7554:D7555"/>
    <mergeCell ref="E7554:E7555"/>
    <mergeCell ref="F7554:F7555"/>
    <mergeCell ref="G7554:G7555"/>
    <mergeCell ref="H7554:H7555"/>
    <mergeCell ref="I7554:I7555"/>
    <mergeCell ref="J7554:J7555"/>
    <mergeCell ref="K7554:K7555"/>
    <mergeCell ref="L7554:L7555"/>
    <mergeCell ref="M7554:M7555"/>
    <mergeCell ref="N7554:N7555"/>
    <mergeCell ref="A7557:A7559"/>
    <mergeCell ref="B7557:B7559"/>
    <mergeCell ref="C7557:C7559"/>
    <mergeCell ref="D7557:D7559"/>
    <mergeCell ref="E7557:E7559"/>
    <mergeCell ref="F7557:F7559"/>
    <mergeCell ref="G7557:G7559"/>
    <mergeCell ref="H7557:H7559"/>
    <mergeCell ref="I7557:I7559"/>
    <mergeCell ref="J7557:J7559"/>
    <mergeCell ref="K7557:K7559"/>
    <mergeCell ref="L7557:L7559"/>
    <mergeCell ref="M7557:M7559"/>
    <mergeCell ref="N7557:N7559"/>
    <mergeCell ref="A7562:A7563"/>
    <mergeCell ref="B7562:B7563"/>
    <mergeCell ref="C7562:C7563"/>
    <mergeCell ref="D7562:D7563"/>
    <mergeCell ref="E7562:E7563"/>
    <mergeCell ref="F7562:F7563"/>
    <mergeCell ref="G7562:G7563"/>
    <mergeCell ref="H7562:H7563"/>
    <mergeCell ref="I7562:I7563"/>
    <mergeCell ref="J7562:J7563"/>
    <mergeCell ref="K7562:K7563"/>
    <mergeCell ref="L7562:L7563"/>
    <mergeCell ref="M7562:M7563"/>
    <mergeCell ref="N7562:N7563"/>
    <mergeCell ref="A7528:A7532"/>
    <mergeCell ref="B7528:B7532"/>
    <mergeCell ref="C7528:C7532"/>
    <mergeCell ref="D7528:D7532"/>
    <mergeCell ref="E7528:E7532"/>
    <mergeCell ref="F7528:F7532"/>
    <mergeCell ref="G7528:G7532"/>
    <mergeCell ref="H7528:H7532"/>
    <mergeCell ref="I7528:I7532"/>
    <mergeCell ref="J7528:J7532"/>
    <mergeCell ref="K7528:K7532"/>
    <mergeCell ref="L7528:L7532"/>
    <mergeCell ref="M7528:M7532"/>
    <mergeCell ref="N7528:N7532"/>
    <mergeCell ref="A7535:A7539"/>
    <mergeCell ref="B7535:B7539"/>
    <mergeCell ref="C7535:C7539"/>
    <mergeCell ref="D7535:D7539"/>
    <mergeCell ref="E7535:E7539"/>
    <mergeCell ref="F7535:F7539"/>
    <mergeCell ref="G7535:G7539"/>
    <mergeCell ref="H7535:H7539"/>
    <mergeCell ref="I7535:I7539"/>
    <mergeCell ref="J7535:J7539"/>
    <mergeCell ref="K7535:K7539"/>
    <mergeCell ref="L7535:L7539"/>
    <mergeCell ref="M7535:M7539"/>
    <mergeCell ref="N7535:N7539"/>
    <mergeCell ref="A7542:A7546"/>
    <mergeCell ref="B7542:B7546"/>
    <mergeCell ref="C7542:C7546"/>
    <mergeCell ref="D7542:D7546"/>
    <mergeCell ref="E7542:E7546"/>
    <mergeCell ref="F7542:F7546"/>
    <mergeCell ref="G7542:G7546"/>
    <mergeCell ref="H7542:H7546"/>
    <mergeCell ref="I7542:I7546"/>
    <mergeCell ref="J7542:J7546"/>
    <mergeCell ref="K7542:K7546"/>
    <mergeCell ref="L7542:L7546"/>
    <mergeCell ref="M7542:M7546"/>
    <mergeCell ref="N7542:N7546"/>
    <mergeCell ref="A7518:A7519"/>
    <mergeCell ref="B7518:B7519"/>
    <mergeCell ref="C7518:C7519"/>
    <mergeCell ref="D7518:D7519"/>
    <mergeCell ref="E7518:E7519"/>
    <mergeCell ref="F7518:F7519"/>
    <mergeCell ref="G7518:G7519"/>
    <mergeCell ref="H7518:H7519"/>
    <mergeCell ref="I7518:I7519"/>
    <mergeCell ref="J7518:J7519"/>
    <mergeCell ref="K7518:K7519"/>
    <mergeCell ref="L7518:L7519"/>
    <mergeCell ref="M7518:M7519"/>
    <mergeCell ref="N7518:N7519"/>
    <mergeCell ref="A7520:A7521"/>
    <mergeCell ref="B7520:B7521"/>
    <mergeCell ref="C7520:C7521"/>
    <mergeCell ref="D7520:D7521"/>
    <mergeCell ref="E7520:E7521"/>
    <mergeCell ref="F7520:F7521"/>
    <mergeCell ref="G7520:G7521"/>
    <mergeCell ref="H7520:H7521"/>
    <mergeCell ref="I7520:I7521"/>
    <mergeCell ref="J7520:J7521"/>
    <mergeCell ref="K7520:K7521"/>
    <mergeCell ref="L7520:L7521"/>
    <mergeCell ref="M7520:M7521"/>
    <mergeCell ref="N7520:N7521"/>
    <mergeCell ref="A7522:A7525"/>
    <mergeCell ref="B7522:B7525"/>
    <mergeCell ref="C7522:C7525"/>
    <mergeCell ref="D7522:D7525"/>
    <mergeCell ref="E7522:E7525"/>
    <mergeCell ref="F7522:F7525"/>
    <mergeCell ref="G7522:G7525"/>
    <mergeCell ref="H7522:H7525"/>
    <mergeCell ref="I7522:I7525"/>
    <mergeCell ref="J7522:J7525"/>
    <mergeCell ref="K7522:K7525"/>
    <mergeCell ref="L7522:L7525"/>
    <mergeCell ref="M7522:M7525"/>
    <mergeCell ref="N7522:N7525"/>
    <mergeCell ref="A7497:A7498"/>
    <mergeCell ref="B7497:B7498"/>
    <mergeCell ref="C7497:C7498"/>
    <mergeCell ref="D7497:D7498"/>
    <mergeCell ref="E7497:E7498"/>
    <mergeCell ref="F7497:F7498"/>
    <mergeCell ref="G7497:G7498"/>
    <mergeCell ref="H7497:H7498"/>
    <mergeCell ref="I7497:I7498"/>
    <mergeCell ref="J7497:J7498"/>
    <mergeCell ref="K7497:K7498"/>
    <mergeCell ref="L7497:L7498"/>
    <mergeCell ref="M7497:M7498"/>
    <mergeCell ref="N7497:N7498"/>
    <mergeCell ref="A7499:A7500"/>
    <mergeCell ref="B7499:B7500"/>
    <mergeCell ref="C7499:C7500"/>
    <mergeCell ref="D7499:D7500"/>
    <mergeCell ref="E7499:E7500"/>
    <mergeCell ref="F7499:F7500"/>
    <mergeCell ref="G7499:G7500"/>
    <mergeCell ref="H7499:H7500"/>
    <mergeCell ref="I7499:I7500"/>
    <mergeCell ref="J7499:J7500"/>
    <mergeCell ref="K7499:K7500"/>
    <mergeCell ref="L7499:L7500"/>
    <mergeCell ref="M7499:M7500"/>
    <mergeCell ref="N7499:N7500"/>
    <mergeCell ref="A7507:A7508"/>
    <mergeCell ref="B7507:B7508"/>
    <mergeCell ref="C7507:C7508"/>
    <mergeCell ref="D7507:D7508"/>
    <mergeCell ref="E7507:E7508"/>
    <mergeCell ref="F7507:F7508"/>
    <mergeCell ref="G7507:G7508"/>
    <mergeCell ref="H7507:H7508"/>
    <mergeCell ref="I7507:I7508"/>
    <mergeCell ref="J7507:J7508"/>
    <mergeCell ref="K7507:K7508"/>
    <mergeCell ref="L7507:L7508"/>
    <mergeCell ref="M7507:M7508"/>
    <mergeCell ref="N7507:N7508"/>
    <mergeCell ref="A7482:A7483"/>
    <mergeCell ref="B7482:B7483"/>
    <mergeCell ref="C7482:C7483"/>
    <mergeCell ref="D7482:D7483"/>
    <mergeCell ref="E7482:E7483"/>
    <mergeCell ref="F7482:F7483"/>
    <mergeCell ref="G7482:G7483"/>
    <mergeCell ref="H7482:H7483"/>
    <mergeCell ref="I7482:I7483"/>
    <mergeCell ref="J7482:J7483"/>
    <mergeCell ref="K7482:K7483"/>
    <mergeCell ref="L7482:L7483"/>
    <mergeCell ref="M7482:M7483"/>
    <mergeCell ref="N7482:N7483"/>
    <mergeCell ref="A7485:A7490"/>
    <mergeCell ref="B7485:B7490"/>
    <mergeCell ref="C7485:C7490"/>
    <mergeCell ref="D7485:D7490"/>
    <mergeCell ref="E7485:E7490"/>
    <mergeCell ref="F7485:F7490"/>
    <mergeCell ref="G7485:G7490"/>
    <mergeCell ref="H7485:H7490"/>
    <mergeCell ref="I7485:I7490"/>
    <mergeCell ref="J7485:J7490"/>
    <mergeCell ref="K7485:K7490"/>
    <mergeCell ref="L7485:L7490"/>
    <mergeCell ref="M7485:M7490"/>
    <mergeCell ref="N7485:N7490"/>
    <mergeCell ref="A7491:A7492"/>
    <mergeCell ref="B7491:B7492"/>
    <mergeCell ref="C7491:C7492"/>
    <mergeCell ref="D7491:D7492"/>
    <mergeCell ref="E7491:E7492"/>
    <mergeCell ref="F7491:F7492"/>
    <mergeCell ref="G7491:G7492"/>
    <mergeCell ref="H7491:H7492"/>
    <mergeCell ref="I7491:I7492"/>
    <mergeCell ref="J7491:J7492"/>
    <mergeCell ref="K7491:K7492"/>
    <mergeCell ref="L7491:L7492"/>
    <mergeCell ref="M7491:M7492"/>
    <mergeCell ref="N7491:N7492"/>
    <mergeCell ref="A7469:A7471"/>
    <mergeCell ref="B7469:B7471"/>
    <mergeCell ref="C7469:C7471"/>
    <mergeCell ref="D7469:D7471"/>
    <mergeCell ref="E7469:E7471"/>
    <mergeCell ref="F7469:F7471"/>
    <mergeCell ref="G7469:G7471"/>
    <mergeCell ref="H7469:H7471"/>
    <mergeCell ref="I7469:I7471"/>
    <mergeCell ref="J7469:J7471"/>
    <mergeCell ref="K7469:K7471"/>
    <mergeCell ref="L7469:L7471"/>
    <mergeCell ref="M7469:M7471"/>
    <mergeCell ref="N7469:N7471"/>
    <mergeCell ref="A7472:A7473"/>
    <mergeCell ref="B7472:B7473"/>
    <mergeCell ref="C7472:C7473"/>
    <mergeCell ref="D7472:D7473"/>
    <mergeCell ref="E7472:E7473"/>
    <mergeCell ref="F7472:F7473"/>
    <mergeCell ref="G7472:G7473"/>
    <mergeCell ref="H7472:H7473"/>
    <mergeCell ref="I7472:I7473"/>
    <mergeCell ref="J7472:J7473"/>
    <mergeCell ref="K7472:K7473"/>
    <mergeCell ref="L7472:L7473"/>
    <mergeCell ref="M7472:M7473"/>
    <mergeCell ref="N7472:N7473"/>
    <mergeCell ref="A7475:A7477"/>
    <mergeCell ref="B7475:B7477"/>
    <mergeCell ref="C7475:C7477"/>
    <mergeCell ref="D7475:D7477"/>
    <mergeCell ref="E7475:E7477"/>
    <mergeCell ref="F7475:F7477"/>
    <mergeCell ref="G7475:G7477"/>
    <mergeCell ref="H7475:H7477"/>
    <mergeCell ref="I7475:I7477"/>
    <mergeCell ref="J7475:J7477"/>
    <mergeCell ref="K7475:K7477"/>
    <mergeCell ref="L7475:L7477"/>
    <mergeCell ref="M7475:M7477"/>
    <mergeCell ref="N7475:N7477"/>
    <mergeCell ref="A7462:A7463"/>
    <mergeCell ref="B7462:B7463"/>
    <mergeCell ref="C7462:C7463"/>
    <mergeCell ref="D7462:D7463"/>
    <mergeCell ref="E7462:E7463"/>
    <mergeCell ref="F7462:F7463"/>
    <mergeCell ref="G7462:G7463"/>
    <mergeCell ref="H7462:H7463"/>
    <mergeCell ref="I7462:I7463"/>
    <mergeCell ref="J7462:J7463"/>
    <mergeCell ref="K7462:K7463"/>
    <mergeCell ref="L7462:L7463"/>
    <mergeCell ref="M7462:M7463"/>
    <mergeCell ref="N7462:N7463"/>
    <mergeCell ref="A7465:A7466"/>
    <mergeCell ref="B7465:B7466"/>
    <mergeCell ref="C7465:C7466"/>
    <mergeCell ref="D7465:D7466"/>
    <mergeCell ref="E7465:E7466"/>
    <mergeCell ref="F7465:F7466"/>
    <mergeCell ref="G7465:G7466"/>
    <mergeCell ref="H7465:H7466"/>
    <mergeCell ref="I7465:I7466"/>
    <mergeCell ref="J7465:J7466"/>
    <mergeCell ref="K7465:K7466"/>
    <mergeCell ref="L7465:L7466"/>
    <mergeCell ref="M7465:M7466"/>
    <mergeCell ref="N7465:N7466"/>
    <mergeCell ref="A7467:A7468"/>
    <mergeCell ref="B7467:B7468"/>
    <mergeCell ref="C7467:C7468"/>
    <mergeCell ref="D7467:D7468"/>
    <mergeCell ref="E7467:E7468"/>
    <mergeCell ref="F7467:F7468"/>
    <mergeCell ref="G7467:G7468"/>
    <mergeCell ref="H7467:H7468"/>
    <mergeCell ref="I7467:I7468"/>
    <mergeCell ref="J7467:J7468"/>
    <mergeCell ref="K7467:K7468"/>
    <mergeCell ref="L7467:L7468"/>
    <mergeCell ref="M7467:M7468"/>
    <mergeCell ref="N7467:N7468"/>
    <mergeCell ref="A7455:A7456"/>
    <mergeCell ref="B7455:B7456"/>
    <mergeCell ref="C7455:C7456"/>
    <mergeCell ref="D7455:D7456"/>
    <mergeCell ref="E7455:E7456"/>
    <mergeCell ref="F7455:F7456"/>
    <mergeCell ref="G7455:G7456"/>
    <mergeCell ref="H7455:H7456"/>
    <mergeCell ref="I7455:I7456"/>
    <mergeCell ref="J7455:J7456"/>
    <mergeCell ref="K7455:K7456"/>
    <mergeCell ref="L7455:L7456"/>
    <mergeCell ref="M7455:M7456"/>
    <mergeCell ref="N7455:N7456"/>
    <mergeCell ref="A7457:A7458"/>
    <mergeCell ref="B7457:B7458"/>
    <mergeCell ref="C7457:C7458"/>
    <mergeCell ref="D7457:D7458"/>
    <mergeCell ref="E7457:E7458"/>
    <mergeCell ref="F7457:F7458"/>
    <mergeCell ref="G7457:G7458"/>
    <mergeCell ref="H7457:H7458"/>
    <mergeCell ref="I7457:I7458"/>
    <mergeCell ref="J7457:J7458"/>
    <mergeCell ref="K7457:K7458"/>
    <mergeCell ref="L7457:L7458"/>
    <mergeCell ref="M7457:M7458"/>
    <mergeCell ref="N7457:N7458"/>
    <mergeCell ref="A7459:A7460"/>
    <mergeCell ref="B7459:B7460"/>
    <mergeCell ref="C7459:C7460"/>
    <mergeCell ref="D7459:D7460"/>
    <mergeCell ref="E7459:E7460"/>
    <mergeCell ref="F7459:F7460"/>
    <mergeCell ref="G7459:G7460"/>
    <mergeCell ref="H7459:H7460"/>
    <mergeCell ref="I7459:I7460"/>
    <mergeCell ref="J7459:J7460"/>
    <mergeCell ref="K7459:K7460"/>
    <mergeCell ref="L7459:L7460"/>
    <mergeCell ref="M7459:M7460"/>
    <mergeCell ref="N7459:N7460"/>
    <mergeCell ref="A7446:A7448"/>
    <mergeCell ref="B7446:B7448"/>
    <mergeCell ref="C7446:C7448"/>
    <mergeCell ref="D7446:D7448"/>
    <mergeCell ref="E7446:E7448"/>
    <mergeCell ref="F7446:F7448"/>
    <mergeCell ref="G7446:G7448"/>
    <mergeCell ref="H7446:H7448"/>
    <mergeCell ref="I7446:I7448"/>
    <mergeCell ref="J7446:J7448"/>
    <mergeCell ref="K7446:K7448"/>
    <mergeCell ref="L7446:L7448"/>
    <mergeCell ref="M7446:M7448"/>
    <mergeCell ref="N7446:N7448"/>
    <mergeCell ref="A7450:A7452"/>
    <mergeCell ref="B7450:B7452"/>
    <mergeCell ref="C7450:C7452"/>
    <mergeCell ref="D7450:D7452"/>
    <mergeCell ref="E7450:E7452"/>
    <mergeCell ref="F7450:F7452"/>
    <mergeCell ref="G7450:G7452"/>
    <mergeCell ref="H7450:H7452"/>
    <mergeCell ref="I7450:I7452"/>
    <mergeCell ref="J7450:J7452"/>
    <mergeCell ref="K7450:K7452"/>
    <mergeCell ref="L7450:L7452"/>
    <mergeCell ref="M7450:M7452"/>
    <mergeCell ref="N7450:N7452"/>
    <mergeCell ref="A7453:A7454"/>
    <mergeCell ref="B7453:B7454"/>
    <mergeCell ref="C7453:C7454"/>
    <mergeCell ref="D7453:D7454"/>
    <mergeCell ref="E7453:E7454"/>
    <mergeCell ref="F7453:F7454"/>
    <mergeCell ref="G7453:G7454"/>
    <mergeCell ref="H7453:H7454"/>
    <mergeCell ref="I7453:I7454"/>
    <mergeCell ref="J7453:J7454"/>
    <mergeCell ref="K7453:K7454"/>
    <mergeCell ref="L7453:L7454"/>
    <mergeCell ref="M7453:M7454"/>
    <mergeCell ref="N7453:N7454"/>
    <mergeCell ref="A7439:A7440"/>
    <mergeCell ref="B7439:B7440"/>
    <mergeCell ref="C7439:C7440"/>
    <mergeCell ref="D7439:D7440"/>
    <mergeCell ref="E7439:E7440"/>
    <mergeCell ref="F7439:F7440"/>
    <mergeCell ref="G7439:G7440"/>
    <mergeCell ref="H7439:H7440"/>
    <mergeCell ref="I7439:I7440"/>
    <mergeCell ref="J7439:J7440"/>
    <mergeCell ref="K7439:K7440"/>
    <mergeCell ref="L7439:L7440"/>
    <mergeCell ref="M7439:M7440"/>
    <mergeCell ref="N7439:N7440"/>
    <mergeCell ref="A7441:A7442"/>
    <mergeCell ref="B7441:B7442"/>
    <mergeCell ref="C7441:C7442"/>
    <mergeCell ref="D7441:D7442"/>
    <mergeCell ref="E7441:E7442"/>
    <mergeCell ref="F7441:F7442"/>
    <mergeCell ref="G7441:G7442"/>
    <mergeCell ref="H7441:H7442"/>
    <mergeCell ref="I7441:I7442"/>
    <mergeCell ref="J7441:J7442"/>
    <mergeCell ref="K7441:K7442"/>
    <mergeCell ref="L7441:L7442"/>
    <mergeCell ref="M7441:M7442"/>
    <mergeCell ref="N7441:N7442"/>
    <mergeCell ref="A7444:A7445"/>
    <mergeCell ref="B7444:B7445"/>
    <mergeCell ref="C7444:C7445"/>
    <mergeCell ref="D7444:D7445"/>
    <mergeCell ref="E7444:E7445"/>
    <mergeCell ref="F7444:F7445"/>
    <mergeCell ref="G7444:G7445"/>
    <mergeCell ref="H7444:H7445"/>
    <mergeCell ref="I7444:I7445"/>
    <mergeCell ref="J7444:J7445"/>
    <mergeCell ref="K7444:K7445"/>
    <mergeCell ref="L7444:L7445"/>
    <mergeCell ref="M7444:M7445"/>
    <mergeCell ref="N7444:N7445"/>
    <mergeCell ref="A7432:A7433"/>
    <mergeCell ref="B7432:B7433"/>
    <mergeCell ref="C7432:C7433"/>
    <mergeCell ref="D7432:D7433"/>
    <mergeCell ref="E7432:E7433"/>
    <mergeCell ref="F7432:F7433"/>
    <mergeCell ref="G7432:G7433"/>
    <mergeCell ref="H7432:H7433"/>
    <mergeCell ref="I7432:I7433"/>
    <mergeCell ref="J7432:J7433"/>
    <mergeCell ref="K7432:K7433"/>
    <mergeCell ref="L7432:L7433"/>
    <mergeCell ref="M7432:M7433"/>
    <mergeCell ref="N7432:N7433"/>
    <mergeCell ref="A7434:A7435"/>
    <mergeCell ref="B7434:B7435"/>
    <mergeCell ref="C7434:C7435"/>
    <mergeCell ref="D7434:D7435"/>
    <mergeCell ref="E7434:E7435"/>
    <mergeCell ref="F7434:F7435"/>
    <mergeCell ref="G7434:G7435"/>
    <mergeCell ref="H7434:H7435"/>
    <mergeCell ref="I7434:I7435"/>
    <mergeCell ref="J7434:J7435"/>
    <mergeCell ref="K7434:K7435"/>
    <mergeCell ref="L7434:L7435"/>
    <mergeCell ref="M7434:M7435"/>
    <mergeCell ref="N7434:N7435"/>
    <mergeCell ref="A7437:A7438"/>
    <mergeCell ref="B7437:B7438"/>
    <mergeCell ref="C7437:C7438"/>
    <mergeCell ref="D7437:D7438"/>
    <mergeCell ref="E7437:E7438"/>
    <mergeCell ref="F7437:F7438"/>
    <mergeCell ref="G7437:G7438"/>
    <mergeCell ref="H7437:H7438"/>
    <mergeCell ref="I7437:I7438"/>
    <mergeCell ref="J7437:J7438"/>
    <mergeCell ref="K7437:K7438"/>
    <mergeCell ref="L7437:L7438"/>
    <mergeCell ref="M7437:M7438"/>
    <mergeCell ref="N7437:N7438"/>
    <mergeCell ref="A7417:A7422"/>
    <mergeCell ref="B7417:B7422"/>
    <mergeCell ref="C7417:C7422"/>
    <mergeCell ref="D7417:D7422"/>
    <mergeCell ref="E7417:E7422"/>
    <mergeCell ref="F7417:F7422"/>
    <mergeCell ref="G7417:G7422"/>
    <mergeCell ref="H7417:H7422"/>
    <mergeCell ref="I7417:I7422"/>
    <mergeCell ref="J7417:J7422"/>
    <mergeCell ref="K7417:K7422"/>
    <mergeCell ref="L7417:L7422"/>
    <mergeCell ref="M7417:M7422"/>
    <mergeCell ref="N7417:N7422"/>
    <mergeCell ref="A7423:A7425"/>
    <mergeCell ref="B7423:B7425"/>
    <mergeCell ref="C7423:C7425"/>
    <mergeCell ref="D7423:D7425"/>
    <mergeCell ref="E7423:E7425"/>
    <mergeCell ref="F7423:F7425"/>
    <mergeCell ref="G7423:G7425"/>
    <mergeCell ref="H7423:H7425"/>
    <mergeCell ref="I7423:I7425"/>
    <mergeCell ref="J7423:J7425"/>
    <mergeCell ref="K7423:K7425"/>
    <mergeCell ref="L7423:L7425"/>
    <mergeCell ref="M7423:M7425"/>
    <mergeCell ref="N7423:N7425"/>
    <mergeCell ref="A7426:A7428"/>
    <mergeCell ref="B7426:B7428"/>
    <mergeCell ref="C7426:C7428"/>
    <mergeCell ref="D7426:D7428"/>
    <mergeCell ref="E7426:E7428"/>
    <mergeCell ref="F7426:F7428"/>
    <mergeCell ref="G7426:G7428"/>
    <mergeCell ref="H7426:H7428"/>
    <mergeCell ref="I7426:I7428"/>
    <mergeCell ref="J7426:J7428"/>
    <mergeCell ref="K7426:K7428"/>
    <mergeCell ref="L7426:L7428"/>
    <mergeCell ref="M7426:M7428"/>
    <mergeCell ref="N7426:N7428"/>
    <mergeCell ref="A7410:A7411"/>
    <mergeCell ref="B7410:B7411"/>
    <mergeCell ref="C7410:C7411"/>
    <mergeCell ref="D7410:D7411"/>
    <mergeCell ref="E7410:E7411"/>
    <mergeCell ref="F7410:F7411"/>
    <mergeCell ref="G7410:G7411"/>
    <mergeCell ref="H7410:H7411"/>
    <mergeCell ref="I7410:I7411"/>
    <mergeCell ref="J7410:J7411"/>
    <mergeCell ref="K7410:K7411"/>
    <mergeCell ref="L7410:L7411"/>
    <mergeCell ref="M7410:M7411"/>
    <mergeCell ref="N7410:N7411"/>
    <mergeCell ref="A7412:A7413"/>
    <mergeCell ref="B7412:B7413"/>
    <mergeCell ref="C7412:C7413"/>
    <mergeCell ref="D7412:D7413"/>
    <mergeCell ref="E7412:E7413"/>
    <mergeCell ref="F7412:F7413"/>
    <mergeCell ref="G7412:G7413"/>
    <mergeCell ref="H7412:H7413"/>
    <mergeCell ref="I7412:I7413"/>
    <mergeCell ref="J7412:J7413"/>
    <mergeCell ref="K7412:K7413"/>
    <mergeCell ref="L7412:L7413"/>
    <mergeCell ref="M7412:M7413"/>
    <mergeCell ref="N7412:N7413"/>
    <mergeCell ref="A7415:A7416"/>
    <mergeCell ref="B7415:B7416"/>
    <mergeCell ref="C7415:C7416"/>
    <mergeCell ref="D7415:D7416"/>
    <mergeCell ref="E7415:E7416"/>
    <mergeCell ref="F7415:F7416"/>
    <mergeCell ref="G7415:G7416"/>
    <mergeCell ref="H7415:H7416"/>
    <mergeCell ref="I7415:I7416"/>
    <mergeCell ref="J7415:J7416"/>
    <mergeCell ref="K7415:K7416"/>
    <mergeCell ref="L7415:L7416"/>
    <mergeCell ref="M7415:M7416"/>
    <mergeCell ref="N7415:N7416"/>
    <mergeCell ref="A7403:A7404"/>
    <mergeCell ref="B7403:B7404"/>
    <mergeCell ref="C7403:C7404"/>
    <mergeCell ref="D7403:D7404"/>
    <mergeCell ref="E7403:E7404"/>
    <mergeCell ref="F7403:F7404"/>
    <mergeCell ref="G7403:G7404"/>
    <mergeCell ref="H7403:H7404"/>
    <mergeCell ref="I7403:I7404"/>
    <mergeCell ref="J7403:J7404"/>
    <mergeCell ref="K7403:K7404"/>
    <mergeCell ref="L7403:L7404"/>
    <mergeCell ref="M7403:M7404"/>
    <mergeCell ref="N7403:N7404"/>
    <mergeCell ref="A7405:A7407"/>
    <mergeCell ref="B7405:B7407"/>
    <mergeCell ref="C7405:C7407"/>
    <mergeCell ref="D7405:D7407"/>
    <mergeCell ref="E7405:E7407"/>
    <mergeCell ref="F7405:F7407"/>
    <mergeCell ref="G7405:G7407"/>
    <mergeCell ref="H7405:H7407"/>
    <mergeCell ref="I7405:I7407"/>
    <mergeCell ref="J7405:J7407"/>
    <mergeCell ref="K7405:K7407"/>
    <mergeCell ref="L7405:L7407"/>
    <mergeCell ref="M7405:M7407"/>
    <mergeCell ref="N7405:N7407"/>
    <mergeCell ref="A7408:A7409"/>
    <mergeCell ref="B7408:B7409"/>
    <mergeCell ref="C7408:C7409"/>
    <mergeCell ref="D7408:D7409"/>
    <mergeCell ref="E7408:E7409"/>
    <mergeCell ref="F7408:F7409"/>
    <mergeCell ref="G7408:G7409"/>
    <mergeCell ref="H7408:H7409"/>
    <mergeCell ref="I7408:I7409"/>
    <mergeCell ref="J7408:J7409"/>
    <mergeCell ref="K7408:K7409"/>
    <mergeCell ref="L7408:L7409"/>
    <mergeCell ref="M7408:M7409"/>
    <mergeCell ref="N7408:N7409"/>
    <mergeCell ref="A7390:A7393"/>
    <mergeCell ref="B7390:B7393"/>
    <mergeCell ref="C7390:C7393"/>
    <mergeCell ref="D7390:D7393"/>
    <mergeCell ref="E7390:E7393"/>
    <mergeCell ref="F7390:F7393"/>
    <mergeCell ref="G7390:G7393"/>
    <mergeCell ref="H7390:H7393"/>
    <mergeCell ref="I7390:I7393"/>
    <mergeCell ref="J7390:J7393"/>
    <mergeCell ref="K7390:K7393"/>
    <mergeCell ref="L7390:L7393"/>
    <mergeCell ref="M7390:M7393"/>
    <mergeCell ref="N7390:N7393"/>
    <mergeCell ref="A7395:A7397"/>
    <mergeCell ref="B7395:B7397"/>
    <mergeCell ref="C7395:C7397"/>
    <mergeCell ref="D7395:D7397"/>
    <mergeCell ref="E7395:E7397"/>
    <mergeCell ref="F7395:F7397"/>
    <mergeCell ref="G7395:G7397"/>
    <mergeCell ref="H7395:H7397"/>
    <mergeCell ref="I7395:I7397"/>
    <mergeCell ref="J7395:J7397"/>
    <mergeCell ref="K7395:K7397"/>
    <mergeCell ref="L7395:L7397"/>
    <mergeCell ref="M7395:M7397"/>
    <mergeCell ref="N7395:N7397"/>
    <mergeCell ref="A7400:A7401"/>
    <mergeCell ref="B7400:B7401"/>
    <mergeCell ref="C7400:C7401"/>
    <mergeCell ref="D7400:D7401"/>
    <mergeCell ref="E7400:E7401"/>
    <mergeCell ref="F7400:F7401"/>
    <mergeCell ref="G7400:G7401"/>
    <mergeCell ref="H7400:H7401"/>
    <mergeCell ref="I7400:I7401"/>
    <mergeCell ref="J7400:J7401"/>
    <mergeCell ref="K7400:K7401"/>
    <mergeCell ref="L7400:L7401"/>
    <mergeCell ref="M7400:M7401"/>
    <mergeCell ref="N7400:N7401"/>
    <mergeCell ref="A7375:A7376"/>
    <mergeCell ref="B7375:B7376"/>
    <mergeCell ref="C7375:C7376"/>
    <mergeCell ref="D7375:D7376"/>
    <mergeCell ref="E7375:E7376"/>
    <mergeCell ref="F7375:F7376"/>
    <mergeCell ref="G7375:G7376"/>
    <mergeCell ref="H7375:H7376"/>
    <mergeCell ref="I7375:I7376"/>
    <mergeCell ref="J7375:J7376"/>
    <mergeCell ref="K7375:K7376"/>
    <mergeCell ref="L7375:L7376"/>
    <mergeCell ref="M7375:M7376"/>
    <mergeCell ref="N7375:N7376"/>
    <mergeCell ref="A7383:A7384"/>
    <mergeCell ref="B7383:B7384"/>
    <mergeCell ref="C7383:C7384"/>
    <mergeCell ref="D7383:D7384"/>
    <mergeCell ref="E7383:E7384"/>
    <mergeCell ref="F7383:F7384"/>
    <mergeCell ref="G7383:G7384"/>
    <mergeCell ref="H7383:H7384"/>
    <mergeCell ref="I7383:I7384"/>
    <mergeCell ref="J7383:J7384"/>
    <mergeCell ref="K7383:K7384"/>
    <mergeCell ref="L7383:L7384"/>
    <mergeCell ref="M7383:M7384"/>
    <mergeCell ref="N7383:N7384"/>
    <mergeCell ref="A7385:A7388"/>
    <mergeCell ref="B7385:B7388"/>
    <mergeCell ref="C7385:C7388"/>
    <mergeCell ref="D7385:D7388"/>
    <mergeCell ref="E7385:E7388"/>
    <mergeCell ref="F7385:F7388"/>
    <mergeCell ref="G7385:G7388"/>
    <mergeCell ref="H7385:H7388"/>
    <mergeCell ref="I7385:I7388"/>
    <mergeCell ref="J7385:J7388"/>
    <mergeCell ref="K7385:K7388"/>
    <mergeCell ref="L7385:L7388"/>
    <mergeCell ref="M7385:M7388"/>
    <mergeCell ref="N7385:N7388"/>
    <mergeCell ref="A7362:A7367"/>
    <mergeCell ref="B7362:B7367"/>
    <mergeCell ref="C7362:C7367"/>
    <mergeCell ref="D7362:D7367"/>
    <mergeCell ref="E7362:E7367"/>
    <mergeCell ref="F7362:F7367"/>
    <mergeCell ref="G7362:G7367"/>
    <mergeCell ref="H7362:H7367"/>
    <mergeCell ref="I7362:I7367"/>
    <mergeCell ref="J7362:J7367"/>
    <mergeCell ref="K7362:K7367"/>
    <mergeCell ref="L7362:L7367"/>
    <mergeCell ref="M7362:M7367"/>
    <mergeCell ref="N7362:N7367"/>
    <mergeCell ref="A7368:A7369"/>
    <mergeCell ref="B7368:B7369"/>
    <mergeCell ref="C7368:C7369"/>
    <mergeCell ref="D7368:D7369"/>
    <mergeCell ref="E7368:E7369"/>
    <mergeCell ref="F7368:F7369"/>
    <mergeCell ref="G7368:G7369"/>
    <mergeCell ref="H7368:H7369"/>
    <mergeCell ref="I7368:I7369"/>
    <mergeCell ref="J7368:J7369"/>
    <mergeCell ref="K7368:K7369"/>
    <mergeCell ref="L7368:L7369"/>
    <mergeCell ref="M7368:M7369"/>
    <mergeCell ref="N7368:N7369"/>
    <mergeCell ref="A7372:A7374"/>
    <mergeCell ref="B7372:B7374"/>
    <mergeCell ref="C7372:C7374"/>
    <mergeCell ref="D7372:D7374"/>
    <mergeCell ref="E7372:E7374"/>
    <mergeCell ref="F7372:F7374"/>
    <mergeCell ref="G7372:G7374"/>
    <mergeCell ref="H7372:H7374"/>
    <mergeCell ref="I7372:I7374"/>
    <mergeCell ref="J7372:J7374"/>
    <mergeCell ref="K7372:K7374"/>
    <mergeCell ref="L7372:L7374"/>
    <mergeCell ref="M7372:M7374"/>
    <mergeCell ref="N7372:N7374"/>
    <mergeCell ref="A7352:A7353"/>
    <mergeCell ref="B7352:B7353"/>
    <mergeCell ref="C7352:C7353"/>
    <mergeCell ref="D7352:D7353"/>
    <mergeCell ref="E7352:E7353"/>
    <mergeCell ref="F7352:F7353"/>
    <mergeCell ref="G7352:G7353"/>
    <mergeCell ref="H7352:H7353"/>
    <mergeCell ref="I7352:I7353"/>
    <mergeCell ref="J7352:J7353"/>
    <mergeCell ref="K7352:K7353"/>
    <mergeCell ref="L7352:L7353"/>
    <mergeCell ref="M7352:M7353"/>
    <mergeCell ref="N7352:N7353"/>
    <mergeCell ref="A7354:A7357"/>
    <mergeCell ref="B7354:B7357"/>
    <mergeCell ref="C7354:C7357"/>
    <mergeCell ref="D7354:D7357"/>
    <mergeCell ref="E7354:E7357"/>
    <mergeCell ref="F7354:F7357"/>
    <mergeCell ref="G7354:G7357"/>
    <mergeCell ref="H7354:H7357"/>
    <mergeCell ref="I7354:I7357"/>
    <mergeCell ref="J7354:J7357"/>
    <mergeCell ref="K7354:K7357"/>
    <mergeCell ref="L7354:L7357"/>
    <mergeCell ref="M7354:M7357"/>
    <mergeCell ref="N7354:N7357"/>
    <mergeCell ref="A7358:A7359"/>
    <mergeCell ref="B7358:B7359"/>
    <mergeCell ref="C7358:C7359"/>
    <mergeCell ref="D7358:D7359"/>
    <mergeCell ref="E7358:E7359"/>
    <mergeCell ref="F7358:F7359"/>
    <mergeCell ref="G7358:G7359"/>
    <mergeCell ref="H7358:H7359"/>
    <mergeCell ref="I7358:I7359"/>
    <mergeCell ref="J7358:J7359"/>
    <mergeCell ref="K7358:K7359"/>
    <mergeCell ref="L7358:L7359"/>
    <mergeCell ref="M7358:M7359"/>
    <mergeCell ref="N7358:N7359"/>
    <mergeCell ref="A7345:A7347"/>
    <mergeCell ref="B7345:B7347"/>
    <mergeCell ref="C7345:C7347"/>
    <mergeCell ref="D7345:D7347"/>
    <mergeCell ref="E7345:E7347"/>
    <mergeCell ref="F7345:F7347"/>
    <mergeCell ref="G7345:G7347"/>
    <mergeCell ref="H7345:H7347"/>
    <mergeCell ref="I7345:I7347"/>
    <mergeCell ref="J7345:J7347"/>
    <mergeCell ref="K7345:K7347"/>
    <mergeCell ref="L7345:L7347"/>
    <mergeCell ref="M7345:M7347"/>
    <mergeCell ref="N7345:N7347"/>
    <mergeCell ref="A7348:A7349"/>
    <mergeCell ref="B7348:B7349"/>
    <mergeCell ref="C7348:C7349"/>
    <mergeCell ref="D7348:D7349"/>
    <mergeCell ref="E7348:E7349"/>
    <mergeCell ref="F7348:F7349"/>
    <mergeCell ref="G7348:G7349"/>
    <mergeCell ref="H7348:H7349"/>
    <mergeCell ref="I7348:I7349"/>
    <mergeCell ref="J7348:J7349"/>
    <mergeCell ref="K7348:K7349"/>
    <mergeCell ref="L7348:L7349"/>
    <mergeCell ref="M7348:M7349"/>
    <mergeCell ref="N7348:N7349"/>
    <mergeCell ref="A7350:A7351"/>
    <mergeCell ref="B7350:B7351"/>
    <mergeCell ref="C7350:C7351"/>
    <mergeCell ref="D7350:D7351"/>
    <mergeCell ref="E7350:E7351"/>
    <mergeCell ref="F7350:F7351"/>
    <mergeCell ref="G7350:G7351"/>
    <mergeCell ref="H7350:H7351"/>
    <mergeCell ref="I7350:I7351"/>
    <mergeCell ref="J7350:J7351"/>
    <mergeCell ref="K7350:K7351"/>
    <mergeCell ref="L7350:L7351"/>
    <mergeCell ref="M7350:M7351"/>
    <mergeCell ref="N7350:N7351"/>
    <mergeCell ref="A7339:A7340"/>
    <mergeCell ref="B7339:B7340"/>
    <mergeCell ref="C7339:C7340"/>
    <mergeCell ref="D7339:D7340"/>
    <mergeCell ref="E7339:E7340"/>
    <mergeCell ref="F7339:F7340"/>
    <mergeCell ref="G7339:G7340"/>
    <mergeCell ref="H7339:H7340"/>
    <mergeCell ref="I7339:I7340"/>
    <mergeCell ref="J7339:J7340"/>
    <mergeCell ref="K7339:K7340"/>
    <mergeCell ref="L7339:L7340"/>
    <mergeCell ref="M7339:M7340"/>
    <mergeCell ref="N7339:N7340"/>
    <mergeCell ref="A7341:A7342"/>
    <mergeCell ref="B7341:B7342"/>
    <mergeCell ref="C7341:C7342"/>
    <mergeCell ref="D7341:D7342"/>
    <mergeCell ref="E7341:E7342"/>
    <mergeCell ref="F7341:F7342"/>
    <mergeCell ref="G7341:G7342"/>
    <mergeCell ref="H7341:H7342"/>
    <mergeCell ref="I7341:I7342"/>
    <mergeCell ref="J7341:J7342"/>
    <mergeCell ref="K7341:K7342"/>
    <mergeCell ref="L7341:L7342"/>
    <mergeCell ref="M7341:M7342"/>
    <mergeCell ref="N7341:N7342"/>
    <mergeCell ref="A7343:A7344"/>
    <mergeCell ref="B7343:B7344"/>
    <mergeCell ref="C7343:C7344"/>
    <mergeCell ref="D7343:D7344"/>
    <mergeCell ref="E7343:E7344"/>
    <mergeCell ref="F7343:F7344"/>
    <mergeCell ref="G7343:G7344"/>
    <mergeCell ref="H7343:H7344"/>
    <mergeCell ref="I7343:I7344"/>
    <mergeCell ref="J7343:J7344"/>
    <mergeCell ref="K7343:K7344"/>
    <mergeCell ref="L7343:L7344"/>
    <mergeCell ref="M7343:M7344"/>
    <mergeCell ref="N7343:N7344"/>
    <mergeCell ref="A7330:A7331"/>
    <mergeCell ref="B7330:B7331"/>
    <mergeCell ref="C7330:C7331"/>
    <mergeCell ref="D7330:D7331"/>
    <mergeCell ref="E7330:E7331"/>
    <mergeCell ref="F7330:F7331"/>
    <mergeCell ref="G7330:G7331"/>
    <mergeCell ref="H7330:H7331"/>
    <mergeCell ref="I7330:I7331"/>
    <mergeCell ref="J7330:J7331"/>
    <mergeCell ref="K7330:K7331"/>
    <mergeCell ref="L7330:L7331"/>
    <mergeCell ref="M7330:M7331"/>
    <mergeCell ref="N7330:N7331"/>
    <mergeCell ref="A7332:A7333"/>
    <mergeCell ref="B7332:B7333"/>
    <mergeCell ref="C7332:C7333"/>
    <mergeCell ref="D7332:D7333"/>
    <mergeCell ref="E7332:E7333"/>
    <mergeCell ref="F7332:F7333"/>
    <mergeCell ref="G7332:G7333"/>
    <mergeCell ref="H7332:H7333"/>
    <mergeCell ref="I7332:I7333"/>
    <mergeCell ref="J7332:J7333"/>
    <mergeCell ref="K7332:K7333"/>
    <mergeCell ref="L7332:L7333"/>
    <mergeCell ref="M7332:M7333"/>
    <mergeCell ref="N7332:N7333"/>
    <mergeCell ref="A7335:A7338"/>
    <mergeCell ref="B7335:B7338"/>
    <mergeCell ref="C7335:C7338"/>
    <mergeCell ref="D7335:D7338"/>
    <mergeCell ref="E7335:E7338"/>
    <mergeCell ref="F7335:F7338"/>
    <mergeCell ref="G7335:G7338"/>
    <mergeCell ref="H7335:H7338"/>
    <mergeCell ref="I7335:I7338"/>
    <mergeCell ref="J7335:J7338"/>
    <mergeCell ref="K7335:K7338"/>
    <mergeCell ref="L7335:L7338"/>
    <mergeCell ref="M7335:M7338"/>
    <mergeCell ref="N7335:N7338"/>
    <mergeCell ref="A7323:A7324"/>
    <mergeCell ref="B7323:B7324"/>
    <mergeCell ref="C7323:C7324"/>
    <mergeCell ref="D7323:D7324"/>
    <mergeCell ref="E7323:E7324"/>
    <mergeCell ref="F7323:F7324"/>
    <mergeCell ref="G7323:G7324"/>
    <mergeCell ref="H7323:H7324"/>
    <mergeCell ref="I7323:I7324"/>
    <mergeCell ref="J7323:J7324"/>
    <mergeCell ref="K7323:K7324"/>
    <mergeCell ref="L7323:L7324"/>
    <mergeCell ref="M7323:M7324"/>
    <mergeCell ref="N7323:N7324"/>
    <mergeCell ref="A7325:A7326"/>
    <mergeCell ref="B7325:B7326"/>
    <mergeCell ref="C7325:C7326"/>
    <mergeCell ref="D7325:D7326"/>
    <mergeCell ref="E7325:E7326"/>
    <mergeCell ref="F7325:F7326"/>
    <mergeCell ref="G7325:G7326"/>
    <mergeCell ref="H7325:H7326"/>
    <mergeCell ref="I7325:I7326"/>
    <mergeCell ref="J7325:J7326"/>
    <mergeCell ref="K7325:K7326"/>
    <mergeCell ref="L7325:L7326"/>
    <mergeCell ref="M7325:M7326"/>
    <mergeCell ref="N7325:N7326"/>
    <mergeCell ref="A7327:A7328"/>
    <mergeCell ref="B7327:B7328"/>
    <mergeCell ref="C7327:C7328"/>
    <mergeCell ref="D7327:D7328"/>
    <mergeCell ref="E7327:E7328"/>
    <mergeCell ref="F7327:F7328"/>
    <mergeCell ref="G7327:G7328"/>
    <mergeCell ref="H7327:H7328"/>
    <mergeCell ref="I7327:I7328"/>
    <mergeCell ref="J7327:J7328"/>
    <mergeCell ref="K7327:K7328"/>
    <mergeCell ref="L7327:L7328"/>
    <mergeCell ref="M7327:M7328"/>
    <mergeCell ref="N7327:N7328"/>
    <mergeCell ref="A7313:A7315"/>
    <mergeCell ref="B7313:B7315"/>
    <mergeCell ref="C7313:C7315"/>
    <mergeCell ref="D7313:D7315"/>
    <mergeCell ref="E7313:E7315"/>
    <mergeCell ref="F7313:F7315"/>
    <mergeCell ref="G7313:G7315"/>
    <mergeCell ref="H7313:H7315"/>
    <mergeCell ref="I7313:I7315"/>
    <mergeCell ref="J7313:J7315"/>
    <mergeCell ref="K7313:K7315"/>
    <mergeCell ref="L7313:L7315"/>
    <mergeCell ref="M7313:M7315"/>
    <mergeCell ref="N7313:N7315"/>
    <mergeCell ref="A7316:A7318"/>
    <mergeCell ref="B7316:B7318"/>
    <mergeCell ref="C7316:C7318"/>
    <mergeCell ref="D7316:D7318"/>
    <mergeCell ref="E7316:E7318"/>
    <mergeCell ref="F7316:F7318"/>
    <mergeCell ref="G7316:G7318"/>
    <mergeCell ref="H7316:H7318"/>
    <mergeCell ref="I7316:I7318"/>
    <mergeCell ref="J7316:J7318"/>
    <mergeCell ref="K7316:K7318"/>
    <mergeCell ref="L7316:L7318"/>
    <mergeCell ref="M7316:M7318"/>
    <mergeCell ref="N7316:N7318"/>
    <mergeCell ref="A7321:A7322"/>
    <mergeCell ref="B7321:B7322"/>
    <mergeCell ref="C7321:C7322"/>
    <mergeCell ref="D7321:D7322"/>
    <mergeCell ref="E7321:E7322"/>
    <mergeCell ref="F7321:F7322"/>
    <mergeCell ref="G7321:G7322"/>
    <mergeCell ref="H7321:H7322"/>
    <mergeCell ref="I7321:I7322"/>
    <mergeCell ref="J7321:J7322"/>
    <mergeCell ref="K7321:K7322"/>
    <mergeCell ref="L7321:L7322"/>
    <mergeCell ref="M7321:M7322"/>
    <mergeCell ref="N7321:N7322"/>
    <mergeCell ref="A7303:A7305"/>
    <mergeCell ref="B7303:B7305"/>
    <mergeCell ref="C7303:C7305"/>
    <mergeCell ref="D7303:D7305"/>
    <mergeCell ref="E7303:E7305"/>
    <mergeCell ref="F7303:F7305"/>
    <mergeCell ref="G7303:G7305"/>
    <mergeCell ref="H7303:H7305"/>
    <mergeCell ref="I7303:I7305"/>
    <mergeCell ref="J7303:J7305"/>
    <mergeCell ref="K7303:K7305"/>
    <mergeCell ref="L7303:L7305"/>
    <mergeCell ref="M7303:M7305"/>
    <mergeCell ref="N7303:N7305"/>
    <mergeCell ref="A7306:A7307"/>
    <mergeCell ref="B7306:B7307"/>
    <mergeCell ref="C7306:C7307"/>
    <mergeCell ref="D7306:D7307"/>
    <mergeCell ref="E7306:E7307"/>
    <mergeCell ref="F7306:F7307"/>
    <mergeCell ref="G7306:G7307"/>
    <mergeCell ref="H7306:H7307"/>
    <mergeCell ref="I7306:I7307"/>
    <mergeCell ref="J7306:J7307"/>
    <mergeCell ref="K7306:K7307"/>
    <mergeCell ref="L7306:L7307"/>
    <mergeCell ref="M7306:M7307"/>
    <mergeCell ref="N7306:N7307"/>
    <mergeCell ref="A7308:A7310"/>
    <mergeCell ref="B7308:B7310"/>
    <mergeCell ref="C7308:C7310"/>
    <mergeCell ref="D7308:D7310"/>
    <mergeCell ref="E7308:E7310"/>
    <mergeCell ref="F7308:F7310"/>
    <mergeCell ref="G7308:G7310"/>
    <mergeCell ref="H7308:H7310"/>
    <mergeCell ref="I7308:I7310"/>
    <mergeCell ref="J7308:J7310"/>
    <mergeCell ref="K7308:K7310"/>
    <mergeCell ref="L7308:L7310"/>
    <mergeCell ref="M7308:M7310"/>
    <mergeCell ref="N7308:N7310"/>
    <mergeCell ref="A7296:A7298"/>
    <mergeCell ref="B7296:B7298"/>
    <mergeCell ref="C7296:C7298"/>
    <mergeCell ref="D7296:D7298"/>
    <mergeCell ref="E7296:E7298"/>
    <mergeCell ref="F7296:F7298"/>
    <mergeCell ref="G7296:G7298"/>
    <mergeCell ref="H7296:H7298"/>
    <mergeCell ref="I7296:I7298"/>
    <mergeCell ref="J7296:J7298"/>
    <mergeCell ref="K7296:K7298"/>
    <mergeCell ref="L7296:L7298"/>
    <mergeCell ref="M7296:M7298"/>
    <mergeCell ref="N7296:N7298"/>
    <mergeCell ref="A7299:A7300"/>
    <mergeCell ref="B7299:B7300"/>
    <mergeCell ref="C7299:C7300"/>
    <mergeCell ref="D7299:D7300"/>
    <mergeCell ref="E7299:E7300"/>
    <mergeCell ref="F7299:F7300"/>
    <mergeCell ref="G7299:G7300"/>
    <mergeCell ref="H7299:H7300"/>
    <mergeCell ref="I7299:I7300"/>
    <mergeCell ref="J7299:J7300"/>
    <mergeCell ref="K7299:K7300"/>
    <mergeCell ref="L7299:L7300"/>
    <mergeCell ref="M7299:M7300"/>
    <mergeCell ref="N7299:N7300"/>
    <mergeCell ref="A7301:A7302"/>
    <mergeCell ref="B7301:B7302"/>
    <mergeCell ref="C7301:C7302"/>
    <mergeCell ref="D7301:D7302"/>
    <mergeCell ref="E7301:E7302"/>
    <mergeCell ref="F7301:F7302"/>
    <mergeCell ref="G7301:G7302"/>
    <mergeCell ref="H7301:H7302"/>
    <mergeCell ref="I7301:I7302"/>
    <mergeCell ref="J7301:J7302"/>
    <mergeCell ref="K7301:K7302"/>
    <mergeCell ref="L7301:L7302"/>
    <mergeCell ref="M7301:M7302"/>
    <mergeCell ref="N7301:N7302"/>
    <mergeCell ref="A7284:A7285"/>
    <mergeCell ref="B7284:B7285"/>
    <mergeCell ref="C7284:C7285"/>
    <mergeCell ref="D7284:D7285"/>
    <mergeCell ref="E7284:E7285"/>
    <mergeCell ref="F7284:F7285"/>
    <mergeCell ref="G7284:G7285"/>
    <mergeCell ref="H7284:H7285"/>
    <mergeCell ref="I7284:I7285"/>
    <mergeCell ref="J7284:J7285"/>
    <mergeCell ref="K7284:K7285"/>
    <mergeCell ref="L7284:L7285"/>
    <mergeCell ref="M7284:M7285"/>
    <mergeCell ref="N7284:N7285"/>
    <mergeCell ref="A7290:A7292"/>
    <mergeCell ref="B7290:B7292"/>
    <mergeCell ref="C7290:C7292"/>
    <mergeCell ref="D7290:D7292"/>
    <mergeCell ref="E7290:E7292"/>
    <mergeCell ref="F7290:F7292"/>
    <mergeCell ref="G7290:G7292"/>
    <mergeCell ref="H7290:H7292"/>
    <mergeCell ref="I7290:I7292"/>
    <mergeCell ref="J7290:J7292"/>
    <mergeCell ref="K7290:K7292"/>
    <mergeCell ref="L7290:L7292"/>
    <mergeCell ref="M7290:M7292"/>
    <mergeCell ref="N7290:N7292"/>
    <mergeCell ref="A7293:A7294"/>
    <mergeCell ref="B7293:B7294"/>
    <mergeCell ref="C7293:C7294"/>
    <mergeCell ref="D7293:D7294"/>
    <mergeCell ref="E7293:E7294"/>
    <mergeCell ref="F7293:F7294"/>
    <mergeCell ref="G7293:G7294"/>
    <mergeCell ref="H7293:H7294"/>
    <mergeCell ref="I7293:I7294"/>
    <mergeCell ref="J7293:J7294"/>
    <mergeCell ref="K7293:K7294"/>
    <mergeCell ref="L7293:L7294"/>
    <mergeCell ref="M7293:M7294"/>
    <mergeCell ref="N7293:N7294"/>
    <mergeCell ref="A7274:A7276"/>
    <mergeCell ref="B7274:B7276"/>
    <mergeCell ref="C7274:C7276"/>
    <mergeCell ref="D7274:D7276"/>
    <mergeCell ref="E7274:E7276"/>
    <mergeCell ref="F7274:F7276"/>
    <mergeCell ref="G7274:G7276"/>
    <mergeCell ref="H7274:H7276"/>
    <mergeCell ref="I7274:I7276"/>
    <mergeCell ref="J7274:J7276"/>
    <mergeCell ref="K7274:K7276"/>
    <mergeCell ref="L7274:L7276"/>
    <mergeCell ref="M7274:M7276"/>
    <mergeCell ref="N7274:N7276"/>
    <mergeCell ref="A7277:A7280"/>
    <mergeCell ref="B7277:B7280"/>
    <mergeCell ref="C7277:C7280"/>
    <mergeCell ref="D7277:D7280"/>
    <mergeCell ref="E7277:E7280"/>
    <mergeCell ref="F7277:F7280"/>
    <mergeCell ref="G7277:G7280"/>
    <mergeCell ref="H7277:H7280"/>
    <mergeCell ref="I7277:I7280"/>
    <mergeCell ref="J7277:J7280"/>
    <mergeCell ref="K7277:K7280"/>
    <mergeCell ref="L7277:L7280"/>
    <mergeCell ref="M7277:M7280"/>
    <mergeCell ref="N7277:N7280"/>
    <mergeCell ref="A7281:A7283"/>
    <mergeCell ref="B7281:B7283"/>
    <mergeCell ref="C7281:C7283"/>
    <mergeCell ref="D7281:D7283"/>
    <mergeCell ref="E7281:E7283"/>
    <mergeCell ref="F7281:F7283"/>
    <mergeCell ref="G7281:G7283"/>
    <mergeCell ref="H7281:H7283"/>
    <mergeCell ref="I7281:I7283"/>
    <mergeCell ref="J7281:J7283"/>
    <mergeCell ref="K7281:K7283"/>
    <mergeCell ref="L7281:L7283"/>
    <mergeCell ref="M7281:M7283"/>
    <mergeCell ref="N7281:N7283"/>
    <mergeCell ref="A7264:A7265"/>
    <mergeCell ref="B7264:B7265"/>
    <mergeCell ref="C7264:C7265"/>
    <mergeCell ref="D7264:D7265"/>
    <mergeCell ref="E7264:E7265"/>
    <mergeCell ref="F7264:F7265"/>
    <mergeCell ref="G7264:G7265"/>
    <mergeCell ref="H7264:H7265"/>
    <mergeCell ref="I7264:I7265"/>
    <mergeCell ref="J7264:J7265"/>
    <mergeCell ref="K7264:K7265"/>
    <mergeCell ref="L7264:L7265"/>
    <mergeCell ref="M7264:M7265"/>
    <mergeCell ref="N7264:N7265"/>
    <mergeCell ref="A7266:A7268"/>
    <mergeCell ref="B7266:B7268"/>
    <mergeCell ref="C7266:C7268"/>
    <mergeCell ref="D7266:D7268"/>
    <mergeCell ref="E7266:E7268"/>
    <mergeCell ref="F7266:F7268"/>
    <mergeCell ref="G7266:G7268"/>
    <mergeCell ref="H7266:H7268"/>
    <mergeCell ref="I7266:I7268"/>
    <mergeCell ref="J7266:J7268"/>
    <mergeCell ref="K7266:K7268"/>
    <mergeCell ref="L7266:L7268"/>
    <mergeCell ref="M7266:M7268"/>
    <mergeCell ref="N7266:N7268"/>
    <mergeCell ref="A7270:A7273"/>
    <mergeCell ref="B7270:B7273"/>
    <mergeCell ref="C7270:C7273"/>
    <mergeCell ref="D7270:D7273"/>
    <mergeCell ref="E7270:E7273"/>
    <mergeCell ref="F7270:F7273"/>
    <mergeCell ref="G7270:G7273"/>
    <mergeCell ref="H7270:H7273"/>
    <mergeCell ref="I7270:I7273"/>
    <mergeCell ref="J7270:J7273"/>
    <mergeCell ref="K7270:K7273"/>
    <mergeCell ref="L7270:L7273"/>
    <mergeCell ref="M7270:M7273"/>
    <mergeCell ref="N7270:N7273"/>
    <mergeCell ref="A7256:A7258"/>
    <mergeCell ref="B7256:B7258"/>
    <mergeCell ref="C7256:C7258"/>
    <mergeCell ref="D7256:D7258"/>
    <mergeCell ref="E7256:E7258"/>
    <mergeCell ref="F7256:F7258"/>
    <mergeCell ref="G7256:G7258"/>
    <mergeCell ref="H7256:H7258"/>
    <mergeCell ref="I7256:I7258"/>
    <mergeCell ref="J7256:J7258"/>
    <mergeCell ref="K7256:K7258"/>
    <mergeCell ref="L7256:L7258"/>
    <mergeCell ref="M7256:M7258"/>
    <mergeCell ref="N7256:N7258"/>
    <mergeCell ref="A7259:A7261"/>
    <mergeCell ref="B7259:B7261"/>
    <mergeCell ref="C7259:C7261"/>
    <mergeCell ref="D7259:D7261"/>
    <mergeCell ref="E7259:E7261"/>
    <mergeCell ref="F7259:F7261"/>
    <mergeCell ref="G7259:G7261"/>
    <mergeCell ref="H7259:H7261"/>
    <mergeCell ref="I7259:I7261"/>
    <mergeCell ref="J7259:J7261"/>
    <mergeCell ref="K7259:K7261"/>
    <mergeCell ref="L7259:L7261"/>
    <mergeCell ref="M7259:M7261"/>
    <mergeCell ref="N7259:N7261"/>
    <mergeCell ref="A7262:A7263"/>
    <mergeCell ref="B7262:B7263"/>
    <mergeCell ref="C7262:C7263"/>
    <mergeCell ref="D7262:D7263"/>
    <mergeCell ref="E7262:E7263"/>
    <mergeCell ref="F7262:F7263"/>
    <mergeCell ref="G7262:G7263"/>
    <mergeCell ref="H7262:H7263"/>
    <mergeCell ref="I7262:I7263"/>
    <mergeCell ref="J7262:J7263"/>
    <mergeCell ref="K7262:K7263"/>
    <mergeCell ref="L7262:L7263"/>
    <mergeCell ref="M7262:M7263"/>
    <mergeCell ref="N7262:N7263"/>
    <mergeCell ref="A7247:A7249"/>
    <mergeCell ref="B7247:B7249"/>
    <mergeCell ref="C7247:C7249"/>
    <mergeCell ref="D7247:D7249"/>
    <mergeCell ref="E7247:E7249"/>
    <mergeCell ref="F7247:F7249"/>
    <mergeCell ref="G7247:G7249"/>
    <mergeCell ref="H7247:H7249"/>
    <mergeCell ref="I7247:I7249"/>
    <mergeCell ref="J7247:J7249"/>
    <mergeCell ref="K7247:K7249"/>
    <mergeCell ref="L7247:L7249"/>
    <mergeCell ref="M7247:M7249"/>
    <mergeCell ref="N7247:N7249"/>
    <mergeCell ref="A7250:A7252"/>
    <mergeCell ref="B7250:B7252"/>
    <mergeCell ref="C7250:C7252"/>
    <mergeCell ref="D7250:D7252"/>
    <mergeCell ref="E7250:E7252"/>
    <mergeCell ref="F7250:F7252"/>
    <mergeCell ref="G7250:G7252"/>
    <mergeCell ref="H7250:H7252"/>
    <mergeCell ref="I7250:I7252"/>
    <mergeCell ref="J7250:J7252"/>
    <mergeCell ref="K7250:K7252"/>
    <mergeCell ref="L7250:L7252"/>
    <mergeCell ref="M7250:M7252"/>
    <mergeCell ref="N7250:N7252"/>
    <mergeCell ref="A7253:A7255"/>
    <mergeCell ref="B7253:B7255"/>
    <mergeCell ref="C7253:C7255"/>
    <mergeCell ref="D7253:D7255"/>
    <mergeCell ref="E7253:E7255"/>
    <mergeCell ref="F7253:F7255"/>
    <mergeCell ref="G7253:G7255"/>
    <mergeCell ref="H7253:H7255"/>
    <mergeCell ref="I7253:I7255"/>
    <mergeCell ref="J7253:J7255"/>
    <mergeCell ref="K7253:K7255"/>
    <mergeCell ref="L7253:L7255"/>
    <mergeCell ref="M7253:M7255"/>
    <mergeCell ref="N7253:N7255"/>
    <mergeCell ref="A7236:A7237"/>
    <mergeCell ref="B7236:B7237"/>
    <mergeCell ref="C7236:C7237"/>
    <mergeCell ref="D7236:D7237"/>
    <mergeCell ref="E7236:E7237"/>
    <mergeCell ref="F7236:F7237"/>
    <mergeCell ref="G7236:G7237"/>
    <mergeCell ref="H7236:H7237"/>
    <mergeCell ref="I7236:I7237"/>
    <mergeCell ref="J7236:J7237"/>
    <mergeCell ref="K7236:K7237"/>
    <mergeCell ref="L7236:L7237"/>
    <mergeCell ref="M7236:M7237"/>
    <mergeCell ref="N7236:N7237"/>
    <mergeCell ref="A7239:A7241"/>
    <mergeCell ref="B7239:B7241"/>
    <mergeCell ref="C7239:C7241"/>
    <mergeCell ref="D7239:D7241"/>
    <mergeCell ref="E7239:E7241"/>
    <mergeCell ref="F7239:F7241"/>
    <mergeCell ref="G7239:G7241"/>
    <mergeCell ref="H7239:H7241"/>
    <mergeCell ref="I7239:I7241"/>
    <mergeCell ref="J7239:J7241"/>
    <mergeCell ref="K7239:K7241"/>
    <mergeCell ref="L7239:L7241"/>
    <mergeCell ref="M7239:M7241"/>
    <mergeCell ref="N7239:N7241"/>
    <mergeCell ref="A7244:A7245"/>
    <mergeCell ref="B7244:B7245"/>
    <mergeCell ref="C7244:C7245"/>
    <mergeCell ref="D7244:D7245"/>
    <mergeCell ref="E7244:E7245"/>
    <mergeCell ref="F7244:F7245"/>
    <mergeCell ref="G7244:G7245"/>
    <mergeCell ref="H7244:H7245"/>
    <mergeCell ref="I7244:I7245"/>
    <mergeCell ref="J7244:J7245"/>
    <mergeCell ref="K7244:K7245"/>
    <mergeCell ref="L7244:L7245"/>
    <mergeCell ref="M7244:M7245"/>
    <mergeCell ref="N7244:N7245"/>
    <mergeCell ref="A7225:A7226"/>
    <mergeCell ref="B7225:B7226"/>
    <mergeCell ref="C7225:C7226"/>
    <mergeCell ref="D7225:D7226"/>
    <mergeCell ref="E7225:E7226"/>
    <mergeCell ref="F7225:F7226"/>
    <mergeCell ref="G7225:G7226"/>
    <mergeCell ref="H7225:H7226"/>
    <mergeCell ref="I7225:I7226"/>
    <mergeCell ref="J7225:J7226"/>
    <mergeCell ref="K7225:K7226"/>
    <mergeCell ref="L7225:L7226"/>
    <mergeCell ref="M7225:M7226"/>
    <mergeCell ref="N7225:N7226"/>
    <mergeCell ref="A7227:A7231"/>
    <mergeCell ref="B7227:B7231"/>
    <mergeCell ref="C7227:C7231"/>
    <mergeCell ref="D7227:D7231"/>
    <mergeCell ref="E7227:E7231"/>
    <mergeCell ref="F7227:F7231"/>
    <mergeCell ref="G7227:G7231"/>
    <mergeCell ref="H7227:H7231"/>
    <mergeCell ref="I7227:I7231"/>
    <mergeCell ref="J7227:J7231"/>
    <mergeCell ref="K7227:K7231"/>
    <mergeCell ref="L7227:L7231"/>
    <mergeCell ref="M7227:M7231"/>
    <mergeCell ref="N7227:N7231"/>
    <mergeCell ref="A7232:A7235"/>
    <mergeCell ref="B7232:B7235"/>
    <mergeCell ref="C7232:C7235"/>
    <mergeCell ref="D7232:D7235"/>
    <mergeCell ref="E7232:E7235"/>
    <mergeCell ref="F7232:F7235"/>
    <mergeCell ref="G7232:G7235"/>
    <mergeCell ref="H7232:H7235"/>
    <mergeCell ref="I7232:I7235"/>
    <mergeCell ref="J7232:J7235"/>
    <mergeCell ref="K7232:K7235"/>
    <mergeCell ref="L7232:L7235"/>
    <mergeCell ref="M7232:M7235"/>
    <mergeCell ref="N7232:N7235"/>
    <mergeCell ref="A7213:A7214"/>
    <mergeCell ref="B7213:B7214"/>
    <mergeCell ref="C7213:C7214"/>
    <mergeCell ref="D7213:D7214"/>
    <mergeCell ref="E7213:E7214"/>
    <mergeCell ref="F7213:F7214"/>
    <mergeCell ref="G7213:G7214"/>
    <mergeCell ref="H7213:H7214"/>
    <mergeCell ref="I7213:I7214"/>
    <mergeCell ref="J7213:J7214"/>
    <mergeCell ref="K7213:K7214"/>
    <mergeCell ref="L7213:L7214"/>
    <mergeCell ref="M7213:M7214"/>
    <mergeCell ref="N7213:N7214"/>
    <mergeCell ref="A7216:A7217"/>
    <mergeCell ref="B7216:B7217"/>
    <mergeCell ref="C7216:C7217"/>
    <mergeCell ref="D7216:D7217"/>
    <mergeCell ref="E7216:E7217"/>
    <mergeCell ref="F7216:F7217"/>
    <mergeCell ref="G7216:G7217"/>
    <mergeCell ref="H7216:H7217"/>
    <mergeCell ref="I7216:I7217"/>
    <mergeCell ref="J7216:J7217"/>
    <mergeCell ref="K7216:K7217"/>
    <mergeCell ref="L7216:L7217"/>
    <mergeCell ref="M7216:M7217"/>
    <mergeCell ref="N7216:N7217"/>
    <mergeCell ref="A7218:A7220"/>
    <mergeCell ref="B7218:B7220"/>
    <mergeCell ref="C7218:C7220"/>
    <mergeCell ref="D7218:D7220"/>
    <mergeCell ref="E7218:E7220"/>
    <mergeCell ref="F7218:F7220"/>
    <mergeCell ref="G7218:G7220"/>
    <mergeCell ref="H7218:H7220"/>
    <mergeCell ref="I7218:I7220"/>
    <mergeCell ref="J7218:J7220"/>
    <mergeCell ref="K7218:K7220"/>
    <mergeCell ref="L7218:L7220"/>
    <mergeCell ref="M7218:M7220"/>
    <mergeCell ref="N7218:N7220"/>
    <mergeCell ref="A7206:A7208"/>
    <mergeCell ref="B7206:B7208"/>
    <mergeCell ref="C7206:C7208"/>
    <mergeCell ref="D7206:D7208"/>
    <mergeCell ref="E7206:E7208"/>
    <mergeCell ref="F7206:F7208"/>
    <mergeCell ref="G7206:G7208"/>
    <mergeCell ref="H7206:H7208"/>
    <mergeCell ref="I7206:I7208"/>
    <mergeCell ref="J7206:J7208"/>
    <mergeCell ref="K7206:K7208"/>
    <mergeCell ref="L7206:L7208"/>
    <mergeCell ref="M7206:M7208"/>
    <mergeCell ref="N7206:N7208"/>
    <mergeCell ref="A7209:A7210"/>
    <mergeCell ref="B7209:B7210"/>
    <mergeCell ref="C7209:C7210"/>
    <mergeCell ref="D7209:D7210"/>
    <mergeCell ref="E7209:E7210"/>
    <mergeCell ref="F7209:F7210"/>
    <mergeCell ref="G7209:G7210"/>
    <mergeCell ref="H7209:H7210"/>
    <mergeCell ref="I7209:I7210"/>
    <mergeCell ref="J7209:J7210"/>
    <mergeCell ref="K7209:K7210"/>
    <mergeCell ref="L7209:L7210"/>
    <mergeCell ref="M7209:M7210"/>
    <mergeCell ref="N7209:N7210"/>
    <mergeCell ref="A7211:A7212"/>
    <mergeCell ref="B7211:B7212"/>
    <mergeCell ref="C7211:C7212"/>
    <mergeCell ref="D7211:D7212"/>
    <mergeCell ref="E7211:E7212"/>
    <mergeCell ref="F7211:F7212"/>
    <mergeCell ref="G7211:G7212"/>
    <mergeCell ref="H7211:H7212"/>
    <mergeCell ref="I7211:I7212"/>
    <mergeCell ref="J7211:J7212"/>
    <mergeCell ref="K7211:K7212"/>
    <mergeCell ref="L7211:L7212"/>
    <mergeCell ref="M7211:M7212"/>
    <mergeCell ref="N7211:N7212"/>
    <mergeCell ref="A7196:A7197"/>
    <mergeCell ref="B7196:B7197"/>
    <mergeCell ref="C7196:C7197"/>
    <mergeCell ref="D7196:D7197"/>
    <mergeCell ref="E7196:E7197"/>
    <mergeCell ref="F7196:F7197"/>
    <mergeCell ref="G7196:G7197"/>
    <mergeCell ref="H7196:H7197"/>
    <mergeCell ref="I7196:I7197"/>
    <mergeCell ref="J7196:J7197"/>
    <mergeCell ref="K7196:K7197"/>
    <mergeCell ref="L7196:L7197"/>
    <mergeCell ref="M7196:M7197"/>
    <mergeCell ref="N7196:N7197"/>
    <mergeCell ref="A7198:A7201"/>
    <mergeCell ref="B7198:B7201"/>
    <mergeCell ref="C7198:C7201"/>
    <mergeCell ref="D7198:D7201"/>
    <mergeCell ref="E7198:E7201"/>
    <mergeCell ref="F7198:F7201"/>
    <mergeCell ref="G7198:G7201"/>
    <mergeCell ref="H7198:H7201"/>
    <mergeCell ref="I7198:I7201"/>
    <mergeCell ref="J7198:J7201"/>
    <mergeCell ref="K7198:K7201"/>
    <mergeCell ref="L7198:L7201"/>
    <mergeCell ref="M7198:M7201"/>
    <mergeCell ref="N7198:N7201"/>
    <mergeCell ref="A7203:A7205"/>
    <mergeCell ref="B7203:B7205"/>
    <mergeCell ref="C7203:C7205"/>
    <mergeCell ref="D7203:D7205"/>
    <mergeCell ref="E7203:E7205"/>
    <mergeCell ref="F7203:F7205"/>
    <mergeCell ref="G7203:G7205"/>
    <mergeCell ref="H7203:H7205"/>
    <mergeCell ref="I7203:I7205"/>
    <mergeCell ref="J7203:J7205"/>
    <mergeCell ref="K7203:K7205"/>
    <mergeCell ref="L7203:L7205"/>
    <mergeCell ref="M7203:M7205"/>
    <mergeCell ref="N7203:N7205"/>
    <mergeCell ref="A7189:A7190"/>
    <mergeCell ref="B7189:B7190"/>
    <mergeCell ref="C7189:C7190"/>
    <mergeCell ref="D7189:D7190"/>
    <mergeCell ref="E7189:E7190"/>
    <mergeCell ref="F7189:F7190"/>
    <mergeCell ref="G7189:G7190"/>
    <mergeCell ref="H7189:H7190"/>
    <mergeCell ref="I7189:I7190"/>
    <mergeCell ref="J7189:J7190"/>
    <mergeCell ref="K7189:K7190"/>
    <mergeCell ref="L7189:L7190"/>
    <mergeCell ref="M7189:M7190"/>
    <mergeCell ref="N7189:N7190"/>
    <mergeCell ref="A7191:A7192"/>
    <mergeCell ref="B7191:B7192"/>
    <mergeCell ref="C7191:C7192"/>
    <mergeCell ref="D7191:D7192"/>
    <mergeCell ref="E7191:E7192"/>
    <mergeCell ref="F7191:F7192"/>
    <mergeCell ref="G7191:G7192"/>
    <mergeCell ref="H7191:H7192"/>
    <mergeCell ref="I7191:I7192"/>
    <mergeCell ref="J7191:J7192"/>
    <mergeCell ref="K7191:K7192"/>
    <mergeCell ref="L7191:L7192"/>
    <mergeCell ref="M7191:M7192"/>
    <mergeCell ref="N7191:N7192"/>
    <mergeCell ref="A7193:A7195"/>
    <mergeCell ref="B7193:B7195"/>
    <mergeCell ref="C7193:C7195"/>
    <mergeCell ref="D7193:D7195"/>
    <mergeCell ref="E7193:E7195"/>
    <mergeCell ref="F7193:F7195"/>
    <mergeCell ref="G7193:G7195"/>
    <mergeCell ref="H7193:H7195"/>
    <mergeCell ref="I7193:I7195"/>
    <mergeCell ref="J7193:J7195"/>
    <mergeCell ref="K7193:K7195"/>
    <mergeCell ref="L7193:L7195"/>
    <mergeCell ref="M7193:M7195"/>
    <mergeCell ref="N7193:N7195"/>
    <mergeCell ref="A7180:A7181"/>
    <mergeCell ref="B7180:B7181"/>
    <mergeCell ref="C7180:C7181"/>
    <mergeCell ref="D7180:D7181"/>
    <mergeCell ref="E7180:E7181"/>
    <mergeCell ref="F7180:F7181"/>
    <mergeCell ref="G7180:G7181"/>
    <mergeCell ref="H7180:H7181"/>
    <mergeCell ref="I7180:I7181"/>
    <mergeCell ref="J7180:J7181"/>
    <mergeCell ref="K7180:K7181"/>
    <mergeCell ref="L7180:L7181"/>
    <mergeCell ref="M7180:M7181"/>
    <mergeCell ref="N7180:N7181"/>
    <mergeCell ref="A7182:A7183"/>
    <mergeCell ref="B7182:B7183"/>
    <mergeCell ref="C7182:C7183"/>
    <mergeCell ref="D7182:D7183"/>
    <mergeCell ref="E7182:E7183"/>
    <mergeCell ref="F7182:F7183"/>
    <mergeCell ref="G7182:G7183"/>
    <mergeCell ref="H7182:H7183"/>
    <mergeCell ref="I7182:I7183"/>
    <mergeCell ref="J7182:J7183"/>
    <mergeCell ref="K7182:K7183"/>
    <mergeCell ref="L7182:L7183"/>
    <mergeCell ref="M7182:M7183"/>
    <mergeCell ref="N7182:N7183"/>
    <mergeCell ref="A7184:A7185"/>
    <mergeCell ref="B7184:B7185"/>
    <mergeCell ref="C7184:C7185"/>
    <mergeCell ref="D7184:D7185"/>
    <mergeCell ref="E7184:E7185"/>
    <mergeCell ref="F7184:F7185"/>
    <mergeCell ref="G7184:G7185"/>
    <mergeCell ref="H7184:H7185"/>
    <mergeCell ref="I7184:I7185"/>
    <mergeCell ref="J7184:J7185"/>
    <mergeCell ref="K7184:K7185"/>
    <mergeCell ref="L7184:L7185"/>
    <mergeCell ref="M7184:M7185"/>
    <mergeCell ref="N7184:N7185"/>
    <mergeCell ref="A7170:A7172"/>
    <mergeCell ref="B7170:B7172"/>
    <mergeCell ref="C7170:C7172"/>
    <mergeCell ref="D7170:D7172"/>
    <mergeCell ref="E7170:E7172"/>
    <mergeCell ref="F7170:F7172"/>
    <mergeCell ref="G7170:G7172"/>
    <mergeCell ref="H7170:H7172"/>
    <mergeCell ref="I7170:I7172"/>
    <mergeCell ref="J7170:J7172"/>
    <mergeCell ref="K7170:K7172"/>
    <mergeCell ref="L7170:L7172"/>
    <mergeCell ref="M7170:M7172"/>
    <mergeCell ref="N7170:N7172"/>
    <mergeCell ref="A7173:A7174"/>
    <mergeCell ref="B7173:B7174"/>
    <mergeCell ref="C7173:C7174"/>
    <mergeCell ref="D7173:D7174"/>
    <mergeCell ref="E7173:E7174"/>
    <mergeCell ref="F7173:F7174"/>
    <mergeCell ref="G7173:G7174"/>
    <mergeCell ref="H7173:H7174"/>
    <mergeCell ref="I7173:I7174"/>
    <mergeCell ref="J7173:J7174"/>
    <mergeCell ref="K7173:K7174"/>
    <mergeCell ref="L7173:L7174"/>
    <mergeCell ref="M7173:M7174"/>
    <mergeCell ref="N7173:N7174"/>
    <mergeCell ref="A7176:A7178"/>
    <mergeCell ref="B7176:B7178"/>
    <mergeCell ref="C7176:C7178"/>
    <mergeCell ref="D7176:D7178"/>
    <mergeCell ref="E7176:E7178"/>
    <mergeCell ref="F7176:F7178"/>
    <mergeCell ref="G7176:G7178"/>
    <mergeCell ref="H7176:H7178"/>
    <mergeCell ref="I7176:I7178"/>
    <mergeCell ref="J7176:J7178"/>
    <mergeCell ref="K7176:K7178"/>
    <mergeCell ref="L7176:L7178"/>
    <mergeCell ref="M7176:M7178"/>
    <mergeCell ref="N7176:N7178"/>
    <mergeCell ref="A7161:A7164"/>
    <mergeCell ref="B7161:B7164"/>
    <mergeCell ref="C7161:C7164"/>
    <mergeCell ref="D7161:D7164"/>
    <mergeCell ref="E7161:E7164"/>
    <mergeCell ref="F7161:F7164"/>
    <mergeCell ref="G7161:G7164"/>
    <mergeCell ref="H7161:H7164"/>
    <mergeCell ref="I7161:I7164"/>
    <mergeCell ref="J7161:J7164"/>
    <mergeCell ref="K7161:K7164"/>
    <mergeCell ref="L7161:L7164"/>
    <mergeCell ref="M7161:M7164"/>
    <mergeCell ref="N7161:N7164"/>
    <mergeCell ref="A7166:A7167"/>
    <mergeCell ref="B7166:B7167"/>
    <mergeCell ref="C7166:C7167"/>
    <mergeCell ref="D7166:D7167"/>
    <mergeCell ref="E7166:E7167"/>
    <mergeCell ref="F7166:F7167"/>
    <mergeCell ref="G7166:G7167"/>
    <mergeCell ref="H7166:H7167"/>
    <mergeCell ref="I7166:I7167"/>
    <mergeCell ref="J7166:J7167"/>
    <mergeCell ref="K7166:K7167"/>
    <mergeCell ref="L7166:L7167"/>
    <mergeCell ref="M7166:M7167"/>
    <mergeCell ref="N7166:N7167"/>
    <mergeCell ref="A7168:A7169"/>
    <mergeCell ref="B7168:B7169"/>
    <mergeCell ref="C7168:C7169"/>
    <mergeCell ref="D7168:D7169"/>
    <mergeCell ref="E7168:E7169"/>
    <mergeCell ref="F7168:F7169"/>
    <mergeCell ref="G7168:G7169"/>
    <mergeCell ref="H7168:H7169"/>
    <mergeCell ref="I7168:I7169"/>
    <mergeCell ref="J7168:J7169"/>
    <mergeCell ref="K7168:K7169"/>
    <mergeCell ref="L7168:L7169"/>
    <mergeCell ref="M7168:M7169"/>
    <mergeCell ref="N7168:N7169"/>
    <mergeCell ref="A7152:A7153"/>
    <mergeCell ref="B7152:B7153"/>
    <mergeCell ref="C7152:C7153"/>
    <mergeCell ref="D7152:D7153"/>
    <mergeCell ref="E7152:E7153"/>
    <mergeCell ref="F7152:F7153"/>
    <mergeCell ref="G7152:G7153"/>
    <mergeCell ref="H7152:H7153"/>
    <mergeCell ref="I7152:I7153"/>
    <mergeCell ref="J7152:J7153"/>
    <mergeCell ref="K7152:K7153"/>
    <mergeCell ref="L7152:L7153"/>
    <mergeCell ref="M7152:M7153"/>
    <mergeCell ref="N7152:N7153"/>
    <mergeCell ref="A7154:A7156"/>
    <mergeCell ref="B7154:B7156"/>
    <mergeCell ref="C7154:C7156"/>
    <mergeCell ref="D7154:D7156"/>
    <mergeCell ref="E7154:E7156"/>
    <mergeCell ref="F7154:F7156"/>
    <mergeCell ref="G7154:G7156"/>
    <mergeCell ref="H7154:H7156"/>
    <mergeCell ref="I7154:I7156"/>
    <mergeCell ref="J7154:J7156"/>
    <mergeCell ref="K7154:K7156"/>
    <mergeCell ref="L7154:L7156"/>
    <mergeCell ref="M7154:M7156"/>
    <mergeCell ref="N7154:N7156"/>
    <mergeCell ref="A7158:A7159"/>
    <mergeCell ref="B7158:B7159"/>
    <mergeCell ref="C7158:C7159"/>
    <mergeCell ref="D7158:D7159"/>
    <mergeCell ref="E7158:E7159"/>
    <mergeCell ref="F7158:F7159"/>
    <mergeCell ref="G7158:G7159"/>
    <mergeCell ref="H7158:H7159"/>
    <mergeCell ref="I7158:I7159"/>
    <mergeCell ref="J7158:J7159"/>
    <mergeCell ref="K7158:K7159"/>
    <mergeCell ref="L7158:L7159"/>
    <mergeCell ref="M7158:M7159"/>
    <mergeCell ref="N7158:N7159"/>
    <mergeCell ref="A7138:A7143"/>
    <mergeCell ref="B7138:B7143"/>
    <mergeCell ref="C7138:C7143"/>
    <mergeCell ref="D7138:D7143"/>
    <mergeCell ref="E7138:E7143"/>
    <mergeCell ref="F7138:F7143"/>
    <mergeCell ref="G7138:G7143"/>
    <mergeCell ref="H7138:H7143"/>
    <mergeCell ref="I7138:I7143"/>
    <mergeCell ref="J7138:J7143"/>
    <mergeCell ref="K7138:K7143"/>
    <mergeCell ref="L7138:L7143"/>
    <mergeCell ref="M7138:M7143"/>
    <mergeCell ref="N7138:N7143"/>
    <mergeCell ref="A7144:A7147"/>
    <mergeCell ref="B7144:B7147"/>
    <mergeCell ref="C7144:C7147"/>
    <mergeCell ref="D7144:D7147"/>
    <mergeCell ref="E7144:E7147"/>
    <mergeCell ref="F7144:F7147"/>
    <mergeCell ref="G7144:G7147"/>
    <mergeCell ref="H7144:H7147"/>
    <mergeCell ref="I7144:I7147"/>
    <mergeCell ref="J7144:J7147"/>
    <mergeCell ref="K7144:K7147"/>
    <mergeCell ref="L7144:L7147"/>
    <mergeCell ref="M7144:M7147"/>
    <mergeCell ref="N7144:N7147"/>
    <mergeCell ref="A7149:A7150"/>
    <mergeCell ref="B7149:B7150"/>
    <mergeCell ref="C7149:C7150"/>
    <mergeCell ref="D7149:D7150"/>
    <mergeCell ref="E7149:E7150"/>
    <mergeCell ref="F7149:F7150"/>
    <mergeCell ref="G7149:G7150"/>
    <mergeCell ref="H7149:H7150"/>
    <mergeCell ref="I7149:I7150"/>
    <mergeCell ref="J7149:J7150"/>
    <mergeCell ref="K7149:K7150"/>
    <mergeCell ref="L7149:L7150"/>
    <mergeCell ref="M7149:M7150"/>
    <mergeCell ref="N7149:N7150"/>
    <mergeCell ref="A7131:A7133"/>
    <mergeCell ref="B7131:B7133"/>
    <mergeCell ref="C7131:C7133"/>
    <mergeCell ref="D7131:D7133"/>
    <mergeCell ref="E7131:E7133"/>
    <mergeCell ref="F7131:F7133"/>
    <mergeCell ref="G7131:G7133"/>
    <mergeCell ref="H7131:H7133"/>
    <mergeCell ref="I7131:I7133"/>
    <mergeCell ref="J7131:J7133"/>
    <mergeCell ref="K7131:K7133"/>
    <mergeCell ref="L7131:L7133"/>
    <mergeCell ref="M7131:M7133"/>
    <mergeCell ref="N7131:N7133"/>
    <mergeCell ref="A7134:A7135"/>
    <mergeCell ref="B7134:B7135"/>
    <mergeCell ref="C7134:C7135"/>
    <mergeCell ref="D7134:D7135"/>
    <mergeCell ref="E7134:E7135"/>
    <mergeCell ref="F7134:F7135"/>
    <mergeCell ref="G7134:G7135"/>
    <mergeCell ref="H7134:H7135"/>
    <mergeCell ref="I7134:I7135"/>
    <mergeCell ref="J7134:J7135"/>
    <mergeCell ref="K7134:K7135"/>
    <mergeCell ref="L7134:L7135"/>
    <mergeCell ref="M7134:M7135"/>
    <mergeCell ref="N7134:N7135"/>
    <mergeCell ref="A7136:A7137"/>
    <mergeCell ref="B7136:B7137"/>
    <mergeCell ref="C7136:C7137"/>
    <mergeCell ref="D7136:D7137"/>
    <mergeCell ref="E7136:E7137"/>
    <mergeCell ref="F7136:F7137"/>
    <mergeCell ref="G7136:G7137"/>
    <mergeCell ref="H7136:H7137"/>
    <mergeCell ref="I7136:I7137"/>
    <mergeCell ref="J7136:J7137"/>
    <mergeCell ref="K7136:K7137"/>
    <mergeCell ref="L7136:L7137"/>
    <mergeCell ref="M7136:M7137"/>
    <mergeCell ref="N7136:N7137"/>
    <mergeCell ref="A7120:A7121"/>
    <mergeCell ref="B7120:B7121"/>
    <mergeCell ref="C7120:C7121"/>
    <mergeCell ref="D7120:D7121"/>
    <mergeCell ref="E7120:E7121"/>
    <mergeCell ref="F7120:F7121"/>
    <mergeCell ref="G7120:G7121"/>
    <mergeCell ref="H7120:H7121"/>
    <mergeCell ref="I7120:I7121"/>
    <mergeCell ref="J7120:J7121"/>
    <mergeCell ref="K7120:K7121"/>
    <mergeCell ref="L7120:L7121"/>
    <mergeCell ref="M7120:M7121"/>
    <mergeCell ref="N7120:N7121"/>
    <mergeCell ref="A7122:A7125"/>
    <mergeCell ref="B7122:B7125"/>
    <mergeCell ref="C7122:C7125"/>
    <mergeCell ref="D7122:D7125"/>
    <mergeCell ref="E7122:E7125"/>
    <mergeCell ref="F7122:F7125"/>
    <mergeCell ref="G7122:G7125"/>
    <mergeCell ref="H7122:H7125"/>
    <mergeCell ref="I7122:I7125"/>
    <mergeCell ref="J7122:J7125"/>
    <mergeCell ref="K7122:K7125"/>
    <mergeCell ref="L7122:L7125"/>
    <mergeCell ref="M7122:M7125"/>
    <mergeCell ref="N7122:N7125"/>
    <mergeCell ref="A7126:A7128"/>
    <mergeCell ref="B7126:B7128"/>
    <mergeCell ref="C7126:C7128"/>
    <mergeCell ref="D7126:D7128"/>
    <mergeCell ref="E7126:E7128"/>
    <mergeCell ref="F7126:F7128"/>
    <mergeCell ref="G7126:G7128"/>
    <mergeCell ref="H7126:H7128"/>
    <mergeCell ref="I7126:I7128"/>
    <mergeCell ref="J7126:J7128"/>
    <mergeCell ref="K7126:K7128"/>
    <mergeCell ref="L7126:L7128"/>
    <mergeCell ref="M7126:M7128"/>
    <mergeCell ref="N7126:N7128"/>
    <mergeCell ref="A7111:A7113"/>
    <mergeCell ref="B7111:B7113"/>
    <mergeCell ref="C7111:C7113"/>
    <mergeCell ref="D7111:D7113"/>
    <mergeCell ref="E7111:E7113"/>
    <mergeCell ref="F7111:F7113"/>
    <mergeCell ref="G7111:G7113"/>
    <mergeCell ref="H7111:H7113"/>
    <mergeCell ref="I7111:I7113"/>
    <mergeCell ref="J7111:J7113"/>
    <mergeCell ref="K7111:K7113"/>
    <mergeCell ref="L7111:L7113"/>
    <mergeCell ref="M7111:M7113"/>
    <mergeCell ref="N7111:N7113"/>
    <mergeCell ref="A7115:A7117"/>
    <mergeCell ref="B7115:B7117"/>
    <mergeCell ref="C7115:C7117"/>
    <mergeCell ref="D7115:D7117"/>
    <mergeCell ref="E7115:E7117"/>
    <mergeCell ref="F7115:F7117"/>
    <mergeCell ref="G7115:G7117"/>
    <mergeCell ref="H7115:H7117"/>
    <mergeCell ref="I7115:I7117"/>
    <mergeCell ref="J7115:J7117"/>
    <mergeCell ref="K7115:K7117"/>
    <mergeCell ref="L7115:L7117"/>
    <mergeCell ref="M7115:M7117"/>
    <mergeCell ref="N7115:N7117"/>
    <mergeCell ref="A7118:A7119"/>
    <mergeCell ref="B7118:B7119"/>
    <mergeCell ref="C7118:C7119"/>
    <mergeCell ref="D7118:D7119"/>
    <mergeCell ref="E7118:E7119"/>
    <mergeCell ref="F7118:F7119"/>
    <mergeCell ref="G7118:G7119"/>
    <mergeCell ref="H7118:H7119"/>
    <mergeCell ref="I7118:I7119"/>
    <mergeCell ref="J7118:J7119"/>
    <mergeCell ref="K7118:K7119"/>
    <mergeCell ref="L7118:L7119"/>
    <mergeCell ref="M7118:M7119"/>
    <mergeCell ref="N7118:N7119"/>
    <mergeCell ref="A7096:A7098"/>
    <mergeCell ref="B7096:B7098"/>
    <mergeCell ref="C7096:C7098"/>
    <mergeCell ref="D7096:D7098"/>
    <mergeCell ref="E7096:E7098"/>
    <mergeCell ref="F7096:F7098"/>
    <mergeCell ref="G7096:G7098"/>
    <mergeCell ref="H7096:H7098"/>
    <mergeCell ref="I7096:I7098"/>
    <mergeCell ref="J7096:J7098"/>
    <mergeCell ref="K7096:K7098"/>
    <mergeCell ref="L7096:L7098"/>
    <mergeCell ref="M7096:M7098"/>
    <mergeCell ref="N7096:N7098"/>
    <mergeCell ref="A7101:A7104"/>
    <mergeCell ref="B7101:B7104"/>
    <mergeCell ref="C7101:C7104"/>
    <mergeCell ref="D7101:D7104"/>
    <mergeCell ref="E7101:E7104"/>
    <mergeCell ref="F7101:F7104"/>
    <mergeCell ref="G7101:G7104"/>
    <mergeCell ref="H7101:H7104"/>
    <mergeCell ref="I7101:I7104"/>
    <mergeCell ref="J7101:J7104"/>
    <mergeCell ref="K7101:K7104"/>
    <mergeCell ref="L7101:L7104"/>
    <mergeCell ref="M7101:M7104"/>
    <mergeCell ref="N7101:N7104"/>
    <mergeCell ref="A7107:A7108"/>
    <mergeCell ref="B7107:B7108"/>
    <mergeCell ref="C7107:C7108"/>
    <mergeCell ref="D7107:D7108"/>
    <mergeCell ref="E7107:E7108"/>
    <mergeCell ref="F7107:F7108"/>
    <mergeCell ref="G7107:G7108"/>
    <mergeCell ref="H7107:H7108"/>
    <mergeCell ref="I7107:I7108"/>
    <mergeCell ref="J7107:J7108"/>
    <mergeCell ref="K7107:K7108"/>
    <mergeCell ref="L7107:L7108"/>
    <mergeCell ref="M7107:M7108"/>
    <mergeCell ref="N7107:N7108"/>
    <mergeCell ref="A7089:A7090"/>
    <mergeCell ref="B7089:B7090"/>
    <mergeCell ref="C7089:C7090"/>
    <mergeCell ref="D7089:D7090"/>
    <mergeCell ref="E7089:E7090"/>
    <mergeCell ref="F7089:F7090"/>
    <mergeCell ref="G7089:G7090"/>
    <mergeCell ref="H7089:H7090"/>
    <mergeCell ref="I7089:I7090"/>
    <mergeCell ref="J7089:J7090"/>
    <mergeCell ref="K7089:K7090"/>
    <mergeCell ref="L7089:L7090"/>
    <mergeCell ref="M7089:M7090"/>
    <mergeCell ref="N7089:N7090"/>
    <mergeCell ref="A7091:A7092"/>
    <mergeCell ref="B7091:B7092"/>
    <mergeCell ref="C7091:C7092"/>
    <mergeCell ref="D7091:D7092"/>
    <mergeCell ref="E7091:E7092"/>
    <mergeCell ref="F7091:F7092"/>
    <mergeCell ref="G7091:G7092"/>
    <mergeCell ref="H7091:H7092"/>
    <mergeCell ref="I7091:I7092"/>
    <mergeCell ref="J7091:J7092"/>
    <mergeCell ref="K7091:K7092"/>
    <mergeCell ref="L7091:L7092"/>
    <mergeCell ref="M7091:M7092"/>
    <mergeCell ref="N7091:N7092"/>
    <mergeCell ref="A7094:A7095"/>
    <mergeCell ref="B7094:B7095"/>
    <mergeCell ref="C7094:C7095"/>
    <mergeCell ref="D7094:D7095"/>
    <mergeCell ref="E7094:E7095"/>
    <mergeCell ref="F7094:F7095"/>
    <mergeCell ref="G7094:G7095"/>
    <mergeCell ref="H7094:H7095"/>
    <mergeCell ref="I7094:I7095"/>
    <mergeCell ref="J7094:J7095"/>
    <mergeCell ref="K7094:K7095"/>
    <mergeCell ref="L7094:L7095"/>
    <mergeCell ref="M7094:M7095"/>
    <mergeCell ref="N7094:N7095"/>
    <mergeCell ref="A7079:A7081"/>
    <mergeCell ref="B7079:B7081"/>
    <mergeCell ref="C7079:C7081"/>
    <mergeCell ref="D7079:D7081"/>
    <mergeCell ref="E7079:E7081"/>
    <mergeCell ref="F7079:F7081"/>
    <mergeCell ref="G7079:G7081"/>
    <mergeCell ref="H7079:H7081"/>
    <mergeCell ref="I7079:I7081"/>
    <mergeCell ref="J7079:J7081"/>
    <mergeCell ref="K7079:K7081"/>
    <mergeCell ref="L7079:L7081"/>
    <mergeCell ref="M7079:M7081"/>
    <mergeCell ref="N7079:N7081"/>
    <mergeCell ref="A7082:A7084"/>
    <mergeCell ref="B7082:B7084"/>
    <mergeCell ref="C7082:C7084"/>
    <mergeCell ref="D7082:D7084"/>
    <mergeCell ref="E7082:E7084"/>
    <mergeCell ref="F7082:F7084"/>
    <mergeCell ref="G7082:G7084"/>
    <mergeCell ref="H7082:H7084"/>
    <mergeCell ref="I7082:I7084"/>
    <mergeCell ref="J7082:J7084"/>
    <mergeCell ref="K7082:K7084"/>
    <mergeCell ref="L7082:L7084"/>
    <mergeCell ref="M7082:M7084"/>
    <mergeCell ref="N7082:N7084"/>
    <mergeCell ref="A7085:A7088"/>
    <mergeCell ref="B7085:B7088"/>
    <mergeCell ref="C7085:C7088"/>
    <mergeCell ref="D7085:D7088"/>
    <mergeCell ref="E7085:E7088"/>
    <mergeCell ref="F7085:F7088"/>
    <mergeCell ref="G7085:G7088"/>
    <mergeCell ref="H7085:H7088"/>
    <mergeCell ref="I7085:I7088"/>
    <mergeCell ref="J7085:J7088"/>
    <mergeCell ref="K7085:K7088"/>
    <mergeCell ref="L7085:L7088"/>
    <mergeCell ref="M7085:M7088"/>
    <mergeCell ref="N7085:N7088"/>
    <mergeCell ref="A7067:A7069"/>
    <mergeCell ref="B7067:B7069"/>
    <mergeCell ref="C7067:C7069"/>
    <mergeCell ref="D7067:D7069"/>
    <mergeCell ref="E7067:E7069"/>
    <mergeCell ref="F7067:F7069"/>
    <mergeCell ref="G7067:G7069"/>
    <mergeCell ref="H7067:H7069"/>
    <mergeCell ref="I7067:I7069"/>
    <mergeCell ref="J7067:J7069"/>
    <mergeCell ref="K7067:K7069"/>
    <mergeCell ref="L7067:L7069"/>
    <mergeCell ref="M7067:M7069"/>
    <mergeCell ref="N7067:N7069"/>
    <mergeCell ref="A7070:A7075"/>
    <mergeCell ref="B7070:B7075"/>
    <mergeCell ref="C7070:C7075"/>
    <mergeCell ref="D7070:D7075"/>
    <mergeCell ref="E7070:E7075"/>
    <mergeCell ref="F7070:F7075"/>
    <mergeCell ref="G7070:G7075"/>
    <mergeCell ref="H7070:H7075"/>
    <mergeCell ref="I7070:I7075"/>
    <mergeCell ref="J7070:J7075"/>
    <mergeCell ref="K7070:K7075"/>
    <mergeCell ref="L7070:L7075"/>
    <mergeCell ref="M7070:M7075"/>
    <mergeCell ref="N7070:N7075"/>
    <mergeCell ref="A7077:A7078"/>
    <mergeCell ref="B7077:B7078"/>
    <mergeCell ref="C7077:C7078"/>
    <mergeCell ref="D7077:D7078"/>
    <mergeCell ref="E7077:E7078"/>
    <mergeCell ref="F7077:F7078"/>
    <mergeCell ref="G7077:G7078"/>
    <mergeCell ref="H7077:H7078"/>
    <mergeCell ref="I7077:I7078"/>
    <mergeCell ref="J7077:J7078"/>
    <mergeCell ref="K7077:K7078"/>
    <mergeCell ref="L7077:L7078"/>
    <mergeCell ref="M7077:M7078"/>
    <mergeCell ref="N7077:N7078"/>
    <mergeCell ref="A7056:A7060"/>
    <mergeCell ref="B7056:B7060"/>
    <mergeCell ref="C7056:C7060"/>
    <mergeCell ref="D7056:D7060"/>
    <mergeCell ref="E7056:E7060"/>
    <mergeCell ref="F7056:F7060"/>
    <mergeCell ref="G7056:G7060"/>
    <mergeCell ref="H7056:H7060"/>
    <mergeCell ref="I7056:I7060"/>
    <mergeCell ref="J7056:J7060"/>
    <mergeCell ref="K7056:K7060"/>
    <mergeCell ref="L7056:L7060"/>
    <mergeCell ref="M7056:M7060"/>
    <mergeCell ref="N7056:N7060"/>
    <mergeCell ref="A7061:A7064"/>
    <mergeCell ref="B7061:B7064"/>
    <mergeCell ref="C7061:C7064"/>
    <mergeCell ref="D7061:D7064"/>
    <mergeCell ref="E7061:E7064"/>
    <mergeCell ref="F7061:F7064"/>
    <mergeCell ref="G7061:G7064"/>
    <mergeCell ref="H7061:H7064"/>
    <mergeCell ref="I7061:I7064"/>
    <mergeCell ref="J7061:J7064"/>
    <mergeCell ref="K7061:K7064"/>
    <mergeCell ref="L7061:L7064"/>
    <mergeCell ref="M7061:M7064"/>
    <mergeCell ref="N7061:N7064"/>
    <mergeCell ref="A7065:A7066"/>
    <mergeCell ref="B7065:B7066"/>
    <mergeCell ref="C7065:C7066"/>
    <mergeCell ref="D7065:D7066"/>
    <mergeCell ref="E7065:E7066"/>
    <mergeCell ref="F7065:F7066"/>
    <mergeCell ref="G7065:G7066"/>
    <mergeCell ref="H7065:H7066"/>
    <mergeCell ref="I7065:I7066"/>
    <mergeCell ref="J7065:J7066"/>
    <mergeCell ref="K7065:K7066"/>
    <mergeCell ref="L7065:L7066"/>
    <mergeCell ref="M7065:M7066"/>
    <mergeCell ref="N7065:N7066"/>
    <mergeCell ref="A7042:A7043"/>
    <mergeCell ref="B7042:B7043"/>
    <mergeCell ref="C7042:C7043"/>
    <mergeCell ref="D7042:D7043"/>
    <mergeCell ref="E7042:E7043"/>
    <mergeCell ref="F7042:F7043"/>
    <mergeCell ref="G7042:G7043"/>
    <mergeCell ref="H7042:H7043"/>
    <mergeCell ref="I7042:I7043"/>
    <mergeCell ref="J7042:J7043"/>
    <mergeCell ref="K7042:K7043"/>
    <mergeCell ref="L7042:L7043"/>
    <mergeCell ref="M7042:M7043"/>
    <mergeCell ref="N7042:N7043"/>
    <mergeCell ref="A7047:A7048"/>
    <mergeCell ref="B7047:B7048"/>
    <mergeCell ref="C7047:C7048"/>
    <mergeCell ref="D7047:D7048"/>
    <mergeCell ref="E7047:E7048"/>
    <mergeCell ref="F7047:F7048"/>
    <mergeCell ref="G7047:G7048"/>
    <mergeCell ref="H7047:H7048"/>
    <mergeCell ref="I7047:I7048"/>
    <mergeCell ref="J7047:J7048"/>
    <mergeCell ref="K7047:K7048"/>
    <mergeCell ref="L7047:L7048"/>
    <mergeCell ref="M7047:M7048"/>
    <mergeCell ref="N7047:N7048"/>
    <mergeCell ref="A7051:A7053"/>
    <mergeCell ref="B7051:B7053"/>
    <mergeCell ref="C7051:C7053"/>
    <mergeCell ref="D7051:D7053"/>
    <mergeCell ref="E7051:E7053"/>
    <mergeCell ref="F7051:F7053"/>
    <mergeCell ref="G7051:G7053"/>
    <mergeCell ref="H7051:H7053"/>
    <mergeCell ref="I7051:I7053"/>
    <mergeCell ref="J7051:J7053"/>
    <mergeCell ref="K7051:K7053"/>
    <mergeCell ref="L7051:L7053"/>
    <mergeCell ref="M7051:M7053"/>
    <mergeCell ref="N7051:N7053"/>
    <mergeCell ref="A7026:A7029"/>
    <mergeCell ref="B7026:B7029"/>
    <mergeCell ref="C7026:C7029"/>
    <mergeCell ref="D7026:D7029"/>
    <mergeCell ref="E7026:E7029"/>
    <mergeCell ref="F7026:F7029"/>
    <mergeCell ref="G7026:G7029"/>
    <mergeCell ref="H7026:H7029"/>
    <mergeCell ref="I7026:I7029"/>
    <mergeCell ref="J7026:J7029"/>
    <mergeCell ref="K7026:K7029"/>
    <mergeCell ref="L7026:L7029"/>
    <mergeCell ref="M7026:M7029"/>
    <mergeCell ref="N7026:N7029"/>
    <mergeCell ref="A7030:A7038"/>
    <mergeCell ref="B7030:B7038"/>
    <mergeCell ref="C7030:C7038"/>
    <mergeCell ref="D7030:D7038"/>
    <mergeCell ref="E7030:E7038"/>
    <mergeCell ref="F7030:F7038"/>
    <mergeCell ref="G7030:G7038"/>
    <mergeCell ref="H7030:H7038"/>
    <mergeCell ref="I7030:I7038"/>
    <mergeCell ref="J7030:J7038"/>
    <mergeCell ref="K7030:K7038"/>
    <mergeCell ref="L7030:L7038"/>
    <mergeCell ref="M7030:M7038"/>
    <mergeCell ref="N7030:N7038"/>
    <mergeCell ref="A7039:A7041"/>
    <mergeCell ref="B7039:B7041"/>
    <mergeCell ref="C7039:C7041"/>
    <mergeCell ref="D7039:D7041"/>
    <mergeCell ref="E7039:E7041"/>
    <mergeCell ref="F7039:F7041"/>
    <mergeCell ref="G7039:G7041"/>
    <mergeCell ref="H7039:H7041"/>
    <mergeCell ref="I7039:I7041"/>
    <mergeCell ref="J7039:J7041"/>
    <mergeCell ref="K7039:K7041"/>
    <mergeCell ref="L7039:L7041"/>
    <mergeCell ref="M7039:M7041"/>
    <mergeCell ref="N7039:N7041"/>
    <mergeCell ref="A7017:A7019"/>
    <mergeCell ref="B7017:B7019"/>
    <mergeCell ref="C7017:C7019"/>
    <mergeCell ref="D7017:D7019"/>
    <mergeCell ref="E7017:E7019"/>
    <mergeCell ref="F7017:F7019"/>
    <mergeCell ref="G7017:G7019"/>
    <mergeCell ref="H7017:H7019"/>
    <mergeCell ref="I7017:I7019"/>
    <mergeCell ref="J7017:J7019"/>
    <mergeCell ref="K7017:K7019"/>
    <mergeCell ref="L7017:L7019"/>
    <mergeCell ref="M7017:M7019"/>
    <mergeCell ref="N7017:N7019"/>
    <mergeCell ref="A7020:A7023"/>
    <mergeCell ref="B7020:B7023"/>
    <mergeCell ref="C7020:C7023"/>
    <mergeCell ref="D7020:D7023"/>
    <mergeCell ref="E7020:E7023"/>
    <mergeCell ref="F7020:F7023"/>
    <mergeCell ref="G7020:G7023"/>
    <mergeCell ref="H7020:H7023"/>
    <mergeCell ref="I7020:I7023"/>
    <mergeCell ref="J7020:J7023"/>
    <mergeCell ref="K7020:K7023"/>
    <mergeCell ref="L7020:L7023"/>
    <mergeCell ref="M7020:M7023"/>
    <mergeCell ref="N7020:N7023"/>
    <mergeCell ref="A7024:A7025"/>
    <mergeCell ref="B7024:B7025"/>
    <mergeCell ref="C7024:C7025"/>
    <mergeCell ref="D7024:D7025"/>
    <mergeCell ref="E7024:E7025"/>
    <mergeCell ref="F7024:F7025"/>
    <mergeCell ref="G7024:G7025"/>
    <mergeCell ref="H7024:H7025"/>
    <mergeCell ref="I7024:I7025"/>
    <mergeCell ref="J7024:J7025"/>
    <mergeCell ref="K7024:K7025"/>
    <mergeCell ref="L7024:L7025"/>
    <mergeCell ref="M7024:M7025"/>
    <mergeCell ref="N7024:N7025"/>
    <mergeCell ref="A7009:A7010"/>
    <mergeCell ref="B7009:B7010"/>
    <mergeCell ref="C7009:C7010"/>
    <mergeCell ref="D7009:D7010"/>
    <mergeCell ref="E7009:E7010"/>
    <mergeCell ref="F7009:F7010"/>
    <mergeCell ref="G7009:G7010"/>
    <mergeCell ref="H7009:H7010"/>
    <mergeCell ref="I7009:I7010"/>
    <mergeCell ref="J7009:J7010"/>
    <mergeCell ref="K7009:K7010"/>
    <mergeCell ref="L7009:L7010"/>
    <mergeCell ref="M7009:M7010"/>
    <mergeCell ref="N7009:N7010"/>
    <mergeCell ref="A7011:A7012"/>
    <mergeCell ref="B7011:B7012"/>
    <mergeCell ref="C7011:C7012"/>
    <mergeCell ref="D7011:D7012"/>
    <mergeCell ref="E7011:E7012"/>
    <mergeCell ref="F7011:F7012"/>
    <mergeCell ref="G7011:G7012"/>
    <mergeCell ref="H7011:H7012"/>
    <mergeCell ref="I7011:I7012"/>
    <mergeCell ref="J7011:J7012"/>
    <mergeCell ref="K7011:K7012"/>
    <mergeCell ref="L7011:L7012"/>
    <mergeCell ref="M7011:M7012"/>
    <mergeCell ref="N7011:N7012"/>
    <mergeCell ref="A7014:A7015"/>
    <mergeCell ref="B7014:B7015"/>
    <mergeCell ref="C7014:C7015"/>
    <mergeCell ref="D7014:D7015"/>
    <mergeCell ref="E7014:E7015"/>
    <mergeCell ref="F7014:F7015"/>
    <mergeCell ref="G7014:G7015"/>
    <mergeCell ref="H7014:H7015"/>
    <mergeCell ref="I7014:I7015"/>
    <mergeCell ref="J7014:J7015"/>
    <mergeCell ref="K7014:K7015"/>
    <mergeCell ref="L7014:L7015"/>
    <mergeCell ref="M7014:M7015"/>
    <mergeCell ref="N7014:N7015"/>
    <mergeCell ref="A7002:A7003"/>
    <mergeCell ref="B7002:B7003"/>
    <mergeCell ref="C7002:C7003"/>
    <mergeCell ref="D7002:D7003"/>
    <mergeCell ref="E7002:E7003"/>
    <mergeCell ref="F7002:F7003"/>
    <mergeCell ref="G7002:G7003"/>
    <mergeCell ref="H7002:H7003"/>
    <mergeCell ref="I7002:I7003"/>
    <mergeCell ref="J7002:J7003"/>
    <mergeCell ref="K7002:K7003"/>
    <mergeCell ref="L7002:L7003"/>
    <mergeCell ref="M7002:M7003"/>
    <mergeCell ref="N7002:N7003"/>
    <mergeCell ref="A7005:A7006"/>
    <mergeCell ref="B7005:B7006"/>
    <mergeCell ref="C7005:C7006"/>
    <mergeCell ref="D7005:D7006"/>
    <mergeCell ref="E7005:E7006"/>
    <mergeCell ref="F7005:F7006"/>
    <mergeCell ref="G7005:G7006"/>
    <mergeCell ref="H7005:H7006"/>
    <mergeCell ref="I7005:I7006"/>
    <mergeCell ref="J7005:J7006"/>
    <mergeCell ref="K7005:K7006"/>
    <mergeCell ref="L7005:L7006"/>
    <mergeCell ref="M7005:M7006"/>
    <mergeCell ref="N7005:N7006"/>
    <mergeCell ref="A7007:A7008"/>
    <mergeCell ref="B7007:B7008"/>
    <mergeCell ref="C7007:C7008"/>
    <mergeCell ref="D7007:D7008"/>
    <mergeCell ref="E7007:E7008"/>
    <mergeCell ref="F7007:F7008"/>
    <mergeCell ref="G7007:G7008"/>
    <mergeCell ref="H7007:H7008"/>
    <mergeCell ref="I7007:I7008"/>
    <mergeCell ref="J7007:J7008"/>
    <mergeCell ref="K7007:K7008"/>
    <mergeCell ref="L7007:L7008"/>
    <mergeCell ref="M7007:M7008"/>
    <mergeCell ref="N7007:N7008"/>
    <mergeCell ref="A6994:A6997"/>
    <mergeCell ref="B6994:B6997"/>
    <mergeCell ref="C6994:C6997"/>
    <mergeCell ref="D6994:D6997"/>
    <mergeCell ref="E6994:E6997"/>
    <mergeCell ref="F6994:F6997"/>
    <mergeCell ref="G6994:G6997"/>
    <mergeCell ref="H6994:H6997"/>
    <mergeCell ref="I6994:I6997"/>
    <mergeCell ref="J6994:J6997"/>
    <mergeCell ref="K6994:K6997"/>
    <mergeCell ref="L6994:L6997"/>
    <mergeCell ref="M6994:M6997"/>
    <mergeCell ref="N6994:N6997"/>
    <mergeCell ref="A6998:A6999"/>
    <mergeCell ref="B6998:B6999"/>
    <mergeCell ref="C6998:C6999"/>
    <mergeCell ref="D6998:D6999"/>
    <mergeCell ref="E6998:E6999"/>
    <mergeCell ref="F6998:F6999"/>
    <mergeCell ref="G6998:G6999"/>
    <mergeCell ref="H6998:H6999"/>
    <mergeCell ref="I6998:I6999"/>
    <mergeCell ref="J6998:J6999"/>
    <mergeCell ref="K6998:K6999"/>
    <mergeCell ref="L6998:L6999"/>
    <mergeCell ref="M6998:M6999"/>
    <mergeCell ref="N6998:N6999"/>
    <mergeCell ref="A7000:A7001"/>
    <mergeCell ref="B7000:B7001"/>
    <mergeCell ref="C7000:C7001"/>
    <mergeCell ref="D7000:D7001"/>
    <mergeCell ref="E7000:E7001"/>
    <mergeCell ref="F7000:F7001"/>
    <mergeCell ref="G7000:G7001"/>
    <mergeCell ref="H7000:H7001"/>
    <mergeCell ref="I7000:I7001"/>
    <mergeCell ref="J7000:J7001"/>
    <mergeCell ref="K7000:K7001"/>
    <mergeCell ref="L7000:L7001"/>
    <mergeCell ref="M7000:M7001"/>
    <mergeCell ref="N7000:N7001"/>
    <mergeCell ref="A6986:A6987"/>
    <mergeCell ref="B6986:B6987"/>
    <mergeCell ref="C6986:C6987"/>
    <mergeCell ref="D6986:D6987"/>
    <mergeCell ref="E6986:E6987"/>
    <mergeCell ref="F6986:F6987"/>
    <mergeCell ref="G6986:G6987"/>
    <mergeCell ref="H6986:H6987"/>
    <mergeCell ref="I6986:I6987"/>
    <mergeCell ref="J6986:J6987"/>
    <mergeCell ref="K6986:K6987"/>
    <mergeCell ref="L6986:L6987"/>
    <mergeCell ref="M6986:M6987"/>
    <mergeCell ref="N6986:N6987"/>
    <mergeCell ref="A6988:A6990"/>
    <mergeCell ref="B6988:B6990"/>
    <mergeCell ref="C6988:C6990"/>
    <mergeCell ref="D6988:D6990"/>
    <mergeCell ref="E6988:E6990"/>
    <mergeCell ref="F6988:F6990"/>
    <mergeCell ref="G6988:G6990"/>
    <mergeCell ref="H6988:H6990"/>
    <mergeCell ref="I6988:I6990"/>
    <mergeCell ref="J6988:J6990"/>
    <mergeCell ref="K6988:K6990"/>
    <mergeCell ref="L6988:L6990"/>
    <mergeCell ref="M6988:M6990"/>
    <mergeCell ref="N6988:N6990"/>
    <mergeCell ref="A6991:A6993"/>
    <mergeCell ref="B6991:B6993"/>
    <mergeCell ref="C6991:C6993"/>
    <mergeCell ref="D6991:D6993"/>
    <mergeCell ref="E6991:E6993"/>
    <mergeCell ref="F6991:F6993"/>
    <mergeCell ref="G6991:G6993"/>
    <mergeCell ref="H6991:H6993"/>
    <mergeCell ref="I6991:I6993"/>
    <mergeCell ref="J6991:J6993"/>
    <mergeCell ref="K6991:K6993"/>
    <mergeCell ref="L6991:L6993"/>
    <mergeCell ref="M6991:M6993"/>
    <mergeCell ref="N6991:N6993"/>
    <mergeCell ref="A6969:A6977"/>
    <mergeCell ref="B6969:B6977"/>
    <mergeCell ref="C6969:C6977"/>
    <mergeCell ref="D6969:D6977"/>
    <mergeCell ref="E6969:E6977"/>
    <mergeCell ref="F6969:F6977"/>
    <mergeCell ref="G6969:G6977"/>
    <mergeCell ref="H6969:H6977"/>
    <mergeCell ref="I6969:I6977"/>
    <mergeCell ref="J6969:J6977"/>
    <mergeCell ref="K6969:K6977"/>
    <mergeCell ref="L6969:L6977"/>
    <mergeCell ref="M6969:M6977"/>
    <mergeCell ref="N6969:N6977"/>
    <mergeCell ref="A6982:A6983"/>
    <mergeCell ref="B6982:B6983"/>
    <mergeCell ref="C6982:C6983"/>
    <mergeCell ref="D6982:D6983"/>
    <mergeCell ref="E6982:E6983"/>
    <mergeCell ref="F6982:F6983"/>
    <mergeCell ref="G6982:G6983"/>
    <mergeCell ref="H6982:H6983"/>
    <mergeCell ref="I6982:I6983"/>
    <mergeCell ref="J6982:J6983"/>
    <mergeCell ref="K6982:K6983"/>
    <mergeCell ref="L6982:L6983"/>
    <mergeCell ref="M6982:M6983"/>
    <mergeCell ref="N6982:N6983"/>
    <mergeCell ref="A6984:A6985"/>
    <mergeCell ref="B6984:B6985"/>
    <mergeCell ref="C6984:C6985"/>
    <mergeCell ref="D6984:D6985"/>
    <mergeCell ref="E6984:E6985"/>
    <mergeCell ref="F6984:F6985"/>
    <mergeCell ref="G6984:G6985"/>
    <mergeCell ref="H6984:H6985"/>
    <mergeCell ref="I6984:I6985"/>
    <mergeCell ref="J6984:J6985"/>
    <mergeCell ref="K6984:K6985"/>
    <mergeCell ref="L6984:L6985"/>
    <mergeCell ref="M6984:M6985"/>
    <mergeCell ref="N6984:N6985"/>
    <mergeCell ref="A6962:A6964"/>
    <mergeCell ref="B6962:B6964"/>
    <mergeCell ref="C6962:C6964"/>
    <mergeCell ref="D6962:D6964"/>
    <mergeCell ref="E6962:E6964"/>
    <mergeCell ref="F6962:F6964"/>
    <mergeCell ref="G6962:G6964"/>
    <mergeCell ref="H6962:H6964"/>
    <mergeCell ref="I6962:I6964"/>
    <mergeCell ref="J6962:J6964"/>
    <mergeCell ref="K6962:K6964"/>
    <mergeCell ref="L6962:L6964"/>
    <mergeCell ref="M6962:M6964"/>
    <mergeCell ref="N6962:N6964"/>
    <mergeCell ref="A6965:A6966"/>
    <mergeCell ref="B6965:B6966"/>
    <mergeCell ref="C6965:C6966"/>
    <mergeCell ref="D6965:D6966"/>
    <mergeCell ref="E6965:E6966"/>
    <mergeCell ref="F6965:F6966"/>
    <mergeCell ref="G6965:G6966"/>
    <mergeCell ref="H6965:H6966"/>
    <mergeCell ref="I6965:I6966"/>
    <mergeCell ref="J6965:J6966"/>
    <mergeCell ref="K6965:K6966"/>
    <mergeCell ref="L6965:L6966"/>
    <mergeCell ref="M6965:M6966"/>
    <mergeCell ref="N6965:N6966"/>
    <mergeCell ref="A6967:A6968"/>
    <mergeCell ref="B6967:B6968"/>
    <mergeCell ref="C6967:C6968"/>
    <mergeCell ref="D6967:D6968"/>
    <mergeCell ref="E6967:E6968"/>
    <mergeCell ref="F6967:F6968"/>
    <mergeCell ref="G6967:G6968"/>
    <mergeCell ref="H6967:H6968"/>
    <mergeCell ref="I6967:I6968"/>
    <mergeCell ref="J6967:J6968"/>
    <mergeCell ref="K6967:K6968"/>
    <mergeCell ref="L6967:L6968"/>
    <mergeCell ref="M6967:M6968"/>
    <mergeCell ref="N6967:N6968"/>
    <mergeCell ref="A6950:A6953"/>
    <mergeCell ref="B6950:B6953"/>
    <mergeCell ref="C6950:C6953"/>
    <mergeCell ref="D6950:D6953"/>
    <mergeCell ref="E6950:E6953"/>
    <mergeCell ref="F6950:F6953"/>
    <mergeCell ref="G6950:G6953"/>
    <mergeCell ref="H6950:H6953"/>
    <mergeCell ref="I6950:I6953"/>
    <mergeCell ref="J6950:J6953"/>
    <mergeCell ref="K6950:K6953"/>
    <mergeCell ref="L6950:L6953"/>
    <mergeCell ref="M6950:M6953"/>
    <mergeCell ref="N6950:N6953"/>
    <mergeCell ref="A6955:A6956"/>
    <mergeCell ref="B6955:B6956"/>
    <mergeCell ref="C6955:C6956"/>
    <mergeCell ref="D6955:D6956"/>
    <mergeCell ref="E6955:E6956"/>
    <mergeCell ref="F6955:F6956"/>
    <mergeCell ref="G6955:G6956"/>
    <mergeCell ref="H6955:H6956"/>
    <mergeCell ref="I6955:I6956"/>
    <mergeCell ref="J6955:J6956"/>
    <mergeCell ref="K6955:K6956"/>
    <mergeCell ref="L6955:L6956"/>
    <mergeCell ref="M6955:M6956"/>
    <mergeCell ref="N6955:N6956"/>
    <mergeCell ref="A6957:A6960"/>
    <mergeCell ref="B6957:B6960"/>
    <mergeCell ref="C6957:C6960"/>
    <mergeCell ref="D6957:D6960"/>
    <mergeCell ref="E6957:E6960"/>
    <mergeCell ref="F6957:F6960"/>
    <mergeCell ref="G6957:G6960"/>
    <mergeCell ref="H6957:H6960"/>
    <mergeCell ref="I6957:I6960"/>
    <mergeCell ref="J6957:J6960"/>
    <mergeCell ref="K6957:K6960"/>
    <mergeCell ref="L6957:L6960"/>
    <mergeCell ref="M6957:M6960"/>
    <mergeCell ref="N6957:N6960"/>
    <mergeCell ref="A6939:A6941"/>
    <mergeCell ref="B6939:B6941"/>
    <mergeCell ref="C6939:C6941"/>
    <mergeCell ref="D6939:D6941"/>
    <mergeCell ref="E6939:E6941"/>
    <mergeCell ref="F6939:F6941"/>
    <mergeCell ref="G6939:G6941"/>
    <mergeCell ref="H6939:H6941"/>
    <mergeCell ref="I6939:I6941"/>
    <mergeCell ref="J6939:J6941"/>
    <mergeCell ref="K6939:K6941"/>
    <mergeCell ref="L6939:L6941"/>
    <mergeCell ref="M6939:M6941"/>
    <mergeCell ref="N6939:N6941"/>
    <mergeCell ref="A6943:A6944"/>
    <mergeCell ref="B6943:B6944"/>
    <mergeCell ref="C6943:C6944"/>
    <mergeCell ref="D6943:D6944"/>
    <mergeCell ref="E6943:E6944"/>
    <mergeCell ref="F6943:F6944"/>
    <mergeCell ref="G6943:G6944"/>
    <mergeCell ref="H6943:H6944"/>
    <mergeCell ref="I6943:I6944"/>
    <mergeCell ref="J6943:J6944"/>
    <mergeCell ref="K6943:K6944"/>
    <mergeCell ref="L6943:L6944"/>
    <mergeCell ref="M6943:M6944"/>
    <mergeCell ref="N6943:N6944"/>
    <mergeCell ref="A6947:A6948"/>
    <mergeCell ref="B6947:B6948"/>
    <mergeCell ref="C6947:C6948"/>
    <mergeCell ref="D6947:D6948"/>
    <mergeCell ref="E6947:E6948"/>
    <mergeCell ref="F6947:F6948"/>
    <mergeCell ref="G6947:G6948"/>
    <mergeCell ref="H6947:H6948"/>
    <mergeCell ref="I6947:I6948"/>
    <mergeCell ref="J6947:J6948"/>
    <mergeCell ref="K6947:K6948"/>
    <mergeCell ref="L6947:L6948"/>
    <mergeCell ref="M6947:M6948"/>
    <mergeCell ref="N6947:N6948"/>
    <mergeCell ref="A6931:A6933"/>
    <mergeCell ref="B6931:B6933"/>
    <mergeCell ref="C6931:C6933"/>
    <mergeCell ref="D6931:D6933"/>
    <mergeCell ref="E6931:E6933"/>
    <mergeCell ref="F6931:F6933"/>
    <mergeCell ref="G6931:G6933"/>
    <mergeCell ref="H6931:H6933"/>
    <mergeCell ref="I6931:I6933"/>
    <mergeCell ref="J6931:J6933"/>
    <mergeCell ref="K6931:K6933"/>
    <mergeCell ref="L6931:L6933"/>
    <mergeCell ref="M6931:M6933"/>
    <mergeCell ref="N6931:N6933"/>
    <mergeCell ref="A6934:A6935"/>
    <mergeCell ref="B6934:B6935"/>
    <mergeCell ref="C6934:C6935"/>
    <mergeCell ref="D6934:D6935"/>
    <mergeCell ref="E6934:E6935"/>
    <mergeCell ref="F6934:F6935"/>
    <mergeCell ref="G6934:G6935"/>
    <mergeCell ref="H6934:H6935"/>
    <mergeCell ref="I6934:I6935"/>
    <mergeCell ref="J6934:J6935"/>
    <mergeCell ref="K6934:K6935"/>
    <mergeCell ref="L6934:L6935"/>
    <mergeCell ref="M6934:M6935"/>
    <mergeCell ref="N6934:N6935"/>
    <mergeCell ref="A6936:A6938"/>
    <mergeCell ref="B6936:B6938"/>
    <mergeCell ref="C6936:C6938"/>
    <mergeCell ref="D6936:D6938"/>
    <mergeCell ref="E6936:E6938"/>
    <mergeCell ref="F6936:F6938"/>
    <mergeCell ref="G6936:G6938"/>
    <mergeCell ref="H6936:H6938"/>
    <mergeCell ref="I6936:I6938"/>
    <mergeCell ref="J6936:J6938"/>
    <mergeCell ref="K6936:K6938"/>
    <mergeCell ref="L6936:L6938"/>
    <mergeCell ref="M6936:M6938"/>
    <mergeCell ref="N6936:N6938"/>
    <mergeCell ref="A6917:A6918"/>
    <mergeCell ref="B6917:B6918"/>
    <mergeCell ref="C6917:C6918"/>
    <mergeCell ref="D6917:D6918"/>
    <mergeCell ref="E6917:E6918"/>
    <mergeCell ref="F6917:F6918"/>
    <mergeCell ref="G6917:G6918"/>
    <mergeCell ref="H6917:H6918"/>
    <mergeCell ref="I6917:I6918"/>
    <mergeCell ref="J6917:J6918"/>
    <mergeCell ref="K6917:K6918"/>
    <mergeCell ref="L6917:L6918"/>
    <mergeCell ref="M6917:M6918"/>
    <mergeCell ref="N6917:N6918"/>
    <mergeCell ref="A6921:A6925"/>
    <mergeCell ref="B6921:B6925"/>
    <mergeCell ref="C6921:C6925"/>
    <mergeCell ref="D6921:D6925"/>
    <mergeCell ref="E6921:E6925"/>
    <mergeCell ref="F6921:F6925"/>
    <mergeCell ref="G6921:G6925"/>
    <mergeCell ref="H6921:H6925"/>
    <mergeCell ref="I6921:I6925"/>
    <mergeCell ref="J6921:J6925"/>
    <mergeCell ref="K6921:K6925"/>
    <mergeCell ref="L6921:L6925"/>
    <mergeCell ref="M6921:M6925"/>
    <mergeCell ref="N6921:N6925"/>
    <mergeCell ref="A6928:A6930"/>
    <mergeCell ref="B6928:B6930"/>
    <mergeCell ref="C6928:C6930"/>
    <mergeCell ref="D6928:D6930"/>
    <mergeCell ref="E6928:E6930"/>
    <mergeCell ref="F6928:F6930"/>
    <mergeCell ref="G6928:G6930"/>
    <mergeCell ref="H6928:H6930"/>
    <mergeCell ref="I6928:I6930"/>
    <mergeCell ref="J6928:J6930"/>
    <mergeCell ref="K6928:K6930"/>
    <mergeCell ref="L6928:L6930"/>
    <mergeCell ref="M6928:M6930"/>
    <mergeCell ref="N6928:N6930"/>
    <mergeCell ref="A6899:A6903"/>
    <mergeCell ref="B6899:B6903"/>
    <mergeCell ref="C6899:C6903"/>
    <mergeCell ref="D6899:D6903"/>
    <mergeCell ref="E6899:E6903"/>
    <mergeCell ref="F6899:F6903"/>
    <mergeCell ref="G6899:G6903"/>
    <mergeCell ref="H6899:H6903"/>
    <mergeCell ref="I6899:I6903"/>
    <mergeCell ref="J6899:J6903"/>
    <mergeCell ref="K6899:K6903"/>
    <mergeCell ref="L6899:L6903"/>
    <mergeCell ref="M6899:M6903"/>
    <mergeCell ref="N6899:N6903"/>
    <mergeCell ref="A6904:A6909"/>
    <mergeCell ref="B6904:B6909"/>
    <mergeCell ref="C6904:C6909"/>
    <mergeCell ref="D6904:D6909"/>
    <mergeCell ref="E6904:E6909"/>
    <mergeCell ref="F6904:F6909"/>
    <mergeCell ref="G6904:G6909"/>
    <mergeCell ref="H6904:H6909"/>
    <mergeCell ref="I6904:I6909"/>
    <mergeCell ref="J6904:J6909"/>
    <mergeCell ref="K6904:K6909"/>
    <mergeCell ref="L6904:L6909"/>
    <mergeCell ref="M6904:M6909"/>
    <mergeCell ref="N6904:N6909"/>
    <mergeCell ref="A6910:A6912"/>
    <mergeCell ref="B6910:B6912"/>
    <mergeCell ref="C6910:C6912"/>
    <mergeCell ref="D6910:D6912"/>
    <mergeCell ref="E6910:E6912"/>
    <mergeCell ref="F6910:F6912"/>
    <mergeCell ref="G6910:G6912"/>
    <mergeCell ref="H6910:H6912"/>
    <mergeCell ref="I6910:I6912"/>
    <mergeCell ref="J6910:J6912"/>
    <mergeCell ref="K6910:K6912"/>
    <mergeCell ref="L6910:L6912"/>
    <mergeCell ref="M6910:M6912"/>
    <mergeCell ref="N6910:N6912"/>
    <mergeCell ref="A6890:A6891"/>
    <mergeCell ref="B6890:B6891"/>
    <mergeCell ref="C6890:C6891"/>
    <mergeCell ref="D6890:D6891"/>
    <mergeCell ref="E6890:E6891"/>
    <mergeCell ref="F6890:F6891"/>
    <mergeCell ref="G6890:G6891"/>
    <mergeCell ref="H6890:H6891"/>
    <mergeCell ref="I6890:I6891"/>
    <mergeCell ref="J6890:J6891"/>
    <mergeCell ref="K6890:K6891"/>
    <mergeCell ref="L6890:L6891"/>
    <mergeCell ref="M6890:M6891"/>
    <mergeCell ref="N6890:N6891"/>
    <mergeCell ref="A6893:A6895"/>
    <mergeCell ref="B6893:B6895"/>
    <mergeCell ref="C6893:C6895"/>
    <mergeCell ref="D6893:D6895"/>
    <mergeCell ref="E6893:E6895"/>
    <mergeCell ref="F6893:F6895"/>
    <mergeCell ref="G6893:G6895"/>
    <mergeCell ref="H6893:H6895"/>
    <mergeCell ref="I6893:I6895"/>
    <mergeCell ref="J6893:J6895"/>
    <mergeCell ref="K6893:K6895"/>
    <mergeCell ref="L6893:L6895"/>
    <mergeCell ref="M6893:M6895"/>
    <mergeCell ref="N6893:N6895"/>
    <mergeCell ref="A6897:A6898"/>
    <mergeCell ref="B6897:B6898"/>
    <mergeCell ref="C6897:C6898"/>
    <mergeCell ref="D6897:D6898"/>
    <mergeCell ref="E6897:E6898"/>
    <mergeCell ref="F6897:F6898"/>
    <mergeCell ref="G6897:G6898"/>
    <mergeCell ref="H6897:H6898"/>
    <mergeCell ref="I6897:I6898"/>
    <mergeCell ref="J6897:J6898"/>
    <mergeCell ref="K6897:K6898"/>
    <mergeCell ref="L6897:L6898"/>
    <mergeCell ref="M6897:M6898"/>
    <mergeCell ref="N6897:N6898"/>
    <mergeCell ref="A6879:A6880"/>
    <mergeCell ref="B6879:B6880"/>
    <mergeCell ref="C6879:C6880"/>
    <mergeCell ref="D6879:D6880"/>
    <mergeCell ref="E6879:E6880"/>
    <mergeCell ref="F6879:F6880"/>
    <mergeCell ref="G6879:G6880"/>
    <mergeCell ref="H6879:H6880"/>
    <mergeCell ref="I6879:I6880"/>
    <mergeCell ref="J6879:J6880"/>
    <mergeCell ref="K6879:K6880"/>
    <mergeCell ref="L6879:L6880"/>
    <mergeCell ref="M6879:M6880"/>
    <mergeCell ref="N6879:N6880"/>
    <mergeCell ref="A6885:A6886"/>
    <mergeCell ref="B6885:B6886"/>
    <mergeCell ref="C6885:C6886"/>
    <mergeCell ref="D6885:D6886"/>
    <mergeCell ref="E6885:E6886"/>
    <mergeCell ref="F6885:F6886"/>
    <mergeCell ref="G6885:G6886"/>
    <mergeCell ref="H6885:H6886"/>
    <mergeCell ref="I6885:I6886"/>
    <mergeCell ref="J6885:J6886"/>
    <mergeCell ref="K6885:K6886"/>
    <mergeCell ref="L6885:L6886"/>
    <mergeCell ref="M6885:M6886"/>
    <mergeCell ref="N6885:N6886"/>
    <mergeCell ref="A6887:A6888"/>
    <mergeCell ref="B6887:B6888"/>
    <mergeCell ref="C6887:C6888"/>
    <mergeCell ref="D6887:D6888"/>
    <mergeCell ref="E6887:E6888"/>
    <mergeCell ref="F6887:F6888"/>
    <mergeCell ref="G6887:G6888"/>
    <mergeCell ref="H6887:H6888"/>
    <mergeCell ref="I6887:I6888"/>
    <mergeCell ref="J6887:J6888"/>
    <mergeCell ref="K6887:K6888"/>
    <mergeCell ref="L6887:L6888"/>
    <mergeCell ref="M6887:M6888"/>
    <mergeCell ref="N6887:N6888"/>
    <mergeCell ref="A6869:A6871"/>
    <mergeCell ref="B6869:B6871"/>
    <mergeCell ref="C6869:C6871"/>
    <mergeCell ref="D6869:D6871"/>
    <mergeCell ref="E6869:E6871"/>
    <mergeCell ref="F6869:F6871"/>
    <mergeCell ref="G6869:G6871"/>
    <mergeCell ref="H6869:H6871"/>
    <mergeCell ref="I6869:I6871"/>
    <mergeCell ref="J6869:J6871"/>
    <mergeCell ref="K6869:K6871"/>
    <mergeCell ref="L6869:L6871"/>
    <mergeCell ref="M6869:M6871"/>
    <mergeCell ref="N6869:N6871"/>
    <mergeCell ref="A6872:A6874"/>
    <mergeCell ref="B6872:B6874"/>
    <mergeCell ref="C6872:C6874"/>
    <mergeCell ref="D6872:D6874"/>
    <mergeCell ref="E6872:E6874"/>
    <mergeCell ref="F6872:F6874"/>
    <mergeCell ref="G6872:G6874"/>
    <mergeCell ref="H6872:H6874"/>
    <mergeCell ref="I6872:I6874"/>
    <mergeCell ref="J6872:J6874"/>
    <mergeCell ref="K6872:K6874"/>
    <mergeCell ref="L6872:L6874"/>
    <mergeCell ref="M6872:M6874"/>
    <mergeCell ref="N6872:N6874"/>
    <mergeCell ref="A6875:A6878"/>
    <mergeCell ref="B6875:B6878"/>
    <mergeCell ref="C6875:C6878"/>
    <mergeCell ref="D6875:D6878"/>
    <mergeCell ref="E6875:E6878"/>
    <mergeCell ref="F6875:F6878"/>
    <mergeCell ref="G6875:G6878"/>
    <mergeCell ref="H6875:H6878"/>
    <mergeCell ref="I6875:I6878"/>
    <mergeCell ref="J6875:J6878"/>
    <mergeCell ref="K6875:K6878"/>
    <mergeCell ref="L6875:L6878"/>
    <mergeCell ref="M6875:M6878"/>
    <mergeCell ref="N6875:N6878"/>
    <mergeCell ref="A6862:A6863"/>
    <mergeCell ref="B6862:B6863"/>
    <mergeCell ref="C6862:C6863"/>
    <mergeCell ref="D6862:D6863"/>
    <mergeCell ref="E6862:E6863"/>
    <mergeCell ref="F6862:F6863"/>
    <mergeCell ref="G6862:G6863"/>
    <mergeCell ref="H6862:H6863"/>
    <mergeCell ref="I6862:I6863"/>
    <mergeCell ref="J6862:J6863"/>
    <mergeCell ref="K6862:K6863"/>
    <mergeCell ref="L6862:L6863"/>
    <mergeCell ref="M6862:M6863"/>
    <mergeCell ref="N6862:N6863"/>
    <mergeCell ref="A6864:A6865"/>
    <mergeCell ref="B6864:B6865"/>
    <mergeCell ref="C6864:C6865"/>
    <mergeCell ref="D6864:D6865"/>
    <mergeCell ref="E6864:E6865"/>
    <mergeCell ref="F6864:F6865"/>
    <mergeCell ref="G6864:G6865"/>
    <mergeCell ref="H6864:H6865"/>
    <mergeCell ref="I6864:I6865"/>
    <mergeCell ref="J6864:J6865"/>
    <mergeCell ref="K6864:K6865"/>
    <mergeCell ref="L6864:L6865"/>
    <mergeCell ref="M6864:M6865"/>
    <mergeCell ref="N6864:N6865"/>
    <mergeCell ref="A6866:A6868"/>
    <mergeCell ref="B6866:B6868"/>
    <mergeCell ref="C6866:C6868"/>
    <mergeCell ref="D6866:D6868"/>
    <mergeCell ref="E6866:E6868"/>
    <mergeCell ref="F6866:F6868"/>
    <mergeCell ref="G6866:G6868"/>
    <mergeCell ref="H6866:H6868"/>
    <mergeCell ref="I6866:I6868"/>
    <mergeCell ref="J6866:J6868"/>
    <mergeCell ref="K6866:K6868"/>
    <mergeCell ref="L6866:L6868"/>
    <mergeCell ref="M6866:M6868"/>
    <mergeCell ref="N6866:N6868"/>
    <mergeCell ref="A6849:A6850"/>
    <mergeCell ref="B6849:B6850"/>
    <mergeCell ref="C6849:C6850"/>
    <mergeCell ref="D6849:D6850"/>
    <mergeCell ref="E6849:E6850"/>
    <mergeCell ref="F6849:F6850"/>
    <mergeCell ref="G6849:G6850"/>
    <mergeCell ref="H6849:H6850"/>
    <mergeCell ref="I6849:I6850"/>
    <mergeCell ref="J6849:J6850"/>
    <mergeCell ref="K6849:K6850"/>
    <mergeCell ref="L6849:L6850"/>
    <mergeCell ref="M6849:M6850"/>
    <mergeCell ref="N6849:N6850"/>
    <mergeCell ref="A6851:A6855"/>
    <mergeCell ref="B6851:B6855"/>
    <mergeCell ref="C6851:C6855"/>
    <mergeCell ref="D6851:D6855"/>
    <mergeCell ref="E6851:E6855"/>
    <mergeCell ref="F6851:F6855"/>
    <mergeCell ref="G6851:G6855"/>
    <mergeCell ref="H6851:H6855"/>
    <mergeCell ref="I6851:I6855"/>
    <mergeCell ref="J6851:J6855"/>
    <mergeCell ref="K6851:K6855"/>
    <mergeCell ref="L6851:L6855"/>
    <mergeCell ref="M6851:M6855"/>
    <mergeCell ref="N6851:N6855"/>
    <mergeCell ref="A6860:A6861"/>
    <mergeCell ref="B6860:B6861"/>
    <mergeCell ref="C6860:C6861"/>
    <mergeCell ref="D6860:D6861"/>
    <mergeCell ref="E6860:E6861"/>
    <mergeCell ref="F6860:F6861"/>
    <mergeCell ref="G6860:G6861"/>
    <mergeCell ref="H6860:H6861"/>
    <mergeCell ref="I6860:I6861"/>
    <mergeCell ref="J6860:J6861"/>
    <mergeCell ref="K6860:K6861"/>
    <mergeCell ref="L6860:L6861"/>
    <mergeCell ref="M6860:M6861"/>
    <mergeCell ref="N6860:N6861"/>
    <mergeCell ref="A6836:A6843"/>
    <mergeCell ref="B6836:B6843"/>
    <mergeCell ref="C6836:C6843"/>
    <mergeCell ref="D6836:D6843"/>
    <mergeCell ref="E6836:E6843"/>
    <mergeCell ref="F6836:F6843"/>
    <mergeCell ref="G6836:G6843"/>
    <mergeCell ref="H6836:H6843"/>
    <mergeCell ref="I6836:I6843"/>
    <mergeCell ref="J6836:J6843"/>
    <mergeCell ref="K6836:K6843"/>
    <mergeCell ref="L6836:L6843"/>
    <mergeCell ref="M6836:M6843"/>
    <mergeCell ref="N6836:N6843"/>
    <mergeCell ref="A6845:A6846"/>
    <mergeCell ref="B6845:B6846"/>
    <mergeCell ref="C6845:C6846"/>
    <mergeCell ref="D6845:D6846"/>
    <mergeCell ref="E6845:E6846"/>
    <mergeCell ref="F6845:F6846"/>
    <mergeCell ref="G6845:G6846"/>
    <mergeCell ref="H6845:H6846"/>
    <mergeCell ref="I6845:I6846"/>
    <mergeCell ref="J6845:J6846"/>
    <mergeCell ref="K6845:K6846"/>
    <mergeCell ref="L6845:L6846"/>
    <mergeCell ref="M6845:M6846"/>
    <mergeCell ref="N6845:N6846"/>
    <mergeCell ref="A6847:A6848"/>
    <mergeCell ref="B6847:B6848"/>
    <mergeCell ref="C6847:C6848"/>
    <mergeCell ref="D6847:D6848"/>
    <mergeCell ref="E6847:E6848"/>
    <mergeCell ref="F6847:F6848"/>
    <mergeCell ref="G6847:G6848"/>
    <mergeCell ref="H6847:H6848"/>
    <mergeCell ref="I6847:I6848"/>
    <mergeCell ref="J6847:J6848"/>
    <mergeCell ref="K6847:K6848"/>
    <mergeCell ref="L6847:L6848"/>
    <mergeCell ref="M6847:M6848"/>
    <mergeCell ref="N6847:N6848"/>
    <mergeCell ref="A6824:A6825"/>
    <mergeCell ref="B6824:B6825"/>
    <mergeCell ref="C6824:C6825"/>
    <mergeCell ref="D6824:D6825"/>
    <mergeCell ref="E6824:E6825"/>
    <mergeCell ref="F6824:F6825"/>
    <mergeCell ref="G6824:G6825"/>
    <mergeCell ref="H6824:H6825"/>
    <mergeCell ref="I6824:I6825"/>
    <mergeCell ref="J6824:J6825"/>
    <mergeCell ref="K6824:K6825"/>
    <mergeCell ref="L6824:L6825"/>
    <mergeCell ref="M6824:M6825"/>
    <mergeCell ref="N6824:N6825"/>
    <mergeCell ref="A6830:A6832"/>
    <mergeCell ref="B6830:B6832"/>
    <mergeCell ref="C6830:C6832"/>
    <mergeCell ref="D6830:D6832"/>
    <mergeCell ref="E6830:E6832"/>
    <mergeCell ref="F6830:F6832"/>
    <mergeCell ref="G6830:G6832"/>
    <mergeCell ref="H6830:H6832"/>
    <mergeCell ref="I6830:I6832"/>
    <mergeCell ref="J6830:J6832"/>
    <mergeCell ref="K6830:K6832"/>
    <mergeCell ref="L6830:L6832"/>
    <mergeCell ref="M6830:M6832"/>
    <mergeCell ref="N6830:N6832"/>
    <mergeCell ref="A6834:A6835"/>
    <mergeCell ref="B6834:B6835"/>
    <mergeCell ref="C6834:C6835"/>
    <mergeCell ref="D6834:D6835"/>
    <mergeCell ref="E6834:E6835"/>
    <mergeCell ref="F6834:F6835"/>
    <mergeCell ref="G6834:G6835"/>
    <mergeCell ref="H6834:H6835"/>
    <mergeCell ref="I6834:I6835"/>
    <mergeCell ref="J6834:J6835"/>
    <mergeCell ref="K6834:K6835"/>
    <mergeCell ref="L6834:L6835"/>
    <mergeCell ref="M6834:M6835"/>
    <mergeCell ref="N6834:N6835"/>
    <mergeCell ref="A6812:A6818"/>
    <mergeCell ref="B6812:B6818"/>
    <mergeCell ref="C6812:C6818"/>
    <mergeCell ref="D6812:D6818"/>
    <mergeCell ref="E6812:E6818"/>
    <mergeCell ref="F6812:F6818"/>
    <mergeCell ref="G6812:G6818"/>
    <mergeCell ref="H6812:H6818"/>
    <mergeCell ref="I6812:I6818"/>
    <mergeCell ref="J6812:J6818"/>
    <mergeCell ref="K6812:K6818"/>
    <mergeCell ref="L6812:L6818"/>
    <mergeCell ref="M6812:M6818"/>
    <mergeCell ref="N6812:N6818"/>
    <mergeCell ref="A6819:A6820"/>
    <mergeCell ref="B6819:B6820"/>
    <mergeCell ref="C6819:C6820"/>
    <mergeCell ref="D6819:D6820"/>
    <mergeCell ref="E6819:E6820"/>
    <mergeCell ref="F6819:F6820"/>
    <mergeCell ref="G6819:G6820"/>
    <mergeCell ref="H6819:H6820"/>
    <mergeCell ref="I6819:I6820"/>
    <mergeCell ref="J6819:J6820"/>
    <mergeCell ref="K6819:K6820"/>
    <mergeCell ref="L6819:L6820"/>
    <mergeCell ref="M6819:M6820"/>
    <mergeCell ref="N6819:N6820"/>
    <mergeCell ref="A6821:A6823"/>
    <mergeCell ref="B6821:B6823"/>
    <mergeCell ref="C6821:C6823"/>
    <mergeCell ref="D6821:D6823"/>
    <mergeCell ref="E6821:E6823"/>
    <mergeCell ref="F6821:F6823"/>
    <mergeCell ref="G6821:G6823"/>
    <mergeCell ref="H6821:H6823"/>
    <mergeCell ref="I6821:I6823"/>
    <mergeCell ref="J6821:J6823"/>
    <mergeCell ref="K6821:K6823"/>
    <mergeCell ref="L6821:L6823"/>
    <mergeCell ref="M6821:M6823"/>
    <mergeCell ref="N6821:N6823"/>
    <mergeCell ref="A6771:A6802"/>
    <mergeCell ref="B6771:B6802"/>
    <mergeCell ref="C6771:C6802"/>
    <mergeCell ref="D6771:D6802"/>
    <mergeCell ref="E6771:E6802"/>
    <mergeCell ref="F6771:F6802"/>
    <mergeCell ref="G6771:G6802"/>
    <mergeCell ref="H6771:H6802"/>
    <mergeCell ref="I6771:I6802"/>
    <mergeCell ref="J6771:J6802"/>
    <mergeCell ref="K6771:K6802"/>
    <mergeCell ref="L6771:L6802"/>
    <mergeCell ref="M6771:M6802"/>
    <mergeCell ref="N6771:N6802"/>
    <mergeCell ref="A6803:A6809"/>
    <mergeCell ref="B6803:B6809"/>
    <mergeCell ref="C6803:C6809"/>
    <mergeCell ref="D6803:D6809"/>
    <mergeCell ref="E6803:E6809"/>
    <mergeCell ref="F6803:F6809"/>
    <mergeCell ref="G6803:G6809"/>
    <mergeCell ref="H6803:H6809"/>
    <mergeCell ref="I6803:I6809"/>
    <mergeCell ref="J6803:J6809"/>
    <mergeCell ref="K6803:K6809"/>
    <mergeCell ref="L6803:L6809"/>
    <mergeCell ref="M6803:M6809"/>
    <mergeCell ref="N6803:N6809"/>
    <mergeCell ref="A6810:A6811"/>
    <mergeCell ref="B6810:B6811"/>
    <mergeCell ref="C6810:C6811"/>
    <mergeCell ref="D6810:D6811"/>
    <mergeCell ref="E6810:E6811"/>
    <mergeCell ref="F6810:F6811"/>
    <mergeCell ref="G6810:G6811"/>
    <mergeCell ref="H6810:H6811"/>
    <mergeCell ref="I6810:I6811"/>
    <mergeCell ref="J6810:J6811"/>
    <mergeCell ref="K6810:K6811"/>
    <mergeCell ref="L6810:L6811"/>
    <mergeCell ref="M6810:M6811"/>
    <mergeCell ref="N6810:N6811"/>
    <mergeCell ref="A6759:A6760"/>
    <mergeCell ref="B6759:B6760"/>
    <mergeCell ref="C6759:C6760"/>
    <mergeCell ref="D6759:D6760"/>
    <mergeCell ref="E6759:E6760"/>
    <mergeCell ref="F6759:F6760"/>
    <mergeCell ref="G6759:G6760"/>
    <mergeCell ref="H6759:H6760"/>
    <mergeCell ref="I6759:I6760"/>
    <mergeCell ref="J6759:J6760"/>
    <mergeCell ref="K6759:K6760"/>
    <mergeCell ref="L6759:L6760"/>
    <mergeCell ref="M6759:M6760"/>
    <mergeCell ref="N6759:N6760"/>
    <mergeCell ref="A6763:A6764"/>
    <mergeCell ref="B6763:B6764"/>
    <mergeCell ref="C6763:C6764"/>
    <mergeCell ref="D6763:D6764"/>
    <mergeCell ref="E6763:E6764"/>
    <mergeCell ref="F6763:F6764"/>
    <mergeCell ref="G6763:G6764"/>
    <mergeCell ref="H6763:H6764"/>
    <mergeCell ref="I6763:I6764"/>
    <mergeCell ref="J6763:J6764"/>
    <mergeCell ref="K6763:K6764"/>
    <mergeCell ref="L6763:L6764"/>
    <mergeCell ref="M6763:M6764"/>
    <mergeCell ref="N6763:N6764"/>
    <mergeCell ref="A6769:A6770"/>
    <mergeCell ref="B6769:B6770"/>
    <mergeCell ref="C6769:C6770"/>
    <mergeCell ref="D6769:D6770"/>
    <mergeCell ref="E6769:E6770"/>
    <mergeCell ref="F6769:F6770"/>
    <mergeCell ref="G6769:G6770"/>
    <mergeCell ref="H6769:H6770"/>
    <mergeCell ref="I6769:I6770"/>
    <mergeCell ref="J6769:J6770"/>
    <mergeCell ref="K6769:K6770"/>
    <mergeCell ref="L6769:L6770"/>
    <mergeCell ref="M6769:M6770"/>
    <mergeCell ref="N6769:N6770"/>
    <mergeCell ref="A6752:A6753"/>
    <mergeCell ref="B6752:B6753"/>
    <mergeCell ref="C6752:C6753"/>
    <mergeCell ref="D6752:D6753"/>
    <mergeCell ref="E6752:E6753"/>
    <mergeCell ref="F6752:F6753"/>
    <mergeCell ref="G6752:G6753"/>
    <mergeCell ref="H6752:H6753"/>
    <mergeCell ref="I6752:I6753"/>
    <mergeCell ref="J6752:J6753"/>
    <mergeCell ref="K6752:K6753"/>
    <mergeCell ref="L6752:L6753"/>
    <mergeCell ref="M6752:M6753"/>
    <mergeCell ref="N6752:N6753"/>
    <mergeCell ref="A6754:A6756"/>
    <mergeCell ref="B6754:B6756"/>
    <mergeCell ref="C6754:C6756"/>
    <mergeCell ref="D6754:D6756"/>
    <mergeCell ref="E6754:E6756"/>
    <mergeCell ref="F6754:F6756"/>
    <mergeCell ref="G6754:G6756"/>
    <mergeCell ref="H6754:H6756"/>
    <mergeCell ref="I6754:I6756"/>
    <mergeCell ref="J6754:J6756"/>
    <mergeCell ref="K6754:K6756"/>
    <mergeCell ref="L6754:L6756"/>
    <mergeCell ref="M6754:M6756"/>
    <mergeCell ref="N6754:N6756"/>
    <mergeCell ref="A6757:A6758"/>
    <mergeCell ref="B6757:B6758"/>
    <mergeCell ref="C6757:C6758"/>
    <mergeCell ref="D6757:D6758"/>
    <mergeCell ref="E6757:E6758"/>
    <mergeCell ref="F6757:F6758"/>
    <mergeCell ref="G6757:G6758"/>
    <mergeCell ref="H6757:H6758"/>
    <mergeCell ref="I6757:I6758"/>
    <mergeCell ref="J6757:J6758"/>
    <mergeCell ref="K6757:K6758"/>
    <mergeCell ref="L6757:L6758"/>
    <mergeCell ref="M6757:M6758"/>
    <mergeCell ref="N6757:N6758"/>
    <mergeCell ref="A6735:A6740"/>
    <mergeCell ref="B6735:B6740"/>
    <mergeCell ref="C6735:C6740"/>
    <mergeCell ref="D6735:D6740"/>
    <mergeCell ref="E6735:E6740"/>
    <mergeCell ref="F6735:F6740"/>
    <mergeCell ref="G6735:G6740"/>
    <mergeCell ref="H6735:H6740"/>
    <mergeCell ref="I6735:I6740"/>
    <mergeCell ref="J6735:J6740"/>
    <mergeCell ref="K6735:K6740"/>
    <mergeCell ref="L6735:L6740"/>
    <mergeCell ref="M6735:M6740"/>
    <mergeCell ref="N6735:N6740"/>
    <mergeCell ref="A6742:A6745"/>
    <mergeCell ref="B6742:B6745"/>
    <mergeCell ref="C6742:C6745"/>
    <mergeCell ref="D6742:D6745"/>
    <mergeCell ref="E6742:E6745"/>
    <mergeCell ref="F6742:F6745"/>
    <mergeCell ref="G6742:G6745"/>
    <mergeCell ref="H6742:H6745"/>
    <mergeCell ref="I6742:I6745"/>
    <mergeCell ref="J6742:J6745"/>
    <mergeCell ref="K6742:K6745"/>
    <mergeCell ref="L6742:L6745"/>
    <mergeCell ref="M6742:M6745"/>
    <mergeCell ref="N6742:N6745"/>
    <mergeCell ref="A6747:A6751"/>
    <mergeCell ref="B6747:B6751"/>
    <mergeCell ref="C6747:C6751"/>
    <mergeCell ref="D6747:D6751"/>
    <mergeCell ref="E6747:E6751"/>
    <mergeCell ref="F6747:F6751"/>
    <mergeCell ref="G6747:G6751"/>
    <mergeCell ref="H6747:H6751"/>
    <mergeCell ref="I6747:I6751"/>
    <mergeCell ref="J6747:J6751"/>
    <mergeCell ref="K6747:K6751"/>
    <mergeCell ref="L6747:L6751"/>
    <mergeCell ref="M6747:M6751"/>
    <mergeCell ref="N6747:N6751"/>
    <mergeCell ref="A6721:A6725"/>
    <mergeCell ref="B6721:B6725"/>
    <mergeCell ref="C6721:C6725"/>
    <mergeCell ref="D6721:D6725"/>
    <mergeCell ref="E6721:E6725"/>
    <mergeCell ref="F6721:F6725"/>
    <mergeCell ref="G6721:G6725"/>
    <mergeCell ref="H6721:H6725"/>
    <mergeCell ref="I6721:I6725"/>
    <mergeCell ref="J6721:J6725"/>
    <mergeCell ref="K6721:K6725"/>
    <mergeCell ref="L6721:L6725"/>
    <mergeCell ref="M6721:M6725"/>
    <mergeCell ref="N6721:N6725"/>
    <mergeCell ref="A6726:A6731"/>
    <mergeCell ref="B6726:B6731"/>
    <mergeCell ref="C6726:C6731"/>
    <mergeCell ref="D6726:D6731"/>
    <mergeCell ref="E6726:E6731"/>
    <mergeCell ref="F6726:F6731"/>
    <mergeCell ref="G6726:G6731"/>
    <mergeCell ref="H6726:H6731"/>
    <mergeCell ref="I6726:I6731"/>
    <mergeCell ref="J6726:J6731"/>
    <mergeCell ref="K6726:K6731"/>
    <mergeCell ref="L6726:L6731"/>
    <mergeCell ref="M6726:M6731"/>
    <mergeCell ref="N6726:N6731"/>
    <mergeCell ref="A6732:A6734"/>
    <mergeCell ref="B6732:B6734"/>
    <mergeCell ref="C6732:C6734"/>
    <mergeCell ref="D6732:D6734"/>
    <mergeCell ref="E6732:E6734"/>
    <mergeCell ref="F6732:F6734"/>
    <mergeCell ref="G6732:G6734"/>
    <mergeCell ref="H6732:H6734"/>
    <mergeCell ref="I6732:I6734"/>
    <mergeCell ref="J6732:J6734"/>
    <mergeCell ref="K6732:K6734"/>
    <mergeCell ref="L6732:L6734"/>
    <mergeCell ref="M6732:M6734"/>
    <mergeCell ref="N6732:N6734"/>
    <mergeCell ref="A6708:A6711"/>
    <mergeCell ref="B6708:B6711"/>
    <mergeCell ref="C6708:C6711"/>
    <mergeCell ref="D6708:D6711"/>
    <mergeCell ref="E6708:E6711"/>
    <mergeCell ref="F6708:F6711"/>
    <mergeCell ref="G6708:G6711"/>
    <mergeCell ref="H6708:H6711"/>
    <mergeCell ref="I6708:I6711"/>
    <mergeCell ref="J6708:J6711"/>
    <mergeCell ref="K6708:K6711"/>
    <mergeCell ref="L6708:L6711"/>
    <mergeCell ref="M6708:M6711"/>
    <mergeCell ref="N6708:N6711"/>
    <mergeCell ref="A6712:A6716"/>
    <mergeCell ref="B6712:B6716"/>
    <mergeCell ref="C6712:C6716"/>
    <mergeCell ref="D6712:D6716"/>
    <mergeCell ref="E6712:E6716"/>
    <mergeCell ref="F6712:F6716"/>
    <mergeCell ref="G6712:G6716"/>
    <mergeCell ref="H6712:H6716"/>
    <mergeCell ref="I6712:I6716"/>
    <mergeCell ref="J6712:J6716"/>
    <mergeCell ref="K6712:K6716"/>
    <mergeCell ref="L6712:L6716"/>
    <mergeCell ref="M6712:M6716"/>
    <mergeCell ref="N6712:N6716"/>
    <mergeCell ref="A6717:A6720"/>
    <mergeCell ref="B6717:B6720"/>
    <mergeCell ref="C6717:C6720"/>
    <mergeCell ref="D6717:D6720"/>
    <mergeCell ref="E6717:E6720"/>
    <mergeCell ref="F6717:F6720"/>
    <mergeCell ref="G6717:G6720"/>
    <mergeCell ref="H6717:H6720"/>
    <mergeCell ref="I6717:I6720"/>
    <mergeCell ref="J6717:J6720"/>
    <mergeCell ref="K6717:K6720"/>
    <mergeCell ref="L6717:L6720"/>
    <mergeCell ref="M6717:M6720"/>
    <mergeCell ref="N6717:N6720"/>
    <mergeCell ref="A6697:A6699"/>
    <mergeCell ref="B6697:B6699"/>
    <mergeCell ref="C6697:C6699"/>
    <mergeCell ref="D6697:D6699"/>
    <mergeCell ref="E6697:E6699"/>
    <mergeCell ref="F6697:F6699"/>
    <mergeCell ref="G6697:G6699"/>
    <mergeCell ref="H6697:H6699"/>
    <mergeCell ref="I6697:I6699"/>
    <mergeCell ref="J6697:J6699"/>
    <mergeCell ref="K6697:K6699"/>
    <mergeCell ref="L6697:L6699"/>
    <mergeCell ref="M6697:M6699"/>
    <mergeCell ref="N6697:N6699"/>
    <mergeCell ref="A6700:A6704"/>
    <mergeCell ref="B6700:B6704"/>
    <mergeCell ref="C6700:C6704"/>
    <mergeCell ref="D6700:D6704"/>
    <mergeCell ref="E6700:E6704"/>
    <mergeCell ref="F6700:F6704"/>
    <mergeCell ref="G6700:G6704"/>
    <mergeCell ref="H6700:H6704"/>
    <mergeCell ref="I6700:I6704"/>
    <mergeCell ref="J6700:J6704"/>
    <mergeCell ref="K6700:K6704"/>
    <mergeCell ref="L6700:L6704"/>
    <mergeCell ref="M6700:M6704"/>
    <mergeCell ref="N6700:N6704"/>
    <mergeCell ref="A6705:A6707"/>
    <mergeCell ref="B6705:B6707"/>
    <mergeCell ref="C6705:C6707"/>
    <mergeCell ref="D6705:D6707"/>
    <mergeCell ref="E6705:E6707"/>
    <mergeCell ref="F6705:F6707"/>
    <mergeCell ref="G6705:G6707"/>
    <mergeCell ref="H6705:H6707"/>
    <mergeCell ref="I6705:I6707"/>
    <mergeCell ref="J6705:J6707"/>
    <mergeCell ref="K6705:K6707"/>
    <mergeCell ref="L6705:L6707"/>
    <mergeCell ref="M6705:M6707"/>
    <mergeCell ref="N6705:N6707"/>
    <mergeCell ref="A6688:A6689"/>
    <mergeCell ref="B6688:B6689"/>
    <mergeCell ref="C6688:C6689"/>
    <mergeCell ref="D6688:D6689"/>
    <mergeCell ref="E6688:E6689"/>
    <mergeCell ref="F6688:F6689"/>
    <mergeCell ref="G6688:G6689"/>
    <mergeCell ref="H6688:H6689"/>
    <mergeCell ref="I6688:I6689"/>
    <mergeCell ref="J6688:J6689"/>
    <mergeCell ref="K6688:K6689"/>
    <mergeCell ref="L6688:L6689"/>
    <mergeCell ref="M6688:M6689"/>
    <mergeCell ref="N6688:N6689"/>
    <mergeCell ref="A6691:A6692"/>
    <mergeCell ref="B6691:B6692"/>
    <mergeCell ref="C6691:C6692"/>
    <mergeCell ref="D6691:D6692"/>
    <mergeCell ref="E6691:E6692"/>
    <mergeCell ref="F6691:F6692"/>
    <mergeCell ref="G6691:G6692"/>
    <mergeCell ref="H6691:H6692"/>
    <mergeCell ref="I6691:I6692"/>
    <mergeCell ref="J6691:J6692"/>
    <mergeCell ref="K6691:K6692"/>
    <mergeCell ref="L6691:L6692"/>
    <mergeCell ref="M6691:M6692"/>
    <mergeCell ref="N6691:N6692"/>
    <mergeCell ref="A6693:A6695"/>
    <mergeCell ref="B6693:B6695"/>
    <mergeCell ref="C6693:C6695"/>
    <mergeCell ref="D6693:D6695"/>
    <mergeCell ref="E6693:E6695"/>
    <mergeCell ref="F6693:F6695"/>
    <mergeCell ref="G6693:G6695"/>
    <mergeCell ref="H6693:H6695"/>
    <mergeCell ref="I6693:I6695"/>
    <mergeCell ref="J6693:J6695"/>
    <mergeCell ref="K6693:K6695"/>
    <mergeCell ref="L6693:L6695"/>
    <mergeCell ref="M6693:M6695"/>
    <mergeCell ref="N6693:N6695"/>
    <mergeCell ref="A6678:A6682"/>
    <mergeCell ref="B6678:B6682"/>
    <mergeCell ref="C6678:C6682"/>
    <mergeCell ref="D6678:D6682"/>
    <mergeCell ref="E6678:E6682"/>
    <mergeCell ref="F6678:F6682"/>
    <mergeCell ref="G6678:G6682"/>
    <mergeCell ref="H6678:H6682"/>
    <mergeCell ref="I6678:I6682"/>
    <mergeCell ref="J6678:J6682"/>
    <mergeCell ref="K6678:K6682"/>
    <mergeCell ref="L6678:L6682"/>
    <mergeCell ref="M6678:M6682"/>
    <mergeCell ref="N6678:N6682"/>
    <mergeCell ref="A6683:A6684"/>
    <mergeCell ref="B6683:B6684"/>
    <mergeCell ref="C6683:C6684"/>
    <mergeCell ref="D6683:D6684"/>
    <mergeCell ref="E6683:E6684"/>
    <mergeCell ref="F6683:F6684"/>
    <mergeCell ref="G6683:G6684"/>
    <mergeCell ref="H6683:H6684"/>
    <mergeCell ref="I6683:I6684"/>
    <mergeCell ref="J6683:J6684"/>
    <mergeCell ref="K6683:K6684"/>
    <mergeCell ref="L6683:L6684"/>
    <mergeCell ref="M6683:M6684"/>
    <mergeCell ref="N6683:N6684"/>
    <mergeCell ref="A6686:A6687"/>
    <mergeCell ref="B6686:B6687"/>
    <mergeCell ref="C6686:C6687"/>
    <mergeCell ref="D6686:D6687"/>
    <mergeCell ref="E6686:E6687"/>
    <mergeCell ref="F6686:F6687"/>
    <mergeCell ref="G6686:G6687"/>
    <mergeCell ref="H6686:H6687"/>
    <mergeCell ref="I6686:I6687"/>
    <mergeCell ref="J6686:J6687"/>
    <mergeCell ref="K6686:K6687"/>
    <mergeCell ref="L6686:L6687"/>
    <mergeCell ref="M6686:M6687"/>
    <mergeCell ref="N6686:N6687"/>
    <mergeCell ref="A6668:A6670"/>
    <mergeCell ref="B6668:B6670"/>
    <mergeCell ref="C6668:C6670"/>
    <mergeCell ref="D6668:D6670"/>
    <mergeCell ref="E6668:E6670"/>
    <mergeCell ref="F6668:F6670"/>
    <mergeCell ref="G6668:G6670"/>
    <mergeCell ref="H6668:H6670"/>
    <mergeCell ref="I6668:I6670"/>
    <mergeCell ref="J6668:J6670"/>
    <mergeCell ref="K6668:K6670"/>
    <mergeCell ref="L6668:L6670"/>
    <mergeCell ref="M6668:M6670"/>
    <mergeCell ref="N6668:N6670"/>
    <mergeCell ref="A6671:A6673"/>
    <mergeCell ref="B6671:B6673"/>
    <mergeCell ref="C6671:C6673"/>
    <mergeCell ref="D6671:D6673"/>
    <mergeCell ref="E6671:E6673"/>
    <mergeCell ref="F6671:F6673"/>
    <mergeCell ref="G6671:G6673"/>
    <mergeCell ref="H6671:H6673"/>
    <mergeCell ref="I6671:I6673"/>
    <mergeCell ref="J6671:J6673"/>
    <mergeCell ref="K6671:K6673"/>
    <mergeCell ref="L6671:L6673"/>
    <mergeCell ref="M6671:M6673"/>
    <mergeCell ref="N6671:N6673"/>
    <mergeCell ref="A6674:A6677"/>
    <mergeCell ref="B6674:B6677"/>
    <mergeCell ref="C6674:C6677"/>
    <mergeCell ref="D6674:D6677"/>
    <mergeCell ref="E6674:E6677"/>
    <mergeCell ref="F6674:F6677"/>
    <mergeCell ref="G6674:G6677"/>
    <mergeCell ref="H6674:H6677"/>
    <mergeCell ref="I6674:I6677"/>
    <mergeCell ref="J6674:J6677"/>
    <mergeCell ref="K6674:K6677"/>
    <mergeCell ref="L6674:L6677"/>
    <mergeCell ref="M6674:M6677"/>
    <mergeCell ref="N6674:N6677"/>
    <mergeCell ref="A6661:A6663"/>
    <mergeCell ref="B6661:B6663"/>
    <mergeCell ref="C6661:C6663"/>
    <mergeCell ref="D6661:D6663"/>
    <mergeCell ref="E6661:E6663"/>
    <mergeCell ref="F6661:F6663"/>
    <mergeCell ref="G6661:G6663"/>
    <mergeCell ref="H6661:H6663"/>
    <mergeCell ref="I6661:I6663"/>
    <mergeCell ref="J6661:J6663"/>
    <mergeCell ref="K6661:K6663"/>
    <mergeCell ref="L6661:L6663"/>
    <mergeCell ref="M6661:M6663"/>
    <mergeCell ref="N6661:N6663"/>
    <mergeCell ref="A6664:A6665"/>
    <mergeCell ref="B6664:B6665"/>
    <mergeCell ref="C6664:C6665"/>
    <mergeCell ref="D6664:D6665"/>
    <mergeCell ref="E6664:E6665"/>
    <mergeCell ref="F6664:F6665"/>
    <mergeCell ref="G6664:G6665"/>
    <mergeCell ref="H6664:H6665"/>
    <mergeCell ref="I6664:I6665"/>
    <mergeCell ref="J6664:J6665"/>
    <mergeCell ref="K6664:K6665"/>
    <mergeCell ref="L6664:L6665"/>
    <mergeCell ref="M6664:M6665"/>
    <mergeCell ref="N6664:N6665"/>
    <mergeCell ref="A6666:A6667"/>
    <mergeCell ref="B6666:B6667"/>
    <mergeCell ref="C6666:C6667"/>
    <mergeCell ref="D6666:D6667"/>
    <mergeCell ref="E6666:E6667"/>
    <mergeCell ref="F6666:F6667"/>
    <mergeCell ref="G6666:G6667"/>
    <mergeCell ref="H6666:H6667"/>
    <mergeCell ref="I6666:I6667"/>
    <mergeCell ref="J6666:J6667"/>
    <mergeCell ref="K6666:K6667"/>
    <mergeCell ref="L6666:L6667"/>
    <mergeCell ref="M6666:M6667"/>
    <mergeCell ref="N6666:N6667"/>
    <mergeCell ref="A6652:A6654"/>
    <mergeCell ref="B6652:B6654"/>
    <mergeCell ref="C6652:C6654"/>
    <mergeCell ref="D6652:D6654"/>
    <mergeCell ref="E6652:E6654"/>
    <mergeCell ref="F6652:F6654"/>
    <mergeCell ref="G6652:G6654"/>
    <mergeCell ref="H6652:H6654"/>
    <mergeCell ref="I6652:I6654"/>
    <mergeCell ref="J6652:J6654"/>
    <mergeCell ref="K6652:K6654"/>
    <mergeCell ref="L6652:L6654"/>
    <mergeCell ref="M6652:M6654"/>
    <mergeCell ref="N6652:N6654"/>
    <mergeCell ref="A6655:A6657"/>
    <mergeCell ref="B6655:B6657"/>
    <mergeCell ref="C6655:C6657"/>
    <mergeCell ref="D6655:D6657"/>
    <mergeCell ref="E6655:E6657"/>
    <mergeCell ref="F6655:F6657"/>
    <mergeCell ref="G6655:G6657"/>
    <mergeCell ref="H6655:H6657"/>
    <mergeCell ref="I6655:I6657"/>
    <mergeCell ref="J6655:J6657"/>
    <mergeCell ref="K6655:K6657"/>
    <mergeCell ref="L6655:L6657"/>
    <mergeCell ref="M6655:M6657"/>
    <mergeCell ref="N6655:N6657"/>
    <mergeCell ref="A6658:A6660"/>
    <mergeCell ref="B6658:B6660"/>
    <mergeCell ref="C6658:C6660"/>
    <mergeCell ref="D6658:D6660"/>
    <mergeCell ref="E6658:E6660"/>
    <mergeCell ref="F6658:F6660"/>
    <mergeCell ref="G6658:G6660"/>
    <mergeCell ref="H6658:H6660"/>
    <mergeCell ref="I6658:I6660"/>
    <mergeCell ref="J6658:J6660"/>
    <mergeCell ref="K6658:K6660"/>
    <mergeCell ref="L6658:L6660"/>
    <mergeCell ref="M6658:M6660"/>
    <mergeCell ref="N6658:N6660"/>
    <mergeCell ref="A6644:A6645"/>
    <mergeCell ref="B6644:B6645"/>
    <mergeCell ref="C6644:C6645"/>
    <mergeCell ref="D6644:D6645"/>
    <mergeCell ref="E6644:E6645"/>
    <mergeCell ref="F6644:F6645"/>
    <mergeCell ref="G6644:G6645"/>
    <mergeCell ref="H6644:H6645"/>
    <mergeCell ref="I6644:I6645"/>
    <mergeCell ref="J6644:J6645"/>
    <mergeCell ref="K6644:K6645"/>
    <mergeCell ref="L6644:L6645"/>
    <mergeCell ref="M6644:M6645"/>
    <mergeCell ref="N6644:N6645"/>
    <mergeCell ref="A6646:A6648"/>
    <mergeCell ref="B6646:B6648"/>
    <mergeCell ref="C6646:C6648"/>
    <mergeCell ref="D6646:D6648"/>
    <mergeCell ref="E6646:E6648"/>
    <mergeCell ref="F6646:F6648"/>
    <mergeCell ref="G6646:G6648"/>
    <mergeCell ref="H6646:H6648"/>
    <mergeCell ref="I6646:I6648"/>
    <mergeCell ref="J6646:J6648"/>
    <mergeCell ref="K6646:K6648"/>
    <mergeCell ref="L6646:L6648"/>
    <mergeCell ref="M6646:M6648"/>
    <mergeCell ref="N6646:N6648"/>
    <mergeCell ref="A6649:A6651"/>
    <mergeCell ref="B6649:B6651"/>
    <mergeCell ref="C6649:C6651"/>
    <mergeCell ref="D6649:D6651"/>
    <mergeCell ref="E6649:E6651"/>
    <mergeCell ref="F6649:F6651"/>
    <mergeCell ref="G6649:G6651"/>
    <mergeCell ref="H6649:H6651"/>
    <mergeCell ref="I6649:I6651"/>
    <mergeCell ref="J6649:J6651"/>
    <mergeCell ref="K6649:K6651"/>
    <mergeCell ref="L6649:L6651"/>
    <mergeCell ref="M6649:M6651"/>
    <mergeCell ref="N6649:N6651"/>
    <mergeCell ref="A6635:A6636"/>
    <mergeCell ref="B6635:B6636"/>
    <mergeCell ref="C6635:C6636"/>
    <mergeCell ref="D6635:D6636"/>
    <mergeCell ref="E6635:E6636"/>
    <mergeCell ref="F6635:F6636"/>
    <mergeCell ref="G6635:G6636"/>
    <mergeCell ref="H6635:H6636"/>
    <mergeCell ref="I6635:I6636"/>
    <mergeCell ref="J6635:J6636"/>
    <mergeCell ref="K6635:K6636"/>
    <mergeCell ref="L6635:L6636"/>
    <mergeCell ref="M6635:M6636"/>
    <mergeCell ref="N6635:N6636"/>
    <mergeCell ref="A6637:A6639"/>
    <mergeCell ref="B6637:B6639"/>
    <mergeCell ref="C6637:C6639"/>
    <mergeCell ref="D6637:D6639"/>
    <mergeCell ref="E6637:E6639"/>
    <mergeCell ref="F6637:F6639"/>
    <mergeCell ref="G6637:G6639"/>
    <mergeCell ref="H6637:H6639"/>
    <mergeCell ref="I6637:I6639"/>
    <mergeCell ref="J6637:J6639"/>
    <mergeCell ref="K6637:K6639"/>
    <mergeCell ref="L6637:L6639"/>
    <mergeCell ref="M6637:M6639"/>
    <mergeCell ref="N6637:N6639"/>
    <mergeCell ref="A6641:A6643"/>
    <mergeCell ref="B6641:B6643"/>
    <mergeCell ref="C6641:C6643"/>
    <mergeCell ref="D6641:D6643"/>
    <mergeCell ref="E6641:E6643"/>
    <mergeCell ref="F6641:F6643"/>
    <mergeCell ref="G6641:G6643"/>
    <mergeCell ref="H6641:H6643"/>
    <mergeCell ref="I6641:I6643"/>
    <mergeCell ref="J6641:J6643"/>
    <mergeCell ref="K6641:K6643"/>
    <mergeCell ref="L6641:L6643"/>
    <mergeCell ref="M6641:M6643"/>
    <mergeCell ref="N6641:N6643"/>
    <mergeCell ref="A6623:A6625"/>
    <mergeCell ref="B6623:B6625"/>
    <mergeCell ref="C6623:C6625"/>
    <mergeCell ref="D6623:D6625"/>
    <mergeCell ref="E6623:E6625"/>
    <mergeCell ref="F6623:F6625"/>
    <mergeCell ref="G6623:G6625"/>
    <mergeCell ref="H6623:H6625"/>
    <mergeCell ref="I6623:I6625"/>
    <mergeCell ref="J6623:J6625"/>
    <mergeCell ref="K6623:K6625"/>
    <mergeCell ref="L6623:L6625"/>
    <mergeCell ref="M6623:M6625"/>
    <mergeCell ref="N6623:N6625"/>
    <mergeCell ref="A6626:A6629"/>
    <mergeCell ref="B6626:B6629"/>
    <mergeCell ref="C6626:C6629"/>
    <mergeCell ref="D6626:D6629"/>
    <mergeCell ref="E6626:E6629"/>
    <mergeCell ref="F6626:F6629"/>
    <mergeCell ref="G6626:G6629"/>
    <mergeCell ref="H6626:H6629"/>
    <mergeCell ref="I6626:I6629"/>
    <mergeCell ref="J6626:J6629"/>
    <mergeCell ref="K6626:K6629"/>
    <mergeCell ref="L6626:L6629"/>
    <mergeCell ref="M6626:M6629"/>
    <mergeCell ref="N6626:N6629"/>
    <mergeCell ref="A6630:A6634"/>
    <mergeCell ref="B6630:B6634"/>
    <mergeCell ref="C6630:C6634"/>
    <mergeCell ref="D6630:D6634"/>
    <mergeCell ref="E6630:E6634"/>
    <mergeCell ref="F6630:F6634"/>
    <mergeCell ref="G6630:G6634"/>
    <mergeCell ref="H6630:H6634"/>
    <mergeCell ref="I6630:I6634"/>
    <mergeCell ref="J6630:J6634"/>
    <mergeCell ref="K6630:K6634"/>
    <mergeCell ref="L6630:L6634"/>
    <mergeCell ref="M6630:M6634"/>
    <mergeCell ref="N6630:N6634"/>
    <mergeCell ref="A6615:A6616"/>
    <mergeCell ref="B6615:B6616"/>
    <mergeCell ref="C6615:C6616"/>
    <mergeCell ref="D6615:D6616"/>
    <mergeCell ref="E6615:E6616"/>
    <mergeCell ref="F6615:F6616"/>
    <mergeCell ref="G6615:G6616"/>
    <mergeCell ref="H6615:H6616"/>
    <mergeCell ref="I6615:I6616"/>
    <mergeCell ref="J6615:J6616"/>
    <mergeCell ref="K6615:K6616"/>
    <mergeCell ref="L6615:L6616"/>
    <mergeCell ref="M6615:M6616"/>
    <mergeCell ref="N6615:N6616"/>
    <mergeCell ref="A6617:A6619"/>
    <mergeCell ref="B6617:B6619"/>
    <mergeCell ref="C6617:C6619"/>
    <mergeCell ref="D6617:D6619"/>
    <mergeCell ref="E6617:E6619"/>
    <mergeCell ref="F6617:F6619"/>
    <mergeCell ref="G6617:G6619"/>
    <mergeCell ref="H6617:H6619"/>
    <mergeCell ref="I6617:I6619"/>
    <mergeCell ref="J6617:J6619"/>
    <mergeCell ref="K6617:K6619"/>
    <mergeCell ref="L6617:L6619"/>
    <mergeCell ref="M6617:M6619"/>
    <mergeCell ref="N6617:N6619"/>
    <mergeCell ref="A6620:A6622"/>
    <mergeCell ref="B6620:B6622"/>
    <mergeCell ref="C6620:C6622"/>
    <mergeCell ref="D6620:D6622"/>
    <mergeCell ref="E6620:E6622"/>
    <mergeCell ref="F6620:F6622"/>
    <mergeCell ref="G6620:G6622"/>
    <mergeCell ref="H6620:H6622"/>
    <mergeCell ref="I6620:I6622"/>
    <mergeCell ref="J6620:J6622"/>
    <mergeCell ref="K6620:K6622"/>
    <mergeCell ref="L6620:L6622"/>
    <mergeCell ref="M6620:M6622"/>
    <mergeCell ref="N6620:N6622"/>
    <mergeCell ref="A6606:A6607"/>
    <mergeCell ref="B6606:B6607"/>
    <mergeCell ref="C6606:C6607"/>
    <mergeCell ref="D6606:D6607"/>
    <mergeCell ref="E6606:E6607"/>
    <mergeCell ref="F6606:F6607"/>
    <mergeCell ref="G6606:G6607"/>
    <mergeCell ref="H6606:H6607"/>
    <mergeCell ref="I6606:I6607"/>
    <mergeCell ref="J6606:J6607"/>
    <mergeCell ref="K6606:K6607"/>
    <mergeCell ref="L6606:L6607"/>
    <mergeCell ref="M6606:M6607"/>
    <mergeCell ref="N6606:N6607"/>
    <mergeCell ref="A6609:A6610"/>
    <mergeCell ref="B6609:B6610"/>
    <mergeCell ref="C6609:C6610"/>
    <mergeCell ref="D6609:D6610"/>
    <mergeCell ref="E6609:E6610"/>
    <mergeCell ref="F6609:F6610"/>
    <mergeCell ref="G6609:G6610"/>
    <mergeCell ref="H6609:H6610"/>
    <mergeCell ref="I6609:I6610"/>
    <mergeCell ref="J6609:J6610"/>
    <mergeCell ref="K6609:K6610"/>
    <mergeCell ref="L6609:L6610"/>
    <mergeCell ref="M6609:M6610"/>
    <mergeCell ref="N6609:N6610"/>
    <mergeCell ref="A6613:A6614"/>
    <mergeCell ref="B6613:B6614"/>
    <mergeCell ref="C6613:C6614"/>
    <mergeCell ref="D6613:D6614"/>
    <mergeCell ref="E6613:E6614"/>
    <mergeCell ref="F6613:F6614"/>
    <mergeCell ref="G6613:G6614"/>
    <mergeCell ref="H6613:H6614"/>
    <mergeCell ref="I6613:I6614"/>
    <mergeCell ref="J6613:J6614"/>
    <mergeCell ref="K6613:K6614"/>
    <mergeCell ref="L6613:L6614"/>
    <mergeCell ref="M6613:M6614"/>
    <mergeCell ref="N6613:N6614"/>
    <mergeCell ref="A6599:A6600"/>
    <mergeCell ref="B6599:B6600"/>
    <mergeCell ref="C6599:C6600"/>
    <mergeCell ref="D6599:D6600"/>
    <mergeCell ref="E6599:E6600"/>
    <mergeCell ref="F6599:F6600"/>
    <mergeCell ref="G6599:G6600"/>
    <mergeCell ref="H6599:H6600"/>
    <mergeCell ref="I6599:I6600"/>
    <mergeCell ref="J6599:J6600"/>
    <mergeCell ref="K6599:K6600"/>
    <mergeCell ref="L6599:L6600"/>
    <mergeCell ref="M6599:M6600"/>
    <mergeCell ref="N6599:N6600"/>
    <mergeCell ref="A6602:A6603"/>
    <mergeCell ref="B6602:B6603"/>
    <mergeCell ref="C6602:C6603"/>
    <mergeCell ref="D6602:D6603"/>
    <mergeCell ref="E6602:E6603"/>
    <mergeCell ref="F6602:F6603"/>
    <mergeCell ref="G6602:G6603"/>
    <mergeCell ref="H6602:H6603"/>
    <mergeCell ref="I6602:I6603"/>
    <mergeCell ref="J6602:J6603"/>
    <mergeCell ref="K6602:K6603"/>
    <mergeCell ref="L6602:L6603"/>
    <mergeCell ref="M6602:M6603"/>
    <mergeCell ref="N6602:N6603"/>
    <mergeCell ref="A6604:A6605"/>
    <mergeCell ref="B6604:B6605"/>
    <mergeCell ref="C6604:C6605"/>
    <mergeCell ref="D6604:D6605"/>
    <mergeCell ref="E6604:E6605"/>
    <mergeCell ref="F6604:F6605"/>
    <mergeCell ref="G6604:G6605"/>
    <mergeCell ref="H6604:H6605"/>
    <mergeCell ref="I6604:I6605"/>
    <mergeCell ref="J6604:J6605"/>
    <mergeCell ref="K6604:K6605"/>
    <mergeCell ref="L6604:L6605"/>
    <mergeCell ref="M6604:M6605"/>
    <mergeCell ref="N6604:N6605"/>
    <mergeCell ref="A6591:A6593"/>
    <mergeCell ref="B6591:B6593"/>
    <mergeCell ref="C6591:C6593"/>
    <mergeCell ref="D6591:D6593"/>
    <mergeCell ref="E6591:E6593"/>
    <mergeCell ref="F6591:F6593"/>
    <mergeCell ref="G6591:G6593"/>
    <mergeCell ref="H6591:H6593"/>
    <mergeCell ref="I6591:I6593"/>
    <mergeCell ref="J6591:J6593"/>
    <mergeCell ref="K6591:K6593"/>
    <mergeCell ref="L6591:L6593"/>
    <mergeCell ref="M6591:M6593"/>
    <mergeCell ref="N6591:N6593"/>
    <mergeCell ref="A6594:A6596"/>
    <mergeCell ref="B6594:B6596"/>
    <mergeCell ref="C6594:C6596"/>
    <mergeCell ref="D6594:D6596"/>
    <mergeCell ref="E6594:E6596"/>
    <mergeCell ref="F6594:F6596"/>
    <mergeCell ref="G6594:G6596"/>
    <mergeCell ref="H6594:H6596"/>
    <mergeCell ref="I6594:I6596"/>
    <mergeCell ref="J6594:J6596"/>
    <mergeCell ref="K6594:K6596"/>
    <mergeCell ref="L6594:L6596"/>
    <mergeCell ref="M6594:M6596"/>
    <mergeCell ref="N6594:N6596"/>
    <mergeCell ref="A6597:A6598"/>
    <mergeCell ref="B6597:B6598"/>
    <mergeCell ref="C6597:C6598"/>
    <mergeCell ref="D6597:D6598"/>
    <mergeCell ref="E6597:E6598"/>
    <mergeCell ref="F6597:F6598"/>
    <mergeCell ref="G6597:G6598"/>
    <mergeCell ref="H6597:H6598"/>
    <mergeCell ref="I6597:I6598"/>
    <mergeCell ref="J6597:J6598"/>
    <mergeCell ref="K6597:K6598"/>
    <mergeCell ref="L6597:L6598"/>
    <mergeCell ref="M6597:M6598"/>
    <mergeCell ref="N6597:N6598"/>
    <mergeCell ref="A6580:A6581"/>
    <mergeCell ref="B6580:B6581"/>
    <mergeCell ref="C6580:C6581"/>
    <mergeCell ref="D6580:D6581"/>
    <mergeCell ref="E6580:E6581"/>
    <mergeCell ref="F6580:F6581"/>
    <mergeCell ref="G6580:G6581"/>
    <mergeCell ref="H6580:H6581"/>
    <mergeCell ref="I6580:I6581"/>
    <mergeCell ref="J6580:J6581"/>
    <mergeCell ref="K6580:K6581"/>
    <mergeCell ref="L6580:L6581"/>
    <mergeCell ref="M6580:M6581"/>
    <mergeCell ref="N6580:N6581"/>
    <mergeCell ref="A6583:A6584"/>
    <mergeCell ref="B6583:B6584"/>
    <mergeCell ref="C6583:C6584"/>
    <mergeCell ref="D6583:D6584"/>
    <mergeCell ref="E6583:E6584"/>
    <mergeCell ref="F6583:F6584"/>
    <mergeCell ref="G6583:G6584"/>
    <mergeCell ref="H6583:H6584"/>
    <mergeCell ref="I6583:I6584"/>
    <mergeCell ref="J6583:J6584"/>
    <mergeCell ref="K6583:K6584"/>
    <mergeCell ref="L6583:L6584"/>
    <mergeCell ref="M6583:M6584"/>
    <mergeCell ref="N6583:N6584"/>
    <mergeCell ref="A6585:A6590"/>
    <mergeCell ref="B6585:B6590"/>
    <mergeCell ref="C6585:C6590"/>
    <mergeCell ref="D6585:D6590"/>
    <mergeCell ref="E6585:E6590"/>
    <mergeCell ref="F6585:F6590"/>
    <mergeCell ref="G6585:G6590"/>
    <mergeCell ref="H6585:H6590"/>
    <mergeCell ref="I6585:I6590"/>
    <mergeCell ref="J6585:J6590"/>
    <mergeCell ref="K6585:K6590"/>
    <mergeCell ref="L6585:L6590"/>
    <mergeCell ref="M6585:M6590"/>
    <mergeCell ref="N6585:N6590"/>
    <mergeCell ref="A6574:A6575"/>
    <mergeCell ref="B6574:B6575"/>
    <mergeCell ref="C6574:C6575"/>
    <mergeCell ref="D6574:D6575"/>
    <mergeCell ref="E6574:E6575"/>
    <mergeCell ref="F6574:F6575"/>
    <mergeCell ref="G6574:G6575"/>
    <mergeCell ref="H6574:H6575"/>
    <mergeCell ref="I6574:I6575"/>
    <mergeCell ref="J6574:J6575"/>
    <mergeCell ref="K6574:K6575"/>
    <mergeCell ref="L6574:L6575"/>
    <mergeCell ref="M6574:M6575"/>
    <mergeCell ref="N6574:N6575"/>
    <mergeCell ref="A6576:A6577"/>
    <mergeCell ref="B6576:B6577"/>
    <mergeCell ref="C6576:C6577"/>
    <mergeCell ref="D6576:D6577"/>
    <mergeCell ref="E6576:E6577"/>
    <mergeCell ref="F6576:F6577"/>
    <mergeCell ref="G6576:G6577"/>
    <mergeCell ref="H6576:H6577"/>
    <mergeCell ref="I6576:I6577"/>
    <mergeCell ref="J6576:J6577"/>
    <mergeCell ref="K6576:K6577"/>
    <mergeCell ref="L6576:L6577"/>
    <mergeCell ref="M6576:M6577"/>
    <mergeCell ref="N6576:N6577"/>
    <mergeCell ref="A6578:A6579"/>
    <mergeCell ref="B6578:B6579"/>
    <mergeCell ref="C6578:C6579"/>
    <mergeCell ref="D6578:D6579"/>
    <mergeCell ref="E6578:E6579"/>
    <mergeCell ref="F6578:F6579"/>
    <mergeCell ref="G6578:G6579"/>
    <mergeCell ref="H6578:H6579"/>
    <mergeCell ref="I6578:I6579"/>
    <mergeCell ref="J6578:J6579"/>
    <mergeCell ref="K6578:K6579"/>
    <mergeCell ref="L6578:L6579"/>
    <mergeCell ref="M6578:M6579"/>
    <mergeCell ref="N6578:N6579"/>
    <mergeCell ref="A6563:A6566"/>
    <mergeCell ref="B6563:B6566"/>
    <mergeCell ref="C6563:C6566"/>
    <mergeCell ref="D6563:D6566"/>
    <mergeCell ref="E6563:E6566"/>
    <mergeCell ref="F6563:F6566"/>
    <mergeCell ref="G6563:G6566"/>
    <mergeCell ref="H6563:H6566"/>
    <mergeCell ref="I6563:I6566"/>
    <mergeCell ref="J6563:J6566"/>
    <mergeCell ref="K6563:K6566"/>
    <mergeCell ref="L6563:L6566"/>
    <mergeCell ref="M6563:M6566"/>
    <mergeCell ref="N6563:N6566"/>
    <mergeCell ref="A6567:A6568"/>
    <mergeCell ref="B6567:B6568"/>
    <mergeCell ref="C6567:C6568"/>
    <mergeCell ref="D6567:D6568"/>
    <mergeCell ref="E6567:E6568"/>
    <mergeCell ref="F6567:F6568"/>
    <mergeCell ref="G6567:G6568"/>
    <mergeCell ref="H6567:H6568"/>
    <mergeCell ref="I6567:I6568"/>
    <mergeCell ref="J6567:J6568"/>
    <mergeCell ref="K6567:K6568"/>
    <mergeCell ref="L6567:L6568"/>
    <mergeCell ref="M6567:M6568"/>
    <mergeCell ref="N6567:N6568"/>
    <mergeCell ref="A6572:A6573"/>
    <mergeCell ref="B6572:B6573"/>
    <mergeCell ref="C6572:C6573"/>
    <mergeCell ref="D6572:D6573"/>
    <mergeCell ref="E6572:E6573"/>
    <mergeCell ref="F6572:F6573"/>
    <mergeCell ref="G6572:G6573"/>
    <mergeCell ref="H6572:H6573"/>
    <mergeCell ref="I6572:I6573"/>
    <mergeCell ref="J6572:J6573"/>
    <mergeCell ref="K6572:K6573"/>
    <mergeCell ref="L6572:L6573"/>
    <mergeCell ref="M6572:M6573"/>
    <mergeCell ref="N6572:N6573"/>
    <mergeCell ref="A6556:A6557"/>
    <mergeCell ref="B6556:B6557"/>
    <mergeCell ref="C6556:C6557"/>
    <mergeCell ref="D6556:D6557"/>
    <mergeCell ref="E6556:E6557"/>
    <mergeCell ref="F6556:F6557"/>
    <mergeCell ref="G6556:G6557"/>
    <mergeCell ref="H6556:H6557"/>
    <mergeCell ref="I6556:I6557"/>
    <mergeCell ref="J6556:J6557"/>
    <mergeCell ref="K6556:K6557"/>
    <mergeCell ref="L6556:L6557"/>
    <mergeCell ref="M6556:M6557"/>
    <mergeCell ref="N6556:N6557"/>
    <mergeCell ref="A6558:A6559"/>
    <mergeCell ref="B6558:B6559"/>
    <mergeCell ref="C6558:C6559"/>
    <mergeCell ref="D6558:D6559"/>
    <mergeCell ref="E6558:E6559"/>
    <mergeCell ref="F6558:F6559"/>
    <mergeCell ref="G6558:G6559"/>
    <mergeCell ref="H6558:H6559"/>
    <mergeCell ref="I6558:I6559"/>
    <mergeCell ref="J6558:J6559"/>
    <mergeCell ref="K6558:K6559"/>
    <mergeCell ref="L6558:L6559"/>
    <mergeCell ref="M6558:M6559"/>
    <mergeCell ref="N6558:N6559"/>
    <mergeCell ref="A6560:A6561"/>
    <mergeCell ref="B6560:B6561"/>
    <mergeCell ref="C6560:C6561"/>
    <mergeCell ref="D6560:D6561"/>
    <mergeCell ref="E6560:E6561"/>
    <mergeCell ref="F6560:F6561"/>
    <mergeCell ref="G6560:G6561"/>
    <mergeCell ref="H6560:H6561"/>
    <mergeCell ref="I6560:I6561"/>
    <mergeCell ref="J6560:J6561"/>
    <mergeCell ref="K6560:K6561"/>
    <mergeCell ref="L6560:L6561"/>
    <mergeCell ref="M6560:M6561"/>
    <mergeCell ref="N6560:N6561"/>
    <mergeCell ref="A6548:A6549"/>
    <mergeCell ref="B6548:B6549"/>
    <mergeCell ref="C6548:C6549"/>
    <mergeCell ref="D6548:D6549"/>
    <mergeCell ref="E6548:E6549"/>
    <mergeCell ref="F6548:F6549"/>
    <mergeCell ref="G6548:G6549"/>
    <mergeCell ref="H6548:H6549"/>
    <mergeCell ref="I6548:I6549"/>
    <mergeCell ref="J6548:J6549"/>
    <mergeCell ref="K6548:K6549"/>
    <mergeCell ref="L6548:L6549"/>
    <mergeCell ref="M6548:M6549"/>
    <mergeCell ref="N6548:N6549"/>
    <mergeCell ref="A6550:A6551"/>
    <mergeCell ref="B6550:B6551"/>
    <mergeCell ref="C6550:C6551"/>
    <mergeCell ref="D6550:D6551"/>
    <mergeCell ref="E6550:E6551"/>
    <mergeCell ref="F6550:F6551"/>
    <mergeCell ref="G6550:G6551"/>
    <mergeCell ref="H6550:H6551"/>
    <mergeCell ref="I6550:I6551"/>
    <mergeCell ref="J6550:J6551"/>
    <mergeCell ref="K6550:K6551"/>
    <mergeCell ref="L6550:L6551"/>
    <mergeCell ref="M6550:M6551"/>
    <mergeCell ref="N6550:N6551"/>
    <mergeCell ref="A6554:A6555"/>
    <mergeCell ref="B6554:B6555"/>
    <mergeCell ref="C6554:C6555"/>
    <mergeCell ref="D6554:D6555"/>
    <mergeCell ref="E6554:E6555"/>
    <mergeCell ref="F6554:F6555"/>
    <mergeCell ref="G6554:G6555"/>
    <mergeCell ref="H6554:H6555"/>
    <mergeCell ref="I6554:I6555"/>
    <mergeCell ref="J6554:J6555"/>
    <mergeCell ref="K6554:K6555"/>
    <mergeCell ref="L6554:L6555"/>
    <mergeCell ref="M6554:M6555"/>
    <mergeCell ref="N6554:N6555"/>
    <mergeCell ref="A6539:A6540"/>
    <mergeCell ref="B6539:B6540"/>
    <mergeCell ref="C6539:C6540"/>
    <mergeCell ref="D6539:D6540"/>
    <mergeCell ref="E6539:E6540"/>
    <mergeCell ref="F6539:F6540"/>
    <mergeCell ref="G6539:G6540"/>
    <mergeCell ref="H6539:H6540"/>
    <mergeCell ref="I6539:I6540"/>
    <mergeCell ref="J6539:J6540"/>
    <mergeCell ref="K6539:K6540"/>
    <mergeCell ref="L6539:L6540"/>
    <mergeCell ref="M6539:M6540"/>
    <mergeCell ref="N6539:N6540"/>
    <mergeCell ref="A6544:A6545"/>
    <mergeCell ref="B6544:B6545"/>
    <mergeCell ref="C6544:C6545"/>
    <mergeCell ref="D6544:D6545"/>
    <mergeCell ref="E6544:E6545"/>
    <mergeCell ref="F6544:F6545"/>
    <mergeCell ref="G6544:G6545"/>
    <mergeCell ref="H6544:H6545"/>
    <mergeCell ref="I6544:I6545"/>
    <mergeCell ref="J6544:J6545"/>
    <mergeCell ref="K6544:K6545"/>
    <mergeCell ref="L6544:L6545"/>
    <mergeCell ref="M6544:M6545"/>
    <mergeCell ref="N6544:N6545"/>
    <mergeCell ref="A6546:A6547"/>
    <mergeCell ref="B6546:B6547"/>
    <mergeCell ref="C6546:C6547"/>
    <mergeCell ref="D6546:D6547"/>
    <mergeCell ref="E6546:E6547"/>
    <mergeCell ref="F6546:F6547"/>
    <mergeCell ref="G6546:G6547"/>
    <mergeCell ref="H6546:H6547"/>
    <mergeCell ref="I6546:I6547"/>
    <mergeCell ref="J6546:J6547"/>
    <mergeCell ref="K6546:K6547"/>
    <mergeCell ref="L6546:L6547"/>
    <mergeCell ref="M6546:M6547"/>
    <mergeCell ref="N6546:N6547"/>
    <mergeCell ref="A6532:A6533"/>
    <mergeCell ref="B6532:B6533"/>
    <mergeCell ref="C6532:C6533"/>
    <mergeCell ref="D6532:D6533"/>
    <mergeCell ref="E6532:E6533"/>
    <mergeCell ref="F6532:F6533"/>
    <mergeCell ref="G6532:G6533"/>
    <mergeCell ref="H6532:H6533"/>
    <mergeCell ref="I6532:I6533"/>
    <mergeCell ref="J6532:J6533"/>
    <mergeCell ref="K6532:K6533"/>
    <mergeCell ref="L6532:L6533"/>
    <mergeCell ref="M6532:M6533"/>
    <mergeCell ref="N6532:N6533"/>
    <mergeCell ref="A6535:A6536"/>
    <mergeCell ref="B6535:B6536"/>
    <mergeCell ref="C6535:C6536"/>
    <mergeCell ref="D6535:D6536"/>
    <mergeCell ref="E6535:E6536"/>
    <mergeCell ref="F6535:F6536"/>
    <mergeCell ref="G6535:G6536"/>
    <mergeCell ref="H6535:H6536"/>
    <mergeCell ref="I6535:I6536"/>
    <mergeCell ref="J6535:J6536"/>
    <mergeCell ref="K6535:K6536"/>
    <mergeCell ref="L6535:L6536"/>
    <mergeCell ref="M6535:M6536"/>
    <mergeCell ref="N6535:N6536"/>
    <mergeCell ref="A6537:A6538"/>
    <mergeCell ref="B6537:B6538"/>
    <mergeCell ref="C6537:C6538"/>
    <mergeCell ref="D6537:D6538"/>
    <mergeCell ref="E6537:E6538"/>
    <mergeCell ref="F6537:F6538"/>
    <mergeCell ref="G6537:G6538"/>
    <mergeCell ref="H6537:H6538"/>
    <mergeCell ref="I6537:I6538"/>
    <mergeCell ref="J6537:J6538"/>
    <mergeCell ref="K6537:K6538"/>
    <mergeCell ref="L6537:L6538"/>
    <mergeCell ref="M6537:M6538"/>
    <mergeCell ref="N6537:N6538"/>
    <mergeCell ref="A6518:A6522"/>
    <mergeCell ref="B6518:B6522"/>
    <mergeCell ref="C6518:C6522"/>
    <mergeCell ref="D6518:D6522"/>
    <mergeCell ref="E6518:E6522"/>
    <mergeCell ref="F6518:F6522"/>
    <mergeCell ref="G6518:G6522"/>
    <mergeCell ref="H6518:H6522"/>
    <mergeCell ref="I6518:I6522"/>
    <mergeCell ref="J6518:J6522"/>
    <mergeCell ref="K6518:K6522"/>
    <mergeCell ref="L6518:L6522"/>
    <mergeCell ref="M6518:M6522"/>
    <mergeCell ref="N6518:N6522"/>
    <mergeCell ref="A6523:A6526"/>
    <mergeCell ref="B6523:B6526"/>
    <mergeCell ref="C6523:C6526"/>
    <mergeCell ref="D6523:D6526"/>
    <mergeCell ref="E6523:E6526"/>
    <mergeCell ref="F6523:F6526"/>
    <mergeCell ref="G6523:G6526"/>
    <mergeCell ref="H6523:H6526"/>
    <mergeCell ref="I6523:I6526"/>
    <mergeCell ref="J6523:J6526"/>
    <mergeCell ref="K6523:K6526"/>
    <mergeCell ref="L6523:L6526"/>
    <mergeCell ref="M6523:M6526"/>
    <mergeCell ref="N6523:N6526"/>
    <mergeCell ref="A6527:A6530"/>
    <mergeCell ref="B6527:B6530"/>
    <mergeCell ref="C6527:C6530"/>
    <mergeCell ref="D6527:D6530"/>
    <mergeCell ref="E6527:E6530"/>
    <mergeCell ref="F6527:F6530"/>
    <mergeCell ref="G6527:G6530"/>
    <mergeCell ref="H6527:H6530"/>
    <mergeCell ref="I6527:I6530"/>
    <mergeCell ref="J6527:J6530"/>
    <mergeCell ref="K6527:K6530"/>
    <mergeCell ref="L6527:L6530"/>
    <mergeCell ref="M6527:M6530"/>
    <mergeCell ref="N6527:N6530"/>
    <mergeCell ref="A6508:A6509"/>
    <mergeCell ref="B6508:B6509"/>
    <mergeCell ref="C6508:C6509"/>
    <mergeCell ref="D6508:D6509"/>
    <mergeCell ref="E6508:E6509"/>
    <mergeCell ref="F6508:F6509"/>
    <mergeCell ref="G6508:G6509"/>
    <mergeCell ref="H6508:H6509"/>
    <mergeCell ref="I6508:I6509"/>
    <mergeCell ref="J6508:J6509"/>
    <mergeCell ref="K6508:K6509"/>
    <mergeCell ref="L6508:L6509"/>
    <mergeCell ref="M6508:M6509"/>
    <mergeCell ref="N6508:N6509"/>
    <mergeCell ref="A6510:A6513"/>
    <mergeCell ref="B6510:B6513"/>
    <mergeCell ref="C6510:C6513"/>
    <mergeCell ref="D6510:D6513"/>
    <mergeCell ref="E6510:E6513"/>
    <mergeCell ref="F6510:F6513"/>
    <mergeCell ref="G6510:G6513"/>
    <mergeCell ref="H6510:H6513"/>
    <mergeCell ref="I6510:I6513"/>
    <mergeCell ref="J6510:J6513"/>
    <mergeCell ref="K6510:K6513"/>
    <mergeCell ref="L6510:L6513"/>
    <mergeCell ref="M6510:M6513"/>
    <mergeCell ref="N6510:N6513"/>
    <mergeCell ref="A6514:A6517"/>
    <mergeCell ref="B6514:B6517"/>
    <mergeCell ref="C6514:C6517"/>
    <mergeCell ref="D6514:D6517"/>
    <mergeCell ref="E6514:E6517"/>
    <mergeCell ref="F6514:F6517"/>
    <mergeCell ref="G6514:G6517"/>
    <mergeCell ref="H6514:H6517"/>
    <mergeCell ref="I6514:I6517"/>
    <mergeCell ref="J6514:J6517"/>
    <mergeCell ref="K6514:K6517"/>
    <mergeCell ref="L6514:L6517"/>
    <mergeCell ref="M6514:M6517"/>
    <mergeCell ref="N6514:N6517"/>
    <mergeCell ref="A6495:A6496"/>
    <mergeCell ref="B6495:B6496"/>
    <mergeCell ref="C6495:C6496"/>
    <mergeCell ref="D6495:D6496"/>
    <mergeCell ref="E6495:E6496"/>
    <mergeCell ref="F6495:F6496"/>
    <mergeCell ref="G6495:G6496"/>
    <mergeCell ref="H6495:H6496"/>
    <mergeCell ref="I6495:I6496"/>
    <mergeCell ref="J6495:J6496"/>
    <mergeCell ref="K6495:K6496"/>
    <mergeCell ref="L6495:L6496"/>
    <mergeCell ref="M6495:M6496"/>
    <mergeCell ref="N6495:N6496"/>
    <mergeCell ref="A6502:A6503"/>
    <mergeCell ref="B6502:B6503"/>
    <mergeCell ref="C6502:C6503"/>
    <mergeCell ref="D6502:D6503"/>
    <mergeCell ref="E6502:E6503"/>
    <mergeCell ref="F6502:F6503"/>
    <mergeCell ref="G6502:G6503"/>
    <mergeCell ref="H6502:H6503"/>
    <mergeCell ref="I6502:I6503"/>
    <mergeCell ref="J6502:J6503"/>
    <mergeCell ref="K6502:K6503"/>
    <mergeCell ref="L6502:L6503"/>
    <mergeCell ref="M6502:M6503"/>
    <mergeCell ref="N6502:N6503"/>
    <mergeCell ref="A6506:A6507"/>
    <mergeCell ref="B6506:B6507"/>
    <mergeCell ref="C6506:C6507"/>
    <mergeCell ref="D6506:D6507"/>
    <mergeCell ref="E6506:E6507"/>
    <mergeCell ref="F6506:F6507"/>
    <mergeCell ref="G6506:G6507"/>
    <mergeCell ref="H6506:H6507"/>
    <mergeCell ref="I6506:I6507"/>
    <mergeCell ref="J6506:J6507"/>
    <mergeCell ref="K6506:K6507"/>
    <mergeCell ref="L6506:L6507"/>
    <mergeCell ref="M6506:M6507"/>
    <mergeCell ref="N6506:N6507"/>
    <mergeCell ref="A6487:A6488"/>
    <mergeCell ref="B6487:B6488"/>
    <mergeCell ref="C6487:C6488"/>
    <mergeCell ref="D6487:D6488"/>
    <mergeCell ref="E6487:E6488"/>
    <mergeCell ref="F6487:F6488"/>
    <mergeCell ref="G6487:G6488"/>
    <mergeCell ref="H6487:H6488"/>
    <mergeCell ref="I6487:I6488"/>
    <mergeCell ref="J6487:J6488"/>
    <mergeCell ref="K6487:K6488"/>
    <mergeCell ref="L6487:L6488"/>
    <mergeCell ref="M6487:M6488"/>
    <mergeCell ref="N6487:N6488"/>
    <mergeCell ref="A6489:A6490"/>
    <mergeCell ref="B6489:B6490"/>
    <mergeCell ref="C6489:C6490"/>
    <mergeCell ref="D6489:D6490"/>
    <mergeCell ref="E6489:E6490"/>
    <mergeCell ref="F6489:F6490"/>
    <mergeCell ref="G6489:G6490"/>
    <mergeCell ref="H6489:H6490"/>
    <mergeCell ref="I6489:I6490"/>
    <mergeCell ref="J6489:J6490"/>
    <mergeCell ref="K6489:K6490"/>
    <mergeCell ref="L6489:L6490"/>
    <mergeCell ref="M6489:M6490"/>
    <mergeCell ref="N6489:N6490"/>
    <mergeCell ref="A6493:A6494"/>
    <mergeCell ref="B6493:B6494"/>
    <mergeCell ref="C6493:C6494"/>
    <mergeCell ref="D6493:D6494"/>
    <mergeCell ref="E6493:E6494"/>
    <mergeCell ref="F6493:F6494"/>
    <mergeCell ref="G6493:G6494"/>
    <mergeCell ref="H6493:H6494"/>
    <mergeCell ref="I6493:I6494"/>
    <mergeCell ref="J6493:J6494"/>
    <mergeCell ref="K6493:K6494"/>
    <mergeCell ref="L6493:L6494"/>
    <mergeCell ref="M6493:M6494"/>
    <mergeCell ref="N6493:N6494"/>
    <mergeCell ref="A6477:A6479"/>
    <mergeCell ref="B6477:B6479"/>
    <mergeCell ref="C6477:C6479"/>
    <mergeCell ref="D6477:D6479"/>
    <mergeCell ref="E6477:E6479"/>
    <mergeCell ref="F6477:F6479"/>
    <mergeCell ref="G6477:G6479"/>
    <mergeCell ref="H6477:H6479"/>
    <mergeCell ref="I6477:I6479"/>
    <mergeCell ref="J6477:J6479"/>
    <mergeCell ref="K6477:K6479"/>
    <mergeCell ref="L6477:L6479"/>
    <mergeCell ref="M6477:M6479"/>
    <mergeCell ref="N6477:N6479"/>
    <mergeCell ref="A6482:A6483"/>
    <mergeCell ref="B6482:B6483"/>
    <mergeCell ref="C6482:C6483"/>
    <mergeCell ref="D6482:D6483"/>
    <mergeCell ref="E6482:E6483"/>
    <mergeCell ref="F6482:F6483"/>
    <mergeCell ref="G6482:G6483"/>
    <mergeCell ref="H6482:H6483"/>
    <mergeCell ref="I6482:I6483"/>
    <mergeCell ref="J6482:J6483"/>
    <mergeCell ref="K6482:K6483"/>
    <mergeCell ref="L6482:L6483"/>
    <mergeCell ref="M6482:M6483"/>
    <mergeCell ref="N6482:N6483"/>
    <mergeCell ref="A6484:A6485"/>
    <mergeCell ref="B6484:B6485"/>
    <mergeCell ref="C6484:C6485"/>
    <mergeCell ref="D6484:D6485"/>
    <mergeCell ref="E6484:E6485"/>
    <mergeCell ref="F6484:F6485"/>
    <mergeCell ref="G6484:G6485"/>
    <mergeCell ref="H6484:H6485"/>
    <mergeCell ref="I6484:I6485"/>
    <mergeCell ref="J6484:J6485"/>
    <mergeCell ref="K6484:K6485"/>
    <mergeCell ref="L6484:L6485"/>
    <mergeCell ref="M6484:M6485"/>
    <mergeCell ref="N6484:N6485"/>
    <mergeCell ref="A6466:A6467"/>
    <mergeCell ref="B6466:B6467"/>
    <mergeCell ref="C6466:C6467"/>
    <mergeCell ref="D6466:D6467"/>
    <mergeCell ref="E6466:E6467"/>
    <mergeCell ref="F6466:F6467"/>
    <mergeCell ref="G6466:G6467"/>
    <mergeCell ref="H6466:H6467"/>
    <mergeCell ref="I6466:I6467"/>
    <mergeCell ref="J6466:J6467"/>
    <mergeCell ref="K6466:K6467"/>
    <mergeCell ref="L6466:L6467"/>
    <mergeCell ref="M6466:M6467"/>
    <mergeCell ref="N6466:N6467"/>
    <mergeCell ref="A6469:A6470"/>
    <mergeCell ref="B6469:B6470"/>
    <mergeCell ref="C6469:C6470"/>
    <mergeCell ref="D6469:D6470"/>
    <mergeCell ref="E6469:E6470"/>
    <mergeCell ref="F6469:F6470"/>
    <mergeCell ref="G6469:G6470"/>
    <mergeCell ref="H6469:H6470"/>
    <mergeCell ref="I6469:I6470"/>
    <mergeCell ref="J6469:J6470"/>
    <mergeCell ref="K6469:K6470"/>
    <mergeCell ref="L6469:L6470"/>
    <mergeCell ref="M6469:M6470"/>
    <mergeCell ref="N6469:N6470"/>
    <mergeCell ref="A6474:A6475"/>
    <mergeCell ref="B6474:B6475"/>
    <mergeCell ref="C6474:C6475"/>
    <mergeCell ref="D6474:D6475"/>
    <mergeCell ref="E6474:E6475"/>
    <mergeCell ref="F6474:F6475"/>
    <mergeCell ref="G6474:G6475"/>
    <mergeCell ref="H6474:H6475"/>
    <mergeCell ref="I6474:I6475"/>
    <mergeCell ref="J6474:J6475"/>
    <mergeCell ref="K6474:K6475"/>
    <mergeCell ref="L6474:L6475"/>
    <mergeCell ref="M6474:M6475"/>
    <mergeCell ref="N6474:N6475"/>
    <mergeCell ref="A6457:A6458"/>
    <mergeCell ref="B6457:B6458"/>
    <mergeCell ref="C6457:C6458"/>
    <mergeCell ref="D6457:D6458"/>
    <mergeCell ref="E6457:E6458"/>
    <mergeCell ref="F6457:F6458"/>
    <mergeCell ref="G6457:G6458"/>
    <mergeCell ref="H6457:H6458"/>
    <mergeCell ref="I6457:I6458"/>
    <mergeCell ref="J6457:J6458"/>
    <mergeCell ref="K6457:K6458"/>
    <mergeCell ref="L6457:L6458"/>
    <mergeCell ref="M6457:M6458"/>
    <mergeCell ref="N6457:N6458"/>
    <mergeCell ref="A6459:A6462"/>
    <mergeCell ref="B6459:B6462"/>
    <mergeCell ref="C6459:C6462"/>
    <mergeCell ref="D6459:D6462"/>
    <mergeCell ref="E6459:E6462"/>
    <mergeCell ref="F6459:F6462"/>
    <mergeCell ref="G6459:G6462"/>
    <mergeCell ref="H6459:H6462"/>
    <mergeCell ref="I6459:I6462"/>
    <mergeCell ref="J6459:J6462"/>
    <mergeCell ref="K6459:K6462"/>
    <mergeCell ref="L6459:L6462"/>
    <mergeCell ref="M6459:M6462"/>
    <mergeCell ref="N6459:N6462"/>
    <mergeCell ref="A6463:A6464"/>
    <mergeCell ref="B6463:B6464"/>
    <mergeCell ref="C6463:C6464"/>
    <mergeCell ref="D6463:D6464"/>
    <mergeCell ref="E6463:E6464"/>
    <mergeCell ref="F6463:F6464"/>
    <mergeCell ref="G6463:G6464"/>
    <mergeCell ref="H6463:H6464"/>
    <mergeCell ref="I6463:I6464"/>
    <mergeCell ref="J6463:J6464"/>
    <mergeCell ref="K6463:K6464"/>
    <mergeCell ref="L6463:L6464"/>
    <mergeCell ref="M6463:M6464"/>
    <mergeCell ref="N6463:N6464"/>
    <mergeCell ref="A6442:A6447"/>
    <mergeCell ref="B6442:B6447"/>
    <mergeCell ref="C6442:C6447"/>
    <mergeCell ref="D6442:D6447"/>
    <mergeCell ref="E6442:E6447"/>
    <mergeCell ref="F6442:F6447"/>
    <mergeCell ref="G6442:G6447"/>
    <mergeCell ref="H6442:H6447"/>
    <mergeCell ref="I6442:I6447"/>
    <mergeCell ref="J6442:J6447"/>
    <mergeCell ref="K6442:K6447"/>
    <mergeCell ref="L6442:L6447"/>
    <mergeCell ref="M6442:M6447"/>
    <mergeCell ref="N6442:N6447"/>
    <mergeCell ref="A6448:A6452"/>
    <mergeCell ref="B6448:B6452"/>
    <mergeCell ref="C6448:C6452"/>
    <mergeCell ref="D6448:D6452"/>
    <mergeCell ref="E6448:E6452"/>
    <mergeCell ref="F6448:F6452"/>
    <mergeCell ref="G6448:G6452"/>
    <mergeCell ref="H6448:H6452"/>
    <mergeCell ref="I6448:I6452"/>
    <mergeCell ref="J6448:J6452"/>
    <mergeCell ref="K6448:K6452"/>
    <mergeCell ref="L6448:L6452"/>
    <mergeCell ref="M6448:M6452"/>
    <mergeCell ref="N6448:N6452"/>
    <mergeCell ref="A6453:A6455"/>
    <mergeCell ref="B6453:B6455"/>
    <mergeCell ref="C6453:C6455"/>
    <mergeCell ref="D6453:D6455"/>
    <mergeCell ref="E6453:E6455"/>
    <mergeCell ref="F6453:F6455"/>
    <mergeCell ref="G6453:G6455"/>
    <mergeCell ref="H6453:H6455"/>
    <mergeCell ref="I6453:I6455"/>
    <mergeCell ref="J6453:J6455"/>
    <mergeCell ref="K6453:K6455"/>
    <mergeCell ref="L6453:L6455"/>
    <mergeCell ref="M6453:M6455"/>
    <mergeCell ref="N6453:N6455"/>
    <mergeCell ref="A6431:A6433"/>
    <mergeCell ref="B6431:B6433"/>
    <mergeCell ref="C6431:C6433"/>
    <mergeCell ref="D6431:D6433"/>
    <mergeCell ref="E6431:E6433"/>
    <mergeCell ref="F6431:F6433"/>
    <mergeCell ref="G6431:G6433"/>
    <mergeCell ref="H6431:H6433"/>
    <mergeCell ref="I6431:I6433"/>
    <mergeCell ref="J6431:J6433"/>
    <mergeCell ref="K6431:K6433"/>
    <mergeCell ref="L6431:L6433"/>
    <mergeCell ref="M6431:M6433"/>
    <mergeCell ref="N6431:N6433"/>
    <mergeCell ref="A6434:A6439"/>
    <mergeCell ref="B6434:B6439"/>
    <mergeCell ref="C6434:C6439"/>
    <mergeCell ref="D6434:D6439"/>
    <mergeCell ref="E6434:E6439"/>
    <mergeCell ref="F6434:F6439"/>
    <mergeCell ref="G6434:G6439"/>
    <mergeCell ref="H6434:H6439"/>
    <mergeCell ref="I6434:I6439"/>
    <mergeCell ref="J6434:J6439"/>
    <mergeCell ref="K6434:K6439"/>
    <mergeCell ref="L6434:L6439"/>
    <mergeCell ref="M6434:M6439"/>
    <mergeCell ref="N6434:N6439"/>
    <mergeCell ref="A6440:A6441"/>
    <mergeCell ref="B6440:B6441"/>
    <mergeCell ref="C6440:C6441"/>
    <mergeCell ref="D6440:D6441"/>
    <mergeCell ref="E6440:E6441"/>
    <mergeCell ref="F6440:F6441"/>
    <mergeCell ref="G6440:G6441"/>
    <mergeCell ref="H6440:H6441"/>
    <mergeCell ref="I6440:I6441"/>
    <mergeCell ref="J6440:J6441"/>
    <mergeCell ref="K6440:K6441"/>
    <mergeCell ref="L6440:L6441"/>
    <mergeCell ref="M6440:M6441"/>
    <mergeCell ref="N6440:N6441"/>
    <mergeCell ref="A6412:A6415"/>
    <mergeCell ref="B6412:B6415"/>
    <mergeCell ref="C6412:C6415"/>
    <mergeCell ref="D6412:D6415"/>
    <mergeCell ref="E6412:E6415"/>
    <mergeCell ref="F6412:F6415"/>
    <mergeCell ref="G6412:G6415"/>
    <mergeCell ref="H6412:H6415"/>
    <mergeCell ref="I6412:I6415"/>
    <mergeCell ref="J6412:J6415"/>
    <mergeCell ref="K6412:K6415"/>
    <mergeCell ref="L6412:L6415"/>
    <mergeCell ref="M6412:M6415"/>
    <mergeCell ref="N6412:N6415"/>
    <mergeCell ref="A6416:A6420"/>
    <mergeCell ref="B6416:B6420"/>
    <mergeCell ref="C6416:C6420"/>
    <mergeCell ref="D6416:D6420"/>
    <mergeCell ref="E6416:E6420"/>
    <mergeCell ref="F6416:F6420"/>
    <mergeCell ref="G6416:G6420"/>
    <mergeCell ref="H6416:H6420"/>
    <mergeCell ref="I6416:I6420"/>
    <mergeCell ref="J6416:J6420"/>
    <mergeCell ref="K6416:K6420"/>
    <mergeCell ref="L6416:L6420"/>
    <mergeCell ref="M6416:M6420"/>
    <mergeCell ref="N6416:N6420"/>
    <mergeCell ref="A6421:A6430"/>
    <mergeCell ref="B6421:B6430"/>
    <mergeCell ref="C6421:C6430"/>
    <mergeCell ref="D6421:D6430"/>
    <mergeCell ref="E6421:E6430"/>
    <mergeCell ref="F6421:F6430"/>
    <mergeCell ref="G6421:G6430"/>
    <mergeCell ref="H6421:H6430"/>
    <mergeCell ref="I6421:I6430"/>
    <mergeCell ref="J6421:J6430"/>
    <mergeCell ref="K6421:K6430"/>
    <mergeCell ref="L6421:L6430"/>
    <mergeCell ref="M6421:M6430"/>
    <mergeCell ref="N6421:N6430"/>
    <mergeCell ref="A6399:A6402"/>
    <mergeCell ref="B6399:B6402"/>
    <mergeCell ref="C6399:C6402"/>
    <mergeCell ref="D6399:D6402"/>
    <mergeCell ref="E6399:E6402"/>
    <mergeCell ref="F6399:F6402"/>
    <mergeCell ref="G6399:G6402"/>
    <mergeCell ref="H6399:H6402"/>
    <mergeCell ref="I6399:I6402"/>
    <mergeCell ref="J6399:J6402"/>
    <mergeCell ref="K6399:K6402"/>
    <mergeCell ref="L6399:L6402"/>
    <mergeCell ref="M6399:M6402"/>
    <mergeCell ref="N6399:N6402"/>
    <mergeCell ref="A6403:A6406"/>
    <mergeCell ref="B6403:B6406"/>
    <mergeCell ref="C6403:C6406"/>
    <mergeCell ref="D6403:D6406"/>
    <mergeCell ref="E6403:E6406"/>
    <mergeCell ref="F6403:F6406"/>
    <mergeCell ref="G6403:G6406"/>
    <mergeCell ref="H6403:H6406"/>
    <mergeCell ref="I6403:I6406"/>
    <mergeCell ref="J6403:J6406"/>
    <mergeCell ref="K6403:K6406"/>
    <mergeCell ref="L6403:L6406"/>
    <mergeCell ref="M6403:M6406"/>
    <mergeCell ref="N6403:N6406"/>
    <mergeCell ref="A6407:A6411"/>
    <mergeCell ref="B6407:B6411"/>
    <mergeCell ref="C6407:C6411"/>
    <mergeCell ref="D6407:D6411"/>
    <mergeCell ref="E6407:E6411"/>
    <mergeCell ref="F6407:F6411"/>
    <mergeCell ref="G6407:G6411"/>
    <mergeCell ref="H6407:H6411"/>
    <mergeCell ref="I6407:I6411"/>
    <mergeCell ref="J6407:J6411"/>
    <mergeCell ref="K6407:K6411"/>
    <mergeCell ref="L6407:L6411"/>
    <mergeCell ref="M6407:M6411"/>
    <mergeCell ref="N6407:N6411"/>
    <mergeCell ref="A6389:A6391"/>
    <mergeCell ref="B6389:B6391"/>
    <mergeCell ref="C6389:C6391"/>
    <mergeCell ref="D6389:D6391"/>
    <mergeCell ref="E6389:E6391"/>
    <mergeCell ref="F6389:F6391"/>
    <mergeCell ref="G6389:G6391"/>
    <mergeCell ref="H6389:H6391"/>
    <mergeCell ref="I6389:I6391"/>
    <mergeCell ref="J6389:J6391"/>
    <mergeCell ref="K6389:K6391"/>
    <mergeCell ref="L6389:L6391"/>
    <mergeCell ref="M6389:M6391"/>
    <mergeCell ref="N6389:N6391"/>
    <mergeCell ref="A6392:A6395"/>
    <mergeCell ref="B6392:B6395"/>
    <mergeCell ref="C6392:C6395"/>
    <mergeCell ref="D6392:D6395"/>
    <mergeCell ref="E6392:E6395"/>
    <mergeCell ref="F6392:F6395"/>
    <mergeCell ref="G6392:G6395"/>
    <mergeCell ref="H6392:H6395"/>
    <mergeCell ref="I6392:I6395"/>
    <mergeCell ref="J6392:J6395"/>
    <mergeCell ref="K6392:K6395"/>
    <mergeCell ref="L6392:L6395"/>
    <mergeCell ref="M6392:M6395"/>
    <mergeCell ref="N6392:N6395"/>
    <mergeCell ref="A6396:A6398"/>
    <mergeCell ref="B6396:B6398"/>
    <mergeCell ref="C6396:C6398"/>
    <mergeCell ref="D6396:D6398"/>
    <mergeCell ref="E6396:E6398"/>
    <mergeCell ref="F6396:F6398"/>
    <mergeCell ref="G6396:G6398"/>
    <mergeCell ref="H6396:H6398"/>
    <mergeCell ref="I6396:I6398"/>
    <mergeCell ref="J6396:J6398"/>
    <mergeCell ref="K6396:K6398"/>
    <mergeCell ref="L6396:L6398"/>
    <mergeCell ref="M6396:M6398"/>
    <mergeCell ref="N6396:N6398"/>
    <mergeCell ref="A6381:A6382"/>
    <mergeCell ref="B6381:B6382"/>
    <mergeCell ref="C6381:C6382"/>
    <mergeCell ref="D6381:D6382"/>
    <mergeCell ref="E6381:E6382"/>
    <mergeCell ref="F6381:F6382"/>
    <mergeCell ref="G6381:G6382"/>
    <mergeCell ref="H6381:H6382"/>
    <mergeCell ref="I6381:I6382"/>
    <mergeCell ref="J6381:J6382"/>
    <mergeCell ref="K6381:K6382"/>
    <mergeCell ref="L6381:L6382"/>
    <mergeCell ref="M6381:M6382"/>
    <mergeCell ref="N6381:N6382"/>
    <mergeCell ref="A6383:A6384"/>
    <mergeCell ref="B6383:B6384"/>
    <mergeCell ref="C6383:C6384"/>
    <mergeCell ref="D6383:D6384"/>
    <mergeCell ref="E6383:E6384"/>
    <mergeCell ref="F6383:F6384"/>
    <mergeCell ref="G6383:G6384"/>
    <mergeCell ref="H6383:H6384"/>
    <mergeCell ref="I6383:I6384"/>
    <mergeCell ref="J6383:J6384"/>
    <mergeCell ref="K6383:K6384"/>
    <mergeCell ref="L6383:L6384"/>
    <mergeCell ref="M6383:M6384"/>
    <mergeCell ref="N6383:N6384"/>
    <mergeCell ref="A6386:A6388"/>
    <mergeCell ref="B6386:B6388"/>
    <mergeCell ref="C6386:C6388"/>
    <mergeCell ref="D6386:D6388"/>
    <mergeCell ref="E6386:E6388"/>
    <mergeCell ref="F6386:F6388"/>
    <mergeCell ref="G6386:G6388"/>
    <mergeCell ref="H6386:H6388"/>
    <mergeCell ref="I6386:I6388"/>
    <mergeCell ref="J6386:J6388"/>
    <mergeCell ref="K6386:K6388"/>
    <mergeCell ref="L6386:L6388"/>
    <mergeCell ref="M6386:M6388"/>
    <mergeCell ref="N6386:N6388"/>
    <mergeCell ref="A6374:A6376"/>
    <mergeCell ref="B6374:B6376"/>
    <mergeCell ref="C6374:C6376"/>
    <mergeCell ref="D6374:D6376"/>
    <mergeCell ref="E6374:E6376"/>
    <mergeCell ref="F6374:F6376"/>
    <mergeCell ref="G6374:G6376"/>
    <mergeCell ref="H6374:H6376"/>
    <mergeCell ref="I6374:I6376"/>
    <mergeCell ref="J6374:J6376"/>
    <mergeCell ref="K6374:K6376"/>
    <mergeCell ref="L6374:L6376"/>
    <mergeCell ref="M6374:M6376"/>
    <mergeCell ref="N6374:N6376"/>
    <mergeCell ref="A6377:A6378"/>
    <mergeCell ref="B6377:B6378"/>
    <mergeCell ref="C6377:C6378"/>
    <mergeCell ref="D6377:D6378"/>
    <mergeCell ref="E6377:E6378"/>
    <mergeCell ref="F6377:F6378"/>
    <mergeCell ref="G6377:G6378"/>
    <mergeCell ref="H6377:H6378"/>
    <mergeCell ref="I6377:I6378"/>
    <mergeCell ref="J6377:J6378"/>
    <mergeCell ref="K6377:K6378"/>
    <mergeCell ref="L6377:L6378"/>
    <mergeCell ref="M6377:M6378"/>
    <mergeCell ref="N6377:N6378"/>
    <mergeCell ref="A6379:A6380"/>
    <mergeCell ref="B6379:B6380"/>
    <mergeCell ref="C6379:C6380"/>
    <mergeCell ref="D6379:D6380"/>
    <mergeCell ref="E6379:E6380"/>
    <mergeCell ref="F6379:F6380"/>
    <mergeCell ref="G6379:G6380"/>
    <mergeCell ref="H6379:H6380"/>
    <mergeCell ref="I6379:I6380"/>
    <mergeCell ref="J6379:J6380"/>
    <mergeCell ref="K6379:K6380"/>
    <mergeCell ref="L6379:L6380"/>
    <mergeCell ref="M6379:M6380"/>
    <mergeCell ref="N6379:N6380"/>
    <mergeCell ref="A6367:A6368"/>
    <mergeCell ref="B6367:B6368"/>
    <mergeCell ref="C6367:C6368"/>
    <mergeCell ref="D6367:D6368"/>
    <mergeCell ref="E6367:E6368"/>
    <mergeCell ref="F6367:F6368"/>
    <mergeCell ref="G6367:G6368"/>
    <mergeCell ref="H6367:H6368"/>
    <mergeCell ref="I6367:I6368"/>
    <mergeCell ref="J6367:J6368"/>
    <mergeCell ref="K6367:K6368"/>
    <mergeCell ref="L6367:L6368"/>
    <mergeCell ref="M6367:M6368"/>
    <mergeCell ref="N6367:N6368"/>
    <mergeCell ref="A6369:A6371"/>
    <mergeCell ref="B6369:B6371"/>
    <mergeCell ref="C6369:C6371"/>
    <mergeCell ref="D6369:D6371"/>
    <mergeCell ref="E6369:E6371"/>
    <mergeCell ref="F6369:F6371"/>
    <mergeCell ref="G6369:G6371"/>
    <mergeCell ref="H6369:H6371"/>
    <mergeCell ref="I6369:I6371"/>
    <mergeCell ref="J6369:J6371"/>
    <mergeCell ref="K6369:K6371"/>
    <mergeCell ref="L6369:L6371"/>
    <mergeCell ref="M6369:M6371"/>
    <mergeCell ref="N6369:N6371"/>
    <mergeCell ref="A6372:A6373"/>
    <mergeCell ref="B6372:B6373"/>
    <mergeCell ref="C6372:C6373"/>
    <mergeCell ref="D6372:D6373"/>
    <mergeCell ref="E6372:E6373"/>
    <mergeCell ref="F6372:F6373"/>
    <mergeCell ref="G6372:G6373"/>
    <mergeCell ref="H6372:H6373"/>
    <mergeCell ref="I6372:I6373"/>
    <mergeCell ref="J6372:J6373"/>
    <mergeCell ref="K6372:K6373"/>
    <mergeCell ref="L6372:L6373"/>
    <mergeCell ref="M6372:M6373"/>
    <mergeCell ref="N6372:N6373"/>
    <mergeCell ref="A6357:A6359"/>
    <mergeCell ref="B6357:B6359"/>
    <mergeCell ref="C6357:C6359"/>
    <mergeCell ref="D6357:D6359"/>
    <mergeCell ref="E6357:E6359"/>
    <mergeCell ref="F6357:F6359"/>
    <mergeCell ref="G6357:G6359"/>
    <mergeCell ref="H6357:H6359"/>
    <mergeCell ref="I6357:I6359"/>
    <mergeCell ref="J6357:J6359"/>
    <mergeCell ref="K6357:K6359"/>
    <mergeCell ref="L6357:L6359"/>
    <mergeCell ref="M6357:M6359"/>
    <mergeCell ref="N6357:N6359"/>
    <mergeCell ref="A6360:A6362"/>
    <mergeCell ref="B6360:B6362"/>
    <mergeCell ref="C6360:C6362"/>
    <mergeCell ref="D6360:D6362"/>
    <mergeCell ref="E6360:E6362"/>
    <mergeCell ref="F6360:F6362"/>
    <mergeCell ref="G6360:G6362"/>
    <mergeCell ref="H6360:H6362"/>
    <mergeCell ref="I6360:I6362"/>
    <mergeCell ref="J6360:J6362"/>
    <mergeCell ref="K6360:K6362"/>
    <mergeCell ref="L6360:L6362"/>
    <mergeCell ref="M6360:M6362"/>
    <mergeCell ref="N6360:N6362"/>
    <mergeCell ref="A6363:A6366"/>
    <mergeCell ref="B6363:B6366"/>
    <mergeCell ref="C6363:C6366"/>
    <mergeCell ref="D6363:D6366"/>
    <mergeCell ref="E6363:E6366"/>
    <mergeCell ref="F6363:F6366"/>
    <mergeCell ref="G6363:G6366"/>
    <mergeCell ref="H6363:H6366"/>
    <mergeCell ref="I6363:I6366"/>
    <mergeCell ref="J6363:J6366"/>
    <mergeCell ref="K6363:K6366"/>
    <mergeCell ref="L6363:L6366"/>
    <mergeCell ref="M6363:M6366"/>
    <mergeCell ref="N6363:N6366"/>
    <mergeCell ref="A6348:A6349"/>
    <mergeCell ref="B6348:B6349"/>
    <mergeCell ref="C6348:C6349"/>
    <mergeCell ref="D6348:D6349"/>
    <mergeCell ref="E6348:E6349"/>
    <mergeCell ref="F6348:F6349"/>
    <mergeCell ref="G6348:G6349"/>
    <mergeCell ref="H6348:H6349"/>
    <mergeCell ref="I6348:I6349"/>
    <mergeCell ref="J6348:J6349"/>
    <mergeCell ref="K6348:K6349"/>
    <mergeCell ref="L6348:L6349"/>
    <mergeCell ref="M6348:M6349"/>
    <mergeCell ref="N6348:N6349"/>
    <mergeCell ref="A6350:A6354"/>
    <mergeCell ref="B6350:B6354"/>
    <mergeCell ref="C6350:C6354"/>
    <mergeCell ref="D6350:D6354"/>
    <mergeCell ref="E6350:E6354"/>
    <mergeCell ref="F6350:F6354"/>
    <mergeCell ref="G6350:G6354"/>
    <mergeCell ref="H6350:H6354"/>
    <mergeCell ref="I6350:I6354"/>
    <mergeCell ref="J6350:J6354"/>
    <mergeCell ref="K6350:K6354"/>
    <mergeCell ref="L6350:L6354"/>
    <mergeCell ref="M6350:M6354"/>
    <mergeCell ref="N6350:N6354"/>
    <mergeCell ref="A6355:A6356"/>
    <mergeCell ref="B6355:B6356"/>
    <mergeCell ref="C6355:C6356"/>
    <mergeCell ref="D6355:D6356"/>
    <mergeCell ref="E6355:E6356"/>
    <mergeCell ref="F6355:F6356"/>
    <mergeCell ref="G6355:G6356"/>
    <mergeCell ref="H6355:H6356"/>
    <mergeCell ref="I6355:I6356"/>
    <mergeCell ref="J6355:J6356"/>
    <mergeCell ref="K6355:K6356"/>
    <mergeCell ref="L6355:L6356"/>
    <mergeCell ref="M6355:M6356"/>
    <mergeCell ref="N6355:N6356"/>
    <mergeCell ref="A6333:A6337"/>
    <mergeCell ref="B6333:B6337"/>
    <mergeCell ref="C6333:C6337"/>
    <mergeCell ref="D6333:D6337"/>
    <mergeCell ref="E6333:E6337"/>
    <mergeCell ref="F6333:F6337"/>
    <mergeCell ref="G6333:G6337"/>
    <mergeCell ref="H6333:H6337"/>
    <mergeCell ref="I6333:I6337"/>
    <mergeCell ref="J6333:J6337"/>
    <mergeCell ref="K6333:K6337"/>
    <mergeCell ref="L6333:L6337"/>
    <mergeCell ref="M6333:M6337"/>
    <mergeCell ref="N6333:N6337"/>
    <mergeCell ref="A6338:A6342"/>
    <mergeCell ref="B6338:B6342"/>
    <mergeCell ref="C6338:C6342"/>
    <mergeCell ref="D6338:D6342"/>
    <mergeCell ref="E6338:E6342"/>
    <mergeCell ref="F6338:F6342"/>
    <mergeCell ref="G6338:G6342"/>
    <mergeCell ref="H6338:H6342"/>
    <mergeCell ref="I6338:I6342"/>
    <mergeCell ref="J6338:J6342"/>
    <mergeCell ref="K6338:K6342"/>
    <mergeCell ref="L6338:L6342"/>
    <mergeCell ref="M6338:M6342"/>
    <mergeCell ref="N6338:N6342"/>
    <mergeCell ref="A6343:A6347"/>
    <mergeCell ref="B6343:B6347"/>
    <mergeCell ref="C6343:C6347"/>
    <mergeCell ref="D6343:D6347"/>
    <mergeCell ref="E6343:E6347"/>
    <mergeCell ref="F6343:F6347"/>
    <mergeCell ref="G6343:G6347"/>
    <mergeCell ref="H6343:H6347"/>
    <mergeCell ref="I6343:I6347"/>
    <mergeCell ref="J6343:J6347"/>
    <mergeCell ref="K6343:K6347"/>
    <mergeCell ref="L6343:L6347"/>
    <mergeCell ref="M6343:M6347"/>
    <mergeCell ref="N6343:N6347"/>
    <mergeCell ref="A6318:A6320"/>
    <mergeCell ref="B6318:B6320"/>
    <mergeCell ref="C6318:C6320"/>
    <mergeCell ref="D6318:D6320"/>
    <mergeCell ref="E6318:E6320"/>
    <mergeCell ref="F6318:F6320"/>
    <mergeCell ref="G6318:G6320"/>
    <mergeCell ref="H6318:H6320"/>
    <mergeCell ref="I6318:I6320"/>
    <mergeCell ref="J6318:J6320"/>
    <mergeCell ref="K6318:K6320"/>
    <mergeCell ref="L6318:L6320"/>
    <mergeCell ref="M6318:M6320"/>
    <mergeCell ref="N6318:N6320"/>
    <mergeCell ref="A6322:A6327"/>
    <mergeCell ref="B6322:B6327"/>
    <mergeCell ref="C6322:C6327"/>
    <mergeCell ref="D6322:D6327"/>
    <mergeCell ref="E6322:E6327"/>
    <mergeCell ref="F6322:F6327"/>
    <mergeCell ref="G6322:G6327"/>
    <mergeCell ref="H6322:H6327"/>
    <mergeCell ref="I6322:I6327"/>
    <mergeCell ref="J6322:J6327"/>
    <mergeCell ref="K6322:K6327"/>
    <mergeCell ref="L6322:L6327"/>
    <mergeCell ref="M6322:M6327"/>
    <mergeCell ref="N6322:N6327"/>
    <mergeCell ref="A6328:A6332"/>
    <mergeCell ref="B6328:B6332"/>
    <mergeCell ref="C6328:C6332"/>
    <mergeCell ref="D6328:D6332"/>
    <mergeCell ref="E6328:E6332"/>
    <mergeCell ref="F6328:F6332"/>
    <mergeCell ref="G6328:G6332"/>
    <mergeCell ref="H6328:H6332"/>
    <mergeCell ref="I6328:I6332"/>
    <mergeCell ref="J6328:J6332"/>
    <mergeCell ref="K6328:K6332"/>
    <mergeCell ref="L6328:L6332"/>
    <mergeCell ref="M6328:M6332"/>
    <mergeCell ref="N6328:N6332"/>
    <mergeCell ref="A6306:A6308"/>
    <mergeCell ref="B6306:B6308"/>
    <mergeCell ref="C6306:C6308"/>
    <mergeCell ref="D6306:D6308"/>
    <mergeCell ref="E6306:E6308"/>
    <mergeCell ref="F6306:F6308"/>
    <mergeCell ref="G6306:G6308"/>
    <mergeCell ref="H6306:H6308"/>
    <mergeCell ref="I6306:I6308"/>
    <mergeCell ref="J6306:J6308"/>
    <mergeCell ref="K6306:K6308"/>
    <mergeCell ref="L6306:L6308"/>
    <mergeCell ref="M6306:M6308"/>
    <mergeCell ref="N6306:N6308"/>
    <mergeCell ref="A6310:A6313"/>
    <mergeCell ref="B6310:B6313"/>
    <mergeCell ref="C6310:C6313"/>
    <mergeCell ref="D6310:D6313"/>
    <mergeCell ref="E6310:E6313"/>
    <mergeCell ref="F6310:F6313"/>
    <mergeCell ref="G6310:G6313"/>
    <mergeCell ref="H6310:H6313"/>
    <mergeCell ref="I6310:I6313"/>
    <mergeCell ref="J6310:J6313"/>
    <mergeCell ref="K6310:K6313"/>
    <mergeCell ref="L6310:L6313"/>
    <mergeCell ref="M6310:M6313"/>
    <mergeCell ref="N6310:N6313"/>
    <mergeCell ref="A6314:A6317"/>
    <mergeCell ref="B6314:B6317"/>
    <mergeCell ref="C6314:C6317"/>
    <mergeCell ref="D6314:D6317"/>
    <mergeCell ref="E6314:E6317"/>
    <mergeCell ref="F6314:F6317"/>
    <mergeCell ref="G6314:G6317"/>
    <mergeCell ref="H6314:H6317"/>
    <mergeCell ref="I6314:I6317"/>
    <mergeCell ref="J6314:J6317"/>
    <mergeCell ref="K6314:K6317"/>
    <mergeCell ref="L6314:L6317"/>
    <mergeCell ref="M6314:M6317"/>
    <mergeCell ref="N6314:N6317"/>
    <mergeCell ref="A6298:A6300"/>
    <mergeCell ref="B6298:B6300"/>
    <mergeCell ref="C6298:C6300"/>
    <mergeCell ref="D6298:D6300"/>
    <mergeCell ref="E6298:E6300"/>
    <mergeCell ref="F6298:F6300"/>
    <mergeCell ref="G6298:G6300"/>
    <mergeCell ref="H6298:H6300"/>
    <mergeCell ref="I6298:I6300"/>
    <mergeCell ref="J6298:J6300"/>
    <mergeCell ref="K6298:K6300"/>
    <mergeCell ref="L6298:L6300"/>
    <mergeCell ref="M6298:M6300"/>
    <mergeCell ref="N6298:N6300"/>
    <mergeCell ref="A6301:A6303"/>
    <mergeCell ref="B6301:B6303"/>
    <mergeCell ref="C6301:C6303"/>
    <mergeCell ref="D6301:D6303"/>
    <mergeCell ref="E6301:E6303"/>
    <mergeCell ref="F6301:F6303"/>
    <mergeCell ref="G6301:G6303"/>
    <mergeCell ref="H6301:H6303"/>
    <mergeCell ref="I6301:I6303"/>
    <mergeCell ref="J6301:J6303"/>
    <mergeCell ref="K6301:K6303"/>
    <mergeCell ref="L6301:L6303"/>
    <mergeCell ref="M6301:M6303"/>
    <mergeCell ref="N6301:N6303"/>
    <mergeCell ref="A6304:A6305"/>
    <mergeCell ref="B6304:B6305"/>
    <mergeCell ref="C6304:C6305"/>
    <mergeCell ref="D6304:D6305"/>
    <mergeCell ref="E6304:E6305"/>
    <mergeCell ref="F6304:F6305"/>
    <mergeCell ref="G6304:G6305"/>
    <mergeCell ref="H6304:H6305"/>
    <mergeCell ref="I6304:I6305"/>
    <mergeCell ref="J6304:J6305"/>
    <mergeCell ref="K6304:K6305"/>
    <mergeCell ref="L6304:L6305"/>
    <mergeCell ref="M6304:M6305"/>
    <mergeCell ref="N6304:N6305"/>
    <mergeCell ref="A6291:A6292"/>
    <mergeCell ref="B6291:B6292"/>
    <mergeCell ref="C6291:C6292"/>
    <mergeCell ref="D6291:D6292"/>
    <mergeCell ref="E6291:E6292"/>
    <mergeCell ref="F6291:F6292"/>
    <mergeCell ref="G6291:G6292"/>
    <mergeCell ref="H6291:H6292"/>
    <mergeCell ref="I6291:I6292"/>
    <mergeCell ref="J6291:J6292"/>
    <mergeCell ref="K6291:K6292"/>
    <mergeCell ref="L6291:L6292"/>
    <mergeCell ref="M6291:M6292"/>
    <mergeCell ref="N6291:N6292"/>
    <mergeCell ref="A6293:A6294"/>
    <mergeCell ref="B6293:B6294"/>
    <mergeCell ref="C6293:C6294"/>
    <mergeCell ref="D6293:D6294"/>
    <mergeCell ref="E6293:E6294"/>
    <mergeCell ref="F6293:F6294"/>
    <mergeCell ref="G6293:G6294"/>
    <mergeCell ref="H6293:H6294"/>
    <mergeCell ref="I6293:I6294"/>
    <mergeCell ref="J6293:J6294"/>
    <mergeCell ref="K6293:K6294"/>
    <mergeCell ref="L6293:L6294"/>
    <mergeCell ref="M6293:M6294"/>
    <mergeCell ref="N6293:N6294"/>
    <mergeCell ref="A6295:A6297"/>
    <mergeCell ref="B6295:B6297"/>
    <mergeCell ref="C6295:C6297"/>
    <mergeCell ref="D6295:D6297"/>
    <mergeCell ref="E6295:E6297"/>
    <mergeCell ref="F6295:F6297"/>
    <mergeCell ref="G6295:G6297"/>
    <mergeCell ref="H6295:H6297"/>
    <mergeCell ref="I6295:I6297"/>
    <mergeCell ref="J6295:J6297"/>
    <mergeCell ref="K6295:K6297"/>
    <mergeCell ref="L6295:L6297"/>
    <mergeCell ref="M6295:M6297"/>
    <mergeCell ref="N6295:N6297"/>
    <mergeCell ref="A6283:A6284"/>
    <mergeCell ref="B6283:B6284"/>
    <mergeCell ref="C6283:C6284"/>
    <mergeCell ref="D6283:D6284"/>
    <mergeCell ref="E6283:E6284"/>
    <mergeCell ref="F6283:F6284"/>
    <mergeCell ref="G6283:G6284"/>
    <mergeCell ref="H6283:H6284"/>
    <mergeCell ref="I6283:I6284"/>
    <mergeCell ref="J6283:J6284"/>
    <mergeCell ref="K6283:K6284"/>
    <mergeCell ref="L6283:L6284"/>
    <mergeCell ref="M6283:M6284"/>
    <mergeCell ref="N6283:N6284"/>
    <mergeCell ref="A6285:A6287"/>
    <mergeCell ref="B6285:B6287"/>
    <mergeCell ref="C6285:C6287"/>
    <mergeCell ref="D6285:D6287"/>
    <mergeCell ref="E6285:E6287"/>
    <mergeCell ref="F6285:F6287"/>
    <mergeCell ref="G6285:G6287"/>
    <mergeCell ref="H6285:H6287"/>
    <mergeCell ref="I6285:I6287"/>
    <mergeCell ref="J6285:J6287"/>
    <mergeCell ref="K6285:K6287"/>
    <mergeCell ref="L6285:L6287"/>
    <mergeCell ref="M6285:M6287"/>
    <mergeCell ref="N6285:N6287"/>
    <mergeCell ref="A6289:A6290"/>
    <mergeCell ref="B6289:B6290"/>
    <mergeCell ref="C6289:C6290"/>
    <mergeCell ref="D6289:D6290"/>
    <mergeCell ref="E6289:E6290"/>
    <mergeCell ref="F6289:F6290"/>
    <mergeCell ref="G6289:G6290"/>
    <mergeCell ref="H6289:H6290"/>
    <mergeCell ref="I6289:I6290"/>
    <mergeCell ref="J6289:J6290"/>
    <mergeCell ref="K6289:K6290"/>
    <mergeCell ref="L6289:L6290"/>
    <mergeCell ref="M6289:M6290"/>
    <mergeCell ref="N6289:N6290"/>
    <mergeCell ref="A6276:A6278"/>
    <mergeCell ref="B6276:B6278"/>
    <mergeCell ref="C6276:C6278"/>
    <mergeCell ref="D6276:D6278"/>
    <mergeCell ref="E6276:E6278"/>
    <mergeCell ref="F6276:F6278"/>
    <mergeCell ref="G6276:G6278"/>
    <mergeCell ref="H6276:H6278"/>
    <mergeCell ref="I6276:I6278"/>
    <mergeCell ref="J6276:J6278"/>
    <mergeCell ref="K6276:K6278"/>
    <mergeCell ref="L6276:L6278"/>
    <mergeCell ref="M6276:M6278"/>
    <mergeCell ref="N6276:N6278"/>
    <mergeCell ref="A6279:A6280"/>
    <mergeCell ref="B6279:B6280"/>
    <mergeCell ref="C6279:C6280"/>
    <mergeCell ref="D6279:D6280"/>
    <mergeCell ref="E6279:E6280"/>
    <mergeCell ref="F6279:F6280"/>
    <mergeCell ref="G6279:G6280"/>
    <mergeCell ref="H6279:H6280"/>
    <mergeCell ref="I6279:I6280"/>
    <mergeCell ref="J6279:J6280"/>
    <mergeCell ref="K6279:K6280"/>
    <mergeCell ref="L6279:L6280"/>
    <mergeCell ref="M6279:M6280"/>
    <mergeCell ref="N6279:N6280"/>
    <mergeCell ref="A6281:A6282"/>
    <mergeCell ref="B6281:B6282"/>
    <mergeCell ref="C6281:C6282"/>
    <mergeCell ref="D6281:D6282"/>
    <mergeCell ref="E6281:E6282"/>
    <mergeCell ref="F6281:F6282"/>
    <mergeCell ref="G6281:G6282"/>
    <mergeCell ref="H6281:H6282"/>
    <mergeCell ref="I6281:I6282"/>
    <mergeCell ref="J6281:J6282"/>
    <mergeCell ref="K6281:K6282"/>
    <mergeCell ref="L6281:L6282"/>
    <mergeCell ref="M6281:M6282"/>
    <mergeCell ref="N6281:N6282"/>
    <mergeCell ref="A6268:A6269"/>
    <mergeCell ref="B6268:B6269"/>
    <mergeCell ref="C6268:C6269"/>
    <mergeCell ref="D6268:D6269"/>
    <mergeCell ref="E6268:E6269"/>
    <mergeCell ref="F6268:F6269"/>
    <mergeCell ref="G6268:G6269"/>
    <mergeCell ref="H6268:H6269"/>
    <mergeCell ref="I6268:I6269"/>
    <mergeCell ref="J6268:J6269"/>
    <mergeCell ref="K6268:K6269"/>
    <mergeCell ref="L6268:L6269"/>
    <mergeCell ref="M6268:M6269"/>
    <mergeCell ref="N6268:N6269"/>
    <mergeCell ref="A6270:A6271"/>
    <mergeCell ref="B6270:B6271"/>
    <mergeCell ref="C6270:C6271"/>
    <mergeCell ref="D6270:D6271"/>
    <mergeCell ref="E6270:E6271"/>
    <mergeCell ref="F6270:F6271"/>
    <mergeCell ref="G6270:G6271"/>
    <mergeCell ref="H6270:H6271"/>
    <mergeCell ref="I6270:I6271"/>
    <mergeCell ref="J6270:J6271"/>
    <mergeCell ref="K6270:K6271"/>
    <mergeCell ref="L6270:L6271"/>
    <mergeCell ref="M6270:M6271"/>
    <mergeCell ref="N6270:N6271"/>
    <mergeCell ref="A6274:A6275"/>
    <mergeCell ref="B6274:B6275"/>
    <mergeCell ref="C6274:C6275"/>
    <mergeCell ref="D6274:D6275"/>
    <mergeCell ref="E6274:E6275"/>
    <mergeCell ref="F6274:F6275"/>
    <mergeCell ref="G6274:G6275"/>
    <mergeCell ref="H6274:H6275"/>
    <mergeCell ref="I6274:I6275"/>
    <mergeCell ref="J6274:J6275"/>
    <mergeCell ref="K6274:K6275"/>
    <mergeCell ref="L6274:L6275"/>
    <mergeCell ref="M6274:M6275"/>
    <mergeCell ref="N6274:N6275"/>
    <mergeCell ref="A6262:A6263"/>
    <mergeCell ref="B6262:B6263"/>
    <mergeCell ref="C6262:C6263"/>
    <mergeCell ref="D6262:D6263"/>
    <mergeCell ref="E6262:E6263"/>
    <mergeCell ref="F6262:F6263"/>
    <mergeCell ref="G6262:G6263"/>
    <mergeCell ref="H6262:H6263"/>
    <mergeCell ref="I6262:I6263"/>
    <mergeCell ref="J6262:J6263"/>
    <mergeCell ref="K6262:K6263"/>
    <mergeCell ref="L6262:L6263"/>
    <mergeCell ref="M6262:M6263"/>
    <mergeCell ref="N6262:N6263"/>
    <mergeCell ref="A6264:A6265"/>
    <mergeCell ref="B6264:B6265"/>
    <mergeCell ref="C6264:C6265"/>
    <mergeCell ref="D6264:D6265"/>
    <mergeCell ref="E6264:E6265"/>
    <mergeCell ref="F6264:F6265"/>
    <mergeCell ref="G6264:G6265"/>
    <mergeCell ref="H6264:H6265"/>
    <mergeCell ref="I6264:I6265"/>
    <mergeCell ref="J6264:J6265"/>
    <mergeCell ref="K6264:K6265"/>
    <mergeCell ref="L6264:L6265"/>
    <mergeCell ref="M6264:M6265"/>
    <mergeCell ref="N6264:N6265"/>
    <mergeCell ref="A6266:A6267"/>
    <mergeCell ref="B6266:B6267"/>
    <mergeCell ref="C6266:C6267"/>
    <mergeCell ref="D6266:D6267"/>
    <mergeCell ref="E6266:E6267"/>
    <mergeCell ref="F6266:F6267"/>
    <mergeCell ref="G6266:G6267"/>
    <mergeCell ref="H6266:H6267"/>
    <mergeCell ref="I6266:I6267"/>
    <mergeCell ref="J6266:J6267"/>
    <mergeCell ref="K6266:K6267"/>
    <mergeCell ref="L6266:L6267"/>
    <mergeCell ref="M6266:M6267"/>
    <mergeCell ref="N6266:N6267"/>
    <mergeCell ref="A6254:A6255"/>
    <mergeCell ref="B6254:B6255"/>
    <mergeCell ref="C6254:C6255"/>
    <mergeCell ref="D6254:D6255"/>
    <mergeCell ref="E6254:E6255"/>
    <mergeCell ref="F6254:F6255"/>
    <mergeCell ref="G6254:G6255"/>
    <mergeCell ref="H6254:H6255"/>
    <mergeCell ref="I6254:I6255"/>
    <mergeCell ref="J6254:J6255"/>
    <mergeCell ref="K6254:K6255"/>
    <mergeCell ref="L6254:L6255"/>
    <mergeCell ref="M6254:M6255"/>
    <mergeCell ref="N6254:N6255"/>
    <mergeCell ref="A6257:A6258"/>
    <mergeCell ref="B6257:B6258"/>
    <mergeCell ref="C6257:C6258"/>
    <mergeCell ref="D6257:D6258"/>
    <mergeCell ref="E6257:E6258"/>
    <mergeCell ref="F6257:F6258"/>
    <mergeCell ref="G6257:G6258"/>
    <mergeCell ref="H6257:H6258"/>
    <mergeCell ref="I6257:I6258"/>
    <mergeCell ref="J6257:J6258"/>
    <mergeCell ref="K6257:K6258"/>
    <mergeCell ref="L6257:L6258"/>
    <mergeCell ref="M6257:M6258"/>
    <mergeCell ref="N6257:N6258"/>
    <mergeCell ref="A6259:A6260"/>
    <mergeCell ref="B6259:B6260"/>
    <mergeCell ref="C6259:C6260"/>
    <mergeCell ref="D6259:D6260"/>
    <mergeCell ref="E6259:E6260"/>
    <mergeCell ref="F6259:F6260"/>
    <mergeCell ref="G6259:G6260"/>
    <mergeCell ref="H6259:H6260"/>
    <mergeCell ref="I6259:I6260"/>
    <mergeCell ref="J6259:J6260"/>
    <mergeCell ref="K6259:K6260"/>
    <mergeCell ref="L6259:L6260"/>
    <mergeCell ref="M6259:M6260"/>
    <mergeCell ref="N6259:N6260"/>
    <mergeCell ref="A6241:A6242"/>
    <mergeCell ref="B6241:B6242"/>
    <mergeCell ref="C6241:C6242"/>
    <mergeCell ref="D6241:D6242"/>
    <mergeCell ref="E6241:E6242"/>
    <mergeCell ref="F6241:F6242"/>
    <mergeCell ref="G6241:G6242"/>
    <mergeCell ref="H6241:H6242"/>
    <mergeCell ref="I6241:I6242"/>
    <mergeCell ref="J6241:J6242"/>
    <mergeCell ref="K6241:K6242"/>
    <mergeCell ref="L6241:L6242"/>
    <mergeCell ref="M6241:M6242"/>
    <mergeCell ref="N6241:N6242"/>
    <mergeCell ref="A6243:A6244"/>
    <mergeCell ref="B6243:B6244"/>
    <mergeCell ref="C6243:C6244"/>
    <mergeCell ref="D6243:D6244"/>
    <mergeCell ref="E6243:E6244"/>
    <mergeCell ref="F6243:F6244"/>
    <mergeCell ref="G6243:G6244"/>
    <mergeCell ref="H6243:H6244"/>
    <mergeCell ref="I6243:I6244"/>
    <mergeCell ref="J6243:J6244"/>
    <mergeCell ref="K6243:K6244"/>
    <mergeCell ref="L6243:L6244"/>
    <mergeCell ref="M6243:M6244"/>
    <mergeCell ref="N6243:N6244"/>
    <mergeCell ref="A6249:A6250"/>
    <mergeCell ref="B6249:B6250"/>
    <mergeCell ref="C6249:C6250"/>
    <mergeCell ref="D6249:D6250"/>
    <mergeCell ref="E6249:E6250"/>
    <mergeCell ref="F6249:F6250"/>
    <mergeCell ref="G6249:G6250"/>
    <mergeCell ref="H6249:H6250"/>
    <mergeCell ref="I6249:I6250"/>
    <mergeCell ref="J6249:J6250"/>
    <mergeCell ref="K6249:K6250"/>
    <mergeCell ref="L6249:L6250"/>
    <mergeCell ref="M6249:M6250"/>
    <mergeCell ref="N6249:N6250"/>
    <mergeCell ref="A6229:A6230"/>
    <mergeCell ref="B6229:B6230"/>
    <mergeCell ref="C6229:C6230"/>
    <mergeCell ref="D6229:D6230"/>
    <mergeCell ref="E6229:E6230"/>
    <mergeCell ref="F6229:F6230"/>
    <mergeCell ref="G6229:G6230"/>
    <mergeCell ref="H6229:H6230"/>
    <mergeCell ref="I6229:I6230"/>
    <mergeCell ref="J6229:J6230"/>
    <mergeCell ref="K6229:K6230"/>
    <mergeCell ref="L6229:L6230"/>
    <mergeCell ref="M6229:M6230"/>
    <mergeCell ref="N6229:N6230"/>
    <mergeCell ref="A6232:A6233"/>
    <mergeCell ref="B6232:B6233"/>
    <mergeCell ref="C6232:C6233"/>
    <mergeCell ref="D6232:D6233"/>
    <mergeCell ref="E6232:E6233"/>
    <mergeCell ref="F6232:F6233"/>
    <mergeCell ref="G6232:G6233"/>
    <mergeCell ref="H6232:H6233"/>
    <mergeCell ref="I6232:I6233"/>
    <mergeCell ref="J6232:J6233"/>
    <mergeCell ref="K6232:K6233"/>
    <mergeCell ref="L6232:L6233"/>
    <mergeCell ref="M6232:M6233"/>
    <mergeCell ref="N6232:N6233"/>
    <mergeCell ref="A6237:A6238"/>
    <mergeCell ref="B6237:B6238"/>
    <mergeCell ref="C6237:C6238"/>
    <mergeCell ref="D6237:D6238"/>
    <mergeCell ref="E6237:E6238"/>
    <mergeCell ref="F6237:F6238"/>
    <mergeCell ref="G6237:G6238"/>
    <mergeCell ref="H6237:H6238"/>
    <mergeCell ref="I6237:I6238"/>
    <mergeCell ref="J6237:J6238"/>
    <mergeCell ref="K6237:K6238"/>
    <mergeCell ref="L6237:L6238"/>
    <mergeCell ref="M6237:M6238"/>
    <mergeCell ref="N6237:N6238"/>
    <mergeCell ref="A6219:A6220"/>
    <mergeCell ref="B6219:B6220"/>
    <mergeCell ref="C6219:C6220"/>
    <mergeCell ref="D6219:D6220"/>
    <mergeCell ref="E6219:E6220"/>
    <mergeCell ref="F6219:F6220"/>
    <mergeCell ref="G6219:G6220"/>
    <mergeCell ref="H6219:H6220"/>
    <mergeCell ref="I6219:I6220"/>
    <mergeCell ref="J6219:J6220"/>
    <mergeCell ref="K6219:K6220"/>
    <mergeCell ref="L6219:L6220"/>
    <mergeCell ref="M6219:M6220"/>
    <mergeCell ref="N6219:N6220"/>
    <mergeCell ref="A6223:A6224"/>
    <mergeCell ref="B6223:B6224"/>
    <mergeCell ref="C6223:C6224"/>
    <mergeCell ref="D6223:D6224"/>
    <mergeCell ref="E6223:E6224"/>
    <mergeCell ref="F6223:F6224"/>
    <mergeCell ref="G6223:G6224"/>
    <mergeCell ref="H6223:H6224"/>
    <mergeCell ref="I6223:I6224"/>
    <mergeCell ref="J6223:J6224"/>
    <mergeCell ref="K6223:K6224"/>
    <mergeCell ref="L6223:L6224"/>
    <mergeCell ref="M6223:M6224"/>
    <mergeCell ref="N6223:N6224"/>
    <mergeCell ref="A6227:A6228"/>
    <mergeCell ref="B6227:B6228"/>
    <mergeCell ref="C6227:C6228"/>
    <mergeCell ref="D6227:D6228"/>
    <mergeCell ref="E6227:E6228"/>
    <mergeCell ref="F6227:F6228"/>
    <mergeCell ref="G6227:G6228"/>
    <mergeCell ref="H6227:H6228"/>
    <mergeCell ref="I6227:I6228"/>
    <mergeCell ref="J6227:J6228"/>
    <mergeCell ref="K6227:K6228"/>
    <mergeCell ref="L6227:L6228"/>
    <mergeCell ref="M6227:M6228"/>
    <mergeCell ref="N6227:N6228"/>
    <mergeCell ref="A6211:A6212"/>
    <mergeCell ref="B6211:B6212"/>
    <mergeCell ref="C6211:C6212"/>
    <mergeCell ref="D6211:D6212"/>
    <mergeCell ref="E6211:E6212"/>
    <mergeCell ref="F6211:F6212"/>
    <mergeCell ref="G6211:G6212"/>
    <mergeCell ref="H6211:H6212"/>
    <mergeCell ref="I6211:I6212"/>
    <mergeCell ref="J6211:J6212"/>
    <mergeCell ref="K6211:K6212"/>
    <mergeCell ref="L6211:L6212"/>
    <mergeCell ref="M6211:M6212"/>
    <mergeCell ref="N6211:N6212"/>
    <mergeCell ref="A6213:A6214"/>
    <mergeCell ref="B6213:B6214"/>
    <mergeCell ref="C6213:C6214"/>
    <mergeCell ref="D6213:D6214"/>
    <mergeCell ref="E6213:E6214"/>
    <mergeCell ref="F6213:F6214"/>
    <mergeCell ref="G6213:G6214"/>
    <mergeCell ref="H6213:H6214"/>
    <mergeCell ref="I6213:I6214"/>
    <mergeCell ref="J6213:J6214"/>
    <mergeCell ref="K6213:K6214"/>
    <mergeCell ref="L6213:L6214"/>
    <mergeCell ref="M6213:M6214"/>
    <mergeCell ref="N6213:N6214"/>
    <mergeCell ref="A6217:A6218"/>
    <mergeCell ref="B6217:B6218"/>
    <mergeCell ref="C6217:C6218"/>
    <mergeCell ref="D6217:D6218"/>
    <mergeCell ref="E6217:E6218"/>
    <mergeCell ref="F6217:F6218"/>
    <mergeCell ref="G6217:G6218"/>
    <mergeCell ref="H6217:H6218"/>
    <mergeCell ref="I6217:I6218"/>
    <mergeCell ref="J6217:J6218"/>
    <mergeCell ref="K6217:K6218"/>
    <mergeCell ref="L6217:L6218"/>
    <mergeCell ref="M6217:M6218"/>
    <mergeCell ref="N6217:N6218"/>
    <mergeCell ref="A6201:A6203"/>
    <mergeCell ref="B6201:B6203"/>
    <mergeCell ref="C6201:C6203"/>
    <mergeCell ref="D6201:D6203"/>
    <mergeCell ref="E6201:E6203"/>
    <mergeCell ref="F6201:F6203"/>
    <mergeCell ref="G6201:G6203"/>
    <mergeCell ref="H6201:H6203"/>
    <mergeCell ref="I6201:I6203"/>
    <mergeCell ref="J6201:J6203"/>
    <mergeCell ref="K6201:K6203"/>
    <mergeCell ref="L6201:L6203"/>
    <mergeCell ref="M6201:M6203"/>
    <mergeCell ref="N6201:N6203"/>
    <mergeCell ref="A6204:A6205"/>
    <mergeCell ref="B6204:B6205"/>
    <mergeCell ref="C6204:C6205"/>
    <mergeCell ref="D6204:D6205"/>
    <mergeCell ref="E6204:E6205"/>
    <mergeCell ref="F6204:F6205"/>
    <mergeCell ref="G6204:G6205"/>
    <mergeCell ref="H6204:H6205"/>
    <mergeCell ref="I6204:I6205"/>
    <mergeCell ref="J6204:J6205"/>
    <mergeCell ref="K6204:K6205"/>
    <mergeCell ref="L6204:L6205"/>
    <mergeCell ref="M6204:M6205"/>
    <mergeCell ref="N6204:N6205"/>
    <mergeCell ref="A6206:A6208"/>
    <mergeCell ref="B6206:B6208"/>
    <mergeCell ref="C6206:C6208"/>
    <mergeCell ref="D6206:D6208"/>
    <mergeCell ref="E6206:E6208"/>
    <mergeCell ref="F6206:F6208"/>
    <mergeCell ref="G6206:G6208"/>
    <mergeCell ref="H6206:H6208"/>
    <mergeCell ref="I6206:I6208"/>
    <mergeCell ref="J6206:J6208"/>
    <mergeCell ref="K6206:K6208"/>
    <mergeCell ref="L6206:L6208"/>
    <mergeCell ref="M6206:M6208"/>
    <mergeCell ref="N6206:N6208"/>
    <mergeCell ref="A6194:A6195"/>
    <mergeCell ref="B6194:B6195"/>
    <mergeCell ref="C6194:C6195"/>
    <mergeCell ref="D6194:D6195"/>
    <mergeCell ref="E6194:E6195"/>
    <mergeCell ref="F6194:F6195"/>
    <mergeCell ref="G6194:G6195"/>
    <mergeCell ref="H6194:H6195"/>
    <mergeCell ref="I6194:I6195"/>
    <mergeCell ref="J6194:J6195"/>
    <mergeCell ref="K6194:K6195"/>
    <mergeCell ref="L6194:L6195"/>
    <mergeCell ref="M6194:M6195"/>
    <mergeCell ref="N6194:N6195"/>
    <mergeCell ref="A6197:A6198"/>
    <mergeCell ref="B6197:B6198"/>
    <mergeCell ref="C6197:C6198"/>
    <mergeCell ref="D6197:D6198"/>
    <mergeCell ref="E6197:E6198"/>
    <mergeCell ref="F6197:F6198"/>
    <mergeCell ref="G6197:G6198"/>
    <mergeCell ref="H6197:H6198"/>
    <mergeCell ref="I6197:I6198"/>
    <mergeCell ref="J6197:J6198"/>
    <mergeCell ref="K6197:K6198"/>
    <mergeCell ref="L6197:L6198"/>
    <mergeCell ref="M6197:M6198"/>
    <mergeCell ref="N6197:N6198"/>
    <mergeCell ref="A6199:A6200"/>
    <mergeCell ref="B6199:B6200"/>
    <mergeCell ref="C6199:C6200"/>
    <mergeCell ref="D6199:D6200"/>
    <mergeCell ref="E6199:E6200"/>
    <mergeCell ref="F6199:F6200"/>
    <mergeCell ref="G6199:G6200"/>
    <mergeCell ref="H6199:H6200"/>
    <mergeCell ref="I6199:I6200"/>
    <mergeCell ref="J6199:J6200"/>
    <mergeCell ref="K6199:K6200"/>
    <mergeCell ref="L6199:L6200"/>
    <mergeCell ref="M6199:M6200"/>
    <mergeCell ref="N6199:N6200"/>
    <mergeCell ref="A6184:A6185"/>
    <mergeCell ref="B6184:B6185"/>
    <mergeCell ref="C6184:C6185"/>
    <mergeCell ref="D6184:D6185"/>
    <mergeCell ref="E6184:E6185"/>
    <mergeCell ref="F6184:F6185"/>
    <mergeCell ref="G6184:G6185"/>
    <mergeCell ref="H6184:H6185"/>
    <mergeCell ref="I6184:I6185"/>
    <mergeCell ref="J6184:J6185"/>
    <mergeCell ref="K6184:K6185"/>
    <mergeCell ref="L6184:L6185"/>
    <mergeCell ref="M6184:M6185"/>
    <mergeCell ref="N6184:N6185"/>
    <mergeCell ref="A6188:A6189"/>
    <mergeCell ref="B6188:B6189"/>
    <mergeCell ref="C6188:C6189"/>
    <mergeCell ref="D6188:D6189"/>
    <mergeCell ref="E6188:E6189"/>
    <mergeCell ref="F6188:F6189"/>
    <mergeCell ref="G6188:G6189"/>
    <mergeCell ref="H6188:H6189"/>
    <mergeCell ref="I6188:I6189"/>
    <mergeCell ref="J6188:J6189"/>
    <mergeCell ref="K6188:K6189"/>
    <mergeCell ref="L6188:L6189"/>
    <mergeCell ref="M6188:M6189"/>
    <mergeCell ref="N6188:N6189"/>
    <mergeCell ref="A6192:A6193"/>
    <mergeCell ref="B6192:B6193"/>
    <mergeCell ref="C6192:C6193"/>
    <mergeCell ref="D6192:D6193"/>
    <mergeCell ref="E6192:E6193"/>
    <mergeCell ref="F6192:F6193"/>
    <mergeCell ref="G6192:G6193"/>
    <mergeCell ref="H6192:H6193"/>
    <mergeCell ref="I6192:I6193"/>
    <mergeCell ref="J6192:J6193"/>
    <mergeCell ref="K6192:K6193"/>
    <mergeCell ref="L6192:L6193"/>
    <mergeCell ref="M6192:M6193"/>
    <mergeCell ref="N6192:N6193"/>
    <mergeCell ref="A6176:A6177"/>
    <mergeCell ref="B6176:B6177"/>
    <mergeCell ref="C6176:C6177"/>
    <mergeCell ref="D6176:D6177"/>
    <mergeCell ref="E6176:E6177"/>
    <mergeCell ref="F6176:F6177"/>
    <mergeCell ref="G6176:G6177"/>
    <mergeCell ref="H6176:H6177"/>
    <mergeCell ref="I6176:I6177"/>
    <mergeCell ref="J6176:J6177"/>
    <mergeCell ref="K6176:K6177"/>
    <mergeCell ref="L6176:L6177"/>
    <mergeCell ref="M6176:M6177"/>
    <mergeCell ref="N6176:N6177"/>
    <mergeCell ref="A6178:A6180"/>
    <mergeCell ref="B6178:B6180"/>
    <mergeCell ref="C6178:C6180"/>
    <mergeCell ref="D6178:D6180"/>
    <mergeCell ref="E6178:E6180"/>
    <mergeCell ref="F6178:F6180"/>
    <mergeCell ref="G6178:G6180"/>
    <mergeCell ref="H6178:H6180"/>
    <mergeCell ref="I6178:I6180"/>
    <mergeCell ref="J6178:J6180"/>
    <mergeCell ref="K6178:K6180"/>
    <mergeCell ref="L6178:L6180"/>
    <mergeCell ref="M6178:M6180"/>
    <mergeCell ref="N6178:N6180"/>
    <mergeCell ref="A6181:A6182"/>
    <mergeCell ref="B6181:B6182"/>
    <mergeCell ref="C6181:C6182"/>
    <mergeCell ref="D6181:D6182"/>
    <mergeCell ref="E6181:E6182"/>
    <mergeCell ref="F6181:F6182"/>
    <mergeCell ref="G6181:G6182"/>
    <mergeCell ref="H6181:H6182"/>
    <mergeCell ref="I6181:I6182"/>
    <mergeCell ref="J6181:J6182"/>
    <mergeCell ref="K6181:K6182"/>
    <mergeCell ref="L6181:L6182"/>
    <mergeCell ref="M6181:M6182"/>
    <mergeCell ref="N6181:N6182"/>
    <mergeCell ref="A6164:A6165"/>
    <mergeCell ref="B6164:B6165"/>
    <mergeCell ref="C6164:C6165"/>
    <mergeCell ref="D6164:D6165"/>
    <mergeCell ref="E6164:E6165"/>
    <mergeCell ref="F6164:F6165"/>
    <mergeCell ref="G6164:G6165"/>
    <mergeCell ref="H6164:H6165"/>
    <mergeCell ref="I6164:I6165"/>
    <mergeCell ref="J6164:J6165"/>
    <mergeCell ref="K6164:K6165"/>
    <mergeCell ref="L6164:L6165"/>
    <mergeCell ref="M6164:M6165"/>
    <mergeCell ref="N6164:N6165"/>
    <mergeCell ref="A6167:A6168"/>
    <mergeCell ref="B6167:B6168"/>
    <mergeCell ref="C6167:C6168"/>
    <mergeCell ref="D6167:D6168"/>
    <mergeCell ref="E6167:E6168"/>
    <mergeCell ref="F6167:F6168"/>
    <mergeCell ref="G6167:G6168"/>
    <mergeCell ref="H6167:H6168"/>
    <mergeCell ref="I6167:I6168"/>
    <mergeCell ref="J6167:J6168"/>
    <mergeCell ref="K6167:K6168"/>
    <mergeCell ref="L6167:L6168"/>
    <mergeCell ref="M6167:M6168"/>
    <mergeCell ref="N6167:N6168"/>
    <mergeCell ref="A6171:A6174"/>
    <mergeCell ref="B6171:B6174"/>
    <mergeCell ref="C6171:C6174"/>
    <mergeCell ref="D6171:D6174"/>
    <mergeCell ref="E6171:E6174"/>
    <mergeCell ref="F6171:F6174"/>
    <mergeCell ref="G6171:G6174"/>
    <mergeCell ref="H6171:H6174"/>
    <mergeCell ref="I6171:I6174"/>
    <mergeCell ref="J6171:J6174"/>
    <mergeCell ref="K6171:K6174"/>
    <mergeCell ref="L6171:L6174"/>
    <mergeCell ref="M6171:M6174"/>
    <mergeCell ref="N6171:N6174"/>
    <mergeCell ref="A6154:A6155"/>
    <mergeCell ref="B6154:B6155"/>
    <mergeCell ref="C6154:C6155"/>
    <mergeCell ref="D6154:D6155"/>
    <mergeCell ref="E6154:E6155"/>
    <mergeCell ref="F6154:F6155"/>
    <mergeCell ref="G6154:G6155"/>
    <mergeCell ref="H6154:H6155"/>
    <mergeCell ref="I6154:I6155"/>
    <mergeCell ref="J6154:J6155"/>
    <mergeCell ref="K6154:K6155"/>
    <mergeCell ref="L6154:L6155"/>
    <mergeCell ref="M6154:M6155"/>
    <mergeCell ref="N6154:N6155"/>
    <mergeCell ref="A6157:A6158"/>
    <mergeCell ref="B6157:B6158"/>
    <mergeCell ref="C6157:C6158"/>
    <mergeCell ref="D6157:D6158"/>
    <mergeCell ref="E6157:E6158"/>
    <mergeCell ref="F6157:F6158"/>
    <mergeCell ref="G6157:G6158"/>
    <mergeCell ref="H6157:H6158"/>
    <mergeCell ref="I6157:I6158"/>
    <mergeCell ref="J6157:J6158"/>
    <mergeCell ref="K6157:K6158"/>
    <mergeCell ref="L6157:L6158"/>
    <mergeCell ref="M6157:M6158"/>
    <mergeCell ref="N6157:N6158"/>
    <mergeCell ref="A6160:A6161"/>
    <mergeCell ref="B6160:B6161"/>
    <mergeCell ref="C6160:C6161"/>
    <mergeCell ref="D6160:D6161"/>
    <mergeCell ref="E6160:E6161"/>
    <mergeCell ref="F6160:F6161"/>
    <mergeCell ref="G6160:G6161"/>
    <mergeCell ref="H6160:H6161"/>
    <mergeCell ref="I6160:I6161"/>
    <mergeCell ref="J6160:J6161"/>
    <mergeCell ref="K6160:K6161"/>
    <mergeCell ref="L6160:L6161"/>
    <mergeCell ref="M6160:M6161"/>
    <mergeCell ref="N6160:N6161"/>
    <mergeCell ref="A6146:A6147"/>
    <mergeCell ref="B6146:B6147"/>
    <mergeCell ref="C6146:C6147"/>
    <mergeCell ref="D6146:D6147"/>
    <mergeCell ref="E6146:E6147"/>
    <mergeCell ref="F6146:F6147"/>
    <mergeCell ref="G6146:G6147"/>
    <mergeCell ref="H6146:H6147"/>
    <mergeCell ref="I6146:I6147"/>
    <mergeCell ref="J6146:J6147"/>
    <mergeCell ref="K6146:K6147"/>
    <mergeCell ref="L6146:L6147"/>
    <mergeCell ref="M6146:M6147"/>
    <mergeCell ref="N6146:N6147"/>
    <mergeCell ref="A6148:A6150"/>
    <mergeCell ref="B6148:B6150"/>
    <mergeCell ref="C6148:C6150"/>
    <mergeCell ref="D6148:D6150"/>
    <mergeCell ref="E6148:E6150"/>
    <mergeCell ref="F6148:F6150"/>
    <mergeCell ref="G6148:G6150"/>
    <mergeCell ref="H6148:H6150"/>
    <mergeCell ref="I6148:I6150"/>
    <mergeCell ref="J6148:J6150"/>
    <mergeCell ref="K6148:K6150"/>
    <mergeCell ref="L6148:L6150"/>
    <mergeCell ref="M6148:M6150"/>
    <mergeCell ref="N6148:N6150"/>
    <mergeCell ref="A6152:A6153"/>
    <mergeCell ref="B6152:B6153"/>
    <mergeCell ref="C6152:C6153"/>
    <mergeCell ref="D6152:D6153"/>
    <mergeCell ref="E6152:E6153"/>
    <mergeCell ref="F6152:F6153"/>
    <mergeCell ref="G6152:G6153"/>
    <mergeCell ref="H6152:H6153"/>
    <mergeCell ref="I6152:I6153"/>
    <mergeCell ref="J6152:J6153"/>
    <mergeCell ref="K6152:K6153"/>
    <mergeCell ref="L6152:L6153"/>
    <mergeCell ref="M6152:M6153"/>
    <mergeCell ref="N6152:N6153"/>
    <mergeCell ref="A6139:A6140"/>
    <mergeCell ref="B6139:B6140"/>
    <mergeCell ref="C6139:C6140"/>
    <mergeCell ref="D6139:D6140"/>
    <mergeCell ref="E6139:E6140"/>
    <mergeCell ref="F6139:F6140"/>
    <mergeCell ref="G6139:G6140"/>
    <mergeCell ref="H6139:H6140"/>
    <mergeCell ref="I6139:I6140"/>
    <mergeCell ref="J6139:J6140"/>
    <mergeCell ref="K6139:K6140"/>
    <mergeCell ref="L6139:L6140"/>
    <mergeCell ref="M6139:M6140"/>
    <mergeCell ref="N6139:N6140"/>
    <mergeCell ref="A6142:A6143"/>
    <mergeCell ref="B6142:B6143"/>
    <mergeCell ref="C6142:C6143"/>
    <mergeCell ref="D6142:D6143"/>
    <mergeCell ref="E6142:E6143"/>
    <mergeCell ref="F6142:F6143"/>
    <mergeCell ref="G6142:G6143"/>
    <mergeCell ref="H6142:H6143"/>
    <mergeCell ref="I6142:I6143"/>
    <mergeCell ref="J6142:J6143"/>
    <mergeCell ref="K6142:K6143"/>
    <mergeCell ref="L6142:L6143"/>
    <mergeCell ref="M6142:M6143"/>
    <mergeCell ref="N6142:N6143"/>
    <mergeCell ref="A6144:A6145"/>
    <mergeCell ref="B6144:B6145"/>
    <mergeCell ref="C6144:C6145"/>
    <mergeCell ref="D6144:D6145"/>
    <mergeCell ref="E6144:E6145"/>
    <mergeCell ref="F6144:F6145"/>
    <mergeCell ref="G6144:G6145"/>
    <mergeCell ref="H6144:H6145"/>
    <mergeCell ref="I6144:I6145"/>
    <mergeCell ref="J6144:J6145"/>
    <mergeCell ref="K6144:K6145"/>
    <mergeCell ref="L6144:L6145"/>
    <mergeCell ref="M6144:M6145"/>
    <mergeCell ref="N6144:N6145"/>
    <mergeCell ref="A6132:A6134"/>
    <mergeCell ref="B6132:B6134"/>
    <mergeCell ref="C6132:C6134"/>
    <mergeCell ref="D6132:D6134"/>
    <mergeCell ref="E6132:E6134"/>
    <mergeCell ref="F6132:F6134"/>
    <mergeCell ref="G6132:G6134"/>
    <mergeCell ref="H6132:H6134"/>
    <mergeCell ref="I6132:I6134"/>
    <mergeCell ref="J6132:J6134"/>
    <mergeCell ref="K6132:K6134"/>
    <mergeCell ref="L6132:L6134"/>
    <mergeCell ref="M6132:M6134"/>
    <mergeCell ref="N6132:N6134"/>
    <mergeCell ref="A6135:A6136"/>
    <mergeCell ref="B6135:B6136"/>
    <mergeCell ref="C6135:C6136"/>
    <mergeCell ref="D6135:D6136"/>
    <mergeCell ref="E6135:E6136"/>
    <mergeCell ref="F6135:F6136"/>
    <mergeCell ref="G6135:G6136"/>
    <mergeCell ref="H6135:H6136"/>
    <mergeCell ref="I6135:I6136"/>
    <mergeCell ref="J6135:J6136"/>
    <mergeCell ref="K6135:K6136"/>
    <mergeCell ref="L6135:L6136"/>
    <mergeCell ref="M6135:M6136"/>
    <mergeCell ref="N6135:N6136"/>
    <mergeCell ref="A6137:A6138"/>
    <mergeCell ref="B6137:B6138"/>
    <mergeCell ref="C6137:C6138"/>
    <mergeCell ref="D6137:D6138"/>
    <mergeCell ref="E6137:E6138"/>
    <mergeCell ref="F6137:F6138"/>
    <mergeCell ref="G6137:G6138"/>
    <mergeCell ref="H6137:H6138"/>
    <mergeCell ref="I6137:I6138"/>
    <mergeCell ref="J6137:J6138"/>
    <mergeCell ref="K6137:K6138"/>
    <mergeCell ref="L6137:L6138"/>
    <mergeCell ref="M6137:M6138"/>
    <mergeCell ref="N6137:N6138"/>
    <mergeCell ref="A6122:A6124"/>
    <mergeCell ref="B6122:B6124"/>
    <mergeCell ref="C6122:C6124"/>
    <mergeCell ref="D6122:D6124"/>
    <mergeCell ref="E6122:E6124"/>
    <mergeCell ref="F6122:F6124"/>
    <mergeCell ref="G6122:G6124"/>
    <mergeCell ref="H6122:H6124"/>
    <mergeCell ref="I6122:I6124"/>
    <mergeCell ref="J6122:J6124"/>
    <mergeCell ref="K6122:K6124"/>
    <mergeCell ref="L6122:L6124"/>
    <mergeCell ref="M6122:M6124"/>
    <mergeCell ref="N6122:N6124"/>
    <mergeCell ref="A6125:A6127"/>
    <mergeCell ref="B6125:B6127"/>
    <mergeCell ref="C6125:C6127"/>
    <mergeCell ref="D6125:D6127"/>
    <mergeCell ref="E6125:E6127"/>
    <mergeCell ref="F6125:F6127"/>
    <mergeCell ref="G6125:G6127"/>
    <mergeCell ref="H6125:H6127"/>
    <mergeCell ref="I6125:I6127"/>
    <mergeCell ref="J6125:J6127"/>
    <mergeCell ref="K6125:K6127"/>
    <mergeCell ref="L6125:L6127"/>
    <mergeCell ref="M6125:M6127"/>
    <mergeCell ref="N6125:N6127"/>
    <mergeCell ref="A6128:A6131"/>
    <mergeCell ref="B6128:B6131"/>
    <mergeCell ref="C6128:C6131"/>
    <mergeCell ref="D6128:D6131"/>
    <mergeCell ref="E6128:E6131"/>
    <mergeCell ref="F6128:F6131"/>
    <mergeCell ref="G6128:G6131"/>
    <mergeCell ref="H6128:H6131"/>
    <mergeCell ref="I6128:I6131"/>
    <mergeCell ref="J6128:J6131"/>
    <mergeCell ref="K6128:K6131"/>
    <mergeCell ref="L6128:L6131"/>
    <mergeCell ref="M6128:M6131"/>
    <mergeCell ref="N6128:N6131"/>
    <mergeCell ref="A6107:A6110"/>
    <mergeCell ref="B6107:B6110"/>
    <mergeCell ref="C6107:C6110"/>
    <mergeCell ref="D6107:D6110"/>
    <mergeCell ref="E6107:E6110"/>
    <mergeCell ref="F6107:F6110"/>
    <mergeCell ref="G6107:G6110"/>
    <mergeCell ref="H6107:H6110"/>
    <mergeCell ref="I6107:I6110"/>
    <mergeCell ref="J6107:J6110"/>
    <mergeCell ref="K6107:K6110"/>
    <mergeCell ref="L6107:L6110"/>
    <mergeCell ref="M6107:M6110"/>
    <mergeCell ref="N6107:N6110"/>
    <mergeCell ref="A6112:A6113"/>
    <mergeCell ref="B6112:B6113"/>
    <mergeCell ref="C6112:C6113"/>
    <mergeCell ref="D6112:D6113"/>
    <mergeCell ref="E6112:E6113"/>
    <mergeCell ref="F6112:F6113"/>
    <mergeCell ref="G6112:G6113"/>
    <mergeCell ref="H6112:H6113"/>
    <mergeCell ref="I6112:I6113"/>
    <mergeCell ref="J6112:J6113"/>
    <mergeCell ref="K6112:K6113"/>
    <mergeCell ref="L6112:L6113"/>
    <mergeCell ref="M6112:M6113"/>
    <mergeCell ref="N6112:N6113"/>
    <mergeCell ref="A6114:A6116"/>
    <mergeCell ref="B6114:B6116"/>
    <mergeCell ref="C6114:C6116"/>
    <mergeCell ref="D6114:D6116"/>
    <mergeCell ref="E6114:E6116"/>
    <mergeCell ref="F6114:F6116"/>
    <mergeCell ref="G6114:G6116"/>
    <mergeCell ref="H6114:H6116"/>
    <mergeCell ref="I6114:I6116"/>
    <mergeCell ref="J6114:J6116"/>
    <mergeCell ref="K6114:K6116"/>
    <mergeCell ref="L6114:L6116"/>
    <mergeCell ref="M6114:M6116"/>
    <mergeCell ref="N6114:N6116"/>
    <mergeCell ref="A6092:A6094"/>
    <mergeCell ref="B6092:B6094"/>
    <mergeCell ref="C6092:C6094"/>
    <mergeCell ref="D6092:D6094"/>
    <mergeCell ref="E6092:E6094"/>
    <mergeCell ref="F6092:F6094"/>
    <mergeCell ref="G6092:G6094"/>
    <mergeCell ref="H6092:H6094"/>
    <mergeCell ref="I6092:I6094"/>
    <mergeCell ref="J6092:J6094"/>
    <mergeCell ref="K6092:K6094"/>
    <mergeCell ref="L6092:L6094"/>
    <mergeCell ref="M6092:M6094"/>
    <mergeCell ref="N6092:N6094"/>
    <mergeCell ref="A6098:A6099"/>
    <mergeCell ref="B6098:B6099"/>
    <mergeCell ref="C6098:C6099"/>
    <mergeCell ref="D6098:D6099"/>
    <mergeCell ref="E6098:E6099"/>
    <mergeCell ref="F6098:F6099"/>
    <mergeCell ref="G6098:G6099"/>
    <mergeCell ref="H6098:H6099"/>
    <mergeCell ref="I6098:I6099"/>
    <mergeCell ref="J6098:J6099"/>
    <mergeCell ref="K6098:K6099"/>
    <mergeCell ref="L6098:L6099"/>
    <mergeCell ref="M6098:M6099"/>
    <mergeCell ref="N6098:N6099"/>
    <mergeCell ref="A6100:A6101"/>
    <mergeCell ref="B6100:B6101"/>
    <mergeCell ref="C6100:C6101"/>
    <mergeCell ref="D6100:D6101"/>
    <mergeCell ref="E6100:E6101"/>
    <mergeCell ref="F6100:F6101"/>
    <mergeCell ref="G6100:G6101"/>
    <mergeCell ref="H6100:H6101"/>
    <mergeCell ref="I6100:I6101"/>
    <mergeCell ref="J6100:J6101"/>
    <mergeCell ref="K6100:K6101"/>
    <mergeCell ref="L6100:L6101"/>
    <mergeCell ref="M6100:M6101"/>
    <mergeCell ref="N6100:N6101"/>
    <mergeCell ref="A6081:A6083"/>
    <mergeCell ref="B6081:B6083"/>
    <mergeCell ref="C6081:C6083"/>
    <mergeCell ref="D6081:D6083"/>
    <mergeCell ref="E6081:E6083"/>
    <mergeCell ref="F6081:F6083"/>
    <mergeCell ref="G6081:G6083"/>
    <mergeCell ref="H6081:H6083"/>
    <mergeCell ref="I6081:I6083"/>
    <mergeCell ref="J6081:J6083"/>
    <mergeCell ref="K6081:K6083"/>
    <mergeCell ref="L6081:L6083"/>
    <mergeCell ref="M6081:M6083"/>
    <mergeCell ref="N6081:N6083"/>
    <mergeCell ref="A6087:A6088"/>
    <mergeCell ref="B6087:B6088"/>
    <mergeCell ref="C6087:C6088"/>
    <mergeCell ref="D6087:D6088"/>
    <mergeCell ref="E6087:E6088"/>
    <mergeCell ref="F6087:F6088"/>
    <mergeCell ref="G6087:G6088"/>
    <mergeCell ref="H6087:H6088"/>
    <mergeCell ref="I6087:I6088"/>
    <mergeCell ref="J6087:J6088"/>
    <mergeCell ref="K6087:K6088"/>
    <mergeCell ref="L6087:L6088"/>
    <mergeCell ref="M6087:M6088"/>
    <mergeCell ref="N6087:N6088"/>
    <mergeCell ref="A6089:A6091"/>
    <mergeCell ref="B6089:B6091"/>
    <mergeCell ref="C6089:C6091"/>
    <mergeCell ref="D6089:D6091"/>
    <mergeCell ref="E6089:E6091"/>
    <mergeCell ref="F6089:F6091"/>
    <mergeCell ref="G6089:G6091"/>
    <mergeCell ref="H6089:H6091"/>
    <mergeCell ref="I6089:I6091"/>
    <mergeCell ref="J6089:J6091"/>
    <mergeCell ref="K6089:K6091"/>
    <mergeCell ref="L6089:L6091"/>
    <mergeCell ref="M6089:M6091"/>
    <mergeCell ref="N6089:N6091"/>
    <mergeCell ref="A6072:A6073"/>
    <mergeCell ref="B6072:B6073"/>
    <mergeCell ref="C6072:C6073"/>
    <mergeCell ref="D6072:D6073"/>
    <mergeCell ref="E6072:E6073"/>
    <mergeCell ref="F6072:F6073"/>
    <mergeCell ref="G6072:G6073"/>
    <mergeCell ref="H6072:H6073"/>
    <mergeCell ref="I6072:I6073"/>
    <mergeCell ref="J6072:J6073"/>
    <mergeCell ref="K6072:K6073"/>
    <mergeCell ref="L6072:L6073"/>
    <mergeCell ref="M6072:M6073"/>
    <mergeCell ref="N6072:N6073"/>
    <mergeCell ref="A6074:A6075"/>
    <mergeCell ref="B6074:B6075"/>
    <mergeCell ref="C6074:C6075"/>
    <mergeCell ref="D6074:D6075"/>
    <mergeCell ref="E6074:E6075"/>
    <mergeCell ref="F6074:F6075"/>
    <mergeCell ref="G6074:G6075"/>
    <mergeCell ref="H6074:H6075"/>
    <mergeCell ref="I6074:I6075"/>
    <mergeCell ref="J6074:J6075"/>
    <mergeCell ref="K6074:K6075"/>
    <mergeCell ref="L6074:L6075"/>
    <mergeCell ref="M6074:M6075"/>
    <mergeCell ref="N6074:N6075"/>
    <mergeCell ref="A6078:A6080"/>
    <mergeCell ref="B6078:B6080"/>
    <mergeCell ref="C6078:C6080"/>
    <mergeCell ref="D6078:D6080"/>
    <mergeCell ref="E6078:E6080"/>
    <mergeCell ref="F6078:F6080"/>
    <mergeCell ref="G6078:G6080"/>
    <mergeCell ref="H6078:H6080"/>
    <mergeCell ref="I6078:I6080"/>
    <mergeCell ref="J6078:J6080"/>
    <mergeCell ref="K6078:K6080"/>
    <mergeCell ref="L6078:L6080"/>
    <mergeCell ref="M6078:M6080"/>
    <mergeCell ref="N6078:N6080"/>
    <mergeCell ref="A6065:A6067"/>
    <mergeCell ref="B6065:B6067"/>
    <mergeCell ref="C6065:C6067"/>
    <mergeCell ref="D6065:D6067"/>
    <mergeCell ref="E6065:E6067"/>
    <mergeCell ref="F6065:F6067"/>
    <mergeCell ref="G6065:G6067"/>
    <mergeCell ref="H6065:H6067"/>
    <mergeCell ref="I6065:I6067"/>
    <mergeCell ref="J6065:J6067"/>
    <mergeCell ref="K6065:K6067"/>
    <mergeCell ref="L6065:L6067"/>
    <mergeCell ref="M6065:M6067"/>
    <mergeCell ref="N6065:N6067"/>
    <mergeCell ref="A6068:A6069"/>
    <mergeCell ref="B6068:B6069"/>
    <mergeCell ref="C6068:C6069"/>
    <mergeCell ref="D6068:D6069"/>
    <mergeCell ref="E6068:E6069"/>
    <mergeCell ref="F6068:F6069"/>
    <mergeCell ref="G6068:G6069"/>
    <mergeCell ref="H6068:H6069"/>
    <mergeCell ref="I6068:I6069"/>
    <mergeCell ref="J6068:J6069"/>
    <mergeCell ref="K6068:K6069"/>
    <mergeCell ref="L6068:L6069"/>
    <mergeCell ref="M6068:M6069"/>
    <mergeCell ref="N6068:N6069"/>
    <mergeCell ref="A6070:A6071"/>
    <mergeCell ref="B6070:B6071"/>
    <mergeCell ref="C6070:C6071"/>
    <mergeCell ref="D6070:D6071"/>
    <mergeCell ref="E6070:E6071"/>
    <mergeCell ref="F6070:F6071"/>
    <mergeCell ref="G6070:G6071"/>
    <mergeCell ref="H6070:H6071"/>
    <mergeCell ref="I6070:I6071"/>
    <mergeCell ref="J6070:J6071"/>
    <mergeCell ref="K6070:K6071"/>
    <mergeCell ref="L6070:L6071"/>
    <mergeCell ref="M6070:M6071"/>
    <mergeCell ref="N6070:N6071"/>
    <mergeCell ref="A6054:A6058"/>
    <mergeCell ref="B6054:B6058"/>
    <mergeCell ref="C6054:C6058"/>
    <mergeCell ref="D6054:D6058"/>
    <mergeCell ref="E6054:E6058"/>
    <mergeCell ref="F6054:F6058"/>
    <mergeCell ref="G6054:G6058"/>
    <mergeCell ref="H6054:H6058"/>
    <mergeCell ref="I6054:I6058"/>
    <mergeCell ref="J6054:J6058"/>
    <mergeCell ref="K6054:K6058"/>
    <mergeCell ref="L6054:L6058"/>
    <mergeCell ref="M6054:M6058"/>
    <mergeCell ref="N6054:N6058"/>
    <mergeCell ref="A6059:A6062"/>
    <mergeCell ref="B6059:B6062"/>
    <mergeCell ref="C6059:C6062"/>
    <mergeCell ref="D6059:D6062"/>
    <mergeCell ref="E6059:E6062"/>
    <mergeCell ref="F6059:F6062"/>
    <mergeCell ref="G6059:G6062"/>
    <mergeCell ref="H6059:H6062"/>
    <mergeCell ref="I6059:I6062"/>
    <mergeCell ref="J6059:J6062"/>
    <mergeCell ref="K6059:K6062"/>
    <mergeCell ref="L6059:L6062"/>
    <mergeCell ref="M6059:M6062"/>
    <mergeCell ref="N6059:N6062"/>
    <mergeCell ref="A6063:A6064"/>
    <mergeCell ref="B6063:B6064"/>
    <mergeCell ref="C6063:C6064"/>
    <mergeCell ref="D6063:D6064"/>
    <mergeCell ref="E6063:E6064"/>
    <mergeCell ref="F6063:F6064"/>
    <mergeCell ref="G6063:G6064"/>
    <mergeCell ref="H6063:H6064"/>
    <mergeCell ref="I6063:I6064"/>
    <mergeCell ref="J6063:J6064"/>
    <mergeCell ref="K6063:K6064"/>
    <mergeCell ref="L6063:L6064"/>
    <mergeCell ref="M6063:M6064"/>
    <mergeCell ref="N6063:N6064"/>
    <mergeCell ref="A6048:A6049"/>
    <mergeCell ref="B6048:B6049"/>
    <mergeCell ref="C6048:C6049"/>
    <mergeCell ref="D6048:D6049"/>
    <mergeCell ref="E6048:E6049"/>
    <mergeCell ref="F6048:F6049"/>
    <mergeCell ref="G6048:G6049"/>
    <mergeCell ref="H6048:H6049"/>
    <mergeCell ref="I6048:I6049"/>
    <mergeCell ref="J6048:J6049"/>
    <mergeCell ref="K6048:K6049"/>
    <mergeCell ref="L6048:L6049"/>
    <mergeCell ref="M6048:M6049"/>
    <mergeCell ref="N6048:N6049"/>
    <mergeCell ref="A6050:A6051"/>
    <mergeCell ref="B6050:B6051"/>
    <mergeCell ref="C6050:C6051"/>
    <mergeCell ref="D6050:D6051"/>
    <mergeCell ref="E6050:E6051"/>
    <mergeCell ref="F6050:F6051"/>
    <mergeCell ref="G6050:G6051"/>
    <mergeCell ref="H6050:H6051"/>
    <mergeCell ref="I6050:I6051"/>
    <mergeCell ref="J6050:J6051"/>
    <mergeCell ref="K6050:K6051"/>
    <mergeCell ref="L6050:L6051"/>
    <mergeCell ref="M6050:M6051"/>
    <mergeCell ref="N6050:N6051"/>
    <mergeCell ref="A6052:A6053"/>
    <mergeCell ref="B6052:B6053"/>
    <mergeCell ref="C6052:C6053"/>
    <mergeCell ref="D6052:D6053"/>
    <mergeCell ref="E6052:E6053"/>
    <mergeCell ref="F6052:F6053"/>
    <mergeCell ref="G6052:G6053"/>
    <mergeCell ref="H6052:H6053"/>
    <mergeCell ref="I6052:I6053"/>
    <mergeCell ref="J6052:J6053"/>
    <mergeCell ref="K6052:K6053"/>
    <mergeCell ref="L6052:L6053"/>
    <mergeCell ref="M6052:M6053"/>
    <mergeCell ref="N6052:N6053"/>
    <mergeCell ref="A6036:A6038"/>
    <mergeCell ref="B6036:B6038"/>
    <mergeCell ref="C6036:C6038"/>
    <mergeCell ref="D6036:D6038"/>
    <mergeCell ref="E6036:E6038"/>
    <mergeCell ref="F6036:F6038"/>
    <mergeCell ref="G6036:G6038"/>
    <mergeCell ref="H6036:H6038"/>
    <mergeCell ref="I6036:I6038"/>
    <mergeCell ref="J6036:J6038"/>
    <mergeCell ref="K6036:K6038"/>
    <mergeCell ref="L6036:L6038"/>
    <mergeCell ref="M6036:M6038"/>
    <mergeCell ref="N6036:N6038"/>
    <mergeCell ref="A6040:A6041"/>
    <mergeCell ref="B6040:B6041"/>
    <mergeCell ref="C6040:C6041"/>
    <mergeCell ref="D6040:D6041"/>
    <mergeCell ref="E6040:E6041"/>
    <mergeCell ref="F6040:F6041"/>
    <mergeCell ref="G6040:G6041"/>
    <mergeCell ref="H6040:H6041"/>
    <mergeCell ref="I6040:I6041"/>
    <mergeCell ref="J6040:J6041"/>
    <mergeCell ref="K6040:K6041"/>
    <mergeCell ref="L6040:L6041"/>
    <mergeCell ref="M6040:M6041"/>
    <mergeCell ref="N6040:N6041"/>
    <mergeCell ref="A6042:A6047"/>
    <mergeCell ref="B6042:B6047"/>
    <mergeCell ref="C6042:C6047"/>
    <mergeCell ref="D6042:D6047"/>
    <mergeCell ref="E6042:E6047"/>
    <mergeCell ref="F6042:F6047"/>
    <mergeCell ref="G6042:G6047"/>
    <mergeCell ref="H6042:H6047"/>
    <mergeCell ref="I6042:I6047"/>
    <mergeCell ref="J6042:J6047"/>
    <mergeCell ref="K6042:K6047"/>
    <mergeCell ref="L6042:L6047"/>
    <mergeCell ref="M6042:M6047"/>
    <mergeCell ref="N6042:N6047"/>
    <mergeCell ref="A6026:A6028"/>
    <mergeCell ref="B6026:B6028"/>
    <mergeCell ref="C6026:C6028"/>
    <mergeCell ref="D6026:D6028"/>
    <mergeCell ref="E6026:E6028"/>
    <mergeCell ref="F6026:F6028"/>
    <mergeCell ref="G6026:G6028"/>
    <mergeCell ref="H6026:H6028"/>
    <mergeCell ref="I6026:I6028"/>
    <mergeCell ref="J6026:J6028"/>
    <mergeCell ref="K6026:K6028"/>
    <mergeCell ref="L6026:L6028"/>
    <mergeCell ref="M6026:M6028"/>
    <mergeCell ref="N6026:N6028"/>
    <mergeCell ref="A6029:A6031"/>
    <mergeCell ref="B6029:B6031"/>
    <mergeCell ref="C6029:C6031"/>
    <mergeCell ref="D6029:D6031"/>
    <mergeCell ref="E6029:E6031"/>
    <mergeCell ref="F6029:F6031"/>
    <mergeCell ref="G6029:G6031"/>
    <mergeCell ref="H6029:H6031"/>
    <mergeCell ref="I6029:I6031"/>
    <mergeCell ref="J6029:J6031"/>
    <mergeCell ref="K6029:K6031"/>
    <mergeCell ref="L6029:L6031"/>
    <mergeCell ref="M6029:M6031"/>
    <mergeCell ref="N6029:N6031"/>
    <mergeCell ref="A6034:A6035"/>
    <mergeCell ref="B6034:B6035"/>
    <mergeCell ref="C6034:C6035"/>
    <mergeCell ref="D6034:D6035"/>
    <mergeCell ref="E6034:E6035"/>
    <mergeCell ref="F6034:F6035"/>
    <mergeCell ref="G6034:G6035"/>
    <mergeCell ref="H6034:H6035"/>
    <mergeCell ref="I6034:I6035"/>
    <mergeCell ref="J6034:J6035"/>
    <mergeCell ref="K6034:K6035"/>
    <mergeCell ref="L6034:L6035"/>
    <mergeCell ref="M6034:M6035"/>
    <mergeCell ref="N6034:N6035"/>
    <mergeCell ref="A6017:A6020"/>
    <mergeCell ref="B6017:B6020"/>
    <mergeCell ref="C6017:C6020"/>
    <mergeCell ref="D6017:D6020"/>
    <mergeCell ref="E6017:E6020"/>
    <mergeCell ref="F6017:F6020"/>
    <mergeCell ref="G6017:G6020"/>
    <mergeCell ref="H6017:H6020"/>
    <mergeCell ref="I6017:I6020"/>
    <mergeCell ref="J6017:J6020"/>
    <mergeCell ref="K6017:K6020"/>
    <mergeCell ref="L6017:L6020"/>
    <mergeCell ref="M6017:M6020"/>
    <mergeCell ref="N6017:N6020"/>
    <mergeCell ref="A6021:A6022"/>
    <mergeCell ref="B6021:B6022"/>
    <mergeCell ref="C6021:C6022"/>
    <mergeCell ref="D6021:D6022"/>
    <mergeCell ref="E6021:E6022"/>
    <mergeCell ref="F6021:F6022"/>
    <mergeCell ref="G6021:G6022"/>
    <mergeCell ref="H6021:H6022"/>
    <mergeCell ref="I6021:I6022"/>
    <mergeCell ref="J6021:J6022"/>
    <mergeCell ref="K6021:K6022"/>
    <mergeCell ref="L6021:L6022"/>
    <mergeCell ref="M6021:M6022"/>
    <mergeCell ref="N6021:N6022"/>
    <mergeCell ref="A6023:A6024"/>
    <mergeCell ref="B6023:B6024"/>
    <mergeCell ref="C6023:C6024"/>
    <mergeCell ref="D6023:D6024"/>
    <mergeCell ref="E6023:E6024"/>
    <mergeCell ref="F6023:F6024"/>
    <mergeCell ref="G6023:G6024"/>
    <mergeCell ref="H6023:H6024"/>
    <mergeCell ref="I6023:I6024"/>
    <mergeCell ref="J6023:J6024"/>
    <mergeCell ref="K6023:K6024"/>
    <mergeCell ref="L6023:L6024"/>
    <mergeCell ref="M6023:M6024"/>
    <mergeCell ref="N6023:N6024"/>
    <mergeCell ref="A6011:A6012"/>
    <mergeCell ref="B6011:B6012"/>
    <mergeCell ref="C6011:C6012"/>
    <mergeCell ref="D6011:D6012"/>
    <mergeCell ref="E6011:E6012"/>
    <mergeCell ref="F6011:F6012"/>
    <mergeCell ref="G6011:G6012"/>
    <mergeCell ref="H6011:H6012"/>
    <mergeCell ref="I6011:I6012"/>
    <mergeCell ref="J6011:J6012"/>
    <mergeCell ref="K6011:K6012"/>
    <mergeCell ref="L6011:L6012"/>
    <mergeCell ref="M6011:M6012"/>
    <mergeCell ref="N6011:N6012"/>
    <mergeCell ref="A6013:A6014"/>
    <mergeCell ref="B6013:B6014"/>
    <mergeCell ref="C6013:C6014"/>
    <mergeCell ref="D6013:D6014"/>
    <mergeCell ref="E6013:E6014"/>
    <mergeCell ref="F6013:F6014"/>
    <mergeCell ref="G6013:G6014"/>
    <mergeCell ref="H6013:H6014"/>
    <mergeCell ref="I6013:I6014"/>
    <mergeCell ref="J6013:J6014"/>
    <mergeCell ref="K6013:K6014"/>
    <mergeCell ref="L6013:L6014"/>
    <mergeCell ref="M6013:M6014"/>
    <mergeCell ref="N6013:N6014"/>
    <mergeCell ref="A6015:A6016"/>
    <mergeCell ref="B6015:B6016"/>
    <mergeCell ref="C6015:C6016"/>
    <mergeCell ref="D6015:D6016"/>
    <mergeCell ref="E6015:E6016"/>
    <mergeCell ref="F6015:F6016"/>
    <mergeCell ref="G6015:G6016"/>
    <mergeCell ref="H6015:H6016"/>
    <mergeCell ref="I6015:I6016"/>
    <mergeCell ref="J6015:J6016"/>
    <mergeCell ref="K6015:K6016"/>
    <mergeCell ref="L6015:L6016"/>
    <mergeCell ref="M6015:M6016"/>
    <mergeCell ref="N6015:N6016"/>
    <mergeCell ref="A6004:A6005"/>
    <mergeCell ref="B6004:B6005"/>
    <mergeCell ref="C6004:C6005"/>
    <mergeCell ref="D6004:D6005"/>
    <mergeCell ref="E6004:E6005"/>
    <mergeCell ref="F6004:F6005"/>
    <mergeCell ref="G6004:G6005"/>
    <mergeCell ref="H6004:H6005"/>
    <mergeCell ref="I6004:I6005"/>
    <mergeCell ref="J6004:J6005"/>
    <mergeCell ref="K6004:K6005"/>
    <mergeCell ref="L6004:L6005"/>
    <mergeCell ref="M6004:M6005"/>
    <mergeCell ref="N6004:N6005"/>
    <mergeCell ref="A6006:A6007"/>
    <mergeCell ref="B6006:B6007"/>
    <mergeCell ref="C6006:C6007"/>
    <mergeCell ref="D6006:D6007"/>
    <mergeCell ref="E6006:E6007"/>
    <mergeCell ref="F6006:F6007"/>
    <mergeCell ref="G6006:G6007"/>
    <mergeCell ref="H6006:H6007"/>
    <mergeCell ref="I6006:I6007"/>
    <mergeCell ref="J6006:J6007"/>
    <mergeCell ref="K6006:K6007"/>
    <mergeCell ref="L6006:L6007"/>
    <mergeCell ref="M6006:M6007"/>
    <mergeCell ref="N6006:N6007"/>
    <mergeCell ref="A6008:A6010"/>
    <mergeCell ref="B6008:B6010"/>
    <mergeCell ref="C6008:C6010"/>
    <mergeCell ref="D6008:D6010"/>
    <mergeCell ref="E6008:E6010"/>
    <mergeCell ref="F6008:F6010"/>
    <mergeCell ref="G6008:G6010"/>
    <mergeCell ref="H6008:H6010"/>
    <mergeCell ref="I6008:I6010"/>
    <mergeCell ref="J6008:J6010"/>
    <mergeCell ref="K6008:K6010"/>
    <mergeCell ref="L6008:L6010"/>
    <mergeCell ref="M6008:M6010"/>
    <mergeCell ref="N6008:N6010"/>
    <mergeCell ref="A5995:A5997"/>
    <mergeCell ref="B5995:B5997"/>
    <mergeCell ref="C5995:C5997"/>
    <mergeCell ref="D5995:D5997"/>
    <mergeCell ref="E5995:E5997"/>
    <mergeCell ref="F5995:F5997"/>
    <mergeCell ref="G5995:G5997"/>
    <mergeCell ref="H5995:H5997"/>
    <mergeCell ref="I5995:I5997"/>
    <mergeCell ref="J5995:J5997"/>
    <mergeCell ref="K5995:K5997"/>
    <mergeCell ref="L5995:L5997"/>
    <mergeCell ref="M5995:M5997"/>
    <mergeCell ref="N5995:N5997"/>
    <mergeCell ref="A5998:A5999"/>
    <mergeCell ref="B5998:B5999"/>
    <mergeCell ref="C5998:C5999"/>
    <mergeCell ref="D5998:D5999"/>
    <mergeCell ref="E5998:E5999"/>
    <mergeCell ref="F5998:F5999"/>
    <mergeCell ref="G5998:G5999"/>
    <mergeCell ref="H5998:H5999"/>
    <mergeCell ref="I5998:I5999"/>
    <mergeCell ref="J5998:J5999"/>
    <mergeCell ref="K5998:K5999"/>
    <mergeCell ref="L5998:L5999"/>
    <mergeCell ref="M5998:M5999"/>
    <mergeCell ref="N5998:N5999"/>
    <mergeCell ref="A6000:A6001"/>
    <mergeCell ref="B6000:B6001"/>
    <mergeCell ref="C6000:C6001"/>
    <mergeCell ref="D6000:D6001"/>
    <mergeCell ref="E6000:E6001"/>
    <mergeCell ref="F6000:F6001"/>
    <mergeCell ref="G6000:G6001"/>
    <mergeCell ref="H6000:H6001"/>
    <mergeCell ref="I6000:I6001"/>
    <mergeCell ref="J6000:J6001"/>
    <mergeCell ref="K6000:K6001"/>
    <mergeCell ref="L6000:L6001"/>
    <mergeCell ref="M6000:M6001"/>
    <mergeCell ref="N6000:N6001"/>
    <mergeCell ref="A5989:A5990"/>
    <mergeCell ref="B5989:B5990"/>
    <mergeCell ref="C5989:C5990"/>
    <mergeCell ref="D5989:D5990"/>
    <mergeCell ref="E5989:E5990"/>
    <mergeCell ref="F5989:F5990"/>
    <mergeCell ref="G5989:G5990"/>
    <mergeCell ref="H5989:H5990"/>
    <mergeCell ref="I5989:I5990"/>
    <mergeCell ref="J5989:J5990"/>
    <mergeCell ref="K5989:K5990"/>
    <mergeCell ref="L5989:L5990"/>
    <mergeCell ref="M5989:M5990"/>
    <mergeCell ref="N5989:N5990"/>
    <mergeCell ref="A5991:A5992"/>
    <mergeCell ref="B5991:B5992"/>
    <mergeCell ref="C5991:C5992"/>
    <mergeCell ref="D5991:D5992"/>
    <mergeCell ref="E5991:E5992"/>
    <mergeCell ref="F5991:F5992"/>
    <mergeCell ref="G5991:G5992"/>
    <mergeCell ref="H5991:H5992"/>
    <mergeCell ref="I5991:I5992"/>
    <mergeCell ref="J5991:J5992"/>
    <mergeCell ref="K5991:K5992"/>
    <mergeCell ref="L5991:L5992"/>
    <mergeCell ref="M5991:M5992"/>
    <mergeCell ref="N5991:N5992"/>
    <mergeCell ref="A5993:A5994"/>
    <mergeCell ref="B5993:B5994"/>
    <mergeCell ref="C5993:C5994"/>
    <mergeCell ref="D5993:D5994"/>
    <mergeCell ref="E5993:E5994"/>
    <mergeCell ref="F5993:F5994"/>
    <mergeCell ref="G5993:G5994"/>
    <mergeCell ref="H5993:H5994"/>
    <mergeCell ref="I5993:I5994"/>
    <mergeCell ref="J5993:J5994"/>
    <mergeCell ref="K5993:K5994"/>
    <mergeCell ref="L5993:L5994"/>
    <mergeCell ref="M5993:M5994"/>
    <mergeCell ref="N5993:N5994"/>
    <mergeCell ref="A5979:A5980"/>
    <mergeCell ref="B5979:B5980"/>
    <mergeCell ref="C5979:C5980"/>
    <mergeCell ref="D5979:D5980"/>
    <mergeCell ref="E5979:E5980"/>
    <mergeCell ref="F5979:F5980"/>
    <mergeCell ref="G5979:G5980"/>
    <mergeCell ref="H5979:H5980"/>
    <mergeCell ref="I5979:I5980"/>
    <mergeCell ref="J5979:J5980"/>
    <mergeCell ref="K5979:K5980"/>
    <mergeCell ref="L5979:L5980"/>
    <mergeCell ref="M5979:M5980"/>
    <mergeCell ref="N5979:N5980"/>
    <mergeCell ref="A5982:A5984"/>
    <mergeCell ref="B5982:B5984"/>
    <mergeCell ref="C5982:C5984"/>
    <mergeCell ref="D5982:D5984"/>
    <mergeCell ref="E5982:E5984"/>
    <mergeCell ref="F5982:F5984"/>
    <mergeCell ref="G5982:G5984"/>
    <mergeCell ref="H5982:H5984"/>
    <mergeCell ref="I5982:I5984"/>
    <mergeCell ref="J5982:J5984"/>
    <mergeCell ref="K5982:K5984"/>
    <mergeCell ref="L5982:L5984"/>
    <mergeCell ref="M5982:M5984"/>
    <mergeCell ref="N5982:N5984"/>
    <mergeCell ref="A5985:A5987"/>
    <mergeCell ref="B5985:B5987"/>
    <mergeCell ref="C5985:C5987"/>
    <mergeCell ref="D5985:D5987"/>
    <mergeCell ref="E5985:E5987"/>
    <mergeCell ref="F5985:F5987"/>
    <mergeCell ref="G5985:G5987"/>
    <mergeCell ref="H5985:H5987"/>
    <mergeCell ref="I5985:I5987"/>
    <mergeCell ref="J5985:J5987"/>
    <mergeCell ref="K5985:K5987"/>
    <mergeCell ref="L5985:L5987"/>
    <mergeCell ref="M5985:M5987"/>
    <mergeCell ref="N5985:N5987"/>
    <mergeCell ref="A5969:A5971"/>
    <mergeCell ref="B5969:B5971"/>
    <mergeCell ref="C5969:C5971"/>
    <mergeCell ref="D5969:D5971"/>
    <mergeCell ref="E5969:E5971"/>
    <mergeCell ref="F5969:F5971"/>
    <mergeCell ref="G5969:G5971"/>
    <mergeCell ref="H5969:H5971"/>
    <mergeCell ref="I5969:I5971"/>
    <mergeCell ref="J5969:J5971"/>
    <mergeCell ref="K5969:K5971"/>
    <mergeCell ref="L5969:L5971"/>
    <mergeCell ref="M5969:M5971"/>
    <mergeCell ref="N5969:N5971"/>
    <mergeCell ref="A5974:A5975"/>
    <mergeCell ref="B5974:B5975"/>
    <mergeCell ref="C5974:C5975"/>
    <mergeCell ref="D5974:D5975"/>
    <mergeCell ref="E5974:E5975"/>
    <mergeCell ref="F5974:F5975"/>
    <mergeCell ref="G5974:G5975"/>
    <mergeCell ref="H5974:H5975"/>
    <mergeCell ref="I5974:I5975"/>
    <mergeCell ref="J5974:J5975"/>
    <mergeCell ref="K5974:K5975"/>
    <mergeCell ref="L5974:L5975"/>
    <mergeCell ref="M5974:M5975"/>
    <mergeCell ref="N5974:N5975"/>
    <mergeCell ref="A5977:A5978"/>
    <mergeCell ref="B5977:B5978"/>
    <mergeCell ref="C5977:C5978"/>
    <mergeCell ref="D5977:D5978"/>
    <mergeCell ref="E5977:E5978"/>
    <mergeCell ref="F5977:F5978"/>
    <mergeCell ref="G5977:G5978"/>
    <mergeCell ref="H5977:H5978"/>
    <mergeCell ref="I5977:I5978"/>
    <mergeCell ref="J5977:J5978"/>
    <mergeCell ref="K5977:K5978"/>
    <mergeCell ref="L5977:L5978"/>
    <mergeCell ref="M5977:M5978"/>
    <mergeCell ref="N5977:N5978"/>
    <mergeCell ref="A5956:A5957"/>
    <mergeCell ref="B5956:B5957"/>
    <mergeCell ref="C5956:C5957"/>
    <mergeCell ref="D5956:D5957"/>
    <mergeCell ref="E5956:E5957"/>
    <mergeCell ref="F5956:F5957"/>
    <mergeCell ref="G5956:G5957"/>
    <mergeCell ref="H5956:H5957"/>
    <mergeCell ref="I5956:I5957"/>
    <mergeCell ref="J5956:J5957"/>
    <mergeCell ref="K5956:K5957"/>
    <mergeCell ref="L5956:L5957"/>
    <mergeCell ref="M5956:M5957"/>
    <mergeCell ref="N5956:N5957"/>
    <mergeCell ref="A5960:A5964"/>
    <mergeCell ref="B5960:B5964"/>
    <mergeCell ref="C5960:C5964"/>
    <mergeCell ref="D5960:D5964"/>
    <mergeCell ref="E5960:E5964"/>
    <mergeCell ref="F5960:F5964"/>
    <mergeCell ref="G5960:G5964"/>
    <mergeCell ref="H5960:H5964"/>
    <mergeCell ref="I5960:I5964"/>
    <mergeCell ref="J5960:J5964"/>
    <mergeCell ref="K5960:K5964"/>
    <mergeCell ref="L5960:L5964"/>
    <mergeCell ref="M5960:M5964"/>
    <mergeCell ref="N5960:N5964"/>
    <mergeCell ref="A5965:A5968"/>
    <mergeCell ref="B5965:B5968"/>
    <mergeCell ref="C5965:C5968"/>
    <mergeCell ref="D5965:D5968"/>
    <mergeCell ref="E5965:E5968"/>
    <mergeCell ref="F5965:F5968"/>
    <mergeCell ref="G5965:G5968"/>
    <mergeCell ref="H5965:H5968"/>
    <mergeCell ref="I5965:I5968"/>
    <mergeCell ref="J5965:J5968"/>
    <mergeCell ref="K5965:K5968"/>
    <mergeCell ref="L5965:L5968"/>
    <mergeCell ref="M5965:M5968"/>
    <mergeCell ref="N5965:N5968"/>
    <mergeCell ref="A5946:A5947"/>
    <mergeCell ref="B5946:B5947"/>
    <mergeCell ref="C5946:C5947"/>
    <mergeCell ref="D5946:D5947"/>
    <mergeCell ref="E5946:E5947"/>
    <mergeCell ref="F5946:F5947"/>
    <mergeCell ref="G5946:G5947"/>
    <mergeCell ref="H5946:H5947"/>
    <mergeCell ref="I5946:I5947"/>
    <mergeCell ref="J5946:J5947"/>
    <mergeCell ref="K5946:K5947"/>
    <mergeCell ref="L5946:L5947"/>
    <mergeCell ref="M5946:M5947"/>
    <mergeCell ref="N5946:N5947"/>
    <mergeCell ref="A5948:A5951"/>
    <mergeCell ref="B5948:B5951"/>
    <mergeCell ref="C5948:C5951"/>
    <mergeCell ref="D5948:D5951"/>
    <mergeCell ref="E5948:E5951"/>
    <mergeCell ref="F5948:F5951"/>
    <mergeCell ref="G5948:G5951"/>
    <mergeCell ref="H5948:H5951"/>
    <mergeCell ref="I5948:I5951"/>
    <mergeCell ref="J5948:J5951"/>
    <mergeCell ref="K5948:K5951"/>
    <mergeCell ref="L5948:L5951"/>
    <mergeCell ref="M5948:M5951"/>
    <mergeCell ref="N5948:N5951"/>
    <mergeCell ref="A5952:A5955"/>
    <mergeCell ref="B5952:B5955"/>
    <mergeCell ref="C5952:C5955"/>
    <mergeCell ref="D5952:D5955"/>
    <mergeCell ref="E5952:E5955"/>
    <mergeCell ref="F5952:F5955"/>
    <mergeCell ref="G5952:G5955"/>
    <mergeCell ref="H5952:H5955"/>
    <mergeCell ref="I5952:I5955"/>
    <mergeCell ref="J5952:J5955"/>
    <mergeCell ref="K5952:K5955"/>
    <mergeCell ref="L5952:L5955"/>
    <mergeCell ref="M5952:M5955"/>
    <mergeCell ref="N5952:N5955"/>
    <mergeCell ref="A5936:A5939"/>
    <mergeCell ref="B5936:B5939"/>
    <mergeCell ref="C5936:C5939"/>
    <mergeCell ref="D5936:D5939"/>
    <mergeCell ref="E5936:E5939"/>
    <mergeCell ref="F5936:F5939"/>
    <mergeCell ref="G5936:G5939"/>
    <mergeCell ref="H5936:H5939"/>
    <mergeCell ref="I5936:I5939"/>
    <mergeCell ref="J5936:J5939"/>
    <mergeCell ref="K5936:K5939"/>
    <mergeCell ref="L5936:L5939"/>
    <mergeCell ref="M5936:M5939"/>
    <mergeCell ref="N5936:N5939"/>
    <mergeCell ref="A5940:A5941"/>
    <mergeCell ref="B5940:B5941"/>
    <mergeCell ref="C5940:C5941"/>
    <mergeCell ref="D5940:D5941"/>
    <mergeCell ref="E5940:E5941"/>
    <mergeCell ref="F5940:F5941"/>
    <mergeCell ref="G5940:G5941"/>
    <mergeCell ref="H5940:H5941"/>
    <mergeCell ref="I5940:I5941"/>
    <mergeCell ref="J5940:J5941"/>
    <mergeCell ref="K5940:K5941"/>
    <mergeCell ref="L5940:L5941"/>
    <mergeCell ref="M5940:M5941"/>
    <mergeCell ref="N5940:N5941"/>
    <mergeCell ref="A5942:A5943"/>
    <mergeCell ref="B5942:B5943"/>
    <mergeCell ref="C5942:C5943"/>
    <mergeCell ref="D5942:D5943"/>
    <mergeCell ref="E5942:E5943"/>
    <mergeCell ref="F5942:F5943"/>
    <mergeCell ref="G5942:G5943"/>
    <mergeCell ref="H5942:H5943"/>
    <mergeCell ref="I5942:I5943"/>
    <mergeCell ref="J5942:J5943"/>
    <mergeCell ref="K5942:K5943"/>
    <mergeCell ref="L5942:L5943"/>
    <mergeCell ref="M5942:M5943"/>
    <mergeCell ref="N5942:N5943"/>
    <mergeCell ref="A5910:A5911"/>
    <mergeCell ref="B5910:B5911"/>
    <mergeCell ref="C5910:C5911"/>
    <mergeCell ref="D5910:D5911"/>
    <mergeCell ref="E5910:E5911"/>
    <mergeCell ref="F5910:F5911"/>
    <mergeCell ref="G5910:G5911"/>
    <mergeCell ref="H5910:H5911"/>
    <mergeCell ref="I5910:I5911"/>
    <mergeCell ref="J5910:J5911"/>
    <mergeCell ref="K5910:K5911"/>
    <mergeCell ref="L5910:L5911"/>
    <mergeCell ref="M5910:M5911"/>
    <mergeCell ref="N5910:N5911"/>
    <mergeCell ref="A5912:A5931"/>
    <mergeCell ref="B5912:B5931"/>
    <mergeCell ref="C5912:C5931"/>
    <mergeCell ref="D5912:D5931"/>
    <mergeCell ref="E5912:E5931"/>
    <mergeCell ref="F5912:F5931"/>
    <mergeCell ref="G5912:G5931"/>
    <mergeCell ref="H5912:H5931"/>
    <mergeCell ref="I5912:I5931"/>
    <mergeCell ref="J5912:J5931"/>
    <mergeCell ref="K5912:K5931"/>
    <mergeCell ref="L5912:L5931"/>
    <mergeCell ref="M5912:M5931"/>
    <mergeCell ref="N5912:N5931"/>
    <mergeCell ref="A5933:A5935"/>
    <mergeCell ref="B5933:B5935"/>
    <mergeCell ref="C5933:C5935"/>
    <mergeCell ref="D5933:D5935"/>
    <mergeCell ref="E5933:E5935"/>
    <mergeCell ref="F5933:F5935"/>
    <mergeCell ref="G5933:G5935"/>
    <mergeCell ref="H5933:H5935"/>
    <mergeCell ref="I5933:I5935"/>
    <mergeCell ref="J5933:J5935"/>
    <mergeCell ref="K5933:K5935"/>
    <mergeCell ref="L5933:L5935"/>
    <mergeCell ref="M5933:M5935"/>
    <mergeCell ref="N5933:N5935"/>
    <mergeCell ref="A5901:A5904"/>
    <mergeCell ref="B5901:B5904"/>
    <mergeCell ref="C5901:C5904"/>
    <mergeCell ref="D5901:D5904"/>
    <mergeCell ref="E5901:E5904"/>
    <mergeCell ref="F5901:F5904"/>
    <mergeCell ref="G5901:G5904"/>
    <mergeCell ref="H5901:H5904"/>
    <mergeCell ref="I5901:I5904"/>
    <mergeCell ref="J5901:J5904"/>
    <mergeCell ref="K5901:K5904"/>
    <mergeCell ref="L5901:L5904"/>
    <mergeCell ref="M5901:M5904"/>
    <mergeCell ref="N5901:N5904"/>
    <mergeCell ref="A5905:A5906"/>
    <mergeCell ref="B5905:B5906"/>
    <mergeCell ref="C5905:C5906"/>
    <mergeCell ref="D5905:D5906"/>
    <mergeCell ref="E5905:E5906"/>
    <mergeCell ref="F5905:F5906"/>
    <mergeCell ref="G5905:G5906"/>
    <mergeCell ref="H5905:H5906"/>
    <mergeCell ref="I5905:I5906"/>
    <mergeCell ref="J5905:J5906"/>
    <mergeCell ref="K5905:K5906"/>
    <mergeCell ref="L5905:L5906"/>
    <mergeCell ref="M5905:M5906"/>
    <mergeCell ref="N5905:N5906"/>
    <mergeCell ref="A5907:A5909"/>
    <mergeCell ref="B5907:B5909"/>
    <mergeCell ref="C5907:C5909"/>
    <mergeCell ref="D5907:D5909"/>
    <mergeCell ref="E5907:E5909"/>
    <mergeCell ref="F5907:F5909"/>
    <mergeCell ref="G5907:G5909"/>
    <mergeCell ref="H5907:H5909"/>
    <mergeCell ref="I5907:I5909"/>
    <mergeCell ref="J5907:J5909"/>
    <mergeCell ref="K5907:K5909"/>
    <mergeCell ref="L5907:L5909"/>
    <mergeCell ref="M5907:M5909"/>
    <mergeCell ref="N5907:N5909"/>
    <mergeCell ref="A5881:A5882"/>
    <mergeCell ref="B5881:B5882"/>
    <mergeCell ref="C5881:C5882"/>
    <mergeCell ref="D5881:D5882"/>
    <mergeCell ref="E5881:E5882"/>
    <mergeCell ref="F5881:F5882"/>
    <mergeCell ref="G5881:G5882"/>
    <mergeCell ref="H5881:H5882"/>
    <mergeCell ref="I5881:I5882"/>
    <mergeCell ref="J5881:J5882"/>
    <mergeCell ref="K5881:K5882"/>
    <mergeCell ref="L5881:L5882"/>
    <mergeCell ref="M5881:M5882"/>
    <mergeCell ref="N5881:N5882"/>
    <mergeCell ref="A5883:A5885"/>
    <mergeCell ref="B5883:B5885"/>
    <mergeCell ref="C5883:C5885"/>
    <mergeCell ref="D5883:D5885"/>
    <mergeCell ref="E5883:E5885"/>
    <mergeCell ref="F5883:F5885"/>
    <mergeCell ref="G5883:G5885"/>
    <mergeCell ref="H5883:H5885"/>
    <mergeCell ref="I5883:I5885"/>
    <mergeCell ref="J5883:J5885"/>
    <mergeCell ref="K5883:K5885"/>
    <mergeCell ref="L5883:L5885"/>
    <mergeCell ref="M5883:M5885"/>
    <mergeCell ref="N5883:N5885"/>
    <mergeCell ref="A5886:A5900"/>
    <mergeCell ref="B5886:B5900"/>
    <mergeCell ref="C5886:C5900"/>
    <mergeCell ref="D5886:D5900"/>
    <mergeCell ref="E5886:E5900"/>
    <mergeCell ref="F5886:F5900"/>
    <mergeCell ref="G5886:G5900"/>
    <mergeCell ref="H5886:H5900"/>
    <mergeCell ref="I5886:I5900"/>
    <mergeCell ref="J5886:J5900"/>
    <mergeCell ref="K5886:K5900"/>
    <mergeCell ref="L5886:L5900"/>
    <mergeCell ref="M5886:M5900"/>
    <mergeCell ref="N5886:N5900"/>
    <mergeCell ref="A5869:A5872"/>
    <mergeCell ref="B5869:B5872"/>
    <mergeCell ref="C5869:C5872"/>
    <mergeCell ref="D5869:D5872"/>
    <mergeCell ref="E5869:E5872"/>
    <mergeCell ref="F5869:F5872"/>
    <mergeCell ref="G5869:G5872"/>
    <mergeCell ref="H5869:H5872"/>
    <mergeCell ref="I5869:I5872"/>
    <mergeCell ref="J5869:J5872"/>
    <mergeCell ref="K5869:K5872"/>
    <mergeCell ref="L5869:L5872"/>
    <mergeCell ref="M5869:M5872"/>
    <mergeCell ref="N5869:N5872"/>
    <mergeCell ref="A5873:A5876"/>
    <mergeCell ref="B5873:B5876"/>
    <mergeCell ref="C5873:C5876"/>
    <mergeCell ref="D5873:D5876"/>
    <mergeCell ref="E5873:E5876"/>
    <mergeCell ref="F5873:F5876"/>
    <mergeCell ref="G5873:G5876"/>
    <mergeCell ref="H5873:H5876"/>
    <mergeCell ref="I5873:I5876"/>
    <mergeCell ref="J5873:J5876"/>
    <mergeCell ref="K5873:K5876"/>
    <mergeCell ref="L5873:L5876"/>
    <mergeCell ref="M5873:M5876"/>
    <mergeCell ref="N5873:N5876"/>
    <mergeCell ref="A5877:A5879"/>
    <mergeCell ref="B5877:B5879"/>
    <mergeCell ref="C5877:C5879"/>
    <mergeCell ref="D5877:D5879"/>
    <mergeCell ref="E5877:E5879"/>
    <mergeCell ref="F5877:F5879"/>
    <mergeCell ref="G5877:G5879"/>
    <mergeCell ref="H5877:H5879"/>
    <mergeCell ref="I5877:I5879"/>
    <mergeCell ref="J5877:J5879"/>
    <mergeCell ref="K5877:K5879"/>
    <mergeCell ref="L5877:L5879"/>
    <mergeCell ref="M5877:M5879"/>
    <mergeCell ref="N5877:N5879"/>
    <mergeCell ref="A5859:A5861"/>
    <mergeCell ref="B5859:B5861"/>
    <mergeCell ref="C5859:C5861"/>
    <mergeCell ref="D5859:D5861"/>
    <mergeCell ref="E5859:E5861"/>
    <mergeCell ref="F5859:F5861"/>
    <mergeCell ref="G5859:G5861"/>
    <mergeCell ref="H5859:H5861"/>
    <mergeCell ref="I5859:I5861"/>
    <mergeCell ref="J5859:J5861"/>
    <mergeCell ref="K5859:K5861"/>
    <mergeCell ref="L5859:L5861"/>
    <mergeCell ref="M5859:M5861"/>
    <mergeCell ref="N5859:N5861"/>
    <mergeCell ref="A5862:A5865"/>
    <mergeCell ref="B5862:B5865"/>
    <mergeCell ref="C5862:C5865"/>
    <mergeCell ref="D5862:D5865"/>
    <mergeCell ref="E5862:E5865"/>
    <mergeCell ref="F5862:F5865"/>
    <mergeCell ref="G5862:G5865"/>
    <mergeCell ref="H5862:H5865"/>
    <mergeCell ref="I5862:I5865"/>
    <mergeCell ref="J5862:J5865"/>
    <mergeCell ref="K5862:K5865"/>
    <mergeCell ref="L5862:L5865"/>
    <mergeCell ref="M5862:M5865"/>
    <mergeCell ref="N5862:N5865"/>
    <mergeCell ref="A5866:A5868"/>
    <mergeCell ref="B5866:B5868"/>
    <mergeCell ref="C5866:C5868"/>
    <mergeCell ref="D5866:D5868"/>
    <mergeCell ref="E5866:E5868"/>
    <mergeCell ref="F5866:F5868"/>
    <mergeCell ref="G5866:G5868"/>
    <mergeCell ref="H5866:H5868"/>
    <mergeCell ref="I5866:I5868"/>
    <mergeCell ref="J5866:J5868"/>
    <mergeCell ref="K5866:K5868"/>
    <mergeCell ref="L5866:L5868"/>
    <mergeCell ref="M5866:M5868"/>
    <mergeCell ref="N5866:N5868"/>
    <mergeCell ref="A5850:A5851"/>
    <mergeCell ref="B5850:B5851"/>
    <mergeCell ref="C5850:C5851"/>
    <mergeCell ref="D5850:D5851"/>
    <mergeCell ref="E5850:E5851"/>
    <mergeCell ref="F5850:F5851"/>
    <mergeCell ref="G5850:G5851"/>
    <mergeCell ref="H5850:H5851"/>
    <mergeCell ref="I5850:I5851"/>
    <mergeCell ref="J5850:J5851"/>
    <mergeCell ref="K5850:K5851"/>
    <mergeCell ref="L5850:L5851"/>
    <mergeCell ref="M5850:M5851"/>
    <mergeCell ref="N5850:N5851"/>
    <mergeCell ref="A5852:A5854"/>
    <mergeCell ref="B5852:B5854"/>
    <mergeCell ref="C5852:C5854"/>
    <mergeCell ref="D5852:D5854"/>
    <mergeCell ref="E5852:E5854"/>
    <mergeCell ref="F5852:F5854"/>
    <mergeCell ref="G5852:G5854"/>
    <mergeCell ref="H5852:H5854"/>
    <mergeCell ref="I5852:I5854"/>
    <mergeCell ref="J5852:J5854"/>
    <mergeCell ref="K5852:K5854"/>
    <mergeCell ref="L5852:L5854"/>
    <mergeCell ref="M5852:M5854"/>
    <mergeCell ref="N5852:N5854"/>
    <mergeCell ref="A5855:A5858"/>
    <mergeCell ref="B5855:B5858"/>
    <mergeCell ref="C5855:C5858"/>
    <mergeCell ref="D5855:D5858"/>
    <mergeCell ref="E5855:E5858"/>
    <mergeCell ref="F5855:F5858"/>
    <mergeCell ref="G5855:G5858"/>
    <mergeCell ref="H5855:H5858"/>
    <mergeCell ref="I5855:I5858"/>
    <mergeCell ref="J5855:J5858"/>
    <mergeCell ref="K5855:K5858"/>
    <mergeCell ref="L5855:L5858"/>
    <mergeCell ref="M5855:M5858"/>
    <mergeCell ref="N5855:N5858"/>
    <mergeCell ref="A5833:A5836"/>
    <mergeCell ref="B5833:B5836"/>
    <mergeCell ref="C5833:C5836"/>
    <mergeCell ref="D5833:D5836"/>
    <mergeCell ref="E5833:E5836"/>
    <mergeCell ref="F5833:F5836"/>
    <mergeCell ref="G5833:G5836"/>
    <mergeCell ref="H5833:H5836"/>
    <mergeCell ref="I5833:I5836"/>
    <mergeCell ref="J5833:J5836"/>
    <mergeCell ref="K5833:K5836"/>
    <mergeCell ref="L5833:L5836"/>
    <mergeCell ref="M5833:M5836"/>
    <mergeCell ref="N5833:N5836"/>
    <mergeCell ref="A5838:A5845"/>
    <mergeCell ref="B5838:B5845"/>
    <mergeCell ref="C5838:C5845"/>
    <mergeCell ref="D5838:D5845"/>
    <mergeCell ref="E5838:E5845"/>
    <mergeCell ref="F5838:F5845"/>
    <mergeCell ref="G5838:G5845"/>
    <mergeCell ref="H5838:H5845"/>
    <mergeCell ref="I5838:I5845"/>
    <mergeCell ref="J5838:J5845"/>
    <mergeCell ref="K5838:K5845"/>
    <mergeCell ref="L5838:L5845"/>
    <mergeCell ref="M5838:M5845"/>
    <mergeCell ref="N5838:N5845"/>
    <mergeCell ref="A5846:A5849"/>
    <mergeCell ref="B5846:B5849"/>
    <mergeCell ref="C5846:C5849"/>
    <mergeCell ref="D5846:D5849"/>
    <mergeCell ref="E5846:E5849"/>
    <mergeCell ref="F5846:F5849"/>
    <mergeCell ref="G5846:G5849"/>
    <mergeCell ref="H5846:H5849"/>
    <mergeCell ref="I5846:I5849"/>
    <mergeCell ref="J5846:J5849"/>
    <mergeCell ref="K5846:K5849"/>
    <mergeCell ref="L5846:L5849"/>
    <mergeCell ref="M5846:M5849"/>
    <mergeCell ref="N5846:N5849"/>
    <mergeCell ref="A5821:A5823"/>
    <mergeCell ref="B5821:B5823"/>
    <mergeCell ref="C5821:C5823"/>
    <mergeCell ref="D5821:D5823"/>
    <mergeCell ref="E5821:E5823"/>
    <mergeCell ref="F5821:F5823"/>
    <mergeCell ref="G5821:G5823"/>
    <mergeCell ref="H5821:H5823"/>
    <mergeCell ref="I5821:I5823"/>
    <mergeCell ref="J5821:J5823"/>
    <mergeCell ref="K5821:K5823"/>
    <mergeCell ref="L5821:L5823"/>
    <mergeCell ref="M5821:M5823"/>
    <mergeCell ref="N5821:N5823"/>
    <mergeCell ref="A5824:A5827"/>
    <mergeCell ref="B5824:B5827"/>
    <mergeCell ref="C5824:C5827"/>
    <mergeCell ref="D5824:D5827"/>
    <mergeCell ref="E5824:E5827"/>
    <mergeCell ref="F5824:F5827"/>
    <mergeCell ref="G5824:G5827"/>
    <mergeCell ref="H5824:H5827"/>
    <mergeCell ref="I5824:I5827"/>
    <mergeCell ref="J5824:J5827"/>
    <mergeCell ref="K5824:K5827"/>
    <mergeCell ref="L5824:L5827"/>
    <mergeCell ref="M5824:M5827"/>
    <mergeCell ref="N5824:N5827"/>
    <mergeCell ref="A5828:A5831"/>
    <mergeCell ref="B5828:B5831"/>
    <mergeCell ref="C5828:C5831"/>
    <mergeCell ref="D5828:D5831"/>
    <mergeCell ref="E5828:E5831"/>
    <mergeCell ref="F5828:F5831"/>
    <mergeCell ref="G5828:G5831"/>
    <mergeCell ref="H5828:H5831"/>
    <mergeCell ref="I5828:I5831"/>
    <mergeCell ref="J5828:J5831"/>
    <mergeCell ref="K5828:K5831"/>
    <mergeCell ref="L5828:L5831"/>
    <mergeCell ref="M5828:M5831"/>
    <mergeCell ref="N5828:N5831"/>
    <mergeCell ref="A5810:A5811"/>
    <mergeCell ref="B5810:B5811"/>
    <mergeCell ref="C5810:C5811"/>
    <mergeCell ref="D5810:D5811"/>
    <mergeCell ref="E5810:E5811"/>
    <mergeCell ref="F5810:F5811"/>
    <mergeCell ref="G5810:G5811"/>
    <mergeCell ref="H5810:H5811"/>
    <mergeCell ref="I5810:I5811"/>
    <mergeCell ref="J5810:J5811"/>
    <mergeCell ref="K5810:K5811"/>
    <mergeCell ref="L5810:L5811"/>
    <mergeCell ref="M5810:M5811"/>
    <mergeCell ref="N5810:N5811"/>
    <mergeCell ref="A5813:A5816"/>
    <mergeCell ref="B5813:B5816"/>
    <mergeCell ref="C5813:C5816"/>
    <mergeCell ref="D5813:D5816"/>
    <mergeCell ref="E5813:E5816"/>
    <mergeCell ref="F5813:F5816"/>
    <mergeCell ref="G5813:G5816"/>
    <mergeCell ref="H5813:H5816"/>
    <mergeCell ref="I5813:I5816"/>
    <mergeCell ref="J5813:J5816"/>
    <mergeCell ref="K5813:K5816"/>
    <mergeCell ref="L5813:L5816"/>
    <mergeCell ref="M5813:M5816"/>
    <mergeCell ref="N5813:N5816"/>
    <mergeCell ref="A5817:A5820"/>
    <mergeCell ref="B5817:B5820"/>
    <mergeCell ref="C5817:C5820"/>
    <mergeCell ref="D5817:D5820"/>
    <mergeCell ref="E5817:E5820"/>
    <mergeCell ref="F5817:F5820"/>
    <mergeCell ref="G5817:G5820"/>
    <mergeCell ref="H5817:H5820"/>
    <mergeCell ref="I5817:I5820"/>
    <mergeCell ref="J5817:J5820"/>
    <mergeCell ref="K5817:K5820"/>
    <mergeCell ref="L5817:L5820"/>
    <mergeCell ref="M5817:M5820"/>
    <mergeCell ref="N5817:N5820"/>
    <mergeCell ref="A5790:A5798"/>
    <mergeCell ref="B5790:B5798"/>
    <mergeCell ref="C5790:C5798"/>
    <mergeCell ref="D5790:D5798"/>
    <mergeCell ref="E5790:E5798"/>
    <mergeCell ref="F5790:F5798"/>
    <mergeCell ref="G5790:G5798"/>
    <mergeCell ref="H5790:H5798"/>
    <mergeCell ref="I5790:I5798"/>
    <mergeCell ref="J5790:J5798"/>
    <mergeCell ref="K5790:K5798"/>
    <mergeCell ref="L5790:L5798"/>
    <mergeCell ref="M5790:M5798"/>
    <mergeCell ref="N5790:N5798"/>
    <mergeCell ref="A5802:A5806"/>
    <mergeCell ref="B5802:B5806"/>
    <mergeCell ref="C5802:C5806"/>
    <mergeCell ref="D5802:D5806"/>
    <mergeCell ref="E5802:E5806"/>
    <mergeCell ref="F5802:F5806"/>
    <mergeCell ref="G5802:G5806"/>
    <mergeCell ref="H5802:H5806"/>
    <mergeCell ref="I5802:I5806"/>
    <mergeCell ref="J5802:J5806"/>
    <mergeCell ref="K5802:K5806"/>
    <mergeCell ref="L5802:L5806"/>
    <mergeCell ref="M5802:M5806"/>
    <mergeCell ref="N5802:N5806"/>
    <mergeCell ref="A5807:A5809"/>
    <mergeCell ref="B5807:B5809"/>
    <mergeCell ref="C5807:C5809"/>
    <mergeCell ref="D5807:D5809"/>
    <mergeCell ref="E5807:E5809"/>
    <mergeCell ref="F5807:F5809"/>
    <mergeCell ref="G5807:G5809"/>
    <mergeCell ref="H5807:H5809"/>
    <mergeCell ref="I5807:I5809"/>
    <mergeCell ref="J5807:J5809"/>
    <mergeCell ref="K5807:K5809"/>
    <mergeCell ref="L5807:L5809"/>
    <mergeCell ref="M5807:M5809"/>
    <mergeCell ref="N5807:N5809"/>
    <mergeCell ref="A5780:A5782"/>
    <mergeCell ref="B5780:B5782"/>
    <mergeCell ref="C5780:C5782"/>
    <mergeCell ref="D5780:D5782"/>
    <mergeCell ref="E5780:E5782"/>
    <mergeCell ref="F5780:F5782"/>
    <mergeCell ref="G5780:G5782"/>
    <mergeCell ref="H5780:H5782"/>
    <mergeCell ref="I5780:I5782"/>
    <mergeCell ref="J5780:J5782"/>
    <mergeCell ref="K5780:K5782"/>
    <mergeCell ref="L5780:L5782"/>
    <mergeCell ref="M5780:M5782"/>
    <mergeCell ref="N5780:N5782"/>
    <mergeCell ref="A5783:A5786"/>
    <mergeCell ref="B5783:B5786"/>
    <mergeCell ref="C5783:C5786"/>
    <mergeCell ref="D5783:D5786"/>
    <mergeCell ref="E5783:E5786"/>
    <mergeCell ref="F5783:F5786"/>
    <mergeCell ref="G5783:G5786"/>
    <mergeCell ref="H5783:H5786"/>
    <mergeCell ref="I5783:I5786"/>
    <mergeCell ref="J5783:J5786"/>
    <mergeCell ref="K5783:K5786"/>
    <mergeCell ref="L5783:L5786"/>
    <mergeCell ref="M5783:M5786"/>
    <mergeCell ref="N5783:N5786"/>
    <mergeCell ref="A5787:A5789"/>
    <mergeCell ref="B5787:B5789"/>
    <mergeCell ref="C5787:C5789"/>
    <mergeCell ref="D5787:D5789"/>
    <mergeCell ref="E5787:E5789"/>
    <mergeCell ref="F5787:F5789"/>
    <mergeCell ref="G5787:G5789"/>
    <mergeCell ref="H5787:H5789"/>
    <mergeCell ref="I5787:I5789"/>
    <mergeCell ref="J5787:J5789"/>
    <mergeCell ref="K5787:K5789"/>
    <mergeCell ref="L5787:L5789"/>
    <mergeCell ref="M5787:M5789"/>
    <mergeCell ref="N5787:N5789"/>
    <mergeCell ref="A5771:A5773"/>
    <mergeCell ref="B5771:B5773"/>
    <mergeCell ref="C5771:C5773"/>
    <mergeCell ref="D5771:D5773"/>
    <mergeCell ref="E5771:E5773"/>
    <mergeCell ref="F5771:F5773"/>
    <mergeCell ref="G5771:G5773"/>
    <mergeCell ref="H5771:H5773"/>
    <mergeCell ref="I5771:I5773"/>
    <mergeCell ref="J5771:J5773"/>
    <mergeCell ref="K5771:K5773"/>
    <mergeCell ref="L5771:L5773"/>
    <mergeCell ref="M5771:M5773"/>
    <mergeCell ref="N5771:N5773"/>
    <mergeCell ref="A5775:A5776"/>
    <mergeCell ref="B5775:B5776"/>
    <mergeCell ref="C5775:C5776"/>
    <mergeCell ref="D5775:D5776"/>
    <mergeCell ref="E5775:E5776"/>
    <mergeCell ref="F5775:F5776"/>
    <mergeCell ref="G5775:G5776"/>
    <mergeCell ref="H5775:H5776"/>
    <mergeCell ref="I5775:I5776"/>
    <mergeCell ref="J5775:J5776"/>
    <mergeCell ref="K5775:K5776"/>
    <mergeCell ref="L5775:L5776"/>
    <mergeCell ref="M5775:M5776"/>
    <mergeCell ref="N5775:N5776"/>
    <mergeCell ref="A5777:A5778"/>
    <mergeCell ref="B5777:B5778"/>
    <mergeCell ref="C5777:C5778"/>
    <mergeCell ref="D5777:D5778"/>
    <mergeCell ref="E5777:E5778"/>
    <mergeCell ref="F5777:F5778"/>
    <mergeCell ref="G5777:G5778"/>
    <mergeCell ref="H5777:H5778"/>
    <mergeCell ref="I5777:I5778"/>
    <mergeCell ref="J5777:J5778"/>
    <mergeCell ref="K5777:K5778"/>
    <mergeCell ref="L5777:L5778"/>
    <mergeCell ref="M5777:M5778"/>
    <mergeCell ref="N5777:N5778"/>
    <mergeCell ref="A5758:A5763"/>
    <mergeCell ref="B5758:B5763"/>
    <mergeCell ref="C5758:C5763"/>
    <mergeCell ref="D5758:D5763"/>
    <mergeCell ref="E5758:E5763"/>
    <mergeCell ref="F5758:F5763"/>
    <mergeCell ref="G5758:G5763"/>
    <mergeCell ref="H5758:H5763"/>
    <mergeCell ref="I5758:I5763"/>
    <mergeCell ref="J5758:J5763"/>
    <mergeCell ref="K5758:K5763"/>
    <mergeCell ref="L5758:L5763"/>
    <mergeCell ref="M5758:M5763"/>
    <mergeCell ref="N5758:N5763"/>
    <mergeCell ref="A5764:A5767"/>
    <mergeCell ref="B5764:B5767"/>
    <mergeCell ref="C5764:C5767"/>
    <mergeCell ref="D5764:D5767"/>
    <mergeCell ref="E5764:E5767"/>
    <mergeCell ref="F5764:F5767"/>
    <mergeCell ref="G5764:G5767"/>
    <mergeCell ref="H5764:H5767"/>
    <mergeCell ref="I5764:I5767"/>
    <mergeCell ref="J5764:J5767"/>
    <mergeCell ref="K5764:K5767"/>
    <mergeCell ref="L5764:L5767"/>
    <mergeCell ref="M5764:M5767"/>
    <mergeCell ref="N5764:N5767"/>
    <mergeCell ref="A5768:A5769"/>
    <mergeCell ref="B5768:B5769"/>
    <mergeCell ref="C5768:C5769"/>
    <mergeCell ref="D5768:D5769"/>
    <mergeCell ref="E5768:E5769"/>
    <mergeCell ref="F5768:F5769"/>
    <mergeCell ref="G5768:G5769"/>
    <mergeCell ref="H5768:H5769"/>
    <mergeCell ref="I5768:I5769"/>
    <mergeCell ref="J5768:J5769"/>
    <mergeCell ref="K5768:K5769"/>
    <mergeCell ref="L5768:L5769"/>
    <mergeCell ref="M5768:M5769"/>
    <mergeCell ref="N5768:N5769"/>
    <mergeCell ref="A5719:A5722"/>
    <mergeCell ref="B5719:B5722"/>
    <mergeCell ref="C5719:C5722"/>
    <mergeCell ref="D5719:D5722"/>
    <mergeCell ref="E5719:E5722"/>
    <mergeCell ref="F5719:F5722"/>
    <mergeCell ref="G5719:G5722"/>
    <mergeCell ref="H5719:H5722"/>
    <mergeCell ref="I5719:I5722"/>
    <mergeCell ref="J5719:J5722"/>
    <mergeCell ref="K5719:K5722"/>
    <mergeCell ref="L5719:L5722"/>
    <mergeCell ref="M5719:M5722"/>
    <mergeCell ref="N5719:N5722"/>
    <mergeCell ref="A5728:A5753"/>
    <mergeCell ref="B5728:B5753"/>
    <mergeCell ref="C5728:C5753"/>
    <mergeCell ref="D5728:D5753"/>
    <mergeCell ref="E5728:E5753"/>
    <mergeCell ref="F5728:F5753"/>
    <mergeCell ref="G5728:G5753"/>
    <mergeCell ref="H5728:H5753"/>
    <mergeCell ref="I5728:I5753"/>
    <mergeCell ref="J5728:J5753"/>
    <mergeCell ref="K5728:K5753"/>
    <mergeCell ref="L5728:L5753"/>
    <mergeCell ref="M5728:M5753"/>
    <mergeCell ref="N5728:N5753"/>
    <mergeCell ref="A5754:A5757"/>
    <mergeCell ref="B5754:B5757"/>
    <mergeCell ref="C5754:C5757"/>
    <mergeCell ref="D5754:D5757"/>
    <mergeCell ref="E5754:E5757"/>
    <mergeCell ref="F5754:F5757"/>
    <mergeCell ref="G5754:G5757"/>
    <mergeCell ref="H5754:H5757"/>
    <mergeCell ref="I5754:I5757"/>
    <mergeCell ref="J5754:J5757"/>
    <mergeCell ref="K5754:K5757"/>
    <mergeCell ref="L5754:L5757"/>
    <mergeCell ref="M5754:M5757"/>
    <mergeCell ref="N5754:N5757"/>
    <mergeCell ref="A5702:A5704"/>
    <mergeCell ref="B5702:B5704"/>
    <mergeCell ref="C5702:C5704"/>
    <mergeCell ref="D5702:D5704"/>
    <mergeCell ref="E5702:E5704"/>
    <mergeCell ref="F5702:F5704"/>
    <mergeCell ref="G5702:G5704"/>
    <mergeCell ref="H5702:H5704"/>
    <mergeCell ref="I5702:I5704"/>
    <mergeCell ref="J5702:J5704"/>
    <mergeCell ref="K5702:K5704"/>
    <mergeCell ref="L5702:L5704"/>
    <mergeCell ref="M5702:M5704"/>
    <mergeCell ref="N5702:N5704"/>
    <mergeCell ref="A5707:A5710"/>
    <mergeCell ref="B5707:B5710"/>
    <mergeCell ref="C5707:C5710"/>
    <mergeCell ref="D5707:D5710"/>
    <mergeCell ref="E5707:E5710"/>
    <mergeCell ref="F5707:F5710"/>
    <mergeCell ref="G5707:G5710"/>
    <mergeCell ref="H5707:H5710"/>
    <mergeCell ref="I5707:I5710"/>
    <mergeCell ref="J5707:J5710"/>
    <mergeCell ref="K5707:K5710"/>
    <mergeCell ref="L5707:L5710"/>
    <mergeCell ref="M5707:M5710"/>
    <mergeCell ref="N5707:N5710"/>
    <mergeCell ref="A5712:A5715"/>
    <mergeCell ref="B5712:B5715"/>
    <mergeCell ref="C5712:C5715"/>
    <mergeCell ref="D5712:D5715"/>
    <mergeCell ref="E5712:E5715"/>
    <mergeCell ref="F5712:F5715"/>
    <mergeCell ref="G5712:G5715"/>
    <mergeCell ref="H5712:H5715"/>
    <mergeCell ref="I5712:I5715"/>
    <mergeCell ref="J5712:J5715"/>
    <mergeCell ref="K5712:K5715"/>
    <mergeCell ref="L5712:L5715"/>
    <mergeCell ref="M5712:M5715"/>
    <mergeCell ref="N5712:N5715"/>
    <mergeCell ref="A5679:A5680"/>
    <mergeCell ref="B5679:B5680"/>
    <mergeCell ref="C5679:C5680"/>
    <mergeCell ref="D5679:D5680"/>
    <mergeCell ref="E5679:E5680"/>
    <mergeCell ref="F5679:F5680"/>
    <mergeCell ref="G5679:G5680"/>
    <mergeCell ref="H5679:H5680"/>
    <mergeCell ref="I5679:I5680"/>
    <mergeCell ref="J5679:J5680"/>
    <mergeCell ref="K5679:K5680"/>
    <mergeCell ref="L5679:L5680"/>
    <mergeCell ref="M5679:M5680"/>
    <mergeCell ref="N5679:N5680"/>
    <mergeCell ref="A5681:A5694"/>
    <mergeCell ref="B5681:B5694"/>
    <mergeCell ref="C5681:C5694"/>
    <mergeCell ref="D5681:D5694"/>
    <mergeCell ref="E5681:E5694"/>
    <mergeCell ref="F5681:F5694"/>
    <mergeCell ref="G5681:G5694"/>
    <mergeCell ref="H5681:H5694"/>
    <mergeCell ref="I5681:I5694"/>
    <mergeCell ref="J5681:J5694"/>
    <mergeCell ref="K5681:K5694"/>
    <mergeCell ref="L5681:L5694"/>
    <mergeCell ref="M5681:M5694"/>
    <mergeCell ref="N5681:N5694"/>
    <mergeCell ref="A5696:A5701"/>
    <mergeCell ref="B5696:B5701"/>
    <mergeCell ref="C5696:C5701"/>
    <mergeCell ref="D5696:D5701"/>
    <mergeCell ref="E5696:E5701"/>
    <mergeCell ref="F5696:F5701"/>
    <mergeCell ref="G5696:G5701"/>
    <mergeCell ref="H5696:H5701"/>
    <mergeCell ref="I5696:I5701"/>
    <mergeCell ref="J5696:J5701"/>
    <mergeCell ref="K5696:K5701"/>
    <mergeCell ref="L5696:L5701"/>
    <mergeCell ref="M5696:M5701"/>
    <mergeCell ref="N5696:N5701"/>
    <mergeCell ref="A5660:A5661"/>
    <mergeCell ref="B5660:B5661"/>
    <mergeCell ref="C5660:C5661"/>
    <mergeCell ref="D5660:D5661"/>
    <mergeCell ref="E5660:E5661"/>
    <mergeCell ref="F5660:F5661"/>
    <mergeCell ref="G5660:G5661"/>
    <mergeCell ref="H5660:H5661"/>
    <mergeCell ref="I5660:I5661"/>
    <mergeCell ref="J5660:J5661"/>
    <mergeCell ref="K5660:K5661"/>
    <mergeCell ref="L5660:L5661"/>
    <mergeCell ref="M5660:M5661"/>
    <mergeCell ref="N5660:N5661"/>
    <mergeCell ref="A5667:A5668"/>
    <mergeCell ref="B5667:B5668"/>
    <mergeCell ref="C5667:C5668"/>
    <mergeCell ref="D5667:D5668"/>
    <mergeCell ref="E5667:E5668"/>
    <mergeCell ref="F5667:F5668"/>
    <mergeCell ref="G5667:G5668"/>
    <mergeCell ref="H5667:H5668"/>
    <mergeCell ref="I5667:I5668"/>
    <mergeCell ref="J5667:J5668"/>
    <mergeCell ref="K5667:K5668"/>
    <mergeCell ref="L5667:L5668"/>
    <mergeCell ref="M5667:M5668"/>
    <mergeCell ref="N5667:N5668"/>
    <mergeCell ref="A5673:A5674"/>
    <mergeCell ref="B5673:B5674"/>
    <mergeCell ref="C5673:C5674"/>
    <mergeCell ref="D5673:D5674"/>
    <mergeCell ref="E5673:E5674"/>
    <mergeCell ref="F5673:F5674"/>
    <mergeCell ref="G5673:G5674"/>
    <mergeCell ref="H5673:H5674"/>
    <mergeCell ref="I5673:I5674"/>
    <mergeCell ref="J5673:J5674"/>
    <mergeCell ref="K5673:K5674"/>
    <mergeCell ref="L5673:L5674"/>
    <mergeCell ref="M5673:M5674"/>
    <mergeCell ref="N5673:N5674"/>
    <mergeCell ref="A5651:A5652"/>
    <mergeCell ref="B5651:B5652"/>
    <mergeCell ref="C5651:C5652"/>
    <mergeCell ref="D5651:D5652"/>
    <mergeCell ref="E5651:E5652"/>
    <mergeCell ref="F5651:F5652"/>
    <mergeCell ref="G5651:G5652"/>
    <mergeCell ref="H5651:H5652"/>
    <mergeCell ref="I5651:I5652"/>
    <mergeCell ref="J5651:J5652"/>
    <mergeCell ref="K5651:K5652"/>
    <mergeCell ref="L5651:L5652"/>
    <mergeCell ref="M5651:M5652"/>
    <mergeCell ref="N5651:N5652"/>
    <mergeCell ref="A5653:A5654"/>
    <mergeCell ref="B5653:B5654"/>
    <mergeCell ref="C5653:C5654"/>
    <mergeCell ref="D5653:D5654"/>
    <mergeCell ref="E5653:E5654"/>
    <mergeCell ref="F5653:F5654"/>
    <mergeCell ref="G5653:G5654"/>
    <mergeCell ref="H5653:H5654"/>
    <mergeCell ref="I5653:I5654"/>
    <mergeCell ref="J5653:J5654"/>
    <mergeCell ref="K5653:K5654"/>
    <mergeCell ref="L5653:L5654"/>
    <mergeCell ref="M5653:M5654"/>
    <mergeCell ref="N5653:N5654"/>
    <mergeCell ref="A5656:A5659"/>
    <mergeCell ref="B5656:B5659"/>
    <mergeCell ref="C5656:C5659"/>
    <mergeCell ref="D5656:D5659"/>
    <mergeCell ref="E5656:E5659"/>
    <mergeCell ref="F5656:F5659"/>
    <mergeCell ref="G5656:G5659"/>
    <mergeCell ref="H5656:H5659"/>
    <mergeCell ref="I5656:I5659"/>
    <mergeCell ref="J5656:J5659"/>
    <mergeCell ref="K5656:K5659"/>
    <mergeCell ref="L5656:L5659"/>
    <mergeCell ref="M5656:M5659"/>
    <mergeCell ref="N5656:N5659"/>
    <mergeCell ref="A5643:A5644"/>
    <mergeCell ref="B5643:B5644"/>
    <mergeCell ref="C5643:C5644"/>
    <mergeCell ref="D5643:D5644"/>
    <mergeCell ref="E5643:E5644"/>
    <mergeCell ref="F5643:F5644"/>
    <mergeCell ref="G5643:G5644"/>
    <mergeCell ref="H5643:H5644"/>
    <mergeCell ref="I5643:I5644"/>
    <mergeCell ref="J5643:J5644"/>
    <mergeCell ref="K5643:K5644"/>
    <mergeCell ref="L5643:L5644"/>
    <mergeCell ref="M5643:M5644"/>
    <mergeCell ref="N5643:N5644"/>
    <mergeCell ref="A5645:A5646"/>
    <mergeCell ref="B5645:B5646"/>
    <mergeCell ref="C5645:C5646"/>
    <mergeCell ref="D5645:D5646"/>
    <mergeCell ref="E5645:E5646"/>
    <mergeCell ref="F5645:F5646"/>
    <mergeCell ref="G5645:G5646"/>
    <mergeCell ref="H5645:H5646"/>
    <mergeCell ref="I5645:I5646"/>
    <mergeCell ref="J5645:J5646"/>
    <mergeCell ref="K5645:K5646"/>
    <mergeCell ref="L5645:L5646"/>
    <mergeCell ref="M5645:M5646"/>
    <mergeCell ref="N5645:N5646"/>
    <mergeCell ref="A5647:A5648"/>
    <mergeCell ref="B5647:B5648"/>
    <mergeCell ref="C5647:C5648"/>
    <mergeCell ref="D5647:D5648"/>
    <mergeCell ref="E5647:E5648"/>
    <mergeCell ref="F5647:F5648"/>
    <mergeCell ref="G5647:G5648"/>
    <mergeCell ref="H5647:H5648"/>
    <mergeCell ref="I5647:I5648"/>
    <mergeCell ref="J5647:J5648"/>
    <mergeCell ref="K5647:K5648"/>
    <mergeCell ref="L5647:L5648"/>
    <mergeCell ref="M5647:M5648"/>
    <mergeCell ref="N5647:N5648"/>
    <mergeCell ref="A5628:A5629"/>
    <mergeCell ref="B5628:B5629"/>
    <mergeCell ref="C5628:C5629"/>
    <mergeCell ref="D5628:D5629"/>
    <mergeCell ref="E5628:E5629"/>
    <mergeCell ref="F5628:F5629"/>
    <mergeCell ref="G5628:G5629"/>
    <mergeCell ref="H5628:H5629"/>
    <mergeCell ref="I5628:I5629"/>
    <mergeCell ref="J5628:J5629"/>
    <mergeCell ref="K5628:K5629"/>
    <mergeCell ref="L5628:L5629"/>
    <mergeCell ref="M5628:M5629"/>
    <mergeCell ref="N5628:N5629"/>
    <mergeCell ref="A5631:A5632"/>
    <mergeCell ref="B5631:B5632"/>
    <mergeCell ref="C5631:C5632"/>
    <mergeCell ref="D5631:D5632"/>
    <mergeCell ref="E5631:E5632"/>
    <mergeCell ref="F5631:F5632"/>
    <mergeCell ref="G5631:G5632"/>
    <mergeCell ref="H5631:H5632"/>
    <mergeCell ref="I5631:I5632"/>
    <mergeCell ref="J5631:J5632"/>
    <mergeCell ref="K5631:K5632"/>
    <mergeCell ref="L5631:L5632"/>
    <mergeCell ref="M5631:M5632"/>
    <mergeCell ref="N5631:N5632"/>
    <mergeCell ref="A5640:A5641"/>
    <mergeCell ref="B5640:B5641"/>
    <mergeCell ref="C5640:C5641"/>
    <mergeCell ref="D5640:D5641"/>
    <mergeCell ref="E5640:E5641"/>
    <mergeCell ref="F5640:F5641"/>
    <mergeCell ref="G5640:G5641"/>
    <mergeCell ref="H5640:H5641"/>
    <mergeCell ref="I5640:I5641"/>
    <mergeCell ref="J5640:J5641"/>
    <mergeCell ref="K5640:K5641"/>
    <mergeCell ref="L5640:L5641"/>
    <mergeCell ref="M5640:M5641"/>
    <mergeCell ref="N5640:N5641"/>
    <mergeCell ref="A5617:A5622"/>
    <mergeCell ref="B5617:B5622"/>
    <mergeCell ref="C5617:C5622"/>
    <mergeCell ref="D5617:D5622"/>
    <mergeCell ref="E5617:E5622"/>
    <mergeCell ref="F5617:F5622"/>
    <mergeCell ref="G5617:G5622"/>
    <mergeCell ref="H5617:H5622"/>
    <mergeCell ref="I5617:I5622"/>
    <mergeCell ref="J5617:J5622"/>
    <mergeCell ref="K5617:K5622"/>
    <mergeCell ref="L5617:L5622"/>
    <mergeCell ref="M5617:M5622"/>
    <mergeCell ref="N5617:N5622"/>
    <mergeCell ref="A5624:A5625"/>
    <mergeCell ref="B5624:B5625"/>
    <mergeCell ref="C5624:C5625"/>
    <mergeCell ref="D5624:D5625"/>
    <mergeCell ref="E5624:E5625"/>
    <mergeCell ref="F5624:F5625"/>
    <mergeCell ref="G5624:G5625"/>
    <mergeCell ref="H5624:H5625"/>
    <mergeCell ref="I5624:I5625"/>
    <mergeCell ref="J5624:J5625"/>
    <mergeCell ref="K5624:K5625"/>
    <mergeCell ref="L5624:L5625"/>
    <mergeCell ref="M5624:M5625"/>
    <mergeCell ref="N5624:N5625"/>
    <mergeCell ref="A5626:A5627"/>
    <mergeCell ref="B5626:B5627"/>
    <mergeCell ref="C5626:C5627"/>
    <mergeCell ref="D5626:D5627"/>
    <mergeCell ref="E5626:E5627"/>
    <mergeCell ref="F5626:F5627"/>
    <mergeCell ref="G5626:G5627"/>
    <mergeCell ref="H5626:H5627"/>
    <mergeCell ref="I5626:I5627"/>
    <mergeCell ref="J5626:J5627"/>
    <mergeCell ref="K5626:K5627"/>
    <mergeCell ref="L5626:L5627"/>
    <mergeCell ref="M5626:M5627"/>
    <mergeCell ref="N5626:N5627"/>
    <mergeCell ref="A5609:A5610"/>
    <mergeCell ref="B5609:B5610"/>
    <mergeCell ref="C5609:C5610"/>
    <mergeCell ref="D5609:D5610"/>
    <mergeCell ref="E5609:E5610"/>
    <mergeCell ref="F5609:F5610"/>
    <mergeCell ref="G5609:G5610"/>
    <mergeCell ref="H5609:H5610"/>
    <mergeCell ref="I5609:I5610"/>
    <mergeCell ref="J5609:J5610"/>
    <mergeCell ref="K5609:K5610"/>
    <mergeCell ref="L5609:L5610"/>
    <mergeCell ref="M5609:M5610"/>
    <mergeCell ref="N5609:N5610"/>
    <mergeCell ref="A5612:A5613"/>
    <mergeCell ref="B5612:B5613"/>
    <mergeCell ref="C5612:C5613"/>
    <mergeCell ref="D5612:D5613"/>
    <mergeCell ref="E5612:E5613"/>
    <mergeCell ref="F5612:F5613"/>
    <mergeCell ref="G5612:G5613"/>
    <mergeCell ref="H5612:H5613"/>
    <mergeCell ref="I5612:I5613"/>
    <mergeCell ref="J5612:J5613"/>
    <mergeCell ref="K5612:K5613"/>
    <mergeCell ref="L5612:L5613"/>
    <mergeCell ref="M5612:M5613"/>
    <mergeCell ref="N5612:N5613"/>
    <mergeCell ref="A5614:A5615"/>
    <mergeCell ref="B5614:B5615"/>
    <mergeCell ref="C5614:C5615"/>
    <mergeCell ref="D5614:D5615"/>
    <mergeCell ref="E5614:E5615"/>
    <mergeCell ref="F5614:F5615"/>
    <mergeCell ref="G5614:G5615"/>
    <mergeCell ref="H5614:H5615"/>
    <mergeCell ref="I5614:I5615"/>
    <mergeCell ref="J5614:J5615"/>
    <mergeCell ref="K5614:K5615"/>
    <mergeCell ref="L5614:L5615"/>
    <mergeCell ref="M5614:M5615"/>
    <mergeCell ref="N5614:N5615"/>
    <mergeCell ref="A5598:A5603"/>
    <mergeCell ref="B5598:B5603"/>
    <mergeCell ref="C5598:C5603"/>
    <mergeCell ref="D5598:D5603"/>
    <mergeCell ref="E5598:E5603"/>
    <mergeCell ref="F5598:F5603"/>
    <mergeCell ref="G5598:G5603"/>
    <mergeCell ref="H5598:H5603"/>
    <mergeCell ref="I5598:I5603"/>
    <mergeCell ref="J5598:J5603"/>
    <mergeCell ref="K5598:K5603"/>
    <mergeCell ref="L5598:L5603"/>
    <mergeCell ref="M5598:M5603"/>
    <mergeCell ref="N5598:N5603"/>
    <mergeCell ref="A5604:A5605"/>
    <mergeCell ref="B5604:B5605"/>
    <mergeCell ref="C5604:C5605"/>
    <mergeCell ref="D5604:D5605"/>
    <mergeCell ref="E5604:E5605"/>
    <mergeCell ref="F5604:F5605"/>
    <mergeCell ref="G5604:G5605"/>
    <mergeCell ref="H5604:H5605"/>
    <mergeCell ref="I5604:I5605"/>
    <mergeCell ref="J5604:J5605"/>
    <mergeCell ref="K5604:K5605"/>
    <mergeCell ref="L5604:L5605"/>
    <mergeCell ref="M5604:M5605"/>
    <mergeCell ref="N5604:N5605"/>
    <mergeCell ref="A5606:A5608"/>
    <mergeCell ref="B5606:B5608"/>
    <mergeCell ref="C5606:C5608"/>
    <mergeCell ref="D5606:D5608"/>
    <mergeCell ref="E5606:E5608"/>
    <mergeCell ref="F5606:F5608"/>
    <mergeCell ref="G5606:G5608"/>
    <mergeCell ref="H5606:H5608"/>
    <mergeCell ref="I5606:I5608"/>
    <mergeCell ref="J5606:J5608"/>
    <mergeCell ref="K5606:K5608"/>
    <mergeCell ref="L5606:L5608"/>
    <mergeCell ref="M5606:M5608"/>
    <mergeCell ref="N5606:N5608"/>
    <mergeCell ref="A5588:A5590"/>
    <mergeCell ref="B5588:B5590"/>
    <mergeCell ref="C5588:C5590"/>
    <mergeCell ref="D5588:D5590"/>
    <mergeCell ref="E5588:E5590"/>
    <mergeCell ref="F5588:F5590"/>
    <mergeCell ref="G5588:G5590"/>
    <mergeCell ref="H5588:H5590"/>
    <mergeCell ref="I5588:I5590"/>
    <mergeCell ref="J5588:J5590"/>
    <mergeCell ref="K5588:K5590"/>
    <mergeCell ref="L5588:L5590"/>
    <mergeCell ref="M5588:M5590"/>
    <mergeCell ref="N5588:N5590"/>
    <mergeCell ref="A5591:A5592"/>
    <mergeCell ref="B5591:B5592"/>
    <mergeCell ref="C5591:C5592"/>
    <mergeCell ref="D5591:D5592"/>
    <mergeCell ref="E5591:E5592"/>
    <mergeCell ref="F5591:F5592"/>
    <mergeCell ref="G5591:G5592"/>
    <mergeCell ref="H5591:H5592"/>
    <mergeCell ref="I5591:I5592"/>
    <mergeCell ref="J5591:J5592"/>
    <mergeCell ref="K5591:K5592"/>
    <mergeCell ref="L5591:L5592"/>
    <mergeCell ref="M5591:M5592"/>
    <mergeCell ref="N5591:N5592"/>
    <mergeCell ref="A5595:A5596"/>
    <mergeCell ref="B5595:B5596"/>
    <mergeCell ref="C5595:C5596"/>
    <mergeCell ref="D5595:D5596"/>
    <mergeCell ref="E5595:E5596"/>
    <mergeCell ref="F5595:F5596"/>
    <mergeCell ref="G5595:G5596"/>
    <mergeCell ref="H5595:H5596"/>
    <mergeCell ref="I5595:I5596"/>
    <mergeCell ref="J5595:J5596"/>
    <mergeCell ref="K5595:K5596"/>
    <mergeCell ref="L5595:L5596"/>
    <mergeCell ref="M5595:M5596"/>
    <mergeCell ref="N5595:N5596"/>
    <mergeCell ref="A5565:A5566"/>
    <mergeCell ref="B5565:B5566"/>
    <mergeCell ref="C5565:C5566"/>
    <mergeCell ref="D5565:D5566"/>
    <mergeCell ref="E5565:E5566"/>
    <mergeCell ref="F5565:F5566"/>
    <mergeCell ref="G5565:G5566"/>
    <mergeCell ref="H5565:H5566"/>
    <mergeCell ref="I5565:I5566"/>
    <mergeCell ref="J5565:J5566"/>
    <mergeCell ref="K5565:K5566"/>
    <mergeCell ref="L5565:L5566"/>
    <mergeCell ref="M5565:M5566"/>
    <mergeCell ref="N5565:N5566"/>
    <mergeCell ref="A5573:A5577"/>
    <mergeCell ref="B5573:B5577"/>
    <mergeCell ref="C5573:C5577"/>
    <mergeCell ref="D5573:D5577"/>
    <mergeCell ref="E5573:E5577"/>
    <mergeCell ref="F5573:F5577"/>
    <mergeCell ref="G5573:G5577"/>
    <mergeCell ref="H5573:H5577"/>
    <mergeCell ref="I5573:I5577"/>
    <mergeCell ref="J5573:J5577"/>
    <mergeCell ref="K5573:K5577"/>
    <mergeCell ref="L5573:L5577"/>
    <mergeCell ref="M5573:M5577"/>
    <mergeCell ref="N5573:N5577"/>
    <mergeCell ref="A5578:A5580"/>
    <mergeCell ref="B5578:B5580"/>
    <mergeCell ref="C5578:C5580"/>
    <mergeCell ref="D5578:D5580"/>
    <mergeCell ref="E5578:E5580"/>
    <mergeCell ref="F5578:F5580"/>
    <mergeCell ref="G5578:G5580"/>
    <mergeCell ref="H5578:H5580"/>
    <mergeCell ref="I5578:I5580"/>
    <mergeCell ref="J5578:J5580"/>
    <mergeCell ref="K5578:K5580"/>
    <mergeCell ref="L5578:L5580"/>
    <mergeCell ref="M5578:M5580"/>
    <mergeCell ref="N5578:N5580"/>
    <mergeCell ref="A5553:A5554"/>
    <mergeCell ref="B5553:B5554"/>
    <mergeCell ref="C5553:C5554"/>
    <mergeCell ref="D5553:D5554"/>
    <mergeCell ref="E5553:E5554"/>
    <mergeCell ref="F5553:F5554"/>
    <mergeCell ref="G5553:G5554"/>
    <mergeCell ref="H5553:H5554"/>
    <mergeCell ref="I5553:I5554"/>
    <mergeCell ref="J5553:J5554"/>
    <mergeCell ref="K5553:K5554"/>
    <mergeCell ref="L5553:L5554"/>
    <mergeCell ref="M5553:M5554"/>
    <mergeCell ref="N5553:N5554"/>
    <mergeCell ref="A5555:A5558"/>
    <mergeCell ref="B5555:B5558"/>
    <mergeCell ref="C5555:C5558"/>
    <mergeCell ref="D5555:D5558"/>
    <mergeCell ref="E5555:E5558"/>
    <mergeCell ref="F5555:F5558"/>
    <mergeCell ref="G5555:G5558"/>
    <mergeCell ref="H5555:H5558"/>
    <mergeCell ref="I5555:I5558"/>
    <mergeCell ref="J5555:J5558"/>
    <mergeCell ref="K5555:K5558"/>
    <mergeCell ref="L5555:L5558"/>
    <mergeCell ref="M5555:M5558"/>
    <mergeCell ref="N5555:N5558"/>
    <mergeCell ref="A5561:A5562"/>
    <mergeCell ref="B5561:B5562"/>
    <mergeCell ref="C5561:C5562"/>
    <mergeCell ref="D5561:D5562"/>
    <mergeCell ref="E5561:E5562"/>
    <mergeCell ref="F5561:F5562"/>
    <mergeCell ref="G5561:G5562"/>
    <mergeCell ref="H5561:H5562"/>
    <mergeCell ref="I5561:I5562"/>
    <mergeCell ref="J5561:J5562"/>
    <mergeCell ref="K5561:K5562"/>
    <mergeCell ref="L5561:L5562"/>
    <mergeCell ref="M5561:M5562"/>
    <mergeCell ref="N5561:N5562"/>
    <mergeCell ref="A5542:A5545"/>
    <mergeCell ref="B5542:B5545"/>
    <mergeCell ref="C5542:C5545"/>
    <mergeCell ref="D5542:D5545"/>
    <mergeCell ref="E5542:E5545"/>
    <mergeCell ref="F5542:F5545"/>
    <mergeCell ref="G5542:G5545"/>
    <mergeCell ref="H5542:H5545"/>
    <mergeCell ref="I5542:I5545"/>
    <mergeCell ref="J5542:J5545"/>
    <mergeCell ref="K5542:K5545"/>
    <mergeCell ref="L5542:L5545"/>
    <mergeCell ref="M5542:M5545"/>
    <mergeCell ref="N5542:N5545"/>
    <mergeCell ref="A5546:A5549"/>
    <mergeCell ref="B5546:B5549"/>
    <mergeCell ref="C5546:C5549"/>
    <mergeCell ref="D5546:D5549"/>
    <mergeCell ref="E5546:E5549"/>
    <mergeCell ref="F5546:F5549"/>
    <mergeCell ref="G5546:G5549"/>
    <mergeCell ref="H5546:H5549"/>
    <mergeCell ref="I5546:I5549"/>
    <mergeCell ref="J5546:J5549"/>
    <mergeCell ref="K5546:K5549"/>
    <mergeCell ref="L5546:L5549"/>
    <mergeCell ref="M5546:M5549"/>
    <mergeCell ref="N5546:N5549"/>
    <mergeCell ref="A5550:A5551"/>
    <mergeCell ref="B5550:B5551"/>
    <mergeCell ref="C5550:C5551"/>
    <mergeCell ref="D5550:D5551"/>
    <mergeCell ref="E5550:E5551"/>
    <mergeCell ref="F5550:F5551"/>
    <mergeCell ref="G5550:G5551"/>
    <mergeCell ref="H5550:H5551"/>
    <mergeCell ref="I5550:I5551"/>
    <mergeCell ref="J5550:J5551"/>
    <mergeCell ref="K5550:K5551"/>
    <mergeCell ref="L5550:L5551"/>
    <mergeCell ref="M5550:M5551"/>
    <mergeCell ref="N5550:N5551"/>
    <mergeCell ref="A5532:A5534"/>
    <mergeCell ref="B5532:B5534"/>
    <mergeCell ref="C5532:C5534"/>
    <mergeCell ref="D5532:D5534"/>
    <mergeCell ref="E5532:E5534"/>
    <mergeCell ref="F5532:F5534"/>
    <mergeCell ref="G5532:G5534"/>
    <mergeCell ref="H5532:H5534"/>
    <mergeCell ref="I5532:I5534"/>
    <mergeCell ref="J5532:J5534"/>
    <mergeCell ref="K5532:K5534"/>
    <mergeCell ref="L5532:L5534"/>
    <mergeCell ref="M5532:M5534"/>
    <mergeCell ref="N5532:N5534"/>
    <mergeCell ref="A5535:A5536"/>
    <mergeCell ref="B5535:B5536"/>
    <mergeCell ref="C5535:C5536"/>
    <mergeCell ref="D5535:D5536"/>
    <mergeCell ref="E5535:E5536"/>
    <mergeCell ref="F5535:F5536"/>
    <mergeCell ref="G5535:G5536"/>
    <mergeCell ref="H5535:H5536"/>
    <mergeCell ref="I5535:I5536"/>
    <mergeCell ref="J5535:J5536"/>
    <mergeCell ref="K5535:K5536"/>
    <mergeCell ref="L5535:L5536"/>
    <mergeCell ref="M5535:M5536"/>
    <mergeCell ref="N5535:N5536"/>
    <mergeCell ref="A5537:A5540"/>
    <mergeCell ref="B5537:B5540"/>
    <mergeCell ref="C5537:C5540"/>
    <mergeCell ref="D5537:D5540"/>
    <mergeCell ref="E5537:E5540"/>
    <mergeCell ref="F5537:F5540"/>
    <mergeCell ref="G5537:G5540"/>
    <mergeCell ref="H5537:H5540"/>
    <mergeCell ref="I5537:I5540"/>
    <mergeCell ref="J5537:J5540"/>
    <mergeCell ref="K5537:K5540"/>
    <mergeCell ref="L5537:L5540"/>
    <mergeCell ref="M5537:M5540"/>
    <mergeCell ref="N5537:N5540"/>
    <mergeCell ref="A5518:A5519"/>
    <mergeCell ref="B5518:B5519"/>
    <mergeCell ref="C5518:C5519"/>
    <mergeCell ref="D5518:D5519"/>
    <mergeCell ref="E5518:E5519"/>
    <mergeCell ref="F5518:F5519"/>
    <mergeCell ref="G5518:G5519"/>
    <mergeCell ref="H5518:H5519"/>
    <mergeCell ref="I5518:I5519"/>
    <mergeCell ref="J5518:J5519"/>
    <mergeCell ref="K5518:K5519"/>
    <mergeCell ref="L5518:L5519"/>
    <mergeCell ref="M5518:M5519"/>
    <mergeCell ref="N5518:N5519"/>
    <mergeCell ref="A5521:A5528"/>
    <mergeCell ref="B5521:B5528"/>
    <mergeCell ref="C5521:C5528"/>
    <mergeCell ref="D5521:D5528"/>
    <mergeCell ref="E5521:E5528"/>
    <mergeCell ref="F5521:F5528"/>
    <mergeCell ref="G5521:G5528"/>
    <mergeCell ref="H5521:H5528"/>
    <mergeCell ref="I5521:I5528"/>
    <mergeCell ref="J5521:J5528"/>
    <mergeCell ref="K5521:K5528"/>
    <mergeCell ref="L5521:L5528"/>
    <mergeCell ref="M5521:M5528"/>
    <mergeCell ref="N5521:N5528"/>
    <mergeCell ref="A5529:A5531"/>
    <mergeCell ref="B5529:B5531"/>
    <mergeCell ref="C5529:C5531"/>
    <mergeCell ref="D5529:D5531"/>
    <mergeCell ref="E5529:E5531"/>
    <mergeCell ref="F5529:F5531"/>
    <mergeCell ref="G5529:G5531"/>
    <mergeCell ref="H5529:H5531"/>
    <mergeCell ref="I5529:I5531"/>
    <mergeCell ref="J5529:J5531"/>
    <mergeCell ref="K5529:K5531"/>
    <mergeCell ref="L5529:L5531"/>
    <mergeCell ref="M5529:M5531"/>
    <mergeCell ref="N5529:N5531"/>
    <mergeCell ref="A5504:A5505"/>
    <mergeCell ref="B5504:B5505"/>
    <mergeCell ref="C5504:C5505"/>
    <mergeCell ref="D5504:D5505"/>
    <mergeCell ref="E5504:E5505"/>
    <mergeCell ref="F5504:F5505"/>
    <mergeCell ref="G5504:G5505"/>
    <mergeCell ref="H5504:H5505"/>
    <mergeCell ref="I5504:I5505"/>
    <mergeCell ref="J5504:J5505"/>
    <mergeCell ref="K5504:K5505"/>
    <mergeCell ref="L5504:L5505"/>
    <mergeCell ref="M5504:M5505"/>
    <mergeCell ref="N5504:N5505"/>
    <mergeCell ref="A5507:A5512"/>
    <mergeCell ref="B5507:B5512"/>
    <mergeCell ref="C5507:C5512"/>
    <mergeCell ref="D5507:D5512"/>
    <mergeCell ref="E5507:E5512"/>
    <mergeCell ref="F5507:F5512"/>
    <mergeCell ref="G5507:G5512"/>
    <mergeCell ref="H5507:H5512"/>
    <mergeCell ref="I5507:I5512"/>
    <mergeCell ref="J5507:J5512"/>
    <mergeCell ref="K5507:K5512"/>
    <mergeCell ref="L5507:L5512"/>
    <mergeCell ref="M5507:M5512"/>
    <mergeCell ref="N5507:N5512"/>
    <mergeCell ref="A5514:A5516"/>
    <mergeCell ref="B5514:B5516"/>
    <mergeCell ref="C5514:C5516"/>
    <mergeCell ref="D5514:D5516"/>
    <mergeCell ref="E5514:E5516"/>
    <mergeCell ref="F5514:F5516"/>
    <mergeCell ref="G5514:G5516"/>
    <mergeCell ref="H5514:H5516"/>
    <mergeCell ref="I5514:I5516"/>
    <mergeCell ref="J5514:J5516"/>
    <mergeCell ref="K5514:K5516"/>
    <mergeCell ref="L5514:L5516"/>
    <mergeCell ref="M5514:M5516"/>
    <mergeCell ref="N5514:N5516"/>
    <mergeCell ref="A5489:A5490"/>
    <mergeCell ref="B5489:B5490"/>
    <mergeCell ref="C5489:C5490"/>
    <mergeCell ref="D5489:D5490"/>
    <mergeCell ref="E5489:E5490"/>
    <mergeCell ref="F5489:F5490"/>
    <mergeCell ref="G5489:G5490"/>
    <mergeCell ref="H5489:H5490"/>
    <mergeCell ref="I5489:I5490"/>
    <mergeCell ref="J5489:J5490"/>
    <mergeCell ref="K5489:K5490"/>
    <mergeCell ref="L5489:L5490"/>
    <mergeCell ref="M5489:M5490"/>
    <mergeCell ref="N5489:N5490"/>
    <mergeCell ref="A5492:A5495"/>
    <mergeCell ref="B5492:B5495"/>
    <mergeCell ref="C5492:C5495"/>
    <mergeCell ref="D5492:D5495"/>
    <mergeCell ref="E5492:E5495"/>
    <mergeCell ref="F5492:F5495"/>
    <mergeCell ref="G5492:G5495"/>
    <mergeCell ref="H5492:H5495"/>
    <mergeCell ref="I5492:I5495"/>
    <mergeCell ref="J5492:J5495"/>
    <mergeCell ref="K5492:K5495"/>
    <mergeCell ref="L5492:L5495"/>
    <mergeCell ref="M5492:M5495"/>
    <mergeCell ref="N5492:N5495"/>
    <mergeCell ref="A5496:A5497"/>
    <mergeCell ref="B5496:B5497"/>
    <mergeCell ref="C5496:C5497"/>
    <mergeCell ref="D5496:D5497"/>
    <mergeCell ref="E5496:E5497"/>
    <mergeCell ref="F5496:F5497"/>
    <mergeCell ref="G5496:G5497"/>
    <mergeCell ref="H5496:H5497"/>
    <mergeCell ref="I5496:I5497"/>
    <mergeCell ref="J5496:J5497"/>
    <mergeCell ref="K5496:K5497"/>
    <mergeCell ref="L5496:L5497"/>
    <mergeCell ref="M5496:M5497"/>
    <mergeCell ref="N5496:N5497"/>
    <mergeCell ref="A5475:A5477"/>
    <mergeCell ref="B5475:B5477"/>
    <mergeCell ref="C5475:C5477"/>
    <mergeCell ref="D5475:D5477"/>
    <mergeCell ref="E5475:E5477"/>
    <mergeCell ref="F5475:F5477"/>
    <mergeCell ref="G5475:G5477"/>
    <mergeCell ref="H5475:H5477"/>
    <mergeCell ref="I5475:I5477"/>
    <mergeCell ref="J5475:J5477"/>
    <mergeCell ref="K5475:K5477"/>
    <mergeCell ref="L5475:L5477"/>
    <mergeCell ref="M5475:M5477"/>
    <mergeCell ref="N5475:N5477"/>
    <mergeCell ref="A5481:A5484"/>
    <mergeCell ref="B5481:B5484"/>
    <mergeCell ref="C5481:C5484"/>
    <mergeCell ref="D5481:D5484"/>
    <mergeCell ref="E5481:E5484"/>
    <mergeCell ref="F5481:F5484"/>
    <mergeCell ref="G5481:G5484"/>
    <mergeCell ref="H5481:H5484"/>
    <mergeCell ref="I5481:I5484"/>
    <mergeCell ref="J5481:J5484"/>
    <mergeCell ref="K5481:K5484"/>
    <mergeCell ref="L5481:L5484"/>
    <mergeCell ref="M5481:M5484"/>
    <mergeCell ref="N5481:N5484"/>
    <mergeCell ref="A5485:A5488"/>
    <mergeCell ref="B5485:B5488"/>
    <mergeCell ref="C5485:C5488"/>
    <mergeCell ref="D5485:D5488"/>
    <mergeCell ref="E5485:E5488"/>
    <mergeCell ref="F5485:F5488"/>
    <mergeCell ref="G5485:G5488"/>
    <mergeCell ref="H5485:H5488"/>
    <mergeCell ref="I5485:I5488"/>
    <mergeCell ref="J5485:J5488"/>
    <mergeCell ref="K5485:K5488"/>
    <mergeCell ref="L5485:L5488"/>
    <mergeCell ref="M5485:M5488"/>
    <mergeCell ref="N5485:N5488"/>
    <mergeCell ref="A5466:A5468"/>
    <mergeCell ref="B5466:B5468"/>
    <mergeCell ref="C5466:C5468"/>
    <mergeCell ref="D5466:D5468"/>
    <mergeCell ref="E5466:E5468"/>
    <mergeCell ref="F5466:F5468"/>
    <mergeCell ref="G5466:G5468"/>
    <mergeCell ref="H5466:H5468"/>
    <mergeCell ref="I5466:I5468"/>
    <mergeCell ref="J5466:J5468"/>
    <mergeCell ref="K5466:K5468"/>
    <mergeCell ref="L5466:L5468"/>
    <mergeCell ref="M5466:M5468"/>
    <mergeCell ref="N5466:N5468"/>
    <mergeCell ref="A5469:A5471"/>
    <mergeCell ref="B5469:B5471"/>
    <mergeCell ref="C5469:C5471"/>
    <mergeCell ref="D5469:D5471"/>
    <mergeCell ref="E5469:E5471"/>
    <mergeCell ref="F5469:F5471"/>
    <mergeCell ref="G5469:G5471"/>
    <mergeCell ref="H5469:H5471"/>
    <mergeCell ref="I5469:I5471"/>
    <mergeCell ref="J5469:J5471"/>
    <mergeCell ref="K5469:K5471"/>
    <mergeCell ref="L5469:L5471"/>
    <mergeCell ref="M5469:M5471"/>
    <mergeCell ref="N5469:N5471"/>
    <mergeCell ref="A5472:A5474"/>
    <mergeCell ref="B5472:B5474"/>
    <mergeCell ref="C5472:C5474"/>
    <mergeCell ref="D5472:D5474"/>
    <mergeCell ref="E5472:E5474"/>
    <mergeCell ref="F5472:F5474"/>
    <mergeCell ref="G5472:G5474"/>
    <mergeCell ref="H5472:H5474"/>
    <mergeCell ref="I5472:I5474"/>
    <mergeCell ref="J5472:J5474"/>
    <mergeCell ref="K5472:K5474"/>
    <mergeCell ref="L5472:L5474"/>
    <mergeCell ref="M5472:M5474"/>
    <mergeCell ref="N5472:N5474"/>
    <mergeCell ref="A5457:A5458"/>
    <mergeCell ref="B5457:B5458"/>
    <mergeCell ref="C5457:C5458"/>
    <mergeCell ref="D5457:D5458"/>
    <mergeCell ref="E5457:E5458"/>
    <mergeCell ref="F5457:F5458"/>
    <mergeCell ref="G5457:G5458"/>
    <mergeCell ref="H5457:H5458"/>
    <mergeCell ref="I5457:I5458"/>
    <mergeCell ref="J5457:J5458"/>
    <mergeCell ref="K5457:K5458"/>
    <mergeCell ref="L5457:L5458"/>
    <mergeCell ref="M5457:M5458"/>
    <mergeCell ref="N5457:N5458"/>
    <mergeCell ref="A5459:A5462"/>
    <mergeCell ref="B5459:B5462"/>
    <mergeCell ref="C5459:C5462"/>
    <mergeCell ref="D5459:D5462"/>
    <mergeCell ref="E5459:E5462"/>
    <mergeCell ref="F5459:F5462"/>
    <mergeCell ref="G5459:G5462"/>
    <mergeCell ref="H5459:H5462"/>
    <mergeCell ref="I5459:I5462"/>
    <mergeCell ref="J5459:J5462"/>
    <mergeCell ref="K5459:K5462"/>
    <mergeCell ref="L5459:L5462"/>
    <mergeCell ref="M5459:M5462"/>
    <mergeCell ref="N5459:N5462"/>
    <mergeCell ref="A5463:A5465"/>
    <mergeCell ref="B5463:B5465"/>
    <mergeCell ref="C5463:C5465"/>
    <mergeCell ref="D5463:D5465"/>
    <mergeCell ref="E5463:E5465"/>
    <mergeCell ref="F5463:F5465"/>
    <mergeCell ref="G5463:G5465"/>
    <mergeCell ref="H5463:H5465"/>
    <mergeCell ref="I5463:I5465"/>
    <mergeCell ref="J5463:J5465"/>
    <mergeCell ref="K5463:K5465"/>
    <mergeCell ref="L5463:L5465"/>
    <mergeCell ref="M5463:M5465"/>
    <mergeCell ref="N5463:N5465"/>
    <mergeCell ref="A5445:A5448"/>
    <mergeCell ref="B5445:B5448"/>
    <mergeCell ref="C5445:C5448"/>
    <mergeCell ref="D5445:D5448"/>
    <mergeCell ref="E5445:E5448"/>
    <mergeCell ref="F5445:F5448"/>
    <mergeCell ref="G5445:G5448"/>
    <mergeCell ref="H5445:H5448"/>
    <mergeCell ref="I5445:I5448"/>
    <mergeCell ref="J5445:J5448"/>
    <mergeCell ref="K5445:K5448"/>
    <mergeCell ref="L5445:L5448"/>
    <mergeCell ref="M5445:M5448"/>
    <mergeCell ref="N5445:N5448"/>
    <mergeCell ref="A5449:A5452"/>
    <mergeCell ref="B5449:B5452"/>
    <mergeCell ref="C5449:C5452"/>
    <mergeCell ref="D5449:D5452"/>
    <mergeCell ref="E5449:E5452"/>
    <mergeCell ref="F5449:F5452"/>
    <mergeCell ref="G5449:G5452"/>
    <mergeCell ref="H5449:H5452"/>
    <mergeCell ref="I5449:I5452"/>
    <mergeCell ref="J5449:J5452"/>
    <mergeCell ref="K5449:K5452"/>
    <mergeCell ref="L5449:L5452"/>
    <mergeCell ref="M5449:M5452"/>
    <mergeCell ref="N5449:N5452"/>
    <mergeCell ref="A5453:A5456"/>
    <mergeCell ref="B5453:B5456"/>
    <mergeCell ref="C5453:C5456"/>
    <mergeCell ref="D5453:D5456"/>
    <mergeCell ref="E5453:E5456"/>
    <mergeCell ref="F5453:F5456"/>
    <mergeCell ref="G5453:G5456"/>
    <mergeCell ref="H5453:H5456"/>
    <mergeCell ref="I5453:I5456"/>
    <mergeCell ref="J5453:J5456"/>
    <mergeCell ref="K5453:K5456"/>
    <mergeCell ref="L5453:L5456"/>
    <mergeCell ref="M5453:M5456"/>
    <mergeCell ref="N5453:N5456"/>
    <mergeCell ref="A5435:A5437"/>
    <mergeCell ref="B5435:B5437"/>
    <mergeCell ref="C5435:C5437"/>
    <mergeCell ref="D5435:D5437"/>
    <mergeCell ref="E5435:E5437"/>
    <mergeCell ref="F5435:F5437"/>
    <mergeCell ref="G5435:G5437"/>
    <mergeCell ref="H5435:H5437"/>
    <mergeCell ref="I5435:I5437"/>
    <mergeCell ref="J5435:J5437"/>
    <mergeCell ref="K5435:K5437"/>
    <mergeCell ref="L5435:L5437"/>
    <mergeCell ref="M5435:M5437"/>
    <mergeCell ref="N5435:N5437"/>
    <mergeCell ref="A5438:A5441"/>
    <mergeCell ref="B5438:B5441"/>
    <mergeCell ref="C5438:C5441"/>
    <mergeCell ref="D5438:D5441"/>
    <mergeCell ref="E5438:E5441"/>
    <mergeCell ref="F5438:F5441"/>
    <mergeCell ref="G5438:G5441"/>
    <mergeCell ref="H5438:H5441"/>
    <mergeCell ref="I5438:I5441"/>
    <mergeCell ref="J5438:J5441"/>
    <mergeCell ref="K5438:K5441"/>
    <mergeCell ref="L5438:L5441"/>
    <mergeCell ref="M5438:M5441"/>
    <mergeCell ref="N5438:N5441"/>
    <mergeCell ref="A5442:A5444"/>
    <mergeCell ref="B5442:B5444"/>
    <mergeCell ref="C5442:C5444"/>
    <mergeCell ref="D5442:D5444"/>
    <mergeCell ref="E5442:E5444"/>
    <mergeCell ref="F5442:F5444"/>
    <mergeCell ref="G5442:G5444"/>
    <mergeCell ref="H5442:H5444"/>
    <mergeCell ref="I5442:I5444"/>
    <mergeCell ref="J5442:J5444"/>
    <mergeCell ref="K5442:K5444"/>
    <mergeCell ref="L5442:L5444"/>
    <mergeCell ref="M5442:M5444"/>
    <mergeCell ref="N5442:N5444"/>
    <mergeCell ref="A5421:A5428"/>
    <mergeCell ref="B5421:B5428"/>
    <mergeCell ref="C5421:C5428"/>
    <mergeCell ref="D5421:D5428"/>
    <mergeCell ref="E5421:E5428"/>
    <mergeCell ref="F5421:F5428"/>
    <mergeCell ref="G5421:G5428"/>
    <mergeCell ref="H5421:H5428"/>
    <mergeCell ref="I5421:I5428"/>
    <mergeCell ref="J5421:J5428"/>
    <mergeCell ref="K5421:K5428"/>
    <mergeCell ref="L5421:L5428"/>
    <mergeCell ref="M5421:M5428"/>
    <mergeCell ref="N5421:N5428"/>
    <mergeCell ref="A5430:A5431"/>
    <mergeCell ref="B5430:B5431"/>
    <mergeCell ref="C5430:C5431"/>
    <mergeCell ref="D5430:D5431"/>
    <mergeCell ref="E5430:E5431"/>
    <mergeCell ref="F5430:F5431"/>
    <mergeCell ref="G5430:G5431"/>
    <mergeCell ref="H5430:H5431"/>
    <mergeCell ref="I5430:I5431"/>
    <mergeCell ref="J5430:J5431"/>
    <mergeCell ref="K5430:K5431"/>
    <mergeCell ref="L5430:L5431"/>
    <mergeCell ref="M5430:M5431"/>
    <mergeCell ref="N5430:N5431"/>
    <mergeCell ref="A5432:A5434"/>
    <mergeCell ref="B5432:B5434"/>
    <mergeCell ref="C5432:C5434"/>
    <mergeCell ref="D5432:D5434"/>
    <mergeCell ref="E5432:E5434"/>
    <mergeCell ref="F5432:F5434"/>
    <mergeCell ref="G5432:G5434"/>
    <mergeCell ref="H5432:H5434"/>
    <mergeCell ref="I5432:I5434"/>
    <mergeCell ref="J5432:J5434"/>
    <mergeCell ref="K5432:K5434"/>
    <mergeCell ref="L5432:L5434"/>
    <mergeCell ref="M5432:M5434"/>
    <mergeCell ref="N5432:N5434"/>
    <mergeCell ref="A5391:A5412"/>
    <mergeCell ref="B5391:B5412"/>
    <mergeCell ref="C5391:C5412"/>
    <mergeCell ref="D5391:D5412"/>
    <mergeCell ref="E5391:E5412"/>
    <mergeCell ref="F5391:F5412"/>
    <mergeCell ref="G5391:G5412"/>
    <mergeCell ref="H5391:H5412"/>
    <mergeCell ref="I5391:I5412"/>
    <mergeCell ref="J5391:J5412"/>
    <mergeCell ref="K5391:K5412"/>
    <mergeCell ref="L5391:L5412"/>
    <mergeCell ref="M5391:M5412"/>
    <mergeCell ref="N5391:N5412"/>
    <mergeCell ref="A5413:A5417"/>
    <mergeCell ref="B5413:B5417"/>
    <mergeCell ref="C5413:C5417"/>
    <mergeCell ref="D5413:D5417"/>
    <mergeCell ref="E5413:E5417"/>
    <mergeCell ref="F5413:F5417"/>
    <mergeCell ref="G5413:G5417"/>
    <mergeCell ref="H5413:H5417"/>
    <mergeCell ref="I5413:I5417"/>
    <mergeCell ref="J5413:J5417"/>
    <mergeCell ref="K5413:K5417"/>
    <mergeCell ref="L5413:L5417"/>
    <mergeCell ref="M5413:M5417"/>
    <mergeCell ref="N5413:N5417"/>
    <mergeCell ref="A5418:A5420"/>
    <mergeCell ref="B5418:B5420"/>
    <mergeCell ref="C5418:C5420"/>
    <mergeCell ref="D5418:D5420"/>
    <mergeCell ref="E5418:E5420"/>
    <mergeCell ref="F5418:F5420"/>
    <mergeCell ref="G5418:G5420"/>
    <mergeCell ref="H5418:H5420"/>
    <mergeCell ref="I5418:I5420"/>
    <mergeCell ref="J5418:J5420"/>
    <mergeCell ref="K5418:K5420"/>
    <mergeCell ref="L5418:L5420"/>
    <mergeCell ref="M5418:M5420"/>
    <mergeCell ref="N5418:N5420"/>
    <mergeCell ref="A5359:A5361"/>
    <mergeCell ref="B5359:B5361"/>
    <mergeCell ref="C5359:C5361"/>
    <mergeCell ref="D5359:D5361"/>
    <mergeCell ref="E5359:E5361"/>
    <mergeCell ref="F5359:F5361"/>
    <mergeCell ref="G5359:G5361"/>
    <mergeCell ref="H5359:H5361"/>
    <mergeCell ref="I5359:I5361"/>
    <mergeCell ref="J5359:J5361"/>
    <mergeCell ref="K5359:K5361"/>
    <mergeCell ref="L5359:L5361"/>
    <mergeCell ref="M5359:M5361"/>
    <mergeCell ref="N5359:N5361"/>
    <mergeCell ref="A5363:A5365"/>
    <mergeCell ref="B5363:B5365"/>
    <mergeCell ref="C5363:C5365"/>
    <mergeCell ref="D5363:D5365"/>
    <mergeCell ref="E5363:E5365"/>
    <mergeCell ref="F5363:F5365"/>
    <mergeCell ref="G5363:G5365"/>
    <mergeCell ref="H5363:H5365"/>
    <mergeCell ref="I5363:I5365"/>
    <mergeCell ref="J5363:J5365"/>
    <mergeCell ref="K5363:K5365"/>
    <mergeCell ref="L5363:L5365"/>
    <mergeCell ref="M5363:M5365"/>
    <mergeCell ref="N5363:N5365"/>
    <mergeCell ref="A5372:A5382"/>
    <mergeCell ref="B5372:B5382"/>
    <mergeCell ref="C5372:C5382"/>
    <mergeCell ref="D5372:D5382"/>
    <mergeCell ref="E5372:E5382"/>
    <mergeCell ref="F5372:F5382"/>
    <mergeCell ref="G5372:G5382"/>
    <mergeCell ref="H5372:H5382"/>
    <mergeCell ref="I5372:I5382"/>
    <mergeCell ref="J5372:J5382"/>
    <mergeCell ref="K5372:K5382"/>
    <mergeCell ref="L5372:L5382"/>
    <mergeCell ref="M5372:M5382"/>
    <mergeCell ref="N5372:N5382"/>
    <mergeCell ref="A5344:A5345"/>
    <mergeCell ref="B5344:B5345"/>
    <mergeCell ref="C5344:C5345"/>
    <mergeCell ref="D5344:D5345"/>
    <mergeCell ref="E5344:E5345"/>
    <mergeCell ref="F5344:F5345"/>
    <mergeCell ref="G5344:G5345"/>
    <mergeCell ref="H5344:H5345"/>
    <mergeCell ref="I5344:I5345"/>
    <mergeCell ref="J5344:J5345"/>
    <mergeCell ref="K5344:K5345"/>
    <mergeCell ref="L5344:L5345"/>
    <mergeCell ref="M5344:M5345"/>
    <mergeCell ref="N5344:N5345"/>
    <mergeCell ref="A5351:A5353"/>
    <mergeCell ref="B5351:B5353"/>
    <mergeCell ref="C5351:C5353"/>
    <mergeCell ref="D5351:D5353"/>
    <mergeCell ref="E5351:E5353"/>
    <mergeCell ref="F5351:F5353"/>
    <mergeCell ref="G5351:G5353"/>
    <mergeCell ref="H5351:H5353"/>
    <mergeCell ref="I5351:I5353"/>
    <mergeCell ref="J5351:J5353"/>
    <mergeCell ref="K5351:K5353"/>
    <mergeCell ref="L5351:L5353"/>
    <mergeCell ref="M5351:M5353"/>
    <mergeCell ref="N5351:N5353"/>
    <mergeCell ref="A5357:A5358"/>
    <mergeCell ref="B5357:B5358"/>
    <mergeCell ref="C5357:C5358"/>
    <mergeCell ref="D5357:D5358"/>
    <mergeCell ref="E5357:E5358"/>
    <mergeCell ref="F5357:F5358"/>
    <mergeCell ref="G5357:G5358"/>
    <mergeCell ref="H5357:H5358"/>
    <mergeCell ref="I5357:I5358"/>
    <mergeCell ref="J5357:J5358"/>
    <mergeCell ref="K5357:K5358"/>
    <mergeCell ref="L5357:L5358"/>
    <mergeCell ref="M5357:M5358"/>
    <mergeCell ref="N5357:N5358"/>
    <mergeCell ref="A5336:A5337"/>
    <mergeCell ref="B5336:B5337"/>
    <mergeCell ref="C5336:C5337"/>
    <mergeCell ref="D5336:D5337"/>
    <mergeCell ref="E5336:E5337"/>
    <mergeCell ref="F5336:F5337"/>
    <mergeCell ref="G5336:G5337"/>
    <mergeCell ref="H5336:H5337"/>
    <mergeCell ref="I5336:I5337"/>
    <mergeCell ref="J5336:J5337"/>
    <mergeCell ref="K5336:K5337"/>
    <mergeCell ref="L5336:L5337"/>
    <mergeCell ref="M5336:M5337"/>
    <mergeCell ref="N5336:N5337"/>
    <mergeCell ref="A5338:A5339"/>
    <mergeCell ref="B5338:B5339"/>
    <mergeCell ref="C5338:C5339"/>
    <mergeCell ref="D5338:D5339"/>
    <mergeCell ref="E5338:E5339"/>
    <mergeCell ref="F5338:F5339"/>
    <mergeCell ref="G5338:G5339"/>
    <mergeCell ref="H5338:H5339"/>
    <mergeCell ref="I5338:I5339"/>
    <mergeCell ref="J5338:J5339"/>
    <mergeCell ref="K5338:K5339"/>
    <mergeCell ref="L5338:L5339"/>
    <mergeCell ref="M5338:M5339"/>
    <mergeCell ref="N5338:N5339"/>
    <mergeCell ref="A5340:A5341"/>
    <mergeCell ref="B5340:B5341"/>
    <mergeCell ref="C5340:C5341"/>
    <mergeCell ref="D5340:D5341"/>
    <mergeCell ref="E5340:E5341"/>
    <mergeCell ref="F5340:F5341"/>
    <mergeCell ref="G5340:G5341"/>
    <mergeCell ref="H5340:H5341"/>
    <mergeCell ref="I5340:I5341"/>
    <mergeCell ref="J5340:J5341"/>
    <mergeCell ref="K5340:K5341"/>
    <mergeCell ref="L5340:L5341"/>
    <mergeCell ref="M5340:M5341"/>
    <mergeCell ref="N5340:N5341"/>
    <mergeCell ref="A5322:A5323"/>
    <mergeCell ref="B5322:B5323"/>
    <mergeCell ref="C5322:C5323"/>
    <mergeCell ref="D5322:D5323"/>
    <mergeCell ref="E5322:E5323"/>
    <mergeCell ref="F5322:F5323"/>
    <mergeCell ref="G5322:G5323"/>
    <mergeCell ref="H5322:H5323"/>
    <mergeCell ref="I5322:I5323"/>
    <mergeCell ref="J5322:J5323"/>
    <mergeCell ref="K5322:K5323"/>
    <mergeCell ref="L5322:L5323"/>
    <mergeCell ref="M5322:M5323"/>
    <mergeCell ref="N5322:N5323"/>
    <mergeCell ref="A5324:A5326"/>
    <mergeCell ref="B5324:B5326"/>
    <mergeCell ref="C5324:C5326"/>
    <mergeCell ref="D5324:D5326"/>
    <mergeCell ref="E5324:E5326"/>
    <mergeCell ref="F5324:F5326"/>
    <mergeCell ref="G5324:G5326"/>
    <mergeCell ref="H5324:H5326"/>
    <mergeCell ref="I5324:I5326"/>
    <mergeCell ref="J5324:J5326"/>
    <mergeCell ref="K5324:K5326"/>
    <mergeCell ref="L5324:L5326"/>
    <mergeCell ref="M5324:M5326"/>
    <mergeCell ref="N5324:N5326"/>
    <mergeCell ref="A5332:A5333"/>
    <mergeCell ref="B5332:B5333"/>
    <mergeCell ref="C5332:C5333"/>
    <mergeCell ref="D5332:D5333"/>
    <mergeCell ref="E5332:E5333"/>
    <mergeCell ref="F5332:F5333"/>
    <mergeCell ref="G5332:G5333"/>
    <mergeCell ref="H5332:H5333"/>
    <mergeCell ref="I5332:I5333"/>
    <mergeCell ref="J5332:J5333"/>
    <mergeCell ref="K5332:K5333"/>
    <mergeCell ref="L5332:L5333"/>
    <mergeCell ref="M5332:M5333"/>
    <mergeCell ref="N5332:N5333"/>
    <mergeCell ref="A5305:A5306"/>
    <mergeCell ref="B5305:B5306"/>
    <mergeCell ref="C5305:C5306"/>
    <mergeCell ref="D5305:D5306"/>
    <mergeCell ref="E5305:E5306"/>
    <mergeCell ref="F5305:F5306"/>
    <mergeCell ref="G5305:G5306"/>
    <mergeCell ref="H5305:H5306"/>
    <mergeCell ref="I5305:I5306"/>
    <mergeCell ref="J5305:J5306"/>
    <mergeCell ref="K5305:K5306"/>
    <mergeCell ref="L5305:L5306"/>
    <mergeCell ref="M5305:M5306"/>
    <mergeCell ref="N5305:N5306"/>
    <mergeCell ref="A5309:A5310"/>
    <mergeCell ref="B5309:B5310"/>
    <mergeCell ref="C5309:C5310"/>
    <mergeCell ref="D5309:D5310"/>
    <mergeCell ref="E5309:E5310"/>
    <mergeCell ref="F5309:F5310"/>
    <mergeCell ref="G5309:G5310"/>
    <mergeCell ref="H5309:H5310"/>
    <mergeCell ref="I5309:I5310"/>
    <mergeCell ref="J5309:J5310"/>
    <mergeCell ref="K5309:K5310"/>
    <mergeCell ref="L5309:L5310"/>
    <mergeCell ref="M5309:M5310"/>
    <mergeCell ref="N5309:N5310"/>
    <mergeCell ref="A5311:A5320"/>
    <mergeCell ref="B5311:B5320"/>
    <mergeCell ref="C5311:C5320"/>
    <mergeCell ref="D5311:D5320"/>
    <mergeCell ref="E5311:E5320"/>
    <mergeCell ref="F5311:F5320"/>
    <mergeCell ref="G5311:G5320"/>
    <mergeCell ref="H5311:H5320"/>
    <mergeCell ref="I5311:I5320"/>
    <mergeCell ref="J5311:J5320"/>
    <mergeCell ref="K5311:K5320"/>
    <mergeCell ref="L5311:L5320"/>
    <mergeCell ref="M5311:M5320"/>
    <mergeCell ref="N5311:N5320"/>
    <mergeCell ref="A5294:A5295"/>
    <mergeCell ref="B5294:B5295"/>
    <mergeCell ref="C5294:C5295"/>
    <mergeCell ref="D5294:D5295"/>
    <mergeCell ref="E5294:E5295"/>
    <mergeCell ref="F5294:F5295"/>
    <mergeCell ref="G5294:G5295"/>
    <mergeCell ref="H5294:H5295"/>
    <mergeCell ref="I5294:I5295"/>
    <mergeCell ref="J5294:J5295"/>
    <mergeCell ref="K5294:K5295"/>
    <mergeCell ref="L5294:L5295"/>
    <mergeCell ref="M5294:M5295"/>
    <mergeCell ref="N5294:N5295"/>
    <mergeCell ref="A5298:A5302"/>
    <mergeCell ref="B5298:B5302"/>
    <mergeCell ref="C5298:C5302"/>
    <mergeCell ref="D5298:D5302"/>
    <mergeCell ref="E5298:E5302"/>
    <mergeCell ref="F5298:F5302"/>
    <mergeCell ref="G5298:G5302"/>
    <mergeCell ref="H5298:H5302"/>
    <mergeCell ref="I5298:I5302"/>
    <mergeCell ref="J5298:J5302"/>
    <mergeCell ref="K5298:K5302"/>
    <mergeCell ref="L5298:L5302"/>
    <mergeCell ref="M5298:M5302"/>
    <mergeCell ref="N5298:N5302"/>
    <mergeCell ref="A5303:A5304"/>
    <mergeCell ref="B5303:B5304"/>
    <mergeCell ref="C5303:C5304"/>
    <mergeCell ref="D5303:D5304"/>
    <mergeCell ref="E5303:E5304"/>
    <mergeCell ref="F5303:F5304"/>
    <mergeCell ref="G5303:G5304"/>
    <mergeCell ref="H5303:H5304"/>
    <mergeCell ref="I5303:I5304"/>
    <mergeCell ref="J5303:J5304"/>
    <mergeCell ref="K5303:K5304"/>
    <mergeCell ref="L5303:L5304"/>
    <mergeCell ref="M5303:M5304"/>
    <mergeCell ref="N5303:N5304"/>
    <mergeCell ref="A5275:A5276"/>
    <mergeCell ref="B5275:B5276"/>
    <mergeCell ref="C5275:C5276"/>
    <mergeCell ref="D5275:D5276"/>
    <mergeCell ref="E5275:E5276"/>
    <mergeCell ref="F5275:F5276"/>
    <mergeCell ref="G5275:G5276"/>
    <mergeCell ref="H5275:H5276"/>
    <mergeCell ref="I5275:I5276"/>
    <mergeCell ref="J5275:J5276"/>
    <mergeCell ref="K5275:K5276"/>
    <mergeCell ref="L5275:L5276"/>
    <mergeCell ref="M5275:M5276"/>
    <mergeCell ref="N5275:N5276"/>
    <mergeCell ref="A5278:A5281"/>
    <mergeCell ref="B5278:B5281"/>
    <mergeCell ref="C5278:C5281"/>
    <mergeCell ref="D5278:D5281"/>
    <mergeCell ref="E5278:E5281"/>
    <mergeCell ref="F5278:F5281"/>
    <mergeCell ref="G5278:G5281"/>
    <mergeCell ref="H5278:H5281"/>
    <mergeCell ref="I5278:I5281"/>
    <mergeCell ref="J5278:J5281"/>
    <mergeCell ref="K5278:K5281"/>
    <mergeCell ref="L5278:L5281"/>
    <mergeCell ref="M5278:M5281"/>
    <mergeCell ref="N5278:N5281"/>
    <mergeCell ref="A5283:A5286"/>
    <mergeCell ref="B5283:B5286"/>
    <mergeCell ref="C5283:C5286"/>
    <mergeCell ref="D5283:D5286"/>
    <mergeCell ref="E5283:E5286"/>
    <mergeCell ref="F5283:F5286"/>
    <mergeCell ref="G5283:G5286"/>
    <mergeCell ref="H5283:H5286"/>
    <mergeCell ref="I5283:I5286"/>
    <mergeCell ref="J5283:J5286"/>
    <mergeCell ref="K5283:K5286"/>
    <mergeCell ref="L5283:L5286"/>
    <mergeCell ref="M5283:M5286"/>
    <mergeCell ref="N5283:N5286"/>
    <mergeCell ref="A5261:A5263"/>
    <mergeCell ref="B5261:B5263"/>
    <mergeCell ref="C5261:C5263"/>
    <mergeCell ref="D5261:D5263"/>
    <mergeCell ref="E5261:E5263"/>
    <mergeCell ref="F5261:F5263"/>
    <mergeCell ref="G5261:G5263"/>
    <mergeCell ref="H5261:H5263"/>
    <mergeCell ref="I5261:I5263"/>
    <mergeCell ref="J5261:J5263"/>
    <mergeCell ref="K5261:K5263"/>
    <mergeCell ref="L5261:L5263"/>
    <mergeCell ref="M5261:M5263"/>
    <mergeCell ref="N5261:N5263"/>
    <mergeCell ref="A5266:A5269"/>
    <mergeCell ref="B5266:B5269"/>
    <mergeCell ref="C5266:C5269"/>
    <mergeCell ref="D5266:D5269"/>
    <mergeCell ref="E5266:E5269"/>
    <mergeCell ref="F5266:F5269"/>
    <mergeCell ref="G5266:G5269"/>
    <mergeCell ref="H5266:H5269"/>
    <mergeCell ref="I5266:I5269"/>
    <mergeCell ref="J5266:J5269"/>
    <mergeCell ref="K5266:K5269"/>
    <mergeCell ref="L5266:L5269"/>
    <mergeCell ref="M5266:M5269"/>
    <mergeCell ref="N5266:N5269"/>
    <mergeCell ref="A5270:A5274"/>
    <mergeCell ref="B5270:B5274"/>
    <mergeCell ref="C5270:C5274"/>
    <mergeCell ref="D5270:D5274"/>
    <mergeCell ref="E5270:E5274"/>
    <mergeCell ref="F5270:F5274"/>
    <mergeCell ref="G5270:G5274"/>
    <mergeCell ref="H5270:H5274"/>
    <mergeCell ref="I5270:I5274"/>
    <mergeCell ref="J5270:J5274"/>
    <mergeCell ref="K5270:K5274"/>
    <mergeCell ref="L5270:L5274"/>
    <mergeCell ref="M5270:M5274"/>
    <mergeCell ref="N5270:N5274"/>
    <mergeCell ref="A5244:A5250"/>
    <mergeCell ref="B5244:B5250"/>
    <mergeCell ref="C5244:C5250"/>
    <mergeCell ref="D5244:D5250"/>
    <mergeCell ref="E5244:E5250"/>
    <mergeCell ref="F5244:F5250"/>
    <mergeCell ref="G5244:G5250"/>
    <mergeCell ref="H5244:H5250"/>
    <mergeCell ref="I5244:I5250"/>
    <mergeCell ref="J5244:J5250"/>
    <mergeCell ref="K5244:K5250"/>
    <mergeCell ref="L5244:L5250"/>
    <mergeCell ref="M5244:M5250"/>
    <mergeCell ref="N5244:N5250"/>
    <mergeCell ref="A5252:A5256"/>
    <mergeCell ref="B5252:B5256"/>
    <mergeCell ref="C5252:C5256"/>
    <mergeCell ref="D5252:D5256"/>
    <mergeCell ref="E5252:E5256"/>
    <mergeCell ref="F5252:F5256"/>
    <mergeCell ref="G5252:G5256"/>
    <mergeCell ref="H5252:H5256"/>
    <mergeCell ref="I5252:I5256"/>
    <mergeCell ref="J5252:J5256"/>
    <mergeCell ref="K5252:K5256"/>
    <mergeCell ref="L5252:L5256"/>
    <mergeCell ref="M5252:M5256"/>
    <mergeCell ref="N5252:N5256"/>
    <mergeCell ref="A5257:A5260"/>
    <mergeCell ref="B5257:B5260"/>
    <mergeCell ref="C5257:C5260"/>
    <mergeCell ref="D5257:D5260"/>
    <mergeCell ref="E5257:E5260"/>
    <mergeCell ref="F5257:F5260"/>
    <mergeCell ref="G5257:G5260"/>
    <mergeCell ref="H5257:H5260"/>
    <mergeCell ref="I5257:I5260"/>
    <mergeCell ref="J5257:J5260"/>
    <mergeCell ref="K5257:K5260"/>
    <mergeCell ref="L5257:L5260"/>
    <mergeCell ref="M5257:M5260"/>
    <mergeCell ref="N5257:N5260"/>
    <mergeCell ref="A5231:A5236"/>
    <mergeCell ref="B5231:B5236"/>
    <mergeCell ref="C5231:C5236"/>
    <mergeCell ref="D5231:D5236"/>
    <mergeCell ref="E5231:E5236"/>
    <mergeCell ref="F5231:F5236"/>
    <mergeCell ref="G5231:G5236"/>
    <mergeCell ref="H5231:H5236"/>
    <mergeCell ref="I5231:I5236"/>
    <mergeCell ref="J5231:J5236"/>
    <mergeCell ref="K5231:K5236"/>
    <mergeCell ref="L5231:L5236"/>
    <mergeCell ref="M5231:M5236"/>
    <mergeCell ref="N5231:N5236"/>
    <mergeCell ref="A5238:A5239"/>
    <mergeCell ref="B5238:B5239"/>
    <mergeCell ref="C5238:C5239"/>
    <mergeCell ref="D5238:D5239"/>
    <mergeCell ref="E5238:E5239"/>
    <mergeCell ref="F5238:F5239"/>
    <mergeCell ref="G5238:G5239"/>
    <mergeCell ref="H5238:H5239"/>
    <mergeCell ref="I5238:I5239"/>
    <mergeCell ref="J5238:J5239"/>
    <mergeCell ref="K5238:K5239"/>
    <mergeCell ref="L5238:L5239"/>
    <mergeCell ref="M5238:M5239"/>
    <mergeCell ref="N5238:N5239"/>
    <mergeCell ref="A5240:A5242"/>
    <mergeCell ref="B5240:B5242"/>
    <mergeCell ref="C5240:C5242"/>
    <mergeCell ref="D5240:D5242"/>
    <mergeCell ref="E5240:E5242"/>
    <mergeCell ref="F5240:F5242"/>
    <mergeCell ref="G5240:G5242"/>
    <mergeCell ref="H5240:H5242"/>
    <mergeCell ref="I5240:I5242"/>
    <mergeCell ref="J5240:J5242"/>
    <mergeCell ref="K5240:K5242"/>
    <mergeCell ref="L5240:L5242"/>
    <mergeCell ref="M5240:M5242"/>
    <mergeCell ref="N5240:N5242"/>
    <mergeCell ref="A5218:A5219"/>
    <mergeCell ref="B5218:B5219"/>
    <mergeCell ref="C5218:C5219"/>
    <mergeCell ref="D5218:D5219"/>
    <mergeCell ref="E5218:E5219"/>
    <mergeCell ref="F5218:F5219"/>
    <mergeCell ref="G5218:G5219"/>
    <mergeCell ref="H5218:H5219"/>
    <mergeCell ref="I5218:I5219"/>
    <mergeCell ref="J5218:J5219"/>
    <mergeCell ref="K5218:K5219"/>
    <mergeCell ref="L5218:L5219"/>
    <mergeCell ref="M5218:M5219"/>
    <mergeCell ref="N5218:N5219"/>
    <mergeCell ref="A5220:A5225"/>
    <mergeCell ref="B5220:B5225"/>
    <mergeCell ref="C5220:C5225"/>
    <mergeCell ref="D5220:D5225"/>
    <mergeCell ref="E5220:E5225"/>
    <mergeCell ref="F5220:F5225"/>
    <mergeCell ref="G5220:G5225"/>
    <mergeCell ref="H5220:H5225"/>
    <mergeCell ref="I5220:I5225"/>
    <mergeCell ref="J5220:J5225"/>
    <mergeCell ref="K5220:K5225"/>
    <mergeCell ref="L5220:L5225"/>
    <mergeCell ref="M5220:M5225"/>
    <mergeCell ref="N5220:N5225"/>
    <mergeCell ref="A5226:A5230"/>
    <mergeCell ref="B5226:B5230"/>
    <mergeCell ref="C5226:C5230"/>
    <mergeCell ref="D5226:D5230"/>
    <mergeCell ref="E5226:E5230"/>
    <mergeCell ref="F5226:F5230"/>
    <mergeCell ref="G5226:G5230"/>
    <mergeCell ref="H5226:H5230"/>
    <mergeCell ref="I5226:I5230"/>
    <mergeCell ref="J5226:J5230"/>
    <mergeCell ref="K5226:K5230"/>
    <mergeCell ref="L5226:L5230"/>
    <mergeCell ref="M5226:M5230"/>
    <mergeCell ref="N5226:N5230"/>
    <mergeCell ref="A5207:A5209"/>
    <mergeCell ref="B5207:B5209"/>
    <mergeCell ref="C5207:C5209"/>
    <mergeCell ref="D5207:D5209"/>
    <mergeCell ref="E5207:E5209"/>
    <mergeCell ref="F5207:F5209"/>
    <mergeCell ref="G5207:G5209"/>
    <mergeCell ref="H5207:H5209"/>
    <mergeCell ref="I5207:I5209"/>
    <mergeCell ref="J5207:J5209"/>
    <mergeCell ref="K5207:K5209"/>
    <mergeCell ref="L5207:L5209"/>
    <mergeCell ref="M5207:M5209"/>
    <mergeCell ref="N5207:N5209"/>
    <mergeCell ref="A5210:A5215"/>
    <mergeCell ref="B5210:B5215"/>
    <mergeCell ref="C5210:C5215"/>
    <mergeCell ref="D5210:D5215"/>
    <mergeCell ref="E5210:E5215"/>
    <mergeCell ref="F5210:F5215"/>
    <mergeCell ref="G5210:G5215"/>
    <mergeCell ref="H5210:H5215"/>
    <mergeCell ref="I5210:I5215"/>
    <mergeCell ref="J5210:J5215"/>
    <mergeCell ref="K5210:K5215"/>
    <mergeCell ref="L5210:L5215"/>
    <mergeCell ref="M5210:M5215"/>
    <mergeCell ref="N5210:N5215"/>
    <mergeCell ref="A5216:A5217"/>
    <mergeCell ref="B5216:B5217"/>
    <mergeCell ref="C5216:C5217"/>
    <mergeCell ref="D5216:D5217"/>
    <mergeCell ref="E5216:E5217"/>
    <mergeCell ref="F5216:F5217"/>
    <mergeCell ref="G5216:G5217"/>
    <mergeCell ref="H5216:H5217"/>
    <mergeCell ref="I5216:I5217"/>
    <mergeCell ref="J5216:J5217"/>
    <mergeCell ref="K5216:K5217"/>
    <mergeCell ref="L5216:L5217"/>
    <mergeCell ref="M5216:M5217"/>
    <mergeCell ref="N5216:N5217"/>
    <mergeCell ref="A5189:A5191"/>
    <mergeCell ref="B5189:B5191"/>
    <mergeCell ref="C5189:C5191"/>
    <mergeCell ref="D5189:D5191"/>
    <mergeCell ref="E5189:E5191"/>
    <mergeCell ref="F5189:F5191"/>
    <mergeCell ref="G5189:G5191"/>
    <mergeCell ref="H5189:H5191"/>
    <mergeCell ref="I5189:I5191"/>
    <mergeCell ref="J5189:J5191"/>
    <mergeCell ref="K5189:K5191"/>
    <mergeCell ref="L5189:L5191"/>
    <mergeCell ref="M5189:M5191"/>
    <mergeCell ref="N5189:N5191"/>
    <mergeCell ref="A5192:A5194"/>
    <mergeCell ref="B5192:B5194"/>
    <mergeCell ref="C5192:C5194"/>
    <mergeCell ref="D5192:D5194"/>
    <mergeCell ref="E5192:E5194"/>
    <mergeCell ref="F5192:F5194"/>
    <mergeCell ref="G5192:G5194"/>
    <mergeCell ref="H5192:H5194"/>
    <mergeCell ref="I5192:I5194"/>
    <mergeCell ref="J5192:J5194"/>
    <mergeCell ref="K5192:K5194"/>
    <mergeCell ref="L5192:L5194"/>
    <mergeCell ref="M5192:M5194"/>
    <mergeCell ref="N5192:N5194"/>
    <mergeCell ref="A5201:A5202"/>
    <mergeCell ref="B5201:B5202"/>
    <mergeCell ref="C5201:C5202"/>
    <mergeCell ref="D5201:D5202"/>
    <mergeCell ref="E5201:E5202"/>
    <mergeCell ref="F5201:F5202"/>
    <mergeCell ref="G5201:G5202"/>
    <mergeCell ref="H5201:H5202"/>
    <mergeCell ref="I5201:I5202"/>
    <mergeCell ref="J5201:J5202"/>
    <mergeCell ref="K5201:K5202"/>
    <mergeCell ref="L5201:L5202"/>
    <mergeCell ref="M5201:M5202"/>
    <mergeCell ref="N5201:N5202"/>
    <mergeCell ref="A5176:A5179"/>
    <mergeCell ref="B5176:B5179"/>
    <mergeCell ref="C5176:C5179"/>
    <mergeCell ref="D5176:D5179"/>
    <mergeCell ref="E5176:E5179"/>
    <mergeCell ref="F5176:F5179"/>
    <mergeCell ref="G5176:G5179"/>
    <mergeCell ref="H5176:H5179"/>
    <mergeCell ref="I5176:I5179"/>
    <mergeCell ref="J5176:J5179"/>
    <mergeCell ref="K5176:K5179"/>
    <mergeCell ref="L5176:L5179"/>
    <mergeCell ref="M5176:M5179"/>
    <mergeCell ref="N5176:N5179"/>
    <mergeCell ref="A5181:A5182"/>
    <mergeCell ref="B5181:B5182"/>
    <mergeCell ref="C5181:C5182"/>
    <mergeCell ref="D5181:D5182"/>
    <mergeCell ref="E5181:E5182"/>
    <mergeCell ref="F5181:F5182"/>
    <mergeCell ref="G5181:G5182"/>
    <mergeCell ref="H5181:H5182"/>
    <mergeCell ref="I5181:I5182"/>
    <mergeCell ref="J5181:J5182"/>
    <mergeCell ref="K5181:K5182"/>
    <mergeCell ref="L5181:L5182"/>
    <mergeCell ref="M5181:M5182"/>
    <mergeCell ref="N5181:N5182"/>
    <mergeCell ref="A5183:A5184"/>
    <mergeCell ref="B5183:B5184"/>
    <mergeCell ref="C5183:C5184"/>
    <mergeCell ref="D5183:D5184"/>
    <mergeCell ref="E5183:E5184"/>
    <mergeCell ref="F5183:F5184"/>
    <mergeCell ref="G5183:G5184"/>
    <mergeCell ref="H5183:H5184"/>
    <mergeCell ref="I5183:I5184"/>
    <mergeCell ref="J5183:J5184"/>
    <mergeCell ref="K5183:K5184"/>
    <mergeCell ref="L5183:L5184"/>
    <mergeCell ref="M5183:M5184"/>
    <mergeCell ref="N5183:N5184"/>
    <mergeCell ref="A5163:A5164"/>
    <mergeCell ref="B5163:B5164"/>
    <mergeCell ref="C5163:C5164"/>
    <mergeCell ref="D5163:D5164"/>
    <mergeCell ref="E5163:E5164"/>
    <mergeCell ref="F5163:F5164"/>
    <mergeCell ref="G5163:G5164"/>
    <mergeCell ref="H5163:H5164"/>
    <mergeCell ref="I5163:I5164"/>
    <mergeCell ref="J5163:J5164"/>
    <mergeCell ref="K5163:K5164"/>
    <mergeCell ref="L5163:L5164"/>
    <mergeCell ref="M5163:M5164"/>
    <mergeCell ref="N5163:N5164"/>
    <mergeCell ref="A5168:A5170"/>
    <mergeCell ref="B5168:B5170"/>
    <mergeCell ref="C5168:C5170"/>
    <mergeCell ref="D5168:D5170"/>
    <mergeCell ref="E5168:E5170"/>
    <mergeCell ref="F5168:F5170"/>
    <mergeCell ref="G5168:G5170"/>
    <mergeCell ref="H5168:H5170"/>
    <mergeCell ref="I5168:I5170"/>
    <mergeCell ref="J5168:J5170"/>
    <mergeCell ref="K5168:K5170"/>
    <mergeCell ref="L5168:L5170"/>
    <mergeCell ref="M5168:M5170"/>
    <mergeCell ref="N5168:N5170"/>
    <mergeCell ref="A5171:A5173"/>
    <mergeCell ref="B5171:B5173"/>
    <mergeCell ref="C5171:C5173"/>
    <mergeCell ref="D5171:D5173"/>
    <mergeCell ref="E5171:E5173"/>
    <mergeCell ref="F5171:F5173"/>
    <mergeCell ref="G5171:G5173"/>
    <mergeCell ref="H5171:H5173"/>
    <mergeCell ref="I5171:I5173"/>
    <mergeCell ref="J5171:J5173"/>
    <mergeCell ref="K5171:K5173"/>
    <mergeCell ref="L5171:L5173"/>
    <mergeCell ref="M5171:M5173"/>
    <mergeCell ref="N5171:N5173"/>
    <mergeCell ref="A5141:A5142"/>
    <mergeCell ref="B5141:B5142"/>
    <mergeCell ref="C5141:C5142"/>
    <mergeCell ref="D5141:D5142"/>
    <mergeCell ref="E5141:E5142"/>
    <mergeCell ref="F5141:F5142"/>
    <mergeCell ref="G5141:G5142"/>
    <mergeCell ref="H5141:H5142"/>
    <mergeCell ref="I5141:I5142"/>
    <mergeCell ref="J5141:J5142"/>
    <mergeCell ref="K5141:K5142"/>
    <mergeCell ref="L5141:L5142"/>
    <mergeCell ref="M5141:M5142"/>
    <mergeCell ref="N5141:N5142"/>
    <mergeCell ref="A5146:A5156"/>
    <mergeCell ref="B5146:B5156"/>
    <mergeCell ref="C5146:C5156"/>
    <mergeCell ref="D5146:D5156"/>
    <mergeCell ref="E5146:E5156"/>
    <mergeCell ref="F5146:F5156"/>
    <mergeCell ref="G5146:G5156"/>
    <mergeCell ref="H5146:H5156"/>
    <mergeCell ref="I5146:I5156"/>
    <mergeCell ref="J5146:J5156"/>
    <mergeCell ref="K5146:K5156"/>
    <mergeCell ref="L5146:L5156"/>
    <mergeCell ref="M5146:M5156"/>
    <mergeCell ref="N5146:N5156"/>
    <mergeCell ref="A5157:A5159"/>
    <mergeCell ref="B5157:B5159"/>
    <mergeCell ref="C5157:C5159"/>
    <mergeCell ref="D5157:D5159"/>
    <mergeCell ref="E5157:E5159"/>
    <mergeCell ref="F5157:F5159"/>
    <mergeCell ref="G5157:G5159"/>
    <mergeCell ref="H5157:H5159"/>
    <mergeCell ref="I5157:I5159"/>
    <mergeCell ref="J5157:J5159"/>
    <mergeCell ref="K5157:K5159"/>
    <mergeCell ref="L5157:L5159"/>
    <mergeCell ref="M5157:M5159"/>
    <mergeCell ref="N5157:N5159"/>
    <mergeCell ref="A5128:A5131"/>
    <mergeCell ref="B5128:B5131"/>
    <mergeCell ref="C5128:C5131"/>
    <mergeCell ref="D5128:D5131"/>
    <mergeCell ref="E5128:E5131"/>
    <mergeCell ref="F5128:F5131"/>
    <mergeCell ref="G5128:G5131"/>
    <mergeCell ref="H5128:H5131"/>
    <mergeCell ref="I5128:I5131"/>
    <mergeCell ref="J5128:J5131"/>
    <mergeCell ref="K5128:K5131"/>
    <mergeCell ref="L5128:L5131"/>
    <mergeCell ref="M5128:M5131"/>
    <mergeCell ref="N5128:N5131"/>
    <mergeCell ref="A5135:A5136"/>
    <mergeCell ref="B5135:B5136"/>
    <mergeCell ref="C5135:C5136"/>
    <mergeCell ref="D5135:D5136"/>
    <mergeCell ref="E5135:E5136"/>
    <mergeCell ref="F5135:F5136"/>
    <mergeCell ref="G5135:G5136"/>
    <mergeCell ref="H5135:H5136"/>
    <mergeCell ref="I5135:I5136"/>
    <mergeCell ref="J5135:J5136"/>
    <mergeCell ref="K5135:K5136"/>
    <mergeCell ref="L5135:L5136"/>
    <mergeCell ref="M5135:M5136"/>
    <mergeCell ref="N5135:N5136"/>
    <mergeCell ref="A5139:A5140"/>
    <mergeCell ref="B5139:B5140"/>
    <mergeCell ref="C5139:C5140"/>
    <mergeCell ref="D5139:D5140"/>
    <mergeCell ref="E5139:E5140"/>
    <mergeCell ref="F5139:F5140"/>
    <mergeCell ref="G5139:G5140"/>
    <mergeCell ref="H5139:H5140"/>
    <mergeCell ref="I5139:I5140"/>
    <mergeCell ref="J5139:J5140"/>
    <mergeCell ref="K5139:K5140"/>
    <mergeCell ref="L5139:L5140"/>
    <mergeCell ref="M5139:M5140"/>
    <mergeCell ref="N5139:N5140"/>
    <mergeCell ref="A5121:A5122"/>
    <mergeCell ref="B5121:B5122"/>
    <mergeCell ref="C5121:C5122"/>
    <mergeCell ref="D5121:D5122"/>
    <mergeCell ref="E5121:E5122"/>
    <mergeCell ref="F5121:F5122"/>
    <mergeCell ref="G5121:G5122"/>
    <mergeCell ref="H5121:H5122"/>
    <mergeCell ref="I5121:I5122"/>
    <mergeCell ref="J5121:J5122"/>
    <mergeCell ref="K5121:K5122"/>
    <mergeCell ref="L5121:L5122"/>
    <mergeCell ref="M5121:M5122"/>
    <mergeCell ref="N5121:N5122"/>
    <mergeCell ref="A5123:A5125"/>
    <mergeCell ref="B5123:B5125"/>
    <mergeCell ref="C5123:C5125"/>
    <mergeCell ref="D5123:D5125"/>
    <mergeCell ref="E5123:E5125"/>
    <mergeCell ref="F5123:F5125"/>
    <mergeCell ref="G5123:G5125"/>
    <mergeCell ref="H5123:H5125"/>
    <mergeCell ref="I5123:I5125"/>
    <mergeCell ref="J5123:J5125"/>
    <mergeCell ref="K5123:K5125"/>
    <mergeCell ref="L5123:L5125"/>
    <mergeCell ref="M5123:M5125"/>
    <mergeCell ref="N5123:N5125"/>
    <mergeCell ref="A5126:A5127"/>
    <mergeCell ref="B5126:B5127"/>
    <mergeCell ref="C5126:C5127"/>
    <mergeCell ref="D5126:D5127"/>
    <mergeCell ref="E5126:E5127"/>
    <mergeCell ref="F5126:F5127"/>
    <mergeCell ref="G5126:G5127"/>
    <mergeCell ref="H5126:H5127"/>
    <mergeCell ref="I5126:I5127"/>
    <mergeCell ref="J5126:J5127"/>
    <mergeCell ref="K5126:K5127"/>
    <mergeCell ref="L5126:L5127"/>
    <mergeCell ref="M5126:M5127"/>
    <mergeCell ref="N5126:N5127"/>
    <mergeCell ref="A5077:A5079"/>
    <mergeCell ref="B5077:B5079"/>
    <mergeCell ref="C5077:C5079"/>
    <mergeCell ref="D5077:D5079"/>
    <mergeCell ref="E5077:E5079"/>
    <mergeCell ref="F5077:F5079"/>
    <mergeCell ref="G5077:G5079"/>
    <mergeCell ref="H5077:H5079"/>
    <mergeCell ref="I5077:I5079"/>
    <mergeCell ref="J5077:J5079"/>
    <mergeCell ref="K5077:K5079"/>
    <mergeCell ref="L5077:L5079"/>
    <mergeCell ref="M5077:M5079"/>
    <mergeCell ref="N5077:N5079"/>
    <mergeCell ref="A5081:A5082"/>
    <mergeCell ref="B5081:B5082"/>
    <mergeCell ref="C5081:C5082"/>
    <mergeCell ref="D5081:D5082"/>
    <mergeCell ref="E5081:E5082"/>
    <mergeCell ref="F5081:F5082"/>
    <mergeCell ref="G5081:G5082"/>
    <mergeCell ref="H5081:H5082"/>
    <mergeCell ref="I5081:I5082"/>
    <mergeCell ref="J5081:J5082"/>
    <mergeCell ref="K5081:K5082"/>
    <mergeCell ref="L5081:L5082"/>
    <mergeCell ref="M5081:M5082"/>
    <mergeCell ref="N5081:N5082"/>
    <mergeCell ref="A5083:A5119"/>
    <mergeCell ref="B5083:B5119"/>
    <mergeCell ref="C5083:C5119"/>
    <mergeCell ref="D5083:D5119"/>
    <mergeCell ref="E5083:E5119"/>
    <mergeCell ref="F5083:F5119"/>
    <mergeCell ref="G5083:G5119"/>
    <mergeCell ref="H5083:H5119"/>
    <mergeCell ref="I5083:I5119"/>
    <mergeCell ref="J5083:J5119"/>
    <mergeCell ref="K5083:K5119"/>
    <mergeCell ref="L5083:L5119"/>
    <mergeCell ref="M5083:M5119"/>
    <mergeCell ref="N5083:N5119"/>
    <mergeCell ref="A5054:A5065"/>
    <mergeCell ref="B5054:B5065"/>
    <mergeCell ref="C5054:C5065"/>
    <mergeCell ref="D5054:D5065"/>
    <mergeCell ref="E5054:E5065"/>
    <mergeCell ref="F5054:F5065"/>
    <mergeCell ref="G5054:G5065"/>
    <mergeCell ref="H5054:H5065"/>
    <mergeCell ref="I5054:I5065"/>
    <mergeCell ref="J5054:J5065"/>
    <mergeCell ref="K5054:K5065"/>
    <mergeCell ref="L5054:L5065"/>
    <mergeCell ref="M5054:M5065"/>
    <mergeCell ref="N5054:N5065"/>
    <mergeCell ref="A5066:A5067"/>
    <mergeCell ref="B5066:B5067"/>
    <mergeCell ref="C5066:C5067"/>
    <mergeCell ref="D5066:D5067"/>
    <mergeCell ref="E5066:E5067"/>
    <mergeCell ref="F5066:F5067"/>
    <mergeCell ref="G5066:G5067"/>
    <mergeCell ref="H5066:H5067"/>
    <mergeCell ref="I5066:I5067"/>
    <mergeCell ref="J5066:J5067"/>
    <mergeCell ref="K5066:K5067"/>
    <mergeCell ref="L5066:L5067"/>
    <mergeCell ref="M5066:M5067"/>
    <mergeCell ref="N5066:N5067"/>
    <mergeCell ref="A5072:A5074"/>
    <mergeCell ref="B5072:B5074"/>
    <mergeCell ref="C5072:C5074"/>
    <mergeCell ref="D5072:D5074"/>
    <mergeCell ref="E5072:E5074"/>
    <mergeCell ref="F5072:F5074"/>
    <mergeCell ref="G5072:G5074"/>
    <mergeCell ref="H5072:H5074"/>
    <mergeCell ref="I5072:I5074"/>
    <mergeCell ref="J5072:J5074"/>
    <mergeCell ref="K5072:K5074"/>
    <mergeCell ref="L5072:L5074"/>
    <mergeCell ref="M5072:M5074"/>
    <mergeCell ref="N5072:N5074"/>
    <mergeCell ref="A5027:A5045"/>
    <mergeCell ref="B5027:B5045"/>
    <mergeCell ref="C5027:C5045"/>
    <mergeCell ref="D5027:D5045"/>
    <mergeCell ref="E5027:E5045"/>
    <mergeCell ref="F5027:F5045"/>
    <mergeCell ref="G5027:G5045"/>
    <mergeCell ref="H5027:H5045"/>
    <mergeCell ref="I5027:I5045"/>
    <mergeCell ref="J5027:J5045"/>
    <mergeCell ref="K5027:K5045"/>
    <mergeCell ref="L5027:L5045"/>
    <mergeCell ref="M5027:M5045"/>
    <mergeCell ref="N5027:N5045"/>
    <mergeCell ref="A5046:A5048"/>
    <mergeCell ref="B5046:B5048"/>
    <mergeCell ref="C5046:C5048"/>
    <mergeCell ref="D5046:D5048"/>
    <mergeCell ref="E5046:E5048"/>
    <mergeCell ref="F5046:F5048"/>
    <mergeCell ref="G5046:G5048"/>
    <mergeCell ref="H5046:H5048"/>
    <mergeCell ref="I5046:I5048"/>
    <mergeCell ref="J5046:J5048"/>
    <mergeCell ref="K5046:K5048"/>
    <mergeCell ref="L5046:L5048"/>
    <mergeCell ref="M5046:M5048"/>
    <mergeCell ref="N5046:N5048"/>
    <mergeCell ref="A5050:A5053"/>
    <mergeCell ref="B5050:B5053"/>
    <mergeCell ref="C5050:C5053"/>
    <mergeCell ref="D5050:D5053"/>
    <mergeCell ref="E5050:E5053"/>
    <mergeCell ref="F5050:F5053"/>
    <mergeCell ref="G5050:G5053"/>
    <mergeCell ref="H5050:H5053"/>
    <mergeCell ref="I5050:I5053"/>
    <mergeCell ref="J5050:J5053"/>
    <mergeCell ref="K5050:K5053"/>
    <mergeCell ref="L5050:L5053"/>
    <mergeCell ref="M5050:M5053"/>
    <mergeCell ref="N5050:N5053"/>
    <mergeCell ref="A5012:A5017"/>
    <mergeCell ref="B5012:B5017"/>
    <mergeCell ref="C5012:C5017"/>
    <mergeCell ref="D5012:D5017"/>
    <mergeCell ref="E5012:E5017"/>
    <mergeCell ref="F5012:F5017"/>
    <mergeCell ref="G5012:G5017"/>
    <mergeCell ref="H5012:H5017"/>
    <mergeCell ref="I5012:I5017"/>
    <mergeCell ref="J5012:J5017"/>
    <mergeCell ref="K5012:K5017"/>
    <mergeCell ref="L5012:L5017"/>
    <mergeCell ref="M5012:M5017"/>
    <mergeCell ref="N5012:N5017"/>
    <mergeCell ref="A5020:A5021"/>
    <mergeCell ref="B5020:B5021"/>
    <mergeCell ref="C5020:C5021"/>
    <mergeCell ref="D5020:D5021"/>
    <mergeCell ref="E5020:E5021"/>
    <mergeCell ref="F5020:F5021"/>
    <mergeCell ref="G5020:G5021"/>
    <mergeCell ref="H5020:H5021"/>
    <mergeCell ref="I5020:I5021"/>
    <mergeCell ref="J5020:J5021"/>
    <mergeCell ref="K5020:K5021"/>
    <mergeCell ref="L5020:L5021"/>
    <mergeCell ref="M5020:M5021"/>
    <mergeCell ref="N5020:N5021"/>
    <mergeCell ref="A5024:A5025"/>
    <mergeCell ref="B5024:B5025"/>
    <mergeCell ref="C5024:C5025"/>
    <mergeCell ref="D5024:D5025"/>
    <mergeCell ref="E5024:E5025"/>
    <mergeCell ref="F5024:F5025"/>
    <mergeCell ref="G5024:G5025"/>
    <mergeCell ref="H5024:H5025"/>
    <mergeCell ref="I5024:I5025"/>
    <mergeCell ref="J5024:J5025"/>
    <mergeCell ref="K5024:K5025"/>
    <mergeCell ref="L5024:L5025"/>
    <mergeCell ref="M5024:M5025"/>
    <mergeCell ref="N5024:N5025"/>
    <mergeCell ref="A5001:A5002"/>
    <mergeCell ref="B5001:B5002"/>
    <mergeCell ref="C5001:C5002"/>
    <mergeCell ref="D5001:D5002"/>
    <mergeCell ref="E5001:E5002"/>
    <mergeCell ref="F5001:F5002"/>
    <mergeCell ref="G5001:G5002"/>
    <mergeCell ref="H5001:H5002"/>
    <mergeCell ref="I5001:I5002"/>
    <mergeCell ref="J5001:J5002"/>
    <mergeCell ref="K5001:K5002"/>
    <mergeCell ref="L5001:L5002"/>
    <mergeCell ref="M5001:M5002"/>
    <mergeCell ref="N5001:N5002"/>
    <mergeCell ref="A5003:A5004"/>
    <mergeCell ref="B5003:B5004"/>
    <mergeCell ref="C5003:C5004"/>
    <mergeCell ref="D5003:D5004"/>
    <mergeCell ref="E5003:E5004"/>
    <mergeCell ref="F5003:F5004"/>
    <mergeCell ref="G5003:G5004"/>
    <mergeCell ref="H5003:H5004"/>
    <mergeCell ref="I5003:I5004"/>
    <mergeCell ref="J5003:J5004"/>
    <mergeCell ref="K5003:K5004"/>
    <mergeCell ref="L5003:L5004"/>
    <mergeCell ref="M5003:M5004"/>
    <mergeCell ref="N5003:N5004"/>
    <mergeCell ref="A5005:A5006"/>
    <mergeCell ref="B5005:B5006"/>
    <mergeCell ref="C5005:C5006"/>
    <mergeCell ref="D5005:D5006"/>
    <mergeCell ref="E5005:E5006"/>
    <mergeCell ref="F5005:F5006"/>
    <mergeCell ref="G5005:G5006"/>
    <mergeCell ref="H5005:H5006"/>
    <mergeCell ref="I5005:I5006"/>
    <mergeCell ref="J5005:J5006"/>
    <mergeCell ref="K5005:K5006"/>
    <mergeCell ref="L5005:L5006"/>
    <mergeCell ref="M5005:M5006"/>
    <mergeCell ref="N5005:N5006"/>
    <mergeCell ref="A4992:A4993"/>
    <mergeCell ref="B4992:B4993"/>
    <mergeCell ref="C4992:C4993"/>
    <mergeCell ref="D4992:D4993"/>
    <mergeCell ref="E4992:E4993"/>
    <mergeCell ref="F4992:F4993"/>
    <mergeCell ref="G4992:G4993"/>
    <mergeCell ref="H4992:H4993"/>
    <mergeCell ref="I4992:I4993"/>
    <mergeCell ref="J4992:J4993"/>
    <mergeCell ref="K4992:K4993"/>
    <mergeCell ref="L4992:L4993"/>
    <mergeCell ref="M4992:M4993"/>
    <mergeCell ref="N4992:N4993"/>
    <mergeCell ref="A4994:A4995"/>
    <mergeCell ref="B4994:B4995"/>
    <mergeCell ref="C4994:C4995"/>
    <mergeCell ref="D4994:D4995"/>
    <mergeCell ref="E4994:E4995"/>
    <mergeCell ref="F4994:F4995"/>
    <mergeCell ref="G4994:G4995"/>
    <mergeCell ref="H4994:H4995"/>
    <mergeCell ref="I4994:I4995"/>
    <mergeCell ref="J4994:J4995"/>
    <mergeCell ref="K4994:K4995"/>
    <mergeCell ref="L4994:L4995"/>
    <mergeCell ref="M4994:M4995"/>
    <mergeCell ref="N4994:N4995"/>
    <mergeCell ref="A4997:A4999"/>
    <mergeCell ref="B4997:B4999"/>
    <mergeCell ref="C4997:C4999"/>
    <mergeCell ref="D4997:D4999"/>
    <mergeCell ref="E4997:E4999"/>
    <mergeCell ref="F4997:F4999"/>
    <mergeCell ref="G4997:G4999"/>
    <mergeCell ref="H4997:H4999"/>
    <mergeCell ref="I4997:I4999"/>
    <mergeCell ref="J4997:J4999"/>
    <mergeCell ref="K4997:K4999"/>
    <mergeCell ref="L4997:L4999"/>
    <mergeCell ref="M4997:M4999"/>
    <mergeCell ref="N4997:N4999"/>
    <mergeCell ref="A4983:A4984"/>
    <mergeCell ref="B4983:B4984"/>
    <mergeCell ref="C4983:C4984"/>
    <mergeCell ref="D4983:D4984"/>
    <mergeCell ref="E4983:E4984"/>
    <mergeCell ref="F4983:F4984"/>
    <mergeCell ref="G4983:G4984"/>
    <mergeCell ref="H4983:H4984"/>
    <mergeCell ref="I4983:I4984"/>
    <mergeCell ref="J4983:J4984"/>
    <mergeCell ref="K4983:K4984"/>
    <mergeCell ref="L4983:L4984"/>
    <mergeCell ref="M4983:M4984"/>
    <mergeCell ref="N4983:N4984"/>
    <mergeCell ref="A4986:A4987"/>
    <mergeCell ref="B4986:B4987"/>
    <mergeCell ref="C4986:C4987"/>
    <mergeCell ref="D4986:D4987"/>
    <mergeCell ref="E4986:E4987"/>
    <mergeCell ref="F4986:F4987"/>
    <mergeCell ref="G4986:G4987"/>
    <mergeCell ref="H4986:H4987"/>
    <mergeCell ref="I4986:I4987"/>
    <mergeCell ref="J4986:J4987"/>
    <mergeCell ref="K4986:K4987"/>
    <mergeCell ref="L4986:L4987"/>
    <mergeCell ref="M4986:M4987"/>
    <mergeCell ref="N4986:N4987"/>
    <mergeCell ref="A4988:A4989"/>
    <mergeCell ref="B4988:B4989"/>
    <mergeCell ref="C4988:C4989"/>
    <mergeCell ref="D4988:D4989"/>
    <mergeCell ref="E4988:E4989"/>
    <mergeCell ref="F4988:F4989"/>
    <mergeCell ref="G4988:G4989"/>
    <mergeCell ref="H4988:H4989"/>
    <mergeCell ref="I4988:I4989"/>
    <mergeCell ref="J4988:J4989"/>
    <mergeCell ref="K4988:K4989"/>
    <mergeCell ref="L4988:L4989"/>
    <mergeCell ref="M4988:M4989"/>
    <mergeCell ref="N4988:N4989"/>
    <mergeCell ref="A4968:A4969"/>
    <mergeCell ref="B4968:B4969"/>
    <mergeCell ref="C4968:C4969"/>
    <mergeCell ref="D4968:D4969"/>
    <mergeCell ref="E4968:E4969"/>
    <mergeCell ref="F4968:F4969"/>
    <mergeCell ref="G4968:G4969"/>
    <mergeCell ref="H4968:H4969"/>
    <mergeCell ref="I4968:I4969"/>
    <mergeCell ref="J4968:J4969"/>
    <mergeCell ref="K4968:K4969"/>
    <mergeCell ref="L4968:L4969"/>
    <mergeCell ref="M4968:M4969"/>
    <mergeCell ref="N4968:N4969"/>
    <mergeCell ref="A4970:A4971"/>
    <mergeCell ref="B4970:B4971"/>
    <mergeCell ref="C4970:C4971"/>
    <mergeCell ref="D4970:D4971"/>
    <mergeCell ref="E4970:E4971"/>
    <mergeCell ref="F4970:F4971"/>
    <mergeCell ref="G4970:G4971"/>
    <mergeCell ref="H4970:H4971"/>
    <mergeCell ref="I4970:I4971"/>
    <mergeCell ref="J4970:J4971"/>
    <mergeCell ref="K4970:K4971"/>
    <mergeCell ref="L4970:L4971"/>
    <mergeCell ref="M4970:M4971"/>
    <mergeCell ref="N4970:N4971"/>
    <mergeCell ref="A4974:A4982"/>
    <mergeCell ref="B4974:B4982"/>
    <mergeCell ref="C4974:C4982"/>
    <mergeCell ref="D4974:D4982"/>
    <mergeCell ref="E4974:E4982"/>
    <mergeCell ref="F4974:F4982"/>
    <mergeCell ref="G4974:G4982"/>
    <mergeCell ref="H4974:H4982"/>
    <mergeCell ref="I4974:I4982"/>
    <mergeCell ref="J4974:J4982"/>
    <mergeCell ref="K4974:K4982"/>
    <mergeCell ref="L4974:L4982"/>
    <mergeCell ref="M4974:M4982"/>
    <mergeCell ref="N4974:N4982"/>
    <mergeCell ref="A4959:A4961"/>
    <mergeCell ref="B4959:B4961"/>
    <mergeCell ref="C4959:C4961"/>
    <mergeCell ref="D4959:D4961"/>
    <mergeCell ref="E4959:E4961"/>
    <mergeCell ref="F4959:F4961"/>
    <mergeCell ref="G4959:G4961"/>
    <mergeCell ref="H4959:H4961"/>
    <mergeCell ref="I4959:I4961"/>
    <mergeCell ref="J4959:J4961"/>
    <mergeCell ref="K4959:K4961"/>
    <mergeCell ref="L4959:L4961"/>
    <mergeCell ref="M4959:M4961"/>
    <mergeCell ref="N4959:N4961"/>
    <mergeCell ref="A4962:A4965"/>
    <mergeCell ref="B4962:B4965"/>
    <mergeCell ref="C4962:C4965"/>
    <mergeCell ref="D4962:D4965"/>
    <mergeCell ref="E4962:E4965"/>
    <mergeCell ref="F4962:F4965"/>
    <mergeCell ref="G4962:G4965"/>
    <mergeCell ref="H4962:H4965"/>
    <mergeCell ref="I4962:I4965"/>
    <mergeCell ref="J4962:J4965"/>
    <mergeCell ref="K4962:K4965"/>
    <mergeCell ref="L4962:L4965"/>
    <mergeCell ref="M4962:M4965"/>
    <mergeCell ref="N4962:N4965"/>
    <mergeCell ref="A4966:A4967"/>
    <mergeCell ref="B4966:B4967"/>
    <mergeCell ref="C4966:C4967"/>
    <mergeCell ref="D4966:D4967"/>
    <mergeCell ref="E4966:E4967"/>
    <mergeCell ref="F4966:F4967"/>
    <mergeCell ref="G4966:G4967"/>
    <mergeCell ref="H4966:H4967"/>
    <mergeCell ref="I4966:I4967"/>
    <mergeCell ref="J4966:J4967"/>
    <mergeCell ref="K4966:K4967"/>
    <mergeCell ref="L4966:L4967"/>
    <mergeCell ref="M4966:M4967"/>
    <mergeCell ref="N4966:N4967"/>
    <mergeCell ref="A4951:A4952"/>
    <mergeCell ref="B4951:B4952"/>
    <mergeCell ref="C4951:C4952"/>
    <mergeCell ref="D4951:D4952"/>
    <mergeCell ref="E4951:E4952"/>
    <mergeCell ref="F4951:F4952"/>
    <mergeCell ref="G4951:G4952"/>
    <mergeCell ref="H4951:H4952"/>
    <mergeCell ref="I4951:I4952"/>
    <mergeCell ref="J4951:J4952"/>
    <mergeCell ref="K4951:K4952"/>
    <mergeCell ref="L4951:L4952"/>
    <mergeCell ref="M4951:M4952"/>
    <mergeCell ref="N4951:N4952"/>
    <mergeCell ref="A4953:A4954"/>
    <mergeCell ref="B4953:B4954"/>
    <mergeCell ref="C4953:C4954"/>
    <mergeCell ref="D4953:D4954"/>
    <mergeCell ref="E4953:E4954"/>
    <mergeCell ref="F4953:F4954"/>
    <mergeCell ref="G4953:G4954"/>
    <mergeCell ref="H4953:H4954"/>
    <mergeCell ref="I4953:I4954"/>
    <mergeCell ref="J4953:J4954"/>
    <mergeCell ref="K4953:K4954"/>
    <mergeCell ref="L4953:L4954"/>
    <mergeCell ref="M4953:M4954"/>
    <mergeCell ref="N4953:N4954"/>
    <mergeCell ref="A4956:A4958"/>
    <mergeCell ref="B4956:B4958"/>
    <mergeCell ref="C4956:C4958"/>
    <mergeCell ref="D4956:D4958"/>
    <mergeCell ref="E4956:E4958"/>
    <mergeCell ref="F4956:F4958"/>
    <mergeCell ref="G4956:G4958"/>
    <mergeCell ref="H4956:H4958"/>
    <mergeCell ref="I4956:I4958"/>
    <mergeCell ref="J4956:J4958"/>
    <mergeCell ref="K4956:K4958"/>
    <mergeCell ref="L4956:L4958"/>
    <mergeCell ref="M4956:M4958"/>
    <mergeCell ref="N4956:N4958"/>
    <mergeCell ref="A4919:A4921"/>
    <mergeCell ref="B4919:B4921"/>
    <mergeCell ref="C4919:C4921"/>
    <mergeCell ref="D4919:D4921"/>
    <mergeCell ref="E4919:E4921"/>
    <mergeCell ref="F4919:F4921"/>
    <mergeCell ref="G4919:G4921"/>
    <mergeCell ref="H4919:H4921"/>
    <mergeCell ref="I4919:I4921"/>
    <mergeCell ref="J4919:J4921"/>
    <mergeCell ref="K4919:K4921"/>
    <mergeCell ref="L4919:L4921"/>
    <mergeCell ref="M4919:M4921"/>
    <mergeCell ref="N4919:N4921"/>
    <mergeCell ref="A4922:A4924"/>
    <mergeCell ref="B4922:B4924"/>
    <mergeCell ref="C4922:C4924"/>
    <mergeCell ref="D4922:D4924"/>
    <mergeCell ref="E4922:E4924"/>
    <mergeCell ref="F4922:F4924"/>
    <mergeCell ref="G4922:G4924"/>
    <mergeCell ref="H4922:H4924"/>
    <mergeCell ref="I4922:I4924"/>
    <mergeCell ref="J4922:J4924"/>
    <mergeCell ref="K4922:K4924"/>
    <mergeCell ref="L4922:L4924"/>
    <mergeCell ref="M4922:M4924"/>
    <mergeCell ref="N4922:N4924"/>
    <mergeCell ref="A4926:A4949"/>
    <mergeCell ref="B4926:B4949"/>
    <mergeCell ref="C4926:C4949"/>
    <mergeCell ref="D4926:D4949"/>
    <mergeCell ref="E4926:E4949"/>
    <mergeCell ref="F4926:F4949"/>
    <mergeCell ref="G4926:G4949"/>
    <mergeCell ref="H4926:H4949"/>
    <mergeCell ref="I4926:I4949"/>
    <mergeCell ref="J4926:J4949"/>
    <mergeCell ref="K4926:K4949"/>
    <mergeCell ref="L4926:L4949"/>
    <mergeCell ref="M4926:M4949"/>
    <mergeCell ref="N4926:N4949"/>
    <mergeCell ref="A4906:A4908"/>
    <mergeCell ref="B4906:B4908"/>
    <mergeCell ref="C4906:C4908"/>
    <mergeCell ref="D4906:D4908"/>
    <mergeCell ref="E4906:E4908"/>
    <mergeCell ref="F4906:F4908"/>
    <mergeCell ref="G4906:G4908"/>
    <mergeCell ref="H4906:H4908"/>
    <mergeCell ref="I4906:I4908"/>
    <mergeCell ref="J4906:J4908"/>
    <mergeCell ref="K4906:K4908"/>
    <mergeCell ref="L4906:L4908"/>
    <mergeCell ref="M4906:M4908"/>
    <mergeCell ref="N4906:N4908"/>
    <mergeCell ref="A4909:A4911"/>
    <mergeCell ref="B4909:B4911"/>
    <mergeCell ref="C4909:C4911"/>
    <mergeCell ref="D4909:D4911"/>
    <mergeCell ref="E4909:E4911"/>
    <mergeCell ref="F4909:F4911"/>
    <mergeCell ref="G4909:G4911"/>
    <mergeCell ref="H4909:H4911"/>
    <mergeCell ref="I4909:I4911"/>
    <mergeCell ref="J4909:J4911"/>
    <mergeCell ref="K4909:K4911"/>
    <mergeCell ref="L4909:L4911"/>
    <mergeCell ref="M4909:M4911"/>
    <mergeCell ref="N4909:N4911"/>
    <mergeCell ref="A4914:A4918"/>
    <mergeCell ref="B4914:B4918"/>
    <mergeCell ref="C4914:C4918"/>
    <mergeCell ref="D4914:D4918"/>
    <mergeCell ref="E4914:E4918"/>
    <mergeCell ref="F4914:F4918"/>
    <mergeCell ref="G4914:G4918"/>
    <mergeCell ref="H4914:H4918"/>
    <mergeCell ref="I4914:I4918"/>
    <mergeCell ref="J4914:J4918"/>
    <mergeCell ref="K4914:K4918"/>
    <mergeCell ref="L4914:L4918"/>
    <mergeCell ref="M4914:M4918"/>
    <mergeCell ref="N4914:N4918"/>
    <mergeCell ref="A4894:A4895"/>
    <mergeCell ref="B4894:B4895"/>
    <mergeCell ref="C4894:C4895"/>
    <mergeCell ref="D4894:D4895"/>
    <mergeCell ref="E4894:E4895"/>
    <mergeCell ref="F4894:F4895"/>
    <mergeCell ref="G4894:G4895"/>
    <mergeCell ref="H4894:H4895"/>
    <mergeCell ref="I4894:I4895"/>
    <mergeCell ref="J4894:J4895"/>
    <mergeCell ref="K4894:K4895"/>
    <mergeCell ref="L4894:L4895"/>
    <mergeCell ref="M4894:M4895"/>
    <mergeCell ref="N4894:N4895"/>
    <mergeCell ref="A4898:A4900"/>
    <mergeCell ref="B4898:B4900"/>
    <mergeCell ref="C4898:C4900"/>
    <mergeCell ref="D4898:D4900"/>
    <mergeCell ref="E4898:E4900"/>
    <mergeCell ref="F4898:F4900"/>
    <mergeCell ref="G4898:G4900"/>
    <mergeCell ref="H4898:H4900"/>
    <mergeCell ref="I4898:I4900"/>
    <mergeCell ref="J4898:J4900"/>
    <mergeCell ref="K4898:K4900"/>
    <mergeCell ref="L4898:L4900"/>
    <mergeCell ref="M4898:M4900"/>
    <mergeCell ref="N4898:N4900"/>
    <mergeCell ref="A4903:A4905"/>
    <mergeCell ref="B4903:B4905"/>
    <mergeCell ref="C4903:C4905"/>
    <mergeCell ref="D4903:D4905"/>
    <mergeCell ref="E4903:E4905"/>
    <mergeCell ref="F4903:F4905"/>
    <mergeCell ref="G4903:G4905"/>
    <mergeCell ref="H4903:H4905"/>
    <mergeCell ref="I4903:I4905"/>
    <mergeCell ref="J4903:J4905"/>
    <mergeCell ref="K4903:K4905"/>
    <mergeCell ref="L4903:L4905"/>
    <mergeCell ref="M4903:M4905"/>
    <mergeCell ref="N4903:N4905"/>
    <mergeCell ref="A4880:A4883"/>
    <mergeCell ref="B4880:B4883"/>
    <mergeCell ref="C4880:C4883"/>
    <mergeCell ref="D4880:D4883"/>
    <mergeCell ref="E4880:E4883"/>
    <mergeCell ref="F4880:F4883"/>
    <mergeCell ref="G4880:G4883"/>
    <mergeCell ref="H4880:H4883"/>
    <mergeCell ref="I4880:I4883"/>
    <mergeCell ref="J4880:J4883"/>
    <mergeCell ref="K4880:K4883"/>
    <mergeCell ref="L4880:L4883"/>
    <mergeCell ref="M4880:M4883"/>
    <mergeCell ref="N4880:N4883"/>
    <mergeCell ref="A4885:A4891"/>
    <mergeCell ref="B4885:B4891"/>
    <mergeCell ref="C4885:C4891"/>
    <mergeCell ref="D4885:D4891"/>
    <mergeCell ref="E4885:E4891"/>
    <mergeCell ref="F4885:F4891"/>
    <mergeCell ref="G4885:G4891"/>
    <mergeCell ref="H4885:H4891"/>
    <mergeCell ref="I4885:I4891"/>
    <mergeCell ref="J4885:J4891"/>
    <mergeCell ref="K4885:K4891"/>
    <mergeCell ref="L4885:L4891"/>
    <mergeCell ref="M4885:M4891"/>
    <mergeCell ref="N4885:N4891"/>
    <mergeCell ref="A4892:A4893"/>
    <mergeCell ref="B4892:B4893"/>
    <mergeCell ref="C4892:C4893"/>
    <mergeCell ref="D4892:D4893"/>
    <mergeCell ref="E4892:E4893"/>
    <mergeCell ref="F4892:F4893"/>
    <mergeCell ref="G4892:G4893"/>
    <mergeCell ref="H4892:H4893"/>
    <mergeCell ref="I4892:I4893"/>
    <mergeCell ref="J4892:J4893"/>
    <mergeCell ref="K4892:K4893"/>
    <mergeCell ref="L4892:L4893"/>
    <mergeCell ref="M4892:M4893"/>
    <mergeCell ref="N4892:N4893"/>
    <mergeCell ref="A4871:A4873"/>
    <mergeCell ref="B4871:B4873"/>
    <mergeCell ref="C4871:C4873"/>
    <mergeCell ref="D4871:D4873"/>
    <mergeCell ref="E4871:E4873"/>
    <mergeCell ref="F4871:F4873"/>
    <mergeCell ref="G4871:G4873"/>
    <mergeCell ref="H4871:H4873"/>
    <mergeCell ref="I4871:I4873"/>
    <mergeCell ref="J4871:J4873"/>
    <mergeCell ref="K4871:K4873"/>
    <mergeCell ref="L4871:L4873"/>
    <mergeCell ref="M4871:M4873"/>
    <mergeCell ref="N4871:N4873"/>
    <mergeCell ref="A4874:A4876"/>
    <mergeCell ref="B4874:B4876"/>
    <mergeCell ref="C4874:C4876"/>
    <mergeCell ref="D4874:D4876"/>
    <mergeCell ref="E4874:E4876"/>
    <mergeCell ref="F4874:F4876"/>
    <mergeCell ref="G4874:G4876"/>
    <mergeCell ref="H4874:H4876"/>
    <mergeCell ref="I4874:I4876"/>
    <mergeCell ref="J4874:J4876"/>
    <mergeCell ref="K4874:K4876"/>
    <mergeCell ref="L4874:L4876"/>
    <mergeCell ref="M4874:M4876"/>
    <mergeCell ref="N4874:N4876"/>
    <mergeCell ref="A4877:A4878"/>
    <mergeCell ref="B4877:B4878"/>
    <mergeCell ref="C4877:C4878"/>
    <mergeCell ref="D4877:D4878"/>
    <mergeCell ref="E4877:E4878"/>
    <mergeCell ref="F4877:F4878"/>
    <mergeCell ref="G4877:G4878"/>
    <mergeCell ref="H4877:H4878"/>
    <mergeCell ref="I4877:I4878"/>
    <mergeCell ref="J4877:J4878"/>
    <mergeCell ref="K4877:K4878"/>
    <mergeCell ref="L4877:L4878"/>
    <mergeCell ref="M4877:M4878"/>
    <mergeCell ref="N4877:N4878"/>
    <mergeCell ref="A4818:A4838"/>
    <mergeCell ref="B4818:B4838"/>
    <mergeCell ref="C4818:C4838"/>
    <mergeCell ref="D4818:D4838"/>
    <mergeCell ref="E4818:E4838"/>
    <mergeCell ref="F4818:F4838"/>
    <mergeCell ref="G4818:G4838"/>
    <mergeCell ref="H4818:H4838"/>
    <mergeCell ref="I4818:I4838"/>
    <mergeCell ref="J4818:J4838"/>
    <mergeCell ref="K4818:K4838"/>
    <mergeCell ref="L4818:L4838"/>
    <mergeCell ref="M4818:M4838"/>
    <mergeCell ref="N4818:N4838"/>
    <mergeCell ref="A4839:A4860"/>
    <mergeCell ref="B4839:B4860"/>
    <mergeCell ref="C4839:C4860"/>
    <mergeCell ref="D4839:D4860"/>
    <mergeCell ref="E4839:E4860"/>
    <mergeCell ref="F4839:F4860"/>
    <mergeCell ref="G4839:G4860"/>
    <mergeCell ref="H4839:H4860"/>
    <mergeCell ref="I4839:I4860"/>
    <mergeCell ref="J4839:J4860"/>
    <mergeCell ref="K4839:K4860"/>
    <mergeCell ref="L4839:L4860"/>
    <mergeCell ref="M4839:M4860"/>
    <mergeCell ref="N4839:N4860"/>
    <mergeCell ref="A4867:A4868"/>
    <mergeCell ref="B4867:B4868"/>
    <mergeCell ref="C4867:C4868"/>
    <mergeCell ref="D4867:D4868"/>
    <mergeCell ref="E4867:E4868"/>
    <mergeCell ref="F4867:F4868"/>
    <mergeCell ref="G4867:G4868"/>
    <mergeCell ref="H4867:H4868"/>
    <mergeCell ref="I4867:I4868"/>
    <mergeCell ref="J4867:J4868"/>
    <mergeCell ref="K4867:K4868"/>
    <mergeCell ref="L4867:L4868"/>
    <mergeCell ref="M4867:M4868"/>
    <mergeCell ref="N4867:N4868"/>
    <mergeCell ref="A4798:A4800"/>
    <mergeCell ref="B4798:B4800"/>
    <mergeCell ref="C4798:C4800"/>
    <mergeCell ref="D4798:D4800"/>
    <mergeCell ref="E4798:E4800"/>
    <mergeCell ref="F4798:F4800"/>
    <mergeCell ref="G4798:G4800"/>
    <mergeCell ref="H4798:H4800"/>
    <mergeCell ref="I4798:I4800"/>
    <mergeCell ref="J4798:J4800"/>
    <mergeCell ref="K4798:K4800"/>
    <mergeCell ref="L4798:L4800"/>
    <mergeCell ref="M4798:M4800"/>
    <mergeCell ref="N4798:N4800"/>
    <mergeCell ref="A4804:A4814"/>
    <mergeCell ref="B4804:B4814"/>
    <mergeCell ref="C4804:C4814"/>
    <mergeCell ref="D4804:D4814"/>
    <mergeCell ref="E4804:E4814"/>
    <mergeCell ref="F4804:F4814"/>
    <mergeCell ref="G4804:G4814"/>
    <mergeCell ref="H4804:H4814"/>
    <mergeCell ref="I4804:I4814"/>
    <mergeCell ref="J4804:J4814"/>
    <mergeCell ref="K4804:K4814"/>
    <mergeCell ref="L4804:L4814"/>
    <mergeCell ref="M4804:M4814"/>
    <mergeCell ref="N4804:N4814"/>
    <mergeCell ref="A4815:A4817"/>
    <mergeCell ref="B4815:B4817"/>
    <mergeCell ref="C4815:C4817"/>
    <mergeCell ref="D4815:D4817"/>
    <mergeCell ref="E4815:E4817"/>
    <mergeCell ref="F4815:F4817"/>
    <mergeCell ref="G4815:G4817"/>
    <mergeCell ref="H4815:H4817"/>
    <mergeCell ref="I4815:I4817"/>
    <mergeCell ref="J4815:J4817"/>
    <mergeCell ref="K4815:K4817"/>
    <mergeCell ref="L4815:L4817"/>
    <mergeCell ref="M4815:M4817"/>
    <mergeCell ref="N4815:N4817"/>
    <mergeCell ref="A4787:A4788"/>
    <mergeCell ref="B4787:B4788"/>
    <mergeCell ref="C4787:C4788"/>
    <mergeCell ref="D4787:D4788"/>
    <mergeCell ref="E4787:E4788"/>
    <mergeCell ref="F4787:F4788"/>
    <mergeCell ref="G4787:G4788"/>
    <mergeCell ref="H4787:H4788"/>
    <mergeCell ref="I4787:I4788"/>
    <mergeCell ref="J4787:J4788"/>
    <mergeCell ref="K4787:K4788"/>
    <mergeCell ref="L4787:L4788"/>
    <mergeCell ref="M4787:M4788"/>
    <mergeCell ref="N4787:N4788"/>
    <mergeCell ref="A4789:A4791"/>
    <mergeCell ref="B4789:B4791"/>
    <mergeCell ref="C4789:C4791"/>
    <mergeCell ref="D4789:D4791"/>
    <mergeCell ref="E4789:E4791"/>
    <mergeCell ref="F4789:F4791"/>
    <mergeCell ref="G4789:G4791"/>
    <mergeCell ref="H4789:H4791"/>
    <mergeCell ref="I4789:I4791"/>
    <mergeCell ref="J4789:J4791"/>
    <mergeCell ref="K4789:K4791"/>
    <mergeCell ref="L4789:L4791"/>
    <mergeCell ref="M4789:M4791"/>
    <mergeCell ref="N4789:N4791"/>
    <mergeCell ref="A4794:A4797"/>
    <mergeCell ref="B4794:B4797"/>
    <mergeCell ref="C4794:C4797"/>
    <mergeCell ref="D4794:D4797"/>
    <mergeCell ref="E4794:E4797"/>
    <mergeCell ref="F4794:F4797"/>
    <mergeCell ref="G4794:G4797"/>
    <mergeCell ref="H4794:H4797"/>
    <mergeCell ref="I4794:I4797"/>
    <mergeCell ref="J4794:J4797"/>
    <mergeCell ref="K4794:K4797"/>
    <mergeCell ref="L4794:L4797"/>
    <mergeCell ref="M4794:M4797"/>
    <mergeCell ref="N4794:N4797"/>
    <mergeCell ref="A4778:A4779"/>
    <mergeCell ref="B4778:B4779"/>
    <mergeCell ref="C4778:C4779"/>
    <mergeCell ref="D4778:D4779"/>
    <mergeCell ref="E4778:E4779"/>
    <mergeCell ref="F4778:F4779"/>
    <mergeCell ref="G4778:G4779"/>
    <mergeCell ref="H4778:H4779"/>
    <mergeCell ref="I4778:I4779"/>
    <mergeCell ref="J4778:J4779"/>
    <mergeCell ref="K4778:K4779"/>
    <mergeCell ref="L4778:L4779"/>
    <mergeCell ref="M4778:M4779"/>
    <mergeCell ref="N4778:N4779"/>
    <mergeCell ref="A4780:A4783"/>
    <mergeCell ref="B4780:B4783"/>
    <mergeCell ref="C4780:C4783"/>
    <mergeCell ref="D4780:D4783"/>
    <mergeCell ref="E4780:E4783"/>
    <mergeCell ref="F4780:F4783"/>
    <mergeCell ref="G4780:G4783"/>
    <mergeCell ref="H4780:H4783"/>
    <mergeCell ref="I4780:I4783"/>
    <mergeCell ref="J4780:J4783"/>
    <mergeCell ref="K4780:K4783"/>
    <mergeCell ref="L4780:L4783"/>
    <mergeCell ref="M4780:M4783"/>
    <mergeCell ref="N4780:N4783"/>
    <mergeCell ref="A4784:A4785"/>
    <mergeCell ref="B4784:B4785"/>
    <mergeCell ref="C4784:C4785"/>
    <mergeCell ref="D4784:D4785"/>
    <mergeCell ref="E4784:E4785"/>
    <mergeCell ref="F4784:F4785"/>
    <mergeCell ref="G4784:G4785"/>
    <mergeCell ref="H4784:H4785"/>
    <mergeCell ref="I4784:I4785"/>
    <mergeCell ref="J4784:J4785"/>
    <mergeCell ref="K4784:K4785"/>
    <mergeCell ref="L4784:L4785"/>
    <mergeCell ref="M4784:M4785"/>
    <mergeCell ref="N4784:N4785"/>
    <mergeCell ref="A4755:A4760"/>
    <mergeCell ref="B4755:B4760"/>
    <mergeCell ref="C4755:C4760"/>
    <mergeCell ref="D4755:D4760"/>
    <mergeCell ref="E4755:E4760"/>
    <mergeCell ref="F4755:F4760"/>
    <mergeCell ref="G4755:G4760"/>
    <mergeCell ref="H4755:H4760"/>
    <mergeCell ref="I4755:I4760"/>
    <mergeCell ref="J4755:J4760"/>
    <mergeCell ref="K4755:K4760"/>
    <mergeCell ref="L4755:L4760"/>
    <mergeCell ref="M4755:M4760"/>
    <mergeCell ref="N4755:N4760"/>
    <mergeCell ref="A4764:A4773"/>
    <mergeCell ref="B4764:B4773"/>
    <mergeCell ref="C4764:C4773"/>
    <mergeCell ref="D4764:D4773"/>
    <mergeCell ref="E4764:E4773"/>
    <mergeCell ref="F4764:F4773"/>
    <mergeCell ref="G4764:G4773"/>
    <mergeCell ref="H4764:H4773"/>
    <mergeCell ref="I4764:I4773"/>
    <mergeCell ref="J4764:J4773"/>
    <mergeCell ref="K4764:K4773"/>
    <mergeCell ref="L4764:L4773"/>
    <mergeCell ref="M4764:M4773"/>
    <mergeCell ref="N4764:N4773"/>
    <mergeCell ref="A4774:A4776"/>
    <mergeCell ref="B4774:B4776"/>
    <mergeCell ref="C4774:C4776"/>
    <mergeCell ref="D4774:D4776"/>
    <mergeCell ref="E4774:E4776"/>
    <mergeCell ref="F4774:F4776"/>
    <mergeCell ref="G4774:G4776"/>
    <mergeCell ref="H4774:H4776"/>
    <mergeCell ref="I4774:I4776"/>
    <mergeCell ref="J4774:J4776"/>
    <mergeCell ref="K4774:K4776"/>
    <mergeCell ref="L4774:L4776"/>
    <mergeCell ref="M4774:M4776"/>
    <mergeCell ref="N4774:N4776"/>
    <mergeCell ref="A4741:A4744"/>
    <mergeCell ref="B4741:B4744"/>
    <mergeCell ref="C4741:C4744"/>
    <mergeCell ref="D4741:D4744"/>
    <mergeCell ref="E4741:E4744"/>
    <mergeCell ref="F4741:F4744"/>
    <mergeCell ref="G4741:G4744"/>
    <mergeCell ref="H4741:H4744"/>
    <mergeCell ref="I4741:I4744"/>
    <mergeCell ref="J4741:J4744"/>
    <mergeCell ref="K4741:K4744"/>
    <mergeCell ref="L4741:L4744"/>
    <mergeCell ref="M4741:M4744"/>
    <mergeCell ref="N4741:N4744"/>
    <mergeCell ref="A4746:A4747"/>
    <mergeCell ref="B4746:B4747"/>
    <mergeCell ref="C4746:C4747"/>
    <mergeCell ref="D4746:D4747"/>
    <mergeCell ref="E4746:E4747"/>
    <mergeCell ref="F4746:F4747"/>
    <mergeCell ref="G4746:G4747"/>
    <mergeCell ref="H4746:H4747"/>
    <mergeCell ref="I4746:I4747"/>
    <mergeCell ref="J4746:J4747"/>
    <mergeCell ref="K4746:K4747"/>
    <mergeCell ref="L4746:L4747"/>
    <mergeCell ref="M4746:M4747"/>
    <mergeCell ref="N4746:N4747"/>
    <mergeCell ref="A4749:A4754"/>
    <mergeCell ref="B4749:B4754"/>
    <mergeCell ref="C4749:C4754"/>
    <mergeCell ref="D4749:D4754"/>
    <mergeCell ref="E4749:E4754"/>
    <mergeCell ref="F4749:F4754"/>
    <mergeCell ref="G4749:G4754"/>
    <mergeCell ref="H4749:H4754"/>
    <mergeCell ref="I4749:I4754"/>
    <mergeCell ref="J4749:J4754"/>
    <mergeCell ref="K4749:K4754"/>
    <mergeCell ref="L4749:L4754"/>
    <mergeCell ref="M4749:M4754"/>
    <mergeCell ref="N4749:N4754"/>
    <mergeCell ref="A4726:A4728"/>
    <mergeCell ref="B4726:B4728"/>
    <mergeCell ref="C4726:C4728"/>
    <mergeCell ref="D4726:D4728"/>
    <mergeCell ref="E4726:E4728"/>
    <mergeCell ref="F4726:F4728"/>
    <mergeCell ref="G4726:G4728"/>
    <mergeCell ref="H4726:H4728"/>
    <mergeCell ref="I4726:I4728"/>
    <mergeCell ref="J4726:J4728"/>
    <mergeCell ref="K4726:K4728"/>
    <mergeCell ref="L4726:L4728"/>
    <mergeCell ref="M4726:M4728"/>
    <mergeCell ref="N4726:N4728"/>
    <mergeCell ref="A4732:A4733"/>
    <mergeCell ref="B4732:B4733"/>
    <mergeCell ref="C4732:C4733"/>
    <mergeCell ref="D4732:D4733"/>
    <mergeCell ref="E4732:E4733"/>
    <mergeCell ref="F4732:F4733"/>
    <mergeCell ref="G4732:G4733"/>
    <mergeCell ref="H4732:H4733"/>
    <mergeCell ref="I4732:I4733"/>
    <mergeCell ref="J4732:J4733"/>
    <mergeCell ref="K4732:K4733"/>
    <mergeCell ref="L4732:L4733"/>
    <mergeCell ref="M4732:M4733"/>
    <mergeCell ref="N4732:N4733"/>
    <mergeCell ref="A4738:A4739"/>
    <mergeCell ref="B4738:B4739"/>
    <mergeCell ref="C4738:C4739"/>
    <mergeCell ref="D4738:D4739"/>
    <mergeCell ref="E4738:E4739"/>
    <mergeCell ref="F4738:F4739"/>
    <mergeCell ref="G4738:G4739"/>
    <mergeCell ref="H4738:H4739"/>
    <mergeCell ref="I4738:I4739"/>
    <mergeCell ref="J4738:J4739"/>
    <mergeCell ref="K4738:K4739"/>
    <mergeCell ref="L4738:L4739"/>
    <mergeCell ref="M4738:M4739"/>
    <mergeCell ref="N4738:N4739"/>
    <mergeCell ref="A4697:A4712"/>
    <mergeCell ref="B4697:B4712"/>
    <mergeCell ref="C4697:C4712"/>
    <mergeCell ref="D4697:D4712"/>
    <mergeCell ref="E4697:E4712"/>
    <mergeCell ref="F4697:F4712"/>
    <mergeCell ref="G4697:G4712"/>
    <mergeCell ref="H4697:H4712"/>
    <mergeCell ref="I4697:I4712"/>
    <mergeCell ref="J4697:J4712"/>
    <mergeCell ref="K4697:K4712"/>
    <mergeCell ref="L4697:L4712"/>
    <mergeCell ref="M4697:M4712"/>
    <mergeCell ref="N4697:N4712"/>
    <mergeCell ref="A4713:A4715"/>
    <mergeCell ref="B4713:B4715"/>
    <mergeCell ref="C4713:C4715"/>
    <mergeCell ref="D4713:D4715"/>
    <mergeCell ref="E4713:E4715"/>
    <mergeCell ref="F4713:F4715"/>
    <mergeCell ref="G4713:G4715"/>
    <mergeCell ref="H4713:H4715"/>
    <mergeCell ref="I4713:I4715"/>
    <mergeCell ref="J4713:J4715"/>
    <mergeCell ref="K4713:K4715"/>
    <mergeCell ref="L4713:L4715"/>
    <mergeCell ref="M4713:M4715"/>
    <mergeCell ref="N4713:N4715"/>
    <mergeCell ref="A4720:A4724"/>
    <mergeCell ref="B4720:B4724"/>
    <mergeCell ref="C4720:C4724"/>
    <mergeCell ref="D4720:D4724"/>
    <mergeCell ref="E4720:E4724"/>
    <mergeCell ref="F4720:F4724"/>
    <mergeCell ref="G4720:G4724"/>
    <mergeCell ref="H4720:H4724"/>
    <mergeCell ref="I4720:I4724"/>
    <mergeCell ref="J4720:J4724"/>
    <mergeCell ref="K4720:K4724"/>
    <mergeCell ref="L4720:L4724"/>
    <mergeCell ref="M4720:M4724"/>
    <mergeCell ref="N4720:N4724"/>
    <mergeCell ref="A4676:A4682"/>
    <mergeCell ref="B4676:B4682"/>
    <mergeCell ref="C4676:C4682"/>
    <mergeCell ref="D4676:D4682"/>
    <mergeCell ref="E4676:E4682"/>
    <mergeCell ref="F4676:F4682"/>
    <mergeCell ref="G4676:G4682"/>
    <mergeCell ref="H4676:H4682"/>
    <mergeCell ref="I4676:I4682"/>
    <mergeCell ref="J4676:J4682"/>
    <mergeCell ref="K4676:K4682"/>
    <mergeCell ref="L4676:L4682"/>
    <mergeCell ref="M4676:M4682"/>
    <mergeCell ref="N4676:N4682"/>
    <mergeCell ref="A4683:A4689"/>
    <mergeCell ref="B4683:B4689"/>
    <mergeCell ref="C4683:C4689"/>
    <mergeCell ref="D4683:D4689"/>
    <mergeCell ref="E4683:E4689"/>
    <mergeCell ref="F4683:F4689"/>
    <mergeCell ref="G4683:G4689"/>
    <mergeCell ref="H4683:H4689"/>
    <mergeCell ref="I4683:I4689"/>
    <mergeCell ref="J4683:J4689"/>
    <mergeCell ref="K4683:K4689"/>
    <mergeCell ref="L4683:L4689"/>
    <mergeCell ref="M4683:M4689"/>
    <mergeCell ref="N4683:N4689"/>
    <mergeCell ref="A4690:A4696"/>
    <mergeCell ref="B4690:B4696"/>
    <mergeCell ref="C4690:C4696"/>
    <mergeCell ref="D4690:D4696"/>
    <mergeCell ref="E4690:E4696"/>
    <mergeCell ref="F4690:F4696"/>
    <mergeCell ref="G4690:G4696"/>
    <mergeCell ref="H4690:H4696"/>
    <mergeCell ref="I4690:I4696"/>
    <mergeCell ref="J4690:J4696"/>
    <mergeCell ref="K4690:K4696"/>
    <mergeCell ref="L4690:L4696"/>
    <mergeCell ref="M4690:M4696"/>
    <mergeCell ref="N4690:N4696"/>
    <mergeCell ref="A4663:A4667"/>
    <mergeCell ref="B4663:B4667"/>
    <mergeCell ref="C4663:C4667"/>
    <mergeCell ref="D4663:D4667"/>
    <mergeCell ref="E4663:E4667"/>
    <mergeCell ref="F4663:F4667"/>
    <mergeCell ref="G4663:G4667"/>
    <mergeCell ref="H4663:H4667"/>
    <mergeCell ref="I4663:I4667"/>
    <mergeCell ref="J4663:J4667"/>
    <mergeCell ref="K4663:K4667"/>
    <mergeCell ref="L4663:L4667"/>
    <mergeCell ref="M4663:M4667"/>
    <mergeCell ref="N4663:N4667"/>
    <mergeCell ref="A4668:A4672"/>
    <mergeCell ref="B4668:B4672"/>
    <mergeCell ref="C4668:C4672"/>
    <mergeCell ref="D4668:D4672"/>
    <mergeCell ref="E4668:E4672"/>
    <mergeCell ref="F4668:F4672"/>
    <mergeCell ref="G4668:G4672"/>
    <mergeCell ref="H4668:H4672"/>
    <mergeCell ref="I4668:I4672"/>
    <mergeCell ref="J4668:J4672"/>
    <mergeCell ref="K4668:K4672"/>
    <mergeCell ref="L4668:L4672"/>
    <mergeCell ref="M4668:M4672"/>
    <mergeCell ref="N4668:N4672"/>
    <mergeCell ref="A4673:A4675"/>
    <mergeCell ref="B4673:B4675"/>
    <mergeCell ref="C4673:C4675"/>
    <mergeCell ref="D4673:D4675"/>
    <mergeCell ref="E4673:E4675"/>
    <mergeCell ref="F4673:F4675"/>
    <mergeCell ref="G4673:G4675"/>
    <mergeCell ref="H4673:H4675"/>
    <mergeCell ref="I4673:I4675"/>
    <mergeCell ref="J4673:J4675"/>
    <mergeCell ref="K4673:K4675"/>
    <mergeCell ref="L4673:L4675"/>
    <mergeCell ref="M4673:M4675"/>
    <mergeCell ref="N4673:N4675"/>
    <mergeCell ref="A4652:A4653"/>
    <mergeCell ref="B4652:B4653"/>
    <mergeCell ref="C4652:C4653"/>
    <mergeCell ref="D4652:D4653"/>
    <mergeCell ref="E4652:E4653"/>
    <mergeCell ref="F4652:F4653"/>
    <mergeCell ref="G4652:G4653"/>
    <mergeCell ref="H4652:H4653"/>
    <mergeCell ref="I4652:I4653"/>
    <mergeCell ref="J4652:J4653"/>
    <mergeCell ref="K4652:K4653"/>
    <mergeCell ref="L4652:L4653"/>
    <mergeCell ref="M4652:M4653"/>
    <mergeCell ref="N4652:N4653"/>
    <mergeCell ref="A4654:A4657"/>
    <mergeCell ref="B4654:B4657"/>
    <mergeCell ref="C4654:C4657"/>
    <mergeCell ref="D4654:D4657"/>
    <mergeCell ref="E4654:E4657"/>
    <mergeCell ref="F4654:F4657"/>
    <mergeCell ref="G4654:G4657"/>
    <mergeCell ref="H4654:H4657"/>
    <mergeCell ref="I4654:I4657"/>
    <mergeCell ref="J4654:J4657"/>
    <mergeCell ref="K4654:K4657"/>
    <mergeCell ref="L4654:L4657"/>
    <mergeCell ref="M4654:M4657"/>
    <mergeCell ref="N4654:N4657"/>
    <mergeCell ref="A4661:A4662"/>
    <mergeCell ref="B4661:B4662"/>
    <mergeCell ref="C4661:C4662"/>
    <mergeCell ref="D4661:D4662"/>
    <mergeCell ref="E4661:E4662"/>
    <mergeCell ref="F4661:F4662"/>
    <mergeCell ref="G4661:G4662"/>
    <mergeCell ref="H4661:H4662"/>
    <mergeCell ref="I4661:I4662"/>
    <mergeCell ref="J4661:J4662"/>
    <mergeCell ref="K4661:K4662"/>
    <mergeCell ref="L4661:L4662"/>
    <mergeCell ref="M4661:M4662"/>
    <mergeCell ref="N4661:N4662"/>
    <mergeCell ref="A4642:A4644"/>
    <mergeCell ref="B4642:B4644"/>
    <mergeCell ref="C4642:C4644"/>
    <mergeCell ref="D4642:D4644"/>
    <mergeCell ref="E4642:E4644"/>
    <mergeCell ref="F4642:F4644"/>
    <mergeCell ref="G4642:G4644"/>
    <mergeCell ref="H4642:H4644"/>
    <mergeCell ref="I4642:I4644"/>
    <mergeCell ref="J4642:J4644"/>
    <mergeCell ref="K4642:K4644"/>
    <mergeCell ref="L4642:L4644"/>
    <mergeCell ref="M4642:M4644"/>
    <mergeCell ref="N4642:N4644"/>
    <mergeCell ref="A4646:A4648"/>
    <mergeCell ref="B4646:B4648"/>
    <mergeCell ref="C4646:C4648"/>
    <mergeCell ref="D4646:D4648"/>
    <mergeCell ref="E4646:E4648"/>
    <mergeCell ref="F4646:F4648"/>
    <mergeCell ref="G4646:G4648"/>
    <mergeCell ref="H4646:H4648"/>
    <mergeCell ref="I4646:I4648"/>
    <mergeCell ref="J4646:J4648"/>
    <mergeCell ref="K4646:K4648"/>
    <mergeCell ref="L4646:L4648"/>
    <mergeCell ref="M4646:M4648"/>
    <mergeCell ref="N4646:N4648"/>
    <mergeCell ref="A4649:A4651"/>
    <mergeCell ref="B4649:B4651"/>
    <mergeCell ref="C4649:C4651"/>
    <mergeCell ref="D4649:D4651"/>
    <mergeCell ref="E4649:E4651"/>
    <mergeCell ref="F4649:F4651"/>
    <mergeCell ref="G4649:G4651"/>
    <mergeCell ref="H4649:H4651"/>
    <mergeCell ref="I4649:I4651"/>
    <mergeCell ref="J4649:J4651"/>
    <mergeCell ref="K4649:K4651"/>
    <mergeCell ref="L4649:L4651"/>
    <mergeCell ref="M4649:M4651"/>
    <mergeCell ref="N4649:N4651"/>
    <mergeCell ref="A4629:A4630"/>
    <mergeCell ref="B4629:B4630"/>
    <mergeCell ref="C4629:C4630"/>
    <mergeCell ref="D4629:D4630"/>
    <mergeCell ref="E4629:E4630"/>
    <mergeCell ref="F4629:F4630"/>
    <mergeCell ref="G4629:G4630"/>
    <mergeCell ref="H4629:H4630"/>
    <mergeCell ref="I4629:I4630"/>
    <mergeCell ref="J4629:J4630"/>
    <mergeCell ref="K4629:K4630"/>
    <mergeCell ref="L4629:L4630"/>
    <mergeCell ref="M4629:M4630"/>
    <mergeCell ref="N4629:N4630"/>
    <mergeCell ref="A4631:A4635"/>
    <mergeCell ref="B4631:B4635"/>
    <mergeCell ref="C4631:C4635"/>
    <mergeCell ref="D4631:D4635"/>
    <mergeCell ref="E4631:E4635"/>
    <mergeCell ref="F4631:F4635"/>
    <mergeCell ref="G4631:G4635"/>
    <mergeCell ref="H4631:H4635"/>
    <mergeCell ref="I4631:I4635"/>
    <mergeCell ref="J4631:J4635"/>
    <mergeCell ref="K4631:K4635"/>
    <mergeCell ref="L4631:L4635"/>
    <mergeCell ref="M4631:M4635"/>
    <mergeCell ref="N4631:N4635"/>
    <mergeCell ref="A4636:A4641"/>
    <mergeCell ref="B4636:B4641"/>
    <mergeCell ref="C4636:C4641"/>
    <mergeCell ref="D4636:D4641"/>
    <mergeCell ref="E4636:E4641"/>
    <mergeCell ref="F4636:F4641"/>
    <mergeCell ref="G4636:G4641"/>
    <mergeCell ref="H4636:H4641"/>
    <mergeCell ref="I4636:I4641"/>
    <mergeCell ref="J4636:J4641"/>
    <mergeCell ref="K4636:K4641"/>
    <mergeCell ref="L4636:L4641"/>
    <mergeCell ref="M4636:M4641"/>
    <mergeCell ref="N4636:N4641"/>
    <mergeCell ref="A4612:A4620"/>
    <mergeCell ref="B4612:B4620"/>
    <mergeCell ref="C4612:C4620"/>
    <mergeCell ref="D4612:D4620"/>
    <mergeCell ref="E4612:E4620"/>
    <mergeCell ref="F4612:F4620"/>
    <mergeCell ref="G4612:G4620"/>
    <mergeCell ref="H4612:H4620"/>
    <mergeCell ref="I4612:I4620"/>
    <mergeCell ref="J4612:J4620"/>
    <mergeCell ref="K4612:K4620"/>
    <mergeCell ref="L4612:L4620"/>
    <mergeCell ref="M4612:M4620"/>
    <mergeCell ref="N4612:N4620"/>
    <mergeCell ref="A4621:A4622"/>
    <mergeCell ref="B4621:B4622"/>
    <mergeCell ref="C4621:C4622"/>
    <mergeCell ref="D4621:D4622"/>
    <mergeCell ref="E4621:E4622"/>
    <mergeCell ref="F4621:F4622"/>
    <mergeCell ref="G4621:G4622"/>
    <mergeCell ref="H4621:H4622"/>
    <mergeCell ref="I4621:I4622"/>
    <mergeCell ref="J4621:J4622"/>
    <mergeCell ref="K4621:K4622"/>
    <mergeCell ref="L4621:L4622"/>
    <mergeCell ref="M4621:M4622"/>
    <mergeCell ref="N4621:N4622"/>
    <mergeCell ref="A4623:A4628"/>
    <mergeCell ref="B4623:B4628"/>
    <mergeCell ref="C4623:C4628"/>
    <mergeCell ref="D4623:D4628"/>
    <mergeCell ref="E4623:E4628"/>
    <mergeCell ref="F4623:F4628"/>
    <mergeCell ref="G4623:G4628"/>
    <mergeCell ref="H4623:H4628"/>
    <mergeCell ref="I4623:I4628"/>
    <mergeCell ref="J4623:J4628"/>
    <mergeCell ref="K4623:K4628"/>
    <mergeCell ref="L4623:L4628"/>
    <mergeCell ref="M4623:M4628"/>
    <mergeCell ref="N4623:N4628"/>
    <mergeCell ref="A4596:A4601"/>
    <mergeCell ref="B4596:B4601"/>
    <mergeCell ref="C4596:C4601"/>
    <mergeCell ref="D4596:D4601"/>
    <mergeCell ref="E4596:E4601"/>
    <mergeCell ref="F4596:F4601"/>
    <mergeCell ref="G4596:G4601"/>
    <mergeCell ref="H4596:H4601"/>
    <mergeCell ref="I4596:I4601"/>
    <mergeCell ref="J4596:J4601"/>
    <mergeCell ref="K4596:K4601"/>
    <mergeCell ref="L4596:L4601"/>
    <mergeCell ref="M4596:M4601"/>
    <mergeCell ref="N4596:N4601"/>
    <mergeCell ref="A4603:A4605"/>
    <mergeCell ref="B4603:B4605"/>
    <mergeCell ref="C4603:C4605"/>
    <mergeCell ref="D4603:D4605"/>
    <mergeCell ref="E4603:E4605"/>
    <mergeCell ref="F4603:F4605"/>
    <mergeCell ref="G4603:G4605"/>
    <mergeCell ref="H4603:H4605"/>
    <mergeCell ref="I4603:I4605"/>
    <mergeCell ref="J4603:J4605"/>
    <mergeCell ref="K4603:K4605"/>
    <mergeCell ref="L4603:L4605"/>
    <mergeCell ref="M4603:M4605"/>
    <mergeCell ref="N4603:N4605"/>
    <mergeCell ref="A4606:A4608"/>
    <mergeCell ref="B4606:B4608"/>
    <mergeCell ref="C4606:C4608"/>
    <mergeCell ref="D4606:D4608"/>
    <mergeCell ref="E4606:E4608"/>
    <mergeCell ref="F4606:F4608"/>
    <mergeCell ref="G4606:G4608"/>
    <mergeCell ref="H4606:H4608"/>
    <mergeCell ref="I4606:I4608"/>
    <mergeCell ref="J4606:J4608"/>
    <mergeCell ref="K4606:K4608"/>
    <mergeCell ref="L4606:L4608"/>
    <mergeCell ref="M4606:M4608"/>
    <mergeCell ref="N4606:N4608"/>
    <mergeCell ref="A4586:A4588"/>
    <mergeCell ref="B4586:B4588"/>
    <mergeCell ref="C4586:C4588"/>
    <mergeCell ref="D4586:D4588"/>
    <mergeCell ref="E4586:E4588"/>
    <mergeCell ref="F4586:F4588"/>
    <mergeCell ref="G4586:G4588"/>
    <mergeCell ref="H4586:H4588"/>
    <mergeCell ref="I4586:I4588"/>
    <mergeCell ref="J4586:J4588"/>
    <mergeCell ref="K4586:K4588"/>
    <mergeCell ref="L4586:L4588"/>
    <mergeCell ref="M4586:M4588"/>
    <mergeCell ref="N4586:N4588"/>
    <mergeCell ref="A4591:A4592"/>
    <mergeCell ref="B4591:B4592"/>
    <mergeCell ref="C4591:C4592"/>
    <mergeCell ref="D4591:D4592"/>
    <mergeCell ref="E4591:E4592"/>
    <mergeCell ref="F4591:F4592"/>
    <mergeCell ref="G4591:G4592"/>
    <mergeCell ref="H4591:H4592"/>
    <mergeCell ref="I4591:I4592"/>
    <mergeCell ref="J4591:J4592"/>
    <mergeCell ref="K4591:K4592"/>
    <mergeCell ref="L4591:L4592"/>
    <mergeCell ref="M4591:M4592"/>
    <mergeCell ref="N4591:N4592"/>
    <mergeCell ref="A4594:A4595"/>
    <mergeCell ref="B4594:B4595"/>
    <mergeCell ref="C4594:C4595"/>
    <mergeCell ref="D4594:D4595"/>
    <mergeCell ref="E4594:E4595"/>
    <mergeCell ref="F4594:F4595"/>
    <mergeCell ref="G4594:G4595"/>
    <mergeCell ref="H4594:H4595"/>
    <mergeCell ref="I4594:I4595"/>
    <mergeCell ref="J4594:J4595"/>
    <mergeCell ref="K4594:K4595"/>
    <mergeCell ref="L4594:L4595"/>
    <mergeCell ref="M4594:M4595"/>
    <mergeCell ref="N4594:N4595"/>
    <mergeCell ref="A4568:A4569"/>
    <mergeCell ref="B4568:B4569"/>
    <mergeCell ref="C4568:C4569"/>
    <mergeCell ref="D4568:D4569"/>
    <mergeCell ref="E4568:E4569"/>
    <mergeCell ref="F4568:F4569"/>
    <mergeCell ref="G4568:G4569"/>
    <mergeCell ref="H4568:H4569"/>
    <mergeCell ref="I4568:I4569"/>
    <mergeCell ref="J4568:J4569"/>
    <mergeCell ref="K4568:K4569"/>
    <mergeCell ref="L4568:L4569"/>
    <mergeCell ref="M4568:M4569"/>
    <mergeCell ref="N4568:N4569"/>
    <mergeCell ref="A4570:A4571"/>
    <mergeCell ref="B4570:B4571"/>
    <mergeCell ref="C4570:C4571"/>
    <mergeCell ref="D4570:D4571"/>
    <mergeCell ref="E4570:E4571"/>
    <mergeCell ref="F4570:F4571"/>
    <mergeCell ref="G4570:G4571"/>
    <mergeCell ref="H4570:H4571"/>
    <mergeCell ref="I4570:I4571"/>
    <mergeCell ref="J4570:J4571"/>
    <mergeCell ref="K4570:K4571"/>
    <mergeCell ref="L4570:L4571"/>
    <mergeCell ref="M4570:M4571"/>
    <mergeCell ref="N4570:N4571"/>
    <mergeCell ref="A4573:A4578"/>
    <mergeCell ref="B4573:B4578"/>
    <mergeCell ref="C4573:C4578"/>
    <mergeCell ref="D4573:D4578"/>
    <mergeCell ref="E4573:E4578"/>
    <mergeCell ref="F4573:F4578"/>
    <mergeCell ref="G4573:G4578"/>
    <mergeCell ref="H4573:H4578"/>
    <mergeCell ref="I4573:I4578"/>
    <mergeCell ref="J4573:J4578"/>
    <mergeCell ref="K4573:K4578"/>
    <mergeCell ref="L4573:L4578"/>
    <mergeCell ref="M4573:M4578"/>
    <mergeCell ref="N4573:N4578"/>
    <mergeCell ref="A4550:A4551"/>
    <mergeCell ref="B4550:B4551"/>
    <mergeCell ref="C4550:C4551"/>
    <mergeCell ref="D4550:D4551"/>
    <mergeCell ref="E4550:E4551"/>
    <mergeCell ref="F4550:F4551"/>
    <mergeCell ref="G4550:G4551"/>
    <mergeCell ref="H4550:H4551"/>
    <mergeCell ref="I4550:I4551"/>
    <mergeCell ref="J4550:J4551"/>
    <mergeCell ref="K4550:K4551"/>
    <mergeCell ref="L4550:L4551"/>
    <mergeCell ref="M4550:M4551"/>
    <mergeCell ref="N4550:N4551"/>
    <mergeCell ref="A4553:A4554"/>
    <mergeCell ref="B4553:B4554"/>
    <mergeCell ref="C4553:C4554"/>
    <mergeCell ref="D4553:D4554"/>
    <mergeCell ref="E4553:E4554"/>
    <mergeCell ref="F4553:F4554"/>
    <mergeCell ref="G4553:G4554"/>
    <mergeCell ref="H4553:H4554"/>
    <mergeCell ref="I4553:I4554"/>
    <mergeCell ref="J4553:J4554"/>
    <mergeCell ref="K4553:K4554"/>
    <mergeCell ref="L4553:L4554"/>
    <mergeCell ref="M4553:M4554"/>
    <mergeCell ref="N4553:N4554"/>
    <mergeCell ref="A4557:A4559"/>
    <mergeCell ref="B4557:B4559"/>
    <mergeCell ref="C4557:C4559"/>
    <mergeCell ref="D4557:D4559"/>
    <mergeCell ref="E4557:E4559"/>
    <mergeCell ref="F4557:F4559"/>
    <mergeCell ref="G4557:G4559"/>
    <mergeCell ref="H4557:H4559"/>
    <mergeCell ref="I4557:I4559"/>
    <mergeCell ref="J4557:J4559"/>
    <mergeCell ref="K4557:K4559"/>
    <mergeCell ref="L4557:L4559"/>
    <mergeCell ref="M4557:M4559"/>
    <mergeCell ref="N4557:N4559"/>
    <mergeCell ref="A4528:A4536"/>
    <mergeCell ref="B4528:B4536"/>
    <mergeCell ref="C4528:C4536"/>
    <mergeCell ref="D4528:D4536"/>
    <mergeCell ref="E4528:E4536"/>
    <mergeCell ref="F4528:F4536"/>
    <mergeCell ref="G4528:G4536"/>
    <mergeCell ref="H4528:H4536"/>
    <mergeCell ref="I4528:I4536"/>
    <mergeCell ref="J4528:J4536"/>
    <mergeCell ref="K4528:K4536"/>
    <mergeCell ref="L4528:L4536"/>
    <mergeCell ref="M4528:M4536"/>
    <mergeCell ref="N4528:N4536"/>
    <mergeCell ref="A4537:A4544"/>
    <mergeCell ref="B4537:B4544"/>
    <mergeCell ref="C4537:C4544"/>
    <mergeCell ref="D4537:D4544"/>
    <mergeCell ref="E4537:E4544"/>
    <mergeCell ref="F4537:F4544"/>
    <mergeCell ref="G4537:G4544"/>
    <mergeCell ref="H4537:H4544"/>
    <mergeCell ref="I4537:I4544"/>
    <mergeCell ref="J4537:J4544"/>
    <mergeCell ref="K4537:K4544"/>
    <mergeCell ref="L4537:L4544"/>
    <mergeCell ref="M4537:M4544"/>
    <mergeCell ref="N4537:N4544"/>
    <mergeCell ref="A4547:A4548"/>
    <mergeCell ref="B4547:B4548"/>
    <mergeCell ref="C4547:C4548"/>
    <mergeCell ref="D4547:D4548"/>
    <mergeCell ref="E4547:E4548"/>
    <mergeCell ref="F4547:F4548"/>
    <mergeCell ref="G4547:G4548"/>
    <mergeCell ref="H4547:H4548"/>
    <mergeCell ref="I4547:I4548"/>
    <mergeCell ref="J4547:J4548"/>
    <mergeCell ref="K4547:K4548"/>
    <mergeCell ref="L4547:L4548"/>
    <mergeCell ref="M4547:M4548"/>
    <mergeCell ref="N4547:N4548"/>
    <mergeCell ref="A4514:A4517"/>
    <mergeCell ref="B4514:B4517"/>
    <mergeCell ref="C4514:C4517"/>
    <mergeCell ref="D4514:D4517"/>
    <mergeCell ref="E4514:E4517"/>
    <mergeCell ref="F4514:F4517"/>
    <mergeCell ref="G4514:G4517"/>
    <mergeCell ref="H4514:H4517"/>
    <mergeCell ref="I4514:I4517"/>
    <mergeCell ref="J4514:J4517"/>
    <mergeCell ref="K4514:K4517"/>
    <mergeCell ref="L4514:L4517"/>
    <mergeCell ref="M4514:M4517"/>
    <mergeCell ref="N4514:N4517"/>
    <mergeCell ref="A4518:A4519"/>
    <mergeCell ref="B4518:B4519"/>
    <mergeCell ref="C4518:C4519"/>
    <mergeCell ref="D4518:D4519"/>
    <mergeCell ref="E4518:E4519"/>
    <mergeCell ref="F4518:F4519"/>
    <mergeCell ref="G4518:G4519"/>
    <mergeCell ref="H4518:H4519"/>
    <mergeCell ref="I4518:I4519"/>
    <mergeCell ref="J4518:J4519"/>
    <mergeCell ref="K4518:K4519"/>
    <mergeCell ref="L4518:L4519"/>
    <mergeCell ref="M4518:M4519"/>
    <mergeCell ref="N4518:N4519"/>
    <mergeCell ref="A4524:A4525"/>
    <mergeCell ref="B4524:B4525"/>
    <mergeCell ref="C4524:C4525"/>
    <mergeCell ref="D4524:D4525"/>
    <mergeCell ref="E4524:E4525"/>
    <mergeCell ref="F4524:F4525"/>
    <mergeCell ref="G4524:G4525"/>
    <mergeCell ref="H4524:H4525"/>
    <mergeCell ref="I4524:I4525"/>
    <mergeCell ref="J4524:J4525"/>
    <mergeCell ref="K4524:K4525"/>
    <mergeCell ref="L4524:L4525"/>
    <mergeCell ref="M4524:M4525"/>
    <mergeCell ref="N4524:N4525"/>
    <mergeCell ref="A4502:A4503"/>
    <mergeCell ref="B4502:B4503"/>
    <mergeCell ref="C4502:C4503"/>
    <mergeCell ref="D4502:D4503"/>
    <mergeCell ref="E4502:E4503"/>
    <mergeCell ref="F4502:F4503"/>
    <mergeCell ref="G4502:G4503"/>
    <mergeCell ref="H4502:H4503"/>
    <mergeCell ref="I4502:I4503"/>
    <mergeCell ref="J4502:J4503"/>
    <mergeCell ref="K4502:K4503"/>
    <mergeCell ref="L4502:L4503"/>
    <mergeCell ref="M4502:M4503"/>
    <mergeCell ref="N4502:N4503"/>
    <mergeCell ref="A4505:A4510"/>
    <mergeCell ref="B4505:B4510"/>
    <mergeCell ref="C4505:C4510"/>
    <mergeCell ref="D4505:D4510"/>
    <mergeCell ref="E4505:E4510"/>
    <mergeCell ref="F4505:F4510"/>
    <mergeCell ref="G4505:G4510"/>
    <mergeCell ref="H4505:H4510"/>
    <mergeCell ref="I4505:I4510"/>
    <mergeCell ref="J4505:J4510"/>
    <mergeCell ref="K4505:K4510"/>
    <mergeCell ref="L4505:L4510"/>
    <mergeCell ref="M4505:M4510"/>
    <mergeCell ref="N4505:N4510"/>
    <mergeCell ref="A4512:A4513"/>
    <mergeCell ref="B4512:B4513"/>
    <mergeCell ref="C4512:C4513"/>
    <mergeCell ref="D4512:D4513"/>
    <mergeCell ref="E4512:E4513"/>
    <mergeCell ref="F4512:F4513"/>
    <mergeCell ref="G4512:G4513"/>
    <mergeCell ref="H4512:H4513"/>
    <mergeCell ref="I4512:I4513"/>
    <mergeCell ref="J4512:J4513"/>
    <mergeCell ref="K4512:K4513"/>
    <mergeCell ref="L4512:L4513"/>
    <mergeCell ref="M4512:M4513"/>
    <mergeCell ref="N4512:N4513"/>
    <mergeCell ref="A4484:A4485"/>
    <mergeCell ref="B4484:B4485"/>
    <mergeCell ref="C4484:C4485"/>
    <mergeCell ref="D4484:D4485"/>
    <mergeCell ref="E4484:E4485"/>
    <mergeCell ref="F4484:F4485"/>
    <mergeCell ref="G4484:G4485"/>
    <mergeCell ref="H4484:H4485"/>
    <mergeCell ref="I4484:I4485"/>
    <mergeCell ref="J4484:J4485"/>
    <mergeCell ref="K4484:K4485"/>
    <mergeCell ref="L4484:L4485"/>
    <mergeCell ref="M4484:M4485"/>
    <mergeCell ref="N4484:N4485"/>
    <mergeCell ref="A4486:A4487"/>
    <mergeCell ref="B4486:B4487"/>
    <mergeCell ref="C4486:C4487"/>
    <mergeCell ref="D4486:D4487"/>
    <mergeCell ref="E4486:E4487"/>
    <mergeCell ref="F4486:F4487"/>
    <mergeCell ref="G4486:G4487"/>
    <mergeCell ref="H4486:H4487"/>
    <mergeCell ref="I4486:I4487"/>
    <mergeCell ref="J4486:J4487"/>
    <mergeCell ref="K4486:K4487"/>
    <mergeCell ref="L4486:L4487"/>
    <mergeCell ref="M4486:M4487"/>
    <mergeCell ref="N4486:N4487"/>
    <mergeCell ref="A4493:A4494"/>
    <mergeCell ref="B4493:B4494"/>
    <mergeCell ref="C4493:C4494"/>
    <mergeCell ref="D4493:D4494"/>
    <mergeCell ref="E4493:E4494"/>
    <mergeCell ref="F4493:F4494"/>
    <mergeCell ref="G4493:G4494"/>
    <mergeCell ref="H4493:H4494"/>
    <mergeCell ref="I4493:I4494"/>
    <mergeCell ref="J4493:J4494"/>
    <mergeCell ref="K4493:K4494"/>
    <mergeCell ref="L4493:L4494"/>
    <mergeCell ref="M4493:M4494"/>
    <mergeCell ref="N4493:N4494"/>
    <mergeCell ref="A4443:A4452"/>
    <mergeCell ref="B4443:B4452"/>
    <mergeCell ref="C4443:C4452"/>
    <mergeCell ref="D4443:D4452"/>
    <mergeCell ref="E4443:E4452"/>
    <mergeCell ref="F4443:F4452"/>
    <mergeCell ref="G4443:G4452"/>
    <mergeCell ref="H4443:H4452"/>
    <mergeCell ref="I4443:I4452"/>
    <mergeCell ref="J4443:J4452"/>
    <mergeCell ref="K4443:K4452"/>
    <mergeCell ref="L4443:L4452"/>
    <mergeCell ref="M4443:M4452"/>
    <mergeCell ref="N4443:N4452"/>
    <mergeCell ref="A4453:A4454"/>
    <mergeCell ref="B4453:B4454"/>
    <mergeCell ref="C4453:C4454"/>
    <mergeCell ref="D4453:D4454"/>
    <mergeCell ref="E4453:E4454"/>
    <mergeCell ref="F4453:F4454"/>
    <mergeCell ref="G4453:G4454"/>
    <mergeCell ref="H4453:H4454"/>
    <mergeCell ref="I4453:I4454"/>
    <mergeCell ref="J4453:J4454"/>
    <mergeCell ref="K4453:K4454"/>
    <mergeCell ref="L4453:L4454"/>
    <mergeCell ref="M4453:M4454"/>
    <mergeCell ref="N4453:N4454"/>
    <mergeCell ref="A4455:A4480"/>
    <mergeCell ref="B4455:B4480"/>
    <mergeCell ref="C4455:C4480"/>
    <mergeCell ref="D4455:D4480"/>
    <mergeCell ref="E4455:E4480"/>
    <mergeCell ref="F4455:F4480"/>
    <mergeCell ref="G4455:G4480"/>
    <mergeCell ref="H4455:H4480"/>
    <mergeCell ref="I4455:I4480"/>
    <mergeCell ref="J4455:J4480"/>
    <mergeCell ref="K4455:K4480"/>
    <mergeCell ref="L4455:L4480"/>
    <mergeCell ref="M4455:M4480"/>
    <mergeCell ref="N4455:N4480"/>
    <mergeCell ref="A4427:A4430"/>
    <mergeCell ref="B4427:B4430"/>
    <mergeCell ref="C4427:C4430"/>
    <mergeCell ref="D4427:D4430"/>
    <mergeCell ref="E4427:E4430"/>
    <mergeCell ref="F4427:F4430"/>
    <mergeCell ref="G4427:G4430"/>
    <mergeCell ref="H4427:H4430"/>
    <mergeCell ref="I4427:I4430"/>
    <mergeCell ref="J4427:J4430"/>
    <mergeCell ref="K4427:K4430"/>
    <mergeCell ref="L4427:L4430"/>
    <mergeCell ref="M4427:M4430"/>
    <mergeCell ref="N4427:N4430"/>
    <mergeCell ref="A4431:A4433"/>
    <mergeCell ref="B4431:B4433"/>
    <mergeCell ref="C4431:C4433"/>
    <mergeCell ref="D4431:D4433"/>
    <mergeCell ref="E4431:E4433"/>
    <mergeCell ref="F4431:F4433"/>
    <mergeCell ref="G4431:G4433"/>
    <mergeCell ref="H4431:H4433"/>
    <mergeCell ref="I4431:I4433"/>
    <mergeCell ref="J4431:J4433"/>
    <mergeCell ref="K4431:K4433"/>
    <mergeCell ref="L4431:L4433"/>
    <mergeCell ref="M4431:M4433"/>
    <mergeCell ref="N4431:N4433"/>
    <mergeCell ref="A4437:A4438"/>
    <mergeCell ref="B4437:B4438"/>
    <mergeCell ref="C4437:C4438"/>
    <mergeCell ref="D4437:D4438"/>
    <mergeCell ref="E4437:E4438"/>
    <mergeCell ref="F4437:F4438"/>
    <mergeCell ref="G4437:G4438"/>
    <mergeCell ref="H4437:H4438"/>
    <mergeCell ref="I4437:I4438"/>
    <mergeCell ref="J4437:J4438"/>
    <mergeCell ref="K4437:K4438"/>
    <mergeCell ref="L4437:L4438"/>
    <mergeCell ref="M4437:M4438"/>
    <mergeCell ref="N4437:N4438"/>
    <mergeCell ref="A4407:A4415"/>
    <mergeCell ref="B4407:B4415"/>
    <mergeCell ref="C4407:C4415"/>
    <mergeCell ref="D4407:D4415"/>
    <mergeCell ref="E4407:E4415"/>
    <mergeCell ref="F4407:F4415"/>
    <mergeCell ref="G4407:G4415"/>
    <mergeCell ref="H4407:H4415"/>
    <mergeCell ref="I4407:I4415"/>
    <mergeCell ref="J4407:J4415"/>
    <mergeCell ref="K4407:K4415"/>
    <mergeCell ref="L4407:L4415"/>
    <mergeCell ref="M4407:M4415"/>
    <mergeCell ref="N4407:N4415"/>
    <mergeCell ref="A4416:A4417"/>
    <mergeCell ref="B4416:B4417"/>
    <mergeCell ref="C4416:C4417"/>
    <mergeCell ref="D4416:D4417"/>
    <mergeCell ref="E4416:E4417"/>
    <mergeCell ref="F4416:F4417"/>
    <mergeCell ref="G4416:G4417"/>
    <mergeCell ref="H4416:H4417"/>
    <mergeCell ref="I4416:I4417"/>
    <mergeCell ref="J4416:J4417"/>
    <mergeCell ref="K4416:K4417"/>
    <mergeCell ref="L4416:L4417"/>
    <mergeCell ref="M4416:M4417"/>
    <mergeCell ref="N4416:N4417"/>
    <mergeCell ref="A4420:A4423"/>
    <mergeCell ref="B4420:B4423"/>
    <mergeCell ref="C4420:C4423"/>
    <mergeCell ref="D4420:D4423"/>
    <mergeCell ref="E4420:E4423"/>
    <mergeCell ref="F4420:F4423"/>
    <mergeCell ref="G4420:G4423"/>
    <mergeCell ref="H4420:H4423"/>
    <mergeCell ref="I4420:I4423"/>
    <mergeCell ref="J4420:J4423"/>
    <mergeCell ref="K4420:K4423"/>
    <mergeCell ref="L4420:L4423"/>
    <mergeCell ref="M4420:M4423"/>
    <mergeCell ref="N4420:N4423"/>
    <mergeCell ref="A4389:A4390"/>
    <mergeCell ref="B4389:B4390"/>
    <mergeCell ref="C4389:C4390"/>
    <mergeCell ref="D4389:D4390"/>
    <mergeCell ref="E4389:E4390"/>
    <mergeCell ref="F4389:F4390"/>
    <mergeCell ref="G4389:G4390"/>
    <mergeCell ref="H4389:H4390"/>
    <mergeCell ref="I4389:I4390"/>
    <mergeCell ref="J4389:J4390"/>
    <mergeCell ref="K4389:K4390"/>
    <mergeCell ref="L4389:L4390"/>
    <mergeCell ref="M4389:M4390"/>
    <mergeCell ref="N4389:N4390"/>
    <mergeCell ref="A4391:A4401"/>
    <mergeCell ref="B4391:B4401"/>
    <mergeCell ref="C4391:C4401"/>
    <mergeCell ref="D4391:D4401"/>
    <mergeCell ref="E4391:E4401"/>
    <mergeCell ref="F4391:F4401"/>
    <mergeCell ref="G4391:G4401"/>
    <mergeCell ref="H4391:H4401"/>
    <mergeCell ref="I4391:I4401"/>
    <mergeCell ref="J4391:J4401"/>
    <mergeCell ref="K4391:K4401"/>
    <mergeCell ref="L4391:L4401"/>
    <mergeCell ref="M4391:M4401"/>
    <mergeCell ref="N4391:N4401"/>
    <mergeCell ref="A4402:A4403"/>
    <mergeCell ref="B4402:B4403"/>
    <mergeCell ref="C4402:C4403"/>
    <mergeCell ref="D4402:D4403"/>
    <mergeCell ref="E4402:E4403"/>
    <mergeCell ref="F4402:F4403"/>
    <mergeCell ref="G4402:G4403"/>
    <mergeCell ref="H4402:H4403"/>
    <mergeCell ref="I4402:I4403"/>
    <mergeCell ref="J4402:J4403"/>
    <mergeCell ref="K4402:K4403"/>
    <mergeCell ref="L4402:L4403"/>
    <mergeCell ref="M4402:M4403"/>
    <mergeCell ref="N4402:N4403"/>
    <mergeCell ref="A4374:A4375"/>
    <mergeCell ref="B4374:B4375"/>
    <mergeCell ref="C4374:C4375"/>
    <mergeCell ref="D4374:D4375"/>
    <mergeCell ref="E4374:E4375"/>
    <mergeCell ref="F4374:F4375"/>
    <mergeCell ref="G4374:G4375"/>
    <mergeCell ref="H4374:H4375"/>
    <mergeCell ref="I4374:I4375"/>
    <mergeCell ref="J4374:J4375"/>
    <mergeCell ref="K4374:K4375"/>
    <mergeCell ref="L4374:L4375"/>
    <mergeCell ref="M4374:M4375"/>
    <mergeCell ref="N4374:N4375"/>
    <mergeCell ref="A4377:A4379"/>
    <mergeCell ref="B4377:B4379"/>
    <mergeCell ref="C4377:C4379"/>
    <mergeCell ref="D4377:D4379"/>
    <mergeCell ref="E4377:E4379"/>
    <mergeCell ref="F4377:F4379"/>
    <mergeCell ref="G4377:G4379"/>
    <mergeCell ref="H4377:H4379"/>
    <mergeCell ref="I4377:I4379"/>
    <mergeCell ref="J4377:J4379"/>
    <mergeCell ref="K4377:K4379"/>
    <mergeCell ref="L4377:L4379"/>
    <mergeCell ref="M4377:M4379"/>
    <mergeCell ref="N4377:N4379"/>
    <mergeCell ref="A4386:A4388"/>
    <mergeCell ref="B4386:B4388"/>
    <mergeCell ref="C4386:C4388"/>
    <mergeCell ref="D4386:D4388"/>
    <mergeCell ref="E4386:E4388"/>
    <mergeCell ref="F4386:F4388"/>
    <mergeCell ref="G4386:G4388"/>
    <mergeCell ref="H4386:H4388"/>
    <mergeCell ref="I4386:I4388"/>
    <mergeCell ref="J4386:J4388"/>
    <mergeCell ref="K4386:K4388"/>
    <mergeCell ref="L4386:L4388"/>
    <mergeCell ref="M4386:M4388"/>
    <mergeCell ref="N4386:N4388"/>
    <mergeCell ref="A4355:A4356"/>
    <mergeCell ref="B4355:B4356"/>
    <mergeCell ref="C4355:C4356"/>
    <mergeCell ref="D4355:D4356"/>
    <mergeCell ref="E4355:E4356"/>
    <mergeCell ref="F4355:F4356"/>
    <mergeCell ref="G4355:G4356"/>
    <mergeCell ref="H4355:H4356"/>
    <mergeCell ref="I4355:I4356"/>
    <mergeCell ref="J4355:J4356"/>
    <mergeCell ref="K4355:K4356"/>
    <mergeCell ref="L4355:L4356"/>
    <mergeCell ref="M4355:M4356"/>
    <mergeCell ref="N4355:N4356"/>
    <mergeCell ref="A4358:A4359"/>
    <mergeCell ref="B4358:B4359"/>
    <mergeCell ref="C4358:C4359"/>
    <mergeCell ref="D4358:D4359"/>
    <mergeCell ref="E4358:E4359"/>
    <mergeCell ref="F4358:F4359"/>
    <mergeCell ref="G4358:G4359"/>
    <mergeCell ref="H4358:H4359"/>
    <mergeCell ref="I4358:I4359"/>
    <mergeCell ref="J4358:J4359"/>
    <mergeCell ref="K4358:K4359"/>
    <mergeCell ref="L4358:L4359"/>
    <mergeCell ref="M4358:M4359"/>
    <mergeCell ref="N4358:N4359"/>
    <mergeCell ref="A4364:A4373"/>
    <mergeCell ref="B4364:B4373"/>
    <mergeCell ref="C4364:C4373"/>
    <mergeCell ref="D4364:D4373"/>
    <mergeCell ref="E4364:E4373"/>
    <mergeCell ref="F4364:F4373"/>
    <mergeCell ref="G4364:G4373"/>
    <mergeCell ref="H4364:H4373"/>
    <mergeCell ref="I4364:I4373"/>
    <mergeCell ref="J4364:J4373"/>
    <mergeCell ref="K4364:K4373"/>
    <mergeCell ref="L4364:L4373"/>
    <mergeCell ref="M4364:M4373"/>
    <mergeCell ref="N4364:N4373"/>
    <mergeCell ref="A4347:A4349"/>
    <mergeCell ref="B4347:B4349"/>
    <mergeCell ref="C4347:C4349"/>
    <mergeCell ref="D4347:D4349"/>
    <mergeCell ref="E4347:E4349"/>
    <mergeCell ref="F4347:F4349"/>
    <mergeCell ref="G4347:G4349"/>
    <mergeCell ref="H4347:H4349"/>
    <mergeCell ref="I4347:I4349"/>
    <mergeCell ref="J4347:J4349"/>
    <mergeCell ref="K4347:K4349"/>
    <mergeCell ref="L4347:L4349"/>
    <mergeCell ref="M4347:M4349"/>
    <mergeCell ref="N4347:N4349"/>
    <mergeCell ref="A4350:A4352"/>
    <mergeCell ref="B4350:B4352"/>
    <mergeCell ref="C4350:C4352"/>
    <mergeCell ref="D4350:D4352"/>
    <mergeCell ref="E4350:E4352"/>
    <mergeCell ref="F4350:F4352"/>
    <mergeCell ref="G4350:G4352"/>
    <mergeCell ref="H4350:H4352"/>
    <mergeCell ref="I4350:I4352"/>
    <mergeCell ref="J4350:J4352"/>
    <mergeCell ref="K4350:K4352"/>
    <mergeCell ref="L4350:L4352"/>
    <mergeCell ref="M4350:M4352"/>
    <mergeCell ref="N4350:N4352"/>
    <mergeCell ref="A4353:A4354"/>
    <mergeCell ref="B4353:B4354"/>
    <mergeCell ref="C4353:C4354"/>
    <mergeCell ref="D4353:D4354"/>
    <mergeCell ref="E4353:E4354"/>
    <mergeCell ref="F4353:F4354"/>
    <mergeCell ref="G4353:G4354"/>
    <mergeCell ref="H4353:H4354"/>
    <mergeCell ref="I4353:I4354"/>
    <mergeCell ref="J4353:J4354"/>
    <mergeCell ref="K4353:K4354"/>
    <mergeCell ref="L4353:L4354"/>
    <mergeCell ref="M4353:M4354"/>
    <mergeCell ref="N4353:N4354"/>
    <mergeCell ref="A4336:A4337"/>
    <mergeCell ref="B4336:B4337"/>
    <mergeCell ref="C4336:C4337"/>
    <mergeCell ref="D4336:D4337"/>
    <mergeCell ref="E4336:E4337"/>
    <mergeCell ref="F4336:F4337"/>
    <mergeCell ref="G4336:G4337"/>
    <mergeCell ref="H4336:H4337"/>
    <mergeCell ref="I4336:I4337"/>
    <mergeCell ref="J4336:J4337"/>
    <mergeCell ref="K4336:K4337"/>
    <mergeCell ref="L4336:L4337"/>
    <mergeCell ref="M4336:M4337"/>
    <mergeCell ref="N4336:N4337"/>
    <mergeCell ref="A4339:A4340"/>
    <mergeCell ref="B4339:B4340"/>
    <mergeCell ref="C4339:C4340"/>
    <mergeCell ref="D4339:D4340"/>
    <mergeCell ref="E4339:E4340"/>
    <mergeCell ref="F4339:F4340"/>
    <mergeCell ref="G4339:G4340"/>
    <mergeCell ref="H4339:H4340"/>
    <mergeCell ref="I4339:I4340"/>
    <mergeCell ref="J4339:J4340"/>
    <mergeCell ref="K4339:K4340"/>
    <mergeCell ref="L4339:L4340"/>
    <mergeCell ref="M4339:M4340"/>
    <mergeCell ref="N4339:N4340"/>
    <mergeCell ref="A4343:A4345"/>
    <mergeCell ref="B4343:B4345"/>
    <mergeCell ref="C4343:C4345"/>
    <mergeCell ref="D4343:D4345"/>
    <mergeCell ref="E4343:E4345"/>
    <mergeCell ref="F4343:F4345"/>
    <mergeCell ref="G4343:G4345"/>
    <mergeCell ref="H4343:H4345"/>
    <mergeCell ref="I4343:I4345"/>
    <mergeCell ref="J4343:J4345"/>
    <mergeCell ref="K4343:K4345"/>
    <mergeCell ref="L4343:L4345"/>
    <mergeCell ref="M4343:M4345"/>
    <mergeCell ref="N4343:N4345"/>
    <mergeCell ref="A4322:A4323"/>
    <mergeCell ref="B4322:B4323"/>
    <mergeCell ref="C4322:C4323"/>
    <mergeCell ref="D4322:D4323"/>
    <mergeCell ref="E4322:E4323"/>
    <mergeCell ref="F4322:F4323"/>
    <mergeCell ref="G4322:G4323"/>
    <mergeCell ref="H4322:H4323"/>
    <mergeCell ref="I4322:I4323"/>
    <mergeCell ref="J4322:J4323"/>
    <mergeCell ref="K4322:K4323"/>
    <mergeCell ref="L4322:L4323"/>
    <mergeCell ref="M4322:M4323"/>
    <mergeCell ref="N4322:N4323"/>
    <mergeCell ref="A4328:A4329"/>
    <mergeCell ref="B4328:B4329"/>
    <mergeCell ref="C4328:C4329"/>
    <mergeCell ref="D4328:D4329"/>
    <mergeCell ref="E4328:E4329"/>
    <mergeCell ref="F4328:F4329"/>
    <mergeCell ref="G4328:G4329"/>
    <mergeCell ref="H4328:H4329"/>
    <mergeCell ref="I4328:I4329"/>
    <mergeCell ref="J4328:J4329"/>
    <mergeCell ref="K4328:K4329"/>
    <mergeCell ref="L4328:L4329"/>
    <mergeCell ref="M4328:M4329"/>
    <mergeCell ref="N4328:N4329"/>
    <mergeCell ref="A4331:A4332"/>
    <mergeCell ref="B4331:B4332"/>
    <mergeCell ref="C4331:C4332"/>
    <mergeCell ref="D4331:D4332"/>
    <mergeCell ref="E4331:E4332"/>
    <mergeCell ref="F4331:F4332"/>
    <mergeCell ref="G4331:G4332"/>
    <mergeCell ref="H4331:H4332"/>
    <mergeCell ref="I4331:I4332"/>
    <mergeCell ref="J4331:J4332"/>
    <mergeCell ref="K4331:K4332"/>
    <mergeCell ref="L4331:L4332"/>
    <mergeCell ref="M4331:M4332"/>
    <mergeCell ref="N4331:N4332"/>
    <mergeCell ref="A4313:A4314"/>
    <mergeCell ref="B4313:B4314"/>
    <mergeCell ref="C4313:C4314"/>
    <mergeCell ref="D4313:D4314"/>
    <mergeCell ref="E4313:E4314"/>
    <mergeCell ref="F4313:F4314"/>
    <mergeCell ref="G4313:G4314"/>
    <mergeCell ref="H4313:H4314"/>
    <mergeCell ref="I4313:I4314"/>
    <mergeCell ref="J4313:J4314"/>
    <mergeCell ref="K4313:K4314"/>
    <mergeCell ref="L4313:L4314"/>
    <mergeCell ref="M4313:M4314"/>
    <mergeCell ref="N4313:N4314"/>
    <mergeCell ref="A4318:A4319"/>
    <mergeCell ref="B4318:B4319"/>
    <mergeCell ref="C4318:C4319"/>
    <mergeCell ref="D4318:D4319"/>
    <mergeCell ref="E4318:E4319"/>
    <mergeCell ref="F4318:F4319"/>
    <mergeCell ref="G4318:G4319"/>
    <mergeCell ref="H4318:H4319"/>
    <mergeCell ref="I4318:I4319"/>
    <mergeCell ref="J4318:J4319"/>
    <mergeCell ref="K4318:K4319"/>
    <mergeCell ref="L4318:L4319"/>
    <mergeCell ref="M4318:M4319"/>
    <mergeCell ref="N4318:N4319"/>
    <mergeCell ref="A4320:A4321"/>
    <mergeCell ref="B4320:B4321"/>
    <mergeCell ref="C4320:C4321"/>
    <mergeCell ref="D4320:D4321"/>
    <mergeCell ref="E4320:E4321"/>
    <mergeCell ref="F4320:F4321"/>
    <mergeCell ref="G4320:G4321"/>
    <mergeCell ref="H4320:H4321"/>
    <mergeCell ref="I4320:I4321"/>
    <mergeCell ref="J4320:J4321"/>
    <mergeCell ref="K4320:K4321"/>
    <mergeCell ref="L4320:L4321"/>
    <mergeCell ref="M4320:M4321"/>
    <mergeCell ref="N4320:N4321"/>
    <mergeCell ref="A4301:A4302"/>
    <mergeCell ref="B4301:B4302"/>
    <mergeCell ref="C4301:C4302"/>
    <mergeCell ref="D4301:D4302"/>
    <mergeCell ref="E4301:E4302"/>
    <mergeCell ref="F4301:F4302"/>
    <mergeCell ref="G4301:G4302"/>
    <mergeCell ref="H4301:H4302"/>
    <mergeCell ref="I4301:I4302"/>
    <mergeCell ref="J4301:J4302"/>
    <mergeCell ref="K4301:K4302"/>
    <mergeCell ref="L4301:L4302"/>
    <mergeCell ref="M4301:M4302"/>
    <mergeCell ref="N4301:N4302"/>
    <mergeCell ref="A4306:A4308"/>
    <mergeCell ref="B4306:B4308"/>
    <mergeCell ref="C4306:C4308"/>
    <mergeCell ref="D4306:D4308"/>
    <mergeCell ref="E4306:E4308"/>
    <mergeCell ref="F4306:F4308"/>
    <mergeCell ref="G4306:G4308"/>
    <mergeCell ref="H4306:H4308"/>
    <mergeCell ref="I4306:I4308"/>
    <mergeCell ref="J4306:J4308"/>
    <mergeCell ref="K4306:K4308"/>
    <mergeCell ref="L4306:L4308"/>
    <mergeCell ref="M4306:M4308"/>
    <mergeCell ref="N4306:N4308"/>
    <mergeCell ref="A4311:A4312"/>
    <mergeCell ref="B4311:B4312"/>
    <mergeCell ref="C4311:C4312"/>
    <mergeCell ref="D4311:D4312"/>
    <mergeCell ref="E4311:E4312"/>
    <mergeCell ref="F4311:F4312"/>
    <mergeCell ref="G4311:G4312"/>
    <mergeCell ref="H4311:H4312"/>
    <mergeCell ref="I4311:I4312"/>
    <mergeCell ref="J4311:J4312"/>
    <mergeCell ref="K4311:K4312"/>
    <mergeCell ref="L4311:L4312"/>
    <mergeCell ref="M4311:M4312"/>
    <mergeCell ref="N4311:N4312"/>
    <mergeCell ref="A4281:A4282"/>
    <mergeCell ref="B4281:B4282"/>
    <mergeCell ref="C4281:C4282"/>
    <mergeCell ref="D4281:D4282"/>
    <mergeCell ref="E4281:E4282"/>
    <mergeCell ref="F4281:F4282"/>
    <mergeCell ref="G4281:G4282"/>
    <mergeCell ref="H4281:H4282"/>
    <mergeCell ref="I4281:I4282"/>
    <mergeCell ref="J4281:J4282"/>
    <mergeCell ref="K4281:K4282"/>
    <mergeCell ref="L4281:L4282"/>
    <mergeCell ref="M4281:M4282"/>
    <mergeCell ref="N4281:N4282"/>
    <mergeCell ref="A4289:A4290"/>
    <mergeCell ref="B4289:B4290"/>
    <mergeCell ref="C4289:C4290"/>
    <mergeCell ref="D4289:D4290"/>
    <mergeCell ref="E4289:E4290"/>
    <mergeCell ref="F4289:F4290"/>
    <mergeCell ref="G4289:G4290"/>
    <mergeCell ref="H4289:H4290"/>
    <mergeCell ref="I4289:I4290"/>
    <mergeCell ref="J4289:J4290"/>
    <mergeCell ref="K4289:K4290"/>
    <mergeCell ref="L4289:L4290"/>
    <mergeCell ref="M4289:M4290"/>
    <mergeCell ref="N4289:N4290"/>
    <mergeCell ref="A4296:A4297"/>
    <mergeCell ref="B4296:B4297"/>
    <mergeCell ref="C4296:C4297"/>
    <mergeCell ref="D4296:D4297"/>
    <mergeCell ref="E4296:E4297"/>
    <mergeCell ref="F4296:F4297"/>
    <mergeCell ref="G4296:G4297"/>
    <mergeCell ref="H4296:H4297"/>
    <mergeCell ref="I4296:I4297"/>
    <mergeCell ref="J4296:J4297"/>
    <mergeCell ref="K4296:K4297"/>
    <mergeCell ref="L4296:L4297"/>
    <mergeCell ref="M4296:M4297"/>
    <mergeCell ref="N4296:N4297"/>
    <mergeCell ref="A4271:A4272"/>
    <mergeCell ref="B4271:B4272"/>
    <mergeCell ref="C4271:C4272"/>
    <mergeCell ref="D4271:D4272"/>
    <mergeCell ref="E4271:E4272"/>
    <mergeCell ref="F4271:F4272"/>
    <mergeCell ref="G4271:G4272"/>
    <mergeCell ref="H4271:H4272"/>
    <mergeCell ref="I4271:I4272"/>
    <mergeCell ref="J4271:J4272"/>
    <mergeCell ref="K4271:K4272"/>
    <mergeCell ref="L4271:L4272"/>
    <mergeCell ref="M4271:M4272"/>
    <mergeCell ref="N4271:N4272"/>
    <mergeCell ref="A4273:A4274"/>
    <mergeCell ref="B4273:B4274"/>
    <mergeCell ref="C4273:C4274"/>
    <mergeCell ref="D4273:D4274"/>
    <mergeCell ref="E4273:E4274"/>
    <mergeCell ref="F4273:F4274"/>
    <mergeCell ref="G4273:G4274"/>
    <mergeCell ref="H4273:H4274"/>
    <mergeCell ref="I4273:I4274"/>
    <mergeCell ref="J4273:J4274"/>
    <mergeCell ref="K4273:K4274"/>
    <mergeCell ref="L4273:L4274"/>
    <mergeCell ref="M4273:M4274"/>
    <mergeCell ref="N4273:N4274"/>
    <mergeCell ref="A4277:A4279"/>
    <mergeCell ref="B4277:B4279"/>
    <mergeCell ref="C4277:C4279"/>
    <mergeCell ref="D4277:D4279"/>
    <mergeCell ref="E4277:E4279"/>
    <mergeCell ref="F4277:F4279"/>
    <mergeCell ref="G4277:G4279"/>
    <mergeCell ref="H4277:H4279"/>
    <mergeCell ref="I4277:I4279"/>
    <mergeCell ref="J4277:J4279"/>
    <mergeCell ref="K4277:K4279"/>
    <mergeCell ref="L4277:L4279"/>
    <mergeCell ref="M4277:M4279"/>
    <mergeCell ref="N4277:N4279"/>
    <mergeCell ref="A4261:A4262"/>
    <mergeCell ref="B4261:B4262"/>
    <mergeCell ref="C4261:C4262"/>
    <mergeCell ref="D4261:D4262"/>
    <mergeCell ref="E4261:E4262"/>
    <mergeCell ref="F4261:F4262"/>
    <mergeCell ref="G4261:G4262"/>
    <mergeCell ref="H4261:H4262"/>
    <mergeCell ref="I4261:I4262"/>
    <mergeCell ref="J4261:J4262"/>
    <mergeCell ref="K4261:K4262"/>
    <mergeCell ref="L4261:L4262"/>
    <mergeCell ref="M4261:M4262"/>
    <mergeCell ref="N4261:N4262"/>
    <mergeCell ref="A4266:A4267"/>
    <mergeCell ref="B4266:B4267"/>
    <mergeCell ref="C4266:C4267"/>
    <mergeCell ref="D4266:D4267"/>
    <mergeCell ref="E4266:E4267"/>
    <mergeCell ref="F4266:F4267"/>
    <mergeCell ref="G4266:G4267"/>
    <mergeCell ref="H4266:H4267"/>
    <mergeCell ref="I4266:I4267"/>
    <mergeCell ref="J4266:J4267"/>
    <mergeCell ref="K4266:K4267"/>
    <mergeCell ref="L4266:L4267"/>
    <mergeCell ref="M4266:M4267"/>
    <mergeCell ref="N4266:N4267"/>
    <mergeCell ref="A4268:A4269"/>
    <mergeCell ref="B4268:B4269"/>
    <mergeCell ref="C4268:C4269"/>
    <mergeCell ref="D4268:D4269"/>
    <mergeCell ref="E4268:E4269"/>
    <mergeCell ref="F4268:F4269"/>
    <mergeCell ref="G4268:G4269"/>
    <mergeCell ref="H4268:H4269"/>
    <mergeCell ref="I4268:I4269"/>
    <mergeCell ref="J4268:J4269"/>
    <mergeCell ref="K4268:K4269"/>
    <mergeCell ref="L4268:L4269"/>
    <mergeCell ref="M4268:M4269"/>
    <mergeCell ref="N4268:N4269"/>
    <mergeCell ref="A4254:A4255"/>
    <mergeCell ref="B4254:B4255"/>
    <mergeCell ref="C4254:C4255"/>
    <mergeCell ref="D4254:D4255"/>
    <mergeCell ref="E4254:E4255"/>
    <mergeCell ref="F4254:F4255"/>
    <mergeCell ref="G4254:G4255"/>
    <mergeCell ref="H4254:H4255"/>
    <mergeCell ref="I4254:I4255"/>
    <mergeCell ref="J4254:J4255"/>
    <mergeCell ref="K4254:K4255"/>
    <mergeCell ref="L4254:L4255"/>
    <mergeCell ref="M4254:M4255"/>
    <mergeCell ref="N4254:N4255"/>
    <mergeCell ref="A4256:A4257"/>
    <mergeCell ref="B4256:B4257"/>
    <mergeCell ref="C4256:C4257"/>
    <mergeCell ref="D4256:D4257"/>
    <mergeCell ref="E4256:E4257"/>
    <mergeCell ref="F4256:F4257"/>
    <mergeCell ref="G4256:G4257"/>
    <mergeCell ref="H4256:H4257"/>
    <mergeCell ref="I4256:I4257"/>
    <mergeCell ref="J4256:J4257"/>
    <mergeCell ref="K4256:K4257"/>
    <mergeCell ref="L4256:L4257"/>
    <mergeCell ref="M4256:M4257"/>
    <mergeCell ref="N4256:N4257"/>
    <mergeCell ref="A4258:A4259"/>
    <mergeCell ref="B4258:B4259"/>
    <mergeCell ref="C4258:C4259"/>
    <mergeCell ref="D4258:D4259"/>
    <mergeCell ref="E4258:E4259"/>
    <mergeCell ref="F4258:F4259"/>
    <mergeCell ref="G4258:G4259"/>
    <mergeCell ref="H4258:H4259"/>
    <mergeCell ref="I4258:I4259"/>
    <mergeCell ref="J4258:J4259"/>
    <mergeCell ref="K4258:K4259"/>
    <mergeCell ref="L4258:L4259"/>
    <mergeCell ref="M4258:M4259"/>
    <mergeCell ref="N4258:N4259"/>
    <mergeCell ref="A4244:A4245"/>
    <mergeCell ref="B4244:B4245"/>
    <mergeCell ref="C4244:C4245"/>
    <mergeCell ref="D4244:D4245"/>
    <mergeCell ref="E4244:E4245"/>
    <mergeCell ref="F4244:F4245"/>
    <mergeCell ref="G4244:G4245"/>
    <mergeCell ref="H4244:H4245"/>
    <mergeCell ref="I4244:I4245"/>
    <mergeCell ref="J4244:J4245"/>
    <mergeCell ref="K4244:K4245"/>
    <mergeCell ref="L4244:L4245"/>
    <mergeCell ref="M4244:M4245"/>
    <mergeCell ref="N4244:N4245"/>
    <mergeCell ref="A4247:A4248"/>
    <mergeCell ref="B4247:B4248"/>
    <mergeCell ref="C4247:C4248"/>
    <mergeCell ref="D4247:D4248"/>
    <mergeCell ref="E4247:E4248"/>
    <mergeCell ref="F4247:F4248"/>
    <mergeCell ref="G4247:G4248"/>
    <mergeCell ref="H4247:H4248"/>
    <mergeCell ref="I4247:I4248"/>
    <mergeCell ref="J4247:J4248"/>
    <mergeCell ref="K4247:K4248"/>
    <mergeCell ref="L4247:L4248"/>
    <mergeCell ref="M4247:M4248"/>
    <mergeCell ref="N4247:N4248"/>
    <mergeCell ref="A4249:A4250"/>
    <mergeCell ref="B4249:B4250"/>
    <mergeCell ref="C4249:C4250"/>
    <mergeCell ref="D4249:D4250"/>
    <mergeCell ref="E4249:E4250"/>
    <mergeCell ref="F4249:F4250"/>
    <mergeCell ref="G4249:G4250"/>
    <mergeCell ref="H4249:H4250"/>
    <mergeCell ref="I4249:I4250"/>
    <mergeCell ref="J4249:J4250"/>
    <mergeCell ref="K4249:K4250"/>
    <mergeCell ref="L4249:L4250"/>
    <mergeCell ref="M4249:M4250"/>
    <mergeCell ref="N4249:N4250"/>
    <mergeCell ref="A4225:A4230"/>
    <mergeCell ref="B4225:B4230"/>
    <mergeCell ref="C4225:C4230"/>
    <mergeCell ref="D4225:D4230"/>
    <mergeCell ref="E4225:E4230"/>
    <mergeCell ref="F4225:F4230"/>
    <mergeCell ref="G4225:G4230"/>
    <mergeCell ref="H4225:H4230"/>
    <mergeCell ref="I4225:I4230"/>
    <mergeCell ref="J4225:J4230"/>
    <mergeCell ref="K4225:K4230"/>
    <mergeCell ref="L4225:L4230"/>
    <mergeCell ref="M4225:M4230"/>
    <mergeCell ref="N4225:N4230"/>
    <mergeCell ref="A4234:A4236"/>
    <mergeCell ref="B4234:B4236"/>
    <mergeCell ref="C4234:C4236"/>
    <mergeCell ref="D4234:D4236"/>
    <mergeCell ref="E4234:E4236"/>
    <mergeCell ref="F4234:F4236"/>
    <mergeCell ref="G4234:G4236"/>
    <mergeCell ref="H4234:H4236"/>
    <mergeCell ref="I4234:I4236"/>
    <mergeCell ref="J4234:J4236"/>
    <mergeCell ref="K4234:K4236"/>
    <mergeCell ref="L4234:L4236"/>
    <mergeCell ref="M4234:M4236"/>
    <mergeCell ref="N4234:N4236"/>
    <mergeCell ref="A4242:A4243"/>
    <mergeCell ref="B4242:B4243"/>
    <mergeCell ref="C4242:C4243"/>
    <mergeCell ref="D4242:D4243"/>
    <mergeCell ref="E4242:E4243"/>
    <mergeCell ref="F4242:F4243"/>
    <mergeCell ref="G4242:G4243"/>
    <mergeCell ref="H4242:H4243"/>
    <mergeCell ref="I4242:I4243"/>
    <mergeCell ref="J4242:J4243"/>
    <mergeCell ref="K4242:K4243"/>
    <mergeCell ref="L4242:L4243"/>
    <mergeCell ref="M4242:M4243"/>
    <mergeCell ref="N4242:N4243"/>
    <mergeCell ref="A4217:A4220"/>
    <mergeCell ref="B4217:B4220"/>
    <mergeCell ref="C4217:C4220"/>
    <mergeCell ref="D4217:D4220"/>
    <mergeCell ref="E4217:E4220"/>
    <mergeCell ref="F4217:F4220"/>
    <mergeCell ref="G4217:G4220"/>
    <mergeCell ref="H4217:H4220"/>
    <mergeCell ref="I4217:I4220"/>
    <mergeCell ref="J4217:J4220"/>
    <mergeCell ref="K4217:K4220"/>
    <mergeCell ref="L4217:L4220"/>
    <mergeCell ref="M4217:M4220"/>
    <mergeCell ref="N4217:N4220"/>
    <mergeCell ref="A4221:A4222"/>
    <mergeCell ref="B4221:B4222"/>
    <mergeCell ref="C4221:C4222"/>
    <mergeCell ref="D4221:D4222"/>
    <mergeCell ref="E4221:E4222"/>
    <mergeCell ref="F4221:F4222"/>
    <mergeCell ref="G4221:G4222"/>
    <mergeCell ref="H4221:H4222"/>
    <mergeCell ref="I4221:I4222"/>
    <mergeCell ref="J4221:J4222"/>
    <mergeCell ref="K4221:K4222"/>
    <mergeCell ref="L4221:L4222"/>
    <mergeCell ref="M4221:M4222"/>
    <mergeCell ref="N4221:N4222"/>
    <mergeCell ref="A4223:A4224"/>
    <mergeCell ref="B4223:B4224"/>
    <mergeCell ref="C4223:C4224"/>
    <mergeCell ref="D4223:D4224"/>
    <mergeCell ref="E4223:E4224"/>
    <mergeCell ref="F4223:F4224"/>
    <mergeCell ref="G4223:G4224"/>
    <mergeCell ref="H4223:H4224"/>
    <mergeCell ref="I4223:I4224"/>
    <mergeCell ref="J4223:J4224"/>
    <mergeCell ref="K4223:K4224"/>
    <mergeCell ref="L4223:L4224"/>
    <mergeCell ref="M4223:M4224"/>
    <mergeCell ref="N4223:N4224"/>
    <mergeCell ref="A4203:A4204"/>
    <mergeCell ref="B4203:B4204"/>
    <mergeCell ref="C4203:C4204"/>
    <mergeCell ref="D4203:D4204"/>
    <mergeCell ref="E4203:E4204"/>
    <mergeCell ref="F4203:F4204"/>
    <mergeCell ref="G4203:G4204"/>
    <mergeCell ref="H4203:H4204"/>
    <mergeCell ref="I4203:I4204"/>
    <mergeCell ref="J4203:J4204"/>
    <mergeCell ref="K4203:K4204"/>
    <mergeCell ref="L4203:L4204"/>
    <mergeCell ref="M4203:M4204"/>
    <mergeCell ref="N4203:N4204"/>
    <mergeCell ref="A4205:A4207"/>
    <mergeCell ref="B4205:B4207"/>
    <mergeCell ref="C4205:C4207"/>
    <mergeCell ref="D4205:D4207"/>
    <mergeCell ref="E4205:E4207"/>
    <mergeCell ref="F4205:F4207"/>
    <mergeCell ref="G4205:G4207"/>
    <mergeCell ref="H4205:H4207"/>
    <mergeCell ref="I4205:I4207"/>
    <mergeCell ref="J4205:J4207"/>
    <mergeCell ref="K4205:K4207"/>
    <mergeCell ref="L4205:L4207"/>
    <mergeCell ref="M4205:M4207"/>
    <mergeCell ref="N4205:N4207"/>
    <mergeCell ref="A4208:A4211"/>
    <mergeCell ref="B4208:B4211"/>
    <mergeCell ref="C4208:C4211"/>
    <mergeCell ref="D4208:D4211"/>
    <mergeCell ref="E4208:E4211"/>
    <mergeCell ref="F4208:F4211"/>
    <mergeCell ref="G4208:G4211"/>
    <mergeCell ref="H4208:H4211"/>
    <mergeCell ref="I4208:I4211"/>
    <mergeCell ref="J4208:J4211"/>
    <mergeCell ref="K4208:K4211"/>
    <mergeCell ref="L4208:L4211"/>
    <mergeCell ref="M4208:M4211"/>
    <mergeCell ref="N4208:N4211"/>
    <mergeCell ref="A4190:A4191"/>
    <mergeCell ref="B4190:B4191"/>
    <mergeCell ref="C4190:C4191"/>
    <mergeCell ref="D4190:D4191"/>
    <mergeCell ref="E4190:E4191"/>
    <mergeCell ref="F4190:F4191"/>
    <mergeCell ref="G4190:G4191"/>
    <mergeCell ref="H4190:H4191"/>
    <mergeCell ref="I4190:I4191"/>
    <mergeCell ref="J4190:J4191"/>
    <mergeCell ref="K4190:K4191"/>
    <mergeCell ref="L4190:L4191"/>
    <mergeCell ref="M4190:M4191"/>
    <mergeCell ref="N4190:N4191"/>
    <mergeCell ref="A4197:A4198"/>
    <mergeCell ref="B4197:B4198"/>
    <mergeCell ref="C4197:C4198"/>
    <mergeCell ref="D4197:D4198"/>
    <mergeCell ref="E4197:E4198"/>
    <mergeCell ref="F4197:F4198"/>
    <mergeCell ref="G4197:G4198"/>
    <mergeCell ref="H4197:H4198"/>
    <mergeCell ref="I4197:I4198"/>
    <mergeCell ref="J4197:J4198"/>
    <mergeCell ref="K4197:K4198"/>
    <mergeCell ref="L4197:L4198"/>
    <mergeCell ref="M4197:M4198"/>
    <mergeCell ref="N4197:N4198"/>
    <mergeCell ref="A4199:A4201"/>
    <mergeCell ref="B4199:B4201"/>
    <mergeCell ref="C4199:C4201"/>
    <mergeCell ref="D4199:D4201"/>
    <mergeCell ref="E4199:E4201"/>
    <mergeCell ref="F4199:F4201"/>
    <mergeCell ref="G4199:G4201"/>
    <mergeCell ref="H4199:H4201"/>
    <mergeCell ref="I4199:I4201"/>
    <mergeCell ref="J4199:J4201"/>
    <mergeCell ref="K4199:K4201"/>
    <mergeCell ref="L4199:L4201"/>
    <mergeCell ref="M4199:M4201"/>
    <mergeCell ref="N4199:N4201"/>
    <mergeCell ref="A4179:A4182"/>
    <mergeCell ref="B4179:B4182"/>
    <mergeCell ref="C4179:C4182"/>
    <mergeCell ref="D4179:D4182"/>
    <mergeCell ref="E4179:E4182"/>
    <mergeCell ref="F4179:F4182"/>
    <mergeCell ref="G4179:G4182"/>
    <mergeCell ref="H4179:H4182"/>
    <mergeCell ref="I4179:I4182"/>
    <mergeCell ref="J4179:J4182"/>
    <mergeCell ref="K4179:K4182"/>
    <mergeCell ref="L4179:L4182"/>
    <mergeCell ref="M4179:M4182"/>
    <mergeCell ref="N4179:N4182"/>
    <mergeCell ref="A4183:A4184"/>
    <mergeCell ref="B4183:B4184"/>
    <mergeCell ref="C4183:C4184"/>
    <mergeCell ref="D4183:D4184"/>
    <mergeCell ref="E4183:E4184"/>
    <mergeCell ref="F4183:F4184"/>
    <mergeCell ref="G4183:G4184"/>
    <mergeCell ref="H4183:H4184"/>
    <mergeCell ref="I4183:I4184"/>
    <mergeCell ref="J4183:J4184"/>
    <mergeCell ref="K4183:K4184"/>
    <mergeCell ref="L4183:L4184"/>
    <mergeCell ref="M4183:M4184"/>
    <mergeCell ref="N4183:N4184"/>
    <mergeCell ref="A4186:A4188"/>
    <mergeCell ref="B4186:B4188"/>
    <mergeCell ref="C4186:C4188"/>
    <mergeCell ref="D4186:D4188"/>
    <mergeCell ref="E4186:E4188"/>
    <mergeCell ref="F4186:F4188"/>
    <mergeCell ref="G4186:G4188"/>
    <mergeCell ref="H4186:H4188"/>
    <mergeCell ref="I4186:I4188"/>
    <mergeCell ref="J4186:J4188"/>
    <mergeCell ref="K4186:K4188"/>
    <mergeCell ref="L4186:L4188"/>
    <mergeCell ref="M4186:M4188"/>
    <mergeCell ref="N4186:N4188"/>
    <mergeCell ref="A4161:A4164"/>
    <mergeCell ref="B4161:B4164"/>
    <mergeCell ref="C4161:C4164"/>
    <mergeCell ref="D4161:D4164"/>
    <mergeCell ref="E4161:E4164"/>
    <mergeCell ref="F4161:F4164"/>
    <mergeCell ref="G4161:G4164"/>
    <mergeCell ref="H4161:H4164"/>
    <mergeCell ref="I4161:I4164"/>
    <mergeCell ref="J4161:J4164"/>
    <mergeCell ref="K4161:K4164"/>
    <mergeCell ref="L4161:L4164"/>
    <mergeCell ref="M4161:M4164"/>
    <mergeCell ref="N4161:N4164"/>
    <mergeCell ref="A4165:A4174"/>
    <mergeCell ref="B4165:B4174"/>
    <mergeCell ref="C4165:C4174"/>
    <mergeCell ref="D4165:D4174"/>
    <mergeCell ref="E4165:E4174"/>
    <mergeCell ref="F4165:F4174"/>
    <mergeCell ref="G4165:G4174"/>
    <mergeCell ref="H4165:H4174"/>
    <mergeCell ref="I4165:I4174"/>
    <mergeCell ref="J4165:J4174"/>
    <mergeCell ref="K4165:K4174"/>
    <mergeCell ref="L4165:L4174"/>
    <mergeCell ref="M4165:M4174"/>
    <mergeCell ref="N4165:N4174"/>
    <mergeCell ref="A4175:A4178"/>
    <mergeCell ref="B4175:B4178"/>
    <mergeCell ref="C4175:C4178"/>
    <mergeCell ref="D4175:D4178"/>
    <mergeCell ref="E4175:E4178"/>
    <mergeCell ref="F4175:F4178"/>
    <mergeCell ref="G4175:G4178"/>
    <mergeCell ref="H4175:H4178"/>
    <mergeCell ref="I4175:I4178"/>
    <mergeCell ref="J4175:J4178"/>
    <mergeCell ref="K4175:K4178"/>
    <mergeCell ref="L4175:L4178"/>
    <mergeCell ref="M4175:M4178"/>
    <mergeCell ref="N4175:N4178"/>
    <mergeCell ref="A4152:A4153"/>
    <mergeCell ref="B4152:B4153"/>
    <mergeCell ref="C4152:C4153"/>
    <mergeCell ref="D4152:D4153"/>
    <mergeCell ref="E4152:E4153"/>
    <mergeCell ref="F4152:F4153"/>
    <mergeCell ref="G4152:G4153"/>
    <mergeCell ref="H4152:H4153"/>
    <mergeCell ref="I4152:I4153"/>
    <mergeCell ref="J4152:J4153"/>
    <mergeCell ref="K4152:K4153"/>
    <mergeCell ref="L4152:L4153"/>
    <mergeCell ref="M4152:M4153"/>
    <mergeCell ref="N4152:N4153"/>
    <mergeCell ref="A4154:A4155"/>
    <mergeCell ref="B4154:B4155"/>
    <mergeCell ref="C4154:C4155"/>
    <mergeCell ref="D4154:D4155"/>
    <mergeCell ref="E4154:E4155"/>
    <mergeCell ref="F4154:F4155"/>
    <mergeCell ref="G4154:G4155"/>
    <mergeCell ref="H4154:H4155"/>
    <mergeCell ref="I4154:I4155"/>
    <mergeCell ref="J4154:J4155"/>
    <mergeCell ref="K4154:K4155"/>
    <mergeCell ref="L4154:L4155"/>
    <mergeCell ref="M4154:M4155"/>
    <mergeCell ref="N4154:N4155"/>
    <mergeCell ref="A4156:A4157"/>
    <mergeCell ref="B4156:B4157"/>
    <mergeCell ref="C4156:C4157"/>
    <mergeCell ref="D4156:D4157"/>
    <mergeCell ref="E4156:E4157"/>
    <mergeCell ref="F4156:F4157"/>
    <mergeCell ref="G4156:G4157"/>
    <mergeCell ref="H4156:H4157"/>
    <mergeCell ref="I4156:I4157"/>
    <mergeCell ref="J4156:J4157"/>
    <mergeCell ref="K4156:K4157"/>
    <mergeCell ref="L4156:L4157"/>
    <mergeCell ref="M4156:M4157"/>
    <mergeCell ref="N4156:N4157"/>
    <mergeCell ref="A4136:A4137"/>
    <mergeCell ref="B4136:B4137"/>
    <mergeCell ref="C4136:C4137"/>
    <mergeCell ref="D4136:D4137"/>
    <mergeCell ref="E4136:E4137"/>
    <mergeCell ref="F4136:F4137"/>
    <mergeCell ref="G4136:G4137"/>
    <mergeCell ref="H4136:H4137"/>
    <mergeCell ref="I4136:I4137"/>
    <mergeCell ref="J4136:J4137"/>
    <mergeCell ref="K4136:K4137"/>
    <mergeCell ref="L4136:L4137"/>
    <mergeCell ref="M4136:M4137"/>
    <mergeCell ref="N4136:N4137"/>
    <mergeCell ref="A4140:A4141"/>
    <mergeCell ref="B4140:B4141"/>
    <mergeCell ref="C4140:C4141"/>
    <mergeCell ref="D4140:D4141"/>
    <mergeCell ref="E4140:E4141"/>
    <mergeCell ref="F4140:F4141"/>
    <mergeCell ref="G4140:G4141"/>
    <mergeCell ref="H4140:H4141"/>
    <mergeCell ref="I4140:I4141"/>
    <mergeCell ref="J4140:J4141"/>
    <mergeCell ref="K4140:K4141"/>
    <mergeCell ref="L4140:L4141"/>
    <mergeCell ref="M4140:M4141"/>
    <mergeCell ref="N4140:N4141"/>
    <mergeCell ref="A4149:A4150"/>
    <mergeCell ref="B4149:B4150"/>
    <mergeCell ref="C4149:C4150"/>
    <mergeCell ref="D4149:D4150"/>
    <mergeCell ref="E4149:E4150"/>
    <mergeCell ref="F4149:F4150"/>
    <mergeCell ref="G4149:G4150"/>
    <mergeCell ref="H4149:H4150"/>
    <mergeCell ref="I4149:I4150"/>
    <mergeCell ref="J4149:J4150"/>
    <mergeCell ref="K4149:K4150"/>
    <mergeCell ref="L4149:L4150"/>
    <mergeCell ref="M4149:M4150"/>
    <mergeCell ref="N4149:N4150"/>
    <mergeCell ref="A4120:A4121"/>
    <mergeCell ref="B4120:B4121"/>
    <mergeCell ref="C4120:C4121"/>
    <mergeCell ref="D4120:D4121"/>
    <mergeCell ref="E4120:E4121"/>
    <mergeCell ref="F4120:F4121"/>
    <mergeCell ref="G4120:G4121"/>
    <mergeCell ref="H4120:H4121"/>
    <mergeCell ref="I4120:I4121"/>
    <mergeCell ref="J4120:J4121"/>
    <mergeCell ref="K4120:K4121"/>
    <mergeCell ref="L4120:L4121"/>
    <mergeCell ref="M4120:M4121"/>
    <mergeCell ref="N4120:N4121"/>
    <mergeCell ref="A4124:A4125"/>
    <mergeCell ref="B4124:B4125"/>
    <mergeCell ref="C4124:C4125"/>
    <mergeCell ref="D4124:D4125"/>
    <mergeCell ref="E4124:E4125"/>
    <mergeCell ref="F4124:F4125"/>
    <mergeCell ref="G4124:G4125"/>
    <mergeCell ref="H4124:H4125"/>
    <mergeCell ref="I4124:I4125"/>
    <mergeCell ref="J4124:J4125"/>
    <mergeCell ref="K4124:K4125"/>
    <mergeCell ref="L4124:L4125"/>
    <mergeCell ref="M4124:M4125"/>
    <mergeCell ref="N4124:N4125"/>
    <mergeCell ref="A4127:A4135"/>
    <mergeCell ref="B4127:B4135"/>
    <mergeCell ref="C4127:C4135"/>
    <mergeCell ref="D4127:D4135"/>
    <mergeCell ref="E4127:E4135"/>
    <mergeCell ref="F4127:F4135"/>
    <mergeCell ref="G4127:G4135"/>
    <mergeCell ref="H4127:H4135"/>
    <mergeCell ref="I4127:I4135"/>
    <mergeCell ref="J4127:J4135"/>
    <mergeCell ref="K4127:K4135"/>
    <mergeCell ref="L4127:L4135"/>
    <mergeCell ref="M4127:M4135"/>
    <mergeCell ref="N4127:N4135"/>
    <mergeCell ref="A4098:A4101"/>
    <mergeCell ref="B4098:B4101"/>
    <mergeCell ref="C4098:C4101"/>
    <mergeCell ref="D4098:D4101"/>
    <mergeCell ref="E4098:E4101"/>
    <mergeCell ref="F4098:F4101"/>
    <mergeCell ref="G4098:G4101"/>
    <mergeCell ref="H4098:H4101"/>
    <mergeCell ref="I4098:I4101"/>
    <mergeCell ref="J4098:J4101"/>
    <mergeCell ref="K4098:K4101"/>
    <mergeCell ref="L4098:L4101"/>
    <mergeCell ref="M4098:M4101"/>
    <mergeCell ref="N4098:N4101"/>
    <mergeCell ref="A4103:A4104"/>
    <mergeCell ref="B4103:B4104"/>
    <mergeCell ref="C4103:C4104"/>
    <mergeCell ref="D4103:D4104"/>
    <mergeCell ref="E4103:E4104"/>
    <mergeCell ref="F4103:F4104"/>
    <mergeCell ref="G4103:G4104"/>
    <mergeCell ref="H4103:H4104"/>
    <mergeCell ref="I4103:I4104"/>
    <mergeCell ref="J4103:J4104"/>
    <mergeCell ref="K4103:K4104"/>
    <mergeCell ref="L4103:L4104"/>
    <mergeCell ref="M4103:M4104"/>
    <mergeCell ref="N4103:N4104"/>
    <mergeCell ref="A4108:A4112"/>
    <mergeCell ref="B4108:B4112"/>
    <mergeCell ref="C4108:C4112"/>
    <mergeCell ref="D4108:D4112"/>
    <mergeCell ref="E4108:E4112"/>
    <mergeCell ref="F4108:F4112"/>
    <mergeCell ref="G4108:G4112"/>
    <mergeCell ref="H4108:H4112"/>
    <mergeCell ref="I4108:I4112"/>
    <mergeCell ref="J4108:J4112"/>
    <mergeCell ref="K4108:K4112"/>
    <mergeCell ref="L4108:L4112"/>
    <mergeCell ref="M4108:M4112"/>
    <mergeCell ref="N4108:N4112"/>
    <mergeCell ref="A4086:A4087"/>
    <mergeCell ref="B4086:B4087"/>
    <mergeCell ref="C4086:C4087"/>
    <mergeCell ref="D4086:D4087"/>
    <mergeCell ref="E4086:E4087"/>
    <mergeCell ref="F4086:F4087"/>
    <mergeCell ref="G4086:G4087"/>
    <mergeCell ref="H4086:H4087"/>
    <mergeCell ref="I4086:I4087"/>
    <mergeCell ref="J4086:J4087"/>
    <mergeCell ref="K4086:K4087"/>
    <mergeCell ref="L4086:L4087"/>
    <mergeCell ref="M4086:M4087"/>
    <mergeCell ref="N4086:N4087"/>
    <mergeCell ref="A4089:A4094"/>
    <mergeCell ref="B4089:B4094"/>
    <mergeCell ref="C4089:C4094"/>
    <mergeCell ref="D4089:D4094"/>
    <mergeCell ref="E4089:E4094"/>
    <mergeCell ref="F4089:F4094"/>
    <mergeCell ref="G4089:G4094"/>
    <mergeCell ref="H4089:H4094"/>
    <mergeCell ref="I4089:I4094"/>
    <mergeCell ref="J4089:J4094"/>
    <mergeCell ref="K4089:K4094"/>
    <mergeCell ref="L4089:L4094"/>
    <mergeCell ref="M4089:M4094"/>
    <mergeCell ref="N4089:N4094"/>
    <mergeCell ref="A4095:A4096"/>
    <mergeCell ref="B4095:B4096"/>
    <mergeCell ref="C4095:C4096"/>
    <mergeCell ref="D4095:D4096"/>
    <mergeCell ref="E4095:E4096"/>
    <mergeCell ref="F4095:F4096"/>
    <mergeCell ref="G4095:G4096"/>
    <mergeCell ref="H4095:H4096"/>
    <mergeCell ref="I4095:I4096"/>
    <mergeCell ref="J4095:J4096"/>
    <mergeCell ref="K4095:K4096"/>
    <mergeCell ref="L4095:L4096"/>
    <mergeCell ref="M4095:M4096"/>
    <mergeCell ref="N4095:N4096"/>
    <mergeCell ref="A4077:A4078"/>
    <mergeCell ref="B4077:B4078"/>
    <mergeCell ref="C4077:C4078"/>
    <mergeCell ref="D4077:D4078"/>
    <mergeCell ref="E4077:E4078"/>
    <mergeCell ref="F4077:F4078"/>
    <mergeCell ref="G4077:G4078"/>
    <mergeCell ref="H4077:H4078"/>
    <mergeCell ref="I4077:I4078"/>
    <mergeCell ref="J4077:J4078"/>
    <mergeCell ref="K4077:K4078"/>
    <mergeCell ref="L4077:L4078"/>
    <mergeCell ref="M4077:M4078"/>
    <mergeCell ref="N4077:N4078"/>
    <mergeCell ref="A4080:A4081"/>
    <mergeCell ref="B4080:B4081"/>
    <mergeCell ref="C4080:C4081"/>
    <mergeCell ref="D4080:D4081"/>
    <mergeCell ref="E4080:E4081"/>
    <mergeCell ref="F4080:F4081"/>
    <mergeCell ref="G4080:G4081"/>
    <mergeCell ref="H4080:H4081"/>
    <mergeCell ref="I4080:I4081"/>
    <mergeCell ref="J4080:J4081"/>
    <mergeCell ref="K4080:K4081"/>
    <mergeCell ref="L4080:L4081"/>
    <mergeCell ref="M4080:M4081"/>
    <mergeCell ref="N4080:N4081"/>
    <mergeCell ref="A4082:A4083"/>
    <mergeCell ref="B4082:B4083"/>
    <mergeCell ref="C4082:C4083"/>
    <mergeCell ref="D4082:D4083"/>
    <mergeCell ref="E4082:E4083"/>
    <mergeCell ref="F4082:F4083"/>
    <mergeCell ref="G4082:G4083"/>
    <mergeCell ref="H4082:H4083"/>
    <mergeCell ref="I4082:I4083"/>
    <mergeCell ref="J4082:J4083"/>
    <mergeCell ref="K4082:K4083"/>
    <mergeCell ref="L4082:L4083"/>
    <mergeCell ref="M4082:M4083"/>
    <mergeCell ref="N4082:N4083"/>
    <mergeCell ref="A4064:A4068"/>
    <mergeCell ref="B4064:B4068"/>
    <mergeCell ref="C4064:C4068"/>
    <mergeCell ref="D4064:D4068"/>
    <mergeCell ref="E4064:E4068"/>
    <mergeCell ref="F4064:F4068"/>
    <mergeCell ref="G4064:G4068"/>
    <mergeCell ref="H4064:H4068"/>
    <mergeCell ref="I4064:I4068"/>
    <mergeCell ref="J4064:J4068"/>
    <mergeCell ref="K4064:K4068"/>
    <mergeCell ref="L4064:L4068"/>
    <mergeCell ref="M4064:M4068"/>
    <mergeCell ref="N4064:N4068"/>
    <mergeCell ref="A4070:A4074"/>
    <mergeCell ref="B4070:B4074"/>
    <mergeCell ref="C4070:C4074"/>
    <mergeCell ref="D4070:D4074"/>
    <mergeCell ref="E4070:E4074"/>
    <mergeCell ref="F4070:F4074"/>
    <mergeCell ref="G4070:G4074"/>
    <mergeCell ref="H4070:H4074"/>
    <mergeCell ref="I4070:I4074"/>
    <mergeCell ref="J4070:J4074"/>
    <mergeCell ref="K4070:K4074"/>
    <mergeCell ref="L4070:L4074"/>
    <mergeCell ref="M4070:M4074"/>
    <mergeCell ref="N4070:N4074"/>
    <mergeCell ref="A4075:A4076"/>
    <mergeCell ref="B4075:B4076"/>
    <mergeCell ref="C4075:C4076"/>
    <mergeCell ref="D4075:D4076"/>
    <mergeCell ref="E4075:E4076"/>
    <mergeCell ref="F4075:F4076"/>
    <mergeCell ref="G4075:G4076"/>
    <mergeCell ref="H4075:H4076"/>
    <mergeCell ref="I4075:I4076"/>
    <mergeCell ref="J4075:J4076"/>
    <mergeCell ref="K4075:K4076"/>
    <mergeCell ref="L4075:L4076"/>
    <mergeCell ref="M4075:M4076"/>
    <mergeCell ref="N4075:N4076"/>
    <mergeCell ref="A4054:A4056"/>
    <mergeCell ref="B4054:B4056"/>
    <mergeCell ref="C4054:C4056"/>
    <mergeCell ref="D4054:D4056"/>
    <mergeCell ref="E4054:E4056"/>
    <mergeCell ref="F4054:F4056"/>
    <mergeCell ref="G4054:G4056"/>
    <mergeCell ref="H4054:H4056"/>
    <mergeCell ref="I4054:I4056"/>
    <mergeCell ref="J4054:J4056"/>
    <mergeCell ref="K4054:K4056"/>
    <mergeCell ref="L4054:L4056"/>
    <mergeCell ref="M4054:M4056"/>
    <mergeCell ref="N4054:N4056"/>
    <mergeCell ref="A4057:A4061"/>
    <mergeCell ref="B4057:B4061"/>
    <mergeCell ref="C4057:C4061"/>
    <mergeCell ref="D4057:D4061"/>
    <mergeCell ref="E4057:E4061"/>
    <mergeCell ref="F4057:F4061"/>
    <mergeCell ref="G4057:G4061"/>
    <mergeCell ref="H4057:H4061"/>
    <mergeCell ref="I4057:I4061"/>
    <mergeCell ref="J4057:J4061"/>
    <mergeCell ref="K4057:K4061"/>
    <mergeCell ref="L4057:L4061"/>
    <mergeCell ref="M4057:M4061"/>
    <mergeCell ref="N4057:N4061"/>
    <mergeCell ref="A4062:A4063"/>
    <mergeCell ref="B4062:B4063"/>
    <mergeCell ref="C4062:C4063"/>
    <mergeCell ref="D4062:D4063"/>
    <mergeCell ref="E4062:E4063"/>
    <mergeCell ref="F4062:F4063"/>
    <mergeCell ref="G4062:G4063"/>
    <mergeCell ref="H4062:H4063"/>
    <mergeCell ref="I4062:I4063"/>
    <mergeCell ref="J4062:J4063"/>
    <mergeCell ref="K4062:K4063"/>
    <mergeCell ref="L4062:L4063"/>
    <mergeCell ref="M4062:M4063"/>
    <mergeCell ref="N4062:N4063"/>
    <mergeCell ref="A4040:A4041"/>
    <mergeCell ref="B4040:B4041"/>
    <mergeCell ref="C4040:C4041"/>
    <mergeCell ref="D4040:D4041"/>
    <mergeCell ref="E4040:E4041"/>
    <mergeCell ref="F4040:F4041"/>
    <mergeCell ref="G4040:G4041"/>
    <mergeCell ref="H4040:H4041"/>
    <mergeCell ref="I4040:I4041"/>
    <mergeCell ref="J4040:J4041"/>
    <mergeCell ref="K4040:K4041"/>
    <mergeCell ref="L4040:L4041"/>
    <mergeCell ref="M4040:M4041"/>
    <mergeCell ref="N4040:N4041"/>
    <mergeCell ref="A4043:A4044"/>
    <mergeCell ref="B4043:B4044"/>
    <mergeCell ref="C4043:C4044"/>
    <mergeCell ref="D4043:D4044"/>
    <mergeCell ref="E4043:E4044"/>
    <mergeCell ref="F4043:F4044"/>
    <mergeCell ref="G4043:G4044"/>
    <mergeCell ref="H4043:H4044"/>
    <mergeCell ref="I4043:I4044"/>
    <mergeCell ref="J4043:J4044"/>
    <mergeCell ref="K4043:K4044"/>
    <mergeCell ref="L4043:L4044"/>
    <mergeCell ref="M4043:M4044"/>
    <mergeCell ref="N4043:N4044"/>
    <mergeCell ref="A4051:A4053"/>
    <mergeCell ref="B4051:B4053"/>
    <mergeCell ref="C4051:C4053"/>
    <mergeCell ref="D4051:D4053"/>
    <mergeCell ref="E4051:E4053"/>
    <mergeCell ref="F4051:F4053"/>
    <mergeCell ref="G4051:G4053"/>
    <mergeCell ref="H4051:H4053"/>
    <mergeCell ref="I4051:I4053"/>
    <mergeCell ref="J4051:J4053"/>
    <mergeCell ref="K4051:K4053"/>
    <mergeCell ref="L4051:L4053"/>
    <mergeCell ref="M4051:M4053"/>
    <mergeCell ref="N4051:N4053"/>
    <mergeCell ref="A4027:A4029"/>
    <mergeCell ref="B4027:B4029"/>
    <mergeCell ref="C4027:C4029"/>
    <mergeCell ref="D4027:D4029"/>
    <mergeCell ref="E4027:E4029"/>
    <mergeCell ref="F4027:F4029"/>
    <mergeCell ref="G4027:G4029"/>
    <mergeCell ref="H4027:H4029"/>
    <mergeCell ref="I4027:I4029"/>
    <mergeCell ref="J4027:J4029"/>
    <mergeCell ref="K4027:K4029"/>
    <mergeCell ref="L4027:L4029"/>
    <mergeCell ref="M4027:M4029"/>
    <mergeCell ref="N4027:N4029"/>
    <mergeCell ref="A4030:A4031"/>
    <mergeCell ref="B4030:B4031"/>
    <mergeCell ref="C4030:C4031"/>
    <mergeCell ref="D4030:D4031"/>
    <mergeCell ref="E4030:E4031"/>
    <mergeCell ref="F4030:F4031"/>
    <mergeCell ref="G4030:G4031"/>
    <mergeCell ref="H4030:H4031"/>
    <mergeCell ref="I4030:I4031"/>
    <mergeCell ref="J4030:J4031"/>
    <mergeCell ref="K4030:K4031"/>
    <mergeCell ref="L4030:L4031"/>
    <mergeCell ref="M4030:M4031"/>
    <mergeCell ref="N4030:N4031"/>
    <mergeCell ref="A4038:A4039"/>
    <mergeCell ref="B4038:B4039"/>
    <mergeCell ref="C4038:C4039"/>
    <mergeCell ref="D4038:D4039"/>
    <mergeCell ref="E4038:E4039"/>
    <mergeCell ref="F4038:F4039"/>
    <mergeCell ref="G4038:G4039"/>
    <mergeCell ref="H4038:H4039"/>
    <mergeCell ref="I4038:I4039"/>
    <mergeCell ref="J4038:J4039"/>
    <mergeCell ref="K4038:K4039"/>
    <mergeCell ref="L4038:L4039"/>
    <mergeCell ref="M4038:M4039"/>
    <mergeCell ref="N4038:N4039"/>
    <mergeCell ref="A4011:A4015"/>
    <mergeCell ref="B4011:B4015"/>
    <mergeCell ref="C4011:C4015"/>
    <mergeCell ref="D4011:D4015"/>
    <mergeCell ref="E4011:E4015"/>
    <mergeCell ref="F4011:F4015"/>
    <mergeCell ref="G4011:G4015"/>
    <mergeCell ref="H4011:H4015"/>
    <mergeCell ref="I4011:I4015"/>
    <mergeCell ref="J4011:J4015"/>
    <mergeCell ref="K4011:K4015"/>
    <mergeCell ref="L4011:L4015"/>
    <mergeCell ref="M4011:M4015"/>
    <mergeCell ref="N4011:N4015"/>
    <mergeCell ref="A4016:A4018"/>
    <mergeCell ref="B4016:B4018"/>
    <mergeCell ref="C4016:C4018"/>
    <mergeCell ref="D4016:D4018"/>
    <mergeCell ref="E4016:E4018"/>
    <mergeCell ref="F4016:F4018"/>
    <mergeCell ref="G4016:G4018"/>
    <mergeCell ref="H4016:H4018"/>
    <mergeCell ref="I4016:I4018"/>
    <mergeCell ref="J4016:J4018"/>
    <mergeCell ref="K4016:K4018"/>
    <mergeCell ref="L4016:L4018"/>
    <mergeCell ref="M4016:M4018"/>
    <mergeCell ref="N4016:N4018"/>
    <mergeCell ref="A4024:A4025"/>
    <mergeCell ref="B4024:B4025"/>
    <mergeCell ref="C4024:C4025"/>
    <mergeCell ref="D4024:D4025"/>
    <mergeCell ref="E4024:E4025"/>
    <mergeCell ref="F4024:F4025"/>
    <mergeCell ref="G4024:G4025"/>
    <mergeCell ref="H4024:H4025"/>
    <mergeCell ref="I4024:I4025"/>
    <mergeCell ref="J4024:J4025"/>
    <mergeCell ref="K4024:K4025"/>
    <mergeCell ref="L4024:L4025"/>
    <mergeCell ref="M4024:M4025"/>
    <mergeCell ref="N4024:N4025"/>
    <mergeCell ref="A3998:A3999"/>
    <mergeCell ref="B3998:B3999"/>
    <mergeCell ref="C3998:C3999"/>
    <mergeCell ref="D3998:D3999"/>
    <mergeCell ref="E3998:E3999"/>
    <mergeCell ref="F3998:F3999"/>
    <mergeCell ref="G3998:G3999"/>
    <mergeCell ref="H3998:H3999"/>
    <mergeCell ref="I3998:I3999"/>
    <mergeCell ref="J3998:J3999"/>
    <mergeCell ref="K3998:K3999"/>
    <mergeCell ref="L3998:L3999"/>
    <mergeCell ref="M3998:M3999"/>
    <mergeCell ref="N3998:N3999"/>
    <mergeCell ref="A4001:A4002"/>
    <mergeCell ref="B4001:B4002"/>
    <mergeCell ref="C4001:C4002"/>
    <mergeCell ref="D4001:D4002"/>
    <mergeCell ref="E4001:E4002"/>
    <mergeCell ref="F4001:F4002"/>
    <mergeCell ref="G4001:G4002"/>
    <mergeCell ref="H4001:H4002"/>
    <mergeCell ref="I4001:I4002"/>
    <mergeCell ref="J4001:J4002"/>
    <mergeCell ref="K4001:K4002"/>
    <mergeCell ref="L4001:L4002"/>
    <mergeCell ref="M4001:M4002"/>
    <mergeCell ref="N4001:N4002"/>
    <mergeCell ref="A4003:A4007"/>
    <mergeCell ref="B4003:B4007"/>
    <mergeCell ref="C4003:C4007"/>
    <mergeCell ref="D4003:D4007"/>
    <mergeCell ref="E4003:E4007"/>
    <mergeCell ref="F4003:F4007"/>
    <mergeCell ref="G4003:G4007"/>
    <mergeCell ref="H4003:H4007"/>
    <mergeCell ref="I4003:I4007"/>
    <mergeCell ref="J4003:J4007"/>
    <mergeCell ref="K4003:K4007"/>
    <mergeCell ref="L4003:L4007"/>
    <mergeCell ref="M4003:M4007"/>
    <mergeCell ref="N4003:N4007"/>
    <mergeCell ref="A3985:A3992"/>
    <mergeCell ref="B3985:B3992"/>
    <mergeCell ref="C3985:C3992"/>
    <mergeCell ref="D3985:D3992"/>
    <mergeCell ref="E3985:E3992"/>
    <mergeCell ref="F3985:F3992"/>
    <mergeCell ref="G3985:G3992"/>
    <mergeCell ref="H3985:H3992"/>
    <mergeCell ref="I3985:I3992"/>
    <mergeCell ref="J3985:J3992"/>
    <mergeCell ref="K3985:K3992"/>
    <mergeCell ref="L3985:L3992"/>
    <mergeCell ref="M3985:M3992"/>
    <mergeCell ref="N3985:N3992"/>
    <mergeCell ref="A3993:A3995"/>
    <mergeCell ref="B3993:B3995"/>
    <mergeCell ref="C3993:C3995"/>
    <mergeCell ref="D3993:D3995"/>
    <mergeCell ref="E3993:E3995"/>
    <mergeCell ref="F3993:F3995"/>
    <mergeCell ref="G3993:G3995"/>
    <mergeCell ref="H3993:H3995"/>
    <mergeCell ref="I3993:I3995"/>
    <mergeCell ref="J3993:J3995"/>
    <mergeCell ref="K3993:K3995"/>
    <mergeCell ref="L3993:L3995"/>
    <mergeCell ref="M3993:M3995"/>
    <mergeCell ref="N3993:N3995"/>
    <mergeCell ref="A3996:A3997"/>
    <mergeCell ref="B3996:B3997"/>
    <mergeCell ref="C3996:C3997"/>
    <mergeCell ref="D3996:D3997"/>
    <mergeCell ref="E3996:E3997"/>
    <mergeCell ref="F3996:F3997"/>
    <mergeCell ref="G3996:G3997"/>
    <mergeCell ref="H3996:H3997"/>
    <mergeCell ref="I3996:I3997"/>
    <mergeCell ref="J3996:J3997"/>
    <mergeCell ref="K3996:K3997"/>
    <mergeCell ref="L3996:L3997"/>
    <mergeCell ref="M3996:M3997"/>
    <mergeCell ref="N3996:N3997"/>
    <mergeCell ref="A3975:A3978"/>
    <mergeCell ref="B3975:B3978"/>
    <mergeCell ref="C3975:C3978"/>
    <mergeCell ref="D3975:D3978"/>
    <mergeCell ref="E3975:E3978"/>
    <mergeCell ref="F3975:F3978"/>
    <mergeCell ref="G3975:G3978"/>
    <mergeCell ref="H3975:H3978"/>
    <mergeCell ref="I3975:I3978"/>
    <mergeCell ref="J3975:J3978"/>
    <mergeCell ref="K3975:K3978"/>
    <mergeCell ref="L3975:L3978"/>
    <mergeCell ref="M3975:M3978"/>
    <mergeCell ref="N3975:N3978"/>
    <mergeCell ref="A3979:A3980"/>
    <mergeCell ref="B3979:B3980"/>
    <mergeCell ref="C3979:C3980"/>
    <mergeCell ref="D3979:D3980"/>
    <mergeCell ref="E3979:E3980"/>
    <mergeCell ref="F3979:F3980"/>
    <mergeCell ref="G3979:G3980"/>
    <mergeCell ref="H3979:H3980"/>
    <mergeCell ref="I3979:I3980"/>
    <mergeCell ref="J3979:J3980"/>
    <mergeCell ref="K3979:K3980"/>
    <mergeCell ref="L3979:L3980"/>
    <mergeCell ref="M3979:M3980"/>
    <mergeCell ref="N3979:N3980"/>
    <mergeCell ref="A3982:A3983"/>
    <mergeCell ref="B3982:B3983"/>
    <mergeCell ref="C3982:C3983"/>
    <mergeCell ref="D3982:D3983"/>
    <mergeCell ref="E3982:E3983"/>
    <mergeCell ref="F3982:F3983"/>
    <mergeCell ref="G3982:G3983"/>
    <mergeCell ref="H3982:H3983"/>
    <mergeCell ref="I3982:I3983"/>
    <mergeCell ref="J3982:J3983"/>
    <mergeCell ref="K3982:K3983"/>
    <mergeCell ref="L3982:L3983"/>
    <mergeCell ref="M3982:M3983"/>
    <mergeCell ref="N3982:N3983"/>
    <mergeCell ref="A3966:A3968"/>
    <mergeCell ref="B3966:B3968"/>
    <mergeCell ref="C3966:C3968"/>
    <mergeCell ref="D3966:D3968"/>
    <mergeCell ref="E3966:E3968"/>
    <mergeCell ref="F3966:F3968"/>
    <mergeCell ref="G3966:G3968"/>
    <mergeCell ref="H3966:H3968"/>
    <mergeCell ref="I3966:I3968"/>
    <mergeCell ref="J3966:J3968"/>
    <mergeCell ref="K3966:K3968"/>
    <mergeCell ref="L3966:L3968"/>
    <mergeCell ref="M3966:M3968"/>
    <mergeCell ref="N3966:N3968"/>
    <mergeCell ref="A3970:A3971"/>
    <mergeCell ref="B3970:B3971"/>
    <mergeCell ref="C3970:C3971"/>
    <mergeCell ref="D3970:D3971"/>
    <mergeCell ref="E3970:E3971"/>
    <mergeCell ref="F3970:F3971"/>
    <mergeCell ref="G3970:G3971"/>
    <mergeCell ref="H3970:H3971"/>
    <mergeCell ref="I3970:I3971"/>
    <mergeCell ref="J3970:J3971"/>
    <mergeCell ref="K3970:K3971"/>
    <mergeCell ref="L3970:L3971"/>
    <mergeCell ref="M3970:M3971"/>
    <mergeCell ref="N3970:N3971"/>
    <mergeCell ref="A3973:A3974"/>
    <mergeCell ref="B3973:B3974"/>
    <mergeCell ref="C3973:C3974"/>
    <mergeCell ref="D3973:D3974"/>
    <mergeCell ref="E3973:E3974"/>
    <mergeCell ref="F3973:F3974"/>
    <mergeCell ref="G3973:G3974"/>
    <mergeCell ref="H3973:H3974"/>
    <mergeCell ref="I3973:I3974"/>
    <mergeCell ref="J3973:J3974"/>
    <mergeCell ref="K3973:K3974"/>
    <mergeCell ref="L3973:L3974"/>
    <mergeCell ref="M3973:M3974"/>
    <mergeCell ref="N3973:N3974"/>
    <mergeCell ref="A3954:A3956"/>
    <mergeCell ref="B3954:B3956"/>
    <mergeCell ref="C3954:C3956"/>
    <mergeCell ref="D3954:D3956"/>
    <mergeCell ref="E3954:E3956"/>
    <mergeCell ref="F3954:F3956"/>
    <mergeCell ref="G3954:G3956"/>
    <mergeCell ref="H3954:H3956"/>
    <mergeCell ref="I3954:I3956"/>
    <mergeCell ref="J3954:J3956"/>
    <mergeCell ref="K3954:K3956"/>
    <mergeCell ref="L3954:L3956"/>
    <mergeCell ref="M3954:M3956"/>
    <mergeCell ref="N3954:N3956"/>
    <mergeCell ref="A3957:A3958"/>
    <mergeCell ref="B3957:B3958"/>
    <mergeCell ref="C3957:C3958"/>
    <mergeCell ref="D3957:D3958"/>
    <mergeCell ref="E3957:E3958"/>
    <mergeCell ref="F3957:F3958"/>
    <mergeCell ref="G3957:G3958"/>
    <mergeCell ref="H3957:H3958"/>
    <mergeCell ref="I3957:I3958"/>
    <mergeCell ref="J3957:J3958"/>
    <mergeCell ref="K3957:K3958"/>
    <mergeCell ref="L3957:L3958"/>
    <mergeCell ref="M3957:M3958"/>
    <mergeCell ref="N3957:N3958"/>
    <mergeCell ref="A3962:A3963"/>
    <mergeCell ref="B3962:B3963"/>
    <mergeCell ref="C3962:C3963"/>
    <mergeCell ref="D3962:D3963"/>
    <mergeCell ref="E3962:E3963"/>
    <mergeCell ref="F3962:F3963"/>
    <mergeCell ref="G3962:G3963"/>
    <mergeCell ref="H3962:H3963"/>
    <mergeCell ref="I3962:I3963"/>
    <mergeCell ref="J3962:J3963"/>
    <mergeCell ref="K3962:K3963"/>
    <mergeCell ref="L3962:L3963"/>
    <mergeCell ref="M3962:M3963"/>
    <mergeCell ref="N3962:N3963"/>
    <mergeCell ref="A3943:A3944"/>
    <mergeCell ref="B3943:B3944"/>
    <mergeCell ref="C3943:C3944"/>
    <mergeCell ref="D3943:D3944"/>
    <mergeCell ref="E3943:E3944"/>
    <mergeCell ref="F3943:F3944"/>
    <mergeCell ref="G3943:G3944"/>
    <mergeCell ref="H3943:H3944"/>
    <mergeCell ref="I3943:I3944"/>
    <mergeCell ref="J3943:J3944"/>
    <mergeCell ref="K3943:K3944"/>
    <mergeCell ref="L3943:L3944"/>
    <mergeCell ref="M3943:M3944"/>
    <mergeCell ref="N3943:N3944"/>
    <mergeCell ref="A3945:A3947"/>
    <mergeCell ref="B3945:B3947"/>
    <mergeCell ref="C3945:C3947"/>
    <mergeCell ref="D3945:D3947"/>
    <mergeCell ref="E3945:E3947"/>
    <mergeCell ref="F3945:F3947"/>
    <mergeCell ref="G3945:G3947"/>
    <mergeCell ref="H3945:H3947"/>
    <mergeCell ref="I3945:I3947"/>
    <mergeCell ref="J3945:J3947"/>
    <mergeCell ref="K3945:K3947"/>
    <mergeCell ref="L3945:L3947"/>
    <mergeCell ref="M3945:M3947"/>
    <mergeCell ref="N3945:N3947"/>
    <mergeCell ref="A3950:A3952"/>
    <mergeCell ref="B3950:B3952"/>
    <mergeCell ref="C3950:C3952"/>
    <mergeCell ref="D3950:D3952"/>
    <mergeCell ref="E3950:E3952"/>
    <mergeCell ref="F3950:F3952"/>
    <mergeCell ref="G3950:G3952"/>
    <mergeCell ref="H3950:H3952"/>
    <mergeCell ref="I3950:I3952"/>
    <mergeCell ref="J3950:J3952"/>
    <mergeCell ref="K3950:K3952"/>
    <mergeCell ref="L3950:L3952"/>
    <mergeCell ref="M3950:M3952"/>
    <mergeCell ref="N3950:N3952"/>
    <mergeCell ref="A3933:A3934"/>
    <mergeCell ref="B3933:B3934"/>
    <mergeCell ref="C3933:C3934"/>
    <mergeCell ref="D3933:D3934"/>
    <mergeCell ref="E3933:E3934"/>
    <mergeCell ref="F3933:F3934"/>
    <mergeCell ref="G3933:G3934"/>
    <mergeCell ref="H3933:H3934"/>
    <mergeCell ref="I3933:I3934"/>
    <mergeCell ref="J3933:J3934"/>
    <mergeCell ref="K3933:K3934"/>
    <mergeCell ref="L3933:L3934"/>
    <mergeCell ref="M3933:M3934"/>
    <mergeCell ref="N3933:N3934"/>
    <mergeCell ref="A3935:A3937"/>
    <mergeCell ref="B3935:B3937"/>
    <mergeCell ref="C3935:C3937"/>
    <mergeCell ref="D3935:D3937"/>
    <mergeCell ref="E3935:E3937"/>
    <mergeCell ref="F3935:F3937"/>
    <mergeCell ref="G3935:G3937"/>
    <mergeCell ref="H3935:H3937"/>
    <mergeCell ref="I3935:I3937"/>
    <mergeCell ref="J3935:J3937"/>
    <mergeCell ref="K3935:K3937"/>
    <mergeCell ref="L3935:L3937"/>
    <mergeCell ref="M3935:M3937"/>
    <mergeCell ref="N3935:N3937"/>
    <mergeCell ref="A3938:A3940"/>
    <mergeCell ref="B3938:B3940"/>
    <mergeCell ref="C3938:C3940"/>
    <mergeCell ref="D3938:D3940"/>
    <mergeCell ref="E3938:E3940"/>
    <mergeCell ref="F3938:F3940"/>
    <mergeCell ref="G3938:G3940"/>
    <mergeCell ref="H3938:H3940"/>
    <mergeCell ref="I3938:I3940"/>
    <mergeCell ref="J3938:J3940"/>
    <mergeCell ref="K3938:K3940"/>
    <mergeCell ref="L3938:L3940"/>
    <mergeCell ref="M3938:M3940"/>
    <mergeCell ref="N3938:N3940"/>
    <mergeCell ref="A3923:A3925"/>
    <mergeCell ref="B3923:B3925"/>
    <mergeCell ref="C3923:C3925"/>
    <mergeCell ref="D3923:D3925"/>
    <mergeCell ref="E3923:E3925"/>
    <mergeCell ref="F3923:F3925"/>
    <mergeCell ref="G3923:G3925"/>
    <mergeCell ref="H3923:H3925"/>
    <mergeCell ref="I3923:I3925"/>
    <mergeCell ref="J3923:J3925"/>
    <mergeCell ref="K3923:K3925"/>
    <mergeCell ref="L3923:L3925"/>
    <mergeCell ref="M3923:M3925"/>
    <mergeCell ref="N3923:N3925"/>
    <mergeCell ref="A3926:A3927"/>
    <mergeCell ref="B3926:B3927"/>
    <mergeCell ref="C3926:C3927"/>
    <mergeCell ref="D3926:D3927"/>
    <mergeCell ref="E3926:E3927"/>
    <mergeCell ref="F3926:F3927"/>
    <mergeCell ref="G3926:G3927"/>
    <mergeCell ref="H3926:H3927"/>
    <mergeCell ref="I3926:I3927"/>
    <mergeCell ref="J3926:J3927"/>
    <mergeCell ref="K3926:K3927"/>
    <mergeCell ref="L3926:L3927"/>
    <mergeCell ref="M3926:M3927"/>
    <mergeCell ref="N3926:N3927"/>
    <mergeCell ref="A3929:A3932"/>
    <mergeCell ref="B3929:B3932"/>
    <mergeCell ref="C3929:C3932"/>
    <mergeCell ref="D3929:D3932"/>
    <mergeCell ref="E3929:E3932"/>
    <mergeCell ref="F3929:F3932"/>
    <mergeCell ref="G3929:G3932"/>
    <mergeCell ref="H3929:H3932"/>
    <mergeCell ref="I3929:I3932"/>
    <mergeCell ref="J3929:J3932"/>
    <mergeCell ref="K3929:K3932"/>
    <mergeCell ref="L3929:L3932"/>
    <mergeCell ref="M3929:M3932"/>
    <mergeCell ref="N3929:N3932"/>
    <mergeCell ref="A3910:A3914"/>
    <mergeCell ref="B3910:B3914"/>
    <mergeCell ref="C3910:C3914"/>
    <mergeCell ref="D3910:D3914"/>
    <mergeCell ref="E3910:E3914"/>
    <mergeCell ref="F3910:F3914"/>
    <mergeCell ref="G3910:G3914"/>
    <mergeCell ref="H3910:H3914"/>
    <mergeCell ref="I3910:I3914"/>
    <mergeCell ref="J3910:J3914"/>
    <mergeCell ref="K3910:K3914"/>
    <mergeCell ref="L3910:L3914"/>
    <mergeCell ref="M3910:M3914"/>
    <mergeCell ref="N3910:N3914"/>
    <mergeCell ref="A3916:A3918"/>
    <mergeCell ref="B3916:B3918"/>
    <mergeCell ref="C3916:C3918"/>
    <mergeCell ref="D3916:D3918"/>
    <mergeCell ref="E3916:E3918"/>
    <mergeCell ref="F3916:F3918"/>
    <mergeCell ref="G3916:G3918"/>
    <mergeCell ref="H3916:H3918"/>
    <mergeCell ref="I3916:I3918"/>
    <mergeCell ref="J3916:J3918"/>
    <mergeCell ref="K3916:K3918"/>
    <mergeCell ref="L3916:L3918"/>
    <mergeCell ref="M3916:M3918"/>
    <mergeCell ref="N3916:N3918"/>
    <mergeCell ref="A3920:A3921"/>
    <mergeCell ref="B3920:B3921"/>
    <mergeCell ref="C3920:C3921"/>
    <mergeCell ref="D3920:D3921"/>
    <mergeCell ref="E3920:E3921"/>
    <mergeCell ref="F3920:F3921"/>
    <mergeCell ref="G3920:G3921"/>
    <mergeCell ref="H3920:H3921"/>
    <mergeCell ref="I3920:I3921"/>
    <mergeCell ref="J3920:J3921"/>
    <mergeCell ref="K3920:K3921"/>
    <mergeCell ref="L3920:L3921"/>
    <mergeCell ref="M3920:M3921"/>
    <mergeCell ref="N3920:N3921"/>
    <mergeCell ref="A3900:A3901"/>
    <mergeCell ref="B3900:B3901"/>
    <mergeCell ref="C3900:C3901"/>
    <mergeCell ref="D3900:D3901"/>
    <mergeCell ref="E3900:E3901"/>
    <mergeCell ref="F3900:F3901"/>
    <mergeCell ref="G3900:G3901"/>
    <mergeCell ref="H3900:H3901"/>
    <mergeCell ref="I3900:I3901"/>
    <mergeCell ref="J3900:J3901"/>
    <mergeCell ref="K3900:K3901"/>
    <mergeCell ref="L3900:L3901"/>
    <mergeCell ref="M3900:M3901"/>
    <mergeCell ref="N3900:N3901"/>
    <mergeCell ref="A3902:A3904"/>
    <mergeCell ref="B3902:B3904"/>
    <mergeCell ref="C3902:C3904"/>
    <mergeCell ref="D3902:D3904"/>
    <mergeCell ref="E3902:E3904"/>
    <mergeCell ref="F3902:F3904"/>
    <mergeCell ref="G3902:G3904"/>
    <mergeCell ref="H3902:H3904"/>
    <mergeCell ref="I3902:I3904"/>
    <mergeCell ref="J3902:J3904"/>
    <mergeCell ref="K3902:K3904"/>
    <mergeCell ref="L3902:L3904"/>
    <mergeCell ref="M3902:M3904"/>
    <mergeCell ref="N3902:N3904"/>
    <mergeCell ref="A3905:A3906"/>
    <mergeCell ref="B3905:B3906"/>
    <mergeCell ref="C3905:C3906"/>
    <mergeCell ref="D3905:D3906"/>
    <mergeCell ref="E3905:E3906"/>
    <mergeCell ref="F3905:F3906"/>
    <mergeCell ref="G3905:G3906"/>
    <mergeCell ref="H3905:H3906"/>
    <mergeCell ref="I3905:I3906"/>
    <mergeCell ref="J3905:J3906"/>
    <mergeCell ref="K3905:K3906"/>
    <mergeCell ref="L3905:L3906"/>
    <mergeCell ref="M3905:M3906"/>
    <mergeCell ref="N3905:N3906"/>
    <mergeCell ref="A3893:A3894"/>
    <mergeCell ref="B3893:B3894"/>
    <mergeCell ref="C3893:C3894"/>
    <mergeCell ref="D3893:D3894"/>
    <mergeCell ref="E3893:E3894"/>
    <mergeCell ref="F3893:F3894"/>
    <mergeCell ref="G3893:G3894"/>
    <mergeCell ref="H3893:H3894"/>
    <mergeCell ref="I3893:I3894"/>
    <mergeCell ref="J3893:J3894"/>
    <mergeCell ref="K3893:K3894"/>
    <mergeCell ref="L3893:L3894"/>
    <mergeCell ref="M3893:M3894"/>
    <mergeCell ref="N3893:N3894"/>
    <mergeCell ref="A3895:A3896"/>
    <mergeCell ref="B3895:B3896"/>
    <mergeCell ref="C3895:C3896"/>
    <mergeCell ref="D3895:D3896"/>
    <mergeCell ref="E3895:E3896"/>
    <mergeCell ref="F3895:F3896"/>
    <mergeCell ref="G3895:G3896"/>
    <mergeCell ref="H3895:H3896"/>
    <mergeCell ref="I3895:I3896"/>
    <mergeCell ref="J3895:J3896"/>
    <mergeCell ref="K3895:K3896"/>
    <mergeCell ref="L3895:L3896"/>
    <mergeCell ref="M3895:M3896"/>
    <mergeCell ref="N3895:N3896"/>
    <mergeCell ref="A3897:A3899"/>
    <mergeCell ref="B3897:B3899"/>
    <mergeCell ref="C3897:C3899"/>
    <mergeCell ref="D3897:D3899"/>
    <mergeCell ref="E3897:E3899"/>
    <mergeCell ref="F3897:F3899"/>
    <mergeCell ref="G3897:G3899"/>
    <mergeCell ref="H3897:H3899"/>
    <mergeCell ref="I3897:I3899"/>
    <mergeCell ref="J3897:J3899"/>
    <mergeCell ref="K3897:K3899"/>
    <mergeCell ref="L3897:L3899"/>
    <mergeCell ref="M3897:M3899"/>
    <mergeCell ref="N3897:N3899"/>
    <mergeCell ref="A3874:A3875"/>
    <mergeCell ref="B3874:B3875"/>
    <mergeCell ref="C3874:C3875"/>
    <mergeCell ref="D3874:D3875"/>
    <mergeCell ref="E3874:E3875"/>
    <mergeCell ref="F3874:F3875"/>
    <mergeCell ref="G3874:G3875"/>
    <mergeCell ref="H3874:H3875"/>
    <mergeCell ref="I3874:I3875"/>
    <mergeCell ref="J3874:J3875"/>
    <mergeCell ref="K3874:K3875"/>
    <mergeCell ref="L3874:L3875"/>
    <mergeCell ref="M3874:M3875"/>
    <mergeCell ref="N3874:N3875"/>
    <mergeCell ref="A3878:A3882"/>
    <mergeCell ref="B3878:B3882"/>
    <mergeCell ref="C3878:C3882"/>
    <mergeCell ref="D3878:D3882"/>
    <mergeCell ref="E3878:E3882"/>
    <mergeCell ref="F3878:F3882"/>
    <mergeCell ref="G3878:G3882"/>
    <mergeCell ref="H3878:H3882"/>
    <mergeCell ref="I3878:I3882"/>
    <mergeCell ref="J3878:J3882"/>
    <mergeCell ref="K3878:K3882"/>
    <mergeCell ref="L3878:L3882"/>
    <mergeCell ref="M3878:M3882"/>
    <mergeCell ref="N3878:N3882"/>
    <mergeCell ref="A3886:A3888"/>
    <mergeCell ref="B3886:B3888"/>
    <mergeCell ref="C3886:C3888"/>
    <mergeCell ref="D3886:D3888"/>
    <mergeCell ref="E3886:E3888"/>
    <mergeCell ref="F3886:F3888"/>
    <mergeCell ref="G3886:G3888"/>
    <mergeCell ref="H3886:H3888"/>
    <mergeCell ref="I3886:I3888"/>
    <mergeCell ref="J3886:J3888"/>
    <mergeCell ref="K3886:K3888"/>
    <mergeCell ref="L3886:L3888"/>
    <mergeCell ref="M3886:M3888"/>
    <mergeCell ref="N3886:N3888"/>
    <mergeCell ref="A3865:A3868"/>
    <mergeCell ref="B3865:B3868"/>
    <mergeCell ref="C3865:C3868"/>
    <mergeCell ref="D3865:D3868"/>
    <mergeCell ref="E3865:E3868"/>
    <mergeCell ref="F3865:F3868"/>
    <mergeCell ref="G3865:G3868"/>
    <mergeCell ref="H3865:H3868"/>
    <mergeCell ref="I3865:I3868"/>
    <mergeCell ref="J3865:J3868"/>
    <mergeCell ref="K3865:K3868"/>
    <mergeCell ref="L3865:L3868"/>
    <mergeCell ref="M3865:M3868"/>
    <mergeCell ref="N3865:N3868"/>
    <mergeCell ref="A3869:A3871"/>
    <mergeCell ref="B3869:B3871"/>
    <mergeCell ref="C3869:C3871"/>
    <mergeCell ref="D3869:D3871"/>
    <mergeCell ref="E3869:E3871"/>
    <mergeCell ref="F3869:F3871"/>
    <mergeCell ref="G3869:G3871"/>
    <mergeCell ref="H3869:H3871"/>
    <mergeCell ref="I3869:I3871"/>
    <mergeCell ref="J3869:J3871"/>
    <mergeCell ref="K3869:K3871"/>
    <mergeCell ref="L3869:L3871"/>
    <mergeCell ref="M3869:M3871"/>
    <mergeCell ref="N3869:N3871"/>
    <mergeCell ref="A3872:A3873"/>
    <mergeCell ref="B3872:B3873"/>
    <mergeCell ref="C3872:C3873"/>
    <mergeCell ref="D3872:D3873"/>
    <mergeCell ref="E3872:E3873"/>
    <mergeCell ref="F3872:F3873"/>
    <mergeCell ref="G3872:G3873"/>
    <mergeCell ref="H3872:H3873"/>
    <mergeCell ref="I3872:I3873"/>
    <mergeCell ref="J3872:J3873"/>
    <mergeCell ref="K3872:K3873"/>
    <mergeCell ref="L3872:L3873"/>
    <mergeCell ref="M3872:M3873"/>
    <mergeCell ref="N3872:N3873"/>
    <mergeCell ref="A3854:A3856"/>
    <mergeCell ref="B3854:B3856"/>
    <mergeCell ref="C3854:C3856"/>
    <mergeCell ref="D3854:D3856"/>
    <mergeCell ref="E3854:E3856"/>
    <mergeCell ref="F3854:F3856"/>
    <mergeCell ref="G3854:G3856"/>
    <mergeCell ref="H3854:H3856"/>
    <mergeCell ref="I3854:I3856"/>
    <mergeCell ref="J3854:J3856"/>
    <mergeCell ref="K3854:K3856"/>
    <mergeCell ref="L3854:L3856"/>
    <mergeCell ref="M3854:M3856"/>
    <mergeCell ref="N3854:N3856"/>
    <mergeCell ref="A3857:A3859"/>
    <mergeCell ref="B3857:B3859"/>
    <mergeCell ref="C3857:C3859"/>
    <mergeCell ref="D3857:D3859"/>
    <mergeCell ref="E3857:E3859"/>
    <mergeCell ref="F3857:F3859"/>
    <mergeCell ref="G3857:G3859"/>
    <mergeCell ref="H3857:H3859"/>
    <mergeCell ref="I3857:I3859"/>
    <mergeCell ref="J3857:J3859"/>
    <mergeCell ref="K3857:K3859"/>
    <mergeCell ref="L3857:L3859"/>
    <mergeCell ref="M3857:M3859"/>
    <mergeCell ref="N3857:N3859"/>
    <mergeCell ref="A3860:A3862"/>
    <mergeCell ref="B3860:B3862"/>
    <mergeCell ref="C3860:C3862"/>
    <mergeCell ref="D3860:D3862"/>
    <mergeCell ref="E3860:E3862"/>
    <mergeCell ref="F3860:F3862"/>
    <mergeCell ref="G3860:G3862"/>
    <mergeCell ref="H3860:H3862"/>
    <mergeCell ref="I3860:I3862"/>
    <mergeCell ref="J3860:J3862"/>
    <mergeCell ref="K3860:K3862"/>
    <mergeCell ref="L3860:L3862"/>
    <mergeCell ref="M3860:M3862"/>
    <mergeCell ref="N3860:N3862"/>
    <mergeCell ref="A3840:A3842"/>
    <mergeCell ref="B3840:B3842"/>
    <mergeCell ref="C3840:C3842"/>
    <mergeCell ref="D3840:D3842"/>
    <mergeCell ref="E3840:E3842"/>
    <mergeCell ref="F3840:F3842"/>
    <mergeCell ref="G3840:G3842"/>
    <mergeCell ref="H3840:H3842"/>
    <mergeCell ref="I3840:I3842"/>
    <mergeCell ref="J3840:J3842"/>
    <mergeCell ref="K3840:K3842"/>
    <mergeCell ref="L3840:L3842"/>
    <mergeCell ref="M3840:M3842"/>
    <mergeCell ref="N3840:N3842"/>
    <mergeCell ref="A3844:A3845"/>
    <mergeCell ref="B3844:B3845"/>
    <mergeCell ref="C3844:C3845"/>
    <mergeCell ref="D3844:D3845"/>
    <mergeCell ref="E3844:E3845"/>
    <mergeCell ref="F3844:F3845"/>
    <mergeCell ref="G3844:G3845"/>
    <mergeCell ref="H3844:H3845"/>
    <mergeCell ref="I3844:I3845"/>
    <mergeCell ref="J3844:J3845"/>
    <mergeCell ref="K3844:K3845"/>
    <mergeCell ref="L3844:L3845"/>
    <mergeCell ref="M3844:M3845"/>
    <mergeCell ref="N3844:N3845"/>
    <mergeCell ref="A3847:A3852"/>
    <mergeCell ref="B3847:B3852"/>
    <mergeCell ref="C3847:C3852"/>
    <mergeCell ref="D3847:D3852"/>
    <mergeCell ref="E3847:E3852"/>
    <mergeCell ref="F3847:F3852"/>
    <mergeCell ref="G3847:G3852"/>
    <mergeCell ref="H3847:H3852"/>
    <mergeCell ref="I3847:I3852"/>
    <mergeCell ref="J3847:J3852"/>
    <mergeCell ref="K3847:K3852"/>
    <mergeCell ref="L3847:L3852"/>
    <mergeCell ref="M3847:M3852"/>
    <mergeCell ref="N3847:N3852"/>
    <mergeCell ref="A3826:A3829"/>
    <mergeCell ref="B3826:B3829"/>
    <mergeCell ref="C3826:C3829"/>
    <mergeCell ref="D3826:D3829"/>
    <mergeCell ref="E3826:E3829"/>
    <mergeCell ref="F3826:F3829"/>
    <mergeCell ref="G3826:G3829"/>
    <mergeCell ref="H3826:H3829"/>
    <mergeCell ref="I3826:I3829"/>
    <mergeCell ref="J3826:J3829"/>
    <mergeCell ref="K3826:K3829"/>
    <mergeCell ref="L3826:L3829"/>
    <mergeCell ref="M3826:M3829"/>
    <mergeCell ref="N3826:N3829"/>
    <mergeCell ref="A3836:A3837"/>
    <mergeCell ref="B3836:B3837"/>
    <mergeCell ref="C3836:C3837"/>
    <mergeCell ref="D3836:D3837"/>
    <mergeCell ref="E3836:E3837"/>
    <mergeCell ref="F3836:F3837"/>
    <mergeCell ref="G3836:G3837"/>
    <mergeCell ref="H3836:H3837"/>
    <mergeCell ref="I3836:I3837"/>
    <mergeCell ref="J3836:J3837"/>
    <mergeCell ref="K3836:K3837"/>
    <mergeCell ref="L3836:L3837"/>
    <mergeCell ref="M3836:M3837"/>
    <mergeCell ref="N3836:N3837"/>
    <mergeCell ref="A3838:A3839"/>
    <mergeCell ref="B3838:B3839"/>
    <mergeCell ref="C3838:C3839"/>
    <mergeCell ref="D3838:D3839"/>
    <mergeCell ref="E3838:E3839"/>
    <mergeCell ref="F3838:F3839"/>
    <mergeCell ref="G3838:G3839"/>
    <mergeCell ref="H3838:H3839"/>
    <mergeCell ref="I3838:I3839"/>
    <mergeCell ref="J3838:J3839"/>
    <mergeCell ref="K3838:K3839"/>
    <mergeCell ref="L3838:L3839"/>
    <mergeCell ref="M3838:M3839"/>
    <mergeCell ref="N3838:N3839"/>
    <mergeCell ref="A3813:A3814"/>
    <mergeCell ref="B3813:B3814"/>
    <mergeCell ref="C3813:C3814"/>
    <mergeCell ref="D3813:D3814"/>
    <mergeCell ref="E3813:E3814"/>
    <mergeCell ref="F3813:F3814"/>
    <mergeCell ref="G3813:G3814"/>
    <mergeCell ref="H3813:H3814"/>
    <mergeCell ref="I3813:I3814"/>
    <mergeCell ref="J3813:J3814"/>
    <mergeCell ref="K3813:K3814"/>
    <mergeCell ref="L3813:L3814"/>
    <mergeCell ref="M3813:M3814"/>
    <mergeCell ref="N3813:N3814"/>
    <mergeCell ref="A3815:A3820"/>
    <mergeCell ref="B3815:B3820"/>
    <mergeCell ref="C3815:C3820"/>
    <mergeCell ref="D3815:D3820"/>
    <mergeCell ref="E3815:E3820"/>
    <mergeCell ref="F3815:F3820"/>
    <mergeCell ref="G3815:G3820"/>
    <mergeCell ref="H3815:H3820"/>
    <mergeCell ref="I3815:I3820"/>
    <mergeCell ref="J3815:J3820"/>
    <mergeCell ref="K3815:K3820"/>
    <mergeCell ref="L3815:L3820"/>
    <mergeCell ref="M3815:M3820"/>
    <mergeCell ref="N3815:N3820"/>
    <mergeCell ref="A3822:A3823"/>
    <mergeCell ref="B3822:B3823"/>
    <mergeCell ref="C3822:C3823"/>
    <mergeCell ref="D3822:D3823"/>
    <mergeCell ref="E3822:E3823"/>
    <mergeCell ref="F3822:F3823"/>
    <mergeCell ref="G3822:G3823"/>
    <mergeCell ref="H3822:H3823"/>
    <mergeCell ref="I3822:I3823"/>
    <mergeCell ref="J3822:J3823"/>
    <mergeCell ref="K3822:K3823"/>
    <mergeCell ref="L3822:L3823"/>
    <mergeCell ref="M3822:M3823"/>
    <mergeCell ref="N3822:N3823"/>
    <mergeCell ref="A3799:A3802"/>
    <mergeCell ref="B3799:B3802"/>
    <mergeCell ref="C3799:C3802"/>
    <mergeCell ref="D3799:D3802"/>
    <mergeCell ref="E3799:E3802"/>
    <mergeCell ref="F3799:F3802"/>
    <mergeCell ref="G3799:G3802"/>
    <mergeCell ref="H3799:H3802"/>
    <mergeCell ref="I3799:I3802"/>
    <mergeCell ref="J3799:J3802"/>
    <mergeCell ref="K3799:K3802"/>
    <mergeCell ref="L3799:L3802"/>
    <mergeCell ref="M3799:M3802"/>
    <mergeCell ref="N3799:N3802"/>
    <mergeCell ref="A3803:A3806"/>
    <mergeCell ref="B3803:B3806"/>
    <mergeCell ref="C3803:C3806"/>
    <mergeCell ref="D3803:D3806"/>
    <mergeCell ref="E3803:E3806"/>
    <mergeCell ref="F3803:F3806"/>
    <mergeCell ref="G3803:G3806"/>
    <mergeCell ref="H3803:H3806"/>
    <mergeCell ref="I3803:I3806"/>
    <mergeCell ref="J3803:J3806"/>
    <mergeCell ref="K3803:K3806"/>
    <mergeCell ref="L3803:L3806"/>
    <mergeCell ref="M3803:M3806"/>
    <mergeCell ref="N3803:N3806"/>
    <mergeCell ref="A3808:A3809"/>
    <mergeCell ref="B3808:B3809"/>
    <mergeCell ref="C3808:C3809"/>
    <mergeCell ref="D3808:D3809"/>
    <mergeCell ref="E3808:E3809"/>
    <mergeCell ref="F3808:F3809"/>
    <mergeCell ref="G3808:G3809"/>
    <mergeCell ref="H3808:H3809"/>
    <mergeCell ref="I3808:I3809"/>
    <mergeCell ref="J3808:J3809"/>
    <mergeCell ref="K3808:K3809"/>
    <mergeCell ref="L3808:L3809"/>
    <mergeCell ref="M3808:M3809"/>
    <mergeCell ref="N3808:N3809"/>
    <mergeCell ref="A3782:A3785"/>
    <mergeCell ref="B3782:B3785"/>
    <mergeCell ref="C3782:C3785"/>
    <mergeCell ref="D3782:D3785"/>
    <mergeCell ref="E3782:E3785"/>
    <mergeCell ref="F3782:F3785"/>
    <mergeCell ref="G3782:G3785"/>
    <mergeCell ref="H3782:H3785"/>
    <mergeCell ref="I3782:I3785"/>
    <mergeCell ref="J3782:J3785"/>
    <mergeCell ref="K3782:K3785"/>
    <mergeCell ref="L3782:L3785"/>
    <mergeCell ref="M3782:M3785"/>
    <mergeCell ref="N3782:N3785"/>
    <mergeCell ref="A3786:A3789"/>
    <mergeCell ref="B3786:B3789"/>
    <mergeCell ref="C3786:C3789"/>
    <mergeCell ref="D3786:D3789"/>
    <mergeCell ref="E3786:E3789"/>
    <mergeCell ref="F3786:F3789"/>
    <mergeCell ref="G3786:G3789"/>
    <mergeCell ref="H3786:H3789"/>
    <mergeCell ref="I3786:I3789"/>
    <mergeCell ref="J3786:J3789"/>
    <mergeCell ref="K3786:K3789"/>
    <mergeCell ref="L3786:L3789"/>
    <mergeCell ref="M3786:M3789"/>
    <mergeCell ref="N3786:N3789"/>
    <mergeCell ref="A3791:A3795"/>
    <mergeCell ref="B3791:B3795"/>
    <mergeCell ref="C3791:C3795"/>
    <mergeCell ref="D3791:D3795"/>
    <mergeCell ref="E3791:E3795"/>
    <mergeCell ref="F3791:F3795"/>
    <mergeCell ref="G3791:G3795"/>
    <mergeCell ref="H3791:H3795"/>
    <mergeCell ref="I3791:I3795"/>
    <mergeCell ref="J3791:J3795"/>
    <mergeCell ref="K3791:K3795"/>
    <mergeCell ref="L3791:L3795"/>
    <mergeCell ref="M3791:M3795"/>
    <mergeCell ref="N3791:N3795"/>
    <mergeCell ref="A3762:A3772"/>
    <mergeCell ref="B3762:B3772"/>
    <mergeCell ref="C3762:C3772"/>
    <mergeCell ref="D3762:D3772"/>
    <mergeCell ref="E3762:E3772"/>
    <mergeCell ref="F3762:F3772"/>
    <mergeCell ref="G3762:G3772"/>
    <mergeCell ref="H3762:H3772"/>
    <mergeCell ref="I3762:I3772"/>
    <mergeCell ref="J3762:J3772"/>
    <mergeCell ref="K3762:K3772"/>
    <mergeCell ref="L3762:L3772"/>
    <mergeCell ref="M3762:M3772"/>
    <mergeCell ref="N3762:N3772"/>
    <mergeCell ref="A3773:A3779"/>
    <mergeCell ref="B3773:B3779"/>
    <mergeCell ref="C3773:C3779"/>
    <mergeCell ref="D3773:D3779"/>
    <mergeCell ref="E3773:E3779"/>
    <mergeCell ref="F3773:F3779"/>
    <mergeCell ref="G3773:G3779"/>
    <mergeCell ref="H3773:H3779"/>
    <mergeCell ref="I3773:I3779"/>
    <mergeCell ref="J3773:J3779"/>
    <mergeCell ref="K3773:K3779"/>
    <mergeCell ref="L3773:L3779"/>
    <mergeCell ref="M3773:M3779"/>
    <mergeCell ref="N3773:N3779"/>
    <mergeCell ref="A3780:A3781"/>
    <mergeCell ref="B3780:B3781"/>
    <mergeCell ref="C3780:C3781"/>
    <mergeCell ref="D3780:D3781"/>
    <mergeCell ref="E3780:E3781"/>
    <mergeCell ref="F3780:F3781"/>
    <mergeCell ref="G3780:G3781"/>
    <mergeCell ref="H3780:H3781"/>
    <mergeCell ref="I3780:I3781"/>
    <mergeCell ref="J3780:J3781"/>
    <mergeCell ref="K3780:K3781"/>
    <mergeCell ref="L3780:L3781"/>
    <mergeCell ref="M3780:M3781"/>
    <mergeCell ref="N3780:N3781"/>
    <mergeCell ref="A3748:A3750"/>
    <mergeCell ref="B3748:B3750"/>
    <mergeCell ref="C3748:C3750"/>
    <mergeCell ref="D3748:D3750"/>
    <mergeCell ref="E3748:E3750"/>
    <mergeCell ref="F3748:F3750"/>
    <mergeCell ref="G3748:G3750"/>
    <mergeCell ref="H3748:H3750"/>
    <mergeCell ref="I3748:I3750"/>
    <mergeCell ref="J3748:J3750"/>
    <mergeCell ref="K3748:K3750"/>
    <mergeCell ref="L3748:L3750"/>
    <mergeCell ref="M3748:M3750"/>
    <mergeCell ref="N3748:N3750"/>
    <mergeCell ref="A3753:A3754"/>
    <mergeCell ref="B3753:B3754"/>
    <mergeCell ref="C3753:C3754"/>
    <mergeCell ref="D3753:D3754"/>
    <mergeCell ref="E3753:E3754"/>
    <mergeCell ref="F3753:F3754"/>
    <mergeCell ref="G3753:G3754"/>
    <mergeCell ref="H3753:H3754"/>
    <mergeCell ref="I3753:I3754"/>
    <mergeCell ref="J3753:J3754"/>
    <mergeCell ref="K3753:K3754"/>
    <mergeCell ref="L3753:L3754"/>
    <mergeCell ref="M3753:M3754"/>
    <mergeCell ref="N3753:N3754"/>
    <mergeCell ref="A3755:A3760"/>
    <mergeCell ref="B3755:B3760"/>
    <mergeCell ref="C3755:C3760"/>
    <mergeCell ref="D3755:D3760"/>
    <mergeCell ref="E3755:E3760"/>
    <mergeCell ref="F3755:F3760"/>
    <mergeCell ref="G3755:G3760"/>
    <mergeCell ref="H3755:H3760"/>
    <mergeCell ref="I3755:I3760"/>
    <mergeCell ref="J3755:J3760"/>
    <mergeCell ref="K3755:K3760"/>
    <mergeCell ref="L3755:L3760"/>
    <mergeCell ref="M3755:M3760"/>
    <mergeCell ref="N3755:N3760"/>
    <mergeCell ref="A3735:A3738"/>
    <mergeCell ref="B3735:B3738"/>
    <mergeCell ref="C3735:C3738"/>
    <mergeCell ref="D3735:D3738"/>
    <mergeCell ref="E3735:E3738"/>
    <mergeCell ref="F3735:F3738"/>
    <mergeCell ref="G3735:G3738"/>
    <mergeCell ref="H3735:H3738"/>
    <mergeCell ref="I3735:I3738"/>
    <mergeCell ref="J3735:J3738"/>
    <mergeCell ref="K3735:K3738"/>
    <mergeCell ref="L3735:L3738"/>
    <mergeCell ref="M3735:M3738"/>
    <mergeCell ref="N3735:N3738"/>
    <mergeCell ref="A3740:A3744"/>
    <mergeCell ref="B3740:B3744"/>
    <mergeCell ref="C3740:C3744"/>
    <mergeCell ref="D3740:D3744"/>
    <mergeCell ref="E3740:E3744"/>
    <mergeCell ref="F3740:F3744"/>
    <mergeCell ref="G3740:G3744"/>
    <mergeCell ref="H3740:H3744"/>
    <mergeCell ref="I3740:I3744"/>
    <mergeCell ref="J3740:J3744"/>
    <mergeCell ref="K3740:K3744"/>
    <mergeCell ref="L3740:L3744"/>
    <mergeCell ref="M3740:M3744"/>
    <mergeCell ref="N3740:N3744"/>
    <mergeCell ref="A3745:A3747"/>
    <mergeCell ref="B3745:B3747"/>
    <mergeCell ref="C3745:C3747"/>
    <mergeCell ref="D3745:D3747"/>
    <mergeCell ref="E3745:E3747"/>
    <mergeCell ref="F3745:F3747"/>
    <mergeCell ref="G3745:G3747"/>
    <mergeCell ref="H3745:H3747"/>
    <mergeCell ref="I3745:I3747"/>
    <mergeCell ref="J3745:J3747"/>
    <mergeCell ref="K3745:K3747"/>
    <mergeCell ref="L3745:L3747"/>
    <mergeCell ref="M3745:M3747"/>
    <mergeCell ref="N3745:N3747"/>
    <mergeCell ref="A3723:A3726"/>
    <mergeCell ref="B3723:B3726"/>
    <mergeCell ref="C3723:C3726"/>
    <mergeCell ref="D3723:D3726"/>
    <mergeCell ref="E3723:E3726"/>
    <mergeCell ref="F3723:F3726"/>
    <mergeCell ref="G3723:G3726"/>
    <mergeCell ref="H3723:H3726"/>
    <mergeCell ref="I3723:I3726"/>
    <mergeCell ref="J3723:J3726"/>
    <mergeCell ref="K3723:K3726"/>
    <mergeCell ref="L3723:L3726"/>
    <mergeCell ref="M3723:M3726"/>
    <mergeCell ref="N3723:N3726"/>
    <mergeCell ref="A3728:A3730"/>
    <mergeCell ref="B3728:B3730"/>
    <mergeCell ref="C3728:C3730"/>
    <mergeCell ref="D3728:D3730"/>
    <mergeCell ref="E3728:E3730"/>
    <mergeCell ref="F3728:F3730"/>
    <mergeCell ref="G3728:G3730"/>
    <mergeCell ref="H3728:H3730"/>
    <mergeCell ref="I3728:I3730"/>
    <mergeCell ref="J3728:J3730"/>
    <mergeCell ref="K3728:K3730"/>
    <mergeCell ref="L3728:L3730"/>
    <mergeCell ref="M3728:M3730"/>
    <mergeCell ref="N3728:N3730"/>
    <mergeCell ref="A3731:A3732"/>
    <mergeCell ref="B3731:B3732"/>
    <mergeCell ref="C3731:C3732"/>
    <mergeCell ref="D3731:D3732"/>
    <mergeCell ref="E3731:E3732"/>
    <mergeCell ref="F3731:F3732"/>
    <mergeCell ref="G3731:G3732"/>
    <mergeCell ref="H3731:H3732"/>
    <mergeCell ref="I3731:I3732"/>
    <mergeCell ref="J3731:J3732"/>
    <mergeCell ref="K3731:K3732"/>
    <mergeCell ref="L3731:L3732"/>
    <mergeCell ref="M3731:M3732"/>
    <mergeCell ref="N3731:N3732"/>
    <mergeCell ref="A3710:A3712"/>
    <mergeCell ref="B3710:B3712"/>
    <mergeCell ref="C3710:C3712"/>
    <mergeCell ref="D3710:D3712"/>
    <mergeCell ref="E3710:E3712"/>
    <mergeCell ref="F3710:F3712"/>
    <mergeCell ref="G3710:G3712"/>
    <mergeCell ref="H3710:H3712"/>
    <mergeCell ref="I3710:I3712"/>
    <mergeCell ref="J3710:J3712"/>
    <mergeCell ref="K3710:K3712"/>
    <mergeCell ref="L3710:L3712"/>
    <mergeCell ref="M3710:M3712"/>
    <mergeCell ref="N3710:N3712"/>
    <mergeCell ref="A3714:A3715"/>
    <mergeCell ref="B3714:B3715"/>
    <mergeCell ref="C3714:C3715"/>
    <mergeCell ref="D3714:D3715"/>
    <mergeCell ref="E3714:E3715"/>
    <mergeCell ref="F3714:F3715"/>
    <mergeCell ref="G3714:G3715"/>
    <mergeCell ref="H3714:H3715"/>
    <mergeCell ref="I3714:I3715"/>
    <mergeCell ref="J3714:J3715"/>
    <mergeCell ref="K3714:K3715"/>
    <mergeCell ref="L3714:L3715"/>
    <mergeCell ref="M3714:M3715"/>
    <mergeCell ref="N3714:N3715"/>
    <mergeCell ref="A3716:A3722"/>
    <mergeCell ref="B3716:B3722"/>
    <mergeCell ref="C3716:C3722"/>
    <mergeCell ref="D3716:D3722"/>
    <mergeCell ref="E3716:E3722"/>
    <mergeCell ref="F3716:F3722"/>
    <mergeCell ref="G3716:G3722"/>
    <mergeCell ref="H3716:H3722"/>
    <mergeCell ref="I3716:I3722"/>
    <mergeCell ref="J3716:J3722"/>
    <mergeCell ref="K3716:K3722"/>
    <mergeCell ref="L3716:L3722"/>
    <mergeCell ref="M3716:M3722"/>
    <mergeCell ref="N3716:N3722"/>
    <mergeCell ref="A3699:A3701"/>
    <mergeCell ref="B3699:B3701"/>
    <mergeCell ref="C3699:C3701"/>
    <mergeCell ref="D3699:D3701"/>
    <mergeCell ref="E3699:E3701"/>
    <mergeCell ref="F3699:F3701"/>
    <mergeCell ref="G3699:G3701"/>
    <mergeCell ref="H3699:H3701"/>
    <mergeCell ref="I3699:I3701"/>
    <mergeCell ref="J3699:J3701"/>
    <mergeCell ref="K3699:K3701"/>
    <mergeCell ref="L3699:L3701"/>
    <mergeCell ref="M3699:M3701"/>
    <mergeCell ref="N3699:N3701"/>
    <mergeCell ref="A3704:A3705"/>
    <mergeCell ref="B3704:B3705"/>
    <mergeCell ref="C3704:C3705"/>
    <mergeCell ref="D3704:D3705"/>
    <mergeCell ref="E3704:E3705"/>
    <mergeCell ref="F3704:F3705"/>
    <mergeCell ref="G3704:G3705"/>
    <mergeCell ref="H3704:H3705"/>
    <mergeCell ref="I3704:I3705"/>
    <mergeCell ref="J3704:J3705"/>
    <mergeCell ref="K3704:K3705"/>
    <mergeCell ref="L3704:L3705"/>
    <mergeCell ref="M3704:M3705"/>
    <mergeCell ref="N3704:N3705"/>
    <mergeCell ref="A3707:A3708"/>
    <mergeCell ref="B3707:B3708"/>
    <mergeCell ref="C3707:C3708"/>
    <mergeCell ref="D3707:D3708"/>
    <mergeCell ref="E3707:E3708"/>
    <mergeCell ref="F3707:F3708"/>
    <mergeCell ref="G3707:G3708"/>
    <mergeCell ref="H3707:H3708"/>
    <mergeCell ref="I3707:I3708"/>
    <mergeCell ref="J3707:J3708"/>
    <mergeCell ref="K3707:K3708"/>
    <mergeCell ref="L3707:L3708"/>
    <mergeCell ref="M3707:M3708"/>
    <mergeCell ref="N3707:N3708"/>
    <mergeCell ref="A3691:A3692"/>
    <mergeCell ref="B3691:B3692"/>
    <mergeCell ref="C3691:C3692"/>
    <mergeCell ref="D3691:D3692"/>
    <mergeCell ref="E3691:E3692"/>
    <mergeCell ref="F3691:F3692"/>
    <mergeCell ref="G3691:G3692"/>
    <mergeCell ref="H3691:H3692"/>
    <mergeCell ref="I3691:I3692"/>
    <mergeCell ref="J3691:J3692"/>
    <mergeCell ref="K3691:K3692"/>
    <mergeCell ref="L3691:L3692"/>
    <mergeCell ref="M3691:M3692"/>
    <mergeCell ref="N3691:N3692"/>
    <mergeCell ref="A3693:A3694"/>
    <mergeCell ref="B3693:B3694"/>
    <mergeCell ref="C3693:C3694"/>
    <mergeCell ref="D3693:D3694"/>
    <mergeCell ref="E3693:E3694"/>
    <mergeCell ref="F3693:F3694"/>
    <mergeCell ref="G3693:G3694"/>
    <mergeCell ref="H3693:H3694"/>
    <mergeCell ref="I3693:I3694"/>
    <mergeCell ref="J3693:J3694"/>
    <mergeCell ref="K3693:K3694"/>
    <mergeCell ref="L3693:L3694"/>
    <mergeCell ref="M3693:M3694"/>
    <mergeCell ref="N3693:N3694"/>
    <mergeCell ref="A3697:A3698"/>
    <mergeCell ref="B3697:B3698"/>
    <mergeCell ref="C3697:C3698"/>
    <mergeCell ref="D3697:D3698"/>
    <mergeCell ref="E3697:E3698"/>
    <mergeCell ref="F3697:F3698"/>
    <mergeCell ref="G3697:G3698"/>
    <mergeCell ref="H3697:H3698"/>
    <mergeCell ref="I3697:I3698"/>
    <mergeCell ref="J3697:J3698"/>
    <mergeCell ref="K3697:K3698"/>
    <mergeCell ref="L3697:L3698"/>
    <mergeCell ref="M3697:M3698"/>
    <mergeCell ref="N3697:N3698"/>
    <mergeCell ref="A3676:A3682"/>
    <mergeCell ref="B3676:B3682"/>
    <mergeCell ref="C3676:C3682"/>
    <mergeCell ref="D3676:D3682"/>
    <mergeCell ref="E3676:E3682"/>
    <mergeCell ref="F3676:F3682"/>
    <mergeCell ref="G3676:G3682"/>
    <mergeCell ref="H3676:H3682"/>
    <mergeCell ref="I3676:I3682"/>
    <mergeCell ref="J3676:J3682"/>
    <mergeCell ref="K3676:K3682"/>
    <mergeCell ref="L3676:L3682"/>
    <mergeCell ref="M3676:M3682"/>
    <mergeCell ref="N3676:N3682"/>
    <mergeCell ref="A3685:A3688"/>
    <mergeCell ref="B3685:B3688"/>
    <mergeCell ref="C3685:C3688"/>
    <mergeCell ref="D3685:D3688"/>
    <mergeCell ref="E3685:E3688"/>
    <mergeCell ref="F3685:F3688"/>
    <mergeCell ref="G3685:G3688"/>
    <mergeCell ref="H3685:H3688"/>
    <mergeCell ref="I3685:I3688"/>
    <mergeCell ref="J3685:J3688"/>
    <mergeCell ref="K3685:K3688"/>
    <mergeCell ref="L3685:L3688"/>
    <mergeCell ref="M3685:M3688"/>
    <mergeCell ref="N3685:N3688"/>
    <mergeCell ref="A3689:A3690"/>
    <mergeCell ref="B3689:B3690"/>
    <mergeCell ref="C3689:C3690"/>
    <mergeCell ref="D3689:D3690"/>
    <mergeCell ref="E3689:E3690"/>
    <mergeCell ref="F3689:F3690"/>
    <mergeCell ref="G3689:G3690"/>
    <mergeCell ref="H3689:H3690"/>
    <mergeCell ref="I3689:I3690"/>
    <mergeCell ref="J3689:J3690"/>
    <mergeCell ref="K3689:K3690"/>
    <mergeCell ref="L3689:L3690"/>
    <mergeCell ref="M3689:M3690"/>
    <mergeCell ref="N3689:N3690"/>
    <mergeCell ref="A3666:A3667"/>
    <mergeCell ref="B3666:B3667"/>
    <mergeCell ref="C3666:C3667"/>
    <mergeCell ref="D3666:D3667"/>
    <mergeCell ref="E3666:E3667"/>
    <mergeCell ref="F3666:F3667"/>
    <mergeCell ref="G3666:G3667"/>
    <mergeCell ref="H3666:H3667"/>
    <mergeCell ref="I3666:I3667"/>
    <mergeCell ref="J3666:J3667"/>
    <mergeCell ref="K3666:K3667"/>
    <mergeCell ref="L3666:L3667"/>
    <mergeCell ref="M3666:M3667"/>
    <mergeCell ref="N3666:N3667"/>
    <mergeCell ref="A3668:A3669"/>
    <mergeCell ref="B3668:B3669"/>
    <mergeCell ref="C3668:C3669"/>
    <mergeCell ref="D3668:D3669"/>
    <mergeCell ref="E3668:E3669"/>
    <mergeCell ref="F3668:F3669"/>
    <mergeCell ref="G3668:G3669"/>
    <mergeCell ref="H3668:H3669"/>
    <mergeCell ref="I3668:I3669"/>
    <mergeCell ref="J3668:J3669"/>
    <mergeCell ref="K3668:K3669"/>
    <mergeCell ref="L3668:L3669"/>
    <mergeCell ref="M3668:M3669"/>
    <mergeCell ref="N3668:N3669"/>
    <mergeCell ref="A3670:A3675"/>
    <mergeCell ref="B3670:B3675"/>
    <mergeCell ref="C3670:C3675"/>
    <mergeCell ref="D3670:D3675"/>
    <mergeCell ref="E3670:E3675"/>
    <mergeCell ref="F3670:F3675"/>
    <mergeCell ref="G3670:G3675"/>
    <mergeCell ref="H3670:H3675"/>
    <mergeCell ref="I3670:I3675"/>
    <mergeCell ref="J3670:J3675"/>
    <mergeCell ref="K3670:K3675"/>
    <mergeCell ref="L3670:L3675"/>
    <mergeCell ref="M3670:M3675"/>
    <mergeCell ref="N3670:N3675"/>
    <mergeCell ref="A3655:A3657"/>
    <mergeCell ref="B3655:B3657"/>
    <mergeCell ref="C3655:C3657"/>
    <mergeCell ref="D3655:D3657"/>
    <mergeCell ref="E3655:E3657"/>
    <mergeCell ref="F3655:F3657"/>
    <mergeCell ref="G3655:G3657"/>
    <mergeCell ref="H3655:H3657"/>
    <mergeCell ref="I3655:I3657"/>
    <mergeCell ref="J3655:J3657"/>
    <mergeCell ref="K3655:K3657"/>
    <mergeCell ref="L3655:L3657"/>
    <mergeCell ref="M3655:M3657"/>
    <mergeCell ref="N3655:N3657"/>
    <mergeCell ref="A3659:A3662"/>
    <mergeCell ref="B3659:B3662"/>
    <mergeCell ref="C3659:C3662"/>
    <mergeCell ref="D3659:D3662"/>
    <mergeCell ref="E3659:E3662"/>
    <mergeCell ref="F3659:F3662"/>
    <mergeCell ref="G3659:G3662"/>
    <mergeCell ref="H3659:H3662"/>
    <mergeCell ref="I3659:I3662"/>
    <mergeCell ref="J3659:J3662"/>
    <mergeCell ref="K3659:K3662"/>
    <mergeCell ref="L3659:L3662"/>
    <mergeCell ref="M3659:M3662"/>
    <mergeCell ref="N3659:N3662"/>
    <mergeCell ref="A3663:A3665"/>
    <mergeCell ref="B3663:B3665"/>
    <mergeCell ref="C3663:C3665"/>
    <mergeCell ref="D3663:D3665"/>
    <mergeCell ref="E3663:E3665"/>
    <mergeCell ref="F3663:F3665"/>
    <mergeCell ref="G3663:G3665"/>
    <mergeCell ref="H3663:H3665"/>
    <mergeCell ref="I3663:I3665"/>
    <mergeCell ref="J3663:J3665"/>
    <mergeCell ref="K3663:K3665"/>
    <mergeCell ref="L3663:L3665"/>
    <mergeCell ref="M3663:M3665"/>
    <mergeCell ref="N3663:N3665"/>
    <mergeCell ref="A3647:A3648"/>
    <mergeCell ref="B3647:B3648"/>
    <mergeCell ref="C3647:C3648"/>
    <mergeCell ref="D3647:D3648"/>
    <mergeCell ref="E3647:E3648"/>
    <mergeCell ref="F3647:F3648"/>
    <mergeCell ref="G3647:G3648"/>
    <mergeCell ref="H3647:H3648"/>
    <mergeCell ref="I3647:I3648"/>
    <mergeCell ref="J3647:J3648"/>
    <mergeCell ref="K3647:K3648"/>
    <mergeCell ref="L3647:L3648"/>
    <mergeCell ref="M3647:M3648"/>
    <mergeCell ref="N3647:N3648"/>
    <mergeCell ref="A3649:A3650"/>
    <mergeCell ref="B3649:B3650"/>
    <mergeCell ref="C3649:C3650"/>
    <mergeCell ref="D3649:D3650"/>
    <mergeCell ref="E3649:E3650"/>
    <mergeCell ref="F3649:F3650"/>
    <mergeCell ref="G3649:G3650"/>
    <mergeCell ref="H3649:H3650"/>
    <mergeCell ref="I3649:I3650"/>
    <mergeCell ref="J3649:J3650"/>
    <mergeCell ref="K3649:K3650"/>
    <mergeCell ref="L3649:L3650"/>
    <mergeCell ref="M3649:M3650"/>
    <mergeCell ref="N3649:N3650"/>
    <mergeCell ref="A3652:A3654"/>
    <mergeCell ref="B3652:B3654"/>
    <mergeCell ref="C3652:C3654"/>
    <mergeCell ref="D3652:D3654"/>
    <mergeCell ref="E3652:E3654"/>
    <mergeCell ref="F3652:F3654"/>
    <mergeCell ref="G3652:G3654"/>
    <mergeCell ref="H3652:H3654"/>
    <mergeCell ref="I3652:I3654"/>
    <mergeCell ref="J3652:J3654"/>
    <mergeCell ref="K3652:K3654"/>
    <mergeCell ref="L3652:L3654"/>
    <mergeCell ref="M3652:M3654"/>
    <mergeCell ref="N3652:N3654"/>
    <mergeCell ref="A3639:A3640"/>
    <mergeCell ref="B3639:B3640"/>
    <mergeCell ref="C3639:C3640"/>
    <mergeCell ref="D3639:D3640"/>
    <mergeCell ref="E3639:E3640"/>
    <mergeCell ref="F3639:F3640"/>
    <mergeCell ref="G3639:G3640"/>
    <mergeCell ref="H3639:H3640"/>
    <mergeCell ref="I3639:I3640"/>
    <mergeCell ref="J3639:J3640"/>
    <mergeCell ref="K3639:K3640"/>
    <mergeCell ref="L3639:L3640"/>
    <mergeCell ref="M3639:M3640"/>
    <mergeCell ref="N3639:N3640"/>
    <mergeCell ref="A3641:A3642"/>
    <mergeCell ref="B3641:B3642"/>
    <mergeCell ref="C3641:C3642"/>
    <mergeCell ref="D3641:D3642"/>
    <mergeCell ref="E3641:E3642"/>
    <mergeCell ref="F3641:F3642"/>
    <mergeCell ref="G3641:G3642"/>
    <mergeCell ref="H3641:H3642"/>
    <mergeCell ref="I3641:I3642"/>
    <mergeCell ref="J3641:J3642"/>
    <mergeCell ref="K3641:K3642"/>
    <mergeCell ref="L3641:L3642"/>
    <mergeCell ref="M3641:M3642"/>
    <mergeCell ref="N3641:N3642"/>
    <mergeCell ref="A3644:A3645"/>
    <mergeCell ref="B3644:B3645"/>
    <mergeCell ref="C3644:C3645"/>
    <mergeCell ref="D3644:D3645"/>
    <mergeCell ref="E3644:E3645"/>
    <mergeCell ref="F3644:F3645"/>
    <mergeCell ref="G3644:G3645"/>
    <mergeCell ref="H3644:H3645"/>
    <mergeCell ref="I3644:I3645"/>
    <mergeCell ref="J3644:J3645"/>
    <mergeCell ref="K3644:K3645"/>
    <mergeCell ref="L3644:L3645"/>
    <mergeCell ref="M3644:M3645"/>
    <mergeCell ref="N3644:N3645"/>
    <mergeCell ref="A3632:A3634"/>
    <mergeCell ref="B3632:B3634"/>
    <mergeCell ref="C3632:C3634"/>
    <mergeCell ref="D3632:D3634"/>
    <mergeCell ref="E3632:E3634"/>
    <mergeCell ref="F3632:F3634"/>
    <mergeCell ref="G3632:G3634"/>
    <mergeCell ref="H3632:H3634"/>
    <mergeCell ref="I3632:I3634"/>
    <mergeCell ref="J3632:J3634"/>
    <mergeCell ref="K3632:K3634"/>
    <mergeCell ref="L3632:L3634"/>
    <mergeCell ref="M3632:M3634"/>
    <mergeCell ref="N3632:N3634"/>
    <mergeCell ref="A3635:A3636"/>
    <mergeCell ref="B3635:B3636"/>
    <mergeCell ref="C3635:C3636"/>
    <mergeCell ref="D3635:D3636"/>
    <mergeCell ref="E3635:E3636"/>
    <mergeCell ref="F3635:F3636"/>
    <mergeCell ref="G3635:G3636"/>
    <mergeCell ref="H3635:H3636"/>
    <mergeCell ref="I3635:I3636"/>
    <mergeCell ref="J3635:J3636"/>
    <mergeCell ref="K3635:K3636"/>
    <mergeCell ref="L3635:L3636"/>
    <mergeCell ref="M3635:M3636"/>
    <mergeCell ref="N3635:N3636"/>
    <mergeCell ref="A3637:A3638"/>
    <mergeCell ref="B3637:B3638"/>
    <mergeCell ref="C3637:C3638"/>
    <mergeCell ref="D3637:D3638"/>
    <mergeCell ref="E3637:E3638"/>
    <mergeCell ref="F3637:F3638"/>
    <mergeCell ref="G3637:G3638"/>
    <mergeCell ref="H3637:H3638"/>
    <mergeCell ref="I3637:I3638"/>
    <mergeCell ref="J3637:J3638"/>
    <mergeCell ref="K3637:K3638"/>
    <mergeCell ref="L3637:L3638"/>
    <mergeCell ref="M3637:M3638"/>
    <mergeCell ref="N3637:N3638"/>
    <mergeCell ref="A3625:A3626"/>
    <mergeCell ref="B3625:B3626"/>
    <mergeCell ref="C3625:C3626"/>
    <mergeCell ref="D3625:D3626"/>
    <mergeCell ref="E3625:E3626"/>
    <mergeCell ref="F3625:F3626"/>
    <mergeCell ref="G3625:G3626"/>
    <mergeCell ref="H3625:H3626"/>
    <mergeCell ref="I3625:I3626"/>
    <mergeCell ref="J3625:J3626"/>
    <mergeCell ref="K3625:K3626"/>
    <mergeCell ref="L3625:L3626"/>
    <mergeCell ref="M3625:M3626"/>
    <mergeCell ref="N3625:N3626"/>
    <mergeCell ref="A3627:A3629"/>
    <mergeCell ref="B3627:B3629"/>
    <mergeCell ref="C3627:C3629"/>
    <mergeCell ref="D3627:D3629"/>
    <mergeCell ref="E3627:E3629"/>
    <mergeCell ref="F3627:F3629"/>
    <mergeCell ref="G3627:G3629"/>
    <mergeCell ref="H3627:H3629"/>
    <mergeCell ref="I3627:I3629"/>
    <mergeCell ref="J3627:J3629"/>
    <mergeCell ref="K3627:K3629"/>
    <mergeCell ref="L3627:L3629"/>
    <mergeCell ref="M3627:M3629"/>
    <mergeCell ref="N3627:N3629"/>
    <mergeCell ref="A3630:A3631"/>
    <mergeCell ref="B3630:B3631"/>
    <mergeCell ref="C3630:C3631"/>
    <mergeCell ref="D3630:D3631"/>
    <mergeCell ref="E3630:E3631"/>
    <mergeCell ref="F3630:F3631"/>
    <mergeCell ref="G3630:G3631"/>
    <mergeCell ref="H3630:H3631"/>
    <mergeCell ref="I3630:I3631"/>
    <mergeCell ref="J3630:J3631"/>
    <mergeCell ref="K3630:K3631"/>
    <mergeCell ref="L3630:L3631"/>
    <mergeCell ref="M3630:M3631"/>
    <mergeCell ref="N3630:N3631"/>
    <mergeCell ref="A3617:A3618"/>
    <mergeCell ref="B3617:B3618"/>
    <mergeCell ref="C3617:C3618"/>
    <mergeCell ref="D3617:D3618"/>
    <mergeCell ref="E3617:E3618"/>
    <mergeCell ref="F3617:F3618"/>
    <mergeCell ref="G3617:G3618"/>
    <mergeCell ref="H3617:H3618"/>
    <mergeCell ref="I3617:I3618"/>
    <mergeCell ref="J3617:J3618"/>
    <mergeCell ref="K3617:K3618"/>
    <mergeCell ref="L3617:L3618"/>
    <mergeCell ref="M3617:M3618"/>
    <mergeCell ref="N3617:N3618"/>
    <mergeCell ref="A3620:A3621"/>
    <mergeCell ref="B3620:B3621"/>
    <mergeCell ref="C3620:C3621"/>
    <mergeCell ref="D3620:D3621"/>
    <mergeCell ref="E3620:E3621"/>
    <mergeCell ref="F3620:F3621"/>
    <mergeCell ref="G3620:G3621"/>
    <mergeCell ref="H3620:H3621"/>
    <mergeCell ref="I3620:I3621"/>
    <mergeCell ref="J3620:J3621"/>
    <mergeCell ref="K3620:K3621"/>
    <mergeCell ref="L3620:L3621"/>
    <mergeCell ref="M3620:M3621"/>
    <mergeCell ref="N3620:N3621"/>
    <mergeCell ref="A3622:A3624"/>
    <mergeCell ref="B3622:B3624"/>
    <mergeCell ref="C3622:C3624"/>
    <mergeCell ref="D3622:D3624"/>
    <mergeCell ref="E3622:E3624"/>
    <mergeCell ref="F3622:F3624"/>
    <mergeCell ref="G3622:G3624"/>
    <mergeCell ref="H3622:H3624"/>
    <mergeCell ref="I3622:I3624"/>
    <mergeCell ref="J3622:J3624"/>
    <mergeCell ref="K3622:K3624"/>
    <mergeCell ref="L3622:L3624"/>
    <mergeCell ref="M3622:M3624"/>
    <mergeCell ref="N3622:N3624"/>
    <mergeCell ref="A3602:A3607"/>
    <mergeCell ref="B3602:B3607"/>
    <mergeCell ref="C3602:C3607"/>
    <mergeCell ref="D3602:D3607"/>
    <mergeCell ref="E3602:E3607"/>
    <mergeCell ref="F3602:F3607"/>
    <mergeCell ref="G3602:G3607"/>
    <mergeCell ref="H3602:H3607"/>
    <mergeCell ref="I3602:I3607"/>
    <mergeCell ref="J3602:J3607"/>
    <mergeCell ref="K3602:K3607"/>
    <mergeCell ref="L3602:L3607"/>
    <mergeCell ref="M3602:M3607"/>
    <mergeCell ref="N3602:N3607"/>
    <mergeCell ref="A3608:A3613"/>
    <mergeCell ref="B3608:B3613"/>
    <mergeCell ref="C3608:C3613"/>
    <mergeCell ref="D3608:D3613"/>
    <mergeCell ref="E3608:E3613"/>
    <mergeCell ref="F3608:F3613"/>
    <mergeCell ref="G3608:G3613"/>
    <mergeCell ref="H3608:H3613"/>
    <mergeCell ref="I3608:I3613"/>
    <mergeCell ref="J3608:J3613"/>
    <mergeCell ref="K3608:K3613"/>
    <mergeCell ref="L3608:L3613"/>
    <mergeCell ref="M3608:M3613"/>
    <mergeCell ref="N3608:N3613"/>
    <mergeCell ref="A3614:A3615"/>
    <mergeCell ref="B3614:B3615"/>
    <mergeCell ref="C3614:C3615"/>
    <mergeCell ref="D3614:D3615"/>
    <mergeCell ref="E3614:E3615"/>
    <mergeCell ref="F3614:F3615"/>
    <mergeCell ref="G3614:G3615"/>
    <mergeCell ref="H3614:H3615"/>
    <mergeCell ref="I3614:I3615"/>
    <mergeCell ref="J3614:J3615"/>
    <mergeCell ref="K3614:K3615"/>
    <mergeCell ref="L3614:L3615"/>
    <mergeCell ref="M3614:M3615"/>
    <mergeCell ref="N3614:N3615"/>
    <mergeCell ref="A3591:A3592"/>
    <mergeCell ref="B3591:B3592"/>
    <mergeCell ref="C3591:C3592"/>
    <mergeCell ref="D3591:D3592"/>
    <mergeCell ref="E3591:E3592"/>
    <mergeCell ref="F3591:F3592"/>
    <mergeCell ref="G3591:G3592"/>
    <mergeCell ref="H3591:H3592"/>
    <mergeCell ref="I3591:I3592"/>
    <mergeCell ref="J3591:J3592"/>
    <mergeCell ref="K3591:K3592"/>
    <mergeCell ref="L3591:L3592"/>
    <mergeCell ref="M3591:M3592"/>
    <mergeCell ref="N3591:N3592"/>
    <mergeCell ref="A3593:A3595"/>
    <mergeCell ref="B3593:B3595"/>
    <mergeCell ref="C3593:C3595"/>
    <mergeCell ref="D3593:D3595"/>
    <mergeCell ref="E3593:E3595"/>
    <mergeCell ref="F3593:F3595"/>
    <mergeCell ref="G3593:G3595"/>
    <mergeCell ref="H3593:H3595"/>
    <mergeCell ref="I3593:I3595"/>
    <mergeCell ref="J3593:J3595"/>
    <mergeCell ref="K3593:K3595"/>
    <mergeCell ref="L3593:L3595"/>
    <mergeCell ref="M3593:M3595"/>
    <mergeCell ref="N3593:N3595"/>
    <mergeCell ref="A3599:A3601"/>
    <mergeCell ref="B3599:B3601"/>
    <mergeCell ref="C3599:C3601"/>
    <mergeCell ref="D3599:D3601"/>
    <mergeCell ref="E3599:E3601"/>
    <mergeCell ref="F3599:F3601"/>
    <mergeCell ref="G3599:G3601"/>
    <mergeCell ref="H3599:H3601"/>
    <mergeCell ref="I3599:I3601"/>
    <mergeCell ref="J3599:J3601"/>
    <mergeCell ref="K3599:K3601"/>
    <mergeCell ref="L3599:L3601"/>
    <mergeCell ref="M3599:M3601"/>
    <mergeCell ref="N3599:N3601"/>
    <mergeCell ref="A3581:A3583"/>
    <mergeCell ref="B3581:B3583"/>
    <mergeCell ref="C3581:C3583"/>
    <mergeCell ref="D3581:D3583"/>
    <mergeCell ref="E3581:E3583"/>
    <mergeCell ref="F3581:F3583"/>
    <mergeCell ref="G3581:G3583"/>
    <mergeCell ref="H3581:H3583"/>
    <mergeCell ref="I3581:I3583"/>
    <mergeCell ref="J3581:J3583"/>
    <mergeCell ref="K3581:K3583"/>
    <mergeCell ref="L3581:L3583"/>
    <mergeCell ref="M3581:M3583"/>
    <mergeCell ref="N3581:N3583"/>
    <mergeCell ref="A3585:A3587"/>
    <mergeCell ref="B3585:B3587"/>
    <mergeCell ref="C3585:C3587"/>
    <mergeCell ref="D3585:D3587"/>
    <mergeCell ref="E3585:E3587"/>
    <mergeCell ref="F3585:F3587"/>
    <mergeCell ref="G3585:G3587"/>
    <mergeCell ref="H3585:H3587"/>
    <mergeCell ref="I3585:I3587"/>
    <mergeCell ref="J3585:J3587"/>
    <mergeCell ref="K3585:K3587"/>
    <mergeCell ref="L3585:L3587"/>
    <mergeCell ref="M3585:M3587"/>
    <mergeCell ref="N3585:N3587"/>
    <mergeCell ref="A3588:A3590"/>
    <mergeCell ref="B3588:B3590"/>
    <mergeCell ref="C3588:C3590"/>
    <mergeCell ref="D3588:D3590"/>
    <mergeCell ref="E3588:E3590"/>
    <mergeCell ref="F3588:F3590"/>
    <mergeCell ref="G3588:G3590"/>
    <mergeCell ref="H3588:H3590"/>
    <mergeCell ref="I3588:I3590"/>
    <mergeCell ref="J3588:J3590"/>
    <mergeCell ref="K3588:K3590"/>
    <mergeCell ref="L3588:L3590"/>
    <mergeCell ref="M3588:M3590"/>
    <mergeCell ref="N3588:N3590"/>
    <mergeCell ref="A3575:A3576"/>
    <mergeCell ref="B3575:B3576"/>
    <mergeCell ref="C3575:C3576"/>
    <mergeCell ref="D3575:D3576"/>
    <mergeCell ref="E3575:E3576"/>
    <mergeCell ref="F3575:F3576"/>
    <mergeCell ref="G3575:G3576"/>
    <mergeCell ref="H3575:H3576"/>
    <mergeCell ref="I3575:I3576"/>
    <mergeCell ref="J3575:J3576"/>
    <mergeCell ref="K3575:K3576"/>
    <mergeCell ref="L3575:L3576"/>
    <mergeCell ref="M3575:M3576"/>
    <mergeCell ref="N3575:N3576"/>
    <mergeCell ref="A3577:A3578"/>
    <mergeCell ref="B3577:B3578"/>
    <mergeCell ref="C3577:C3578"/>
    <mergeCell ref="D3577:D3578"/>
    <mergeCell ref="E3577:E3578"/>
    <mergeCell ref="F3577:F3578"/>
    <mergeCell ref="G3577:G3578"/>
    <mergeCell ref="H3577:H3578"/>
    <mergeCell ref="I3577:I3578"/>
    <mergeCell ref="J3577:J3578"/>
    <mergeCell ref="K3577:K3578"/>
    <mergeCell ref="L3577:L3578"/>
    <mergeCell ref="M3577:M3578"/>
    <mergeCell ref="N3577:N3578"/>
    <mergeCell ref="A3579:A3580"/>
    <mergeCell ref="B3579:B3580"/>
    <mergeCell ref="C3579:C3580"/>
    <mergeCell ref="D3579:D3580"/>
    <mergeCell ref="E3579:E3580"/>
    <mergeCell ref="F3579:F3580"/>
    <mergeCell ref="G3579:G3580"/>
    <mergeCell ref="H3579:H3580"/>
    <mergeCell ref="I3579:I3580"/>
    <mergeCell ref="J3579:J3580"/>
    <mergeCell ref="K3579:K3580"/>
    <mergeCell ref="L3579:L3580"/>
    <mergeCell ref="M3579:M3580"/>
    <mergeCell ref="N3579:N3580"/>
    <mergeCell ref="A3563:A3565"/>
    <mergeCell ref="B3563:B3565"/>
    <mergeCell ref="C3563:C3565"/>
    <mergeCell ref="D3563:D3565"/>
    <mergeCell ref="E3563:E3565"/>
    <mergeCell ref="F3563:F3565"/>
    <mergeCell ref="G3563:G3565"/>
    <mergeCell ref="H3563:H3565"/>
    <mergeCell ref="I3563:I3565"/>
    <mergeCell ref="J3563:J3565"/>
    <mergeCell ref="K3563:K3565"/>
    <mergeCell ref="L3563:L3565"/>
    <mergeCell ref="M3563:M3565"/>
    <mergeCell ref="N3563:N3565"/>
    <mergeCell ref="A3566:A3570"/>
    <mergeCell ref="B3566:B3570"/>
    <mergeCell ref="C3566:C3570"/>
    <mergeCell ref="D3566:D3570"/>
    <mergeCell ref="E3566:E3570"/>
    <mergeCell ref="F3566:F3570"/>
    <mergeCell ref="G3566:G3570"/>
    <mergeCell ref="H3566:H3570"/>
    <mergeCell ref="I3566:I3570"/>
    <mergeCell ref="J3566:J3570"/>
    <mergeCell ref="K3566:K3570"/>
    <mergeCell ref="L3566:L3570"/>
    <mergeCell ref="M3566:M3570"/>
    <mergeCell ref="N3566:N3570"/>
    <mergeCell ref="A3571:A3574"/>
    <mergeCell ref="B3571:B3574"/>
    <mergeCell ref="C3571:C3574"/>
    <mergeCell ref="D3571:D3574"/>
    <mergeCell ref="E3571:E3574"/>
    <mergeCell ref="F3571:F3574"/>
    <mergeCell ref="G3571:G3574"/>
    <mergeCell ref="H3571:H3574"/>
    <mergeCell ref="I3571:I3574"/>
    <mergeCell ref="J3571:J3574"/>
    <mergeCell ref="K3571:K3574"/>
    <mergeCell ref="L3571:L3574"/>
    <mergeCell ref="M3571:M3574"/>
    <mergeCell ref="N3571:N3574"/>
    <mergeCell ref="A3555:A3557"/>
    <mergeCell ref="B3555:B3557"/>
    <mergeCell ref="C3555:C3557"/>
    <mergeCell ref="D3555:D3557"/>
    <mergeCell ref="E3555:E3557"/>
    <mergeCell ref="F3555:F3557"/>
    <mergeCell ref="G3555:G3557"/>
    <mergeCell ref="H3555:H3557"/>
    <mergeCell ref="I3555:I3557"/>
    <mergeCell ref="J3555:J3557"/>
    <mergeCell ref="K3555:K3557"/>
    <mergeCell ref="L3555:L3557"/>
    <mergeCell ref="M3555:M3557"/>
    <mergeCell ref="N3555:N3557"/>
    <mergeCell ref="A3558:A3560"/>
    <mergeCell ref="B3558:B3560"/>
    <mergeCell ref="C3558:C3560"/>
    <mergeCell ref="D3558:D3560"/>
    <mergeCell ref="E3558:E3560"/>
    <mergeCell ref="F3558:F3560"/>
    <mergeCell ref="G3558:G3560"/>
    <mergeCell ref="H3558:H3560"/>
    <mergeCell ref="I3558:I3560"/>
    <mergeCell ref="J3558:J3560"/>
    <mergeCell ref="K3558:K3560"/>
    <mergeCell ref="L3558:L3560"/>
    <mergeCell ref="M3558:M3560"/>
    <mergeCell ref="N3558:N3560"/>
    <mergeCell ref="A3561:A3562"/>
    <mergeCell ref="B3561:B3562"/>
    <mergeCell ref="C3561:C3562"/>
    <mergeCell ref="D3561:D3562"/>
    <mergeCell ref="E3561:E3562"/>
    <mergeCell ref="F3561:F3562"/>
    <mergeCell ref="G3561:G3562"/>
    <mergeCell ref="H3561:H3562"/>
    <mergeCell ref="I3561:I3562"/>
    <mergeCell ref="J3561:J3562"/>
    <mergeCell ref="K3561:K3562"/>
    <mergeCell ref="L3561:L3562"/>
    <mergeCell ref="M3561:M3562"/>
    <mergeCell ref="N3561:N3562"/>
    <mergeCell ref="A3542:A3545"/>
    <mergeCell ref="B3542:B3545"/>
    <mergeCell ref="C3542:C3545"/>
    <mergeCell ref="D3542:D3545"/>
    <mergeCell ref="E3542:E3545"/>
    <mergeCell ref="F3542:F3545"/>
    <mergeCell ref="G3542:G3545"/>
    <mergeCell ref="H3542:H3545"/>
    <mergeCell ref="I3542:I3545"/>
    <mergeCell ref="J3542:J3545"/>
    <mergeCell ref="K3542:K3545"/>
    <mergeCell ref="L3542:L3545"/>
    <mergeCell ref="M3542:M3545"/>
    <mergeCell ref="N3542:N3545"/>
    <mergeCell ref="A3547:A3551"/>
    <mergeCell ref="B3547:B3551"/>
    <mergeCell ref="C3547:C3551"/>
    <mergeCell ref="D3547:D3551"/>
    <mergeCell ref="E3547:E3551"/>
    <mergeCell ref="F3547:F3551"/>
    <mergeCell ref="G3547:G3551"/>
    <mergeCell ref="H3547:H3551"/>
    <mergeCell ref="I3547:I3551"/>
    <mergeCell ref="J3547:J3551"/>
    <mergeCell ref="K3547:K3551"/>
    <mergeCell ref="L3547:L3551"/>
    <mergeCell ref="M3547:M3551"/>
    <mergeCell ref="N3547:N3551"/>
    <mergeCell ref="A3552:A3553"/>
    <mergeCell ref="B3552:B3553"/>
    <mergeCell ref="C3552:C3553"/>
    <mergeCell ref="D3552:D3553"/>
    <mergeCell ref="E3552:E3553"/>
    <mergeCell ref="F3552:F3553"/>
    <mergeCell ref="G3552:G3553"/>
    <mergeCell ref="H3552:H3553"/>
    <mergeCell ref="I3552:I3553"/>
    <mergeCell ref="J3552:J3553"/>
    <mergeCell ref="K3552:K3553"/>
    <mergeCell ref="L3552:L3553"/>
    <mergeCell ref="M3552:M3553"/>
    <mergeCell ref="N3552:N3553"/>
    <mergeCell ref="A3527:A3528"/>
    <mergeCell ref="B3527:B3528"/>
    <mergeCell ref="C3527:C3528"/>
    <mergeCell ref="D3527:D3528"/>
    <mergeCell ref="E3527:E3528"/>
    <mergeCell ref="F3527:F3528"/>
    <mergeCell ref="G3527:G3528"/>
    <mergeCell ref="H3527:H3528"/>
    <mergeCell ref="I3527:I3528"/>
    <mergeCell ref="J3527:J3528"/>
    <mergeCell ref="K3527:K3528"/>
    <mergeCell ref="L3527:L3528"/>
    <mergeCell ref="M3527:M3528"/>
    <mergeCell ref="N3527:N3528"/>
    <mergeCell ref="A3531:A3533"/>
    <mergeCell ref="B3531:B3533"/>
    <mergeCell ref="C3531:C3533"/>
    <mergeCell ref="D3531:D3533"/>
    <mergeCell ref="E3531:E3533"/>
    <mergeCell ref="F3531:F3533"/>
    <mergeCell ref="G3531:G3533"/>
    <mergeCell ref="H3531:H3533"/>
    <mergeCell ref="I3531:I3533"/>
    <mergeCell ref="J3531:J3533"/>
    <mergeCell ref="K3531:K3533"/>
    <mergeCell ref="L3531:L3533"/>
    <mergeCell ref="M3531:M3533"/>
    <mergeCell ref="N3531:N3533"/>
    <mergeCell ref="A3536:A3539"/>
    <mergeCell ref="B3536:B3539"/>
    <mergeCell ref="C3536:C3539"/>
    <mergeCell ref="D3536:D3539"/>
    <mergeCell ref="E3536:E3539"/>
    <mergeCell ref="F3536:F3539"/>
    <mergeCell ref="G3536:G3539"/>
    <mergeCell ref="H3536:H3539"/>
    <mergeCell ref="I3536:I3539"/>
    <mergeCell ref="J3536:J3539"/>
    <mergeCell ref="K3536:K3539"/>
    <mergeCell ref="L3536:L3539"/>
    <mergeCell ref="M3536:M3539"/>
    <mergeCell ref="N3536:N3539"/>
    <mergeCell ref="A3520:A3521"/>
    <mergeCell ref="B3520:B3521"/>
    <mergeCell ref="C3520:C3521"/>
    <mergeCell ref="D3520:D3521"/>
    <mergeCell ref="E3520:E3521"/>
    <mergeCell ref="F3520:F3521"/>
    <mergeCell ref="G3520:G3521"/>
    <mergeCell ref="H3520:H3521"/>
    <mergeCell ref="I3520:I3521"/>
    <mergeCell ref="J3520:J3521"/>
    <mergeCell ref="K3520:K3521"/>
    <mergeCell ref="L3520:L3521"/>
    <mergeCell ref="M3520:M3521"/>
    <mergeCell ref="N3520:N3521"/>
    <mergeCell ref="A3522:A3524"/>
    <mergeCell ref="B3522:B3524"/>
    <mergeCell ref="C3522:C3524"/>
    <mergeCell ref="D3522:D3524"/>
    <mergeCell ref="E3522:E3524"/>
    <mergeCell ref="F3522:F3524"/>
    <mergeCell ref="G3522:G3524"/>
    <mergeCell ref="H3522:H3524"/>
    <mergeCell ref="I3522:I3524"/>
    <mergeCell ref="J3522:J3524"/>
    <mergeCell ref="K3522:K3524"/>
    <mergeCell ref="L3522:L3524"/>
    <mergeCell ref="M3522:M3524"/>
    <mergeCell ref="N3522:N3524"/>
    <mergeCell ref="A3525:A3526"/>
    <mergeCell ref="B3525:B3526"/>
    <mergeCell ref="C3525:C3526"/>
    <mergeCell ref="D3525:D3526"/>
    <mergeCell ref="E3525:E3526"/>
    <mergeCell ref="F3525:F3526"/>
    <mergeCell ref="G3525:G3526"/>
    <mergeCell ref="H3525:H3526"/>
    <mergeCell ref="I3525:I3526"/>
    <mergeCell ref="J3525:J3526"/>
    <mergeCell ref="K3525:K3526"/>
    <mergeCell ref="L3525:L3526"/>
    <mergeCell ref="M3525:M3526"/>
    <mergeCell ref="N3525:N3526"/>
    <mergeCell ref="A3512:A3513"/>
    <mergeCell ref="B3512:B3513"/>
    <mergeCell ref="C3512:C3513"/>
    <mergeCell ref="D3512:D3513"/>
    <mergeCell ref="E3512:E3513"/>
    <mergeCell ref="F3512:F3513"/>
    <mergeCell ref="G3512:G3513"/>
    <mergeCell ref="H3512:H3513"/>
    <mergeCell ref="I3512:I3513"/>
    <mergeCell ref="J3512:J3513"/>
    <mergeCell ref="K3512:K3513"/>
    <mergeCell ref="L3512:L3513"/>
    <mergeCell ref="M3512:M3513"/>
    <mergeCell ref="N3512:N3513"/>
    <mergeCell ref="A3515:A3517"/>
    <mergeCell ref="B3515:B3517"/>
    <mergeCell ref="C3515:C3517"/>
    <mergeCell ref="D3515:D3517"/>
    <mergeCell ref="E3515:E3517"/>
    <mergeCell ref="F3515:F3517"/>
    <mergeCell ref="G3515:G3517"/>
    <mergeCell ref="H3515:H3517"/>
    <mergeCell ref="I3515:I3517"/>
    <mergeCell ref="J3515:J3517"/>
    <mergeCell ref="K3515:K3517"/>
    <mergeCell ref="L3515:L3517"/>
    <mergeCell ref="M3515:M3517"/>
    <mergeCell ref="N3515:N3517"/>
    <mergeCell ref="A3518:A3519"/>
    <mergeCell ref="B3518:B3519"/>
    <mergeCell ref="C3518:C3519"/>
    <mergeCell ref="D3518:D3519"/>
    <mergeCell ref="E3518:E3519"/>
    <mergeCell ref="F3518:F3519"/>
    <mergeCell ref="G3518:G3519"/>
    <mergeCell ref="H3518:H3519"/>
    <mergeCell ref="I3518:I3519"/>
    <mergeCell ref="J3518:J3519"/>
    <mergeCell ref="K3518:K3519"/>
    <mergeCell ref="L3518:L3519"/>
    <mergeCell ref="M3518:M3519"/>
    <mergeCell ref="N3518:N3519"/>
    <mergeCell ref="A3503:A3504"/>
    <mergeCell ref="B3503:B3504"/>
    <mergeCell ref="C3503:C3504"/>
    <mergeCell ref="D3503:D3504"/>
    <mergeCell ref="E3503:E3504"/>
    <mergeCell ref="F3503:F3504"/>
    <mergeCell ref="G3503:G3504"/>
    <mergeCell ref="H3503:H3504"/>
    <mergeCell ref="I3503:I3504"/>
    <mergeCell ref="J3503:J3504"/>
    <mergeCell ref="K3503:K3504"/>
    <mergeCell ref="L3503:L3504"/>
    <mergeCell ref="M3503:M3504"/>
    <mergeCell ref="N3503:N3504"/>
    <mergeCell ref="A3506:A3509"/>
    <mergeCell ref="B3506:B3509"/>
    <mergeCell ref="C3506:C3509"/>
    <mergeCell ref="D3506:D3509"/>
    <mergeCell ref="E3506:E3509"/>
    <mergeCell ref="F3506:F3509"/>
    <mergeCell ref="G3506:G3509"/>
    <mergeCell ref="H3506:H3509"/>
    <mergeCell ref="I3506:I3509"/>
    <mergeCell ref="J3506:J3509"/>
    <mergeCell ref="K3506:K3509"/>
    <mergeCell ref="L3506:L3509"/>
    <mergeCell ref="M3506:M3509"/>
    <mergeCell ref="N3506:N3509"/>
    <mergeCell ref="A3510:A3511"/>
    <mergeCell ref="B3510:B3511"/>
    <mergeCell ref="C3510:C3511"/>
    <mergeCell ref="D3510:D3511"/>
    <mergeCell ref="E3510:E3511"/>
    <mergeCell ref="F3510:F3511"/>
    <mergeCell ref="G3510:G3511"/>
    <mergeCell ref="H3510:H3511"/>
    <mergeCell ref="I3510:I3511"/>
    <mergeCell ref="J3510:J3511"/>
    <mergeCell ref="K3510:K3511"/>
    <mergeCell ref="L3510:L3511"/>
    <mergeCell ref="M3510:M3511"/>
    <mergeCell ref="N3510:N3511"/>
    <mergeCell ref="A3486:A3492"/>
    <mergeCell ref="B3486:B3492"/>
    <mergeCell ref="C3486:C3492"/>
    <mergeCell ref="D3486:D3492"/>
    <mergeCell ref="E3486:E3492"/>
    <mergeCell ref="F3486:F3492"/>
    <mergeCell ref="G3486:G3492"/>
    <mergeCell ref="H3486:H3492"/>
    <mergeCell ref="I3486:I3492"/>
    <mergeCell ref="J3486:J3492"/>
    <mergeCell ref="K3486:K3492"/>
    <mergeCell ref="L3486:L3492"/>
    <mergeCell ref="M3486:M3492"/>
    <mergeCell ref="N3486:N3492"/>
    <mergeCell ref="A3493:A3494"/>
    <mergeCell ref="B3493:B3494"/>
    <mergeCell ref="C3493:C3494"/>
    <mergeCell ref="D3493:D3494"/>
    <mergeCell ref="E3493:E3494"/>
    <mergeCell ref="F3493:F3494"/>
    <mergeCell ref="G3493:G3494"/>
    <mergeCell ref="H3493:H3494"/>
    <mergeCell ref="I3493:I3494"/>
    <mergeCell ref="J3493:J3494"/>
    <mergeCell ref="K3493:K3494"/>
    <mergeCell ref="L3493:L3494"/>
    <mergeCell ref="M3493:M3494"/>
    <mergeCell ref="N3493:N3494"/>
    <mergeCell ref="A3499:A3502"/>
    <mergeCell ref="B3499:B3502"/>
    <mergeCell ref="C3499:C3502"/>
    <mergeCell ref="D3499:D3502"/>
    <mergeCell ref="E3499:E3502"/>
    <mergeCell ref="F3499:F3502"/>
    <mergeCell ref="G3499:G3502"/>
    <mergeCell ref="H3499:H3502"/>
    <mergeCell ref="I3499:I3502"/>
    <mergeCell ref="J3499:J3502"/>
    <mergeCell ref="K3499:K3502"/>
    <mergeCell ref="L3499:L3502"/>
    <mergeCell ref="M3499:M3502"/>
    <mergeCell ref="N3499:N3502"/>
    <mergeCell ref="A3477:A3480"/>
    <mergeCell ref="B3477:B3480"/>
    <mergeCell ref="C3477:C3480"/>
    <mergeCell ref="D3477:D3480"/>
    <mergeCell ref="E3477:E3480"/>
    <mergeCell ref="F3477:F3480"/>
    <mergeCell ref="G3477:G3480"/>
    <mergeCell ref="H3477:H3480"/>
    <mergeCell ref="I3477:I3480"/>
    <mergeCell ref="J3477:J3480"/>
    <mergeCell ref="K3477:K3480"/>
    <mergeCell ref="L3477:L3480"/>
    <mergeCell ref="M3477:M3480"/>
    <mergeCell ref="N3477:N3480"/>
    <mergeCell ref="A3481:A3482"/>
    <mergeCell ref="B3481:B3482"/>
    <mergeCell ref="C3481:C3482"/>
    <mergeCell ref="D3481:D3482"/>
    <mergeCell ref="E3481:E3482"/>
    <mergeCell ref="F3481:F3482"/>
    <mergeCell ref="G3481:G3482"/>
    <mergeCell ref="H3481:H3482"/>
    <mergeCell ref="I3481:I3482"/>
    <mergeCell ref="J3481:J3482"/>
    <mergeCell ref="K3481:K3482"/>
    <mergeCell ref="L3481:L3482"/>
    <mergeCell ref="M3481:M3482"/>
    <mergeCell ref="N3481:N3482"/>
    <mergeCell ref="A3483:A3484"/>
    <mergeCell ref="B3483:B3484"/>
    <mergeCell ref="C3483:C3484"/>
    <mergeCell ref="D3483:D3484"/>
    <mergeCell ref="E3483:E3484"/>
    <mergeCell ref="F3483:F3484"/>
    <mergeCell ref="G3483:G3484"/>
    <mergeCell ref="H3483:H3484"/>
    <mergeCell ref="I3483:I3484"/>
    <mergeCell ref="J3483:J3484"/>
    <mergeCell ref="K3483:K3484"/>
    <mergeCell ref="L3483:L3484"/>
    <mergeCell ref="M3483:M3484"/>
    <mergeCell ref="N3483:N3484"/>
    <mergeCell ref="A3470:A3471"/>
    <mergeCell ref="B3470:B3471"/>
    <mergeCell ref="C3470:C3471"/>
    <mergeCell ref="D3470:D3471"/>
    <mergeCell ref="E3470:E3471"/>
    <mergeCell ref="F3470:F3471"/>
    <mergeCell ref="G3470:G3471"/>
    <mergeCell ref="H3470:H3471"/>
    <mergeCell ref="I3470:I3471"/>
    <mergeCell ref="J3470:J3471"/>
    <mergeCell ref="K3470:K3471"/>
    <mergeCell ref="L3470:L3471"/>
    <mergeCell ref="M3470:M3471"/>
    <mergeCell ref="N3470:N3471"/>
    <mergeCell ref="A3472:A3473"/>
    <mergeCell ref="B3472:B3473"/>
    <mergeCell ref="C3472:C3473"/>
    <mergeCell ref="D3472:D3473"/>
    <mergeCell ref="E3472:E3473"/>
    <mergeCell ref="F3472:F3473"/>
    <mergeCell ref="G3472:G3473"/>
    <mergeCell ref="H3472:H3473"/>
    <mergeCell ref="I3472:I3473"/>
    <mergeCell ref="J3472:J3473"/>
    <mergeCell ref="K3472:K3473"/>
    <mergeCell ref="L3472:L3473"/>
    <mergeCell ref="M3472:M3473"/>
    <mergeCell ref="N3472:N3473"/>
    <mergeCell ref="A3474:A3475"/>
    <mergeCell ref="B3474:B3475"/>
    <mergeCell ref="C3474:C3475"/>
    <mergeCell ref="D3474:D3475"/>
    <mergeCell ref="E3474:E3475"/>
    <mergeCell ref="F3474:F3475"/>
    <mergeCell ref="G3474:G3475"/>
    <mergeCell ref="H3474:H3475"/>
    <mergeCell ref="I3474:I3475"/>
    <mergeCell ref="J3474:J3475"/>
    <mergeCell ref="K3474:K3475"/>
    <mergeCell ref="L3474:L3475"/>
    <mergeCell ref="M3474:M3475"/>
    <mergeCell ref="N3474:N3475"/>
    <mergeCell ref="A3458:A3459"/>
    <mergeCell ref="B3458:B3459"/>
    <mergeCell ref="C3458:C3459"/>
    <mergeCell ref="D3458:D3459"/>
    <mergeCell ref="E3458:E3459"/>
    <mergeCell ref="F3458:F3459"/>
    <mergeCell ref="G3458:G3459"/>
    <mergeCell ref="H3458:H3459"/>
    <mergeCell ref="I3458:I3459"/>
    <mergeCell ref="J3458:J3459"/>
    <mergeCell ref="K3458:K3459"/>
    <mergeCell ref="L3458:L3459"/>
    <mergeCell ref="M3458:M3459"/>
    <mergeCell ref="N3458:N3459"/>
    <mergeCell ref="A3463:A3464"/>
    <mergeCell ref="B3463:B3464"/>
    <mergeCell ref="C3463:C3464"/>
    <mergeCell ref="D3463:D3464"/>
    <mergeCell ref="E3463:E3464"/>
    <mergeCell ref="F3463:F3464"/>
    <mergeCell ref="G3463:G3464"/>
    <mergeCell ref="H3463:H3464"/>
    <mergeCell ref="I3463:I3464"/>
    <mergeCell ref="J3463:J3464"/>
    <mergeCell ref="K3463:K3464"/>
    <mergeCell ref="L3463:L3464"/>
    <mergeCell ref="M3463:M3464"/>
    <mergeCell ref="N3463:N3464"/>
    <mergeCell ref="A3465:A3467"/>
    <mergeCell ref="B3465:B3467"/>
    <mergeCell ref="C3465:C3467"/>
    <mergeCell ref="D3465:D3467"/>
    <mergeCell ref="E3465:E3467"/>
    <mergeCell ref="F3465:F3467"/>
    <mergeCell ref="G3465:G3467"/>
    <mergeCell ref="H3465:H3467"/>
    <mergeCell ref="I3465:I3467"/>
    <mergeCell ref="J3465:J3467"/>
    <mergeCell ref="K3465:K3467"/>
    <mergeCell ref="L3465:L3467"/>
    <mergeCell ref="M3465:M3467"/>
    <mergeCell ref="N3465:N3467"/>
    <mergeCell ref="A3448:A3449"/>
    <mergeCell ref="B3448:B3449"/>
    <mergeCell ref="C3448:C3449"/>
    <mergeCell ref="D3448:D3449"/>
    <mergeCell ref="E3448:E3449"/>
    <mergeCell ref="F3448:F3449"/>
    <mergeCell ref="G3448:G3449"/>
    <mergeCell ref="H3448:H3449"/>
    <mergeCell ref="I3448:I3449"/>
    <mergeCell ref="J3448:J3449"/>
    <mergeCell ref="K3448:K3449"/>
    <mergeCell ref="L3448:L3449"/>
    <mergeCell ref="M3448:M3449"/>
    <mergeCell ref="N3448:N3449"/>
    <mergeCell ref="A3452:A3453"/>
    <mergeCell ref="B3452:B3453"/>
    <mergeCell ref="C3452:C3453"/>
    <mergeCell ref="D3452:D3453"/>
    <mergeCell ref="E3452:E3453"/>
    <mergeCell ref="F3452:F3453"/>
    <mergeCell ref="G3452:G3453"/>
    <mergeCell ref="H3452:H3453"/>
    <mergeCell ref="I3452:I3453"/>
    <mergeCell ref="J3452:J3453"/>
    <mergeCell ref="K3452:K3453"/>
    <mergeCell ref="L3452:L3453"/>
    <mergeCell ref="M3452:M3453"/>
    <mergeCell ref="N3452:N3453"/>
    <mergeCell ref="A3454:A3455"/>
    <mergeCell ref="B3454:B3455"/>
    <mergeCell ref="C3454:C3455"/>
    <mergeCell ref="D3454:D3455"/>
    <mergeCell ref="E3454:E3455"/>
    <mergeCell ref="F3454:F3455"/>
    <mergeCell ref="G3454:G3455"/>
    <mergeCell ref="H3454:H3455"/>
    <mergeCell ref="I3454:I3455"/>
    <mergeCell ref="J3454:J3455"/>
    <mergeCell ref="K3454:K3455"/>
    <mergeCell ref="L3454:L3455"/>
    <mergeCell ref="M3454:M3455"/>
    <mergeCell ref="N3454:N3455"/>
    <mergeCell ref="A3438:A3441"/>
    <mergeCell ref="B3438:B3441"/>
    <mergeCell ref="C3438:C3441"/>
    <mergeCell ref="D3438:D3441"/>
    <mergeCell ref="E3438:E3441"/>
    <mergeCell ref="F3438:F3441"/>
    <mergeCell ref="G3438:G3441"/>
    <mergeCell ref="H3438:H3441"/>
    <mergeCell ref="I3438:I3441"/>
    <mergeCell ref="J3438:J3441"/>
    <mergeCell ref="K3438:K3441"/>
    <mergeCell ref="L3438:L3441"/>
    <mergeCell ref="M3438:M3441"/>
    <mergeCell ref="N3438:N3441"/>
    <mergeCell ref="A3442:A3444"/>
    <mergeCell ref="B3442:B3444"/>
    <mergeCell ref="C3442:C3444"/>
    <mergeCell ref="D3442:D3444"/>
    <mergeCell ref="E3442:E3444"/>
    <mergeCell ref="F3442:F3444"/>
    <mergeCell ref="G3442:G3444"/>
    <mergeCell ref="H3442:H3444"/>
    <mergeCell ref="I3442:I3444"/>
    <mergeCell ref="J3442:J3444"/>
    <mergeCell ref="K3442:K3444"/>
    <mergeCell ref="L3442:L3444"/>
    <mergeCell ref="M3442:M3444"/>
    <mergeCell ref="N3442:N3444"/>
    <mergeCell ref="A3446:A3447"/>
    <mergeCell ref="B3446:B3447"/>
    <mergeCell ref="C3446:C3447"/>
    <mergeCell ref="D3446:D3447"/>
    <mergeCell ref="E3446:E3447"/>
    <mergeCell ref="F3446:F3447"/>
    <mergeCell ref="G3446:G3447"/>
    <mergeCell ref="H3446:H3447"/>
    <mergeCell ref="I3446:I3447"/>
    <mergeCell ref="J3446:J3447"/>
    <mergeCell ref="K3446:K3447"/>
    <mergeCell ref="L3446:L3447"/>
    <mergeCell ref="M3446:M3447"/>
    <mergeCell ref="N3446:N3447"/>
    <mergeCell ref="A3429:A3432"/>
    <mergeCell ref="B3429:B3432"/>
    <mergeCell ref="C3429:C3432"/>
    <mergeCell ref="D3429:D3432"/>
    <mergeCell ref="E3429:E3432"/>
    <mergeCell ref="F3429:F3432"/>
    <mergeCell ref="G3429:G3432"/>
    <mergeCell ref="H3429:H3432"/>
    <mergeCell ref="I3429:I3432"/>
    <mergeCell ref="J3429:J3432"/>
    <mergeCell ref="K3429:K3432"/>
    <mergeCell ref="L3429:L3432"/>
    <mergeCell ref="M3429:M3432"/>
    <mergeCell ref="N3429:N3432"/>
    <mergeCell ref="A3433:A3434"/>
    <mergeCell ref="B3433:B3434"/>
    <mergeCell ref="C3433:C3434"/>
    <mergeCell ref="D3433:D3434"/>
    <mergeCell ref="E3433:E3434"/>
    <mergeCell ref="F3433:F3434"/>
    <mergeCell ref="G3433:G3434"/>
    <mergeCell ref="H3433:H3434"/>
    <mergeCell ref="I3433:I3434"/>
    <mergeCell ref="J3433:J3434"/>
    <mergeCell ref="K3433:K3434"/>
    <mergeCell ref="L3433:L3434"/>
    <mergeCell ref="M3433:M3434"/>
    <mergeCell ref="N3433:N3434"/>
    <mergeCell ref="A3435:A3436"/>
    <mergeCell ref="B3435:B3436"/>
    <mergeCell ref="C3435:C3436"/>
    <mergeCell ref="D3435:D3436"/>
    <mergeCell ref="E3435:E3436"/>
    <mergeCell ref="F3435:F3436"/>
    <mergeCell ref="G3435:G3436"/>
    <mergeCell ref="H3435:H3436"/>
    <mergeCell ref="I3435:I3436"/>
    <mergeCell ref="J3435:J3436"/>
    <mergeCell ref="K3435:K3436"/>
    <mergeCell ref="L3435:L3436"/>
    <mergeCell ref="M3435:M3436"/>
    <mergeCell ref="N3435:N3436"/>
    <mergeCell ref="A3412:A3418"/>
    <mergeCell ref="B3412:B3418"/>
    <mergeCell ref="C3412:C3418"/>
    <mergeCell ref="D3412:D3418"/>
    <mergeCell ref="E3412:E3418"/>
    <mergeCell ref="F3412:F3418"/>
    <mergeCell ref="G3412:G3418"/>
    <mergeCell ref="H3412:H3418"/>
    <mergeCell ref="I3412:I3418"/>
    <mergeCell ref="J3412:J3418"/>
    <mergeCell ref="K3412:K3418"/>
    <mergeCell ref="L3412:L3418"/>
    <mergeCell ref="M3412:M3418"/>
    <mergeCell ref="N3412:N3418"/>
    <mergeCell ref="A3419:A3423"/>
    <mergeCell ref="B3419:B3423"/>
    <mergeCell ref="C3419:C3423"/>
    <mergeCell ref="D3419:D3423"/>
    <mergeCell ref="E3419:E3423"/>
    <mergeCell ref="F3419:F3423"/>
    <mergeCell ref="G3419:G3423"/>
    <mergeCell ref="H3419:H3423"/>
    <mergeCell ref="I3419:I3423"/>
    <mergeCell ref="J3419:J3423"/>
    <mergeCell ref="K3419:K3423"/>
    <mergeCell ref="L3419:L3423"/>
    <mergeCell ref="M3419:M3423"/>
    <mergeCell ref="N3419:N3423"/>
    <mergeCell ref="A3425:A3426"/>
    <mergeCell ref="B3425:B3426"/>
    <mergeCell ref="C3425:C3426"/>
    <mergeCell ref="D3425:D3426"/>
    <mergeCell ref="E3425:E3426"/>
    <mergeCell ref="F3425:F3426"/>
    <mergeCell ref="G3425:G3426"/>
    <mergeCell ref="H3425:H3426"/>
    <mergeCell ref="I3425:I3426"/>
    <mergeCell ref="J3425:J3426"/>
    <mergeCell ref="K3425:K3426"/>
    <mergeCell ref="L3425:L3426"/>
    <mergeCell ref="M3425:M3426"/>
    <mergeCell ref="N3425:N3426"/>
    <mergeCell ref="A3394:A3397"/>
    <mergeCell ref="B3394:B3397"/>
    <mergeCell ref="C3394:C3397"/>
    <mergeCell ref="D3394:D3397"/>
    <mergeCell ref="E3394:E3397"/>
    <mergeCell ref="F3394:F3397"/>
    <mergeCell ref="G3394:G3397"/>
    <mergeCell ref="H3394:H3397"/>
    <mergeCell ref="I3394:I3397"/>
    <mergeCell ref="J3394:J3397"/>
    <mergeCell ref="K3394:K3397"/>
    <mergeCell ref="L3394:L3397"/>
    <mergeCell ref="M3394:M3397"/>
    <mergeCell ref="N3394:N3397"/>
    <mergeCell ref="A3398:A3399"/>
    <mergeCell ref="B3398:B3399"/>
    <mergeCell ref="C3398:C3399"/>
    <mergeCell ref="D3398:D3399"/>
    <mergeCell ref="E3398:E3399"/>
    <mergeCell ref="F3398:F3399"/>
    <mergeCell ref="G3398:G3399"/>
    <mergeCell ref="H3398:H3399"/>
    <mergeCell ref="I3398:I3399"/>
    <mergeCell ref="J3398:J3399"/>
    <mergeCell ref="K3398:K3399"/>
    <mergeCell ref="L3398:L3399"/>
    <mergeCell ref="M3398:M3399"/>
    <mergeCell ref="N3398:N3399"/>
    <mergeCell ref="A3407:A3410"/>
    <mergeCell ref="B3407:B3410"/>
    <mergeCell ref="C3407:C3410"/>
    <mergeCell ref="D3407:D3410"/>
    <mergeCell ref="E3407:E3410"/>
    <mergeCell ref="F3407:F3410"/>
    <mergeCell ref="G3407:G3410"/>
    <mergeCell ref="H3407:H3410"/>
    <mergeCell ref="I3407:I3410"/>
    <mergeCell ref="J3407:J3410"/>
    <mergeCell ref="K3407:K3410"/>
    <mergeCell ref="L3407:L3410"/>
    <mergeCell ref="M3407:M3410"/>
    <mergeCell ref="N3407:N3410"/>
    <mergeCell ref="A3371:A3374"/>
    <mergeCell ref="B3371:B3374"/>
    <mergeCell ref="C3371:C3374"/>
    <mergeCell ref="D3371:D3374"/>
    <mergeCell ref="E3371:E3374"/>
    <mergeCell ref="F3371:F3374"/>
    <mergeCell ref="G3371:G3374"/>
    <mergeCell ref="H3371:H3374"/>
    <mergeCell ref="I3371:I3374"/>
    <mergeCell ref="J3371:J3374"/>
    <mergeCell ref="K3371:K3374"/>
    <mergeCell ref="L3371:L3374"/>
    <mergeCell ref="M3371:M3374"/>
    <mergeCell ref="N3371:N3374"/>
    <mergeCell ref="A3375:A3376"/>
    <mergeCell ref="B3375:B3376"/>
    <mergeCell ref="C3375:C3376"/>
    <mergeCell ref="D3375:D3376"/>
    <mergeCell ref="E3375:E3376"/>
    <mergeCell ref="F3375:F3376"/>
    <mergeCell ref="G3375:G3376"/>
    <mergeCell ref="H3375:H3376"/>
    <mergeCell ref="I3375:I3376"/>
    <mergeCell ref="J3375:J3376"/>
    <mergeCell ref="K3375:K3376"/>
    <mergeCell ref="L3375:L3376"/>
    <mergeCell ref="M3375:M3376"/>
    <mergeCell ref="N3375:N3376"/>
    <mergeCell ref="A3386:A3387"/>
    <mergeCell ref="B3386:B3387"/>
    <mergeCell ref="C3386:C3387"/>
    <mergeCell ref="D3386:D3387"/>
    <mergeCell ref="E3386:E3387"/>
    <mergeCell ref="F3386:F3387"/>
    <mergeCell ref="G3386:G3387"/>
    <mergeCell ref="H3386:H3387"/>
    <mergeCell ref="I3386:I3387"/>
    <mergeCell ref="J3386:J3387"/>
    <mergeCell ref="K3386:K3387"/>
    <mergeCell ref="L3386:L3387"/>
    <mergeCell ref="M3386:M3387"/>
    <mergeCell ref="N3386:N3387"/>
    <mergeCell ref="A3357:A3359"/>
    <mergeCell ref="B3357:B3359"/>
    <mergeCell ref="C3357:C3359"/>
    <mergeCell ref="D3357:D3359"/>
    <mergeCell ref="E3357:E3359"/>
    <mergeCell ref="F3357:F3359"/>
    <mergeCell ref="G3357:G3359"/>
    <mergeCell ref="H3357:H3359"/>
    <mergeCell ref="I3357:I3359"/>
    <mergeCell ref="J3357:J3359"/>
    <mergeCell ref="K3357:K3359"/>
    <mergeCell ref="L3357:L3359"/>
    <mergeCell ref="M3357:M3359"/>
    <mergeCell ref="N3357:N3359"/>
    <mergeCell ref="A3361:A3362"/>
    <mergeCell ref="B3361:B3362"/>
    <mergeCell ref="C3361:C3362"/>
    <mergeCell ref="D3361:D3362"/>
    <mergeCell ref="E3361:E3362"/>
    <mergeCell ref="F3361:F3362"/>
    <mergeCell ref="G3361:G3362"/>
    <mergeCell ref="H3361:H3362"/>
    <mergeCell ref="I3361:I3362"/>
    <mergeCell ref="J3361:J3362"/>
    <mergeCell ref="K3361:K3362"/>
    <mergeCell ref="L3361:L3362"/>
    <mergeCell ref="M3361:M3362"/>
    <mergeCell ref="N3361:N3362"/>
    <mergeCell ref="A3364:A3366"/>
    <mergeCell ref="B3364:B3366"/>
    <mergeCell ref="C3364:C3366"/>
    <mergeCell ref="D3364:D3366"/>
    <mergeCell ref="E3364:E3366"/>
    <mergeCell ref="F3364:F3366"/>
    <mergeCell ref="G3364:G3366"/>
    <mergeCell ref="H3364:H3366"/>
    <mergeCell ref="I3364:I3366"/>
    <mergeCell ref="J3364:J3366"/>
    <mergeCell ref="K3364:K3366"/>
    <mergeCell ref="L3364:L3366"/>
    <mergeCell ref="M3364:M3366"/>
    <mergeCell ref="N3364:N3366"/>
    <mergeCell ref="A3338:A3340"/>
    <mergeCell ref="B3338:B3340"/>
    <mergeCell ref="C3338:C3340"/>
    <mergeCell ref="D3338:D3340"/>
    <mergeCell ref="E3338:E3340"/>
    <mergeCell ref="F3338:F3340"/>
    <mergeCell ref="G3338:G3340"/>
    <mergeCell ref="H3338:H3340"/>
    <mergeCell ref="I3338:I3340"/>
    <mergeCell ref="J3338:J3340"/>
    <mergeCell ref="K3338:K3340"/>
    <mergeCell ref="L3338:L3340"/>
    <mergeCell ref="M3338:M3340"/>
    <mergeCell ref="N3338:N3340"/>
    <mergeCell ref="A3341:A3348"/>
    <mergeCell ref="B3341:B3348"/>
    <mergeCell ref="C3341:C3348"/>
    <mergeCell ref="D3341:D3348"/>
    <mergeCell ref="E3341:E3348"/>
    <mergeCell ref="F3341:F3348"/>
    <mergeCell ref="G3341:G3348"/>
    <mergeCell ref="H3341:H3348"/>
    <mergeCell ref="I3341:I3348"/>
    <mergeCell ref="J3341:J3348"/>
    <mergeCell ref="K3341:K3348"/>
    <mergeCell ref="L3341:L3348"/>
    <mergeCell ref="M3341:M3348"/>
    <mergeCell ref="N3341:N3348"/>
    <mergeCell ref="A3350:A3353"/>
    <mergeCell ref="B3350:B3353"/>
    <mergeCell ref="C3350:C3353"/>
    <mergeCell ref="D3350:D3353"/>
    <mergeCell ref="E3350:E3353"/>
    <mergeCell ref="F3350:F3353"/>
    <mergeCell ref="G3350:G3353"/>
    <mergeCell ref="H3350:H3353"/>
    <mergeCell ref="I3350:I3353"/>
    <mergeCell ref="J3350:J3353"/>
    <mergeCell ref="K3350:K3353"/>
    <mergeCell ref="L3350:L3353"/>
    <mergeCell ref="M3350:M3353"/>
    <mergeCell ref="N3350:N3353"/>
    <mergeCell ref="A3314:A3315"/>
    <mergeCell ref="B3314:B3315"/>
    <mergeCell ref="C3314:C3315"/>
    <mergeCell ref="D3314:D3315"/>
    <mergeCell ref="E3314:E3315"/>
    <mergeCell ref="F3314:F3315"/>
    <mergeCell ref="G3314:G3315"/>
    <mergeCell ref="H3314:H3315"/>
    <mergeCell ref="I3314:I3315"/>
    <mergeCell ref="J3314:J3315"/>
    <mergeCell ref="K3314:K3315"/>
    <mergeCell ref="L3314:L3315"/>
    <mergeCell ref="M3314:M3315"/>
    <mergeCell ref="N3314:N3315"/>
    <mergeCell ref="A3317:A3330"/>
    <mergeCell ref="B3317:B3330"/>
    <mergeCell ref="C3317:C3330"/>
    <mergeCell ref="D3317:D3330"/>
    <mergeCell ref="E3317:E3330"/>
    <mergeCell ref="F3317:F3330"/>
    <mergeCell ref="G3317:G3330"/>
    <mergeCell ref="H3317:H3330"/>
    <mergeCell ref="I3317:I3330"/>
    <mergeCell ref="J3317:J3330"/>
    <mergeCell ref="K3317:K3330"/>
    <mergeCell ref="L3317:L3330"/>
    <mergeCell ref="M3317:M3330"/>
    <mergeCell ref="N3317:N3330"/>
    <mergeCell ref="A3332:A3337"/>
    <mergeCell ref="B3332:B3337"/>
    <mergeCell ref="C3332:C3337"/>
    <mergeCell ref="D3332:D3337"/>
    <mergeCell ref="E3332:E3337"/>
    <mergeCell ref="F3332:F3337"/>
    <mergeCell ref="G3332:G3337"/>
    <mergeCell ref="H3332:H3337"/>
    <mergeCell ref="I3332:I3337"/>
    <mergeCell ref="J3332:J3337"/>
    <mergeCell ref="K3332:K3337"/>
    <mergeCell ref="L3332:L3337"/>
    <mergeCell ref="M3332:M3337"/>
    <mergeCell ref="N3332:N3337"/>
    <mergeCell ref="A3303:A3304"/>
    <mergeCell ref="B3303:B3304"/>
    <mergeCell ref="C3303:C3304"/>
    <mergeCell ref="D3303:D3304"/>
    <mergeCell ref="E3303:E3304"/>
    <mergeCell ref="F3303:F3304"/>
    <mergeCell ref="G3303:G3304"/>
    <mergeCell ref="H3303:H3304"/>
    <mergeCell ref="I3303:I3304"/>
    <mergeCell ref="J3303:J3304"/>
    <mergeCell ref="K3303:K3304"/>
    <mergeCell ref="L3303:L3304"/>
    <mergeCell ref="M3303:M3304"/>
    <mergeCell ref="N3303:N3304"/>
    <mergeCell ref="A3307:A3308"/>
    <mergeCell ref="B3307:B3308"/>
    <mergeCell ref="C3307:C3308"/>
    <mergeCell ref="D3307:D3308"/>
    <mergeCell ref="E3307:E3308"/>
    <mergeCell ref="F3307:F3308"/>
    <mergeCell ref="G3307:G3308"/>
    <mergeCell ref="H3307:H3308"/>
    <mergeCell ref="I3307:I3308"/>
    <mergeCell ref="J3307:J3308"/>
    <mergeCell ref="K3307:K3308"/>
    <mergeCell ref="L3307:L3308"/>
    <mergeCell ref="M3307:M3308"/>
    <mergeCell ref="N3307:N3308"/>
    <mergeCell ref="A3311:A3312"/>
    <mergeCell ref="B3311:B3312"/>
    <mergeCell ref="C3311:C3312"/>
    <mergeCell ref="D3311:D3312"/>
    <mergeCell ref="E3311:E3312"/>
    <mergeCell ref="F3311:F3312"/>
    <mergeCell ref="G3311:G3312"/>
    <mergeCell ref="H3311:H3312"/>
    <mergeCell ref="I3311:I3312"/>
    <mergeCell ref="J3311:J3312"/>
    <mergeCell ref="K3311:K3312"/>
    <mergeCell ref="L3311:L3312"/>
    <mergeCell ref="M3311:M3312"/>
    <mergeCell ref="N3311:N3312"/>
    <mergeCell ref="A3283:A3285"/>
    <mergeCell ref="B3283:B3285"/>
    <mergeCell ref="C3283:C3285"/>
    <mergeCell ref="D3283:D3285"/>
    <mergeCell ref="E3283:E3285"/>
    <mergeCell ref="F3283:F3285"/>
    <mergeCell ref="G3283:G3285"/>
    <mergeCell ref="H3283:H3285"/>
    <mergeCell ref="I3283:I3285"/>
    <mergeCell ref="J3283:J3285"/>
    <mergeCell ref="K3283:K3285"/>
    <mergeCell ref="L3283:L3285"/>
    <mergeCell ref="M3283:M3285"/>
    <mergeCell ref="N3283:N3285"/>
    <mergeCell ref="A3286:A3287"/>
    <mergeCell ref="B3286:B3287"/>
    <mergeCell ref="C3286:C3287"/>
    <mergeCell ref="D3286:D3287"/>
    <mergeCell ref="E3286:E3287"/>
    <mergeCell ref="F3286:F3287"/>
    <mergeCell ref="G3286:G3287"/>
    <mergeCell ref="H3286:H3287"/>
    <mergeCell ref="I3286:I3287"/>
    <mergeCell ref="J3286:J3287"/>
    <mergeCell ref="K3286:K3287"/>
    <mergeCell ref="L3286:L3287"/>
    <mergeCell ref="M3286:M3287"/>
    <mergeCell ref="N3286:N3287"/>
    <mergeCell ref="A3289:A3302"/>
    <mergeCell ref="B3289:B3302"/>
    <mergeCell ref="C3289:C3302"/>
    <mergeCell ref="D3289:D3302"/>
    <mergeCell ref="E3289:E3302"/>
    <mergeCell ref="F3289:F3302"/>
    <mergeCell ref="G3289:G3302"/>
    <mergeCell ref="H3289:H3302"/>
    <mergeCell ref="I3289:I3302"/>
    <mergeCell ref="J3289:J3302"/>
    <mergeCell ref="K3289:K3302"/>
    <mergeCell ref="L3289:L3302"/>
    <mergeCell ref="M3289:M3302"/>
    <mergeCell ref="N3289:N3302"/>
    <mergeCell ref="A3261:A3266"/>
    <mergeCell ref="B3261:B3266"/>
    <mergeCell ref="C3261:C3266"/>
    <mergeCell ref="D3261:D3266"/>
    <mergeCell ref="E3261:E3266"/>
    <mergeCell ref="F3261:F3266"/>
    <mergeCell ref="G3261:G3266"/>
    <mergeCell ref="H3261:H3266"/>
    <mergeCell ref="I3261:I3266"/>
    <mergeCell ref="J3261:J3266"/>
    <mergeCell ref="K3261:K3266"/>
    <mergeCell ref="L3261:L3266"/>
    <mergeCell ref="M3261:M3266"/>
    <mergeCell ref="N3261:N3266"/>
    <mergeCell ref="A3269:A3271"/>
    <mergeCell ref="B3269:B3271"/>
    <mergeCell ref="C3269:C3271"/>
    <mergeCell ref="D3269:D3271"/>
    <mergeCell ref="E3269:E3271"/>
    <mergeCell ref="F3269:F3271"/>
    <mergeCell ref="G3269:G3271"/>
    <mergeCell ref="H3269:H3271"/>
    <mergeCell ref="I3269:I3271"/>
    <mergeCell ref="J3269:J3271"/>
    <mergeCell ref="K3269:K3271"/>
    <mergeCell ref="L3269:L3271"/>
    <mergeCell ref="M3269:M3271"/>
    <mergeCell ref="N3269:N3271"/>
    <mergeCell ref="A3280:A3281"/>
    <mergeCell ref="B3280:B3281"/>
    <mergeCell ref="C3280:C3281"/>
    <mergeCell ref="D3280:D3281"/>
    <mergeCell ref="E3280:E3281"/>
    <mergeCell ref="F3280:F3281"/>
    <mergeCell ref="G3280:G3281"/>
    <mergeCell ref="H3280:H3281"/>
    <mergeCell ref="I3280:I3281"/>
    <mergeCell ref="J3280:J3281"/>
    <mergeCell ref="K3280:K3281"/>
    <mergeCell ref="L3280:L3281"/>
    <mergeCell ref="M3280:M3281"/>
    <mergeCell ref="N3280:N3281"/>
    <mergeCell ref="A3233:A3234"/>
    <mergeCell ref="B3233:B3234"/>
    <mergeCell ref="C3233:C3234"/>
    <mergeCell ref="D3233:D3234"/>
    <mergeCell ref="E3233:E3234"/>
    <mergeCell ref="F3233:F3234"/>
    <mergeCell ref="G3233:G3234"/>
    <mergeCell ref="H3233:H3234"/>
    <mergeCell ref="I3233:I3234"/>
    <mergeCell ref="J3233:J3234"/>
    <mergeCell ref="K3233:K3234"/>
    <mergeCell ref="L3233:L3234"/>
    <mergeCell ref="M3233:M3234"/>
    <mergeCell ref="N3233:N3234"/>
    <mergeCell ref="A3239:A3240"/>
    <mergeCell ref="B3239:B3240"/>
    <mergeCell ref="C3239:C3240"/>
    <mergeCell ref="D3239:D3240"/>
    <mergeCell ref="E3239:E3240"/>
    <mergeCell ref="F3239:F3240"/>
    <mergeCell ref="G3239:G3240"/>
    <mergeCell ref="H3239:H3240"/>
    <mergeCell ref="I3239:I3240"/>
    <mergeCell ref="J3239:J3240"/>
    <mergeCell ref="K3239:K3240"/>
    <mergeCell ref="L3239:L3240"/>
    <mergeCell ref="M3239:M3240"/>
    <mergeCell ref="N3239:N3240"/>
    <mergeCell ref="A3248:A3260"/>
    <mergeCell ref="B3248:B3260"/>
    <mergeCell ref="C3248:C3260"/>
    <mergeCell ref="D3248:D3260"/>
    <mergeCell ref="E3248:E3260"/>
    <mergeCell ref="F3248:F3260"/>
    <mergeCell ref="G3248:G3260"/>
    <mergeCell ref="H3248:H3260"/>
    <mergeCell ref="I3248:I3260"/>
    <mergeCell ref="J3248:J3260"/>
    <mergeCell ref="K3248:K3260"/>
    <mergeCell ref="L3248:L3260"/>
    <mergeCell ref="M3248:M3260"/>
    <mergeCell ref="N3248:N3260"/>
    <mergeCell ref="A3222:A3224"/>
    <mergeCell ref="B3222:B3224"/>
    <mergeCell ref="C3222:C3224"/>
    <mergeCell ref="D3222:D3224"/>
    <mergeCell ref="E3222:E3224"/>
    <mergeCell ref="F3222:F3224"/>
    <mergeCell ref="G3222:G3224"/>
    <mergeCell ref="H3222:H3224"/>
    <mergeCell ref="I3222:I3224"/>
    <mergeCell ref="J3222:J3224"/>
    <mergeCell ref="K3222:K3224"/>
    <mergeCell ref="L3222:L3224"/>
    <mergeCell ref="M3222:M3224"/>
    <mergeCell ref="N3222:N3224"/>
    <mergeCell ref="A3225:A3228"/>
    <mergeCell ref="B3225:B3228"/>
    <mergeCell ref="C3225:C3228"/>
    <mergeCell ref="D3225:D3228"/>
    <mergeCell ref="E3225:E3228"/>
    <mergeCell ref="F3225:F3228"/>
    <mergeCell ref="G3225:G3228"/>
    <mergeCell ref="H3225:H3228"/>
    <mergeCell ref="I3225:I3228"/>
    <mergeCell ref="J3225:J3228"/>
    <mergeCell ref="K3225:K3228"/>
    <mergeCell ref="L3225:L3228"/>
    <mergeCell ref="M3225:M3228"/>
    <mergeCell ref="N3225:N3228"/>
    <mergeCell ref="A3229:A3230"/>
    <mergeCell ref="B3229:B3230"/>
    <mergeCell ref="C3229:C3230"/>
    <mergeCell ref="D3229:D3230"/>
    <mergeCell ref="E3229:E3230"/>
    <mergeCell ref="F3229:F3230"/>
    <mergeCell ref="G3229:G3230"/>
    <mergeCell ref="H3229:H3230"/>
    <mergeCell ref="I3229:I3230"/>
    <mergeCell ref="J3229:J3230"/>
    <mergeCell ref="K3229:K3230"/>
    <mergeCell ref="L3229:L3230"/>
    <mergeCell ref="M3229:M3230"/>
    <mergeCell ref="N3229:N3230"/>
    <mergeCell ref="A3199:A3201"/>
    <mergeCell ref="B3199:B3201"/>
    <mergeCell ref="C3199:C3201"/>
    <mergeCell ref="D3199:D3201"/>
    <mergeCell ref="E3199:E3201"/>
    <mergeCell ref="F3199:F3201"/>
    <mergeCell ref="G3199:G3201"/>
    <mergeCell ref="H3199:H3201"/>
    <mergeCell ref="I3199:I3201"/>
    <mergeCell ref="J3199:J3201"/>
    <mergeCell ref="K3199:K3201"/>
    <mergeCell ref="L3199:L3201"/>
    <mergeCell ref="M3199:M3201"/>
    <mergeCell ref="N3199:N3201"/>
    <mergeCell ref="A3211:A3213"/>
    <mergeCell ref="B3211:B3213"/>
    <mergeCell ref="C3211:C3213"/>
    <mergeCell ref="D3211:D3213"/>
    <mergeCell ref="E3211:E3213"/>
    <mergeCell ref="F3211:F3213"/>
    <mergeCell ref="G3211:G3213"/>
    <mergeCell ref="H3211:H3213"/>
    <mergeCell ref="I3211:I3213"/>
    <mergeCell ref="J3211:J3213"/>
    <mergeCell ref="K3211:K3213"/>
    <mergeCell ref="L3211:L3213"/>
    <mergeCell ref="M3211:M3213"/>
    <mergeCell ref="N3211:N3213"/>
    <mergeCell ref="A3214:A3221"/>
    <mergeCell ref="B3214:B3221"/>
    <mergeCell ref="C3214:C3221"/>
    <mergeCell ref="D3214:D3221"/>
    <mergeCell ref="E3214:E3221"/>
    <mergeCell ref="F3214:F3221"/>
    <mergeCell ref="G3214:G3221"/>
    <mergeCell ref="H3214:H3221"/>
    <mergeCell ref="I3214:I3221"/>
    <mergeCell ref="J3214:J3221"/>
    <mergeCell ref="K3214:K3221"/>
    <mergeCell ref="L3214:L3221"/>
    <mergeCell ref="M3214:M3221"/>
    <mergeCell ref="N3214:N3221"/>
    <mergeCell ref="A3181:A3182"/>
    <mergeCell ref="B3181:B3182"/>
    <mergeCell ref="C3181:C3182"/>
    <mergeCell ref="D3181:D3182"/>
    <mergeCell ref="E3181:E3182"/>
    <mergeCell ref="F3181:F3182"/>
    <mergeCell ref="G3181:G3182"/>
    <mergeCell ref="H3181:H3182"/>
    <mergeCell ref="I3181:I3182"/>
    <mergeCell ref="J3181:J3182"/>
    <mergeCell ref="K3181:K3182"/>
    <mergeCell ref="L3181:L3182"/>
    <mergeCell ref="M3181:M3182"/>
    <mergeCell ref="N3181:N3182"/>
    <mergeCell ref="A3190:A3193"/>
    <mergeCell ref="B3190:B3193"/>
    <mergeCell ref="C3190:C3193"/>
    <mergeCell ref="D3190:D3193"/>
    <mergeCell ref="E3190:E3193"/>
    <mergeCell ref="F3190:F3193"/>
    <mergeCell ref="G3190:G3193"/>
    <mergeCell ref="H3190:H3193"/>
    <mergeCell ref="I3190:I3193"/>
    <mergeCell ref="J3190:J3193"/>
    <mergeCell ref="K3190:K3193"/>
    <mergeCell ref="L3190:L3193"/>
    <mergeCell ref="M3190:M3193"/>
    <mergeCell ref="N3190:N3193"/>
    <mergeCell ref="A3194:A3196"/>
    <mergeCell ref="B3194:B3196"/>
    <mergeCell ref="C3194:C3196"/>
    <mergeCell ref="D3194:D3196"/>
    <mergeCell ref="E3194:E3196"/>
    <mergeCell ref="F3194:F3196"/>
    <mergeCell ref="G3194:G3196"/>
    <mergeCell ref="H3194:H3196"/>
    <mergeCell ref="I3194:I3196"/>
    <mergeCell ref="J3194:J3196"/>
    <mergeCell ref="K3194:K3196"/>
    <mergeCell ref="L3194:L3196"/>
    <mergeCell ref="M3194:M3196"/>
    <mergeCell ref="N3194:N3196"/>
    <mergeCell ref="A3127:A3128"/>
    <mergeCell ref="B3127:B3128"/>
    <mergeCell ref="C3127:C3128"/>
    <mergeCell ref="D3127:D3128"/>
    <mergeCell ref="E3127:E3128"/>
    <mergeCell ref="F3127:F3128"/>
    <mergeCell ref="G3127:G3128"/>
    <mergeCell ref="H3127:H3128"/>
    <mergeCell ref="I3127:I3128"/>
    <mergeCell ref="J3127:J3128"/>
    <mergeCell ref="K3127:K3128"/>
    <mergeCell ref="L3127:L3128"/>
    <mergeCell ref="M3127:M3128"/>
    <mergeCell ref="N3127:N3128"/>
    <mergeCell ref="A3130:A3174"/>
    <mergeCell ref="B3130:B3174"/>
    <mergeCell ref="C3130:C3174"/>
    <mergeCell ref="D3130:D3174"/>
    <mergeCell ref="E3130:E3174"/>
    <mergeCell ref="F3130:F3174"/>
    <mergeCell ref="G3130:G3174"/>
    <mergeCell ref="H3130:H3174"/>
    <mergeCell ref="I3130:I3174"/>
    <mergeCell ref="J3130:J3174"/>
    <mergeCell ref="K3130:K3174"/>
    <mergeCell ref="L3130:L3174"/>
    <mergeCell ref="M3130:M3174"/>
    <mergeCell ref="N3130:N3174"/>
    <mergeCell ref="A3176:A3180"/>
    <mergeCell ref="B3176:B3180"/>
    <mergeCell ref="C3176:C3180"/>
    <mergeCell ref="D3176:D3180"/>
    <mergeCell ref="E3176:E3180"/>
    <mergeCell ref="F3176:F3180"/>
    <mergeCell ref="G3176:G3180"/>
    <mergeCell ref="H3176:H3180"/>
    <mergeCell ref="I3176:I3180"/>
    <mergeCell ref="J3176:J3180"/>
    <mergeCell ref="K3176:K3180"/>
    <mergeCell ref="L3176:L3180"/>
    <mergeCell ref="M3176:M3180"/>
    <mergeCell ref="N3176:N3180"/>
    <mergeCell ref="A3102:A3104"/>
    <mergeCell ref="B3102:B3104"/>
    <mergeCell ref="C3102:C3104"/>
    <mergeCell ref="D3102:D3104"/>
    <mergeCell ref="E3102:E3104"/>
    <mergeCell ref="F3102:F3104"/>
    <mergeCell ref="G3102:G3104"/>
    <mergeCell ref="H3102:H3104"/>
    <mergeCell ref="I3102:I3104"/>
    <mergeCell ref="J3102:J3104"/>
    <mergeCell ref="K3102:K3104"/>
    <mergeCell ref="L3102:L3104"/>
    <mergeCell ref="M3102:M3104"/>
    <mergeCell ref="N3102:N3104"/>
    <mergeCell ref="A3112:A3113"/>
    <mergeCell ref="B3112:B3113"/>
    <mergeCell ref="C3112:C3113"/>
    <mergeCell ref="D3112:D3113"/>
    <mergeCell ref="E3112:E3113"/>
    <mergeCell ref="F3112:F3113"/>
    <mergeCell ref="G3112:G3113"/>
    <mergeCell ref="H3112:H3113"/>
    <mergeCell ref="I3112:I3113"/>
    <mergeCell ref="J3112:J3113"/>
    <mergeCell ref="K3112:K3113"/>
    <mergeCell ref="L3112:L3113"/>
    <mergeCell ref="M3112:M3113"/>
    <mergeCell ref="N3112:N3113"/>
    <mergeCell ref="A3117:A3119"/>
    <mergeCell ref="B3117:B3119"/>
    <mergeCell ref="C3117:C3119"/>
    <mergeCell ref="D3117:D3119"/>
    <mergeCell ref="E3117:E3119"/>
    <mergeCell ref="F3117:F3119"/>
    <mergeCell ref="G3117:G3119"/>
    <mergeCell ref="H3117:H3119"/>
    <mergeCell ref="I3117:I3119"/>
    <mergeCell ref="J3117:J3119"/>
    <mergeCell ref="K3117:K3119"/>
    <mergeCell ref="L3117:L3119"/>
    <mergeCell ref="M3117:M3119"/>
    <mergeCell ref="N3117:N3119"/>
    <mergeCell ref="A3067:A3084"/>
    <mergeCell ref="B3067:B3084"/>
    <mergeCell ref="C3067:C3084"/>
    <mergeCell ref="D3067:D3084"/>
    <mergeCell ref="E3067:E3084"/>
    <mergeCell ref="F3067:F3084"/>
    <mergeCell ref="G3067:G3084"/>
    <mergeCell ref="H3067:H3084"/>
    <mergeCell ref="I3067:I3084"/>
    <mergeCell ref="J3067:J3084"/>
    <mergeCell ref="K3067:K3084"/>
    <mergeCell ref="L3067:L3084"/>
    <mergeCell ref="M3067:M3084"/>
    <mergeCell ref="N3067:N3084"/>
    <mergeCell ref="A3085:A3094"/>
    <mergeCell ref="B3085:B3094"/>
    <mergeCell ref="C3085:C3094"/>
    <mergeCell ref="D3085:D3094"/>
    <mergeCell ref="E3085:E3094"/>
    <mergeCell ref="F3085:F3094"/>
    <mergeCell ref="G3085:G3094"/>
    <mergeCell ref="H3085:H3094"/>
    <mergeCell ref="I3085:I3094"/>
    <mergeCell ref="J3085:J3094"/>
    <mergeCell ref="K3085:K3094"/>
    <mergeCell ref="L3085:L3094"/>
    <mergeCell ref="M3085:M3094"/>
    <mergeCell ref="N3085:N3094"/>
    <mergeCell ref="A3097:A3098"/>
    <mergeCell ref="B3097:B3098"/>
    <mergeCell ref="C3097:C3098"/>
    <mergeCell ref="D3097:D3098"/>
    <mergeCell ref="E3097:E3098"/>
    <mergeCell ref="F3097:F3098"/>
    <mergeCell ref="G3097:G3098"/>
    <mergeCell ref="H3097:H3098"/>
    <mergeCell ref="I3097:I3098"/>
    <mergeCell ref="J3097:J3098"/>
    <mergeCell ref="K3097:K3098"/>
    <mergeCell ref="L3097:L3098"/>
    <mergeCell ref="M3097:M3098"/>
    <mergeCell ref="N3097:N3098"/>
    <mergeCell ref="A3051:A3052"/>
    <mergeCell ref="B3051:B3052"/>
    <mergeCell ref="C3051:C3052"/>
    <mergeCell ref="D3051:D3052"/>
    <mergeCell ref="E3051:E3052"/>
    <mergeCell ref="F3051:F3052"/>
    <mergeCell ref="G3051:G3052"/>
    <mergeCell ref="H3051:H3052"/>
    <mergeCell ref="I3051:I3052"/>
    <mergeCell ref="J3051:J3052"/>
    <mergeCell ref="K3051:K3052"/>
    <mergeCell ref="L3051:L3052"/>
    <mergeCell ref="M3051:M3052"/>
    <mergeCell ref="N3051:N3052"/>
    <mergeCell ref="A3057:A3058"/>
    <mergeCell ref="B3057:B3058"/>
    <mergeCell ref="C3057:C3058"/>
    <mergeCell ref="D3057:D3058"/>
    <mergeCell ref="E3057:E3058"/>
    <mergeCell ref="F3057:F3058"/>
    <mergeCell ref="G3057:G3058"/>
    <mergeCell ref="H3057:H3058"/>
    <mergeCell ref="I3057:I3058"/>
    <mergeCell ref="J3057:J3058"/>
    <mergeCell ref="K3057:K3058"/>
    <mergeCell ref="L3057:L3058"/>
    <mergeCell ref="M3057:M3058"/>
    <mergeCell ref="N3057:N3058"/>
    <mergeCell ref="A3059:A3062"/>
    <mergeCell ref="B3059:B3062"/>
    <mergeCell ref="C3059:C3062"/>
    <mergeCell ref="D3059:D3062"/>
    <mergeCell ref="E3059:E3062"/>
    <mergeCell ref="F3059:F3062"/>
    <mergeCell ref="G3059:G3062"/>
    <mergeCell ref="H3059:H3062"/>
    <mergeCell ref="I3059:I3062"/>
    <mergeCell ref="J3059:J3062"/>
    <mergeCell ref="K3059:K3062"/>
    <mergeCell ref="L3059:L3062"/>
    <mergeCell ref="M3059:M3062"/>
    <mergeCell ref="N3059:N3062"/>
    <mergeCell ref="A3041:A3043"/>
    <mergeCell ref="B3041:B3043"/>
    <mergeCell ref="C3041:C3043"/>
    <mergeCell ref="D3041:D3043"/>
    <mergeCell ref="E3041:E3043"/>
    <mergeCell ref="F3041:F3043"/>
    <mergeCell ref="G3041:G3043"/>
    <mergeCell ref="H3041:H3043"/>
    <mergeCell ref="I3041:I3043"/>
    <mergeCell ref="J3041:J3043"/>
    <mergeCell ref="K3041:K3043"/>
    <mergeCell ref="L3041:L3043"/>
    <mergeCell ref="M3041:M3043"/>
    <mergeCell ref="N3041:N3043"/>
    <mergeCell ref="A3045:A3046"/>
    <mergeCell ref="B3045:B3046"/>
    <mergeCell ref="C3045:C3046"/>
    <mergeCell ref="D3045:D3046"/>
    <mergeCell ref="E3045:E3046"/>
    <mergeCell ref="F3045:F3046"/>
    <mergeCell ref="G3045:G3046"/>
    <mergeCell ref="H3045:H3046"/>
    <mergeCell ref="I3045:I3046"/>
    <mergeCell ref="J3045:J3046"/>
    <mergeCell ref="K3045:K3046"/>
    <mergeCell ref="L3045:L3046"/>
    <mergeCell ref="M3045:M3046"/>
    <mergeCell ref="N3045:N3046"/>
    <mergeCell ref="A3047:A3048"/>
    <mergeCell ref="B3047:B3048"/>
    <mergeCell ref="C3047:C3048"/>
    <mergeCell ref="D3047:D3048"/>
    <mergeCell ref="E3047:E3048"/>
    <mergeCell ref="F3047:F3048"/>
    <mergeCell ref="G3047:G3048"/>
    <mergeCell ref="H3047:H3048"/>
    <mergeCell ref="I3047:I3048"/>
    <mergeCell ref="J3047:J3048"/>
    <mergeCell ref="K3047:K3048"/>
    <mergeCell ref="L3047:L3048"/>
    <mergeCell ref="M3047:M3048"/>
    <mergeCell ref="N3047:N3048"/>
    <mergeCell ref="A3031:A3032"/>
    <mergeCell ref="B3031:B3032"/>
    <mergeCell ref="C3031:C3032"/>
    <mergeCell ref="D3031:D3032"/>
    <mergeCell ref="E3031:E3032"/>
    <mergeCell ref="F3031:F3032"/>
    <mergeCell ref="G3031:G3032"/>
    <mergeCell ref="H3031:H3032"/>
    <mergeCell ref="I3031:I3032"/>
    <mergeCell ref="J3031:J3032"/>
    <mergeCell ref="K3031:K3032"/>
    <mergeCell ref="L3031:L3032"/>
    <mergeCell ref="M3031:M3032"/>
    <mergeCell ref="N3031:N3032"/>
    <mergeCell ref="A3034:A3037"/>
    <mergeCell ref="B3034:B3037"/>
    <mergeCell ref="C3034:C3037"/>
    <mergeCell ref="D3034:D3037"/>
    <mergeCell ref="E3034:E3037"/>
    <mergeCell ref="F3034:F3037"/>
    <mergeCell ref="G3034:G3037"/>
    <mergeCell ref="H3034:H3037"/>
    <mergeCell ref="I3034:I3037"/>
    <mergeCell ref="J3034:J3037"/>
    <mergeCell ref="K3034:K3037"/>
    <mergeCell ref="L3034:L3037"/>
    <mergeCell ref="M3034:M3037"/>
    <mergeCell ref="N3034:N3037"/>
    <mergeCell ref="A3038:A3040"/>
    <mergeCell ref="B3038:B3040"/>
    <mergeCell ref="C3038:C3040"/>
    <mergeCell ref="D3038:D3040"/>
    <mergeCell ref="E3038:E3040"/>
    <mergeCell ref="F3038:F3040"/>
    <mergeCell ref="G3038:G3040"/>
    <mergeCell ref="H3038:H3040"/>
    <mergeCell ref="I3038:I3040"/>
    <mergeCell ref="J3038:J3040"/>
    <mergeCell ref="K3038:K3040"/>
    <mergeCell ref="L3038:L3040"/>
    <mergeCell ref="M3038:M3040"/>
    <mergeCell ref="N3038:N3040"/>
    <mergeCell ref="A3006:A3012"/>
    <mergeCell ref="B3006:B3012"/>
    <mergeCell ref="C3006:C3012"/>
    <mergeCell ref="D3006:D3012"/>
    <mergeCell ref="E3006:E3012"/>
    <mergeCell ref="F3006:F3012"/>
    <mergeCell ref="G3006:G3012"/>
    <mergeCell ref="H3006:H3012"/>
    <mergeCell ref="I3006:I3012"/>
    <mergeCell ref="J3006:J3012"/>
    <mergeCell ref="K3006:K3012"/>
    <mergeCell ref="L3006:L3012"/>
    <mergeCell ref="M3006:M3012"/>
    <mergeCell ref="N3006:N3012"/>
    <mergeCell ref="A3024:A3026"/>
    <mergeCell ref="B3024:B3026"/>
    <mergeCell ref="C3024:C3026"/>
    <mergeCell ref="D3024:D3026"/>
    <mergeCell ref="E3024:E3026"/>
    <mergeCell ref="F3024:F3026"/>
    <mergeCell ref="G3024:G3026"/>
    <mergeCell ref="H3024:H3026"/>
    <mergeCell ref="I3024:I3026"/>
    <mergeCell ref="J3024:J3026"/>
    <mergeCell ref="K3024:K3026"/>
    <mergeCell ref="L3024:L3026"/>
    <mergeCell ref="M3024:M3026"/>
    <mergeCell ref="N3024:N3026"/>
    <mergeCell ref="A3028:A3029"/>
    <mergeCell ref="B3028:B3029"/>
    <mergeCell ref="C3028:C3029"/>
    <mergeCell ref="D3028:D3029"/>
    <mergeCell ref="E3028:E3029"/>
    <mergeCell ref="F3028:F3029"/>
    <mergeCell ref="G3028:G3029"/>
    <mergeCell ref="H3028:H3029"/>
    <mergeCell ref="I3028:I3029"/>
    <mergeCell ref="J3028:J3029"/>
    <mergeCell ref="K3028:K3029"/>
    <mergeCell ref="L3028:L3029"/>
    <mergeCell ref="M3028:M3029"/>
    <mergeCell ref="N3028:N3029"/>
    <mergeCell ref="A2993:A2998"/>
    <mergeCell ref="B2993:B2998"/>
    <mergeCell ref="C2993:C2998"/>
    <mergeCell ref="D2993:D2998"/>
    <mergeCell ref="E2993:E2998"/>
    <mergeCell ref="F2993:F2998"/>
    <mergeCell ref="G2993:G2998"/>
    <mergeCell ref="H2993:H2998"/>
    <mergeCell ref="I2993:I2998"/>
    <mergeCell ref="J2993:J2998"/>
    <mergeCell ref="K2993:K2998"/>
    <mergeCell ref="L2993:L2998"/>
    <mergeCell ref="M2993:M2998"/>
    <mergeCell ref="N2993:N2998"/>
    <mergeCell ref="A2999:A3000"/>
    <mergeCell ref="B2999:B3000"/>
    <mergeCell ref="C2999:C3000"/>
    <mergeCell ref="D2999:D3000"/>
    <mergeCell ref="E2999:E3000"/>
    <mergeCell ref="F2999:F3000"/>
    <mergeCell ref="G2999:G3000"/>
    <mergeCell ref="H2999:H3000"/>
    <mergeCell ref="I2999:I3000"/>
    <mergeCell ref="J2999:J3000"/>
    <mergeCell ref="K2999:K3000"/>
    <mergeCell ref="L2999:L3000"/>
    <mergeCell ref="M2999:M3000"/>
    <mergeCell ref="N2999:N3000"/>
    <mergeCell ref="A3001:A3005"/>
    <mergeCell ref="B3001:B3005"/>
    <mergeCell ref="C3001:C3005"/>
    <mergeCell ref="D3001:D3005"/>
    <mergeCell ref="E3001:E3005"/>
    <mergeCell ref="F3001:F3005"/>
    <mergeCell ref="G3001:G3005"/>
    <mergeCell ref="H3001:H3005"/>
    <mergeCell ref="I3001:I3005"/>
    <mergeCell ref="J3001:J3005"/>
    <mergeCell ref="K3001:K3005"/>
    <mergeCell ref="L3001:L3005"/>
    <mergeCell ref="M3001:M3005"/>
    <mergeCell ref="N3001:N3005"/>
    <mergeCell ref="A2969:A2982"/>
    <mergeCell ref="B2969:B2982"/>
    <mergeCell ref="C2969:C2982"/>
    <mergeCell ref="D2969:D2982"/>
    <mergeCell ref="E2969:E2982"/>
    <mergeCell ref="F2969:F2982"/>
    <mergeCell ref="G2969:G2982"/>
    <mergeCell ref="H2969:H2982"/>
    <mergeCell ref="I2969:I2982"/>
    <mergeCell ref="J2969:J2982"/>
    <mergeCell ref="K2969:K2982"/>
    <mergeCell ref="L2969:L2982"/>
    <mergeCell ref="M2969:M2982"/>
    <mergeCell ref="N2969:N2982"/>
    <mergeCell ref="A2984:A2985"/>
    <mergeCell ref="B2984:B2985"/>
    <mergeCell ref="C2984:C2985"/>
    <mergeCell ref="D2984:D2985"/>
    <mergeCell ref="E2984:E2985"/>
    <mergeCell ref="F2984:F2985"/>
    <mergeCell ref="G2984:G2985"/>
    <mergeCell ref="H2984:H2985"/>
    <mergeCell ref="I2984:I2985"/>
    <mergeCell ref="J2984:J2985"/>
    <mergeCell ref="K2984:K2985"/>
    <mergeCell ref="L2984:L2985"/>
    <mergeCell ref="M2984:M2985"/>
    <mergeCell ref="N2984:N2985"/>
    <mergeCell ref="A2990:A2992"/>
    <mergeCell ref="B2990:B2992"/>
    <mergeCell ref="C2990:C2992"/>
    <mergeCell ref="D2990:D2992"/>
    <mergeCell ref="E2990:E2992"/>
    <mergeCell ref="F2990:F2992"/>
    <mergeCell ref="G2990:G2992"/>
    <mergeCell ref="H2990:H2992"/>
    <mergeCell ref="I2990:I2992"/>
    <mergeCell ref="J2990:J2992"/>
    <mergeCell ref="K2990:K2992"/>
    <mergeCell ref="L2990:L2992"/>
    <mergeCell ref="M2990:M2992"/>
    <mergeCell ref="N2990:N2992"/>
    <mergeCell ref="A2941:A2946"/>
    <mergeCell ref="B2941:B2946"/>
    <mergeCell ref="C2941:C2946"/>
    <mergeCell ref="D2941:D2946"/>
    <mergeCell ref="E2941:E2946"/>
    <mergeCell ref="F2941:F2946"/>
    <mergeCell ref="G2941:G2946"/>
    <mergeCell ref="H2941:H2946"/>
    <mergeCell ref="I2941:I2946"/>
    <mergeCell ref="J2941:J2946"/>
    <mergeCell ref="K2941:K2946"/>
    <mergeCell ref="L2941:L2946"/>
    <mergeCell ref="M2941:M2946"/>
    <mergeCell ref="N2941:N2946"/>
    <mergeCell ref="A2947:A2952"/>
    <mergeCell ref="B2947:B2952"/>
    <mergeCell ref="C2947:C2952"/>
    <mergeCell ref="D2947:D2952"/>
    <mergeCell ref="E2947:E2952"/>
    <mergeCell ref="F2947:F2952"/>
    <mergeCell ref="G2947:G2952"/>
    <mergeCell ref="H2947:H2952"/>
    <mergeCell ref="I2947:I2952"/>
    <mergeCell ref="J2947:J2952"/>
    <mergeCell ref="K2947:K2952"/>
    <mergeCell ref="L2947:L2952"/>
    <mergeCell ref="M2947:M2952"/>
    <mergeCell ref="N2947:N2952"/>
    <mergeCell ref="A2953:A2968"/>
    <mergeCell ref="B2953:B2968"/>
    <mergeCell ref="C2953:C2968"/>
    <mergeCell ref="D2953:D2968"/>
    <mergeCell ref="E2953:E2968"/>
    <mergeCell ref="F2953:F2968"/>
    <mergeCell ref="G2953:G2968"/>
    <mergeCell ref="H2953:H2968"/>
    <mergeCell ref="I2953:I2968"/>
    <mergeCell ref="J2953:J2968"/>
    <mergeCell ref="K2953:K2968"/>
    <mergeCell ref="L2953:L2968"/>
    <mergeCell ref="M2953:M2968"/>
    <mergeCell ref="N2953:N2968"/>
    <mergeCell ref="A2932:A2934"/>
    <mergeCell ref="B2932:B2934"/>
    <mergeCell ref="C2932:C2934"/>
    <mergeCell ref="D2932:D2934"/>
    <mergeCell ref="E2932:E2934"/>
    <mergeCell ref="F2932:F2934"/>
    <mergeCell ref="G2932:G2934"/>
    <mergeCell ref="H2932:H2934"/>
    <mergeCell ref="I2932:I2934"/>
    <mergeCell ref="J2932:J2934"/>
    <mergeCell ref="K2932:K2934"/>
    <mergeCell ref="L2932:L2934"/>
    <mergeCell ref="M2932:M2934"/>
    <mergeCell ref="N2932:N2934"/>
    <mergeCell ref="A2935:A2936"/>
    <mergeCell ref="B2935:B2936"/>
    <mergeCell ref="C2935:C2936"/>
    <mergeCell ref="D2935:D2936"/>
    <mergeCell ref="E2935:E2936"/>
    <mergeCell ref="F2935:F2936"/>
    <mergeCell ref="G2935:G2936"/>
    <mergeCell ref="H2935:H2936"/>
    <mergeCell ref="I2935:I2936"/>
    <mergeCell ref="J2935:J2936"/>
    <mergeCell ref="K2935:K2936"/>
    <mergeCell ref="L2935:L2936"/>
    <mergeCell ref="M2935:M2936"/>
    <mergeCell ref="N2935:N2936"/>
    <mergeCell ref="A2937:A2940"/>
    <mergeCell ref="B2937:B2940"/>
    <mergeCell ref="C2937:C2940"/>
    <mergeCell ref="D2937:D2940"/>
    <mergeCell ref="E2937:E2940"/>
    <mergeCell ref="F2937:F2940"/>
    <mergeCell ref="G2937:G2940"/>
    <mergeCell ref="H2937:H2940"/>
    <mergeCell ref="I2937:I2940"/>
    <mergeCell ref="J2937:J2940"/>
    <mergeCell ref="K2937:K2940"/>
    <mergeCell ref="L2937:L2940"/>
    <mergeCell ref="M2937:M2940"/>
    <mergeCell ref="N2937:N2940"/>
    <mergeCell ref="A2920:A2921"/>
    <mergeCell ref="B2920:B2921"/>
    <mergeCell ref="C2920:C2921"/>
    <mergeCell ref="D2920:D2921"/>
    <mergeCell ref="E2920:E2921"/>
    <mergeCell ref="F2920:F2921"/>
    <mergeCell ref="G2920:G2921"/>
    <mergeCell ref="H2920:H2921"/>
    <mergeCell ref="I2920:I2921"/>
    <mergeCell ref="J2920:J2921"/>
    <mergeCell ref="K2920:K2921"/>
    <mergeCell ref="L2920:L2921"/>
    <mergeCell ref="M2920:M2921"/>
    <mergeCell ref="N2920:N2921"/>
    <mergeCell ref="A2924:A2926"/>
    <mergeCell ref="B2924:B2926"/>
    <mergeCell ref="C2924:C2926"/>
    <mergeCell ref="D2924:D2926"/>
    <mergeCell ref="E2924:E2926"/>
    <mergeCell ref="F2924:F2926"/>
    <mergeCell ref="G2924:G2926"/>
    <mergeCell ref="H2924:H2926"/>
    <mergeCell ref="I2924:I2926"/>
    <mergeCell ref="J2924:J2926"/>
    <mergeCell ref="K2924:K2926"/>
    <mergeCell ref="L2924:L2926"/>
    <mergeCell ref="M2924:M2926"/>
    <mergeCell ref="N2924:N2926"/>
    <mergeCell ref="A2927:A2929"/>
    <mergeCell ref="B2927:B2929"/>
    <mergeCell ref="C2927:C2929"/>
    <mergeCell ref="D2927:D2929"/>
    <mergeCell ref="E2927:E2929"/>
    <mergeCell ref="F2927:F2929"/>
    <mergeCell ref="G2927:G2929"/>
    <mergeCell ref="H2927:H2929"/>
    <mergeCell ref="I2927:I2929"/>
    <mergeCell ref="J2927:J2929"/>
    <mergeCell ref="K2927:K2929"/>
    <mergeCell ref="L2927:L2929"/>
    <mergeCell ref="M2927:M2929"/>
    <mergeCell ref="N2927:N2929"/>
    <mergeCell ref="A2907:A2908"/>
    <mergeCell ref="B2907:B2908"/>
    <mergeCell ref="C2907:C2908"/>
    <mergeCell ref="D2907:D2908"/>
    <mergeCell ref="E2907:E2908"/>
    <mergeCell ref="F2907:F2908"/>
    <mergeCell ref="G2907:G2908"/>
    <mergeCell ref="H2907:H2908"/>
    <mergeCell ref="I2907:I2908"/>
    <mergeCell ref="J2907:J2908"/>
    <mergeCell ref="K2907:K2908"/>
    <mergeCell ref="L2907:L2908"/>
    <mergeCell ref="M2907:M2908"/>
    <mergeCell ref="N2907:N2908"/>
    <mergeCell ref="A2912:A2915"/>
    <mergeCell ref="B2912:B2915"/>
    <mergeCell ref="C2912:C2915"/>
    <mergeCell ref="D2912:D2915"/>
    <mergeCell ref="E2912:E2915"/>
    <mergeCell ref="F2912:F2915"/>
    <mergeCell ref="G2912:G2915"/>
    <mergeCell ref="H2912:H2915"/>
    <mergeCell ref="I2912:I2915"/>
    <mergeCell ref="J2912:J2915"/>
    <mergeCell ref="K2912:K2915"/>
    <mergeCell ref="L2912:L2915"/>
    <mergeCell ref="M2912:M2915"/>
    <mergeCell ref="N2912:N2915"/>
    <mergeCell ref="A2916:A2918"/>
    <mergeCell ref="B2916:B2918"/>
    <mergeCell ref="C2916:C2918"/>
    <mergeCell ref="D2916:D2918"/>
    <mergeCell ref="E2916:E2918"/>
    <mergeCell ref="F2916:F2918"/>
    <mergeCell ref="G2916:G2918"/>
    <mergeCell ref="H2916:H2918"/>
    <mergeCell ref="I2916:I2918"/>
    <mergeCell ref="J2916:J2918"/>
    <mergeCell ref="K2916:K2918"/>
    <mergeCell ref="L2916:L2918"/>
    <mergeCell ref="M2916:M2918"/>
    <mergeCell ref="N2916:N2918"/>
    <mergeCell ref="A2895:A2896"/>
    <mergeCell ref="B2895:B2896"/>
    <mergeCell ref="C2895:C2896"/>
    <mergeCell ref="D2895:D2896"/>
    <mergeCell ref="E2895:E2896"/>
    <mergeCell ref="F2895:F2896"/>
    <mergeCell ref="G2895:G2896"/>
    <mergeCell ref="H2895:H2896"/>
    <mergeCell ref="I2895:I2896"/>
    <mergeCell ref="J2895:J2896"/>
    <mergeCell ref="K2895:K2896"/>
    <mergeCell ref="L2895:L2896"/>
    <mergeCell ref="M2895:M2896"/>
    <mergeCell ref="N2895:N2896"/>
    <mergeCell ref="A2900:A2902"/>
    <mergeCell ref="B2900:B2902"/>
    <mergeCell ref="C2900:C2902"/>
    <mergeCell ref="D2900:D2902"/>
    <mergeCell ref="E2900:E2902"/>
    <mergeCell ref="F2900:F2902"/>
    <mergeCell ref="G2900:G2902"/>
    <mergeCell ref="H2900:H2902"/>
    <mergeCell ref="I2900:I2902"/>
    <mergeCell ref="J2900:J2902"/>
    <mergeCell ref="K2900:K2902"/>
    <mergeCell ref="L2900:L2902"/>
    <mergeCell ref="M2900:M2902"/>
    <mergeCell ref="N2900:N2902"/>
    <mergeCell ref="A2904:A2905"/>
    <mergeCell ref="B2904:B2905"/>
    <mergeCell ref="C2904:C2905"/>
    <mergeCell ref="D2904:D2905"/>
    <mergeCell ref="E2904:E2905"/>
    <mergeCell ref="F2904:F2905"/>
    <mergeCell ref="G2904:G2905"/>
    <mergeCell ref="H2904:H2905"/>
    <mergeCell ref="I2904:I2905"/>
    <mergeCell ref="J2904:J2905"/>
    <mergeCell ref="K2904:K2905"/>
    <mergeCell ref="L2904:L2905"/>
    <mergeCell ref="M2904:M2905"/>
    <mergeCell ref="N2904:N2905"/>
    <mergeCell ref="A2887:A2888"/>
    <mergeCell ref="B2887:B2888"/>
    <mergeCell ref="C2887:C2888"/>
    <mergeCell ref="D2887:D2888"/>
    <mergeCell ref="E2887:E2888"/>
    <mergeCell ref="F2887:F2888"/>
    <mergeCell ref="G2887:G2888"/>
    <mergeCell ref="H2887:H2888"/>
    <mergeCell ref="I2887:I2888"/>
    <mergeCell ref="J2887:J2888"/>
    <mergeCell ref="K2887:K2888"/>
    <mergeCell ref="L2887:L2888"/>
    <mergeCell ref="M2887:M2888"/>
    <mergeCell ref="N2887:N2888"/>
    <mergeCell ref="A2890:A2891"/>
    <mergeCell ref="B2890:B2891"/>
    <mergeCell ref="C2890:C2891"/>
    <mergeCell ref="D2890:D2891"/>
    <mergeCell ref="E2890:E2891"/>
    <mergeCell ref="F2890:F2891"/>
    <mergeCell ref="G2890:G2891"/>
    <mergeCell ref="H2890:H2891"/>
    <mergeCell ref="I2890:I2891"/>
    <mergeCell ref="J2890:J2891"/>
    <mergeCell ref="K2890:K2891"/>
    <mergeCell ref="L2890:L2891"/>
    <mergeCell ref="M2890:M2891"/>
    <mergeCell ref="N2890:N2891"/>
    <mergeCell ref="A2893:A2894"/>
    <mergeCell ref="B2893:B2894"/>
    <mergeCell ref="C2893:C2894"/>
    <mergeCell ref="D2893:D2894"/>
    <mergeCell ref="E2893:E2894"/>
    <mergeCell ref="F2893:F2894"/>
    <mergeCell ref="G2893:G2894"/>
    <mergeCell ref="H2893:H2894"/>
    <mergeCell ref="I2893:I2894"/>
    <mergeCell ref="J2893:J2894"/>
    <mergeCell ref="K2893:K2894"/>
    <mergeCell ref="L2893:L2894"/>
    <mergeCell ref="M2893:M2894"/>
    <mergeCell ref="N2893:N2894"/>
    <mergeCell ref="A2864:A2866"/>
    <mergeCell ref="B2864:B2866"/>
    <mergeCell ref="C2864:C2866"/>
    <mergeCell ref="D2864:D2866"/>
    <mergeCell ref="E2864:E2866"/>
    <mergeCell ref="F2864:F2866"/>
    <mergeCell ref="G2864:G2866"/>
    <mergeCell ref="H2864:H2866"/>
    <mergeCell ref="I2864:I2866"/>
    <mergeCell ref="J2864:J2866"/>
    <mergeCell ref="K2864:K2866"/>
    <mergeCell ref="L2864:L2866"/>
    <mergeCell ref="M2864:M2866"/>
    <mergeCell ref="N2864:N2866"/>
    <mergeCell ref="A2872:A2874"/>
    <mergeCell ref="B2872:B2874"/>
    <mergeCell ref="C2872:C2874"/>
    <mergeCell ref="D2872:D2874"/>
    <mergeCell ref="E2872:E2874"/>
    <mergeCell ref="F2872:F2874"/>
    <mergeCell ref="G2872:G2874"/>
    <mergeCell ref="H2872:H2874"/>
    <mergeCell ref="I2872:I2874"/>
    <mergeCell ref="J2872:J2874"/>
    <mergeCell ref="K2872:K2874"/>
    <mergeCell ref="L2872:L2874"/>
    <mergeCell ref="M2872:M2874"/>
    <mergeCell ref="N2872:N2874"/>
    <mergeCell ref="A2878:A2879"/>
    <mergeCell ref="B2878:B2879"/>
    <mergeCell ref="C2878:C2879"/>
    <mergeCell ref="D2878:D2879"/>
    <mergeCell ref="E2878:E2879"/>
    <mergeCell ref="F2878:F2879"/>
    <mergeCell ref="G2878:G2879"/>
    <mergeCell ref="H2878:H2879"/>
    <mergeCell ref="I2878:I2879"/>
    <mergeCell ref="J2878:J2879"/>
    <mergeCell ref="K2878:K2879"/>
    <mergeCell ref="L2878:L2879"/>
    <mergeCell ref="M2878:M2879"/>
    <mergeCell ref="N2878:N2879"/>
    <mergeCell ref="A2851:A2852"/>
    <mergeCell ref="B2851:B2852"/>
    <mergeCell ref="C2851:C2852"/>
    <mergeCell ref="D2851:D2852"/>
    <mergeCell ref="E2851:E2852"/>
    <mergeCell ref="F2851:F2852"/>
    <mergeCell ref="G2851:G2852"/>
    <mergeCell ref="H2851:H2852"/>
    <mergeCell ref="I2851:I2852"/>
    <mergeCell ref="J2851:J2852"/>
    <mergeCell ref="K2851:K2852"/>
    <mergeCell ref="L2851:L2852"/>
    <mergeCell ref="M2851:M2852"/>
    <mergeCell ref="N2851:N2852"/>
    <mergeCell ref="A2853:A2856"/>
    <mergeCell ref="B2853:B2856"/>
    <mergeCell ref="C2853:C2856"/>
    <mergeCell ref="D2853:D2856"/>
    <mergeCell ref="E2853:E2856"/>
    <mergeCell ref="F2853:F2856"/>
    <mergeCell ref="G2853:G2856"/>
    <mergeCell ref="H2853:H2856"/>
    <mergeCell ref="I2853:I2856"/>
    <mergeCell ref="J2853:J2856"/>
    <mergeCell ref="K2853:K2856"/>
    <mergeCell ref="L2853:L2856"/>
    <mergeCell ref="M2853:M2856"/>
    <mergeCell ref="N2853:N2856"/>
    <mergeCell ref="A2860:A2861"/>
    <mergeCell ref="B2860:B2861"/>
    <mergeCell ref="C2860:C2861"/>
    <mergeCell ref="D2860:D2861"/>
    <mergeCell ref="E2860:E2861"/>
    <mergeCell ref="F2860:F2861"/>
    <mergeCell ref="G2860:G2861"/>
    <mergeCell ref="H2860:H2861"/>
    <mergeCell ref="I2860:I2861"/>
    <mergeCell ref="J2860:J2861"/>
    <mergeCell ref="K2860:K2861"/>
    <mergeCell ref="L2860:L2861"/>
    <mergeCell ref="M2860:M2861"/>
    <mergeCell ref="N2860:N2861"/>
    <mergeCell ref="A2837:A2838"/>
    <mergeCell ref="B2837:B2838"/>
    <mergeCell ref="C2837:C2838"/>
    <mergeCell ref="D2837:D2838"/>
    <mergeCell ref="E2837:E2838"/>
    <mergeCell ref="F2837:F2838"/>
    <mergeCell ref="G2837:G2838"/>
    <mergeCell ref="H2837:H2838"/>
    <mergeCell ref="I2837:I2838"/>
    <mergeCell ref="J2837:J2838"/>
    <mergeCell ref="K2837:K2838"/>
    <mergeCell ref="L2837:L2838"/>
    <mergeCell ref="M2837:M2838"/>
    <mergeCell ref="N2837:N2838"/>
    <mergeCell ref="A2839:A2840"/>
    <mergeCell ref="B2839:B2840"/>
    <mergeCell ref="C2839:C2840"/>
    <mergeCell ref="D2839:D2840"/>
    <mergeCell ref="E2839:E2840"/>
    <mergeCell ref="F2839:F2840"/>
    <mergeCell ref="G2839:G2840"/>
    <mergeCell ref="H2839:H2840"/>
    <mergeCell ref="I2839:I2840"/>
    <mergeCell ref="J2839:J2840"/>
    <mergeCell ref="K2839:K2840"/>
    <mergeCell ref="L2839:L2840"/>
    <mergeCell ref="M2839:M2840"/>
    <mergeCell ref="N2839:N2840"/>
    <mergeCell ref="A2847:A2850"/>
    <mergeCell ref="B2847:B2850"/>
    <mergeCell ref="C2847:C2850"/>
    <mergeCell ref="D2847:D2850"/>
    <mergeCell ref="E2847:E2850"/>
    <mergeCell ref="F2847:F2850"/>
    <mergeCell ref="G2847:G2850"/>
    <mergeCell ref="H2847:H2850"/>
    <mergeCell ref="I2847:I2850"/>
    <mergeCell ref="J2847:J2850"/>
    <mergeCell ref="K2847:K2850"/>
    <mergeCell ref="L2847:L2850"/>
    <mergeCell ref="M2847:M2850"/>
    <mergeCell ref="N2847:N2850"/>
    <mergeCell ref="A2824:A2825"/>
    <mergeCell ref="B2824:B2825"/>
    <mergeCell ref="C2824:C2825"/>
    <mergeCell ref="D2824:D2825"/>
    <mergeCell ref="E2824:E2825"/>
    <mergeCell ref="F2824:F2825"/>
    <mergeCell ref="G2824:G2825"/>
    <mergeCell ref="H2824:H2825"/>
    <mergeCell ref="I2824:I2825"/>
    <mergeCell ref="J2824:J2825"/>
    <mergeCell ref="K2824:K2825"/>
    <mergeCell ref="L2824:L2825"/>
    <mergeCell ref="M2824:M2825"/>
    <mergeCell ref="N2824:N2825"/>
    <mergeCell ref="A2827:A2828"/>
    <mergeCell ref="B2827:B2828"/>
    <mergeCell ref="C2827:C2828"/>
    <mergeCell ref="D2827:D2828"/>
    <mergeCell ref="E2827:E2828"/>
    <mergeCell ref="F2827:F2828"/>
    <mergeCell ref="G2827:G2828"/>
    <mergeCell ref="H2827:H2828"/>
    <mergeCell ref="I2827:I2828"/>
    <mergeCell ref="J2827:J2828"/>
    <mergeCell ref="K2827:K2828"/>
    <mergeCell ref="L2827:L2828"/>
    <mergeCell ref="M2827:M2828"/>
    <mergeCell ref="N2827:N2828"/>
    <mergeCell ref="A2832:A2835"/>
    <mergeCell ref="B2832:B2835"/>
    <mergeCell ref="C2832:C2835"/>
    <mergeCell ref="D2832:D2835"/>
    <mergeCell ref="E2832:E2835"/>
    <mergeCell ref="F2832:F2835"/>
    <mergeCell ref="G2832:G2835"/>
    <mergeCell ref="H2832:H2835"/>
    <mergeCell ref="I2832:I2835"/>
    <mergeCell ref="J2832:J2835"/>
    <mergeCell ref="K2832:K2835"/>
    <mergeCell ref="L2832:L2835"/>
    <mergeCell ref="M2832:M2835"/>
    <mergeCell ref="N2832:N2835"/>
    <mergeCell ref="A2817:A2818"/>
    <mergeCell ref="B2817:B2818"/>
    <mergeCell ref="C2817:C2818"/>
    <mergeCell ref="D2817:D2818"/>
    <mergeCell ref="E2817:E2818"/>
    <mergeCell ref="F2817:F2818"/>
    <mergeCell ref="G2817:G2818"/>
    <mergeCell ref="H2817:H2818"/>
    <mergeCell ref="I2817:I2818"/>
    <mergeCell ref="J2817:J2818"/>
    <mergeCell ref="K2817:K2818"/>
    <mergeCell ref="L2817:L2818"/>
    <mergeCell ref="M2817:M2818"/>
    <mergeCell ref="N2817:N2818"/>
    <mergeCell ref="A2820:A2821"/>
    <mergeCell ref="B2820:B2821"/>
    <mergeCell ref="C2820:C2821"/>
    <mergeCell ref="D2820:D2821"/>
    <mergeCell ref="E2820:E2821"/>
    <mergeCell ref="F2820:F2821"/>
    <mergeCell ref="G2820:G2821"/>
    <mergeCell ref="H2820:H2821"/>
    <mergeCell ref="I2820:I2821"/>
    <mergeCell ref="J2820:J2821"/>
    <mergeCell ref="K2820:K2821"/>
    <mergeCell ref="L2820:L2821"/>
    <mergeCell ref="M2820:M2821"/>
    <mergeCell ref="N2820:N2821"/>
    <mergeCell ref="A2822:A2823"/>
    <mergeCell ref="B2822:B2823"/>
    <mergeCell ref="C2822:C2823"/>
    <mergeCell ref="D2822:D2823"/>
    <mergeCell ref="E2822:E2823"/>
    <mergeCell ref="F2822:F2823"/>
    <mergeCell ref="G2822:G2823"/>
    <mergeCell ref="H2822:H2823"/>
    <mergeCell ref="I2822:I2823"/>
    <mergeCell ref="J2822:J2823"/>
    <mergeCell ref="K2822:K2823"/>
    <mergeCell ref="L2822:L2823"/>
    <mergeCell ref="M2822:M2823"/>
    <mergeCell ref="N2822:N2823"/>
    <mergeCell ref="A2797:A2798"/>
    <mergeCell ref="B2797:B2798"/>
    <mergeCell ref="C2797:C2798"/>
    <mergeCell ref="D2797:D2798"/>
    <mergeCell ref="E2797:E2798"/>
    <mergeCell ref="F2797:F2798"/>
    <mergeCell ref="G2797:G2798"/>
    <mergeCell ref="H2797:H2798"/>
    <mergeCell ref="I2797:I2798"/>
    <mergeCell ref="J2797:J2798"/>
    <mergeCell ref="K2797:K2798"/>
    <mergeCell ref="L2797:L2798"/>
    <mergeCell ref="M2797:M2798"/>
    <mergeCell ref="N2797:N2798"/>
    <mergeCell ref="A2808:A2810"/>
    <mergeCell ref="B2808:B2810"/>
    <mergeCell ref="C2808:C2810"/>
    <mergeCell ref="D2808:D2810"/>
    <mergeCell ref="E2808:E2810"/>
    <mergeCell ref="F2808:F2810"/>
    <mergeCell ref="G2808:G2810"/>
    <mergeCell ref="H2808:H2810"/>
    <mergeCell ref="I2808:I2810"/>
    <mergeCell ref="J2808:J2810"/>
    <mergeCell ref="K2808:K2810"/>
    <mergeCell ref="L2808:L2810"/>
    <mergeCell ref="M2808:M2810"/>
    <mergeCell ref="N2808:N2810"/>
    <mergeCell ref="A2814:A2816"/>
    <mergeCell ref="B2814:B2816"/>
    <mergeCell ref="C2814:C2816"/>
    <mergeCell ref="D2814:D2816"/>
    <mergeCell ref="E2814:E2816"/>
    <mergeCell ref="F2814:F2816"/>
    <mergeCell ref="G2814:G2816"/>
    <mergeCell ref="H2814:H2816"/>
    <mergeCell ref="I2814:I2816"/>
    <mergeCell ref="J2814:J2816"/>
    <mergeCell ref="K2814:K2816"/>
    <mergeCell ref="L2814:L2816"/>
    <mergeCell ref="M2814:M2816"/>
    <mergeCell ref="N2814:N2816"/>
    <mergeCell ref="A2789:A2791"/>
    <mergeCell ref="B2789:B2791"/>
    <mergeCell ref="C2789:C2791"/>
    <mergeCell ref="D2789:D2791"/>
    <mergeCell ref="E2789:E2791"/>
    <mergeCell ref="F2789:F2791"/>
    <mergeCell ref="G2789:G2791"/>
    <mergeCell ref="H2789:H2791"/>
    <mergeCell ref="I2789:I2791"/>
    <mergeCell ref="J2789:J2791"/>
    <mergeCell ref="K2789:K2791"/>
    <mergeCell ref="L2789:L2791"/>
    <mergeCell ref="M2789:M2791"/>
    <mergeCell ref="N2789:N2791"/>
    <mergeCell ref="A2792:A2794"/>
    <mergeCell ref="B2792:B2794"/>
    <mergeCell ref="C2792:C2794"/>
    <mergeCell ref="D2792:D2794"/>
    <mergeCell ref="E2792:E2794"/>
    <mergeCell ref="F2792:F2794"/>
    <mergeCell ref="G2792:G2794"/>
    <mergeCell ref="H2792:H2794"/>
    <mergeCell ref="I2792:I2794"/>
    <mergeCell ref="J2792:J2794"/>
    <mergeCell ref="K2792:K2794"/>
    <mergeCell ref="L2792:L2794"/>
    <mergeCell ref="M2792:M2794"/>
    <mergeCell ref="N2792:N2794"/>
    <mergeCell ref="A2795:A2796"/>
    <mergeCell ref="B2795:B2796"/>
    <mergeCell ref="C2795:C2796"/>
    <mergeCell ref="D2795:D2796"/>
    <mergeCell ref="E2795:E2796"/>
    <mergeCell ref="F2795:F2796"/>
    <mergeCell ref="G2795:G2796"/>
    <mergeCell ref="H2795:H2796"/>
    <mergeCell ref="I2795:I2796"/>
    <mergeCell ref="J2795:J2796"/>
    <mergeCell ref="K2795:K2796"/>
    <mergeCell ref="L2795:L2796"/>
    <mergeCell ref="M2795:M2796"/>
    <mergeCell ref="N2795:N2796"/>
    <mergeCell ref="A2773:A2778"/>
    <mergeCell ref="B2773:B2778"/>
    <mergeCell ref="C2773:C2778"/>
    <mergeCell ref="D2773:D2778"/>
    <mergeCell ref="E2773:E2778"/>
    <mergeCell ref="F2773:F2778"/>
    <mergeCell ref="G2773:G2778"/>
    <mergeCell ref="H2773:H2778"/>
    <mergeCell ref="I2773:I2778"/>
    <mergeCell ref="J2773:J2778"/>
    <mergeCell ref="K2773:K2778"/>
    <mergeCell ref="L2773:L2778"/>
    <mergeCell ref="M2773:M2778"/>
    <mergeCell ref="N2773:N2778"/>
    <mergeCell ref="A2783:A2784"/>
    <mergeCell ref="B2783:B2784"/>
    <mergeCell ref="C2783:C2784"/>
    <mergeCell ref="D2783:D2784"/>
    <mergeCell ref="E2783:E2784"/>
    <mergeCell ref="F2783:F2784"/>
    <mergeCell ref="G2783:G2784"/>
    <mergeCell ref="H2783:H2784"/>
    <mergeCell ref="I2783:I2784"/>
    <mergeCell ref="J2783:J2784"/>
    <mergeCell ref="K2783:K2784"/>
    <mergeCell ref="L2783:L2784"/>
    <mergeCell ref="M2783:M2784"/>
    <mergeCell ref="N2783:N2784"/>
    <mergeCell ref="A2787:A2788"/>
    <mergeCell ref="B2787:B2788"/>
    <mergeCell ref="C2787:C2788"/>
    <mergeCell ref="D2787:D2788"/>
    <mergeCell ref="E2787:E2788"/>
    <mergeCell ref="F2787:F2788"/>
    <mergeCell ref="G2787:G2788"/>
    <mergeCell ref="H2787:H2788"/>
    <mergeCell ref="I2787:I2788"/>
    <mergeCell ref="J2787:J2788"/>
    <mergeCell ref="K2787:K2788"/>
    <mergeCell ref="L2787:L2788"/>
    <mergeCell ref="M2787:M2788"/>
    <mergeCell ref="N2787:N2788"/>
    <mergeCell ref="A2760:A2762"/>
    <mergeCell ref="B2760:B2762"/>
    <mergeCell ref="C2760:C2762"/>
    <mergeCell ref="D2760:D2762"/>
    <mergeCell ref="E2760:E2762"/>
    <mergeCell ref="F2760:F2762"/>
    <mergeCell ref="G2760:G2762"/>
    <mergeCell ref="H2760:H2762"/>
    <mergeCell ref="I2760:I2762"/>
    <mergeCell ref="J2760:J2762"/>
    <mergeCell ref="K2760:K2762"/>
    <mergeCell ref="L2760:L2762"/>
    <mergeCell ref="M2760:M2762"/>
    <mergeCell ref="N2760:N2762"/>
    <mergeCell ref="A2763:A2767"/>
    <mergeCell ref="B2763:B2767"/>
    <mergeCell ref="C2763:C2767"/>
    <mergeCell ref="D2763:D2767"/>
    <mergeCell ref="E2763:E2767"/>
    <mergeCell ref="F2763:F2767"/>
    <mergeCell ref="G2763:G2767"/>
    <mergeCell ref="H2763:H2767"/>
    <mergeCell ref="I2763:I2767"/>
    <mergeCell ref="J2763:J2767"/>
    <mergeCell ref="K2763:K2767"/>
    <mergeCell ref="L2763:L2767"/>
    <mergeCell ref="M2763:M2767"/>
    <mergeCell ref="N2763:N2767"/>
    <mergeCell ref="A2770:A2771"/>
    <mergeCell ref="B2770:B2771"/>
    <mergeCell ref="C2770:C2771"/>
    <mergeCell ref="D2770:D2771"/>
    <mergeCell ref="E2770:E2771"/>
    <mergeCell ref="F2770:F2771"/>
    <mergeCell ref="G2770:G2771"/>
    <mergeCell ref="H2770:H2771"/>
    <mergeCell ref="I2770:I2771"/>
    <mergeCell ref="J2770:J2771"/>
    <mergeCell ref="K2770:K2771"/>
    <mergeCell ref="L2770:L2771"/>
    <mergeCell ref="M2770:M2771"/>
    <mergeCell ref="N2770:N2771"/>
    <mergeCell ref="A2742:A2743"/>
    <mergeCell ref="B2742:B2743"/>
    <mergeCell ref="C2742:C2743"/>
    <mergeCell ref="D2742:D2743"/>
    <mergeCell ref="E2742:E2743"/>
    <mergeCell ref="F2742:F2743"/>
    <mergeCell ref="G2742:G2743"/>
    <mergeCell ref="H2742:H2743"/>
    <mergeCell ref="I2742:I2743"/>
    <mergeCell ref="J2742:J2743"/>
    <mergeCell ref="K2742:K2743"/>
    <mergeCell ref="L2742:L2743"/>
    <mergeCell ref="M2742:M2743"/>
    <mergeCell ref="N2742:N2743"/>
    <mergeCell ref="A2751:A2752"/>
    <mergeCell ref="B2751:B2752"/>
    <mergeCell ref="C2751:C2752"/>
    <mergeCell ref="D2751:D2752"/>
    <mergeCell ref="E2751:E2752"/>
    <mergeCell ref="F2751:F2752"/>
    <mergeCell ref="G2751:G2752"/>
    <mergeCell ref="H2751:H2752"/>
    <mergeCell ref="I2751:I2752"/>
    <mergeCell ref="J2751:J2752"/>
    <mergeCell ref="K2751:K2752"/>
    <mergeCell ref="L2751:L2752"/>
    <mergeCell ref="M2751:M2752"/>
    <mergeCell ref="N2751:N2752"/>
    <mergeCell ref="A2756:A2758"/>
    <mergeCell ref="B2756:B2758"/>
    <mergeCell ref="C2756:C2758"/>
    <mergeCell ref="D2756:D2758"/>
    <mergeCell ref="E2756:E2758"/>
    <mergeCell ref="F2756:F2758"/>
    <mergeCell ref="G2756:G2758"/>
    <mergeCell ref="H2756:H2758"/>
    <mergeCell ref="I2756:I2758"/>
    <mergeCell ref="J2756:J2758"/>
    <mergeCell ref="K2756:K2758"/>
    <mergeCell ref="L2756:L2758"/>
    <mergeCell ref="M2756:M2758"/>
    <mergeCell ref="N2756:N2758"/>
    <mergeCell ref="A2723:A2729"/>
    <mergeCell ref="B2723:B2729"/>
    <mergeCell ref="C2723:C2729"/>
    <mergeCell ref="D2723:D2729"/>
    <mergeCell ref="E2723:E2729"/>
    <mergeCell ref="F2723:F2729"/>
    <mergeCell ref="G2723:G2729"/>
    <mergeCell ref="H2723:H2729"/>
    <mergeCell ref="I2723:I2729"/>
    <mergeCell ref="J2723:J2729"/>
    <mergeCell ref="K2723:K2729"/>
    <mergeCell ref="L2723:L2729"/>
    <mergeCell ref="M2723:M2729"/>
    <mergeCell ref="N2723:N2729"/>
    <mergeCell ref="A2731:A2733"/>
    <mergeCell ref="B2731:B2733"/>
    <mergeCell ref="C2731:C2733"/>
    <mergeCell ref="D2731:D2733"/>
    <mergeCell ref="E2731:E2733"/>
    <mergeCell ref="F2731:F2733"/>
    <mergeCell ref="G2731:G2733"/>
    <mergeCell ref="H2731:H2733"/>
    <mergeCell ref="I2731:I2733"/>
    <mergeCell ref="J2731:J2733"/>
    <mergeCell ref="K2731:K2733"/>
    <mergeCell ref="L2731:L2733"/>
    <mergeCell ref="M2731:M2733"/>
    <mergeCell ref="N2731:N2733"/>
    <mergeCell ref="A2737:A2741"/>
    <mergeCell ref="B2737:B2741"/>
    <mergeCell ref="C2737:C2741"/>
    <mergeCell ref="D2737:D2741"/>
    <mergeCell ref="E2737:E2741"/>
    <mergeCell ref="F2737:F2741"/>
    <mergeCell ref="G2737:G2741"/>
    <mergeCell ref="H2737:H2741"/>
    <mergeCell ref="I2737:I2741"/>
    <mergeCell ref="J2737:J2741"/>
    <mergeCell ref="K2737:K2741"/>
    <mergeCell ref="L2737:L2741"/>
    <mergeCell ref="M2737:M2741"/>
    <mergeCell ref="N2737:N2741"/>
    <mergeCell ref="A2715:A2716"/>
    <mergeCell ref="B2715:B2716"/>
    <mergeCell ref="C2715:C2716"/>
    <mergeCell ref="D2715:D2716"/>
    <mergeCell ref="E2715:E2716"/>
    <mergeCell ref="F2715:F2716"/>
    <mergeCell ref="G2715:G2716"/>
    <mergeCell ref="H2715:H2716"/>
    <mergeCell ref="I2715:I2716"/>
    <mergeCell ref="J2715:J2716"/>
    <mergeCell ref="K2715:K2716"/>
    <mergeCell ref="L2715:L2716"/>
    <mergeCell ref="M2715:M2716"/>
    <mergeCell ref="N2715:N2716"/>
    <mergeCell ref="A2717:A2718"/>
    <mergeCell ref="B2717:B2718"/>
    <mergeCell ref="C2717:C2718"/>
    <mergeCell ref="D2717:D2718"/>
    <mergeCell ref="E2717:E2718"/>
    <mergeCell ref="F2717:F2718"/>
    <mergeCell ref="G2717:G2718"/>
    <mergeCell ref="H2717:H2718"/>
    <mergeCell ref="I2717:I2718"/>
    <mergeCell ref="J2717:J2718"/>
    <mergeCell ref="K2717:K2718"/>
    <mergeCell ref="L2717:L2718"/>
    <mergeCell ref="M2717:M2718"/>
    <mergeCell ref="N2717:N2718"/>
    <mergeCell ref="A2720:A2722"/>
    <mergeCell ref="B2720:B2722"/>
    <mergeCell ref="C2720:C2722"/>
    <mergeCell ref="D2720:D2722"/>
    <mergeCell ref="E2720:E2722"/>
    <mergeCell ref="F2720:F2722"/>
    <mergeCell ref="G2720:G2722"/>
    <mergeCell ref="H2720:H2722"/>
    <mergeCell ref="I2720:I2722"/>
    <mergeCell ref="J2720:J2722"/>
    <mergeCell ref="K2720:K2722"/>
    <mergeCell ref="L2720:L2722"/>
    <mergeCell ref="M2720:M2722"/>
    <mergeCell ref="N2720:N2722"/>
    <mergeCell ref="A2706:A2707"/>
    <mergeCell ref="B2706:B2707"/>
    <mergeCell ref="C2706:C2707"/>
    <mergeCell ref="D2706:D2707"/>
    <mergeCell ref="E2706:E2707"/>
    <mergeCell ref="F2706:F2707"/>
    <mergeCell ref="G2706:G2707"/>
    <mergeCell ref="H2706:H2707"/>
    <mergeCell ref="I2706:I2707"/>
    <mergeCell ref="J2706:J2707"/>
    <mergeCell ref="K2706:K2707"/>
    <mergeCell ref="L2706:L2707"/>
    <mergeCell ref="M2706:M2707"/>
    <mergeCell ref="N2706:N2707"/>
    <mergeCell ref="A2708:A2711"/>
    <mergeCell ref="B2708:B2711"/>
    <mergeCell ref="C2708:C2711"/>
    <mergeCell ref="D2708:D2711"/>
    <mergeCell ref="E2708:E2711"/>
    <mergeCell ref="F2708:F2711"/>
    <mergeCell ref="G2708:G2711"/>
    <mergeCell ref="H2708:H2711"/>
    <mergeCell ref="I2708:I2711"/>
    <mergeCell ref="J2708:J2711"/>
    <mergeCell ref="K2708:K2711"/>
    <mergeCell ref="L2708:L2711"/>
    <mergeCell ref="M2708:M2711"/>
    <mergeCell ref="N2708:N2711"/>
    <mergeCell ref="A2712:A2714"/>
    <mergeCell ref="B2712:B2714"/>
    <mergeCell ref="C2712:C2714"/>
    <mergeCell ref="D2712:D2714"/>
    <mergeCell ref="E2712:E2714"/>
    <mergeCell ref="F2712:F2714"/>
    <mergeCell ref="G2712:G2714"/>
    <mergeCell ref="H2712:H2714"/>
    <mergeCell ref="I2712:I2714"/>
    <mergeCell ref="J2712:J2714"/>
    <mergeCell ref="K2712:K2714"/>
    <mergeCell ref="L2712:L2714"/>
    <mergeCell ref="M2712:M2714"/>
    <mergeCell ref="N2712:N2714"/>
    <mergeCell ref="A2697:A2698"/>
    <mergeCell ref="B2697:B2698"/>
    <mergeCell ref="C2697:C2698"/>
    <mergeCell ref="D2697:D2698"/>
    <mergeCell ref="E2697:E2698"/>
    <mergeCell ref="F2697:F2698"/>
    <mergeCell ref="G2697:G2698"/>
    <mergeCell ref="H2697:H2698"/>
    <mergeCell ref="I2697:I2698"/>
    <mergeCell ref="J2697:J2698"/>
    <mergeCell ref="K2697:K2698"/>
    <mergeCell ref="L2697:L2698"/>
    <mergeCell ref="M2697:M2698"/>
    <mergeCell ref="N2697:N2698"/>
    <mergeCell ref="A2699:A2700"/>
    <mergeCell ref="B2699:B2700"/>
    <mergeCell ref="C2699:C2700"/>
    <mergeCell ref="D2699:D2700"/>
    <mergeCell ref="E2699:E2700"/>
    <mergeCell ref="F2699:F2700"/>
    <mergeCell ref="G2699:G2700"/>
    <mergeCell ref="H2699:H2700"/>
    <mergeCell ref="I2699:I2700"/>
    <mergeCell ref="J2699:J2700"/>
    <mergeCell ref="K2699:K2700"/>
    <mergeCell ref="L2699:L2700"/>
    <mergeCell ref="M2699:M2700"/>
    <mergeCell ref="N2699:N2700"/>
    <mergeCell ref="A2704:A2705"/>
    <mergeCell ref="B2704:B2705"/>
    <mergeCell ref="C2704:C2705"/>
    <mergeCell ref="D2704:D2705"/>
    <mergeCell ref="E2704:E2705"/>
    <mergeCell ref="F2704:F2705"/>
    <mergeCell ref="G2704:G2705"/>
    <mergeCell ref="H2704:H2705"/>
    <mergeCell ref="I2704:I2705"/>
    <mergeCell ref="J2704:J2705"/>
    <mergeCell ref="K2704:K2705"/>
    <mergeCell ref="L2704:L2705"/>
    <mergeCell ref="M2704:M2705"/>
    <mergeCell ref="N2704:N2705"/>
    <mergeCell ref="A2689:A2691"/>
    <mergeCell ref="B2689:B2691"/>
    <mergeCell ref="C2689:C2691"/>
    <mergeCell ref="D2689:D2691"/>
    <mergeCell ref="E2689:E2691"/>
    <mergeCell ref="F2689:F2691"/>
    <mergeCell ref="G2689:G2691"/>
    <mergeCell ref="H2689:H2691"/>
    <mergeCell ref="I2689:I2691"/>
    <mergeCell ref="J2689:J2691"/>
    <mergeCell ref="K2689:K2691"/>
    <mergeCell ref="L2689:L2691"/>
    <mergeCell ref="M2689:M2691"/>
    <mergeCell ref="N2689:N2691"/>
    <mergeCell ref="A2693:A2694"/>
    <mergeCell ref="B2693:B2694"/>
    <mergeCell ref="C2693:C2694"/>
    <mergeCell ref="D2693:D2694"/>
    <mergeCell ref="E2693:E2694"/>
    <mergeCell ref="F2693:F2694"/>
    <mergeCell ref="G2693:G2694"/>
    <mergeCell ref="H2693:H2694"/>
    <mergeCell ref="I2693:I2694"/>
    <mergeCell ref="J2693:J2694"/>
    <mergeCell ref="K2693:K2694"/>
    <mergeCell ref="L2693:L2694"/>
    <mergeCell ref="M2693:M2694"/>
    <mergeCell ref="N2693:N2694"/>
    <mergeCell ref="A2695:A2696"/>
    <mergeCell ref="B2695:B2696"/>
    <mergeCell ref="C2695:C2696"/>
    <mergeCell ref="D2695:D2696"/>
    <mergeCell ref="E2695:E2696"/>
    <mergeCell ref="F2695:F2696"/>
    <mergeCell ref="G2695:G2696"/>
    <mergeCell ref="H2695:H2696"/>
    <mergeCell ref="I2695:I2696"/>
    <mergeCell ref="J2695:J2696"/>
    <mergeCell ref="K2695:K2696"/>
    <mergeCell ref="L2695:L2696"/>
    <mergeCell ref="M2695:M2696"/>
    <mergeCell ref="N2695:N2696"/>
    <mergeCell ref="A2680:A2681"/>
    <mergeCell ref="B2680:B2681"/>
    <mergeCell ref="C2680:C2681"/>
    <mergeCell ref="D2680:D2681"/>
    <mergeCell ref="E2680:E2681"/>
    <mergeCell ref="F2680:F2681"/>
    <mergeCell ref="G2680:G2681"/>
    <mergeCell ref="H2680:H2681"/>
    <mergeCell ref="I2680:I2681"/>
    <mergeCell ref="J2680:J2681"/>
    <mergeCell ref="K2680:K2681"/>
    <mergeCell ref="L2680:L2681"/>
    <mergeCell ref="M2680:M2681"/>
    <mergeCell ref="N2680:N2681"/>
    <mergeCell ref="A2682:A2683"/>
    <mergeCell ref="B2682:B2683"/>
    <mergeCell ref="C2682:C2683"/>
    <mergeCell ref="D2682:D2683"/>
    <mergeCell ref="E2682:E2683"/>
    <mergeCell ref="F2682:F2683"/>
    <mergeCell ref="G2682:G2683"/>
    <mergeCell ref="H2682:H2683"/>
    <mergeCell ref="I2682:I2683"/>
    <mergeCell ref="J2682:J2683"/>
    <mergeCell ref="K2682:K2683"/>
    <mergeCell ref="L2682:L2683"/>
    <mergeCell ref="M2682:M2683"/>
    <mergeCell ref="N2682:N2683"/>
    <mergeCell ref="A2684:A2686"/>
    <mergeCell ref="B2684:B2686"/>
    <mergeCell ref="C2684:C2686"/>
    <mergeCell ref="D2684:D2686"/>
    <mergeCell ref="E2684:E2686"/>
    <mergeCell ref="F2684:F2686"/>
    <mergeCell ref="G2684:G2686"/>
    <mergeCell ref="H2684:H2686"/>
    <mergeCell ref="I2684:I2686"/>
    <mergeCell ref="J2684:J2686"/>
    <mergeCell ref="K2684:K2686"/>
    <mergeCell ref="L2684:L2686"/>
    <mergeCell ref="M2684:M2686"/>
    <mergeCell ref="N2684:N2686"/>
    <mergeCell ref="A2672:A2674"/>
    <mergeCell ref="B2672:B2674"/>
    <mergeCell ref="C2672:C2674"/>
    <mergeCell ref="D2672:D2674"/>
    <mergeCell ref="E2672:E2674"/>
    <mergeCell ref="F2672:F2674"/>
    <mergeCell ref="G2672:G2674"/>
    <mergeCell ref="H2672:H2674"/>
    <mergeCell ref="I2672:I2674"/>
    <mergeCell ref="J2672:J2674"/>
    <mergeCell ref="K2672:K2674"/>
    <mergeCell ref="L2672:L2674"/>
    <mergeCell ref="M2672:M2674"/>
    <mergeCell ref="N2672:N2674"/>
    <mergeCell ref="A2675:A2676"/>
    <mergeCell ref="B2675:B2676"/>
    <mergeCell ref="C2675:C2676"/>
    <mergeCell ref="D2675:D2676"/>
    <mergeCell ref="E2675:E2676"/>
    <mergeCell ref="F2675:F2676"/>
    <mergeCell ref="G2675:G2676"/>
    <mergeCell ref="H2675:H2676"/>
    <mergeCell ref="I2675:I2676"/>
    <mergeCell ref="J2675:J2676"/>
    <mergeCell ref="K2675:K2676"/>
    <mergeCell ref="L2675:L2676"/>
    <mergeCell ref="M2675:M2676"/>
    <mergeCell ref="N2675:N2676"/>
    <mergeCell ref="A2678:A2679"/>
    <mergeCell ref="B2678:B2679"/>
    <mergeCell ref="C2678:C2679"/>
    <mergeCell ref="D2678:D2679"/>
    <mergeCell ref="E2678:E2679"/>
    <mergeCell ref="F2678:F2679"/>
    <mergeCell ref="G2678:G2679"/>
    <mergeCell ref="H2678:H2679"/>
    <mergeCell ref="I2678:I2679"/>
    <mergeCell ref="J2678:J2679"/>
    <mergeCell ref="K2678:K2679"/>
    <mergeCell ref="L2678:L2679"/>
    <mergeCell ref="M2678:M2679"/>
    <mergeCell ref="N2678:N2679"/>
    <mergeCell ref="A2663:A2664"/>
    <mergeCell ref="B2663:B2664"/>
    <mergeCell ref="C2663:C2664"/>
    <mergeCell ref="D2663:D2664"/>
    <mergeCell ref="E2663:E2664"/>
    <mergeCell ref="F2663:F2664"/>
    <mergeCell ref="G2663:G2664"/>
    <mergeCell ref="H2663:H2664"/>
    <mergeCell ref="I2663:I2664"/>
    <mergeCell ref="J2663:J2664"/>
    <mergeCell ref="K2663:K2664"/>
    <mergeCell ref="L2663:L2664"/>
    <mergeCell ref="M2663:M2664"/>
    <mergeCell ref="N2663:N2664"/>
    <mergeCell ref="A2666:A2669"/>
    <mergeCell ref="B2666:B2669"/>
    <mergeCell ref="C2666:C2669"/>
    <mergeCell ref="D2666:D2669"/>
    <mergeCell ref="E2666:E2669"/>
    <mergeCell ref="F2666:F2669"/>
    <mergeCell ref="G2666:G2669"/>
    <mergeCell ref="H2666:H2669"/>
    <mergeCell ref="I2666:I2669"/>
    <mergeCell ref="J2666:J2669"/>
    <mergeCell ref="K2666:K2669"/>
    <mergeCell ref="L2666:L2669"/>
    <mergeCell ref="M2666:M2669"/>
    <mergeCell ref="N2666:N2669"/>
    <mergeCell ref="A2670:A2671"/>
    <mergeCell ref="B2670:B2671"/>
    <mergeCell ref="C2670:C2671"/>
    <mergeCell ref="D2670:D2671"/>
    <mergeCell ref="E2670:E2671"/>
    <mergeCell ref="F2670:F2671"/>
    <mergeCell ref="G2670:G2671"/>
    <mergeCell ref="H2670:H2671"/>
    <mergeCell ref="I2670:I2671"/>
    <mergeCell ref="J2670:J2671"/>
    <mergeCell ref="K2670:K2671"/>
    <mergeCell ref="L2670:L2671"/>
    <mergeCell ref="M2670:M2671"/>
    <mergeCell ref="N2670:N2671"/>
    <mergeCell ref="A2649:A2651"/>
    <mergeCell ref="B2649:B2651"/>
    <mergeCell ref="C2649:C2651"/>
    <mergeCell ref="D2649:D2651"/>
    <mergeCell ref="E2649:E2651"/>
    <mergeCell ref="F2649:F2651"/>
    <mergeCell ref="G2649:G2651"/>
    <mergeCell ref="H2649:H2651"/>
    <mergeCell ref="I2649:I2651"/>
    <mergeCell ref="J2649:J2651"/>
    <mergeCell ref="K2649:K2651"/>
    <mergeCell ref="L2649:L2651"/>
    <mergeCell ref="M2649:M2651"/>
    <mergeCell ref="N2649:N2651"/>
    <mergeCell ref="A2652:A2654"/>
    <mergeCell ref="B2652:B2654"/>
    <mergeCell ref="C2652:C2654"/>
    <mergeCell ref="D2652:D2654"/>
    <mergeCell ref="E2652:E2654"/>
    <mergeCell ref="F2652:F2654"/>
    <mergeCell ref="G2652:G2654"/>
    <mergeCell ref="H2652:H2654"/>
    <mergeCell ref="I2652:I2654"/>
    <mergeCell ref="J2652:J2654"/>
    <mergeCell ref="K2652:K2654"/>
    <mergeCell ref="L2652:L2654"/>
    <mergeCell ref="M2652:M2654"/>
    <mergeCell ref="N2652:N2654"/>
    <mergeCell ref="A2657:A2661"/>
    <mergeCell ref="B2657:B2661"/>
    <mergeCell ref="C2657:C2661"/>
    <mergeCell ref="D2657:D2661"/>
    <mergeCell ref="E2657:E2661"/>
    <mergeCell ref="F2657:F2661"/>
    <mergeCell ref="G2657:G2661"/>
    <mergeCell ref="H2657:H2661"/>
    <mergeCell ref="I2657:I2661"/>
    <mergeCell ref="J2657:J2661"/>
    <mergeCell ref="K2657:K2661"/>
    <mergeCell ref="L2657:L2661"/>
    <mergeCell ref="M2657:M2661"/>
    <mergeCell ref="N2657:N2661"/>
    <mergeCell ref="A2637:A2638"/>
    <mergeCell ref="B2637:B2638"/>
    <mergeCell ref="C2637:C2638"/>
    <mergeCell ref="D2637:D2638"/>
    <mergeCell ref="E2637:E2638"/>
    <mergeCell ref="F2637:F2638"/>
    <mergeCell ref="G2637:G2638"/>
    <mergeCell ref="H2637:H2638"/>
    <mergeCell ref="I2637:I2638"/>
    <mergeCell ref="J2637:J2638"/>
    <mergeCell ref="K2637:K2638"/>
    <mergeCell ref="L2637:L2638"/>
    <mergeCell ref="M2637:M2638"/>
    <mergeCell ref="N2637:N2638"/>
    <mergeCell ref="A2639:A2642"/>
    <mergeCell ref="B2639:B2642"/>
    <mergeCell ref="C2639:C2642"/>
    <mergeCell ref="D2639:D2642"/>
    <mergeCell ref="E2639:E2642"/>
    <mergeCell ref="F2639:F2642"/>
    <mergeCell ref="G2639:G2642"/>
    <mergeCell ref="H2639:H2642"/>
    <mergeCell ref="I2639:I2642"/>
    <mergeCell ref="J2639:J2642"/>
    <mergeCell ref="K2639:K2642"/>
    <mergeCell ref="L2639:L2642"/>
    <mergeCell ref="M2639:M2642"/>
    <mergeCell ref="N2639:N2642"/>
    <mergeCell ref="A2643:A2644"/>
    <mergeCell ref="B2643:B2644"/>
    <mergeCell ref="C2643:C2644"/>
    <mergeCell ref="D2643:D2644"/>
    <mergeCell ref="E2643:E2644"/>
    <mergeCell ref="F2643:F2644"/>
    <mergeCell ref="G2643:G2644"/>
    <mergeCell ref="H2643:H2644"/>
    <mergeCell ref="I2643:I2644"/>
    <mergeCell ref="J2643:J2644"/>
    <mergeCell ref="K2643:K2644"/>
    <mergeCell ref="L2643:L2644"/>
    <mergeCell ref="M2643:M2644"/>
    <mergeCell ref="N2643:N2644"/>
    <mergeCell ref="A2629:A2630"/>
    <mergeCell ref="B2629:B2630"/>
    <mergeCell ref="C2629:C2630"/>
    <mergeCell ref="D2629:D2630"/>
    <mergeCell ref="E2629:E2630"/>
    <mergeCell ref="F2629:F2630"/>
    <mergeCell ref="G2629:G2630"/>
    <mergeCell ref="H2629:H2630"/>
    <mergeCell ref="I2629:I2630"/>
    <mergeCell ref="J2629:J2630"/>
    <mergeCell ref="K2629:K2630"/>
    <mergeCell ref="L2629:L2630"/>
    <mergeCell ref="M2629:M2630"/>
    <mergeCell ref="N2629:N2630"/>
    <mergeCell ref="A2632:A2633"/>
    <mergeCell ref="B2632:B2633"/>
    <mergeCell ref="C2632:C2633"/>
    <mergeCell ref="D2632:D2633"/>
    <mergeCell ref="E2632:E2633"/>
    <mergeCell ref="F2632:F2633"/>
    <mergeCell ref="G2632:G2633"/>
    <mergeCell ref="H2632:H2633"/>
    <mergeCell ref="I2632:I2633"/>
    <mergeCell ref="J2632:J2633"/>
    <mergeCell ref="K2632:K2633"/>
    <mergeCell ref="L2632:L2633"/>
    <mergeCell ref="M2632:M2633"/>
    <mergeCell ref="N2632:N2633"/>
    <mergeCell ref="A2634:A2636"/>
    <mergeCell ref="B2634:B2636"/>
    <mergeCell ref="C2634:C2636"/>
    <mergeCell ref="D2634:D2636"/>
    <mergeCell ref="E2634:E2636"/>
    <mergeCell ref="F2634:F2636"/>
    <mergeCell ref="G2634:G2636"/>
    <mergeCell ref="H2634:H2636"/>
    <mergeCell ref="I2634:I2636"/>
    <mergeCell ref="J2634:J2636"/>
    <mergeCell ref="K2634:K2636"/>
    <mergeCell ref="L2634:L2636"/>
    <mergeCell ref="M2634:M2636"/>
    <mergeCell ref="N2634:N2636"/>
    <mergeCell ref="A2620:A2622"/>
    <mergeCell ref="B2620:B2622"/>
    <mergeCell ref="C2620:C2622"/>
    <mergeCell ref="D2620:D2622"/>
    <mergeCell ref="E2620:E2622"/>
    <mergeCell ref="F2620:F2622"/>
    <mergeCell ref="G2620:G2622"/>
    <mergeCell ref="H2620:H2622"/>
    <mergeCell ref="I2620:I2622"/>
    <mergeCell ref="J2620:J2622"/>
    <mergeCell ref="K2620:K2622"/>
    <mergeCell ref="L2620:L2622"/>
    <mergeCell ref="M2620:M2622"/>
    <mergeCell ref="N2620:N2622"/>
    <mergeCell ref="A2623:A2625"/>
    <mergeCell ref="B2623:B2625"/>
    <mergeCell ref="C2623:C2625"/>
    <mergeCell ref="D2623:D2625"/>
    <mergeCell ref="E2623:E2625"/>
    <mergeCell ref="F2623:F2625"/>
    <mergeCell ref="G2623:G2625"/>
    <mergeCell ref="H2623:H2625"/>
    <mergeCell ref="I2623:I2625"/>
    <mergeCell ref="J2623:J2625"/>
    <mergeCell ref="K2623:K2625"/>
    <mergeCell ref="L2623:L2625"/>
    <mergeCell ref="M2623:M2625"/>
    <mergeCell ref="N2623:N2625"/>
    <mergeCell ref="A2627:A2628"/>
    <mergeCell ref="B2627:B2628"/>
    <mergeCell ref="C2627:C2628"/>
    <mergeCell ref="D2627:D2628"/>
    <mergeCell ref="E2627:E2628"/>
    <mergeCell ref="F2627:F2628"/>
    <mergeCell ref="G2627:G2628"/>
    <mergeCell ref="H2627:H2628"/>
    <mergeCell ref="I2627:I2628"/>
    <mergeCell ref="J2627:J2628"/>
    <mergeCell ref="K2627:K2628"/>
    <mergeCell ref="L2627:L2628"/>
    <mergeCell ref="M2627:M2628"/>
    <mergeCell ref="N2627:N2628"/>
    <mergeCell ref="A2611:A2612"/>
    <mergeCell ref="B2611:B2612"/>
    <mergeCell ref="C2611:C2612"/>
    <mergeCell ref="D2611:D2612"/>
    <mergeCell ref="E2611:E2612"/>
    <mergeCell ref="F2611:F2612"/>
    <mergeCell ref="G2611:G2612"/>
    <mergeCell ref="H2611:H2612"/>
    <mergeCell ref="I2611:I2612"/>
    <mergeCell ref="J2611:J2612"/>
    <mergeCell ref="K2611:K2612"/>
    <mergeCell ref="L2611:L2612"/>
    <mergeCell ref="M2611:M2612"/>
    <mergeCell ref="N2611:N2612"/>
    <mergeCell ref="A2613:A2615"/>
    <mergeCell ref="B2613:B2615"/>
    <mergeCell ref="C2613:C2615"/>
    <mergeCell ref="D2613:D2615"/>
    <mergeCell ref="E2613:E2615"/>
    <mergeCell ref="F2613:F2615"/>
    <mergeCell ref="G2613:G2615"/>
    <mergeCell ref="H2613:H2615"/>
    <mergeCell ref="I2613:I2615"/>
    <mergeCell ref="J2613:J2615"/>
    <mergeCell ref="K2613:K2615"/>
    <mergeCell ref="L2613:L2615"/>
    <mergeCell ref="M2613:M2615"/>
    <mergeCell ref="N2613:N2615"/>
    <mergeCell ref="A2616:A2619"/>
    <mergeCell ref="B2616:B2619"/>
    <mergeCell ref="C2616:C2619"/>
    <mergeCell ref="D2616:D2619"/>
    <mergeCell ref="E2616:E2619"/>
    <mergeCell ref="F2616:F2619"/>
    <mergeCell ref="G2616:G2619"/>
    <mergeCell ref="H2616:H2619"/>
    <mergeCell ref="I2616:I2619"/>
    <mergeCell ref="J2616:J2619"/>
    <mergeCell ref="K2616:K2619"/>
    <mergeCell ref="L2616:L2619"/>
    <mergeCell ref="M2616:M2619"/>
    <mergeCell ref="N2616:N2619"/>
    <mergeCell ref="A2599:A2601"/>
    <mergeCell ref="B2599:B2601"/>
    <mergeCell ref="C2599:C2601"/>
    <mergeCell ref="D2599:D2601"/>
    <mergeCell ref="E2599:E2601"/>
    <mergeCell ref="F2599:F2601"/>
    <mergeCell ref="G2599:G2601"/>
    <mergeCell ref="H2599:H2601"/>
    <mergeCell ref="I2599:I2601"/>
    <mergeCell ref="J2599:J2601"/>
    <mergeCell ref="K2599:K2601"/>
    <mergeCell ref="L2599:L2601"/>
    <mergeCell ref="M2599:M2601"/>
    <mergeCell ref="N2599:N2601"/>
    <mergeCell ref="A2604:A2605"/>
    <mergeCell ref="B2604:B2605"/>
    <mergeCell ref="C2604:C2605"/>
    <mergeCell ref="D2604:D2605"/>
    <mergeCell ref="E2604:E2605"/>
    <mergeCell ref="F2604:F2605"/>
    <mergeCell ref="G2604:G2605"/>
    <mergeCell ref="H2604:H2605"/>
    <mergeCell ref="I2604:I2605"/>
    <mergeCell ref="J2604:J2605"/>
    <mergeCell ref="K2604:K2605"/>
    <mergeCell ref="L2604:L2605"/>
    <mergeCell ref="M2604:M2605"/>
    <mergeCell ref="N2604:N2605"/>
    <mergeCell ref="A2608:A2609"/>
    <mergeCell ref="B2608:B2609"/>
    <mergeCell ref="C2608:C2609"/>
    <mergeCell ref="D2608:D2609"/>
    <mergeCell ref="E2608:E2609"/>
    <mergeCell ref="F2608:F2609"/>
    <mergeCell ref="G2608:G2609"/>
    <mergeCell ref="H2608:H2609"/>
    <mergeCell ref="I2608:I2609"/>
    <mergeCell ref="J2608:J2609"/>
    <mergeCell ref="K2608:K2609"/>
    <mergeCell ref="L2608:L2609"/>
    <mergeCell ref="M2608:M2609"/>
    <mergeCell ref="N2608:N2609"/>
    <mergeCell ref="A2577:A2579"/>
    <mergeCell ref="B2577:B2579"/>
    <mergeCell ref="C2577:C2579"/>
    <mergeCell ref="D2577:D2579"/>
    <mergeCell ref="E2577:E2579"/>
    <mergeCell ref="F2577:F2579"/>
    <mergeCell ref="G2577:G2579"/>
    <mergeCell ref="H2577:H2579"/>
    <mergeCell ref="I2577:I2579"/>
    <mergeCell ref="J2577:J2579"/>
    <mergeCell ref="K2577:K2579"/>
    <mergeCell ref="L2577:L2579"/>
    <mergeCell ref="M2577:M2579"/>
    <mergeCell ref="N2577:N2579"/>
    <mergeCell ref="A2586:A2588"/>
    <mergeCell ref="B2586:B2588"/>
    <mergeCell ref="C2586:C2588"/>
    <mergeCell ref="D2586:D2588"/>
    <mergeCell ref="E2586:E2588"/>
    <mergeCell ref="F2586:F2588"/>
    <mergeCell ref="G2586:G2588"/>
    <mergeCell ref="H2586:H2588"/>
    <mergeCell ref="I2586:I2588"/>
    <mergeCell ref="J2586:J2588"/>
    <mergeCell ref="K2586:K2588"/>
    <mergeCell ref="L2586:L2588"/>
    <mergeCell ref="M2586:M2588"/>
    <mergeCell ref="N2586:N2588"/>
    <mergeCell ref="A2590:A2597"/>
    <mergeCell ref="B2590:B2597"/>
    <mergeCell ref="C2590:C2597"/>
    <mergeCell ref="D2590:D2597"/>
    <mergeCell ref="E2590:E2597"/>
    <mergeCell ref="F2590:F2597"/>
    <mergeCell ref="G2590:G2597"/>
    <mergeCell ref="H2590:H2597"/>
    <mergeCell ref="I2590:I2597"/>
    <mergeCell ref="J2590:J2597"/>
    <mergeCell ref="K2590:K2597"/>
    <mergeCell ref="L2590:L2597"/>
    <mergeCell ref="M2590:M2597"/>
    <mergeCell ref="N2590:N2597"/>
    <mergeCell ref="A2569:A2570"/>
    <mergeCell ref="B2569:B2570"/>
    <mergeCell ref="C2569:C2570"/>
    <mergeCell ref="D2569:D2570"/>
    <mergeCell ref="E2569:E2570"/>
    <mergeCell ref="F2569:F2570"/>
    <mergeCell ref="G2569:G2570"/>
    <mergeCell ref="H2569:H2570"/>
    <mergeCell ref="I2569:I2570"/>
    <mergeCell ref="J2569:J2570"/>
    <mergeCell ref="K2569:K2570"/>
    <mergeCell ref="L2569:L2570"/>
    <mergeCell ref="M2569:M2570"/>
    <mergeCell ref="N2569:N2570"/>
    <mergeCell ref="A2571:A2573"/>
    <mergeCell ref="B2571:B2573"/>
    <mergeCell ref="C2571:C2573"/>
    <mergeCell ref="D2571:D2573"/>
    <mergeCell ref="E2571:E2573"/>
    <mergeCell ref="F2571:F2573"/>
    <mergeCell ref="G2571:G2573"/>
    <mergeCell ref="H2571:H2573"/>
    <mergeCell ref="I2571:I2573"/>
    <mergeCell ref="J2571:J2573"/>
    <mergeCell ref="K2571:K2573"/>
    <mergeCell ref="L2571:L2573"/>
    <mergeCell ref="M2571:M2573"/>
    <mergeCell ref="N2571:N2573"/>
    <mergeCell ref="A2574:A2575"/>
    <mergeCell ref="B2574:B2575"/>
    <mergeCell ref="C2574:C2575"/>
    <mergeCell ref="D2574:D2575"/>
    <mergeCell ref="E2574:E2575"/>
    <mergeCell ref="F2574:F2575"/>
    <mergeCell ref="G2574:G2575"/>
    <mergeCell ref="H2574:H2575"/>
    <mergeCell ref="I2574:I2575"/>
    <mergeCell ref="J2574:J2575"/>
    <mergeCell ref="K2574:K2575"/>
    <mergeCell ref="L2574:L2575"/>
    <mergeCell ref="M2574:M2575"/>
    <mergeCell ref="N2574:N2575"/>
    <mergeCell ref="A2553:A2556"/>
    <mergeCell ref="B2553:B2556"/>
    <mergeCell ref="C2553:C2556"/>
    <mergeCell ref="D2553:D2556"/>
    <mergeCell ref="E2553:E2556"/>
    <mergeCell ref="F2553:F2556"/>
    <mergeCell ref="G2553:G2556"/>
    <mergeCell ref="H2553:H2556"/>
    <mergeCell ref="I2553:I2556"/>
    <mergeCell ref="J2553:J2556"/>
    <mergeCell ref="K2553:K2556"/>
    <mergeCell ref="L2553:L2556"/>
    <mergeCell ref="M2553:M2556"/>
    <mergeCell ref="N2553:N2556"/>
    <mergeCell ref="A2557:A2562"/>
    <mergeCell ref="B2557:B2562"/>
    <mergeCell ref="C2557:C2562"/>
    <mergeCell ref="D2557:D2562"/>
    <mergeCell ref="E2557:E2562"/>
    <mergeCell ref="F2557:F2562"/>
    <mergeCell ref="G2557:G2562"/>
    <mergeCell ref="H2557:H2562"/>
    <mergeCell ref="I2557:I2562"/>
    <mergeCell ref="J2557:J2562"/>
    <mergeCell ref="K2557:K2562"/>
    <mergeCell ref="L2557:L2562"/>
    <mergeCell ref="M2557:M2562"/>
    <mergeCell ref="N2557:N2562"/>
    <mergeCell ref="A2563:A2566"/>
    <mergeCell ref="B2563:B2566"/>
    <mergeCell ref="C2563:C2566"/>
    <mergeCell ref="D2563:D2566"/>
    <mergeCell ref="E2563:E2566"/>
    <mergeCell ref="F2563:F2566"/>
    <mergeCell ref="G2563:G2566"/>
    <mergeCell ref="H2563:H2566"/>
    <mergeCell ref="I2563:I2566"/>
    <mergeCell ref="J2563:J2566"/>
    <mergeCell ref="K2563:K2566"/>
    <mergeCell ref="L2563:L2566"/>
    <mergeCell ref="M2563:M2566"/>
    <mergeCell ref="N2563:N2566"/>
    <mergeCell ref="A2544:A2546"/>
    <mergeCell ref="B2544:B2546"/>
    <mergeCell ref="C2544:C2546"/>
    <mergeCell ref="D2544:D2546"/>
    <mergeCell ref="E2544:E2546"/>
    <mergeCell ref="F2544:F2546"/>
    <mergeCell ref="G2544:G2546"/>
    <mergeCell ref="H2544:H2546"/>
    <mergeCell ref="I2544:I2546"/>
    <mergeCell ref="J2544:J2546"/>
    <mergeCell ref="K2544:K2546"/>
    <mergeCell ref="L2544:L2546"/>
    <mergeCell ref="M2544:M2546"/>
    <mergeCell ref="N2544:N2546"/>
    <mergeCell ref="A2547:A2548"/>
    <mergeCell ref="B2547:B2548"/>
    <mergeCell ref="C2547:C2548"/>
    <mergeCell ref="D2547:D2548"/>
    <mergeCell ref="E2547:E2548"/>
    <mergeCell ref="F2547:F2548"/>
    <mergeCell ref="G2547:G2548"/>
    <mergeCell ref="H2547:H2548"/>
    <mergeCell ref="I2547:I2548"/>
    <mergeCell ref="J2547:J2548"/>
    <mergeCell ref="K2547:K2548"/>
    <mergeCell ref="L2547:L2548"/>
    <mergeCell ref="M2547:M2548"/>
    <mergeCell ref="N2547:N2548"/>
    <mergeCell ref="A2550:A2552"/>
    <mergeCell ref="B2550:B2552"/>
    <mergeCell ref="C2550:C2552"/>
    <mergeCell ref="D2550:D2552"/>
    <mergeCell ref="E2550:E2552"/>
    <mergeCell ref="F2550:F2552"/>
    <mergeCell ref="G2550:G2552"/>
    <mergeCell ref="H2550:H2552"/>
    <mergeCell ref="I2550:I2552"/>
    <mergeCell ref="J2550:J2552"/>
    <mergeCell ref="K2550:K2552"/>
    <mergeCell ref="L2550:L2552"/>
    <mergeCell ref="M2550:M2552"/>
    <mergeCell ref="N2550:N2552"/>
    <mergeCell ref="A2532:A2533"/>
    <mergeCell ref="B2532:B2533"/>
    <mergeCell ref="C2532:C2533"/>
    <mergeCell ref="D2532:D2533"/>
    <mergeCell ref="E2532:E2533"/>
    <mergeCell ref="F2532:F2533"/>
    <mergeCell ref="G2532:G2533"/>
    <mergeCell ref="H2532:H2533"/>
    <mergeCell ref="I2532:I2533"/>
    <mergeCell ref="J2532:J2533"/>
    <mergeCell ref="K2532:K2533"/>
    <mergeCell ref="L2532:L2533"/>
    <mergeCell ref="M2532:M2533"/>
    <mergeCell ref="N2532:N2533"/>
    <mergeCell ref="A2534:A2535"/>
    <mergeCell ref="B2534:B2535"/>
    <mergeCell ref="C2534:C2535"/>
    <mergeCell ref="D2534:D2535"/>
    <mergeCell ref="E2534:E2535"/>
    <mergeCell ref="F2534:F2535"/>
    <mergeCell ref="G2534:G2535"/>
    <mergeCell ref="H2534:H2535"/>
    <mergeCell ref="I2534:I2535"/>
    <mergeCell ref="J2534:J2535"/>
    <mergeCell ref="K2534:K2535"/>
    <mergeCell ref="L2534:L2535"/>
    <mergeCell ref="M2534:M2535"/>
    <mergeCell ref="N2534:N2535"/>
    <mergeCell ref="A2536:A2537"/>
    <mergeCell ref="B2536:B2537"/>
    <mergeCell ref="C2536:C2537"/>
    <mergeCell ref="D2536:D2537"/>
    <mergeCell ref="E2536:E2537"/>
    <mergeCell ref="F2536:F2537"/>
    <mergeCell ref="G2536:G2537"/>
    <mergeCell ref="H2536:H2537"/>
    <mergeCell ref="I2536:I2537"/>
    <mergeCell ref="J2536:J2537"/>
    <mergeCell ref="K2536:K2537"/>
    <mergeCell ref="L2536:L2537"/>
    <mergeCell ref="M2536:M2537"/>
    <mergeCell ref="N2536:N2537"/>
    <mergeCell ref="A2520:A2522"/>
    <mergeCell ref="B2520:B2522"/>
    <mergeCell ref="C2520:C2522"/>
    <mergeCell ref="D2520:D2522"/>
    <mergeCell ref="E2520:E2522"/>
    <mergeCell ref="F2520:F2522"/>
    <mergeCell ref="G2520:G2522"/>
    <mergeCell ref="H2520:H2522"/>
    <mergeCell ref="I2520:I2522"/>
    <mergeCell ref="J2520:J2522"/>
    <mergeCell ref="K2520:K2522"/>
    <mergeCell ref="L2520:L2522"/>
    <mergeCell ref="M2520:M2522"/>
    <mergeCell ref="N2520:N2522"/>
    <mergeCell ref="A2526:A2528"/>
    <mergeCell ref="B2526:B2528"/>
    <mergeCell ref="C2526:C2528"/>
    <mergeCell ref="D2526:D2528"/>
    <mergeCell ref="E2526:E2528"/>
    <mergeCell ref="F2526:F2528"/>
    <mergeCell ref="G2526:G2528"/>
    <mergeCell ref="H2526:H2528"/>
    <mergeCell ref="I2526:I2528"/>
    <mergeCell ref="J2526:J2528"/>
    <mergeCell ref="K2526:K2528"/>
    <mergeCell ref="L2526:L2528"/>
    <mergeCell ref="M2526:M2528"/>
    <mergeCell ref="N2526:N2528"/>
    <mergeCell ref="A2529:A2531"/>
    <mergeCell ref="B2529:B2531"/>
    <mergeCell ref="C2529:C2531"/>
    <mergeCell ref="D2529:D2531"/>
    <mergeCell ref="E2529:E2531"/>
    <mergeCell ref="F2529:F2531"/>
    <mergeCell ref="G2529:G2531"/>
    <mergeCell ref="H2529:H2531"/>
    <mergeCell ref="I2529:I2531"/>
    <mergeCell ref="J2529:J2531"/>
    <mergeCell ref="K2529:K2531"/>
    <mergeCell ref="L2529:L2531"/>
    <mergeCell ref="M2529:M2531"/>
    <mergeCell ref="N2529:N2531"/>
    <mergeCell ref="A2501:A2503"/>
    <mergeCell ref="B2501:B2503"/>
    <mergeCell ref="C2501:C2503"/>
    <mergeCell ref="D2501:D2503"/>
    <mergeCell ref="E2501:E2503"/>
    <mergeCell ref="F2501:F2503"/>
    <mergeCell ref="G2501:G2503"/>
    <mergeCell ref="H2501:H2503"/>
    <mergeCell ref="I2501:I2503"/>
    <mergeCell ref="J2501:J2503"/>
    <mergeCell ref="K2501:K2503"/>
    <mergeCell ref="L2501:L2503"/>
    <mergeCell ref="M2501:M2503"/>
    <mergeCell ref="N2501:N2503"/>
    <mergeCell ref="A2509:A2510"/>
    <mergeCell ref="B2509:B2510"/>
    <mergeCell ref="C2509:C2510"/>
    <mergeCell ref="D2509:D2510"/>
    <mergeCell ref="E2509:E2510"/>
    <mergeCell ref="F2509:F2510"/>
    <mergeCell ref="G2509:G2510"/>
    <mergeCell ref="H2509:H2510"/>
    <mergeCell ref="I2509:I2510"/>
    <mergeCell ref="J2509:J2510"/>
    <mergeCell ref="K2509:K2510"/>
    <mergeCell ref="L2509:L2510"/>
    <mergeCell ref="M2509:M2510"/>
    <mergeCell ref="N2509:N2510"/>
    <mergeCell ref="A2514:A2516"/>
    <mergeCell ref="B2514:B2516"/>
    <mergeCell ref="C2514:C2516"/>
    <mergeCell ref="D2514:D2516"/>
    <mergeCell ref="E2514:E2516"/>
    <mergeCell ref="F2514:F2516"/>
    <mergeCell ref="G2514:G2516"/>
    <mergeCell ref="H2514:H2516"/>
    <mergeCell ref="I2514:I2516"/>
    <mergeCell ref="J2514:J2516"/>
    <mergeCell ref="K2514:K2516"/>
    <mergeCell ref="L2514:L2516"/>
    <mergeCell ref="M2514:M2516"/>
    <mergeCell ref="N2514:N2516"/>
    <mergeCell ref="A2488:A2489"/>
    <mergeCell ref="B2488:B2489"/>
    <mergeCell ref="C2488:C2489"/>
    <mergeCell ref="D2488:D2489"/>
    <mergeCell ref="E2488:E2489"/>
    <mergeCell ref="F2488:F2489"/>
    <mergeCell ref="G2488:G2489"/>
    <mergeCell ref="H2488:H2489"/>
    <mergeCell ref="I2488:I2489"/>
    <mergeCell ref="J2488:J2489"/>
    <mergeCell ref="K2488:K2489"/>
    <mergeCell ref="L2488:L2489"/>
    <mergeCell ref="M2488:M2489"/>
    <mergeCell ref="N2488:N2489"/>
    <mergeCell ref="A2491:A2492"/>
    <mergeCell ref="B2491:B2492"/>
    <mergeCell ref="C2491:C2492"/>
    <mergeCell ref="D2491:D2492"/>
    <mergeCell ref="E2491:E2492"/>
    <mergeCell ref="F2491:F2492"/>
    <mergeCell ref="G2491:G2492"/>
    <mergeCell ref="H2491:H2492"/>
    <mergeCell ref="I2491:I2492"/>
    <mergeCell ref="J2491:J2492"/>
    <mergeCell ref="K2491:K2492"/>
    <mergeCell ref="L2491:L2492"/>
    <mergeCell ref="M2491:M2492"/>
    <mergeCell ref="N2491:N2492"/>
    <mergeCell ref="A2493:A2497"/>
    <mergeCell ref="B2493:B2497"/>
    <mergeCell ref="C2493:C2497"/>
    <mergeCell ref="D2493:D2497"/>
    <mergeCell ref="E2493:E2497"/>
    <mergeCell ref="F2493:F2497"/>
    <mergeCell ref="G2493:G2497"/>
    <mergeCell ref="H2493:H2497"/>
    <mergeCell ref="I2493:I2497"/>
    <mergeCell ref="J2493:J2497"/>
    <mergeCell ref="K2493:K2497"/>
    <mergeCell ref="L2493:L2497"/>
    <mergeCell ref="M2493:M2497"/>
    <mergeCell ref="N2493:N2497"/>
    <mergeCell ref="A2473:A2474"/>
    <mergeCell ref="B2473:B2474"/>
    <mergeCell ref="C2473:C2474"/>
    <mergeCell ref="D2473:D2474"/>
    <mergeCell ref="E2473:E2474"/>
    <mergeCell ref="F2473:F2474"/>
    <mergeCell ref="G2473:G2474"/>
    <mergeCell ref="H2473:H2474"/>
    <mergeCell ref="I2473:I2474"/>
    <mergeCell ref="J2473:J2474"/>
    <mergeCell ref="K2473:K2474"/>
    <mergeCell ref="L2473:L2474"/>
    <mergeCell ref="M2473:M2474"/>
    <mergeCell ref="N2473:N2474"/>
    <mergeCell ref="A2476:A2477"/>
    <mergeCell ref="B2476:B2477"/>
    <mergeCell ref="C2476:C2477"/>
    <mergeCell ref="D2476:D2477"/>
    <mergeCell ref="E2476:E2477"/>
    <mergeCell ref="F2476:F2477"/>
    <mergeCell ref="G2476:G2477"/>
    <mergeCell ref="H2476:H2477"/>
    <mergeCell ref="I2476:I2477"/>
    <mergeCell ref="J2476:J2477"/>
    <mergeCell ref="K2476:K2477"/>
    <mergeCell ref="L2476:L2477"/>
    <mergeCell ref="M2476:M2477"/>
    <mergeCell ref="N2476:N2477"/>
    <mergeCell ref="A2478:A2482"/>
    <mergeCell ref="B2478:B2482"/>
    <mergeCell ref="C2478:C2482"/>
    <mergeCell ref="D2478:D2482"/>
    <mergeCell ref="E2478:E2482"/>
    <mergeCell ref="F2478:F2482"/>
    <mergeCell ref="G2478:G2482"/>
    <mergeCell ref="H2478:H2482"/>
    <mergeCell ref="I2478:I2482"/>
    <mergeCell ref="J2478:J2482"/>
    <mergeCell ref="K2478:K2482"/>
    <mergeCell ref="L2478:L2482"/>
    <mergeCell ref="M2478:M2482"/>
    <mergeCell ref="N2478:N2482"/>
    <mergeCell ref="A2457:A2459"/>
    <mergeCell ref="B2457:B2459"/>
    <mergeCell ref="C2457:C2459"/>
    <mergeCell ref="D2457:D2459"/>
    <mergeCell ref="E2457:E2459"/>
    <mergeCell ref="F2457:F2459"/>
    <mergeCell ref="G2457:G2459"/>
    <mergeCell ref="H2457:H2459"/>
    <mergeCell ref="I2457:I2459"/>
    <mergeCell ref="J2457:J2459"/>
    <mergeCell ref="K2457:K2459"/>
    <mergeCell ref="L2457:L2459"/>
    <mergeCell ref="M2457:M2459"/>
    <mergeCell ref="N2457:N2459"/>
    <mergeCell ref="A2462:A2463"/>
    <mergeCell ref="B2462:B2463"/>
    <mergeCell ref="C2462:C2463"/>
    <mergeCell ref="D2462:D2463"/>
    <mergeCell ref="E2462:E2463"/>
    <mergeCell ref="F2462:F2463"/>
    <mergeCell ref="G2462:G2463"/>
    <mergeCell ref="H2462:H2463"/>
    <mergeCell ref="I2462:I2463"/>
    <mergeCell ref="J2462:J2463"/>
    <mergeCell ref="K2462:K2463"/>
    <mergeCell ref="L2462:L2463"/>
    <mergeCell ref="M2462:M2463"/>
    <mergeCell ref="N2462:N2463"/>
    <mergeCell ref="A2464:A2472"/>
    <mergeCell ref="B2464:B2472"/>
    <mergeCell ref="C2464:C2472"/>
    <mergeCell ref="D2464:D2472"/>
    <mergeCell ref="E2464:E2472"/>
    <mergeCell ref="F2464:F2472"/>
    <mergeCell ref="G2464:G2472"/>
    <mergeCell ref="H2464:H2472"/>
    <mergeCell ref="I2464:I2472"/>
    <mergeCell ref="J2464:J2472"/>
    <mergeCell ref="K2464:K2472"/>
    <mergeCell ref="L2464:L2472"/>
    <mergeCell ref="M2464:M2472"/>
    <mergeCell ref="N2464:N2472"/>
    <mergeCell ref="A2447:A2448"/>
    <mergeCell ref="B2447:B2448"/>
    <mergeCell ref="C2447:C2448"/>
    <mergeCell ref="D2447:D2448"/>
    <mergeCell ref="E2447:E2448"/>
    <mergeCell ref="F2447:F2448"/>
    <mergeCell ref="G2447:G2448"/>
    <mergeCell ref="H2447:H2448"/>
    <mergeCell ref="I2447:I2448"/>
    <mergeCell ref="J2447:J2448"/>
    <mergeCell ref="K2447:K2448"/>
    <mergeCell ref="L2447:L2448"/>
    <mergeCell ref="M2447:M2448"/>
    <mergeCell ref="N2447:N2448"/>
    <mergeCell ref="A2450:A2451"/>
    <mergeCell ref="B2450:B2451"/>
    <mergeCell ref="C2450:C2451"/>
    <mergeCell ref="D2450:D2451"/>
    <mergeCell ref="E2450:E2451"/>
    <mergeCell ref="F2450:F2451"/>
    <mergeCell ref="G2450:G2451"/>
    <mergeCell ref="H2450:H2451"/>
    <mergeCell ref="I2450:I2451"/>
    <mergeCell ref="J2450:J2451"/>
    <mergeCell ref="K2450:K2451"/>
    <mergeCell ref="L2450:L2451"/>
    <mergeCell ref="M2450:M2451"/>
    <mergeCell ref="N2450:N2451"/>
    <mergeCell ref="A2452:A2456"/>
    <mergeCell ref="B2452:B2456"/>
    <mergeCell ref="C2452:C2456"/>
    <mergeCell ref="D2452:D2456"/>
    <mergeCell ref="E2452:E2456"/>
    <mergeCell ref="F2452:F2456"/>
    <mergeCell ref="G2452:G2456"/>
    <mergeCell ref="H2452:H2456"/>
    <mergeCell ref="I2452:I2456"/>
    <mergeCell ref="J2452:J2456"/>
    <mergeCell ref="K2452:K2456"/>
    <mergeCell ref="L2452:L2456"/>
    <mergeCell ref="M2452:M2456"/>
    <mergeCell ref="N2452:N2456"/>
    <mergeCell ref="A2438:A2439"/>
    <mergeCell ref="B2438:B2439"/>
    <mergeCell ref="C2438:C2439"/>
    <mergeCell ref="D2438:D2439"/>
    <mergeCell ref="E2438:E2439"/>
    <mergeCell ref="F2438:F2439"/>
    <mergeCell ref="G2438:G2439"/>
    <mergeCell ref="H2438:H2439"/>
    <mergeCell ref="I2438:I2439"/>
    <mergeCell ref="J2438:J2439"/>
    <mergeCell ref="K2438:K2439"/>
    <mergeCell ref="L2438:L2439"/>
    <mergeCell ref="M2438:M2439"/>
    <mergeCell ref="N2438:N2439"/>
    <mergeCell ref="A2441:A2442"/>
    <mergeCell ref="B2441:B2442"/>
    <mergeCell ref="C2441:C2442"/>
    <mergeCell ref="D2441:D2442"/>
    <mergeCell ref="E2441:E2442"/>
    <mergeCell ref="F2441:F2442"/>
    <mergeCell ref="G2441:G2442"/>
    <mergeCell ref="H2441:H2442"/>
    <mergeCell ref="I2441:I2442"/>
    <mergeCell ref="J2441:J2442"/>
    <mergeCell ref="K2441:K2442"/>
    <mergeCell ref="L2441:L2442"/>
    <mergeCell ref="M2441:M2442"/>
    <mergeCell ref="N2441:N2442"/>
    <mergeCell ref="A2443:A2446"/>
    <mergeCell ref="B2443:B2446"/>
    <mergeCell ref="C2443:C2446"/>
    <mergeCell ref="D2443:D2446"/>
    <mergeCell ref="E2443:E2446"/>
    <mergeCell ref="F2443:F2446"/>
    <mergeCell ref="G2443:G2446"/>
    <mergeCell ref="H2443:H2446"/>
    <mergeCell ref="I2443:I2446"/>
    <mergeCell ref="J2443:J2446"/>
    <mergeCell ref="K2443:K2446"/>
    <mergeCell ref="L2443:L2446"/>
    <mergeCell ref="M2443:M2446"/>
    <mergeCell ref="N2443:N2446"/>
    <mergeCell ref="A2429:A2430"/>
    <mergeCell ref="B2429:B2430"/>
    <mergeCell ref="C2429:C2430"/>
    <mergeCell ref="D2429:D2430"/>
    <mergeCell ref="E2429:E2430"/>
    <mergeCell ref="F2429:F2430"/>
    <mergeCell ref="G2429:G2430"/>
    <mergeCell ref="H2429:H2430"/>
    <mergeCell ref="I2429:I2430"/>
    <mergeCell ref="J2429:J2430"/>
    <mergeCell ref="K2429:K2430"/>
    <mergeCell ref="L2429:L2430"/>
    <mergeCell ref="M2429:M2430"/>
    <mergeCell ref="N2429:N2430"/>
    <mergeCell ref="A2431:A2432"/>
    <mergeCell ref="B2431:B2432"/>
    <mergeCell ref="C2431:C2432"/>
    <mergeCell ref="D2431:D2432"/>
    <mergeCell ref="E2431:E2432"/>
    <mergeCell ref="F2431:F2432"/>
    <mergeCell ref="G2431:G2432"/>
    <mergeCell ref="H2431:H2432"/>
    <mergeCell ref="I2431:I2432"/>
    <mergeCell ref="J2431:J2432"/>
    <mergeCell ref="K2431:K2432"/>
    <mergeCell ref="L2431:L2432"/>
    <mergeCell ref="M2431:M2432"/>
    <mergeCell ref="N2431:N2432"/>
    <mergeCell ref="A2435:A2436"/>
    <mergeCell ref="B2435:B2436"/>
    <mergeCell ref="C2435:C2436"/>
    <mergeCell ref="D2435:D2436"/>
    <mergeCell ref="E2435:E2436"/>
    <mergeCell ref="F2435:F2436"/>
    <mergeCell ref="G2435:G2436"/>
    <mergeCell ref="H2435:H2436"/>
    <mergeCell ref="I2435:I2436"/>
    <mergeCell ref="J2435:J2436"/>
    <mergeCell ref="K2435:K2436"/>
    <mergeCell ref="L2435:L2436"/>
    <mergeCell ref="M2435:M2436"/>
    <mergeCell ref="N2435:N2436"/>
    <mergeCell ref="A2414:A2415"/>
    <mergeCell ref="B2414:B2415"/>
    <mergeCell ref="C2414:C2415"/>
    <mergeCell ref="D2414:D2415"/>
    <mergeCell ref="E2414:E2415"/>
    <mergeCell ref="F2414:F2415"/>
    <mergeCell ref="G2414:G2415"/>
    <mergeCell ref="H2414:H2415"/>
    <mergeCell ref="I2414:I2415"/>
    <mergeCell ref="J2414:J2415"/>
    <mergeCell ref="K2414:K2415"/>
    <mergeCell ref="L2414:L2415"/>
    <mergeCell ref="M2414:M2415"/>
    <mergeCell ref="N2414:N2415"/>
    <mergeCell ref="A2422:A2423"/>
    <mergeCell ref="B2422:B2423"/>
    <mergeCell ref="C2422:C2423"/>
    <mergeCell ref="D2422:D2423"/>
    <mergeCell ref="E2422:E2423"/>
    <mergeCell ref="F2422:F2423"/>
    <mergeCell ref="G2422:G2423"/>
    <mergeCell ref="H2422:H2423"/>
    <mergeCell ref="I2422:I2423"/>
    <mergeCell ref="J2422:J2423"/>
    <mergeCell ref="K2422:K2423"/>
    <mergeCell ref="L2422:L2423"/>
    <mergeCell ref="M2422:M2423"/>
    <mergeCell ref="N2422:N2423"/>
    <mergeCell ref="A2424:A2425"/>
    <mergeCell ref="B2424:B2425"/>
    <mergeCell ref="C2424:C2425"/>
    <mergeCell ref="D2424:D2425"/>
    <mergeCell ref="E2424:E2425"/>
    <mergeCell ref="F2424:F2425"/>
    <mergeCell ref="G2424:G2425"/>
    <mergeCell ref="H2424:H2425"/>
    <mergeCell ref="I2424:I2425"/>
    <mergeCell ref="J2424:J2425"/>
    <mergeCell ref="K2424:K2425"/>
    <mergeCell ref="L2424:L2425"/>
    <mergeCell ref="M2424:M2425"/>
    <mergeCell ref="N2424:N2425"/>
    <mergeCell ref="A2405:A2406"/>
    <mergeCell ref="B2405:B2406"/>
    <mergeCell ref="C2405:C2406"/>
    <mergeCell ref="D2405:D2406"/>
    <mergeCell ref="E2405:E2406"/>
    <mergeCell ref="F2405:F2406"/>
    <mergeCell ref="G2405:G2406"/>
    <mergeCell ref="H2405:H2406"/>
    <mergeCell ref="I2405:I2406"/>
    <mergeCell ref="J2405:J2406"/>
    <mergeCell ref="K2405:K2406"/>
    <mergeCell ref="L2405:L2406"/>
    <mergeCell ref="M2405:M2406"/>
    <mergeCell ref="N2405:N2406"/>
    <mergeCell ref="A2409:A2410"/>
    <mergeCell ref="B2409:B2410"/>
    <mergeCell ref="C2409:C2410"/>
    <mergeCell ref="D2409:D2410"/>
    <mergeCell ref="E2409:E2410"/>
    <mergeCell ref="F2409:F2410"/>
    <mergeCell ref="G2409:G2410"/>
    <mergeCell ref="H2409:H2410"/>
    <mergeCell ref="I2409:I2410"/>
    <mergeCell ref="J2409:J2410"/>
    <mergeCell ref="K2409:K2410"/>
    <mergeCell ref="L2409:L2410"/>
    <mergeCell ref="M2409:M2410"/>
    <mergeCell ref="N2409:N2410"/>
    <mergeCell ref="A2411:A2412"/>
    <mergeCell ref="B2411:B2412"/>
    <mergeCell ref="C2411:C2412"/>
    <mergeCell ref="D2411:D2412"/>
    <mergeCell ref="E2411:E2412"/>
    <mergeCell ref="F2411:F2412"/>
    <mergeCell ref="G2411:G2412"/>
    <mergeCell ref="H2411:H2412"/>
    <mergeCell ref="I2411:I2412"/>
    <mergeCell ref="J2411:J2412"/>
    <mergeCell ref="K2411:K2412"/>
    <mergeCell ref="L2411:L2412"/>
    <mergeCell ref="M2411:M2412"/>
    <mergeCell ref="N2411:N2412"/>
    <mergeCell ref="A2389:A2390"/>
    <mergeCell ref="B2389:B2390"/>
    <mergeCell ref="C2389:C2390"/>
    <mergeCell ref="D2389:D2390"/>
    <mergeCell ref="E2389:E2390"/>
    <mergeCell ref="F2389:F2390"/>
    <mergeCell ref="G2389:G2390"/>
    <mergeCell ref="H2389:H2390"/>
    <mergeCell ref="I2389:I2390"/>
    <mergeCell ref="J2389:J2390"/>
    <mergeCell ref="K2389:K2390"/>
    <mergeCell ref="L2389:L2390"/>
    <mergeCell ref="M2389:M2390"/>
    <mergeCell ref="N2389:N2390"/>
    <mergeCell ref="A2392:A2394"/>
    <mergeCell ref="B2392:B2394"/>
    <mergeCell ref="C2392:C2394"/>
    <mergeCell ref="D2392:D2394"/>
    <mergeCell ref="E2392:E2394"/>
    <mergeCell ref="F2392:F2394"/>
    <mergeCell ref="G2392:G2394"/>
    <mergeCell ref="H2392:H2394"/>
    <mergeCell ref="I2392:I2394"/>
    <mergeCell ref="J2392:J2394"/>
    <mergeCell ref="K2392:K2394"/>
    <mergeCell ref="L2392:L2394"/>
    <mergeCell ref="M2392:M2394"/>
    <mergeCell ref="N2392:N2394"/>
    <mergeCell ref="A2401:A2402"/>
    <mergeCell ref="B2401:B2402"/>
    <mergeCell ref="C2401:C2402"/>
    <mergeCell ref="D2401:D2402"/>
    <mergeCell ref="E2401:E2402"/>
    <mergeCell ref="F2401:F2402"/>
    <mergeCell ref="G2401:G2402"/>
    <mergeCell ref="H2401:H2402"/>
    <mergeCell ref="I2401:I2402"/>
    <mergeCell ref="J2401:J2402"/>
    <mergeCell ref="K2401:K2402"/>
    <mergeCell ref="L2401:L2402"/>
    <mergeCell ref="M2401:M2402"/>
    <mergeCell ref="N2401:N2402"/>
    <mergeCell ref="A2378:A2379"/>
    <mergeCell ref="B2378:B2379"/>
    <mergeCell ref="C2378:C2379"/>
    <mergeCell ref="D2378:D2379"/>
    <mergeCell ref="E2378:E2379"/>
    <mergeCell ref="F2378:F2379"/>
    <mergeCell ref="G2378:G2379"/>
    <mergeCell ref="H2378:H2379"/>
    <mergeCell ref="I2378:I2379"/>
    <mergeCell ref="J2378:J2379"/>
    <mergeCell ref="K2378:K2379"/>
    <mergeCell ref="L2378:L2379"/>
    <mergeCell ref="M2378:M2379"/>
    <mergeCell ref="N2378:N2379"/>
    <mergeCell ref="A2384:A2386"/>
    <mergeCell ref="B2384:B2386"/>
    <mergeCell ref="C2384:C2386"/>
    <mergeCell ref="D2384:D2386"/>
    <mergeCell ref="E2384:E2386"/>
    <mergeCell ref="F2384:F2386"/>
    <mergeCell ref="G2384:G2386"/>
    <mergeCell ref="H2384:H2386"/>
    <mergeCell ref="I2384:I2386"/>
    <mergeCell ref="J2384:J2386"/>
    <mergeCell ref="K2384:K2386"/>
    <mergeCell ref="L2384:L2386"/>
    <mergeCell ref="M2384:M2386"/>
    <mergeCell ref="N2384:N2386"/>
    <mergeCell ref="A2387:A2388"/>
    <mergeCell ref="B2387:B2388"/>
    <mergeCell ref="C2387:C2388"/>
    <mergeCell ref="D2387:D2388"/>
    <mergeCell ref="E2387:E2388"/>
    <mergeCell ref="F2387:F2388"/>
    <mergeCell ref="G2387:G2388"/>
    <mergeCell ref="H2387:H2388"/>
    <mergeCell ref="I2387:I2388"/>
    <mergeCell ref="J2387:J2388"/>
    <mergeCell ref="K2387:K2388"/>
    <mergeCell ref="L2387:L2388"/>
    <mergeCell ref="M2387:M2388"/>
    <mergeCell ref="N2387:N2388"/>
    <mergeCell ref="A2367:A2369"/>
    <mergeCell ref="B2367:B2369"/>
    <mergeCell ref="C2367:C2369"/>
    <mergeCell ref="D2367:D2369"/>
    <mergeCell ref="E2367:E2369"/>
    <mergeCell ref="F2367:F2369"/>
    <mergeCell ref="G2367:G2369"/>
    <mergeCell ref="H2367:H2369"/>
    <mergeCell ref="I2367:I2369"/>
    <mergeCell ref="J2367:J2369"/>
    <mergeCell ref="K2367:K2369"/>
    <mergeCell ref="L2367:L2369"/>
    <mergeCell ref="M2367:M2369"/>
    <mergeCell ref="N2367:N2369"/>
    <mergeCell ref="A2373:A2374"/>
    <mergeCell ref="B2373:B2374"/>
    <mergeCell ref="C2373:C2374"/>
    <mergeCell ref="D2373:D2374"/>
    <mergeCell ref="E2373:E2374"/>
    <mergeCell ref="F2373:F2374"/>
    <mergeCell ref="G2373:G2374"/>
    <mergeCell ref="H2373:H2374"/>
    <mergeCell ref="I2373:I2374"/>
    <mergeCell ref="J2373:J2374"/>
    <mergeCell ref="K2373:K2374"/>
    <mergeCell ref="L2373:L2374"/>
    <mergeCell ref="M2373:M2374"/>
    <mergeCell ref="N2373:N2374"/>
    <mergeCell ref="A2375:A2376"/>
    <mergeCell ref="B2375:B2376"/>
    <mergeCell ref="C2375:C2376"/>
    <mergeCell ref="D2375:D2376"/>
    <mergeCell ref="E2375:E2376"/>
    <mergeCell ref="F2375:F2376"/>
    <mergeCell ref="G2375:G2376"/>
    <mergeCell ref="H2375:H2376"/>
    <mergeCell ref="I2375:I2376"/>
    <mergeCell ref="J2375:J2376"/>
    <mergeCell ref="K2375:K2376"/>
    <mergeCell ref="L2375:L2376"/>
    <mergeCell ref="M2375:M2376"/>
    <mergeCell ref="N2375:N2376"/>
    <mergeCell ref="A2358:A2359"/>
    <mergeCell ref="B2358:B2359"/>
    <mergeCell ref="C2358:C2359"/>
    <mergeCell ref="D2358:D2359"/>
    <mergeCell ref="E2358:E2359"/>
    <mergeCell ref="F2358:F2359"/>
    <mergeCell ref="G2358:G2359"/>
    <mergeCell ref="H2358:H2359"/>
    <mergeCell ref="I2358:I2359"/>
    <mergeCell ref="J2358:J2359"/>
    <mergeCell ref="K2358:K2359"/>
    <mergeCell ref="L2358:L2359"/>
    <mergeCell ref="M2358:M2359"/>
    <mergeCell ref="N2358:N2359"/>
    <mergeCell ref="A2361:A2362"/>
    <mergeCell ref="B2361:B2362"/>
    <mergeCell ref="C2361:C2362"/>
    <mergeCell ref="D2361:D2362"/>
    <mergeCell ref="E2361:E2362"/>
    <mergeCell ref="F2361:F2362"/>
    <mergeCell ref="G2361:G2362"/>
    <mergeCell ref="H2361:H2362"/>
    <mergeCell ref="I2361:I2362"/>
    <mergeCell ref="J2361:J2362"/>
    <mergeCell ref="K2361:K2362"/>
    <mergeCell ref="L2361:L2362"/>
    <mergeCell ref="M2361:M2362"/>
    <mergeCell ref="N2361:N2362"/>
    <mergeCell ref="A2364:A2365"/>
    <mergeCell ref="B2364:B2365"/>
    <mergeCell ref="C2364:C2365"/>
    <mergeCell ref="D2364:D2365"/>
    <mergeCell ref="E2364:E2365"/>
    <mergeCell ref="F2364:F2365"/>
    <mergeCell ref="G2364:G2365"/>
    <mergeCell ref="H2364:H2365"/>
    <mergeCell ref="I2364:I2365"/>
    <mergeCell ref="J2364:J2365"/>
    <mergeCell ref="K2364:K2365"/>
    <mergeCell ref="L2364:L2365"/>
    <mergeCell ref="M2364:M2365"/>
    <mergeCell ref="N2364:N2365"/>
    <mergeCell ref="A2345:A2347"/>
    <mergeCell ref="B2345:B2347"/>
    <mergeCell ref="C2345:C2347"/>
    <mergeCell ref="D2345:D2347"/>
    <mergeCell ref="E2345:E2347"/>
    <mergeCell ref="F2345:F2347"/>
    <mergeCell ref="G2345:G2347"/>
    <mergeCell ref="H2345:H2347"/>
    <mergeCell ref="I2345:I2347"/>
    <mergeCell ref="J2345:J2347"/>
    <mergeCell ref="K2345:K2347"/>
    <mergeCell ref="L2345:L2347"/>
    <mergeCell ref="M2345:M2347"/>
    <mergeCell ref="N2345:N2347"/>
    <mergeCell ref="A2350:A2351"/>
    <mergeCell ref="B2350:B2351"/>
    <mergeCell ref="C2350:C2351"/>
    <mergeCell ref="D2350:D2351"/>
    <mergeCell ref="E2350:E2351"/>
    <mergeCell ref="F2350:F2351"/>
    <mergeCell ref="G2350:G2351"/>
    <mergeCell ref="H2350:H2351"/>
    <mergeCell ref="I2350:I2351"/>
    <mergeCell ref="J2350:J2351"/>
    <mergeCell ref="K2350:K2351"/>
    <mergeCell ref="L2350:L2351"/>
    <mergeCell ref="M2350:M2351"/>
    <mergeCell ref="N2350:N2351"/>
    <mergeCell ref="A2354:A2355"/>
    <mergeCell ref="B2354:B2355"/>
    <mergeCell ref="C2354:C2355"/>
    <mergeCell ref="D2354:D2355"/>
    <mergeCell ref="E2354:E2355"/>
    <mergeCell ref="F2354:F2355"/>
    <mergeCell ref="G2354:G2355"/>
    <mergeCell ref="H2354:H2355"/>
    <mergeCell ref="I2354:I2355"/>
    <mergeCell ref="J2354:J2355"/>
    <mergeCell ref="K2354:K2355"/>
    <mergeCell ref="L2354:L2355"/>
    <mergeCell ref="M2354:M2355"/>
    <mergeCell ref="N2354:N2355"/>
    <mergeCell ref="A2335:A2339"/>
    <mergeCell ref="B2335:B2339"/>
    <mergeCell ref="C2335:C2339"/>
    <mergeCell ref="D2335:D2339"/>
    <mergeCell ref="E2335:E2339"/>
    <mergeCell ref="F2335:F2339"/>
    <mergeCell ref="G2335:G2339"/>
    <mergeCell ref="H2335:H2339"/>
    <mergeCell ref="I2335:I2339"/>
    <mergeCell ref="J2335:J2339"/>
    <mergeCell ref="K2335:K2339"/>
    <mergeCell ref="L2335:L2339"/>
    <mergeCell ref="M2335:M2339"/>
    <mergeCell ref="N2335:N2339"/>
    <mergeCell ref="A2340:A2341"/>
    <mergeCell ref="B2340:B2341"/>
    <mergeCell ref="C2340:C2341"/>
    <mergeCell ref="D2340:D2341"/>
    <mergeCell ref="E2340:E2341"/>
    <mergeCell ref="F2340:F2341"/>
    <mergeCell ref="G2340:G2341"/>
    <mergeCell ref="H2340:H2341"/>
    <mergeCell ref="I2340:I2341"/>
    <mergeCell ref="J2340:J2341"/>
    <mergeCell ref="K2340:K2341"/>
    <mergeCell ref="L2340:L2341"/>
    <mergeCell ref="M2340:M2341"/>
    <mergeCell ref="N2340:N2341"/>
    <mergeCell ref="A2343:A2344"/>
    <mergeCell ref="B2343:B2344"/>
    <mergeCell ref="C2343:C2344"/>
    <mergeCell ref="D2343:D2344"/>
    <mergeCell ref="E2343:E2344"/>
    <mergeCell ref="F2343:F2344"/>
    <mergeCell ref="G2343:G2344"/>
    <mergeCell ref="H2343:H2344"/>
    <mergeCell ref="I2343:I2344"/>
    <mergeCell ref="J2343:J2344"/>
    <mergeCell ref="K2343:K2344"/>
    <mergeCell ref="L2343:L2344"/>
    <mergeCell ref="M2343:M2344"/>
    <mergeCell ref="N2343:N2344"/>
    <mergeCell ref="A2313:A2328"/>
    <mergeCell ref="B2313:B2328"/>
    <mergeCell ref="C2313:C2328"/>
    <mergeCell ref="D2313:D2328"/>
    <mergeCell ref="E2313:E2328"/>
    <mergeCell ref="F2313:F2328"/>
    <mergeCell ref="G2313:G2328"/>
    <mergeCell ref="H2313:H2328"/>
    <mergeCell ref="I2313:I2328"/>
    <mergeCell ref="J2313:J2328"/>
    <mergeCell ref="K2313:K2328"/>
    <mergeCell ref="L2313:L2328"/>
    <mergeCell ref="M2313:M2328"/>
    <mergeCell ref="N2313:N2328"/>
    <mergeCell ref="A2329:A2330"/>
    <mergeCell ref="B2329:B2330"/>
    <mergeCell ref="C2329:C2330"/>
    <mergeCell ref="D2329:D2330"/>
    <mergeCell ref="E2329:E2330"/>
    <mergeCell ref="F2329:F2330"/>
    <mergeCell ref="G2329:G2330"/>
    <mergeCell ref="H2329:H2330"/>
    <mergeCell ref="I2329:I2330"/>
    <mergeCell ref="J2329:J2330"/>
    <mergeCell ref="K2329:K2330"/>
    <mergeCell ref="L2329:L2330"/>
    <mergeCell ref="M2329:M2330"/>
    <mergeCell ref="N2329:N2330"/>
    <mergeCell ref="A2332:A2334"/>
    <mergeCell ref="B2332:B2334"/>
    <mergeCell ref="C2332:C2334"/>
    <mergeCell ref="D2332:D2334"/>
    <mergeCell ref="E2332:E2334"/>
    <mergeCell ref="F2332:F2334"/>
    <mergeCell ref="G2332:G2334"/>
    <mergeCell ref="H2332:H2334"/>
    <mergeCell ref="I2332:I2334"/>
    <mergeCell ref="J2332:J2334"/>
    <mergeCell ref="K2332:K2334"/>
    <mergeCell ref="L2332:L2334"/>
    <mergeCell ref="M2332:M2334"/>
    <mergeCell ref="N2332:N2334"/>
    <mergeCell ref="A2300:A2303"/>
    <mergeCell ref="B2300:B2303"/>
    <mergeCell ref="C2300:C2303"/>
    <mergeCell ref="D2300:D2303"/>
    <mergeCell ref="E2300:E2303"/>
    <mergeCell ref="F2300:F2303"/>
    <mergeCell ref="G2300:G2303"/>
    <mergeCell ref="H2300:H2303"/>
    <mergeCell ref="I2300:I2303"/>
    <mergeCell ref="J2300:J2303"/>
    <mergeCell ref="K2300:K2303"/>
    <mergeCell ref="L2300:L2303"/>
    <mergeCell ref="M2300:M2303"/>
    <mergeCell ref="N2300:N2303"/>
    <mergeCell ref="A2304:A2306"/>
    <mergeCell ref="B2304:B2306"/>
    <mergeCell ref="C2304:C2306"/>
    <mergeCell ref="D2304:D2306"/>
    <mergeCell ref="E2304:E2306"/>
    <mergeCell ref="F2304:F2306"/>
    <mergeCell ref="G2304:G2306"/>
    <mergeCell ref="H2304:H2306"/>
    <mergeCell ref="I2304:I2306"/>
    <mergeCell ref="J2304:J2306"/>
    <mergeCell ref="K2304:K2306"/>
    <mergeCell ref="L2304:L2306"/>
    <mergeCell ref="M2304:M2306"/>
    <mergeCell ref="N2304:N2306"/>
    <mergeCell ref="A2308:A2310"/>
    <mergeCell ref="B2308:B2310"/>
    <mergeCell ref="C2308:C2310"/>
    <mergeCell ref="D2308:D2310"/>
    <mergeCell ref="E2308:E2310"/>
    <mergeCell ref="F2308:F2310"/>
    <mergeCell ref="G2308:G2310"/>
    <mergeCell ref="H2308:H2310"/>
    <mergeCell ref="I2308:I2310"/>
    <mergeCell ref="J2308:J2310"/>
    <mergeCell ref="K2308:K2310"/>
    <mergeCell ref="L2308:L2310"/>
    <mergeCell ref="M2308:M2310"/>
    <mergeCell ref="N2308:N2310"/>
    <mergeCell ref="A2289:A2291"/>
    <mergeCell ref="B2289:B2291"/>
    <mergeCell ref="C2289:C2291"/>
    <mergeCell ref="D2289:D2291"/>
    <mergeCell ref="E2289:E2291"/>
    <mergeCell ref="F2289:F2291"/>
    <mergeCell ref="G2289:G2291"/>
    <mergeCell ref="H2289:H2291"/>
    <mergeCell ref="I2289:I2291"/>
    <mergeCell ref="J2289:J2291"/>
    <mergeCell ref="K2289:K2291"/>
    <mergeCell ref="L2289:L2291"/>
    <mergeCell ref="M2289:M2291"/>
    <mergeCell ref="N2289:N2291"/>
    <mergeCell ref="A2292:A2295"/>
    <mergeCell ref="B2292:B2295"/>
    <mergeCell ref="C2292:C2295"/>
    <mergeCell ref="D2292:D2295"/>
    <mergeCell ref="E2292:E2295"/>
    <mergeCell ref="F2292:F2295"/>
    <mergeCell ref="G2292:G2295"/>
    <mergeCell ref="H2292:H2295"/>
    <mergeCell ref="I2292:I2295"/>
    <mergeCell ref="J2292:J2295"/>
    <mergeCell ref="K2292:K2295"/>
    <mergeCell ref="L2292:L2295"/>
    <mergeCell ref="M2292:M2295"/>
    <mergeCell ref="N2292:N2295"/>
    <mergeCell ref="A2297:A2298"/>
    <mergeCell ref="B2297:B2298"/>
    <mergeCell ref="C2297:C2298"/>
    <mergeCell ref="D2297:D2298"/>
    <mergeCell ref="E2297:E2298"/>
    <mergeCell ref="F2297:F2298"/>
    <mergeCell ref="G2297:G2298"/>
    <mergeCell ref="H2297:H2298"/>
    <mergeCell ref="I2297:I2298"/>
    <mergeCell ref="J2297:J2298"/>
    <mergeCell ref="K2297:K2298"/>
    <mergeCell ref="L2297:L2298"/>
    <mergeCell ref="M2297:M2298"/>
    <mergeCell ref="N2297:N2298"/>
    <mergeCell ref="A2278:A2279"/>
    <mergeCell ref="B2278:B2279"/>
    <mergeCell ref="C2278:C2279"/>
    <mergeCell ref="D2278:D2279"/>
    <mergeCell ref="E2278:E2279"/>
    <mergeCell ref="F2278:F2279"/>
    <mergeCell ref="G2278:G2279"/>
    <mergeCell ref="H2278:H2279"/>
    <mergeCell ref="I2278:I2279"/>
    <mergeCell ref="J2278:J2279"/>
    <mergeCell ref="K2278:K2279"/>
    <mergeCell ref="L2278:L2279"/>
    <mergeCell ref="M2278:M2279"/>
    <mergeCell ref="N2278:N2279"/>
    <mergeCell ref="A2280:A2282"/>
    <mergeCell ref="B2280:B2282"/>
    <mergeCell ref="C2280:C2282"/>
    <mergeCell ref="D2280:D2282"/>
    <mergeCell ref="E2280:E2282"/>
    <mergeCell ref="F2280:F2282"/>
    <mergeCell ref="G2280:G2282"/>
    <mergeCell ref="H2280:H2282"/>
    <mergeCell ref="I2280:I2282"/>
    <mergeCell ref="J2280:J2282"/>
    <mergeCell ref="K2280:K2282"/>
    <mergeCell ref="L2280:L2282"/>
    <mergeCell ref="M2280:M2282"/>
    <mergeCell ref="N2280:N2282"/>
    <mergeCell ref="A2284:A2288"/>
    <mergeCell ref="B2284:B2288"/>
    <mergeCell ref="C2284:C2288"/>
    <mergeCell ref="D2284:D2288"/>
    <mergeCell ref="E2284:E2288"/>
    <mergeCell ref="F2284:F2288"/>
    <mergeCell ref="G2284:G2288"/>
    <mergeCell ref="H2284:H2288"/>
    <mergeCell ref="I2284:I2288"/>
    <mergeCell ref="J2284:J2288"/>
    <mergeCell ref="K2284:K2288"/>
    <mergeCell ref="L2284:L2288"/>
    <mergeCell ref="M2284:M2288"/>
    <mergeCell ref="N2284:N2288"/>
    <mergeCell ref="A2271:A2272"/>
    <mergeCell ref="B2271:B2272"/>
    <mergeCell ref="C2271:C2272"/>
    <mergeCell ref="D2271:D2272"/>
    <mergeCell ref="E2271:E2272"/>
    <mergeCell ref="F2271:F2272"/>
    <mergeCell ref="G2271:G2272"/>
    <mergeCell ref="H2271:H2272"/>
    <mergeCell ref="I2271:I2272"/>
    <mergeCell ref="J2271:J2272"/>
    <mergeCell ref="K2271:K2272"/>
    <mergeCell ref="L2271:L2272"/>
    <mergeCell ref="M2271:M2272"/>
    <mergeCell ref="N2271:N2272"/>
    <mergeCell ref="A2273:A2274"/>
    <mergeCell ref="B2273:B2274"/>
    <mergeCell ref="C2273:C2274"/>
    <mergeCell ref="D2273:D2274"/>
    <mergeCell ref="E2273:E2274"/>
    <mergeCell ref="F2273:F2274"/>
    <mergeCell ref="G2273:G2274"/>
    <mergeCell ref="H2273:H2274"/>
    <mergeCell ref="I2273:I2274"/>
    <mergeCell ref="J2273:J2274"/>
    <mergeCell ref="K2273:K2274"/>
    <mergeCell ref="L2273:L2274"/>
    <mergeCell ref="M2273:M2274"/>
    <mergeCell ref="N2273:N2274"/>
    <mergeCell ref="A2275:A2277"/>
    <mergeCell ref="B2275:B2277"/>
    <mergeCell ref="C2275:C2277"/>
    <mergeCell ref="D2275:D2277"/>
    <mergeCell ref="E2275:E2277"/>
    <mergeCell ref="F2275:F2277"/>
    <mergeCell ref="G2275:G2277"/>
    <mergeCell ref="H2275:H2277"/>
    <mergeCell ref="I2275:I2277"/>
    <mergeCell ref="J2275:J2277"/>
    <mergeCell ref="K2275:K2277"/>
    <mergeCell ref="L2275:L2277"/>
    <mergeCell ref="M2275:M2277"/>
    <mergeCell ref="N2275:N2277"/>
    <mergeCell ref="A2265:A2266"/>
    <mergeCell ref="B2265:B2266"/>
    <mergeCell ref="C2265:C2266"/>
    <mergeCell ref="D2265:D2266"/>
    <mergeCell ref="E2265:E2266"/>
    <mergeCell ref="F2265:F2266"/>
    <mergeCell ref="G2265:G2266"/>
    <mergeCell ref="H2265:H2266"/>
    <mergeCell ref="I2265:I2266"/>
    <mergeCell ref="J2265:J2266"/>
    <mergeCell ref="K2265:K2266"/>
    <mergeCell ref="L2265:L2266"/>
    <mergeCell ref="M2265:M2266"/>
    <mergeCell ref="N2265:N2266"/>
    <mergeCell ref="A2267:A2268"/>
    <mergeCell ref="B2267:B2268"/>
    <mergeCell ref="C2267:C2268"/>
    <mergeCell ref="D2267:D2268"/>
    <mergeCell ref="E2267:E2268"/>
    <mergeCell ref="F2267:F2268"/>
    <mergeCell ref="G2267:G2268"/>
    <mergeCell ref="H2267:H2268"/>
    <mergeCell ref="I2267:I2268"/>
    <mergeCell ref="J2267:J2268"/>
    <mergeCell ref="K2267:K2268"/>
    <mergeCell ref="L2267:L2268"/>
    <mergeCell ref="M2267:M2268"/>
    <mergeCell ref="N2267:N2268"/>
    <mergeCell ref="A2269:A2270"/>
    <mergeCell ref="B2269:B2270"/>
    <mergeCell ref="C2269:C2270"/>
    <mergeCell ref="D2269:D2270"/>
    <mergeCell ref="E2269:E2270"/>
    <mergeCell ref="F2269:F2270"/>
    <mergeCell ref="G2269:G2270"/>
    <mergeCell ref="H2269:H2270"/>
    <mergeCell ref="I2269:I2270"/>
    <mergeCell ref="J2269:J2270"/>
    <mergeCell ref="K2269:K2270"/>
    <mergeCell ref="L2269:L2270"/>
    <mergeCell ref="M2269:M2270"/>
    <mergeCell ref="N2269:N2270"/>
    <mergeCell ref="A2257:A2259"/>
    <mergeCell ref="B2257:B2259"/>
    <mergeCell ref="C2257:C2259"/>
    <mergeCell ref="D2257:D2259"/>
    <mergeCell ref="E2257:E2259"/>
    <mergeCell ref="F2257:F2259"/>
    <mergeCell ref="G2257:G2259"/>
    <mergeCell ref="H2257:H2259"/>
    <mergeCell ref="I2257:I2259"/>
    <mergeCell ref="J2257:J2259"/>
    <mergeCell ref="K2257:K2259"/>
    <mergeCell ref="L2257:L2259"/>
    <mergeCell ref="M2257:M2259"/>
    <mergeCell ref="N2257:N2259"/>
    <mergeCell ref="A2260:A2261"/>
    <mergeCell ref="B2260:B2261"/>
    <mergeCell ref="C2260:C2261"/>
    <mergeCell ref="D2260:D2261"/>
    <mergeCell ref="E2260:E2261"/>
    <mergeCell ref="F2260:F2261"/>
    <mergeCell ref="G2260:G2261"/>
    <mergeCell ref="H2260:H2261"/>
    <mergeCell ref="I2260:I2261"/>
    <mergeCell ref="J2260:J2261"/>
    <mergeCell ref="K2260:K2261"/>
    <mergeCell ref="L2260:L2261"/>
    <mergeCell ref="M2260:M2261"/>
    <mergeCell ref="N2260:N2261"/>
    <mergeCell ref="A2262:A2263"/>
    <mergeCell ref="B2262:B2263"/>
    <mergeCell ref="C2262:C2263"/>
    <mergeCell ref="D2262:D2263"/>
    <mergeCell ref="E2262:E2263"/>
    <mergeCell ref="F2262:F2263"/>
    <mergeCell ref="G2262:G2263"/>
    <mergeCell ref="H2262:H2263"/>
    <mergeCell ref="I2262:I2263"/>
    <mergeCell ref="J2262:J2263"/>
    <mergeCell ref="K2262:K2263"/>
    <mergeCell ref="L2262:L2263"/>
    <mergeCell ref="M2262:M2263"/>
    <mergeCell ref="N2262:N2263"/>
    <mergeCell ref="A2242:A2245"/>
    <mergeCell ref="B2242:B2245"/>
    <mergeCell ref="C2242:C2245"/>
    <mergeCell ref="D2242:D2245"/>
    <mergeCell ref="E2242:E2245"/>
    <mergeCell ref="F2242:F2245"/>
    <mergeCell ref="G2242:G2245"/>
    <mergeCell ref="H2242:H2245"/>
    <mergeCell ref="I2242:I2245"/>
    <mergeCell ref="J2242:J2245"/>
    <mergeCell ref="K2242:K2245"/>
    <mergeCell ref="L2242:L2245"/>
    <mergeCell ref="M2242:M2245"/>
    <mergeCell ref="N2242:N2245"/>
    <mergeCell ref="A2246:A2248"/>
    <mergeCell ref="B2246:B2248"/>
    <mergeCell ref="C2246:C2248"/>
    <mergeCell ref="D2246:D2248"/>
    <mergeCell ref="E2246:E2248"/>
    <mergeCell ref="F2246:F2248"/>
    <mergeCell ref="G2246:G2248"/>
    <mergeCell ref="H2246:H2248"/>
    <mergeCell ref="I2246:I2248"/>
    <mergeCell ref="J2246:J2248"/>
    <mergeCell ref="K2246:K2248"/>
    <mergeCell ref="L2246:L2248"/>
    <mergeCell ref="M2246:M2248"/>
    <mergeCell ref="N2246:N2248"/>
    <mergeCell ref="A2250:A2254"/>
    <mergeCell ref="B2250:B2254"/>
    <mergeCell ref="C2250:C2254"/>
    <mergeCell ref="D2250:D2254"/>
    <mergeCell ref="E2250:E2254"/>
    <mergeCell ref="F2250:F2254"/>
    <mergeCell ref="G2250:G2254"/>
    <mergeCell ref="H2250:H2254"/>
    <mergeCell ref="I2250:I2254"/>
    <mergeCell ref="J2250:J2254"/>
    <mergeCell ref="K2250:K2254"/>
    <mergeCell ref="L2250:L2254"/>
    <mergeCell ref="M2250:M2254"/>
    <mergeCell ref="N2250:N2254"/>
    <mergeCell ref="A2230:A2231"/>
    <mergeCell ref="B2230:B2231"/>
    <mergeCell ref="C2230:C2231"/>
    <mergeCell ref="D2230:D2231"/>
    <mergeCell ref="E2230:E2231"/>
    <mergeCell ref="F2230:F2231"/>
    <mergeCell ref="G2230:G2231"/>
    <mergeCell ref="H2230:H2231"/>
    <mergeCell ref="I2230:I2231"/>
    <mergeCell ref="J2230:J2231"/>
    <mergeCell ref="K2230:K2231"/>
    <mergeCell ref="L2230:L2231"/>
    <mergeCell ref="M2230:M2231"/>
    <mergeCell ref="N2230:N2231"/>
    <mergeCell ref="A2232:A2236"/>
    <mergeCell ref="B2232:B2236"/>
    <mergeCell ref="C2232:C2236"/>
    <mergeCell ref="D2232:D2236"/>
    <mergeCell ref="E2232:E2236"/>
    <mergeCell ref="F2232:F2236"/>
    <mergeCell ref="G2232:G2236"/>
    <mergeCell ref="H2232:H2236"/>
    <mergeCell ref="I2232:I2236"/>
    <mergeCell ref="J2232:J2236"/>
    <mergeCell ref="K2232:K2236"/>
    <mergeCell ref="L2232:L2236"/>
    <mergeCell ref="M2232:M2236"/>
    <mergeCell ref="N2232:N2236"/>
    <mergeCell ref="A2240:A2241"/>
    <mergeCell ref="B2240:B2241"/>
    <mergeCell ref="C2240:C2241"/>
    <mergeCell ref="D2240:D2241"/>
    <mergeCell ref="E2240:E2241"/>
    <mergeCell ref="F2240:F2241"/>
    <mergeCell ref="G2240:G2241"/>
    <mergeCell ref="H2240:H2241"/>
    <mergeCell ref="I2240:I2241"/>
    <mergeCell ref="J2240:J2241"/>
    <mergeCell ref="K2240:K2241"/>
    <mergeCell ref="L2240:L2241"/>
    <mergeCell ref="M2240:M2241"/>
    <mergeCell ref="N2240:N2241"/>
    <mergeCell ref="A2220:A2222"/>
    <mergeCell ref="B2220:B2222"/>
    <mergeCell ref="C2220:C2222"/>
    <mergeCell ref="D2220:D2222"/>
    <mergeCell ref="E2220:E2222"/>
    <mergeCell ref="F2220:F2222"/>
    <mergeCell ref="G2220:G2222"/>
    <mergeCell ref="H2220:H2222"/>
    <mergeCell ref="I2220:I2222"/>
    <mergeCell ref="J2220:J2222"/>
    <mergeCell ref="K2220:K2222"/>
    <mergeCell ref="L2220:L2222"/>
    <mergeCell ref="M2220:M2222"/>
    <mergeCell ref="N2220:N2222"/>
    <mergeCell ref="A2225:A2226"/>
    <mergeCell ref="B2225:B2226"/>
    <mergeCell ref="C2225:C2226"/>
    <mergeCell ref="D2225:D2226"/>
    <mergeCell ref="E2225:E2226"/>
    <mergeCell ref="F2225:F2226"/>
    <mergeCell ref="G2225:G2226"/>
    <mergeCell ref="H2225:H2226"/>
    <mergeCell ref="I2225:I2226"/>
    <mergeCell ref="J2225:J2226"/>
    <mergeCell ref="K2225:K2226"/>
    <mergeCell ref="L2225:L2226"/>
    <mergeCell ref="M2225:M2226"/>
    <mergeCell ref="N2225:N2226"/>
    <mergeCell ref="A2228:A2229"/>
    <mergeCell ref="B2228:B2229"/>
    <mergeCell ref="C2228:C2229"/>
    <mergeCell ref="D2228:D2229"/>
    <mergeCell ref="E2228:E2229"/>
    <mergeCell ref="F2228:F2229"/>
    <mergeCell ref="G2228:G2229"/>
    <mergeCell ref="H2228:H2229"/>
    <mergeCell ref="I2228:I2229"/>
    <mergeCell ref="J2228:J2229"/>
    <mergeCell ref="K2228:K2229"/>
    <mergeCell ref="L2228:L2229"/>
    <mergeCell ref="M2228:M2229"/>
    <mergeCell ref="N2228:N2229"/>
    <mergeCell ref="A2211:A2212"/>
    <mergeCell ref="B2211:B2212"/>
    <mergeCell ref="C2211:C2212"/>
    <mergeCell ref="D2211:D2212"/>
    <mergeCell ref="E2211:E2212"/>
    <mergeCell ref="F2211:F2212"/>
    <mergeCell ref="G2211:G2212"/>
    <mergeCell ref="H2211:H2212"/>
    <mergeCell ref="I2211:I2212"/>
    <mergeCell ref="J2211:J2212"/>
    <mergeCell ref="K2211:K2212"/>
    <mergeCell ref="L2211:L2212"/>
    <mergeCell ref="M2211:M2212"/>
    <mergeCell ref="N2211:N2212"/>
    <mergeCell ref="A2213:A2214"/>
    <mergeCell ref="B2213:B2214"/>
    <mergeCell ref="C2213:C2214"/>
    <mergeCell ref="D2213:D2214"/>
    <mergeCell ref="E2213:E2214"/>
    <mergeCell ref="F2213:F2214"/>
    <mergeCell ref="G2213:G2214"/>
    <mergeCell ref="H2213:H2214"/>
    <mergeCell ref="I2213:I2214"/>
    <mergeCell ref="J2213:J2214"/>
    <mergeCell ref="K2213:K2214"/>
    <mergeCell ref="L2213:L2214"/>
    <mergeCell ref="M2213:M2214"/>
    <mergeCell ref="N2213:N2214"/>
    <mergeCell ref="A2215:A2218"/>
    <mergeCell ref="B2215:B2218"/>
    <mergeCell ref="C2215:C2218"/>
    <mergeCell ref="D2215:D2218"/>
    <mergeCell ref="E2215:E2218"/>
    <mergeCell ref="F2215:F2218"/>
    <mergeCell ref="G2215:G2218"/>
    <mergeCell ref="H2215:H2218"/>
    <mergeCell ref="I2215:I2218"/>
    <mergeCell ref="J2215:J2218"/>
    <mergeCell ref="K2215:K2218"/>
    <mergeCell ref="L2215:L2218"/>
    <mergeCell ref="M2215:M2218"/>
    <mergeCell ref="N2215:N2218"/>
    <mergeCell ref="A2195:A2197"/>
    <mergeCell ref="B2195:B2197"/>
    <mergeCell ref="C2195:C2197"/>
    <mergeCell ref="D2195:D2197"/>
    <mergeCell ref="E2195:E2197"/>
    <mergeCell ref="F2195:F2197"/>
    <mergeCell ref="G2195:G2197"/>
    <mergeCell ref="H2195:H2197"/>
    <mergeCell ref="I2195:I2197"/>
    <mergeCell ref="J2195:J2197"/>
    <mergeCell ref="K2195:K2197"/>
    <mergeCell ref="L2195:L2197"/>
    <mergeCell ref="M2195:M2197"/>
    <mergeCell ref="N2195:N2197"/>
    <mergeCell ref="A2199:A2203"/>
    <mergeCell ref="B2199:B2203"/>
    <mergeCell ref="C2199:C2203"/>
    <mergeCell ref="D2199:D2203"/>
    <mergeCell ref="E2199:E2203"/>
    <mergeCell ref="F2199:F2203"/>
    <mergeCell ref="G2199:G2203"/>
    <mergeCell ref="H2199:H2203"/>
    <mergeCell ref="I2199:I2203"/>
    <mergeCell ref="J2199:J2203"/>
    <mergeCell ref="K2199:K2203"/>
    <mergeCell ref="L2199:L2203"/>
    <mergeCell ref="M2199:M2203"/>
    <mergeCell ref="N2199:N2203"/>
    <mergeCell ref="A2204:A2206"/>
    <mergeCell ref="B2204:B2206"/>
    <mergeCell ref="C2204:C2206"/>
    <mergeCell ref="D2204:D2206"/>
    <mergeCell ref="E2204:E2206"/>
    <mergeCell ref="F2204:F2206"/>
    <mergeCell ref="G2204:G2206"/>
    <mergeCell ref="H2204:H2206"/>
    <mergeCell ref="I2204:I2206"/>
    <mergeCell ref="J2204:J2206"/>
    <mergeCell ref="K2204:K2206"/>
    <mergeCell ref="L2204:L2206"/>
    <mergeCell ref="M2204:M2206"/>
    <mergeCell ref="N2204:N2206"/>
    <mergeCell ref="A2183:A2187"/>
    <mergeCell ref="B2183:B2187"/>
    <mergeCell ref="C2183:C2187"/>
    <mergeCell ref="D2183:D2187"/>
    <mergeCell ref="E2183:E2187"/>
    <mergeCell ref="F2183:F2187"/>
    <mergeCell ref="G2183:G2187"/>
    <mergeCell ref="H2183:H2187"/>
    <mergeCell ref="I2183:I2187"/>
    <mergeCell ref="J2183:J2187"/>
    <mergeCell ref="K2183:K2187"/>
    <mergeCell ref="L2183:L2187"/>
    <mergeCell ref="M2183:M2187"/>
    <mergeCell ref="N2183:N2187"/>
    <mergeCell ref="A2188:A2189"/>
    <mergeCell ref="B2188:B2189"/>
    <mergeCell ref="C2188:C2189"/>
    <mergeCell ref="D2188:D2189"/>
    <mergeCell ref="E2188:E2189"/>
    <mergeCell ref="F2188:F2189"/>
    <mergeCell ref="G2188:G2189"/>
    <mergeCell ref="H2188:H2189"/>
    <mergeCell ref="I2188:I2189"/>
    <mergeCell ref="J2188:J2189"/>
    <mergeCell ref="K2188:K2189"/>
    <mergeCell ref="L2188:L2189"/>
    <mergeCell ref="M2188:M2189"/>
    <mergeCell ref="N2188:N2189"/>
    <mergeCell ref="A2190:A2192"/>
    <mergeCell ref="B2190:B2192"/>
    <mergeCell ref="C2190:C2192"/>
    <mergeCell ref="D2190:D2192"/>
    <mergeCell ref="E2190:E2192"/>
    <mergeCell ref="F2190:F2192"/>
    <mergeCell ref="G2190:G2192"/>
    <mergeCell ref="H2190:H2192"/>
    <mergeCell ref="I2190:I2192"/>
    <mergeCell ref="J2190:J2192"/>
    <mergeCell ref="K2190:K2192"/>
    <mergeCell ref="L2190:L2192"/>
    <mergeCell ref="M2190:M2192"/>
    <mergeCell ref="N2190:N2192"/>
    <mergeCell ref="A2172:A2173"/>
    <mergeCell ref="B2172:B2173"/>
    <mergeCell ref="C2172:C2173"/>
    <mergeCell ref="D2172:D2173"/>
    <mergeCell ref="E2172:E2173"/>
    <mergeCell ref="F2172:F2173"/>
    <mergeCell ref="G2172:G2173"/>
    <mergeCell ref="H2172:H2173"/>
    <mergeCell ref="I2172:I2173"/>
    <mergeCell ref="J2172:J2173"/>
    <mergeCell ref="K2172:K2173"/>
    <mergeCell ref="L2172:L2173"/>
    <mergeCell ref="M2172:M2173"/>
    <mergeCell ref="N2172:N2173"/>
    <mergeCell ref="A2175:A2177"/>
    <mergeCell ref="B2175:B2177"/>
    <mergeCell ref="C2175:C2177"/>
    <mergeCell ref="D2175:D2177"/>
    <mergeCell ref="E2175:E2177"/>
    <mergeCell ref="F2175:F2177"/>
    <mergeCell ref="G2175:G2177"/>
    <mergeCell ref="H2175:H2177"/>
    <mergeCell ref="I2175:I2177"/>
    <mergeCell ref="J2175:J2177"/>
    <mergeCell ref="K2175:K2177"/>
    <mergeCell ref="L2175:L2177"/>
    <mergeCell ref="M2175:M2177"/>
    <mergeCell ref="N2175:N2177"/>
    <mergeCell ref="A2178:A2179"/>
    <mergeCell ref="B2178:B2179"/>
    <mergeCell ref="C2178:C2179"/>
    <mergeCell ref="D2178:D2179"/>
    <mergeCell ref="E2178:E2179"/>
    <mergeCell ref="F2178:F2179"/>
    <mergeCell ref="G2178:G2179"/>
    <mergeCell ref="H2178:H2179"/>
    <mergeCell ref="I2178:I2179"/>
    <mergeCell ref="J2178:J2179"/>
    <mergeCell ref="K2178:K2179"/>
    <mergeCell ref="L2178:L2179"/>
    <mergeCell ref="M2178:M2179"/>
    <mergeCell ref="N2178:N2179"/>
    <mergeCell ref="A2162:A2166"/>
    <mergeCell ref="B2162:B2166"/>
    <mergeCell ref="C2162:C2166"/>
    <mergeCell ref="D2162:D2166"/>
    <mergeCell ref="E2162:E2166"/>
    <mergeCell ref="F2162:F2166"/>
    <mergeCell ref="G2162:G2166"/>
    <mergeCell ref="H2162:H2166"/>
    <mergeCell ref="I2162:I2166"/>
    <mergeCell ref="J2162:J2166"/>
    <mergeCell ref="K2162:K2166"/>
    <mergeCell ref="L2162:L2166"/>
    <mergeCell ref="M2162:M2166"/>
    <mergeCell ref="N2162:N2166"/>
    <mergeCell ref="A2167:A2168"/>
    <mergeCell ref="B2167:B2168"/>
    <mergeCell ref="C2167:C2168"/>
    <mergeCell ref="D2167:D2168"/>
    <mergeCell ref="E2167:E2168"/>
    <mergeCell ref="F2167:F2168"/>
    <mergeCell ref="G2167:G2168"/>
    <mergeCell ref="H2167:H2168"/>
    <mergeCell ref="I2167:I2168"/>
    <mergeCell ref="J2167:J2168"/>
    <mergeCell ref="K2167:K2168"/>
    <mergeCell ref="L2167:L2168"/>
    <mergeCell ref="M2167:M2168"/>
    <mergeCell ref="N2167:N2168"/>
    <mergeCell ref="A2170:A2171"/>
    <mergeCell ref="B2170:B2171"/>
    <mergeCell ref="C2170:C2171"/>
    <mergeCell ref="D2170:D2171"/>
    <mergeCell ref="E2170:E2171"/>
    <mergeCell ref="F2170:F2171"/>
    <mergeCell ref="G2170:G2171"/>
    <mergeCell ref="H2170:H2171"/>
    <mergeCell ref="I2170:I2171"/>
    <mergeCell ref="J2170:J2171"/>
    <mergeCell ref="K2170:K2171"/>
    <mergeCell ref="L2170:L2171"/>
    <mergeCell ref="M2170:M2171"/>
    <mergeCell ref="N2170:N2171"/>
    <mergeCell ref="A2149:A2154"/>
    <mergeCell ref="B2149:B2154"/>
    <mergeCell ref="C2149:C2154"/>
    <mergeCell ref="D2149:D2154"/>
    <mergeCell ref="E2149:E2154"/>
    <mergeCell ref="F2149:F2154"/>
    <mergeCell ref="G2149:G2154"/>
    <mergeCell ref="H2149:H2154"/>
    <mergeCell ref="I2149:I2154"/>
    <mergeCell ref="J2149:J2154"/>
    <mergeCell ref="K2149:K2154"/>
    <mergeCell ref="L2149:L2154"/>
    <mergeCell ref="M2149:M2154"/>
    <mergeCell ref="N2149:N2154"/>
    <mergeCell ref="A2156:A2157"/>
    <mergeCell ref="B2156:B2157"/>
    <mergeCell ref="C2156:C2157"/>
    <mergeCell ref="D2156:D2157"/>
    <mergeCell ref="E2156:E2157"/>
    <mergeCell ref="F2156:F2157"/>
    <mergeCell ref="G2156:G2157"/>
    <mergeCell ref="H2156:H2157"/>
    <mergeCell ref="I2156:I2157"/>
    <mergeCell ref="J2156:J2157"/>
    <mergeCell ref="K2156:K2157"/>
    <mergeCell ref="L2156:L2157"/>
    <mergeCell ref="M2156:M2157"/>
    <mergeCell ref="N2156:N2157"/>
    <mergeCell ref="A2159:A2160"/>
    <mergeCell ref="B2159:B2160"/>
    <mergeCell ref="C2159:C2160"/>
    <mergeCell ref="D2159:D2160"/>
    <mergeCell ref="E2159:E2160"/>
    <mergeCell ref="F2159:F2160"/>
    <mergeCell ref="G2159:G2160"/>
    <mergeCell ref="H2159:H2160"/>
    <mergeCell ref="I2159:I2160"/>
    <mergeCell ref="J2159:J2160"/>
    <mergeCell ref="K2159:K2160"/>
    <mergeCell ref="L2159:L2160"/>
    <mergeCell ref="M2159:M2160"/>
    <mergeCell ref="N2159:N2160"/>
    <mergeCell ref="A2139:A2140"/>
    <mergeCell ref="B2139:B2140"/>
    <mergeCell ref="C2139:C2140"/>
    <mergeCell ref="D2139:D2140"/>
    <mergeCell ref="E2139:E2140"/>
    <mergeCell ref="F2139:F2140"/>
    <mergeCell ref="G2139:G2140"/>
    <mergeCell ref="H2139:H2140"/>
    <mergeCell ref="I2139:I2140"/>
    <mergeCell ref="J2139:J2140"/>
    <mergeCell ref="K2139:K2140"/>
    <mergeCell ref="L2139:L2140"/>
    <mergeCell ref="M2139:M2140"/>
    <mergeCell ref="N2139:N2140"/>
    <mergeCell ref="A2144:A2145"/>
    <mergeCell ref="B2144:B2145"/>
    <mergeCell ref="C2144:C2145"/>
    <mergeCell ref="D2144:D2145"/>
    <mergeCell ref="E2144:E2145"/>
    <mergeCell ref="F2144:F2145"/>
    <mergeCell ref="G2144:G2145"/>
    <mergeCell ref="H2144:H2145"/>
    <mergeCell ref="I2144:I2145"/>
    <mergeCell ref="J2144:J2145"/>
    <mergeCell ref="K2144:K2145"/>
    <mergeCell ref="L2144:L2145"/>
    <mergeCell ref="M2144:M2145"/>
    <mergeCell ref="N2144:N2145"/>
    <mergeCell ref="A2147:A2148"/>
    <mergeCell ref="B2147:B2148"/>
    <mergeCell ref="C2147:C2148"/>
    <mergeCell ref="D2147:D2148"/>
    <mergeCell ref="E2147:E2148"/>
    <mergeCell ref="F2147:F2148"/>
    <mergeCell ref="G2147:G2148"/>
    <mergeCell ref="H2147:H2148"/>
    <mergeCell ref="I2147:I2148"/>
    <mergeCell ref="J2147:J2148"/>
    <mergeCell ref="K2147:K2148"/>
    <mergeCell ref="L2147:L2148"/>
    <mergeCell ref="M2147:M2148"/>
    <mergeCell ref="N2147:N2148"/>
    <mergeCell ref="A2127:A2129"/>
    <mergeCell ref="B2127:B2129"/>
    <mergeCell ref="C2127:C2129"/>
    <mergeCell ref="D2127:D2129"/>
    <mergeCell ref="E2127:E2129"/>
    <mergeCell ref="F2127:F2129"/>
    <mergeCell ref="G2127:G2129"/>
    <mergeCell ref="H2127:H2129"/>
    <mergeCell ref="I2127:I2129"/>
    <mergeCell ref="J2127:J2129"/>
    <mergeCell ref="K2127:K2129"/>
    <mergeCell ref="L2127:L2129"/>
    <mergeCell ref="M2127:M2129"/>
    <mergeCell ref="N2127:N2129"/>
    <mergeCell ref="A2132:A2134"/>
    <mergeCell ref="B2132:B2134"/>
    <mergeCell ref="C2132:C2134"/>
    <mergeCell ref="D2132:D2134"/>
    <mergeCell ref="E2132:E2134"/>
    <mergeCell ref="F2132:F2134"/>
    <mergeCell ref="G2132:G2134"/>
    <mergeCell ref="H2132:H2134"/>
    <mergeCell ref="I2132:I2134"/>
    <mergeCell ref="J2132:J2134"/>
    <mergeCell ref="K2132:K2134"/>
    <mergeCell ref="L2132:L2134"/>
    <mergeCell ref="M2132:M2134"/>
    <mergeCell ref="N2132:N2134"/>
    <mergeCell ref="A2135:A2136"/>
    <mergeCell ref="B2135:B2136"/>
    <mergeCell ref="C2135:C2136"/>
    <mergeCell ref="D2135:D2136"/>
    <mergeCell ref="E2135:E2136"/>
    <mergeCell ref="F2135:F2136"/>
    <mergeCell ref="G2135:G2136"/>
    <mergeCell ref="H2135:H2136"/>
    <mergeCell ref="I2135:I2136"/>
    <mergeCell ref="J2135:J2136"/>
    <mergeCell ref="K2135:K2136"/>
    <mergeCell ref="L2135:L2136"/>
    <mergeCell ref="M2135:M2136"/>
    <mergeCell ref="N2135:N2136"/>
    <mergeCell ref="A2114:A2115"/>
    <mergeCell ref="B2114:B2115"/>
    <mergeCell ref="C2114:C2115"/>
    <mergeCell ref="D2114:D2115"/>
    <mergeCell ref="E2114:E2115"/>
    <mergeCell ref="F2114:F2115"/>
    <mergeCell ref="G2114:G2115"/>
    <mergeCell ref="H2114:H2115"/>
    <mergeCell ref="I2114:I2115"/>
    <mergeCell ref="J2114:J2115"/>
    <mergeCell ref="K2114:K2115"/>
    <mergeCell ref="L2114:L2115"/>
    <mergeCell ref="M2114:M2115"/>
    <mergeCell ref="N2114:N2115"/>
    <mergeCell ref="A2118:A2119"/>
    <mergeCell ref="B2118:B2119"/>
    <mergeCell ref="C2118:C2119"/>
    <mergeCell ref="D2118:D2119"/>
    <mergeCell ref="E2118:E2119"/>
    <mergeCell ref="F2118:F2119"/>
    <mergeCell ref="G2118:G2119"/>
    <mergeCell ref="H2118:H2119"/>
    <mergeCell ref="I2118:I2119"/>
    <mergeCell ref="J2118:J2119"/>
    <mergeCell ref="K2118:K2119"/>
    <mergeCell ref="L2118:L2119"/>
    <mergeCell ref="M2118:M2119"/>
    <mergeCell ref="N2118:N2119"/>
    <mergeCell ref="A2121:A2126"/>
    <mergeCell ref="B2121:B2126"/>
    <mergeCell ref="C2121:C2126"/>
    <mergeCell ref="D2121:D2126"/>
    <mergeCell ref="E2121:E2126"/>
    <mergeCell ref="F2121:F2126"/>
    <mergeCell ref="G2121:G2126"/>
    <mergeCell ref="H2121:H2126"/>
    <mergeCell ref="I2121:I2126"/>
    <mergeCell ref="J2121:J2126"/>
    <mergeCell ref="K2121:K2126"/>
    <mergeCell ref="L2121:L2126"/>
    <mergeCell ref="M2121:M2126"/>
    <mergeCell ref="N2121:N2126"/>
    <mergeCell ref="A2096:A2097"/>
    <mergeCell ref="B2096:B2097"/>
    <mergeCell ref="C2096:C2097"/>
    <mergeCell ref="D2096:D2097"/>
    <mergeCell ref="E2096:E2097"/>
    <mergeCell ref="F2096:F2097"/>
    <mergeCell ref="G2096:G2097"/>
    <mergeCell ref="H2096:H2097"/>
    <mergeCell ref="I2096:I2097"/>
    <mergeCell ref="J2096:J2097"/>
    <mergeCell ref="K2096:K2097"/>
    <mergeCell ref="L2096:L2097"/>
    <mergeCell ref="M2096:M2097"/>
    <mergeCell ref="N2096:N2097"/>
    <mergeCell ref="A2101:A2103"/>
    <mergeCell ref="B2101:B2103"/>
    <mergeCell ref="C2101:C2103"/>
    <mergeCell ref="D2101:D2103"/>
    <mergeCell ref="E2101:E2103"/>
    <mergeCell ref="F2101:F2103"/>
    <mergeCell ref="G2101:G2103"/>
    <mergeCell ref="H2101:H2103"/>
    <mergeCell ref="I2101:I2103"/>
    <mergeCell ref="J2101:J2103"/>
    <mergeCell ref="K2101:K2103"/>
    <mergeCell ref="L2101:L2103"/>
    <mergeCell ref="M2101:M2103"/>
    <mergeCell ref="N2101:N2103"/>
    <mergeCell ref="A2112:A2113"/>
    <mergeCell ref="B2112:B2113"/>
    <mergeCell ref="C2112:C2113"/>
    <mergeCell ref="D2112:D2113"/>
    <mergeCell ref="E2112:E2113"/>
    <mergeCell ref="F2112:F2113"/>
    <mergeCell ref="G2112:G2113"/>
    <mergeCell ref="H2112:H2113"/>
    <mergeCell ref="I2112:I2113"/>
    <mergeCell ref="J2112:J2113"/>
    <mergeCell ref="K2112:K2113"/>
    <mergeCell ref="L2112:L2113"/>
    <mergeCell ref="M2112:M2113"/>
    <mergeCell ref="N2112:N2113"/>
    <mergeCell ref="A2078:A2079"/>
    <mergeCell ref="B2078:B2079"/>
    <mergeCell ref="C2078:C2079"/>
    <mergeCell ref="D2078:D2079"/>
    <mergeCell ref="E2078:E2079"/>
    <mergeCell ref="F2078:F2079"/>
    <mergeCell ref="G2078:G2079"/>
    <mergeCell ref="H2078:H2079"/>
    <mergeCell ref="I2078:I2079"/>
    <mergeCell ref="J2078:J2079"/>
    <mergeCell ref="K2078:K2079"/>
    <mergeCell ref="L2078:L2079"/>
    <mergeCell ref="M2078:M2079"/>
    <mergeCell ref="N2078:N2079"/>
    <mergeCell ref="A2080:A2085"/>
    <mergeCell ref="B2080:B2085"/>
    <mergeCell ref="C2080:C2085"/>
    <mergeCell ref="D2080:D2085"/>
    <mergeCell ref="E2080:E2085"/>
    <mergeCell ref="F2080:F2085"/>
    <mergeCell ref="G2080:G2085"/>
    <mergeCell ref="H2080:H2085"/>
    <mergeCell ref="I2080:I2085"/>
    <mergeCell ref="J2080:J2085"/>
    <mergeCell ref="K2080:K2085"/>
    <mergeCell ref="L2080:L2085"/>
    <mergeCell ref="M2080:M2085"/>
    <mergeCell ref="N2080:N2085"/>
    <mergeCell ref="A2091:A2094"/>
    <mergeCell ref="B2091:B2094"/>
    <mergeCell ref="C2091:C2094"/>
    <mergeCell ref="D2091:D2094"/>
    <mergeCell ref="E2091:E2094"/>
    <mergeCell ref="F2091:F2094"/>
    <mergeCell ref="G2091:G2094"/>
    <mergeCell ref="H2091:H2094"/>
    <mergeCell ref="I2091:I2094"/>
    <mergeCell ref="J2091:J2094"/>
    <mergeCell ref="K2091:K2094"/>
    <mergeCell ref="L2091:L2094"/>
    <mergeCell ref="M2091:M2094"/>
    <mergeCell ref="N2091:N2094"/>
    <mergeCell ref="A2059:A2063"/>
    <mergeCell ref="B2059:B2063"/>
    <mergeCell ref="C2059:C2063"/>
    <mergeCell ref="D2059:D2063"/>
    <mergeCell ref="E2059:E2063"/>
    <mergeCell ref="F2059:F2063"/>
    <mergeCell ref="G2059:G2063"/>
    <mergeCell ref="H2059:H2063"/>
    <mergeCell ref="I2059:I2063"/>
    <mergeCell ref="J2059:J2063"/>
    <mergeCell ref="K2059:K2063"/>
    <mergeCell ref="L2059:L2063"/>
    <mergeCell ref="M2059:M2063"/>
    <mergeCell ref="N2059:N2063"/>
    <mergeCell ref="A2065:A2066"/>
    <mergeCell ref="B2065:B2066"/>
    <mergeCell ref="C2065:C2066"/>
    <mergeCell ref="D2065:D2066"/>
    <mergeCell ref="E2065:E2066"/>
    <mergeCell ref="F2065:F2066"/>
    <mergeCell ref="G2065:G2066"/>
    <mergeCell ref="H2065:H2066"/>
    <mergeCell ref="I2065:I2066"/>
    <mergeCell ref="J2065:J2066"/>
    <mergeCell ref="K2065:K2066"/>
    <mergeCell ref="L2065:L2066"/>
    <mergeCell ref="M2065:M2066"/>
    <mergeCell ref="N2065:N2066"/>
    <mergeCell ref="A2070:A2073"/>
    <mergeCell ref="B2070:B2073"/>
    <mergeCell ref="C2070:C2073"/>
    <mergeCell ref="D2070:D2073"/>
    <mergeCell ref="E2070:E2073"/>
    <mergeCell ref="F2070:F2073"/>
    <mergeCell ref="G2070:G2073"/>
    <mergeCell ref="H2070:H2073"/>
    <mergeCell ref="I2070:I2073"/>
    <mergeCell ref="J2070:J2073"/>
    <mergeCell ref="K2070:K2073"/>
    <mergeCell ref="L2070:L2073"/>
    <mergeCell ref="M2070:M2073"/>
    <mergeCell ref="N2070:N2073"/>
    <mergeCell ref="A2030:A2031"/>
    <mergeCell ref="B2030:B2031"/>
    <mergeCell ref="C2030:C2031"/>
    <mergeCell ref="D2030:D2031"/>
    <mergeCell ref="E2030:E2031"/>
    <mergeCell ref="F2030:F2031"/>
    <mergeCell ref="G2030:G2031"/>
    <mergeCell ref="H2030:H2031"/>
    <mergeCell ref="I2030:I2031"/>
    <mergeCell ref="J2030:J2031"/>
    <mergeCell ref="K2030:K2031"/>
    <mergeCell ref="L2030:L2031"/>
    <mergeCell ref="M2030:M2031"/>
    <mergeCell ref="N2030:N2031"/>
    <mergeCell ref="A2038:A2039"/>
    <mergeCell ref="B2038:B2039"/>
    <mergeCell ref="C2038:C2039"/>
    <mergeCell ref="D2038:D2039"/>
    <mergeCell ref="E2038:E2039"/>
    <mergeCell ref="F2038:F2039"/>
    <mergeCell ref="G2038:G2039"/>
    <mergeCell ref="H2038:H2039"/>
    <mergeCell ref="I2038:I2039"/>
    <mergeCell ref="J2038:J2039"/>
    <mergeCell ref="K2038:K2039"/>
    <mergeCell ref="L2038:L2039"/>
    <mergeCell ref="M2038:M2039"/>
    <mergeCell ref="N2038:N2039"/>
    <mergeCell ref="A2049:A2050"/>
    <mergeCell ref="B2049:B2050"/>
    <mergeCell ref="C2049:C2050"/>
    <mergeCell ref="D2049:D2050"/>
    <mergeCell ref="E2049:E2050"/>
    <mergeCell ref="F2049:F2050"/>
    <mergeCell ref="G2049:G2050"/>
    <mergeCell ref="H2049:H2050"/>
    <mergeCell ref="I2049:I2050"/>
    <mergeCell ref="J2049:J2050"/>
    <mergeCell ref="K2049:K2050"/>
    <mergeCell ref="L2049:L2050"/>
    <mergeCell ref="M2049:M2050"/>
    <mergeCell ref="N2049:N2050"/>
    <mergeCell ref="A2001:A2002"/>
    <mergeCell ref="B2001:B2002"/>
    <mergeCell ref="C2001:C2002"/>
    <mergeCell ref="D2001:D2002"/>
    <mergeCell ref="E2001:E2002"/>
    <mergeCell ref="F2001:F2002"/>
    <mergeCell ref="G2001:G2002"/>
    <mergeCell ref="H2001:H2002"/>
    <mergeCell ref="I2001:I2002"/>
    <mergeCell ref="J2001:J2002"/>
    <mergeCell ref="K2001:K2002"/>
    <mergeCell ref="L2001:L2002"/>
    <mergeCell ref="M2001:M2002"/>
    <mergeCell ref="N2001:N2002"/>
    <mergeCell ref="A2008:A2009"/>
    <mergeCell ref="B2008:B2009"/>
    <mergeCell ref="C2008:C2009"/>
    <mergeCell ref="D2008:D2009"/>
    <mergeCell ref="E2008:E2009"/>
    <mergeCell ref="F2008:F2009"/>
    <mergeCell ref="G2008:G2009"/>
    <mergeCell ref="H2008:H2009"/>
    <mergeCell ref="I2008:I2009"/>
    <mergeCell ref="J2008:J2009"/>
    <mergeCell ref="K2008:K2009"/>
    <mergeCell ref="L2008:L2009"/>
    <mergeCell ref="M2008:M2009"/>
    <mergeCell ref="N2008:N2009"/>
    <mergeCell ref="A2010:A2023"/>
    <mergeCell ref="B2010:B2023"/>
    <mergeCell ref="C2010:C2023"/>
    <mergeCell ref="D2010:D2023"/>
    <mergeCell ref="E2010:E2023"/>
    <mergeCell ref="F2010:F2023"/>
    <mergeCell ref="G2010:G2023"/>
    <mergeCell ref="H2010:H2023"/>
    <mergeCell ref="I2010:I2023"/>
    <mergeCell ref="J2010:J2023"/>
    <mergeCell ref="K2010:K2023"/>
    <mergeCell ref="L2010:L2023"/>
    <mergeCell ref="M2010:M2023"/>
    <mergeCell ref="N2010:N2023"/>
    <mergeCell ref="A1991:A1992"/>
    <mergeCell ref="B1991:B1992"/>
    <mergeCell ref="C1991:C1992"/>
    <mergeCell ref="D1991:D1992"/>
    <mergeCell ref="E1991:E1992"/>
    <mergeCell ref="F1991:F1992"/>
    <mergeCell ref="G1991:G1992"/>
    <mergeCell ref="H1991:H1992"/>
    <mergeCell ref="I1991:I1992"/>
    <mergeCell ref="J1991:J1992"/>
    <mergeCell ref="K1991:K1992"/>
    <mergeCell ref="L1991:L1992"/>
    <mergeCell ref="M1991:M1992"/>
    <mergeCell ref="N1991:N1992"/>
    <mergeCell ref="A1993:A1994"/>
    <mergeCell ref="B1993:B1994"/>
    <mergeCell ref="C1993:C1994"/>
    <mergeCell ref="D1993:D1994"/>
    <mergeCell ref="E1993:E1994"/>
    <mergeCell ref="F1993:F1994"/>
    <mergeCell ref="G1993:G1994"/>
    <mergeCell ref="H1993:H1994"/>
    <mergeCell ref="I1993:I1994"/>
    <mergeCell ref="J1993:J1994"/>
    <mergeCell ref="K1993:K1994"/>
    <mergeCell ref="L1993:L1994"/>
    <mergeCell ref="M1993:M1994"/>
    <mergeCell ref="N1993:N1994"/>
    <mergeCell ref="A1998:A1999"/>
    <mergeCell ref="B1998:B1999"/>
    <mergeCell ref="C1998:C1999"/>
    <mergeCell ref="D1998:D1999"/>
    <mergeCell ref="E1998:E1999"/>
    <mergeCell ref="F1998:F1999"/>
    <mergeCell ref="G1998:G1999"/>
    <mergeCell ref="H1998:H1999"/>
    <mergeCell ref="I1998:I1999"/>
    <mergeCell ref="J1998:J1999"/>
    <mergeCell ref="K1998:K1999"/>
    <mergeCell ref="L1998:L1999"/>
    <mergeCell ref="M1998:M1999"/>
    <mergeCell ref="N1998:N1999"/>
    <mergeCell ref="A1984:A1985"/>
    <mergeCell ref="B1984:B1985"/>
    <mergeCell ref="C1984:C1985"/>
    <mergeCell ref="D1984:D1985"/>
    <mergeCell ref="E1984:E1985"/>
    <mergeCell ref="F1984:F1985"/>
    <mergeCell ref="G1984:G1985"/>
    <mergeCell ref="H1984:H1985"/>
    <mergeCell ref="I1984:I1985"/>
    <mergeCell ref="J1984:J1985"/>
    <mergeCell ref="K1984:K1985"/>
    <mergeCell ref="L1984:L1985"/>
    <mergeCell ref="M1984:M1985"/>
    <mergeCell ref="N1984:N1985"/>
    <mergeCell ref="A1986:A1987"/>
    <mergeCell ref="B1986:B1987"/>
    <mergeCell ref="C1986:C1987"/>
    <mergeCell ref="D1986:D1987"/>
    <mergeCell ref="E1986:E1987"/>
    <mergeCell ref="F1986:F1987"/>
    <mergeCell ref="G1986:G1987"/>
    <mergeCell ref="H1986:H1987"/>
    <mergeCell ref="I1986:I1987"/>
    <mergeCell ref="J1986:J1987"/>
    <mergeCell ref="K1986:K1987"/>
    <mergeCell ref="L1986:L1987"/>
    <mergeCell ref="M1986:M1987"/>
    <mergeCell ref="N1986:N1987"/>
    <mergeCell ref="A1989:A1990"/>
    <mergeCell ref="B1989:B1990"/>
    <mergeCell ref="C1989:C1990"/>
    <mergeCell ref="D1989:D1990"/>
    <mergeCell ref="E1989:E1990"/>
    <mergeCell ref="F1989:F1990"/>
    <mergeCell ref="G1989:G1990"/>
    <mergeCell ref="H1989:H1990"/>
    <mergeCell ref="I1989:I1990"/>
    <mergeCell ref="J1989:J1990"/>
    <mergeCell ref="K1989:K1990"/>
    <mergeCell ref="L1989:L1990"/>
    <mergeCell ref="M1989:M1990"/>
    <mergeCell ref="N1989:N1990"/>
    <mergeCell ref="A1972:A1974"/>
    <mergeCell ref="B1972:B1974"/>
    <mergeCell ref="C1972:C1974"/>
    <mergeCell ref="D1972:D1974"/>
    <mergeCell ref="E1972:E1974"/>
    <mergeCell ref="F1972:F1974"/>
    <mergeCell ref="G1972:G1974"/>
    <mergeCell ref="H1972:H1974"/>
    <mergeCell ref="I1972:I1974"/>
    <mergeCell ref="J1972:J1974"/>
    <mergeCell ref="K1972:K1974"/>
    <mergeCell ref="L1972:L1974"/>
    <mergeCell ref="M1972:M1974"/>
    <mergeCell ref="N1972:N1974"/>
    <mergeCell ref="A1977:A1979"/>
    <mergeCell ref="B1977:B1979"/>
    <mergeCell ref="C1977:C1979"/>
    <mergeCell ref="D1977:D1979"/>
    <mergeCell ref="E1977:E1979"/>
    <mergeCell ref="F1977:F1979"/>
    <mergeCell ref="G1977:G1979"/>
    <mergeCell ref="H1977:H1979"/>
    <mergeCell ref="I1977:I1979"/>
    <mergeCell ref="J1977:J1979"/>
    <mergeCell ref="K1977:K1979"/>
    <mergeCell ref="L1977:L1979"/>
    <mergeCell ref="M1977:M1979"/>
    <mergeCell ref="N1977:N1979"/>
    <mergeCell ref="A1980:A1982"/>
    <mergeCell ref="B1980:B1982"/>
    <mergeCell ref="C1980:C1982"/>
    <mergeCell ref="D1980:D1982"/>
    <mergeCell ref="E1980:E1982"/>
    <mergeCell ref="F1980:F1982"/>
    <mergeCell ref="G1980:G1982"/>
    <mergeCell ref="H1980:H1982"/>
    <mergeCell ref="I1980:I1982"/>
    <mergeCell ref="J1980:J1982"/>
    <mergeCell ref="K1980:K1982"/>
    <mergeCell ref="L1980:L1982"/>
    <mergeCell ref="M1980:M1982"/>
    <mergeCell ref="N1980:N1982"/>
    <mergeCell ref="A1949:A1953"/>
    <mergeCell ref="B1949:B1953"/>
    <mergeCell ref="C1949:C1953"/>
    <mergeCell ref="D1949:D1953"/>
    <mergeCell ref="E1949:E1953"/>
    <mergeCell ref="F1949:F1953"/>
    <mergeCell ref="G1949:G1953"/>
    <mergeCell ref="H1949:H1953"/>
    <mergeCell ref="I1949:I1953"/>
    <mergeCell ref="J1949:J1953"/>
    <mergeCell ref="K1949:K1953"/>
    <mergeCell ref="L1949:L1953"/>
    <mergeCell ref="M1949:M1953"/>
    <mergeCell ref="N1949:N1953"/>
    <mergeCell ref="A1956:A1959"/>
    <mergeCell ref="B1956:B1959"/>
    <mergeCell ref="C1956:C1959"/>
    <mergeCell ref="D1956:D1959"/>
    <mergeCell ref="E1956:E1959"/>
    <mergeCell ref="F1956:F1959"/>
    <mergeCell ref="G1956:G1959"/>
    <mergeCell ref="H1956:H1959"/>
    <mergeCell ref="I1956:I1959"/>
    <mergeCell ref="J1956:J1959"/>
    <mergeCell ref="K1956:K1959"/>
    <mergeCell ref="L1956:L1959"/>
    <mergeCell ref="M1956:M1959"/>
    <mergeCell ref="N1956:N1959"/>
    <mergeCell ref="A1967:A1968"/>
    <mergeCell ref="B1967:B1968"/>
    <mergeCell ref="C1967:C1968"/>
    <mergeCell ref="D1967:D1968"/>
    <mergeCell ref="E1967:E1968"/>
    <mergeCell ref="F1967:F1968"/>
    <mergeCell ref="G1967:G1968"/>
    <mergeCell ref="H1967:H1968"/>
    <mergeCell ref="I1967:I1968"/>
    <mergeCell ref="J1967:J1968"/>
    <mergeCell ref="K1967:K1968"/>
    <mergeCell ref="L1967:L1968"/>
    <mergeCell ref="M1967:M1968"/>
    <mergeCell ref="N1967:N1968"/>
    <mergeCell ref="A1940:A1942"/>
    <mergeCell ref="B1940:B1942"/>
    <mergeCell ref="C1940:C1942"/>
    <mergeCell ref="D1940:D1942"/>
    <mergeCell ref="E1940:E1942"/>
    <mergeCell ref="F1940:F1942"/>
    <mergeCell ref="G1940:G1942"/>
    <mergeCell ref="H1940:H1942"/>
    <mergeCell ref="I1940:I1942"/>
    <mergeCell ref="J1940:J1942"/>
    <mergeCell ref="K1940:K1942"/>
    <mergeCell ref="L1940:L1942"/>
    <mergeCell ref="M1940:M1942"/>
    <mergeCell ref="N1940:N1942"/>
    <mergeCell ref="A1943:A1944"/>
    <mergeCell ref="B1943:B1944"/>
    <mergeCell ref="C1943:C1944"/>
    <mergeCell ref="D1943:D1944"/>
    <mergeCell ref="E1943:E1944"/>
    <mergeCell ref="F1943:F1944"/>
    <mergeCell ref="G1943:G1944"/>
    <mergeCell ref="H1943:H1944"/>
    <mergeCell ref="I1943:I1944"/>
    <mergeCell ref="J1943:J1944"/>
    <mergeCell ref="K1943:K1944"/>
    <mergeCell ref="L1943:L1944"/>
    <mergeCell ref="M1943:M1944"/>
    <mergeCell ref="N1943:N1944"/>
    <mergeCell ref="A1945:A1948"/>
    <mergeCell ref="B1945:B1948"/>
    <mergeCell ref="C1945:C1948"/>
    <mergeCell ref="D1945:D1948"/>
    <mergeCell ref="E1945:E1948"/>
    <mergeCell ref="F1945:F1948"/>
    <mergeCell ref="G1945:G1948"/>
    <mergeCell ref="H1945:H1948"/>
    <mergeCell ref="I1945:I1948"/>
    <mergeCell ref="J1945:J1948"/>
    <mergeCell ref="K1945:K1948"/>
    <mergeCell ref="L1945:L1948"/>
    <mergeCell ref="M1945:M1948"/>
    <mergeCell ref="N1945:N1948"/>
    <mergeCell ref="A1929:A1931"/>
    <mergeCell ref="B1929:B1931"/>
    <mergeCell ref="C1929:C1931"/>
    <mergeCell ref="D1929:D1931"/>
    <mergeCell ref="E1929:E1931"/>
    <mergeCell ref="F1929:F1931"/>
    <mergeCell ref="G1929:G1931"/>
    <mergeCell ref="H1929:H1931"/>
    <mergeCell ref="I1929:I1931"/>
    <mergeCell ref="J1929:J1931"/>
    <mergeCell ref="K1929:K1931"/>
    <mergeCell ref="L1929:L1931"/>
    <mergeCell ref="M1929:M1931"/>
    <mergeCell ref="N1929:N1931"/>
    <mergeCell ref="A1932:A1936"/>
    <mergeCell ref="B1932:B1936"/>
    <mergeCell ref="C1932:C1936"/>
    <mergeCell ref="D1932:D1936"/>
    <mergeCell ref="E1932:E1936"/>
    <mergeCell ref="F1932:F1936"/>
    <mergeCell ref="G1932:G1936"/>
    <mergeCell ref="H1932:H1936"/>
    <mergeCell ref="I1932:I1936"/>
    <mergeCell ref="J1932:J1936"/>
    <mergeCell ref="K1932:K1936"/>
    <mergeCell ref="L1932:L1936"/>
    <mergeCell ref="M1932:M1936"/>
    <mergeCell ref="N1932:N1936"/>
    <mergeCell ref="A1937:A1939"/>
    <mergeCell ref="B1937:B1939"/>
    <mergeCell ref="C1937:C1939"/>
    <mergeCell ref="D1937:D1939"/>
    <mergeCell ref="E1937:E1939"/>
    <mergeCell ref="F1937:F1939"/>
    <mergeCell ref="G1937:G1939"/>
    <mergeCell ref="H1937:H1939"/>
    <mergeCell ref="I1937:I1939"/>
    <mergeCell ref="J1937:J1939"/>
    <mergeCell ref="K1937:K1939"/>
    <mergeCell ref="L1937:L1939"/>
    <mergeCell ref="M1937:M1939"/>
    <mergeCell ref="N1937:N1939"/>
    <mergeCell ref="A1921:A1922"/>
    <mergeCell ref="B1921:B1922"/>
    <mergeCell ref="C1921:C1922"/>
    <mergeCell ref="D1921:D1922"/>
    <mergeCell ref="E1921:E1922"/>
    <mergeCell ref="F1921:F1922"/>
    <mergeCell ref="G1921:G1922"/>
    <mergeCell ref="H1921:H1922"/>
    <mergeCell ref="I1921:I1922"/>
    <mergeCell ref="J1921:J1922"/>
    <mergeCell ref="K1921:K1922"/>
    <mergeCell ref="L1921:L1922"/>
    <mergeCell ref="M1921:M1922"/>
    <mergeCell ref="N1921:N1922"/>
    <mergeCell ref="A1923:A1925"/>
    <mergeCell ref="B1923:B1925"/>
    <mergeCell ref="C1923:C1925"/>
    <mergeCell ref="D1923:D1925"/>
    <mergeCell ref="E1923:E1925"/>
    <mergeCell ref="F1923:F1925"/>
    <mergeCell ref="G1923:G1925"/>
    <mergeCell ref="H1923:H1925"/>
    <mergeCell ref="I1923:I1925"/>
    <mergeCell ref="J1923:J1925"/>
    <mergeCell ref="K1923:K1925"/>
    <mergeCell ref="L1923:L1925"/>
    <mergeCell ref="M1923:M1925"/>
    <mergeCell ref="N1923:N1925"/>
    <mergeCell ref="A1926:A1928"/>
    <mergeCell ref="B1926:B1928"/>
    <mergeCell ref="C1926:C1928"/>
    <mergeCell ref="D1926:D1928"/>
    <mergeCell ref="E1926:E1928"/>
    <mergeCell ref="F1926:F1928"/>
    <mergeCell ref="G1926:G1928"/>
    <mergeCell ref="H1926:H1928"/>
    <mergeCell ref="I1926:I1928"/>
    <mergeCell ref="J1926:J1928"/>
    <mergeCell ref="K1926:K1928"/>
    <mergeCell ref="L1926:L1928"/>
    <mergeCell ref="M1926:M1928"/>
    <mergeCell ref="N1926:N1928"/>
    <mergeCell ref="A1913:A1914"/>
    <mergeCell ref="B1913:B1914"/>
    <mergeCell ref="C1913:C1914"/>
    <mergeCell ref="D1913:D1914"/>
    <mergeCell ref="E1913:E1914"/>
    <mergeCell ref="F1913:F1914"/>
    <mergeCell ref="G1913:G1914"/>
    <mergeCell ref="H1913:H1914"/>
    <mergeCell ref="I1913:I1914"/>
    <mergeCell ref="J1913:J1914"/>
    <mergeCell ref="K1913:K1914"/>
    <mergeCell ref="L1913:L1914"/>
    <mergeCell ref="M1913:M1914"/>
    <mergeCell ref="N1913:N1914"/>
    <mergeCell ref="A1915:A1918"/>
    <mergeCell ref="B1915:B1918"/>
    <mergeCell ref="C1915:C1918"/>
    <mergeCell ref="D1915:D1918"/>
    <mergeCell ref="E1915:E1918"/>
    <mergeCell ref="F1915:F1918"/>
    <mergeCell ref="G1915:G1918"/>
    <mergeCell ref="H1915:H1918"/>
    <mergeCell ref="I1915:I1918"/>
    <mergeCell ref="J1915:J1918"/>
    <mergeCell ref="K1915:K1918"/>
    <mergeCell ref="L1915:L1918"/>
    <mergeCell ref="M1915:M1918"/>
    <mergeCell ref="N1915:N1918"/>
    <mergeCell ref="A1919:A1920"/>
    <mergeCell ref="B1919:B1920"/>
    <mergeCell ref="C1919:C1920"/>
    <mergeCell ref="D1919:D1920"/>
    <mergeCell ref="E1919:E1920"/>
    <mergeCell ref="F1919:F1920"/>
    <mergeCell ref="G1919:G1920"/>
    <mergeCell ref="H1919:H1920"/>
    <mergeCell ref="I1919:I1920"/>
    <mergeCell ref="J1919:J1920"/>
    <mergeCell ref="K1919:K1920"/>
    <mergeCell ref="L1919:L1920"/>
    <mergeCell ref="M1919:M1920"/>
    <mergeCell ref="N1919:N1920"/>
    <mergeCell ref="A1905:A1907"/>
    <mergeCell ref="B1905:B1907"/>
    <mergeCell ref="C1905:C1907"/>
    <mergeCell ref="D1905:D1907"/>
    <mergeCell ref="E1905:E1907"/>
    <mergeCell ref="F1905:F1907"/>
    <mergeCell ref="G1905:G1907"/>
    <mergeCell ref="H1905:H1907"/>
    <mergeCell ref="I1905:I1907"/>
    <mergeCell ref="J1905:J1907"/>
    <mergeCell ref="K1905:K1907"/>
    <mergeCell ref="L1905:L1907"/>
    <mergeCell ref="M1905:M1907"/>
    <mergeCell ref="N1905:N1907"/>
    <mergeCell ref="A1908:A1910"/>
    <mergeCell ref="B1908:B1910"/>
    <mergeCell ref="C1908:C1910"/>
    <mergeCell ref="D1908:D1910"/>
    <mergeCell ref="E1908:E1910"/>
    <mergeCell ref="F1908:F1910"/>
    <mergeCell ref="G1908:G1910"/>
    <mergeCell ref="H1908:H1910"/>
    <mergeCell ref="I1908:I1910"/>
    <mergeCell ref="J1908:J1910"/>
    <mergeCell ref="K1908:K1910"/>
    <mergeCell ref="L1908:L1910"/>
    <mergeCell ref="M1908:M1910"/>
    <mergeCell ref="N1908:N1910"/>
    <mergeCell ref="A1911:A1912"/>
    <mergeCell ref="B1911:B1912"/>
    <mergeCell ref="C1911:C1912"/>
    <mergeCell ref="D1911:D1912"/>
    <mergeCell ref="E1911:E1912"/>
    <mergeCell ref="F1911:F1912"/>
    <mergeCell ref="G1911:G1912"/>
    <mergeCell ref="H1911:H1912"/>
    <mergeCell ref="I1911:I1912"/>
    <mergeCell ref="J1911:J1912"/>
    <mergeCell ref="K1911:K1912"/>
    <mergeCell ref="L1911:L1912"/>
    <mergeCell ref="M1911:M1912"/>
    <mergeCell ref="N1911:N1912"/>
    <mergeCell ref="A1893:A1897"/>
    <mergeCell ref="B1893:B1897"/>
    <mergeCell ref="C1893:C1897"/>
    <mergeCell ref="D1893:D1897"/>
    <mergeCell ref="E1893:E1897"/>
    <mergeCell ref="F1893:F1897"/>
    <mergeCell ref="G1893:G1897"/>
    <mergeCell ref="H1893:H1897"/>
    <mergeCell ref="I1893:I1897"/>
    <mergeCell ref="J1893:J1897"/>
    <mergeCell ref="K1893:K1897"/>
    <mergeCell ref="L1893:L1897"/>
    <mergeCell ref="M1893:M1897"/>
    <mergeCell ref="N1893:N1897"/>
    <mergeCell ref="A1898:A1901"/>
    <mergeCell ref="B1898:B1901"/>
    <mergeCell ref="C1898:C1901"/>
    <mergeCell ref="D1898:D1901"/>
    <mergeCell ref="E1898:E1901"/>
    <mergeCell ref="F1898:F1901"/>
    <mergeCell ref="G1898:G1901"/>
    <mergeCell ref="H1898:H1901"/>
    <mergeCell ref="I1898:I1901"/>
    <mergeCell ref="J1898:J1901"/>
    <mergeCell ref="K1898:K1901"/>
    <mergeCell ref="L1898:L1901"/>
    <mergeCell ref="M1898:M1901"/>
    <mergeCell ref="N1898:N1901"/>
    <mergeCell ref="A1902:A1904"/>
    <mergeCell ref="B1902:B1904"/>
    <mergeCell ref="C1902:C1904"/>
    <mergeCell ref="D1902:D1904"/>
    <mergeCell ref="E1902:E1904"/>
    <mergeCell ref="F1902:F1904"/>
    <mergeCell ref="G1902:G1904"/>
    <mergeCell ref="H1902:H1904"/>
    <mergeCell ref="I1902:I1904"/>
    <mergeCell ref="J1902:J1904"/>
    <mergeCell ref="K1902:K1904"/>
    <mergeCell ref="L1902:L1904"/>
    <mergeCell ref="M1902:M1904"/>
    <mergeCell ref="N1902:N1904"/>
    <mergeCell ref="A1875:A1883"/>
    <mergeCell ref="B1875:B1883"/>
    <mergeCell ref="C1875:C1883"/>
    <mergeCell ref="D1875:D1883"/>
    <mergeCell ref="E1875:E1883"/>
    <mergeCell ref="F1875:F1883"/>
    <mergeCell ref="G1875:G1883"/>
    <mergeCell ref="H1875:H1883"/>
    <mergeCell ref="I1875:I1883"/>
    <mergeCell ref="J1875:J1883"/>
    <mergeCell ref="K1875:K1883"/>
    <mergeCell ref="L1875:L1883"/>
    <mergeCell ref="M1875:M1883"/>
    <mergeCell ref="N1875:N1883"/>
    <mergeCell ref="A1884:A1889"/>
    <mergeCell ref="B1884:B1889"/>
    <mergeCell ref="C1884:C1889"/>
    <mergeCell ref="D1884:D1889"/>
    <mergeCell ref="E1884:E1889"/>
    <mergeCell ref="F1884:F1889"/>
    <mergeCell ref="G1884:G1889"/>
    <mergeCell ref="H1884:H1889"/>
    <mergeCell ref="I1884:I1889"/>
    <mergeCell ref="J1884:J1889"/>
    <mergeCell ref="K1884:K1889"/>
    <mergeCell ref="L1884:L1889"/>
    <mergeCell ref="M1884:M1889"/>
    <mergeCell ref="N1884:N1889"/>
    <mergeCell ref="A1890:A1892"/>
    <mergeCell ref="B1890:B1892"/>
    <mergeCell ref="C1890:C1892"/>
    <mergeCell ref="D1890:D1892"/>
    <mergeCell ref="E1890:E1892"/>
    <mergeCell ref="F1890:F1892"/>
    <mergeCell ref="G1890:G1892"/>
    <mergeCell ref="H1890:H1892"/>
    <mergeCell ref="I1890:I1892"/>
    <mergeCell ref="J1890:J1892"/>
    <mergeCell ref="K1890:K1892"/>
    <mergeCell ref="L1890:L1892"/>
    <mergeCell ref="M1890:M1892"/>
    <mergeCell ref="N1890:N1892"/>
    <mergeCell ref="A1866:A1867"/>
    <mergeCell ref="B1866:B1867"/>
    <mergeCell ref="C1866:C1867"/>
    <mergeCell ref="D1866:D1867"/>
    <mergeCell ref="E1866:E1867"/>
    <mergeCell ref="F1866:F1867"/>
    <mergeCell ref="G1866:G1867"/>
    <mergeCell ref="H1866:H1867"/>
    <mergeCell ref="I1866:I1867"/>
    <mergeCell ref="J1866:J1867"/>
    <mergeCell ref="K1866:K1867"/>
    <mergeCell ref="L1866:L1867"/>
    <mergeCell ref="M1866:M1867"/>
    <mergeCell ref="N1866:N1867"/>
    <mergeCell ref="A1868:A1869"/>
    <mergeCell ref="B1868:B1869"/>
    <mergeCell ref="C1868:C1869"/>
    <mergeCell ref="D1868:D1869"/>
    <mergeCell ref="E1868:E1869"/>
    <mergeCell ref="F1868:F1869"/>
    <mergeCell ref="G1868:G1869"/>
    <mergeCell ref="H1868:H1869"/>
    <mergeCell ref="I1868:I1869"/>
    <mergeCell ref="J1868:J1869"/>
    <mergeCell ref="K1868:K1869"/>
    <mergeCell ref="L1868:L1869"/>
    <mergeCell ref="M1868:M1869"/>
    <mergeCell ref="N1868:N1869"/>
    <mergeCell ref="A1870:A1874"/>
    <mergeCell ref="B1870:B1874"/>
    <mergeCell ref="C1870:C1874"/>
    <mergeCell ref="D1870:D1874"/>
    <mergeCell ref="E1870:E1874"/>
    <mergeCell ref="F1870:F1874"/>
    <mergeCell ref="G1870:G1874"/>
    <mergeCell ref="H1870:H1874"/>
    <mergeCell ref="I1870:I1874"/>
    <mergeCell ref="J1870:J1874"/>
    <mergeCell ref="K1870:K1874"/>
    <mergeCell ref="L1870:L1874"/>
    <mergeCell ref="M1870:M1874"/>
    <mergeCell ref="N1870:N1874"/>
    <mergeCell ref="A1847:A1849"/>
    <mergeCell ref="B1847:B1849"/>
    <mergeCell ref="C1847:C1849"/>
    <mergeCell ref="D1847:D1849"/>
    <mergeCell ref="E1847:E1849"/>
    <mergeCell ref="F1847:F1849"/>
    <mergeCell ref="G1847:G1849"/>
    <mergeCell ref="H1847:H1849"/>
    <mergeCell ref="I1847:I1849"/>
    <mergeCell ref="J1847:J1849"/>
    <mergeCell ref="K1847:K1849"/>
    <mergeCell ref="L1847:L1849"/>
    <mergeCell ref="M1847:M1849"/>
    <mergeCell ref="N1847:N1849"/>
    <mergeCell ref="A1851:A1853"/>
    <mergeCell ref="B1851:B1853"/>
    <mergeCell ref="C1851:C1853"/>
    <mergeCell ref="D1851:D1853"/>
    <mergeCell ref="E1851:E1853"/>
    <mergeCell ref="F1851:F1853"/>
    <mergeCell ref="G1851:G1853"/>
    <mergeCell ref="H1851:H1853"/>
    <mergeCell ref="I1851:I1853"/>
    <mergeCell ref="J1851:J1853"/>
    <mergeCell ref="K1851:K1853"/>
    <mergeCell ref="L1851:L1853"/>
    <mergeCell ref="M1851:M1853"/>
    <mergeCell ref="N1851:N1853"/>
    <mergeCell ref="A1855:A1863"/>
    <mergeCell ref="B1855:B1863"/>
    <mergeCell ref="C1855:C1863"/>
    <mergeCell ref="D1855:D1863"/>
    <mergeCell ref="E1855:E1863"/>
    <mergeCell ref="F1855:F1863"/>
    <mergeCell ref="G1855:G1863"/>
    <mergeCell ref="H1855:H1863"/>
    <mergeCell ref="I1855:I1863"/>
    <mergeCell ref="J1855:J1863"/>
    <mergeCell ref="K1855:K1863"/>
    <mergeCell ref="L1855:L1863"/>
    <mergeCell ref="M1855:M1863"/>
    <mergeCell ref="N1855:N1863"/>
    <mergeCell ref="A1839:A1840"/>
    <mergeCell ref="B1839:B1840"/>
    <mergeCell ref="C1839:C1840"/>
    <mergeCell ref="D1839:D1840"/>
    <mergeCell ref="E1839:E1840"/>
    <mergeCell ref="F1839:F1840"/>
    <mergeCell ref="G1839:G1840"/>
    <mergeCell ref="H1839:H1840"/>
    <mergeCell ref="I1839:I1840"/>
    <mergeCell ref="J1839:J1840"/>
    <mergeCell ref="K1839:K1840"/>
    <mergeCell ref="L1839:L1840"/>
    <mergeCell ref="M1839:M1840"/>
    <mergeCell ref="N1839:N1840"/>
    <mergeCell ref="A1841:A1842"/>
    <mergeCell ref="B1841:B1842"/>
    <mergeCell ref="C1841:C1842"/>
    <mergeCell ref="D1841:D1842"/>
    <mergeCell ref="E1841:E1842"/>
    <mergeCell ref="F1841:F1842"/>
    <mergeCell ref="G1841:G1842"/>
    <mergeCell ref="H1841:H1842"/>
    <mergeCell ref="I1841:I1842"/>
    <mergeCell ref="J1841:J1842"/>
    <mergeCell ref="K1841:K1842"/>
    <mergeCell ref="L1841:L1842"/>
    <mergeCell ref="M1841:M1842"/>
    <mergeCell ref="N1841:N1842"/>
    <mergeCell ref="A1844:A1846"/>
    <mergeCell ref="B1844:B1846"/>
    <mergeCell ref="C1844:C1846"/>
    <mergeCell ref="D1844:D1846"/>
    <mergeCell ref="E1844:E1846"/>
    <mergeCell ref="F1844:F1846"/>
    <mergeCell ref="G1844:G1846"/>
    <mergeCell ref="H1844:H1846"/>
    <mergeCell ref="I1844:I1846"/>
    <mergeCell ref="J1844:J1846"/>
    <mergeCell ref="K1844:K1846"/>
    <mergeCell ref="L1844:L1846"/>
    <mergeCell ref="M1844:M1846"/>
    <mergeCell ref="N1844:N1846"/>
    <mergeCell ref="A1817:A1819"/>
    <mergeCell ref="B1817:B1819"/>
    <mergeCell ref="C1817:C1819"/>
    <mergeCell ref="D1817:D1819"/>
    <mergeCell ref="E1817:E1819"/>
    <mergeCell ref="F1817:F1819"/>
    <mergeCell ref="G1817:G1819"/>
    <mergeCell ref="H1817:H1819"/>
    <mergeCell ref="I1817:I1819"/>
    <mergeCell ref="J1817:J1819"/>
    <mergeCell ref="K1817:K1819"/>
    <mergeCell ref="L1817:L1819"/>
    <mergeCell ref="M1817:M1819"/>
    <mergeCell ref="N1817:N1819"/>
    <mergeCell ref="A1826:A1829"/>
    <mergeCell ref="B1826:B1829"/>
    <mergeCell ref="C1826:C1829"/>
    <mergeCell ref="D1826:D1829"/>
    <mergeCell ref="E1826:E1829"/>
    <mergeCell ref="F1826:F1829"/>
    <mergeCell ref="G1826:G1829"/>
    <mergeCell ref="H1826:H1829"/>
    <mergeCell ref="I1826:I1829"/>
    <mergeCell ref="J1826:J1829"/>
    <mergeCell ref="K1826:K1829"/>
    <mergeCell ref="L1826:L1829"/>
    <mergeCell ref="M1826:M1829"/>
    <mergeCell ref="N1826:N1829"/>
    <mergeCell ref="A1830:A1837"/>
    <mergeCell ref="B1830:B1837"/>
    <mergeCell ref="C1830:C1837"/>
    <mergeCell ref="D1830:D1837"/>
    <mergeCell ref="E1830:E1837"/>
    <mergeCell ref="F1830:F1837"/>
    <mergeCell ref="G1830:G1837"/>
    <mergeCell ref="H1830:H1837"/>
    <mergeCell ref="I1830:I1837"/>
    <mergeCell ref="J1830:J1837"/>
    <mergeCell ref="K1830:K1837"/>
    <mergeCell ref="L1830:L1837"/>
    <mergeCell ref="M1830:M1837"/>
    <mergeCell ref="N1830:N1837"/>
    <mergeCell ref="A1798:A1802"/>
    <mergeCell ref="B1798:B1802"/>
    <mergeCell ref="C1798:C1802"/>
    <mergeCell ref="D1798:D1802"/>
    <mergeCell ref="E1798:E1802"/>
    <mergeCell ref="F1798:F1802"/>
    <mergeCell ref="G1798:G1802"/>
    <mergeCell ref="H1798:H1802"/>
    <mergeCell ref="I1798:I1802"/>
    <mergeCell ref="J1798:J1802"/>
    <mergeCell ref="K1798:K1802"/>
    <mergeCell ref="L1798:L1802"/>
    <mergeCell ref="M1798:M1802"/>
    <mergeCell ref="N1798:N1802"/>
    <mergeCell ref="A1803:A1808"/>
    <mergeCell ref="B1803:B1808"/>
    <mergeCell ref="C1803:C1808"/>
    <mergeCell ref="D1803:D1808"/>
    <mergeCell ref="E1803:E1808"/>
    <mergeCell ref="F1803:F1808"/>
    <mergeCell ref="G1803:G1808"/>
    <mergeCell ref="H1803:H1808"/>
    <mergeCell ref="I1803:I1808"/>
    <mergeCell ref="J1803:J1808"/>
    <mergeCell ref="K1803:K1808"/>
    <mergeCell ref="L1803:L1808"/>
    <mergeCell ref="M1803:M1808"/>
    <mergeCell ref="N1803:N1808"/>
    <mergeCell ref="A1809:A1811"/>
    <mergeCell ref="B1809:B1811"/>
    <mergeCell ref="C1809:C1811"/>
    <mergeCell ref="D1809:D1811"/>
    <mergeCell ref="E1809:E1811"/>
    <mergeCell ref="F1809:F1811"/>
    <mergeCell ref="G1809:G1811"/>
    <mergeCell ref="H1809:H1811"/>
    <mergeCell ref="I1809:I1811"/>
    <mergeCell ref="J1809:J1811"/>
    <mergeCell ref="K1809:K1811"/>
    <mergeCell ref="L1809:L1811"/>
    <mergeCell ref="M1809:M1811"/>
    <mergeCell ref="N1809:N1811"/>
    <mergeCell ref="A1788:A1790"/>
    <mergeCell ref="B1788:B1790"/>
    <mergeCell ref="C1788:C1790"/>
    <mergeCell ref="D1788:D1790"/>
    <mergeCell ref="E1788:E1790"/>
    <mergeCell ref="F1788:F1790"/>
    <mergeCell ref="G1788:G1790"/>
    <mergeCell ref="H1788:H1790"/>
    <mergeCell ref="I1788:I1790"/>
    <mergeCell ref="J1788:J1790"/>
    <mergeCell ref="K1788:K1790"/>
    <mergeCell ref="L1788:L1790"/>
    <mergeCell ref="M1788:M1790"/>
    <mergeCell ref="N1788:N1790"/>
    <mergeCell ref="A1791:A1792"/>
    <mergeCell ref="B1791:B1792"/>
    <mergeCell ref="C1791:C1792"/>
    <mergeCell ref="D1791:D1792"/>
    <mergeCell ref="E1791:E1792"/>
    <mergeCell ref="F1791:F1792"/>
    <mergeCell ref="G1791:G1792"/>
    <mergeCell ref="H1791:H1792"/>
    <mergeCell ref="I1791:I1792"/>
    <mergeCell ref="J1791:J1792"/>
    <mergeCell ref="K1791:K1792"/>
    <mergeCell ref="L1791:L1792"/>
    <mergeCell ref="M1791:M1792"/>
    <mergeCell ref="N1791:N1792"/>
    <mergeCell ref="A1793:A1795"/>
    <mergeCell ref="B1793:B1795"/>
    <mergeCell ref="C1793:C1795"/>
    <mergeCell ref="D1793:D1795"/>
    <mergeCell ref="E1793:E1795"/>
    <mergeCell ref="F1793:F1795"/>
    <mergeCell ref="G1793:G1795"/>
    <mergeCell ref="H1793:H1795"/>
    <mergeCell ref="I1793:I1795"/>
    <mergeCell ref="J1793:J1795"/>
    <mergeCell ref="K1793:K1795"/>
    <mergeCell ref="L1793:L1795"/>
    <mergeCell ref="M1793:M1795"/>
    <mergeCell ref="N1793:N1795"/>
    <mergeCell ref="A1768:A1770"/>
    <mergeCell ref="B1768:B1770"/>
    <mergeCell ref="C1768:C1770"/>
    <mergeCell ref="D1768:D1770"/>
    <mergeCell ref="E1768:E1770"/>
    <mergeCell ref="F1768:F1770"/>
    <mergeCell ref="G1768:G1770"/>
    <mergeCell ref="H1768:H1770"/>
    <mergeCell ref="I1768:I1770"/>
    <mergeCell ref="J1768:J1770"/>
    <mergeCell ref="K1768:K1770"/>
    <mergeCell ref="L1768:L1770"/>
    <mergeCell ref="M1768:M1770"/>
    <mergeCell ref="N1768:N1770"/>
    <mergeCell ref="A1771:A1777"/>
    <mergeCell ref="B1771:B1777"/>
    <mergeCell ref="C1771:C1777"/>
    <mergeCell ref="D1771:D1777"/>
    <mergeCell ref="E1771:E1777"/>
    <mergeCell ref="F1771:F1777"/>
    <mergeCell ref="G1771:G1777"/>
    <mergeCell ref="H1771:H1777"/>
    <mergeCell ref="I1771:I1777"/>
    <mergeCell ref="J1771:J1777"/>
    <mergeCell ref="K1771:K1777"/>
    <mergeCell ref="L1771:L1777"/>
    <mergeCell ref="M1771:M1777"/>
    <mergeCell ref="N1771:N1777"/>
    <mergeCell ref="A1779:A1783"/>
    <mergeCell ref="B1779:B1783"/>
    <mergeCell ref="C1779:C1783"/>
    <mergeCell ref="D1779:D1783"/>
    <mergeCell ref="E1779:E1783"/>
    <mergeCell ref="F1779:F1783"/>
    <mergeCell ref="G1779:G1783"/>
    <mergeCell ref="H1779:H1783"/>
    <mergeCell ref="I1779:I1783"/>
    <mergeCell ref="J1779:J1783"/>
    <mergeCell ref="K1779:K1783"/>
    <mergeCell ref="L1779:L1783"/>
    <mergeCell ref="M1779:M1783"/>
    <mergeCell ref="N1779:N1783"/>
    <mergeCell ref="A1754:A1757"/>
    <mergeCell ref="B1754:B1757"/>
    <mergeCell ref="C1754:C1757"/>
    <mergeCell ref="D1754:D1757"/>
    <mergeCell ref="E1754:E1757"/>
    <mergeCell ref="F1754:F1757"/>
    <mergeCell ref="G1754:G1757"/>
    <mergeCell ref="H1754:H1757"/>
    <mergeCell ref="I1754:I1757"/>
    <mergeCell ref="J1754:J1757"/>
    <mergeCell ref="K1754:K1757"/>
    <mergeCell ref="L1754:L1757"/>
    <mergeCell ref="M1754:M1757"/>
    <mergeCell ref="N1754:N1757"/>
    <mergeCell ref="A1758:A1763"/>
    <mergeCell ref="B1758:B1763"/>
    <mergeCell ref="C1758:C1763"/>
    <mergeCell ref="D1758:D1763"/>
    <mergeCell ref="E1758:E1763"/>
    <mergeCell ref="F1758:F1763"/>
    <mergeCell ref="G1758:G1763"/>
    <mergeCell ref="H1758:H1763"/>
    <mergeCell ref="I1758:I1763"/>
    <mergeCell ref="J1758:J1763"/>
    <mergeCell ref="K1758:K1763"/>
    <mergeCell ref="L1758:L1763"/>
    <mergeCell ref="M1758:M1763"/>
    <mergeCell ref="N1758:N1763"/>
    <mergeCell ref="A1765:A1767"/>
    <mergeCell ref="B1765:B1767"/>
    <mergeCell ref="C1765:C1767"/>
    <mergeCell ref="D1765:D1767"/>
    <mergeCell ref="E1765:E1767"/>
    <mergeCell ref="F1765:F1767"/>
    <mergeCell ref="G1765:G1767"/>
    <mergeCell ref="H1765:H1767"/>
    <mergeCell ref="I1765:I1767"/>
    <mergeCell ref="J1765:J1767"/>
    <mergeCell ref="K1765:K1767"/>
    <mergeCell ref="L1765:L1767"/>
    <mergeCell ref="M1765:M1767"/>
    <mergeCell ref="N1765:N1767"/>
    <mergeCell ref="A1747:A1749"/>
    <mergeCell ref="B1747:B1749"/>
    <mergeCell ref="C1747:C1749"/>
    <mergeCell ref="D1747:D1749"/>
    <mergeCell ref="E1747:E1749"/>
    <mergeCell ref="F1747:F1749"/>
    <mergeCell ref="G1747:G1749"/>
    <mergeCell ref="H1747:H1749"/>
    <mergeCell ref="I1747:I1749"/>
    <mergeCell ref="J1747:J1749"/>
    <mergeCell ref="K1747:K1749"/>
    <mergeCell ref="L1747:L1749"/>
    <mergeCell ref="M1747:M1749"/>
    <mergeCell ref="N1747:N1749"/>
    <mergeCell ref="A1750:A1751"/>
    <mergeCell ref="B1750:B1751"/>
    <mergeCell ref="C1750:C1751"/>
    <mergeCell ref="D1750:D1751"/>
    <mergeCell ref="E1750:E1751"/>
    <mergeCell ref="F1750:F1751"/>
    <mergeCell ref="G1750:G1751"/>
    <mergeCell ref="H1750:H1751"/>
    <mergeCell ref="I1750:I1751"/>
    <mergeCell ref="J1750:J1751"/>
    <mergeCell ref="K1750:K1751"/>
    <mergeCell ref="L1750:L1751"/>
    <mergeCell ref="M1750:M1751"/>
    <mergeCell ref="N1750:N1751"/>
    <mergeCell ref="A1752:A1753"/>
    <mergeCell ref="B1752:B1753"/>
    <mergeCell ref="C1752:C1753"/>
    <mergeCell ref="D1752:D1753"/>
    <mergeCell ref="E1752:E1753"/>
    <mergeCell ref="F1752:F1753"/>
    <mergeCell ref="G1752:G1753"/>
    <mergeCell ref="H1752:H1753"/>
    <mergeCell ref="I1752:I1753"/>
    <mergeCell ref="J1752:J1753"/>
    <mergeCell ref="K1752:K1753"/>
    <mergeCell ref="L1752:L1753"/>
    <mergeCell ref="M1752:M1753"/>
    <mergeCell ref="N1752:N1753"/>
    <mergeCell ref="A1737:A1738"/>
    <mergeCell ref="B1737:B1738"/>
    <mergeCell ref="C1737:C1738"/>
    <mergeCell ref="D1737:D1738"/>
    <mergeCell ref="E1737:E1738"/>
    <mergeCell ref="F1737:F1738"/>
    <mergeCell ref="G1737:G1738"/>
    <mergeCell ref="H1737:H1738"/>
    <mergeCell ref="I1737:I1738"/>
    <mergeCell ref="J1737:J1738"/>
    <mergeCell ref="K1737:K1738"/>
    <mergeCell ref="L1737:L1738"/>
    <mergeCell ref="M1737:M1738"/>
    <mergeCell ref="N1737:N1738"/>
    <mergeCell ref="A1739:A1741"/>
    <mergeCell ref="B1739:B1741"/>
    <mergeCell ref="C1739:C1741"/>
    <mergeCell ref="D1739:D1741"/>
    <mergeCell ref="E1739:E1741"/>
    <mergeCell ref="F1739:F1741"/>
    <mergeCell ref="G1739:G1741"/>
    <mergeCell ref="H1739:H1741"/>
    <mergeCell ref="I1739:I1741"/>
    <mergeCell ref="J1739:J1741"/>
    <mergeCell ref="K1739:K1741"/>
    <mergeCell ref="L1739:L1741"/>
    <mergeCell ref="M1739:M1741"/>
    <mergeCell ref="N1739:N1741"/>
    <mergeCell ref="A1744:A1745"/>
    <mergeCell ref="B1744:B1745"/>
    <mergeCell ref="C1744:C1745"/>
    <mergeCell ref="D1744:D1745"/>
    <mergeCell ref="E1744:E1745"/>
    <mergeCell ref="F1744:F1745"/>
    <mergeCell ref="G1744:G1745"/>
    <mergeCell ref="H1744:H1745"/>
    <mergeCell ref="I1744:I1745"/>
    <mergeCell ref="J1744:J1745"/>
    <mergeCell ref="K1744:K1745"/>
    <mergeCell ref="L1744:L1745"/>
    <mergeCell ref="M1744:M1745"/>
    <mergeCell ref="N1744:N1745"/>
    <mergeCell ref="A1722:A1723"/>
    <mergeCell ref="B1722:B1723"/>
    <mergeCell ref="C1722:C1723"/>
    <mergeCell ref="D1722:D1723"/>
    <mergeCell ref="E1722:E1723"/>
    <mergeCell ref="F1722:F1723"/>
    <mergeCell ref="G1722:G1723"/>
    <mergeCell ref="H1722:H1723"/>
    <mergeCell ref="I1722:I1723"/>
    <mergeCell ref="J1722:J1723"/>
    <mergeCell ref="K1722:K1723"/>
    <mergeCell ref="L1722:L1723"/>
    <mergeCell ref="M1722:M1723"/>
    <mergeCell ref="N1722:N1723"/>
    <mergeCell ref="A1727:A1728"/>
    <mergeCell ref="B1727:B1728"/>
    <mergeCell ref="C1727:C1728"/>
    <mergeCell ref="D1727:D1728"/>
    <mergeCell ref="E1727:E1728"/>
    <mergeCell ref="F1727:F1728"/>
    <mergeCell ref="G1727:G1728"/>
    <mergeCell ref="H1727:H1728"/>
    <mergeCell ref="I1727:I1728"/>
    <mergeCell ref="J1727:J1728"/>
    <mergeCell ref="K1727:K1728"/>
    <mergeCell ref="L1727:L1728"/>
    <mergeCell ref="M1727:M1728"/>
    <mergeCell ref="N1727:N1728"/>
    <mergeCell ref="A1729:A1731"/>
    <mergeCell ref="B1729:B1731"/>
    <mergeCell ref="C1729:C1731"/>
    <mergeCell ref="D1729:D1731"/>
    <mergeCell ref="E1729:E1731"/>
    <mergeCell ref="F1729:F1731"/>
    <mergeCell ref="G1729:G1731"/>
    <mergeCell ref="H1729:H1731"/>
    <mergeCell ref="I1729:I1731"/>
    <mergeCell ref="J1729:J1731"/>
    <mergeCell ref="K1729:K1731"/>
    <mergeCell ref="L1729:L1731"/>
    <mergeCell ref="M1729:M1731"/>
    <mergeCell ref="N1729:N1731"/>
    <mergeCell ref="A1708:A1710"/>
    <mergeCell ref="B1708:B1710"/>
    <mergeCell ref="C1708:C1710"/>
    <mergeCell ref="D1708:D1710"/>
    <mergeCell ref="E1708:E1710"/>
    <mergeCell ref="F1708:F1710"/>
    <mergeCell ref="G1708:G1710"/>
    <mergeCell ref="H1708:H1710"/>
    <mergeCell ref="I1708:I1710"/>
    <mergeCell ref="J1708:J1710"/>
    <mergeCell ref="K1708:K1710"/>
    <mergeCell ref="L1708:L1710"/>
    <mergeCell ref="M1708:M1710"/>
    <mergeCell ref="N1708:N1710"/>
    <mergeCell ref="A1715:A1716"/>
    <mergeCell ref="B1715:B1716"/>
    <mergeCell ref="C1715:C1716"/>
    <mergeCell ref="D1715:D1716"/>
    <mergeCell ref="E1715:E1716"/>
    <mergeCell ref="F1715:F1716"/>
    <mergeCell ref="G1715:G1716"/>
    <mergeCell ref="H1715:H1716"/>
    <mergeCell ref="I1715:I1716"/>
    <mergeCell ref="J1715:J1716"/>
    <mergeCell ref="K1715:K1716"/>
    <mergeCell ref="L1715:L1716"/>
    <mergeCell ref="M1715:M1716"/>
    <mergeCell ref="N1715:N1716"/>
    <mergeCell ref="A1718:A1721"/>
    <mergeCell ref="B1718:B1721"/>
    <mergeCell ref="C1718:C1721"/>
    <mergeCell ref="D1718:D1721"/>
    <mergeCell ref="E1718:E1721"/>
    <mergeCell ref="F1718:F1721"/>
    <mergeCell ref="G1718:G1721"/>
    <mergeCell ref="H1718:H1721"/>
    <mergeCell ref="I1718:I1721"/>
    <mergeCell ref="J1718:J1721"/>
    <mergeCell ref="K1718:K1721"/>
    <mergeCell ref="L1718:L1721"/>
    <mergeCell ref="M1718:M1721"/>
    <mergeCell ref="N1718:N1721"/>
    <mergeCell ref="A1699:A1700"/>
    <mergeCell ref="B1699:B1700"/>
    <mergeCell ref="C1699:C1700"/>
    <mergeCell ref="D1699:D1700"/>
    <mergeCell ref="E1699:E1700"/>
    <mergeCell ref="F1699:F1700"/>
    <mergeCell ref="G1699:G1700"/>
    <mergeCell ref="H1699:H1700"/>
    <mergeCell ref="I1699:I1700"/>
    <mergeCell ref="J1699:J1700"/>
    <mergeCell ref="K1699:K1700"/>
    <mergeCell ref="L1699:L1700"/>
    <mergeCell ref="M1699:M1700"/>
    <mergeCell ref="N1699:N1700"/>
    <mergeCell ref="A1701:A1702"/>
    <mergeCell ref="B1701:B1702"/>
    <mergeCell ref="C1701:C1702"/>
    <mergeCell ref="D1701:D1702"/>
    <mergeCell ref="E1701:E1702"/>
    <mergeCell ref="F1701:F1702"/>
    <mergeCell ref="G1701:G1702"/>
    <mergeCell ref="H1701:H1702"/>
    <mergeCell ref="I1701:I1702"/>
    <mergeCell ref="J1701:J1702"/>
    <mergeCell ref="K1701:K1702"/>
    <mergeCell ref="L1701:L1702"/>
    <mergeCell ref="M1701:M1702"/>
    <mergeCell ref="N1701:N1702"/>
    <mergeCell ref="A1704:A1706"/>
    <mergeCell ref="B1704:B1706"/>
    <mergeCell ref="C1704:C1706"/>
    <mergeCell ref="D1704:D1706"/>
    <mergeCell ref="E1704:E1706"/>
    <mergeCell ref="F1704:F1706"/>
    <mergeCell ref="G1704:G1706"/>
    <mergeCell ref="H1704:H1706"/>
    <mergeCell ref="I1704:I1706"/>
    <mergeCell ref="J1704:J1706"/>
    <mergeCell ref="K1704:K1706"/>
    <mergeCell ref="L1704:L1706"/>
    <mergeCell ref="M1704:M1706"/>
    <mergeCell ref="N1704:N1706"/>
    <mergeCell ref="A1686:A1689"/>
    <mergeCell ref="B1686:B1689"/>
    <mergeCell ref="C1686:C1689"/>
    <mergeCell ref="D1686:D1689"/>
    <mergeCell ref="E1686:E1689"/>
    <mergeCell ref="F1686:F1689"/>
    <mergeCell ref="G1686:G1689"/>
    <mergeCell ref="H1686:H1689"/>
    <mergeCell ref="I1686:I1689"/>
    <mergeCell ref="J1686:J1689"/>
    <mergeCell ref="K1686:K1689"/>
    <mergeCell ref="L1686:L1689"/>
    <mergeCell ref="M1686:M1689"/>
    <mergeCell ref="N1686:N1689"/>
    <mergeCell ref="A1691:A1693"/>
    <mergeCell ref="B1691:B1693"/>
    <mergeCell ref="C1691:C1693"/>
    <mergeCell ref="D1691:D1693"/>
    <mergeCell ref="E1691:E1693"/>
    <mergeCell ref="F1691:F1693"/>
    <mergeCell ref="G1691:G1693"/>
    <mergeCell ref="H1691:H1693"/>
    <mergeCell ref="I1691:I1693"/>
    <mergeCell ref="J1691:J1693"/>
    <mergeCell ref="K1691:K1693"/>
    <mergeCell ref="L1691:L1693"/>
    <mergeCell ref="M1691:M1693"/>
    <mergeCell ref="N1691:N1693"/>
    <mergeCell ref="A1695:A1697"/>
    <mergeCell ref="B1695:B1697"/>
    <mergeCell ref="C1695:C1697"/>
    <mergeCell ref="D1695:D1697"/>
    <mergeCell ref="E1695:E1697"/>
    <mergeCell ref="F1695:F1697"/>
    <mergeCell ref="G1695:G1697"/>
    <mergeCell ref="H1695:H1697"/>
    <mergeCell ref="I1695:I1697"/>
    <mergeCell ref="J1695:J1697"/>
    <mergeCell ref="K1695:K1697"/>
    <mergeCell ref="L1695:L1697"/>
    <mergeCell ref="M1695:M1697"/>
    <mergeCell ref="N1695:N1697"/>
    <mergeCell ref="A1666:A1668"/>
    <mergeCell ref="B1666:B1668"/>
    <mergeCell ref="C1666:C1668"/>
    <mergeCell ref="D1666:D1668"/>
    <mergeCell ref="E1666:E1668"/>
    <mergeCell ref="F1666:F1668"/>
    <mergeCell ref="G1666:G1668"/>
    <mergeCell ref="H1666:H1668"/>
    <mergeCell ref="I1666:I1668"/>
    <mergeCell ref="J1666:J1668"/>
    <mergeCell ref="K1666:K1668"/>
    <mergeCell ref="L1666:L1668"/>
    <mergeCell ref="M1666:M1668"/>
    <mergeCell ref="N1666:N1668"/>
    <mergeCell ref="A1672:A1674"/>
    <mergeCell ref="B1672:B1674"/>
    <mergeCell ref="C1672:C1674"/>
    <mergeCell ref="D1672:D1674"/>
    <mergeCell ref="E1672:E1674"/>
    <mergeCell ref="F1672:F1674"/>
    <mergeCell ref="G1672:G1674"/>
    <mergeCell ref="H1672:H1674"/>
    <mergeCell ref="I1672:I1674"/>
    <mergeCell ref="J1672:J1674"/>
    <mergeCell ref="K1672:K1674"/>
    <mergeCell ref="L1672:L1674"/>
    <mergeCell ref="M1672:M1674"/>
    <mergeCell ref="N1672:N1674"/>
    <mergeCell ref="A1678:A1682"/>
    <mergeCell ref="B1678:B1682"/>
    <mergeCell ref="C1678:C1682"/>
    <mergeCell ref="D1678:D1682"/>
    <mergeCell ref="E1678:E1682"/>
    <mergeCell ref="F1678:F1682"/>
    <mergeCell ref="G1678:G1682"/>
    <mergeCell ref="H1678:H1682"/>
    <mergeCell ref="I1678:I1682"/>
    <mergeCell ref="J1678:J1682"/>
    <mergeCell ref="K1678:K1682"/>
    <mergeCell ref="L1678:L1682"/>
    <mergeCell ref="M1678:M1682"/>
    <mergeCell ref="N1678:N1682"/>
    <mergeCell ref="A1657:A1659"/>
    <mergeCell ref="B1657:B1659"/>
    <mergeCell ref="C1657:C1659"/>
    <mergeCell ref="D1657:D1659"/>
    <mergeCell ref="E1657:E1659"/>
    <mergeCell ref="F1657:F1659"/>
    <mergeCell ref="G1657:G1659"/>
    <mergeCell ref="H1657:H1659"/>
    <mergeCell ref="I1657:I1659"/>
    <mergeCell ref="J1657:J1659"/>
    <mergeCell ref="K1657:K1659"/>
    <mergeCell ref="L1657:L1659"/>
    <mergeCell ref="M1657:M1659"/>
    <mergeCell ref="N1657:N1659"/>
    <mergeCell ref="A1660:A1662"/>
    <mergeCell ref="B1660:B1662"/>
    <mergeCell ref="C1660:C1662"/>
    <mergeCell ref="D1660:D1662"/>
    <mergeCell ref="E1660:E1662"/>
    <mergeCell ref="F1660:F1662"/>
    <mergeCell ref="G1660:G1662"/>
    <mergeCell ref="H1660:H1662"/>
    <mergeCell ref="I1660:I1662"/>
    <mergeCell ref="J1660:J1662"/>
    <mergeCell ref="K1660:K1662"/>
    <mergeCell ref="L1660:L1662"/>
    <mergeCell ref="M1660:M1662"/>
    <mergeCell ref="N1660:N1662"/>
    <mergeCell ref="A1663:A1664"/>
    <mergeCell ref="B1663:B1664"/>
    <mergeCell ref="C1663:C1664"/>
    <mergeCell ref="D1663:D1664"/>
    <mergeCell ref="E1663:E1664"/>
    <mergeCell ref="F1663:F1664"/>
    <mergeCell ref="G1663:G1664"/>
    <mergeCell ref="H1663:H1664"/>
    <mergeCell ref="I1663:I1664"/>
    <mergeCell ref="J1663:J1664"/>
    <mergeCell ref="K1663:K1664"/>
    <mergeCell ref="L1663:L1664"/>
    <mergeCell ref="M1663:M1664"/>
    <mergeCell ref="N1663:N1664"/>
    <mergeCell ref="A1644:A1645"/>
    <mergeCell ref="B1644:B1645"/>
    <mergeCell ref="C1644:C1645"/>
    <mergeCell ref="D1644:D1645"/>
    <mergeCell ref="E1644:E1645"/>
    <mergeCell ref="F1644:F1645"/>
    <mergeCell ref="G1644:G1645"/>
    <mergeCell ref="H1644:H1645"/>
    <mergeCell ref="I1644:I1645"/>
    <mergeCell ref="J1644:J1645"/>
    <mergeCell ref="K1644:K1645"/>
    <mergeCell ref="L1644:L1645"/>
    <mergeCell ref="M1644:M1645"/>
    <mergeCell ref="N1644:N1645"/>
    <mergeCell ref="A1647:A1648"/>
    <mergeCell ref="B1647:B1648"/>
    <mergeCell ref="C1647:C1648"/>
    <mergeCell ref="D1647:D1648"/>
    <mergeCell ref="E1647:E1648"/>
    <mergeCell ref="F1647:F1648"/>
    <mergeCell ref="G1647:G1648"/>
    <mergeCell ref="H1647:H1648"/>
    <mergeCell ref="I1647:I1648"/>
    <mergeCell ref="J1647:J1648"/>
    <mergeCell ref="K1647:K1648"/>
    <mergeCell ref="L1647:L1648"/>
    <mergeCell ref="M1647:M1648"/>
    <mergeCell ref="N1647:N1648"/>
    <mergeCell ref="A1650:A1651"/>
    <mergeCell ref="B1650:B1651"/>
    <mergeCell ref="C1650:C1651"/>
    <mergeCell ref="D1650:D1651"/>
    <mergeCell ref="E1650:E1651"/>
    <mergeCell ref="F1650:F1651"/>
    <mergeCell ref="G1650:G1651"/>
    <mergeCell ref="H1650:H1651"/>
    <mergeCell ref="I1650:I1651"/>
    <mergeCell ref="J1650:J1651"/>
    <mergeCell ref="K1650:K1651"/>
    <mergeCell ref="L1650:L1651"/>
    <mergeCell ref="M1650:M1651"/>
    <mergeCell ref="N1650:N1651"/>
    <mergeCell ref="A1636:A1637"/>
    <mergeCell ref="B1636:B1637"/>
    <mergeCell ref="C1636:C1637"/>
    <mergeCell ref="D1636:D1637"/>
    <mergeCell ref="E1636:E1637"/>
    <mergeCell ref="F1636:F1637"/>
    <mergeCell ref="G1636:G1637"/>
    <mergeCell ref="H1636:H1637"/>
    <mergeCell ref="I1636:I1637"/>
    <mergeCell ref="J1636:J1637"/>
    <mergeCell ref="K1636:K1637"/>
    <mergeCell ref="L1636:L1637"/>
    <mergeCell ref="M1636:M1637"/>
    <mergeCell ref="N1636:N1637"/>
    <mergeCell ref="A1638:A1639"/>
    <mergeCell ref="B1638:B1639"/>
    <mergeCell ref="C1638:C1639"/>
    <mergeCell ref="D1638:D1639"/>
    <mergeCell ref="E1638:E1639"/>
    <mergeCell ref="F1638:F1639"/>
    <mergeCell ref="G1638:G1639"/>
    <mergeCell ref="H1638:H1639"/>
    <mergeCell ref="I1638:I1639"/>
    <mergeCell ref="J1638:J1639"/>
    <mergeCell ref="K1638:K1639"/>
    <mergeCell ref="L1638:L1639"/>
    <mergeCell ref="M1638:M1639"/>
    <mergeCell ref="N1638:N1639"/>
    <mergeCell ref="A1641:A1643"/>
    <mergeCell ref="B1641:B1643"/>
    <mergeCell ref="C1641:C1643"/>
    <mergeCell ref="D1641:D1643"/>
    <mergeCell ref="E1641:E1643"/>
    <mergeCell ref="F1641:F1643"/>
    <mergeCell ref="G1641:G1643"/>
    <mergeCell ref="H1641:H1643"/>
    <mergeCell ref="I1641:I1643"/>
    <mergeCell ref="J1641:J1643"/>
    <mergeCell ref="K1641:K1643"/>
    <mergeCell ref="L1641:L1643"/>
    <mergeCell ref="M1641:M1643"/>
    <mergeCell ref="N1641:N1643"/>
    <mergeCell ref="A1621:A1622"/>
    <mergeCell ref="B1621:B1622"/>
    <mergeCell ref="C1621:C1622"/>
    <mergeCell ref="D1621:D1622"/>
    <mergeCell ref="E1621:E1622"/>
    <mergeCell ref="F1621:F1622"/>
    <mergeCell ref="G1621:G1622"/>
    <mergeCell ref="H1621:H1622"/>
    <mergeCell ref="I1621:I1622"/>
    <mergeCell ref="J1621:J1622"/>
    <mergeCell ref="K1621:K1622"/>
    <mergeCell ref="L1621:L1622"/>
    <mergeCell ref="M1621:M1622"/>
    <mergeCell ref="N1621:N1622"/>
    <mergeCell ref="A1623:A1629"/>
    <mergeCell ref="B1623:B1629"/>
    <mergeCell ref="C1623:C1629"/>
    <mergeCell ref="D1623:D1629"/>
    <mergeCell ref="E1623:E1629"/>
    <mergeCell ref="F1623:F1629"/>
    <mergeCell ref="G1623:G1629"/>
    <mergeCell ref="H1623:H1629"/>
    <mergeCell ref="I1623:I1629"/>
    <mergeCell ref="J1623:J1629"/>
    <mergeCell ref="K1623:K1629"/>
    <mergeCell ref="L1623:L1629"/>
    <mergeCell ref="M1623:M1629"/>
    <mergeCell ref="N1623:N1629"/>
    <mergeCell ref="A1633:A1635"/>
    <mergeCell ref="B1633:B1635"/>
    <mergeCell ref="C1633:C1635"/>
    <mergeCell ref="D1633:D1635"/>
    <mergeCell ref="E1633:E1635"/>
    <mergeCell ref="F1633:F1635"/>
    <mergeCell ref="G1633:G1635"/>
    <mergeCell ref="H1633:H1635"/>
    <mergeCell ref="I1633:I1635"/>
    <mergeCell ref="J1633:J1635"/>
    <mergeCell ref="K1633:K1635"/>
    <mergeCell ref="L1633:L1635"/>
    <mergeCell ref="M1633:M1635"/>
    <mergeCell ref="N1633:N1635"/>
    <mergeCell ref="A1612:A1613"/>
    <mergeCell ref="B1612:B1613"/>
    <mergeCell ref="C1612:C1613"/>
    <mergeCell ref="D1612:D1613"/>
    <mergeCell ref="E1612:E1613"/>
    <mergeCell ref="F1612:F1613"/>
    <mergeCell ref="G1612:G1613"/>
    <mergeCell ref="H1612:H1613"/>
    <mergeCell ref="I1612:I1613"/>
    <mergeCell ref="J1612:J1613"/>
    <mergeCell ref="K1612:K1613"/>
    <mergeCell ref="L1612:L1613"/>
    <mergeCell ref="M1612:M1613"/>
    <mergeCell ref="N1612:N1613"/>
    <mergeCell ref="A1614:A1615"/>
    <mergeCell ref="B1614:B1615"/>
    <mergeCell ref="C1614:C1615"/>
    <mergeCell ref="D1614:D1615"/>
    <mergeCell ref="E1614:E1615"/>
    <mergeCell ref="F1614:F1615"/>
    <mergeCell ref="G1614:G1615"/>
    <mergeCell ref="H1614:H1615"/>
    <mergeCell ref="I1614:I1615"/>
    <mergeCell ref="J1614:J1615"/>
    <mergeCell ref="K1614:K1615"/>
    <mergeCell ref="L1614:L1615"/>
    <mergeCell ref="M1614:M1615"/>
    <mergeCell ref="N1614:N1615"/>
    <mergeCell ref="A1616:A1619"/>
    <mergeCell ref="B1616:B1619"/>
    <mergeCell ref="C1616:C1619"/>
    <mergeCell ref="D1616:D1619"/>
    <mergeCell ref="E1616:E1619"/>
    <mergeCell ref="F1616:F1619"/>
    <mergeCell ref="G1616:G1619"/>
    <mergeCell ref="H1616:H1619"/>
    <mergeCell ref="I1616:I1619"/>
    <mergeCell ref="J1616:J1619"/>
    <mergeCell ref="K1616:K1619"/>
    <mergeCell ref="L1616:L1619"/>
    <mergeCell ref="M1616:M1619"/>
    <mergeCell ref="N1616:N1619"/>
    <mergeCell ref="A1601:A1604"/>
    <mergeCell ref="B1601:B1604"/>
    <mergeCell ref="C1601:C1604"/>
    <mergeCell ref="D1601:D1604"/>
    <mergeCell ref="E1601:E1604"/>
    <mergeCell ref="F1601:F1604"/>
    <mergeCell ref="G1601:G1604"/>
    <mergeCell ref="H1601:H1604"/>
    <mergeCell ref="I1601:I1604"/>
    <mergeCell ref="J1601:J1604"/>
    <mergeCell ref="K1601:K1604"/>
    <mergeCell ref="L1601:L1604"/>
    <mergeCell ref="M1601:M1604"/>
    <mergeCell ref="N1601:N1604"/>
    <mergeCell ref="A1605:A1606"/>
    <mergeCell ref="B1605:B1606"/>
    <mergeCell ref="C1605:C1606"/>
    <mergeCell ref="D1605:D1606"/>
    <mergeCell ref="E1605:E1606"/>
    <mergeCell ref="F1605:F1606"/>
    <mergeCell ref="G1605:G1606"/>
    <mergeCell ref="H1605:H1606"/>
    <mergeCell ref="I1605:I1606"/>
    <mergeCell ref="J1605:J1606"/>
    <mergeCell ref="K1605:K1606"/>
    <mergeCell ref="L1605:L1606"/>
    <mergeCell ref="M1605:M1606"/>
    <mergeCell ref="N1605:N1606"/>
    <mergeCell ref="A1609:A1611"/>
    <mergeCell ref="B1609:B1611"/>
    <mergeCell ref="C1609:C1611"/>
    <mergeCell ref="D1609:D1611"/>
    <mergeCell ref="E1609:E1611"/>
    <mergeCell ref="F1609:F1611"/>
    <mergeCell ref="G1609:G1611"/>
    <mergeCell ref="H1609:H1611"/>
    <mergeCell ref="I1609:I1611"/>
    <mergeCell ref="J1609:J1611"/>
    <mergeCell ref="K1609:K1611"/>
    <mergeCell ref="L1609:L1611"/>
    <mergeCell ref="M1609:M1611"/>
    <mergeCell ref="N1609:N1611"/>
    <mergeCell ref="A1590:A1591"/>
    <mergeCell ref="B1590:B1591"/>
    <mergeCell ref="C1590:C1591"/>
    <mergeCell ref="D1590:D1591"/>
    <mergeCell ref="E1590:E1591"/>
    <mergeCell ref="F1590:F1591"/>
    <mergeCell ref="G1590:G1591"/>
    <mergeCell ref="H1590:H1591"/>
    <mergeCell ref="I1590:I1591"/>
    <mergeCell ref="J1590:J1591"/>
    <mergeCell ref="K1590:K1591"/>
    <mergeCell ref="L1590:L1591"/>
    <mergeCell ref="M1590:M1591"/>
    <mergeCell ref="N1590:N1591"/>
    <mergeCell ref="A1592:A1595"/>
    <mergeCell ref="B1592:B1595"/>
    <mergeCell ref="C1592:C1595"/>
    <mergeCell ref="D1592:D1595"/>
    <mergeCell ref="E1592:E1595"/>
    <mergeCell ref="F1592:F1595"/>
    <mergeCell ref="G1592:G1595"/>
    <mergeCell ref="H1592:H1595"/>
    <mergeCell ref="I1592:I1595"/>
    <mergeCell ref="J1592:J1595"/>
    <mergeCell ref="K1592:K1595"/>
    <mergeCell ref="L1592:L1595"/>
    <mergeCell ref="M1592:M1595"/>
    <mergeCell ref="N1592:N1595"/>
    <mergeCell ref="A1598:A1600"/>
    <mergeCell ref="B1598:B1600"/>
    <mergeCell ref="C1598:C1600"/>
    <mergeCell ref="D1598:D1600"/>
    <mergeCell ref="E1598:E1600"/>
    <mergeCell ref="F1598:F1600"/>
    <mergeCell ref="G1598:G1600"/>
    <mergeCell ref="H1598:H1600"/>
    <mergeCell ref="I1598:I1600"/>
    <mergeCell ref="J1598:J1600"/>
    <mergeCell ref="K1598:K1600"/>
    <mergeCell ref="L1598:L1600"/>
    <mergeCell ref="M1598:M1600"/>
    <mergeCell ref="N1598:N1600"/>
    <mergeCell ref="A1565:A1568"/>
    <mergeCell ref="B1565:B1568"/>
    <mergeCell ref="C1565:C1568"/>
    <mergeCell ref="D1565:D1568"/>
    <mergeCell ref="E1565:E1568"/>
    <mergeCell ref="F1565:F1568"/>
    <mergeCell ref="G1565:G1568"/>
    <mergeCell ref="H1565:H1568"/>
    <mergeCell ref="I1565:I1568"/>
    <mergeCell ref="J1565:J1568"/>
    <mergeCell ref="K1565:K1568"/>
    <mergeCell ref="L1565:L1568"/>
    <mergeCell ref="M1565:M1568"/>
    <mergeCell ref="N1565:N1568"/>
    <mergeCell ref="A1570:A1586"/>
    <mergeCell ref="B1570:B1586"/>
    <mergeCell ref="C1570:C1586"/>
    <mergeCell ref="D1570:D1586"/>
    <mergeCell ref="E1570:E1586"/>
    <mergeCell ref="F1570:F1586"/>
    <mergeCell ref="G1570:G1586"/>
    <mergeCell ref="H1570:H1586"/>
    <mergeCell ref="I1570:I1586"/>
    <mergeCell ref="J1570:J1586"/>
    <mergeCell ref="K1570:K1586"/>
    <mergeCell ref="L1570:L1586"/>
    <mergeCell ref="M1570:M1586"/>
    <mergeCell ref="N1570:N1586"/>
    <mergeCell ref="A1587:A1589"/>
    <mergeCell ref="B1587:B1589"/>
    <mergeCell ref="C1587:C1589"/>
    <mergeCell ref="D1587:D1589"/>
    <mergeCell ref="E1587:E1589"/>
    <mergeCell ref="F1587:F1589"/>
    <mergeCell ref="G1587:G1589"/>
    <mergeCell ref="H1587:H1589"/>
    <mergeCell ref="I1587:I1589"/>
    <mergeCell ref="J1587:J1589"/>
    <mergeCell ref="K1587:K1589"/>
    <mergeCell ref="L1587:L1589"/>
    <mergeCell ref="M1587:M1589"/>
    <mergeCell ref="N1587:N1589"/>
    <mergeCell ref="A1548:A1552"/>
    <mergeCell ref="B1548:B1552"/>
    <mergeCell ref="C1548:C1552"/>
    <mergeCell ref="D1548:D1552"/>
    <mergeCell ref="E1548:E1552"/>
    <mergeCell ref="F1548:F1552"/>
    <mergeCell ref="G1548:G1552"/>
    <mergeCell ref="H1548:H1552"/>
    <mergeCell ref="I1548:I1552"/>
    <mergeCell ref="J1548:J1552"/>
    <mergeCell ref="K1548:K1552"/>
    <mergeCell ref="L1548:L1552"/>
    <mergeCell ref="M1548:M1552"/>
    <mergeCell ref="N1548:N1552"/>
    <mergeCell ref="A1553:A1560"/>
    <mergeCell ref="B1553:B1560"/>
    <mergeCell ref="C1553:C1560"/>
    <mergeCell ref="D1553:D1560"/>
    <mergeCell ref="E1553:E1560"/>
    <mergeCell ref="F1553:F1560"/>
    <mergeCell ref="G1553:G1560"/>
    <mergeCell ref="H1553:H1560"/>
    <mergeCell ref="I1553:I1560"/>
    <mergeCell ref="J1553:J1560"/>
    <mergeCell ref="K1553:K1560"/>
    <mergeCell ref="L1553:L1560"/>
    <mergeCell ref="M1553:M1560"/>
    <mergeCell ref="N1553:N1560"/>
    <mergeCell ref="A1563:A1564"/>
    <mergeCell ref="B1563:B1564"/>
    <mergeCell ref="C1563:C1564"/>
    <mergeCell ref="D1563:D1564"/>
    <mergeCell ref="E1563:E1564"/>
    <mergeCell ref="F1563:F1564"/>
    <mergeCell ref="G1563:G1564"/>
    <mergeCell ref="H1563:H1564"/>
    <mergeCell ref="I1563:I1564"/>
    <mergeCell ref="J1563:J1564"/>
    <mergeCell ref="K1563:K1564"/>
    <mergeCell ref="L1563:L1564"/>
    <mergeCell ref="M1563:M1564"/>
    <mergeCell ref="N1563:N1564"/>
    <mergeCell ref="A1540:A1541"/>
    <mergeCell ref="B1540:B1541"/>
    <mergeCell ref="C1540:C1541"/>
    <mergeCell ref="D1540:D1541"/>
    <mergeCell ref="E1540:E1541"/>
    <mergeCell ref="F1540:F1541"/>
    <mergeCell ref="G1540:G1541"/>
    <mergeCell ref="H1540:H1541"/>
    <mergeCell ref="I1540:I1541"/>
    <mergeCell ref="J1540:J1541"/>
    <mergeCell ref="K1540:K1541"/>
    <mergeCell ref="L1540:L1541"/>
    <mergeCell ref="M1540:M1541"/>
    <mergeCell ref="N1540:N1541"/>
    <mergeCell ref="A1542:A1544"/>
    <mergeCell ref="B1542:B1544"/>
    <mergeCell ref="C1542:C1544"/>
    <mergeCell ref="D1542:D1544"/>
    <mergeCell ref="E1542:E1544"/>
    <mergeCell ref="F1542:F1544"/>
    <mergeCell ref="G1542:G1544"/>
    <mergeCell ref="H1542:H1544"/>
    <mergeCell ref="I1542:I1544"/>
    <mergeCell ref="J1542:J1544"/>
    <mergeCell ref="K1542:K1544"/>
    <mergeCell ref="L1542:L1544"/>
    <mergeCell ref="M1542:M1544"/>
    <mergeCell ref="N1542:N1544"/>
    <mergeCell ref="A1545:A1546"/>
    <mergeCell ref="B1545:B1546"/>
    <mergeCell ref="C1545:C1546"/>
    <mergeCell ref="D1545:D1546"/>
    <mergeCell ref="E1545:E1546"/>
    <mergeCell ref="F1545:F1546"/>
    <mergeCell ref="G1545:G1546"/>
    <mergeCell ref="H1545:H1546"/>
    <mergeCell ref="I1545:I1546"/>
    <mergeCell ref="J1545:J1546"/>
    <mergeCell ref="K1545:K1546"/>
    <mergeCell ref="L1545:L1546"/>
    <mergeCell ref="M1545:M1546"/>
    <mergeCell ref="N1545:N1546"/>
    <mergeCell ref="A1533:A1535"/>
    <mergeCell ref="B1533:B1535"/>
    <mergeCell ref="C1533:C1535"/>
    <mergeCell ref="D1533:D1535"/>
    <mergeCell ref="E1533:E1535"/>
    <mergeCell ref="F1533:F1535"/>
    <mergeCell ref="G1533:G1535"/>
    <mergeCell ref="H1533:H1535"/>
    <mergeCell ref="I1533:I1535"/>
    <mergeCell ref="J1533:J1535"/>
    <mergeCell ref="K1533:K1535"/>
    <mergeCell ref="L1533:L1535"/>
    <mergeCell ref="M1533:M1535"/>
    <mergeCell ref="N1533:N1535"/>
    <mergeCell ref="A1536:A1537"/>
    <mergeCell ref="B1536:B1537"/>
    <mergeCell ref="C1536:C1537"/>
    <mergeCell ref="D1536:D1537"/>
    <mergeCell ref="E1536:E1537"/>
    <mergeCell ref="F1536:F1537"/>
    <mergeCell ref="G1536:G1537"/>
    <mergeCell ref="H1536:H1537"/>
    <mergeCell ref="I1536:I1537"/>
    <mergeCell ref="J1536:J1537"/>
    <mergeCell ref="K1536:K1537"/>
    <mergeCell ref="L1536:L1537"/>
    <mergeCell ref="M1536:M1537"/>
    <mergeCell ref="N1536:N1537"/>
    <mergeCell ref="A1538:A1539"/>
    <mergeCell ref="B1538:B1539"/>
    <mergeCell ref="C1538:C1539"/>
    <mergeCell ref="D1538:D1539"/>
    <mergeCell ref="E1538:E1539"/>
    <mergeCell ref="F1538:F1539"/>
    <mergeCell ref="G1538:G1539"/>
    <mergeCell ref="H1538:H1539"/>
    <mergeCell ref="I1538:I1539"/>
    <mergeCell ref="J1538:J1539"/>
    <mergeCell ref="K1538:K1539"/>
    <mergeCell ref="L1538:L1539"/>
    <mergeCell ref="M1538:M1539"/>
    <mergeCell ref="N1538:N1539"/>
    <mergeCell ref="A1520:A1524"/>
    <mergeCell ref="B1520:B1524"/>
    <mergeCell ref="C1520:C1524"/>
    <mergeCell ref="D1520:D1524"/>
    <mergeCell ref="E1520:E1524"/>
    <mergeCell ref="F1520:F1524"/>
    <mergeCell ref="G1520:G1524"/>
    <mergeCell ref="H1520:H1524"/>
    <mergeCell ref="I1520:I1524"/>
    <mergeCell ref="J1520:J1524"/>
    <mergeCell ref="K1520:K1524"/>
    <mergeCell ref="L1520:L1524"/>
    <mergeCell ref="M1520:M1524"/>
    <mergeCell ref="N1520:N1524"/>
    <mergeCell ref="A1526:A1529"/>
    <mergeCell ref="B1526:B1529"/>
    <mergeCell ref="C1526:C1529"/>
    <mergeCell ref="D1526:D1529"/>
    <mergeCell ref="E1526:E1529"/>
    <mergeCell ref="F1526:F1529"/>
    <mergeCell ref="G1526:G1529"/>
    <mergeCell ref="H1526:H1529"/>
    <mergeCell ref="I1526:I1529"/>
    <mergeCell ref="J1526:J1529"/>
    <mergeCell ref="K1526:K1529"/>
    <mergeCell ref="L1526:L1529"/>
    <mergeCell ref="M1526:M1529"/>
    <mergeCell ref="N1526:N1529"/>
    <mergeCell ref="A1530:A1532"/>
    <mergeCell ref="B1530:B1532"/>
    <mergeCell ref="C1530:C1532"/>
    <mergeCell ref="D1530:D1532"/>
    <mergeCell ref="E1530:E1532"/>
    <mergeCell ref="F1530:F1532"/>
    <mergeCell ref="G1530:G1532"/>
    <mergeCell ref="H1530:H1532"/>
    <mergeCell ref="I1530:I1532"/>
    <mergeCell ref="J1530:J1532"/>
    <mergeCell ref="K1530:K1532"/>
    <mergeCell ref="L1530:L1532"/>
    <mergeCell ref="M1530:M1532"/>
    <mergeCell ref="N1530:N1532"/>
    <mergeCell ref="A1512:A1513"/>
    <mergeCell ref="B1512:B1513"/>
    <mergeCell ref="C1512:C1513"/>
    <mergeCell ref="D1512:D1513"/>
    <mergeCell ref="E1512:E1513"/>
    <mergeCell ref="F1512:F1513"/>
    <mergeCell ref="G1512:G1513"/>
    <mergeCell ref="H1512:H1513"/>
    <mergeCell ref="I1512:I1513"/>
    <mergeCell ref="J1512:J1513"/>
    <mergeCell ref="K1512:K1513"/>
    <mergeCell ref="L1512:L1513"/>
    <mergeCell ref="M1512:M1513"/>
    <mergeCell ref="N1512:N1513"/>
    <mergeCell ref="A1514:A1516"/>
    <mergeCell ref="B1514:B1516"/>
    <mergeCell ref="C1514:C1516"/>
    <mergeCell ref="D1514:D1516"/>
    <mergeCell ref="E1514:E1516"/>
    <mergeCell ref="F1514:F1516"/>
    <mergeCell ref="G1514:G1516"/>
    <mergeCell ref="H1514:H1516"/>
    <mergeCell ref="I1514:I1516"/>
    <mergeCell ref="J1514:J1516"/>
    <mergeCell ref="K1514:K1516"/>
    <mergeCell ref="L1514:L1516"/>
    <mergeCell ref="M1514:M1516"/>
    <mergeCell ref="N1514:N1516"/>
    <mergeCell ref="A1518:A1519"/>
    <mergeCell ref="B1518:B1519"/>
    <mergeCell ref="C1518:C1519"/>
    <mergeCell ref="D1518:D1519"/>
    <mergeCell ref="E1518:E1519"/>
    <mergeCell ref="F1518:F1519"/>
    <mergeCell ref="G1518:G1519"/>
    <mergeCell ref="H1518:H1519"/>
    <mergeCell ref="I1518:I1519"/>
    <mergeCell ref="J1518:J1519"/>
    <mergeCell ref="K1518:K1519"/>
    <mergeCell ref="L1518:L1519"/>
    <mergeCell ref="M1518:M1519"/>
    <mergeCell ref="N1518:N1519"/>
    <mergeCell ref="A1490:A1504"/>
    <mergeCell ref="B1490:B1504"/>
    <mergeCell ref="C1490:C1504"/>
    <mergeCell ref="D1490:D1504"/>
    <mergeCell ref="E1490:E1504"/>
    <mergeCell ref="F1490:F1504"/>
    <mergeCell ref="G1490:G1504"/>
    <mergeCell ref="H1490:H1504"/>
    <mergeCell ref="I1490:I1504"/>
    <mergeCell ref="J1490:J1504"/>
    <mergeCell ref="K1490:K1504"/>
    <mergeCell ref="L1490:L1504"/>
    <mergeCell ref="M1490:M1504"/>
    <mergeCell ref="N1490:N1504"/>
    <mergeCell ref="A1505:A1506"/>
    <mergeCell ref="B1505:B1506"/>
    <mergeCell ref="C1505:C1506"/>
    <mergeCell ref="D1505:D1506"/>
    <mergeCell ref="E1505:E1506"/>
    <mergeCell ref="F1505:F1506"/>
    <mergeCell ref="G1505:G1506"/>
    <mergeCell ref="H1505:H1506"/>
    <mergeCell ref="I1505:I1506"/>
    <mergeCell ref="J1505:J1506"/>
    <mergeCell ref="K1505:K1506"/>
    <mergeCell ref="L1505:L1506"/>
    <mergeCell ref="M1505:M1506"/>
    <mergeCell ref="N1505:N1506"/>
    <mergeCell ref="A1509:A1510"/>
    <mergeCell ref="B1509:B1510"/>
    <mergeCell ref="C1509:C1510"/>
    <mergeCell ref="D1509:D1510"/>
    <mergeCell ref="E1509:E1510"/>
    <mergeCell ref="F1509:F1510"/>
    <mergeCell ref="G1509:G1510"/>
    <mergeCell ref="H1509:H1510"/>
    <mergeCell ref="I1509:I1510"/>
    <mergeCell ref="J1509:J1510"/>
    <mergeCell ref="K1509:K1510"/>
    <mergeCell ref="L1509:L1510"/>
    <mergeCell ref="M1509:M1510"/>
    <mergeCell ref="N1509:N1510"/>
    <mergeCell ref="A1475:A1477"/>
    <mergeCell ref="B1475:B1477"/>
    <mergeCell ref="C1475:C1477"/>
    <mergeCell ref="D1475:D1477"/>
    <mergeCell ref="E1475:E1477"/>
    <mergeCell ref="F1475:F1477"/>
    <mergeCell ref="G1475:G1477"/>
    <mergeCell ref="H1475:H1477"/>
    <mergeCell ref="I1475:I1477"/>
    <mergeCell ref="J1475:J1477"/>
    <mergeCell ref="K1475:K1477"/>
    <mergeCell ref="L1475:L1477"/>
    <mergeCell ref="M1475:M1477"/>
    <mergeCell ref="N1475:N1477"/>
    <mergeCell ref="A1482:A1483"/>
    <mergeCell ref="B1482:B1483"/>
    <mergeCell ref="C1482:C1483"/>
    <mergeCell ref="D1482:D1483"/>
    <mergeCell ref="E1482:E1483"/>
    <mergeCell ref="F1482:F1483"/>
    <mergeCell ref="G1482:G1483"/>
    <mergeCell ref="H1482:H1483"/>
    <mergeCell ref="I1482:I1483"/>
    <mergeCell ref="J1482:J1483"/>
    <mergeCell ref="K1482:K1483"/>
    <mergeCell ref="L1482:L1483"/>
    <mergeCell ref="M1482:M1483"/>
    <mergeCell ref="N1482:N1483"/>
    <mergeCell ref="A1487:A1489"/>
    <mergeCell ref="B1487:B1489"/>
    <mergeCell ref="C1487:C1489"/>
    <mergeCell ref="D1487:D1489"/>
    <mergeCell ref="E1487:E1489"/>
    <mergeCell ref="F1487:F1489"/>
    <mergeCell ref="G1487:G1489"/>
    <mergeCell ref="H1487:H1489"/>
    <mergeCell ref="I1487:I1489"/>
    <mergeCell ref="J1487:J1489"/>
    <mergeCell ref="K1487:K1489"/>
    <mergeCell ref="L1487:L1489"/>
    <mergeCell ref="M1487:M1489"/>
    <mergeCell ref="N1487:N1489"/>
    <mergeCell ref="A1466:A1467"/>
    <mergeCell ref="B1466:B1467"/>
    <mergeCell ref="C1466:C1467"/>
    <mergeCell ref="D1466:D1467"/>
    <mergeCell ref="E1466:E1467"/>
    <mergeCell ref="F1466:F1467"/>
    <mergeCell ref="G1466:G1467"/>
    <mergeCell ref="H1466:H1467"/>
    <mergeCell ref="I1466:I1467"/>
    <mergeCell ref="J1466:J1467"/>
    <mergeCell ref="K1466:K1467"/>
    <mergeCell ref="L1466:L1467"/>
    <mergeCell ref="M1466:M1467"/>
    <mergeCell ref="N1466:N1467"/>
    <mergeCell ref="A1469:A1471"/>
    <mergeCell ref="B1469:B1471"/>
    <mergeCell ref="C1469:C1471"/>
    <mergeCell ref="D1469:D1471"/>
    <mergeCell ref="E1469:E1471"/>
    <mergeCell ref="F1469:F1471"/>
    <mergeCell ref="G1469:G1471"/>
    <mergeCell ref="H1469:H1471"/>
    <mergeCell ref="I1469:I1471"/>
    <mergeCell ref="J1469:J1471"/>
    <mergeCell ref="K1469:K1471"/>
    <mergeCell ref="L1469:L1471"/>
    <mergeCell ref="M1469:M1471"/>
    <mergeCell ref="N1469:N1471"/>
    <mergeCell ref="A1472:A1474"/>
    <mergeCell ref="B1472:B1474"/>
    <mergeCell ref="C1472:C1474"/>
    <mergeCell ref="D1472:D1474"/>
    <mergeCell ref="E1472:E1474"/>
    <mergeCell ref="F1472:F1474"/>
    <mergeCell ref="G1472:G1474"/>
    <mergeCell ref="H1472:H1474"/>
    <mergeCell ref="I1472:I1474"/>
    <mergeCell ref="J1472:J1474"/>
    <mergeCell ref="K1472:K1474"/>
    <mergeCell ref="L1472:L1474"/>
    <mergeCell ref="M1472:M1474"/>
    <mergeCell ref="N1472:N1474"/>
    <mergeCell ref="A1452:A1455"/>
    <mergeCell ref="B1452:B1455"/>
    <mergeCell ref="C1452:C1455"/>
    <mergeCell ref="D1452:D1455"/>
    <mergeCell ref="E1452:E1455"/>
    <mergeCell ref="F1452:F1455"/>
    <mergeCell ref="G1452:G1455"/>
    <mergeCell ref="H1452:H1455"/>
    <mergeCell ref="I1452:I1455"/>
    <mergeCell ref="J1452:J1455"/>
    <mergeCell ref="K1452:K1455"/>
    <mergeCell ref="L1452:L1455"/>
    <mergeCell ref="M1452:M1455"/>
    <mergeCell ref="N1452:N1455"/>
    <mergeCell ref="A1460:A1462"/>
    <mergeCell ref="B1460:B1462"/>
    <mergeCell ref="C1460:C1462"/>
    <mergeCell ref="D1460:D1462"/>
    <mergeCell ref="E1460:E1462"/>
    <mergeCell ref="F1460:F1462"/>
    <mergeCell ref="G1460:G1462"/>
    <mergeCell ref="H1460:H1462"/>
    <mergeCell ref="I1460:I1462"/>
    <mergeCell ref="J1460:J1462"/>
    <mergeCell ref="K1460:K1462"/>
    <mergeCell ref="L1460:L1462"/>
    <mergeCell ref="M1460:M1462"/>
    <mergeCell ref="N1460:N1462"/>
    <mergeCell ref="A1463:A1465"/>
    <mergeCell ref="B1463:B1465"/>
    <mergeCell ref="C1463:C1465"/>
    <mergeCell ref="D1463:D1465"/>
    <mergeCell ref="E1463:E1465"/>
    <mergeCell ref="F1463:F1465"/>
    <mergeCell ref="G1463:G1465"/>
    <mergeCell ref="H1463:H1465"/>
    <mergeCell ref="I1463:I1465"/>
    <mergeCell ref="J1463:J1465"/>
    <mergeCell ref="K1463:K1465"/>
    <mergeCell ref="L1463:L1465"/>
    <mergeCell ref="M1463:M1465"/>
    <mergeCell ref="N1463:N1465"/>
    <mergeCell ref="A1440:A1441"/>
    <mergeCell ref="B1440:B1441"/>
    <mergeCell ref="C1440:C1441"/>
    <mergeCell ref="D1440:D1441"/>
    <mergeCell ref="E1440:E1441"/>
    <mergeCell ref="F1440:F1441"/>
    <mergeCell ref="G1440:G1441"/>
    <mergeCell ref="H1440:H1441"/>
    <mergeCell ref="I1440:I1441"/>
    <mergeCell ref="J1440:J1441"/>
    <mergeCell ref="K1440:K1441"/>
    <mergeCell ref="L1440:L1441"/>
    <mergeCell ref="M1440:M1441"/>
    <mergeCell ref="N1440:N1441"/>
    <mergeCell ref="A1443:A1444"/>
    <mergeCell ref="B1443:B1444"/>
    <mergeCell ref="C1443:C1444"/>
    <mergeCell ref="D1443:D1444"/>
    <mergeCell ref="E1443:E1444"/>
    <mergeCell ref="F1443:F1444"/>
    <mergeCell ref="G1443:G1444"/>
    <mergeCell ref="H1443:H1444"/>
    <mergeCell ref="I1443:I1444"/>
    <mergeCell ref="J1443:J1444"/>
    <mergeCell ref="K1443:K1444"/>
    <mergeCell ref="L1443:L1444"/>
    <mergeCell ref="M1443:M1444"/>
    <mergeCell ref="N1443:N1444"/>
    <mergeCell ref="A1448:A1451"/>
    <mergeCell ref="B1448:B1451"/>
    <mergeCell ref="C1448:C1451"/>
    <mergeCell ref="D1448:D1451"/>
    <mergeCell ref="E1448:E1451"/>
    <mergeCell ref="F1448:F1451"/>
    <mergeCell ref="G1448:G1451"/>
    <mergeCell ref="H1448:H1451"/>
    <mergeCell ref="I1448:I1451"/>
    <mergeCell ref="J1448:J1451"/>
    <mergeCell ref="K1448:K1451"/>
    <mergeCell ref="L1448:L1451"/>
    <mergeCell ref="M1448:M1451"/>
    <mergeCell ref="N1448:N1451"/>
    <mergeCell ref="A1429:A1430"/>
    <mergeCell ref="B1429:B1430"/>
    <mergeCell ref="C1429:C1430"/>
    <mergeCell ref="D1429:D1430"/>
    <mergeCell ref="E1429:E1430"/>
    <mergeCell ref="F1429:F1430"/>
    <mergeCell ref="G1429:G1430"/>
    <mergeCell ref="H1429:H1430"/>
    <mergeCell ref="I1429:I1430"/>
    <mergeCell ref="J1429:J1430"/>
    <mergeCell ref="K1429:K1430"/>
    <mergeCell ref="L1429:L1430"/>
    <mergeCell ref="M1429:M1430"/>
    <mergeCell ref="N1429:N1430"/>
    <mergeCell ref="A1432:A1433"/>
    <mergeCell ref="B1432:B1433"/>
    <mergeCell ref="C1432:C1433"/>
    <mergeCell ref="D1432:D1433"/>
    <mergeCell ref="E1432:E1433"/>
    <mergeCell ref="F1432:F1433"/>
    <mergeCell ref="G1432:G1433"/>
    <mergeCell ref="H1432:H1433"/>
    <mergeCell ref="I1432:I1433"/>
    <mergeCell ref="J1432:J1433"/>
    <mergeCell ref="K1432:K1433"/>
    <mergeCell ref="L1432:L1433"/>
    <mergeCell ref="M1432:M1433"/>
    <mergeCell ref="N1432:N1433"/>
    <mergeCell ref="A1435:A1436"/>
    <mergeCell ref="B1435:B1436"/>
    <mergeCell ref="C1435:C1436"/>
    <mergeCell ref="D1435:D1436"/>
    <mergeCell ref="E1435:E1436"/>
    <mergeCell ref="F1435:F1436"/>
    <mergeCell ref="G1435:G1436"/>
    <mergeCell ref="H1435:H1436"/>
    <mergeCell ref="I1435:I1436"/>
    <mergeCell ref="J1435:J1436"/>
    <mergeCell ref="K1435:K1436"/>
    <mergeCell ref="L1435:L1436"/>
    <mergeCell ref="M1435:M1436"/>
    <mergeCell ref="N1435:N1436"/>
    <mergeCell ref="A1414:A1415"/>
    <mergeCell ref="B1414:B1415"/>
    <mergeCell ref="C1414:C1415"/>
    <mergeCell ref="D1414:D1415"/>
    <mergeCell ref="E1414:E1415"/>
    <mergeCell ref="F1414:F1415"/>
    <mergeCell ref="G1414:G1415"/>
    <mergeCell ref="H1414:H1415"/>
    <mergeCell ref="I1414:I1415"/>
    <mergeCell ref="J1414:J1415"/>
    <mergeCell ref="K1414:K1415"/>
    <mergeCell ref="L1414:L1415"/>
    <mergeCell ref="M1414:M1415"/>
    <mergeCell ref="N1414:N1415"/>
    <mergeCell ref="A1417:A1420"/>
    <mergeCell ref="B1417:B1420"/>
    <mergeCell ref="C1417:C1420"/>
    <mergeCell ref="D1417:D1420"/>
    <mergeCell ref="E1417:E1420"/>
    <mergeCell ref="F1417:F1420"/>
    <mergeCell ref="G1417:G1420"/>
    <mergeCell ref="H1417:H1420"/>
    <mergeCell ref="I1417:I1420"/>
    <mergeCell ref="J1417:J1420"/>
    <mergeCell ref="K1417:K1420"/>
    <mergeCell ref="L1417:L1420"/>
    <mergeCell ref="M1417:M1420"/>
    <mergeCell ref="N1417:N1420"/>
    <mergeCell ref="A1425:A1428"/>
    <mergeCell ref="B1425:B1428"/>
    <mergeCell ref="C1425:C1428"/>
    <mergeCell ref="D1425:D1428"/>
    <mergeCell ref="E1425:E1428"/>
    <mergeCell ref="F1425:F1428"/>
    <mergeCell ref="G1425:G1428"/>
    <mergeCell ref="H1425:H1428"/>
    <mergeCell ref="I1425:I1428"/>
    <mergeCell ref="J1425:J1428"/>
    <mergeCell ref="K1425:K1428"/>
    <mergeCell ref="L1425:L1428"/>
    <mergeCell ref="M1425:M1428"/>
    <mergeCell ref="N1425:N1428"/>
    <mergeCell ref="A1405:A1406"/>
    <mergeCell ref="B1405:B1406"/>
    <mergeCell ref="C1405:C1406"/>
    <mergeCell ref="D1405:D1406"/>
    <mergeCell ref="E1405:E1406"/>
    <mergeCell ref="F1405:F1406"/>
    <mergeCell ref="G1405:G1406"/>
    <mergeCell ref="H1405:H1406"/>
    <mergeCell ref="I1405:I1406"/>
    <mergeCell ref="J1405:J1406"/>
    <mergeCell ref="K1405:K1406"/>
    <mergeCell ref="L1405:L1406"/>
    <mergeCell ref="M1405:M1406"/>
    <mergeCell ref="N1405:N1406"/>
    <mergeCell ref="A1408:A1409"/>
    <mergeCell ref="B1408:B1409"/>
    <mergeCell ref="C1408:C1409"/>
    <mergeCell ref="D1408:D1409"/>
    <mergeCell ref="E1408:E1409"/>
    <mergeCell ref="F1408:F1409"/>
    <mergeCell ref="G1408:G1409"/>
    <mergeCell ref="H1408:H1409"/>
    <mergeCell ref="I1408:I1409"/>
    <mergeCell ref="J1408:J1409"/>
    <mergeCell ref="K1408:K1409"/>
    <mergeCell ref="L1408:L1409"/>
    <mergeCell ref="M1408:M1409"/>
    <mergeCell ref="N1408:N1409"/>
    <mergeCell ref="A1411:A1413"/>
    <mergeCell ref="B1411:B1413"/>
    <mergeCell ref="C1411:C1413"/>
    <mergeCell ref="D1411:D1413"/>
    <mergeCell ref="E1411:E1413"/>
    <mergeCell ref="F1411:F1413"/>
    <mergeCell ref="G1411:G1413"/>
    <mergeCell ref="H1411:H1413"/>
    <mergeCell ref="I1411:I1413"/>
    <mergeCell ref="J1411:J1413"/>
    <mergeCell ref="K1411:K1413"/>
    <mergeCell ref="L1411:L1413"/>
    <mergeCell ref="M1411:M1413"/>
    <mergeCell ref="N1411:N1413"/>
    <mergeCell ref="A1394:A1396"/>
    <mergeCell ref="B1394:B1396"/>
    <mergeCell ref="C1394:C1396"/>
    <mergeCell ref="D1394:D1396"/>
    <mergeCell ref="E1394:E1396"/>
    <mergeCell ref="F1394:F1396"/>
    <mergeCell ref="G1394:G1396"/>
    <mergeCell ref="H1394:H1396"/>
    <mergeCell ref="I1394:I1396"/>
    <mergeCell ref="J1394:J1396"/>
    <mergeCell ref="K1394:K1396"/>
    <mergeCell ref="L1394:L1396"/>
    <mergeCell ref="M1394:M1396"/>
    <mergeCell ref="N1394:N1396"/>
    <mergeCell ref="A1397:A1399"/>
    <mergeCell ref="B1397:B1399"/>
    <mergeCell ref="C1397:C1399"/>
    <mergeCell ref="D1397:D1399"/>
    <mergeCell ref="E1397:E1399"/>
    <mergeCell ref="F1397:F1399"/>
    <mergeCell ref="G1397:G1399"/>
    <mergeCell ref="H1397:H1399"/>
    <mergeCell ref="I1397:I1399"/>
    <mergeCell ref="J1397:J1399"/>
    <mergeCell ref="K1397:K1399"/>
    <mergeCell ref="L1397:L1399"/>
    <mergeCell ref="M1397:M1399"/>
    <mergeCell ref="N1397:N1399"/>
    <mergeCell ref="A1402:A1404"/>
    <mergeCell ref="B1402:B1404"/>
    <mergeCell ref="C1402:C1404"/>
    <mergeCell ref="D1402:D1404"/>
    <mergeCell ref="E1402:E1404"/>
    <mergeCell ref="F1402:F1404"/>
    <mergeCell ref="G1402:G1404"/>
    <mergeCell ref="H1402:H1404"/>
    <mergeCell ref="I1402:I1404"/>
    <mergeCell ref="J1402:J1404"/>
    <mergeCell ref="K1402:K1404"/>
    <mergeCell ref="L1402:L1404"/>
    <mergeCell ref="M1402:M1404"/>
    <mergeCell ref="N1402:N1404"/>
    <mergeCell ref="A1384:A1385"/>
    <mergeCell ref="B1384:B1385"/>
    <mergeCell ref="C1384:C1385"/>
    <mergeCell ref="D1384:D1385"/>
    <mergeCell ref="E1384:E1385"/>
    <mergeCell ref="F1384:F1385"/>
    <mergeCell ref="G1384:G1385"/>
    <mergeCell ref="H1384:H1385"/>
    <mergeCell ref="I1384:I1385"/>
    <mergeCell ref="J1384:J1385"/>
    <mergeCell ref="K1384:K1385"/>
    <mergeCell ref="L1384:L1385"/>
    <mergeCell ref="M1384:M1385"/>
    <mergeCell ref="N1384:N1385"/>
    <mergeCell ref="A1390:A1391"/>
    <mergeCell ref="B1390:B1391"/>
    <mergeCell ref="C1390:C1391"/>
    <mergeCell ref="D1390:D1391"/>
    <mergeCell ref="E1390:E1391"/>
    <mergeCell ref="F1390:F1391"/>
    <mergeCell ref="G1390:G1391"/>
    <mergeCell ref="H1390:H1391"/>
    <mergeCell ref="I1390:I1391"/>
    <mergeCell ref="J1390:J1391"/>
    <mergeCell ref="K1390:K1391"/>
    <mergeCell ref="L1390:L1391"/>
    <mergeCell ref="M1390:M1391"/>
    <mergeCell ref="N1390:N1391"/>
    <mergeCell ref="A1392:A1393"/>
    <mergeCell ref="B1392:B1393"/>
    <mergeCell ref="C1392:C1393"/>
    <mergeCell ref="D1392:D1393"/>
    <mergeCell ref="E1392:E1393"/>
    <mergeCell ref="F1392:F1393"/>
    <mergeCell ref="G1392:G1393"/>
    <mergeCell ref="H1392:H1393"/>
    <mergeCell ref="I1392:I1393"/>
    <mergeCell ref="J1392:J1393"/>
    <mergeCell ref="K1392:K1393"/>
    <mergeCell ref="L1392:L1393"/>
    <mergeCell ref="M1392:M1393"/>
    <mergeCell ref="N1392:N1393"/>
    <mergeCell ref="A1374:A1375"/>
    <mergeCell ref="B1374:B1375"/>
    <mergeCell ref="C1374:C1375"/>
    <mergeCell ref="D1374:D1375"/>
    <mergeCell ref="E1374:E1375"/>
    <mergeCell ref="F1374:F1375"/>
    <mergeCell ref="G1374:G1375"/>
    <mergeCell ref="H1374:H1375"/>
    <mergeCell ref="I1374:I1375"/>
    <mergeCell ref="J1374:J1375"/>
    <mergeCell ref="K1374:K1375"/>
    <mergeCell ref="L1374:L1375"/>
    <mergeCell ref="M1374:M1375"/>
    <mergeCell ref="N1374:N1375"/>
    <mergeCell ref="A1376:A1377"/>
    <mergeCell ref="B1376:B1377"/>
    <mergeCell ref="C1376:C1377"/>
    <mergeCell ref="D1376:D1377"/>
    <mergeCell ref="E1376:E1377"/>
    <mergeCell ref="F1376:F1377"/>
    <mergeCell ref="G1376:G1377"/>
    <mergeCell ref="H1376:H1377"/>
    <mergeCell ref="I1376:I1377"/>
    <mergeCell ref="J1376:J1377"/>
    <mergeCell ref="K1376:K1377"/>
    <mergeCell ref="L1376:L1377"/>
    <mergeCell ref="M1376:M1377"/>
    <mergeCell ref="N1376:N1377"/>
    <mergeCell ref="A1378:A1383"/>
    <mergeCell ref="B1378:B1383"/>
    <mergeCell ref="C1378:C1383"/>
    <mergeCell ref="D1378:D1383"/>
    <mergeCell ref="E1378:E1383"/>
    <mergeCell ref="F1378:F1383"/>
    <mergeCell ref="G1378:G1383"/>
    <mergeCell ref="H1378:H1383"/>
    <mergeCell ref="I1378:I1383"/>
    <mergeCell ref="J1378:J1383"/>
    <mergeCell ref="K1378:K1383"/>
    <mergeCell ref="L1378:L1383"/>
    <mergeCell ref="M1378:M1383"/>
    <mergeCell ref="N1378:N1383"/>
    <mergeCell ref="A1357:A1363"/>
    <mergeCell ref="B1357:B1363"/>
    <mergeCell ref="C1357:C1363"/>
    <mergeCell ref="D1357:D1363"/>
    <mergeCell ref="E1357:E1363"/>
    <mergeCell ref="F1357:F1363"/>
    <mergeCell ref="G1357:G1363"/>
    <mergeCell ref="H1357:H1363"/>
    <mergeCell ref="I1357:I1363"/>
    <mergeCell ref="J1357:J1363"/>
    <mergeCell ref="K1357:K1363"/>
    <mergeCell ref="L1357:L1363"/>
    <mergeCell ref="M1357:M1363"/>
    <mergeCell ref="N1357:N1363"/>
    <mergeCell ref="A1366:A1367"/>
    <mergeCell ref="B1366:B1367"/>
    <mergeCell ref="C1366:C1367"/>
    <mergeCell ref="D1366:D1367"/>
    <mergeCell ref="E1366:E1367"/>
    <mergeCell ref="F1366:F1367"/>
    <mergeCell ref="G1366:G1367"/>
    <mergeCell ref="H1366:H1367"/>
    <mergeCell ref="I1366:I1367"/>
    <mergeCell ref="J1366:J1367"/>
    <mergeCell ref="K1366:K1367"/>
    <mergeCell ref="L1366:L1367"/>
    <mergeCell ref="M1366:M1367"/>
    <mergeCell ref="N1366:N1367"/>
    <mergeCell ref="A1370:A1373"/>
    <mergeCell ref="B1370:B1373"/>
    <mergeCell ref="C1370:C1373"/>
    <mergeCell ref="D1370:D1373"/>
    <mergeCell ref="E1370:E1373"/>
    <mergeCell ref="F1370:F1373"/>
    <mergeCell ref="G1370:G1373"/>
    <mergeCell ref="H1370:H1373"/>
    <mergeCell ref="I1370:I1373"/>
    <mergeCell ref="J1370:J1373"/>
    <mergeCell ref="K1370:K1373"/>
    <mergeCell ref="L1370:L1373"/>
    <mergeCell ref="M1370:M1373"/>
    <mergeCell ref="N1370:N1373"/>
    <mergeCell ref="A1347:A1348"/>
    <mergeCell ref="B1347:B1348"/>
    <mergeCell ref="C1347:C1348"/>
    <mergeCell ref="D1347:D1348"/>
    <mergeCell ref="E1347:E1348"/>
    <mergeCell ref="F1347:F1348"/>
    <mergeCell ref="G1347:G1348"/>
    <mergeCell ref="H1347:H1348"/>
    <mergeCell ref="I1347:I1348"/>
    <mergeCell ref="J1347:J1348"/>
    <mergeCell ref="K1347:K1348"/>
    <mergeCell ref="L1347:L1348"/>
    <mergeCell ref="M1347:M1348"/>
    <mergeCell ref="N1347:N1348"/>
    <mergeCell ref="A1351:A1353"/>
    <mergeCell ref="B1351:B1353"/>
    <mergeCell ref="C1351:C1353"/>
    <mergeCell ref="D1351:D1353"/>
    <mergeCell ref="E1351:E1353"/>
    <mergeCell ref="F1351:F1353"/>
    <mergeCell ref="G1351:G1353"/>
    <mergeCell ref="H1351:H1353"/>
    <mergeCell ref="I1351:I1353"/>
    <mergeCell ref="J1351:J1353"/>
    <mergeCell ref="K1351:K1353"/>
    <mergeCell ref="L1351:L1353"/>
    <mergeCell ref="M1351:M1353"/>
    <mergeCell ref="N1351:N1353"/>
    <mergeCell ref="A1355:A1356"/>
    <mergeCell ref="B1355:B1356"/>
    <mergeCell ref="C1355:C1356"/>
    <mergeCell ref="D1355:D1356"/>
    <mergeCell ref="E1355:E1356"/>
    <mergeCell ref="F1355:F1356"/>
    <mergeCell ref="G1355:G1356"/>
    <mergeCell ref="H1355:H1356"/>
    <mergeCell ref="I1355:I1356"/>
    <mergeCell ref="J1355:J1356"/>
    <mergeCell ref="K1355:K1356"/>
    <mergeCell ref="L1355:L1356"/>
    <mergeCell ref="M1355:M1356"/>
    <mergeCell ref="N1355:N1356"/>
    <mergeCell ref="A1331:A1333"/>
    <mergeCell ref="B1331:B1333"/>
    <mergeCell ref="C1331:C1333"/>
    <mergeCell ref="D1331:D1333"/>
    <mergeCell ref="E1331:E1333"/>
    <mergeCell ref="F1331:F1333"/>
    <mergeCell ref="G1331:G1333"/>
    <mergeCell ref="H1331:H1333"/>
    <mergeCell ref="I1331:I1333"/>
    <mergeCell ref="J1331:J1333"/>
    <mergeCell ref="K1331:K1333"/>
    <mergeCell ref="L1331:L1333"/>
    <mergeCell ref="M1331:M1333"/>
    <mergeCell ref="N1331:N1333"/>
    <mergeCell ref="A1335:A1342"/>
    <mergeCell ref="B1335:B1342"/>
    <mergeCell ref="C1335:C1342"/>
    <mergeCell ref="D1335:D1342"/>
    <mergeCell ref="E1335:E1342"/>
    <mergeCell ref="F1335:F1342"/>
    <mergeCell ref="G1335:G1342"/>
    <mergeCell ref="H1335:H1342"/>
    <mergeCell ref="I1335:I1342"/>
    <mergeCell ref="J1335:J1342"/>
    <mergeCell ref="K1335:K1342"/>
    <mergeCell ref="L1335:L1342"/>
    <mergeCell ref="M1335:M1342"/>
    <mergeCell ref="N1335:N1342"/>
    <mergeCell ref="A1344:A1345"/>
    <mergeCell ref="B1344:B1345"/>
    <mergeCell ref="C1344:C1345"/>
    <mergeCell ref="D1344:D1345"/>
    <mergeCell ref="E1344:E1345"/>
    <mergeCell ref="F1344:F1345"/>
    <mergeCell ref="G1344:G1345"/>
    <mergeCell ref="H1344:H1345"/>
    <mergeCell ref="I1344:I1345"/>
    <mergeCell ref="J1344:J1345"/>
    <mergeCell ref="K1344:K1345"/>
    <mergeCell ref="L1344:L1345"/>
    <mergeCell ref="M1344:M1345"/>
    <mergeCell ref="N1344:N1345"/>
    <mergeCell ref="A1317:A1320"/>
    <mergeCell ref="B1317:B1320"/>
    <mergeCell ref="C1317:C1320"/>
    <mergeCell ref="D1317:D1320"/>
    <mergeCell ref="E1317:E1320"/>
    <mergeCell ref="F1317:F1320"/>
    <mergeCell ref="G1317:G1320"/>
    <mergeCell ref="H1317:H1320"/>
    <mergeCell ref="I1317:I1320"/>
    <mergeCell ref="J1317:J1320"/>
    <mergeCell ref="K1317:K1320"/>
    <mergeCell ref="L1317:L1320"/>
    <mergeCell ref="M1317:M1320"/>
    <mergeCell ref="N1317:N1320"/>
    <mergeCell ref="A1321:A1323"/>
    <mergeCell ref="B1321:B1323"/>
    <mergeCell ref="C1321:C1323"/>
    <mergeCell ref="D1321:D1323"/>
    <mergeCell ref="E1321:E1323"/>
    <mergeCell ref="F1321:F1323"/>
    <mergeCell ref="G1321:G1323"/>
    <mergeCell ref="H1321:H1323"/>
    <mergeCell ref="I1321:I1323"/>
    <mergeCell ref="J1321:J1323"/>
    <mergeCell ref="K1321:K1323"/>
    <mergeCell ref="L1321:L1323"/>
    <mergeCell ref="M1321:M1323"/>
    <mergeCell ref="N1321:N1323"/>
    <mergeCell ref="A1325:A1326"/>
    <mergeCell ref="B1325:B1326"/>
    <mergeCell ref="C1325:C1326"/>
    <mergeCell ref="D1325:D1326"/>
    <mergeCell ref="E1325:E1326"/>
    <mergeCell ref="F1325:F1326"/>
    <mergeCell ref="G1325:G1326"/>
    <mergeCell ref="H1325:H1326"/>
    <mergeCell ref="I1325:I1326"/>
    <mergeCell ref="J1325:J1326"/>
    <mergeCell ref="K1325:K1326"/>
    <mergeCell ref="L1325:L1326"/>
    <mergeCell ref="M1325:M1326"/>
    <mergeCell ref="N1325:N1326"/>
    <mergeCell ref="A1304:A1305"/>
    <mergeCell ref="B1304:B1305"/>
    <mergeCell ref="C1304:C1305"/>
    <mergeCell ref="D1304:D1305"/>
    <mergeCell ref="E1304:E1305"/>
    <mergeCell ref="F1304:F1305"/>
    <mergeCell ref="G1304:G1305"/>
    <mergeCell ref="H1304:H1305"/>
    <mergeCell ref="I1304:I1305"/>
    <mergeCell ref="J1304:J1305"/>
    <mergeCell ref="K1304:K1305"/>
    <mergeCell ref="L1304:L1305"/>
    <mergeCell ref="M1304:M1305"/>
    <mergeCell ref="N1304:N1305"/>
    <mergeCell ref="A1309:A1311"/>
    <mergeCell ref="B1309:B1311"/>
    <mergeCell ref="C1309:C1311"/>
    <mergeCell ref="D1309:D1311"/>
    <mergeCell ref="E1309:E1311"/>
    <mergeCell ref="F1309:F1311"/>
    <mergeCell ref="G1309:G1311"/>
    <mergeCell ref="H1309:H1311"/>
    <mergeCell ref="I1309:I1311"/>
    <mergeCell ref="J1309:J1311"/>
    <mergeCell ref="K1309:K1311"/>
    <mergeCell ref="L1309:L1311"/>
    <mergeCell ref="M1309:M1311"/>
    <mergeCell ref="N1309:N1311"/>
    <mergeCell ref="A1314:A1315"/>
    <mergeCell ref="B1314:B1315"/>
    <mergeCell ref="C1314:C1315"/>
    <mergeCell ref="D1314:D1315"/>
    <mergeCell ref="E1314:E1315"/>
    <mergeCell ref="F1314:F1315"/>
    <mergeCell ref="G1314:G1315"/>
    <mergeCell ref="H1314:H1315"/>
    <mergeCell ref="I1314:I1315"/>
    <mergeCell ref="J1314:J1315"/>
    <mergeCell ref="K1314:K1315"/>
    <mergeCell ref="L1314:L1315"/>
    <mergeCell ref="M1314:M1315"/>
    <mergeCell ref="N1314:N1315"/>
    <mergeCell ref="A1294:A1297"/>
    <mergeCell ref="B1294:B1297"/>
    <mergeCell ref="C1294:C1297"/>
    <mergeCell ref="D1294:D1297"/>
    <mergeCell ref="E1294:E1297"/>
    <mergeCell ref="F1294:F1297"/>
    <mergeCell ref="G1294:G1297"/>
    <mergeCell ref="H1294:H1297"/>
    <mergeCell ref="I1294:I1297"/>
    <mergeCell ref="J1294:J1297"/>
    <mergeCell ref="K1294:K1297"/>
    <mergeCell ref="L1294:L1297"/>
    <mergeCell ref="M1294:M1297"/>
    <mergeCell ref="N1294:N1297"/>
    <mergeCell ref="A1298:A1299"/>
    <mergeCell ref="B1298:B1299"/>
    <mergeCell ref="C1298:C1299"/>
    <mergeCell ref="D1298:D1299"/>
    <mergeCell ref="E1298:E1299"/>
    <mergeCell ref="F1298:F1299"/>
    <mergeCell ref="G1298:G1299"/>
    <mergeCell ref="H1298:H1299"/>
    <mergeCell ref="I1298:I1299"/>
    <mergeCell ref="J1298:J1299"/>
    <mergeCell ref="K1298:K1299"/>
    <mergeCell ref="L1298:L1299"/>
    <mergeCell ref="M1298:M1299"/>
    <mergeCell ref="N1298:N1299"/>
    <mergeCell ref="A1300:A1302"/>
    <mergeCell ref="B1300:B1302"/>
    <mergeCell ref="C1300:C1302"/>
    <mergeCell ref="D1300:D1302"/>
    <mergeCell ref="E1300:E1302"/>
    <mergeCell ref="F1300:F1302"/>
    <mergeCell ref="G1300:G1302"/>
    <mergeCell ref="H1300:H1302"/>
    <mergeCell ref="I1300:I1302"/>
    <mergeCell ref="J1300:J1302"/>
    <mergeCell ref="K1300:K1302"/>
    <mergeCell ref="L1300:L1302"/>
    <mergeCell ref="M1300:M1302"/>
    <mergeCell ref="N1300:N1302"/>
    <mergeCell ref="A1285:A1287"/>
    <mergeCell ref="B1285:B1287"/>
    <mergeCell ref="C1285:C1287"/>
    <mergeCell ref="D1285:D1287"/>
    <mergeCell ref="E1285:E1287"/>
    <mergeCell ref="F1285:F1287"/>
    <mergeCell ref="G1285:G1287"/>
    <mergeCell ref="H1285:H1287"/>
    <mergeCell ref="I1285:I1287"/>
    <mergeCell ref="J1285:J1287"/>
    <mergeCell ref="K1285:K1287"/>
    <mergeCell ref="L1285:L1287"/>
    <mergeCell ref="M1285:M1287"/>
    <mergeCell ref="N1285:N1287"/>
    <mergeCell ref="A1288:A1290"/>
    <mergeCell ref="B1288:B1290"/>
    <mergeCell ref="C1288:C1290"/>
    <mergeCell ref="D1288:D1290"/>
    <mergeCell ref="E1288:E1290"/>
    <mergeCell ref="F1288:F1290"/>
    <mergeCell ref="G1288:G1290"/>
    <mergeCell ref="H1288:H1290"/>
    <mergeCell ref="I1288:I1290"/>
    <mergeCell ref="J1288:J1290"/>
    <mergeCell ref="K1288:K1290"/>
    <mergeCell ref="L1288:L1290"/>
    <mergeCell ref="M1288:M1290"/>
    <mergeCell ref="N1288:N1290"/>
    <mergeCell ref="A1291:A1293"/>
    <mergeCell ref="B1291:B1293"/>
    <mergeCell ref="C1291:C1293"/>
    <mergeCell ref="D1291:D1293"/>
    <mergeCell ref="E1291:E1293"/>
    <mergeCell ref="F1291:F1293"/>
    <mergeCell ref="G1291:G1293"/>
    <mergeCell ref="H1291:H1293"/>
    <mergeCell ref="I1291:I1293"/>
    <mergeCell ref="J1291:J1293"/>
    <mergeCell ref="K1291:K1293"/>
    <mergeCell ref="L1291:L1293"/>
    <mergeCell ref="M1291:M1293"/>
    <mergeCell ref="N1291:N1293"/>
    <mergeCell ref="A1266:A1268"/>
    <mergeCell ref="B1266:B1268"/>
    <mergeCell ref="C1266:C1268"/>
    <mergeCell ref="D1266:D1268"/>
    <mergeCell ref="E1266:E1268"/>
    <mergeCell ref="F1266:F1268"/>
    <mergeCell ref="G1266:G1268"/>
    <mergeCell ref="H1266:H1268"/>
    <mergeCell ref="I1266:I1268"/>
    <mergeCell ref="J1266:J1268"/>
    <mergeCell ref="K1266:K1268"/>
    <mergeCell ref="L1266:L1268"/>
    <mergeCell ref="M1266:M1268"/>
    <mergeCell ref="N1266:N1268"/>
    <mergeCell ref="A1269:A1276"/>
    <mergeCell ref="B1269:B1276"/>
    <mergeCell ref="C1269:C1276"/>
    <mergeCell ref="D1269:D1276"/>
    <mergeCell ref="E1269:E1276"/>
    <mergeCell ref="F1269:F1276"/>
    <mergeCell ref="G1269:G1276"/>
    <mergeCell ref="H1269:H1276"/>
    <mergeCell ref="I1269:I1276"/>
    <mergeCell ref="J1269:J1276"/>
    <mergeCell ref="K1269:K1276"/>
    <mergeCell ref="L1269:L1276"/>
    <mergeCell ref="M1269:M1276"/>
    <mergeCell ref="N1269:N1276"/>
    <mergeCell ref="A1277:A1281"/>
    <mergeCell ref="B1277:B1281"/>
    <mergeCell ref="C1277:C1281"/>
    <mergeCell ref="D1277:D1281"/>
    <mergeCell ref="E1277:E1281"/>
    <mergeCell ref="F1277:F1281"/>
    <mergeCell ref="G1277:G1281"/>
    <mergeCell ref="H1277:H1281"/>
    <mergeCell ref="I1277:I1281"/>
    <mergeCell ref="J1277:J1281"/>
    <mergeCell ref="K1277:K1281"/>
    <mergeCell ref="L1277:L1281"/>
    <mergeCell ref="M1277:M1281"/>
    <mergeCell ref="N1277:N1281"/>
    <mergeCell ref="A1254:A1255"/>
    <mergeCell ref="B1254:B1255"/>
    <mergeCell ref="C1254:C1255"/>
    <mergeCell ref="D1254:D1255"/>
    <mergeCell ref="E1254:E1255"/>
    <mergeCell ref="F1254:F1255"/>
    <mergeCell ref="G1254:G1255"/>
    <mergeCell ref="H1254:H1255"/>
    <mergeCell ref="I1254:I1255"/>
    <mergeCell ref="J1254:J1255"/>
    <mergeCell ref="K1254:K1255"/>
    <mergeCell ref="L1254:L1255"/>
    <mergeCell ref="M1254:M1255"/>
    <mergeCell ref="N1254:N1255"/>
    <mergeCell ref="A1256:A1257"/>
    <mergeCell ref="B1256:B1257"/>
    <mergeCell ref="C1256:C1257"/>
    <mergeCell ref="D1256:D1257"/>
    <mergeCell ref="E1256:E1257"/>
    <mergeCell ref="F1256:F1257"/>
    <mergeCell ref="G1256:G1257"/>
    <mergeCell ref="H1256:H1257"/>
    <mergeCell ref="I1256:I1257"/>
    <mergeCell ref="J1256:J1257"/>
    <mergeCell ref="K1256:K1257"/>
    <mergeCell ref="L1256:L1257"/>
    <mergeCell ref="M1256:M1257"/>
    <mergeCell ref="N1256:N1257"/>
    <mergeCell ref="A1261:A1262"/>
    <mergeCell ref="B1261:B1262"/>
    <mergeCell ref="C1261:C1262"/>
    <mergeCell ref="D1261:D1262"/>
    <mergeCell ref="E1261:E1262"/>
    <mergeCell ref="F1261:F1262"/>
    <mergeCell ref="G1261:G1262"/>
    <mergeCell ref="H1261:H1262"/>
    <mergeCell ref="I1261:I1262"/>
    <mergeCell ref="J1261:J1262"/>
    <mergeCell ref="K1261:K1262"/>
    <mergeCell ref="L1261:L1262"/>
    <mergeCell ref="M1261:M1262"/>
    <mergeCell ref="N1261:N1262"/>
    <mergeCell ref="A1244:A1249"/>
    <mergeCell ref="B1244:B1249"/>
    <mergeCell ref="C1244:C1249"/>
    <mergeCell ref="D1244:D1249"/>
    <mergeCell ref="E1244:E1249"/>
    <mergeCell ref="F1244:F1249"/>
    <mergeCell ref="G1244:G1249"/>
    <mergeCell ref="H1244:H1249"/>
    <mergeCell ref="I1244:I1249"/>
    <mergeCell ref="J1244:J1249"/>
    <mergeCell ref="K1244:K1249"/>
    <mergeCell ref="L1244:L1249"/>
    <mergeCell ref="M1244:M1249"/>
    <mergeCell ref="N1244:N1249"/>
    <mergeCell ref="A1250:A1251"/>
    <mergeCell ref="B1250:B1251"/>
    <mergeCell ref="C1250:C1251"/>
    <mergeCell ref="D1250:D1251"/>
    <mergeCell ref="E1250:E1251"/>
    <mergeCell ref="F1250:F1251"/>
    <mergeCell ref="G1250:G1251"/>
    <mergeCell ref="H1250:H1251"/>
    <mergeCell ref="I1250:I1251"/>
    <mergeCell ref="J1250:J1251"/>
    <mergeCell ref="K1250:K1251"/>
    <mergeCell ref="L1250:L1251"/>
    <mergeCell ref="M1250:M1251"/>
    <mergeCell ref="N1250:N1251"/>
    <mergeCell ref="A1252:A1253"/>
    <mergeCell ref="B1252:B1253"/>
    <mergeCell ref="C1252:C1253"/>
    <mergeCell ref="D1252:D1253"/>
    <mergeCell ref="E1252:E1253"/>
    <mergeCell ref="F1252:F1253"/>
    <mergeCell ref="G1252:G1253"/>
    <mergeCell ref="H1252:H1253"/>
    <mergeCell ref="I1252:I1253"/>
    <mergeCell ref="J1252:J1253"/>
    <mergeCell ref="K1252:K1253"/>
    <mergeCell ref="L1252:L1253"/>
    <mergeCell ref="M1252:M1253"/>
    <mergeCell ref="N1252:N1253"/>
    <mergeCell ref="A1231:A1232"/>
    <mergeCell ref="B1231:B1232"/>
    <mergeCell ref="C1231:C1232"/>
    <mergeCell ref="D1231:D1232"/>
    <mergeCell ref="E1231:E1232"/>
    <mergeCell ref="F1231:F1232"/>
    <mergeCell ref="G1231:G1232"/>
    <mergeCell ref="H1231:H1232"/>
    <mergeCell ref="I1231:I1232"/>
    <mergeCell ref="J1231:J1232"/>
    <mergeCell ref="K1231:K1232"/>
    <mergeCell ref="L1231:L1232"/>
    <mergeCell ref="M1231:M1232"/>
    <mergeCell ref="N1231:N1232"/>
    <mergeCell ref="A1234:A1239"/>
    <mergeCell ref="B1234:B1239"/>
    <mergeCell ref="C1234:C1239"/>
    <mergeCell ref="D1234:D1239"/>
    <mergeCell ref="E1234:E1239"/>
    <mergeCell ref="F1234:F1239"/>
    <mergeCell ref="G1234:G1239"/>
    <mergeCell ref="H1234:H1239"/>
    <mergeCell ref="I1234:I1239"/>
    <mergeCell ref="J1234:J1239"/>
    <mergeCell ref="K1234:K1239"/>
    <mergeCell ref="L1234:L1239"/>
    <mergeCell ref="M1234:M1239"/>
    <mergeCell ref="N1234:N1239"/>
    <mergeCell ref="A1240:A1241"/>
    <mergeCell ref="B1240:B1241"/>
    <mergeCell ref="C1240:C1241"/>
    <mergeCell ref="D1240:D1241"/>
    <mergeCell ref="E1240:E1241"/>
    <mergeCell ref="F1240:F1241"/>
    <mergeCell ref="G1240:G1241"/>
    <mergeCell ref="H1240:H1241"/>
    <mergeCell ref="I1240:I1241"/>
    <mergeCell ref="J1240:J1241"/>
    <mergeCell ref="K1240:K1241"/>
    <mergeCell ref="L1240:L1241"/>
    <mergeCell ref="M1240:M1241"/>
    <mergeCell ref="N1240:N1241"/>
    <mergeCell ref="A1219:A1223"/>
    <mergeCell ref="B1219:B1223"/>
    <mergeCell ref="C1219:C1223"/>
    <mergeCell ref="D1219:D1223"/>
    <mergeCell ref="E1219:E1223"/>
    <mergeCell ref="F1219:F1223"/>
    <mergeCell ref="G1219:G1223"/>
    <mergeCell ref="H1219:H1223"/>
    <mergeCell ref="I1219:I1223"/>
    <mergeCell ref="J1219:J1223"/>
    <mergeCell ref="K1219:K1223"/>
    <mergeCell ref="L1219:L1223"/>
    <mergeCell ref="M1219:M1223"/>
    <mergeCell ref="N1219:N1223"/>
    <mergeCell ref="A1224:A1225"/>
    <mergeCell ref="B1224:B1225"/>
    <mergeCell ref="C1224:C1225"/>
    <mergeCell ref="D1224:D1225"/>
    <mergeCell ref="E1224:E1225"/>
    <mergeCell ref="F1224:F1225"/>
    <mergeCell ref="G1224:G1225"/>
    <mergeCell ref="H1224:H1225"/>
    <mergeCell ref="I1224:I1225"/>
    <mergeCell ref="J1224:J1225"/>
    <mergeCell ref="K1224:K1225"/>
    <mergeCell ref="L1224:L1225"/>
    <mergeCell ref="M1224:M1225"/>
    <mergeCell ref="N1224:N1225"/>
    <mergeCell ref="A1228:A1229"/>
    <mergeCell ref="B1228:B1229"/>
    <mergeCell ref="C1228:C1229"/>
    <mergeCell ref="D1228:D1229"/>
    <mergeCell ref="E1228:E1229"/>
    <mergeCell ref="F1228:F1229"/>
    <mergeCell ref="G1228:G1229"/>
    <mergeCell ref="H1228:H1229"/>
    <mergeCell ref="I1228:I1229"/>
    <mergeCell ref="J1228:J1229"/>
    <mergeCell ref="K1228:K1229"/>
    <mergeCell ref="L1228:L1229"/>
    <mergeCell ref="M1228:M1229"/>
    <mergeCell ref="N1228:N1229"/>
    <mergeCell ref="A1202:A1203"/>
    <mergeCell ref="B1202:B1203"/>
    <mergeCell ref="C1202:C1203"/>
    <mergeCell ref="D1202:D1203"/>
    <mergeCell ref="E1202:E1203"/>
    <mergeCell ref="F1202:F1203"/>
    <mergeCell ref="G1202:G1203"/>
    <mergeCell ref="H1202:H1203"/>
    <mergeCell ref="I1202:I1203"/>
    <mergeCell ref="J1202:J1203"/>
    <mergeCell ref="K1202:K1203"/>
    <mergeCell ref="L1202:L1203"/>
    <mergeCell ref="M1202:M1203"/>
    <mergeCell ref="N1202:N1203"/>
    <mergeCell ref="A1205:A1207"/>
    <mergeCell ref="B1205:B1207"/>
    <mergeCell ref="C1205:C1207"/>
    <mergeCell ref="D1205:D1207"/>
    <mergeCell ref="E1205:E1207"/>
    <mergeCell ref="F1205:F1207"/>
    <mergeCell ref="G1205:G1207"/>
    <mergeCell ref="H1205:H1207"/>
    <mergeCell ref="I1205:I1207"/>
    <mergeCell ref="J1205:J1207"/>
    <mergeCell ref="K1205:K1207"/>
    <mergeCell ref="L1205:L1207"/>
    <mergeCell ref="M1205:M1207"/>
    <mergeCell ref="N1205:N1207"/>
    <mergeCell ref="A1214:A1216"/>
    <mergeCell ref="B1214:B1216"/>
    <mergeCell ref="C1214:C1216"/>
    <mergeCell ref="D1214:D1216"/>
    <mergeCell ref="E1214:E1216"/>
    <mergeCell ref="F1214:F1216"/>
    <mergeCell ref="G1214:G1216"/>
    <mergeCell ref="H1214:H1216"/>
    <mergeCell ref="I1214:I1216"/>
    <mergeCell ref="J1214:J1216"/>
    <mergeCell ref="K1214:K1216"/>
    <mergeCell ref="L1214:L1216"/>
    <mergeCell ref="M1214:M1216"/>
    <mergeCell ref="N1214:N1216"/>
    <mergeCell ref="A1194:A1195"/>
    <mergeCell ref="B1194:B1195"/>
    <mergeCell ref="C1194:C1195"/>
    <mergeCell ref="D1194:D1195"/>
    <mergeCell ref="E1194:E1195"/>
    <mergeCell ref="F1194:F1195"/>
    <mergeCell ref="G1194:G1195"/>
    <mergeCell ref="H1194:H1195"/>
    <mergeCell ref="I1194:I1195"/>
    <mergeCell ref="J1194:J1195"/>
    <mergeCell ref="K1194:K1195"/>
    <mergeCell ref="L1194:L1195"/>
    <mergeCell ref="M1194:M1195"/>
    <mergeCell ref="N1194:N1195"/>
    <mergeCell ref="A1197:A1198"/>
    <mergeCell ref="B1197:B1198"/>
    <mergeCell ref="C1197:C1198"/>
    <mergeCell ref="D1197:D1198"/>
    <mergeCell ref="E1197:E1198"/>
    <mergeCell ref="F1197:F1198"/>
    <mergeCell ref="G1197:G1198"/>
    <mergeCell ref="H1197:H1198"/>
    <mergeCell ref="I1197:I1198"/>
    <mergeCell ref="J1197:J1198"/>
    <mergeCell ref="K1197:K1198"/>
    <mergeCell ref="L1197:L1198"/>
    <mergeCell ref="M1197:M1198"/>
    <mergeCell ref="N1197:N1198"/>
    <mergeCell ref="A1200:A1201"/>
    <mergeCell ref="B1200:B1201"/>
    <mergeCell ref="C1200:C1201"/>
    <mergeCell ref="D1200:D1201"/>
    <mergeCell ref="E1200:E1201"/>
    <mergeCell ref="F1200:F1201"/>
    <mergeCell ref="G1200:G1201"/>
    <mergeCell ref="H1200:H1201"/>
    <mergeCell ref="I1200:I1201"/>
    <mergeCell ref="J1200:J1201"/>
    <mergeCell ref="K1200:K1201"/>
    <mergeCell ref="L1200:L1201"/>
    <mergeCell ref="M1200:M1201"/>
    <mergeCell ref="N1200:N1201"/>
    <mergeCell ref="A1180:A1183"/>
    <mergeCell ref="B1180:B1183"/>
    <mergeCell ref="C1180:C1183"/>
    <mergeCell ref="D1180:D1183"/>
    <mergeCell ref="E1180:E1183"/>
    <mergeCell ref="F1180:F1183"/>
    <mergeCell ref="G1180:G1183"/>
    <mergeCell ref="H1180:H1183"/>
    <mergeCell ref="I1180:I1183"/>
    <mergeCell ref="J1180:J1183"/>
    <mergeCell ref="K1180:K1183"/>
    <mergeCell ref="L1180:L1183"/>
    <mergeCell ref="M1180:M1183"/>
    <mergeCell ref="N1180:N1183"/>
    <mergeCell ref="A1186:A1189"/>
    <mergeCell ref="B1186:B1189"/>
    <mergeCell ref="C1186:C1189"/>
    <mergeCell ref="D1186:D1189"/>
    <mergeCell ref="E1186:E1189"/>
    <mergeCell ref="F1186:F1189"/>
    <mergeCell ref="G1186:G1189"/>
    <mergeCell ref="H1186:H1189"/>
    <mergeCell ref="I1186:I1189"/>
    <mergeCell ref="J1186:J1189"/>
    <mergeCell ref="K1186:K1189"/>
    <mergeCell ref="L1186:L1189"/>
    <mergeCell ref="M1186:M1189"/>
    <mergeCell ref="N1186:N1189"/>
    <mergeCell ref="A1191:A1192"/>
    <mergeCell ref="B1191:B1192"/>
    <mergeCell ref="C1191:C1192"/>
    <mergeCell ref="D1191:D1192"/>
    <mergeCell ref="E1191:E1192"/>
    <mergeCell ref="F1191:F1192"/>
    <mergeCell ref="G1191:G1192"/>
    <mergeCell ref="H1191:H1192"/>
    <mergeCell ref="I1191:I1192"/>
    <mergeCell ref="J1191:J1192"/>
    <mergeCell ref="K1191:K1192"/>
    <mergeCell ref="L1191:L1192"/>
    <mergeCell ref="M1191:M1192"/>
    <mergeCell ref="N1191:N1192"/>
    <mergeCell ref="A1168:A1170"/>
    <mergeCell ref="B1168:B1170"/>
    <mergeCell ref="C1168:C1170"/>
    <mergeCell ref="D1168:D1170"/>
    <mergeCell ref="E1168:E1170"/>
    <mergeCell ref="F1168:F1170"/>
    <mergeCell ref="G1168:G1170"/>
    <mergeCell ref="H1168:H1170"/>
    <mergeCell ref="I1168:I1170"/>
    <mergeCell ref="J1168:J1170"/>
    <mergeCell ref="K1168:K1170"/>
    <mergeCell ref="L1168:L1170"/>
    <mergeCell ref="M1168:M1170"/>
    <mergeCell ref="N1168:N1170"/>
    <mergeCell ref="A1172:A1173"/>
    <mergeCell ref="B1172:B1173"/>
    <mergeCell ref="C1172:C1173"/>
    <mergeCell ref="D1172:D1173"/>
    <mergeCell ref="E1172:E1173"/>
    <mergeCell ref="F1172:F1173"/>
    <mergeCell ref="G1172:G1173"/>
    <mergeCell ref="H1172:H1173"/>
    <mergeCell ref="I1172:I1173"/>
    <mergeCell ref="J1172:J1173"/>
    <mergeCell ref="K1172:K1173"/>
    <mergeCell ref="L1172:L1173"/>
    <mergeCell ref="M1172:M1173"/>
    <mergeCell ref="N1172:N1173"/>
    <mergeCell ref="A1176:A1178"/>
    <mergeCell ref="B1176:B1178"/>
    <mergeCell ref="C1176:C1178"/>
    <mergeCell ref="D1176:D1178"/>
    <mergeCell ref="E1176:E1178"/>
    <mergeCell ref="F1176:F1178"/>
    <mergeCell ref="G1176:G1178"/>
    <mergeCell ref="H1176:H1178"/>
    <mergeCell ref="I1176:I1178"/>
    <mergeCell ref="J1176:J1178"/>
    <mergeCell ref="K1176:K1178"/>
    <mergeCell ref="L1176:L1178"/>
    <mergeCell ref="M1176:M1178"/>
    <mergeCell ref="N1176:N1178"/>
    <mergeCell ref="A1159:A1160"/>
    <mergeCell ref="B1159:B1160"/>
    <mergeCell ref="C1159:C1160"/>
    <mergeCell ref="D1159:D1160"/>
    <mergeCell ref="E1159:E1160"/>
    <mergeCell ref="F1159:F1160"/>
    <mergeCell ref="G1159:G1160"/>
    <mergeCell ref="H1159:H1160"/>
    <mergeCell ref="I1159:I1160"/>
    <mergeCell ref="J1159:J1160"/>
    <mergeCell ref="K1159:K1160"/>
    <mergeCell ref="L1159:L1160"/>
    <mergeCell ref="M1159:M1160"/>
    <mergeCell ref="N1159:N1160"/>
    <mergeCell ref="A1163:A1164"/>
    <mergeCell ref="B1163:B1164"/>
    <mergeCell ref="C1163:C1164"/>
    <mergeCell ref="D1163:D1164"/>
    <mergeCell ref="E1163:E1164"/>
    <mergeCell ref="F1163:F1164"/>
    <mergeCell ref="G1163:G1164"/>
    <mergeCell ref="H1163:H1164"/>
    <mergeCell ref="I1163:I1164"/>
    <mergeCell ref="J1163:J1164"/>
    <mergeCell ref="K1163:K1164"/>
    <mergeCell ref="L1163:L1164"/>
    <mergeCell ref="M1163:M1164"/>
    <mergeCell ref="N1163:N1164"/>
    <mergeCell ref="A1165:A1166"/>
    <mergeCell ref="B1165:B1166"/>
    <mergeCell ref="C1165:C1166"/>
    <mergeCell ref="D1165:D1166"/>
    <mergeCell ref="E1165:E1166"/>
    <mergeCell ref="F1165:F1166"/>
    <mergeCell ref="G1165:G1166"/>
    <mergeCell ref="H1165:H1166"/>
    <mergeCell ref="I1165:I1166"/>
    <mergeCell ref="J1165:J1166"/>
    <mergeCell ref="K1165:K1166"/>
    <mergeCell ref="L1165:L1166"/>
    <mergeCell ref="M1165:M1166"/>
    <mergeCell ref="N1165:N1166"/>
    <mergeCell ref="A1152:A1153"/>
    <mergeCell ref="B1152:B1153"/>
    <mergeCell ref="C1152:C1153"/>
    <mergeCell ref="D1152:D1153"/>
    <mergeCell ref="E1152:E1153"/>
    <mergeCell ref="F1152:F1153"/>
    <mergeCell ref="G1152:G1153"/>
    <mergeCell ref="H1152:H1153"/>
    <mergeCell ref="I1152:I1153"/>
    <mergeCell ref="J1152:J1153"/>
    <mergeCell ref="K1152:K1153"/>
    <mergeCell ref="L1152:L1153"/>
    <mergeCell ref="M1152:M1153"/>
    <mergeCell ref="N1152:N1153"/>
    <mergeCell ref="A1154:A1155"/>
    <mergeCell ref="B1154:B1155"/>
    <mergeCell ref="C1154:C1155"/>
    <mergeCell ref="D1154:D1155"/>
    <mergeCell ref="E1154:E1155"/>
    <mergeCell ref="F1154:F1155"/>
    <mergeCell ref="G1154:G1155"/>
    <mergeCell ref="H1154:H1155"/>
    <mergeCell ref="I1154:I1155"/>
    <mergeCell ref="J1154:J1155"/>
    <mergeCell ref="K1154:K1155"/>
    <mergeCell ref="L1154:L1155"/>
    <mergeCell ref="M1154:M1155"/>
    <mergeCell ref="N1154:N1155"/>
    <mergeCell ref="A1156:A1157"/>
    <mergeCell ref="B1156:B1157"/>
    <mergeCell ref="C1156:C1157"/>
    <mergeCell ref="D1156:D1157"/>
    <mergeCell ref="E1156:E1157"/>
    <mergeCell ref="F1156:F1157"/>
    <mergeCell ref="G1156:G1157"/>
    <mergeCell ref="H1156:H1157"/>
    <mergeCell ref="I1156:I1157"/>
    <mergeCell ref="J1156:J1157"/>
    <mergeCell ref="K1156:K1157"/>
    <mergeCell ref="L1156:L1157"/>
    <mergeCell ref="M1156:M1157"/>
    <mergeCell ref="N1156:N1157"/>
    <mergeCell ref="A1146:A1147"/>
    <mergeCell ref="B1146:B1147"/>
    <mergeCell ref="C1146:C1147"/>
    <mergeCell ref="D1146:D1147"/>
    <mergeCell ref="E1146:E1147"/>
    <mergeCell ref="F1146:F1147"/>
    <mergeCell ref="G1146:G1147"/>
    <mergeCell ref="H1146:H1147"/>
    <mergeCell ref="I1146:I1147"/>
    <mergeCell ref="J1146:J1147"/>
    <mergeCell ref="K1146:K1147"/>
    <mergeCell ref="L1146:L1147"/>
    <mergeCell ref="M1146:M1147"/>
    <mergeCell ref="N1146:N1147"/>
    <mergeCell ref="A1148:A1149"/>
    <mergeCell ref="B1148:B1149"/>
    <mergeCell ref="C1148:C1149"/>
    <mergeCell ref="D1148:D1149"/>
    <mergeCell ref="E1148:E1149"/>
    <mergeCell ref="F1148:F1149"/>
    <mergeCell ref="G1148:G1149"/>
    <mergeCell ref="H1148:H1149"/>
    <mergeCell ref="I1148:I1149"/>
    <mergeCell ref="J1148:J1149"/>
    <mergeCell ref="K1148:K1149"/>
    <mergeCell ref="L1148:L1149"/>
    <mergeCell ref="M1148:M1149"/>
    <mergeCell ref="N1148:N1149"/>
    <mergeCell ref="A1150:A1151"/>
    <mergeCell ref="B1150:B1151"/>
    <mergeCell ref="C1150:C1151"/>
    <mergeCell ref="D1150:D1151"/>
    <mergeCell ref="E1150:E1151"/>
    <mergeCell ref="F1150:F1151"/>
    <mergeCell ref="G1150:G1151"/>
    <mergeCell ref="H1150:H1151"/>
    <mergeCell ref="I1150:I1151"/>
    <mergeCell ref="J1150:J1151"/>
    <mergeCell ref="K1150:K1151"/>
    <mergeCell ref="L1150:L1151"/>
    <mergeCell ref="M1150:M1151"/>
    <mergeCell ref="N1150:N1151"/>
    <mergeCell ref="A1137:A1138"/>
    <mergeCell ref="B1137:B1138"/>
    <mergeCell ref="C1137:C1138"/>
    <mergeCell ref="D1137:D1138"/>
    <mergeCell ref="E1137:E1138"/>
    <mergeCell ref="F1137:F1138"/>
    <mergeCell ref="G1137:G1138"/>
    <mergeCell ref="H1137:H1138"/>
    <mergeCell ref="I1137:I1138"/>
    <mergeCell ref="J1137:J1138"/>
    <mergeCell ref="K1137:K1138"/>
    <mergeCell ref="L1137:L1138"/>
    <mergeCell ref="M1137:M1138"/>
    <mergeCell ref="N1137:N1138"/>
    <mergeCell ref="A1140:A1141"/>
    <mergeCell ref="B1140:B1141"/>
    <mergeCell ref="C1140:C1141"/>
    <mergeCell ref="D1140:D1141"/>
    <mergeCell ref="E1140:E1141"/>
    <mergeCell ref="F1140:F1141"/>
    <mergeCell ref="G1140:G1141"/>
    <mergeCell ref="H1140:H1141"/>
    <mergeCell ref="I1140:I1141"/>
    <mergeCell ref="J1140:J1141"/>
    <mergeCell ref="K1140:K1141"/>
    <mergeCell ref="L1140:L1141"/>
    <mergeCell ref="M1140:M1141"/>
    <mergeCell ref="N1140:N1141"/>
    <mergeCell ref="A1142:A1144"/>
    <mergeCell ref="B1142:B1144"/>
    <mergeCell ref="C1142:C1144"/>
    <mergeCell ref="D1142:D1144"/>
    <mergeCell ref="E1142:E1144"/>
    <mergeCell ref="F1142:F1144"/>
    <mergeCell ref="G1142:G1144"/>
    <mergeCell ref="H1142:H1144"/>
    <mergeCell ref="I1142:I1144"/>
    <mergeCell ref="J1142:J1144"/>
    <mergeCell ref="K1142:K1144"/>
    <mergeCell ref="L1142:L1144"/>
    <mergeCell ref="M1142:M1144"/>
    <mergeCell ref="N1142:N1144"/>
    <mergeCell ref="A1127:A1128"/>
    <mergeCell ref="B1127:B1128"/>
    <mergeCell ref="C1127:C1128"/>
    <mergeCell ref="D1127:D1128"/>
    <mergeCell ref="E1127:E1128"/>
    <mergeCell ref="F1127:F1128"/>
    <mergeCell ref="G1127:G1128"/>
    <mergeCell ref="H1127:H1128"/>
    <mergeCell ref="I1127:I1128"/>
    <mergeCell ref="J1127:J1128"/>
    <mergeCell ref="K1127:K1128"/>
    <mergeCell ref="L1127:L1128"/>
    <mergeCell ref="M1127:M1128"/>
    <mergeCell ref="N1127:N1128"/>
    <mergeCell ref="A1131:A1132"/>
    <mergeCell ref="B1131:B1132"/>
    <mergeCell ref="C1131:C1132"/>
    <mergeCell ref="D1131:D1132"/>
    <mergeCell ref="E1131:E1132"/>
    <mergeCell ref="F1131:F1132"/>
    <mergeCell ref="G1131:G1132"/>
    <mergeCell ref="H1131:H1132"/>
    <mergeCell ref="I1131:I1132"/>
    <mergeCell ref="J1131:J1132"/>
    <mergeCell ref="K1131:K1132"/>
    <mergeCell ref="L1131:L1132"/>
    <mergeCell ref="M1131:M1132"/>
    <mergeCell ref="N1131:N1132"/>
    <mergeCell ref="A1135:A1136"/>
    <mergeCell ref="B1135:B1136"/>
    <mergeCell ref="C1135:C1136"/>
    <mergeCell ref="D1135:D1136"/>
    <mergeCell ref="E1135:E1136"/>
    <mergeCell ref="F1135:F1136"/>
    <mergeCell ref="G1135:G1136"/>
    <mergeCell ref="H1135:H1136"/>
    <mergeCell ref="I1135:I1136"/>
    <mergeCell ref="J1135:J1136"/>
    <mergeCell ref="K1135:K1136"/>
    <mergeCell ref="L1135:L1136"/>
    <mergeCell ref="M1135:M1136"/>
    <mergeCell ref="N1135:N1136"/>
    <mergeCell ref="A1111:A1117"/>
    <mergeCell ref="B1111:B1117"/>
    <mergeCell ref="C1111:C1117"/>
    <mergeCell ref="D1111:D1117"/>
    <mergeCell ref="E1111:E1117"/>
    <mergeCell ref="F1111:F1117"/>
    <mergeCell ref="G1111:G1117"/>
    <mergeCell ref="H1111:H1117"/>
    <mergeCell ref="I1111:I1117"/>
    <mergeCell ref="J1111:J1117"/>
    <mergeCell ref="K1111:K1117"/>
    <mergeCell ref="L1111:L1117"/>
    <mergeCell ref="M1111:M1117"/>
    <mergeCell ref="N1111:N1117"/>
    <mergeCell ref="A1119:A1120"/>
    <mergeCell ref="B1119:B1120"/>
    <mergeCell ref="C1119:C1120"/>
    <mergeCell ref="D1119:D1120"/>
    <mergeCell ref="E1119:E1120"/>
    <mergeCell ref="F1119:F1120"/>
    <mergeCell ref="G1119:G1120"/>
    <mergeCell ref="H1119:H1120"/>
    <mergeCell ref="I1119:I1120"/>
    <mergeCell ref="J1119:J1120"/>
    <mergeCell ref="K1119:K1120"/>
    <mergeCell ref="L1119:L1120"/>
    <mergeCell ref="M1119:M1120"/>
    <mergeCell ref="N1119:N1120"/>
    <mergeCell ref="A1122:A1124"/>
    <mergeCell ref="B1122:B1124"/>
    <mergeCell ref="C1122:C1124"/>
    <mergeCell ref="D1122:D1124"/>
    <mergeCell ref="E1122:E1124"/>
    <mergeCell ref="F1122:F1124"/>
    <mergeCell ref="G1122:G1124"/>
    <mergeCell ref="H1122:H1124"/>
    <mergeCell ref="I1122:I1124"/>
    <mergeCell ref="J1122:J1124"/>
    <mergeCell ref="K1122:K1124"/>
    <mergeCell ref="L1122:L1124"/>
    <mergeCell ref="M1122:M1124"/>
    <mergeCell ref="N1122:N1124"/>
    <mergeCell ref="A1100:A1103"/>
    <mergeCell ref="B1100:B1103"/>
    <mergeCell ref="C1100:C1103"/>
    <mergeCell ref="D1100:D1103"/>
    <mergeCell ref="E1100:E1103"/>
    <mergeCell ref="F1100:F1103"/>
    <mergeCell ref="G1100:G1103"/>
    <mergeCell ref="H1100:H1103"/>
    <mergeCell ref="I1100:I1103"/>
    <mergeCell ref="J1100:J1103"/>
    <mergeCell ref="K1100:K1103"/>
    <mergeCell ref="L1100:L1103"/>
    <mergeCell ref="M1100:M1103"/>
    <mergeCell ref="N1100:N1103"/>
    <mergeCell ref="A1104:A1105"/>
    <mergeCell ref="B1104:B1105"/>
    <mergeCell ref="C1104:C1105"/>
    <mergeCell ref="D1104:D1105"/>
    <mergeCell ref="E1104:E1105"/>
    <mergeCell ref="F1104:F1105"/>
    <mergeCell ref="G1104:G1105"/>
    <mergeCell ref="H1104:H1105"/>
    <mergeCell ref="I1104:I1105"/>
    <mergeCell ref="J1104:J1105"/>
    <mergeCell ref="K1104:K1105"/>
    <mergeCell ref="L1104:L1105"/>
    <mergeCell ref="M1104:M1105"/>
    <mergeCell ref="N1104:N1105"/>
    <mergeCell ref="A1108:A1110"/>
    <mergeCell ref="B1108:B1110"/>
    <mergeCell ref="C1108:C1110"/>
    <mergeCell ref="D1108:D1110"/>
    <mergeCell ref="E1108:E1110"/>
    <mergeCell ref="F1108:F1110"/>
    <mergeCell ref="G1108:G1110"/>
    <mergeCell ref="H1108:H1110"/>
    <mergeCell ref="I1108:I1110"/>
    <mergeCell ref="J1108:J1110"/>
    <mergeCell ref="K1108:K1110"/>
    <mergeCell ref="L1108:L1110"/>
    <mergeCell ref="M1108:M1110"/>
    <mergeCell ref="N1108:N1110"/>
    <mergeCell ref="A1087:A1090"/>
    <mergeCell ref="B1087:B1090"/>
    <mergeCell ref="C1087:C1090"/>
    <mergeCell ref="D1087:D1090"/>
    <mergeCell ref="E1087:E1090"/>
    <mergeCell ref="F1087:F1090"/>
    <mergeCell ref="G1087:G1090"/>
    <mergeCell ref="H1087:H1090"/>
    <mergeCell ref="I1087:I1090"/>
    <mergeCell ref="J1087:J1090"/>
    <mergeCell ref="K1087:K1090"/>
    <mergeCell ref="L1087:L1090"/>
    <mergeCell ref="M1087:M1090"/>
    <mergeCell ref="N1087:N1090"/>
    <mergeCell ref="A1095:A1097"/>
    <mergeCell ref="B1095:B1097"/>
    <mergeCell ref="C1095:C1097"/>
    <mergeCell ref="D1095:D1097"/>
    <mergeCell ref="E1095:E1097"/>
    <mergeCell ref="F1095:F1097"/>
    <mergeCell ref="G1095:G1097"/>
    <mergeCell ref="H1095:H1097"/>
    <mergeCell ref="I1095:I1097"/>
    <mergeCell ref="J1095:J1097"/>
    <mergeCell ref="K1095:K1097"/>
    <mergeCell ref="L1095:L1097"/>
    <mergeCell ref="M1095:M1097"/>
    <mergeCell ref="N1095:N1097"/>
    <mergeCell ref="A1098:A1099"/>
    <mergeCell ref="B1098:B1099"/>
    <mergeCell ref="C1098:C1099"/>
    <mergeCell ref="D1098:D1099"/>
    <mergeCell ref="E1098:E1099"/>
    <mergeCell ref="F1098:F1099"/>
    <mergeCell ref="G1098:G1099"/>
    <mergeCell ref="H1098:H1099"/>
    <mergeCell ref="I1098:I1099"/>
    <mergeCell ref="J1098:J1099"/>
    <mergeCell ref="K1098:K1099"/>
    <mergeCell ref="L1098:L1099"/>
    <mergeCell ref="M1098:M1099"/>
    <mergeCell ref="N1098:N1099"/>
    <mergeCell ref="A1076:A1079"/>
    <mergeCell ref="B1076:B1079"/>
    <mergeCell ref="C1076:C1079"/>
    <mergeCell ref="D1076:D1079"/>
    <mergeCell ref="E1076:E1079"/>
    <mergeCell ref="F1076:F1079"/>
    <mergeCell ref="G1076:G1079"/>
    <mergeCell ref="H1076:H1079"/>
    <mergeCell ref="I1076:I1079"/>
    <mergeCell ref="J1076:J1079"/>
    <mergeCell ref="K1076:K1079"/>
    <mergeCell ref="L1076:L1079"/>
    <mergeCell ref="M1076:M1079"/>
    <mergeCell ref="N1076:N1079"/>
    <mergeCell ref="A1080:A1081"/>
    <mergeCell ref="B1080:B1081"/>
    <mergeCell ref="C1080:C1081"/>
    <mergeCell ref="D1080:D1081"/>
    <mergeCell ref="E1080:E1081"/>
    <mergeCell ref="F1080:F1081"/>
    <mergeCell ref="G1080:G1081"/>
    <mergeCell ref="H1080:H1081"/>
    <mergeCell ref="I1080:I1081"/>
    <mergeCell ref="J1080:J1081"/>
    <mergeCell ref="K1080:K1081"/>
    <mergeCell ref="L1080:L1081"/>
    <mergeCell ref="M1080:M1081"/>
    <mergeCell ref="N1080:N1081"/>
    <mergeCell ref="A1082:A1085"/>
    <mergeCell ref="B1082:B1085"/>
    <mergeCell ref="C1082:C1085"/>
    <mergeCell ref="D1082:D1085"/>
    <mergeCell ref="E1082:E1085"/>
    <mergeCell ref="F1082:F1085"/>
    <mergeCell ref="G1082:G1085"/>
    <mergeCell ref="H1082:H1085"/>
    <mergeCell ref="I1082:I1085"/>
    <mergeCell ref="J1082:J1085"/>
    <mergeCell ref="K1082:K1085"/>
    <mergeCell ref="L1082:L1085"/>
    <mergeCell ref="M1082:M1085"/>
    <mergeCell ref="N1082:N1085"/>
    <mergeCell ref="A1064:A1066"/>
    <mergeCell ref="B1064:B1066"/>
    <mergeCell ref="C1064:C1066"/>
    <mergeCell ref="D1064:D1066"/>
    <mergeCell ref="E1064:E1066"/>
    <mergeCell ref="F1064:F1066"/>
    <mergeCell ref="G1064:G1066"/>
    <mergeCell ref="H1064:H1066"/>
    <mergeCell ref="I1064:I1066"/>
    <mergeCell ref="J1064:J1066"/>
    <mergeCell ref="K1064:K1066"/>
    <mergeCell ref="L1064:L1066"/>
    <mergeCell ref="M1064:M1066"/>
    <mergeCell ref="N1064:N1066"/>
    <mergeCell ref="A1067:A1068"/>
    <mergeCell ref="B1067:B1068"/>
    <mergeCell ref="C1067:C1068"/>
    <mergeCell ref="D1067:D1068"/>
    <mergeCell ref="E1067:E1068"/>
    <mergeCell ref="F1067:F1068"/>
    <mergeCell ref="G1067:G1068"/>
    <mergeCell ref="H1067:H1068"/>
    <mergeCell ref="I1067:I1068"/>
    <mergeCell ref="J1067:J1068"/>
    <mergeCell ref="K1067:K1068"/>
    <mergeCell ref="L1067:L1068"/>
    <mergeCell ref="M1067:M1068"/>
    <mergeCell ref="N1067:N1068"/>
    <mergeCell ref="A1074:A1075"/>
    <mergeCell ref="B1074:B1075"/>
    <mergeCell ref="C1074:C1075"/>
    <mergeCell ref="D1074:D1075"/>
    <mergeCell ref="E1074:E1075"/>
    <mergeCell ref="F1074:F1075"/>
    <mergeCell ref="G1074:G1075"/>
    <mergeCell ref="H1074:H1075"/>
    <mergeCell ref="I1074:I1075"/>
    <mergeCell ref="J1074:J1075"/>
    <mergeCell ref="K1074:K1075"/>
    <mergeCell ref="L1074:L1075"/>
    <mergeCell ref="M1074:M1075"/>
    <mergeCell ref="N1074:N1075"/>
    <mergeCell ref="A1052:A1053"/>
    <mergeCell ref="B1052:B1053"/>
    <mergeCell ref="C1052:C1053"/>
    <mergeCell ref="D1052:D1053"/>
    <mergeCell ref="E1052:E1053"/>
    <mergeCell ref="F1052:F1053"/>
    <mergeCell ref="G1052:G1053"/>
    <mergeCell ref="H1052:H1053"/>
    <mergeCell ref="I1052:I1053"/>
    <mergeCell ref="J1052:J1053"/>
    <mergeCell ref="K1052:K1053"/>
    <mergeCell ref="L1052:L1053"/>
    <mergeCell ref="M1052:M1053"/>
    <mergeCell ref="N1052:N1053"/>
    <mergeCell ref="A1059:A1060"/>
    <mergeCell ref="B1059:B1060"/>
    <mergeCell ref="C1059:C1060"/>
    <mergeCell ref="D1059:D1060"/>
    <mergeCell ref="E1059:E1060"/>
    <mergeCell ref="F1059:F1060"/>
    <mergeCell ref="G1059:G1060"/>
    <mergeCell ref="H1059:H1060"/>
    <mergeCell ref="I1059:I1060"/>
    <mergeCell ref="J1059:J1060"/>
    <mergeCell ref="K1059:K1060"/>
    <mergeCell ref="L1059:L1060"/>
    <mergeCell ref="M1059:M1060"/>
    <mergeCell ref="N1059:N1060"/>
    <mergeCell ref="A1061:A1063"/>
    <mergeCell ref="B1061:B1063"/>
    <mergeCell ref="C1061:C1063"/>
    <mergeCell ref="D1061:D1063"/>
    <mergeCell ref="E1061:E1063"/>
    <mergeCell ref="F1061:F1063"/>
    <mergeCell ref="G1061:G1063"/>
    <mergeCell ref="H1061:H1063"/>
    <mergeCell ref="I1061:I1063"/>
    <mergeCell ref="J1061:J1063"/>
    <mergeCell ref="K1061:K1063"/>
    <mergeCell ref="L1061:L1063"/>
    <mergeCell ref="M1061:M1063"/>
    <mergeCell ref="N1061:N1063"/>
    <mergeCell ref="A1045:A1046"/>
    <mergeCell ref="B1045:B1046"/>
    <mergeCell ref="C1045:C1046"/>
    <mergeCell ref="D1045:D1046"/>
    <mergeCell ref="E1045:E1046"/>
    <mergeCell ref="F1045:F1046"/>
    <mergeCell ref="G1045:G1046"/>
    <mergeCell ref="H1045:H1046"/>
    <mergeCell ref="I1045:I1046"/>
    <mergeCell ref="J1045:J1046"/>
    <mergeCell ref="K1045:K1046"/>
    <mergeCell ref="L1045:L1046"/>
    <mergeCell ref="M1045:M1046"/>
    <mergeCell ref="N1045:N1046"/>
    <mergeCell ref="A1047:A1048"/>
    <mergeCell ref="B1047:B1048"/>
    <mergeCell ref="C1047:C1048"/>
    <mergeCell ref="D1047:D1048"/>
    <mergeCell ref="E1047:E1048"/>
    <mergeCell ref="F1047:F1048"/>
    <mergeCell ref="G1047:G1048"/>
    <mergeCell ref="H1047:H1048"/>
    <mergeCell ref="I1047:I1048"/>
    <mergeCell ref="J1047:J1048"/>
    <mergeCell ref="K1047:K1048"/>
    <mergeCell ref="L1047:L1048"/>
    <mergeCell ref="M1047:M1048"/>
    <mergeCell ref="N1047:N1048"/>
    <mergeCell ref="A1049:A1051"/>
    <mergeCell ref="B1049:B1051"/>
    <mergeCell ref="C1049:C1051"/>
    <mergeCell ref="D1049:D1051"/>
    <mergeCell ref="E1049:E1051"/>
    <mergeCell ref="F1049:F1051"/>
    <mergeCell ref="G1049:G1051"/>
    <mergeCell ref="H1049:H1051"/>
    <mergeCell ref="I1049:I1051"/>
    <mergeCell ref="J1049:J1051"/>
    <mergeCell ref="K1049:K1051"/>
    <mergeCell ref="L1049:L1051"/>
    <mergeCell ref="M1049:M1051"/>
    <mergeCell ref="N1049:N1051"/>
    <mergeCell ref="A1036:A1037"/>
    <mergeCell ref="B1036:B1037"/>
    <mergeCell ref="C1036:C1037"/>
    <mergeCell ref="D1036:D1037"/>
    <mergeCell ref="E1036:E1037"/>
    <mergeCell ref="F1036:F1037"/>
    <mergeCell ref="G1036:G1037"/>
    <mergeCell ref="H1036:H1037"/>
    <mergeCell ref="I1036:I1037"/>
    <mergeCell ref="J1036:J1037"/>
    <mergeCell ref="K1036:K1037"/>
    <mergeCell ref="L1036:L1037"/>
    <mergeCell ref="M1036:M1037"/>
    <mergeCell ref="N1036:N1037"/>
    <mergeCell ref="A1038:A1041"/>
    <mergeCell ref="B1038:B1041"/>
    <mergeCell ref="C1038:C1041"/>
    <mergeCell ref="D1038:D1041"/>
    <mergeCell ref="E1038:E1041"/>
    <mergeCell ref="F1038:F1041"/>
    <mergeCell ref="G1038:G1041"/>
    <mergeCell ref="H1038:H1041"/>
    <mergeCell ref="I1038:I1041"/>
    <mergeCell ref="J1038:J1041"/>
    <mergeCell ref="K1038:K1041"/>
    <mergeCell ref="L1038:L1041"/>
    <mergeCell ref="M1038:M1041"/>
    <mergeCell ref="N1038:N1041"/>
    <mergeCell ref="A1042:A1044"/>
    <mergeCell ref="B1042:B1044"/>
    <mergeCell ref="C1042:C1044"/>
    <mergeCell ref="D1042:D1044"/>
    <mergeCell ref="E1042:E1044"/>
    <mergeCell ref="F1042:F1044"/>
    <mergeCell ref="G1042:G1044"/>
    <mergeCell ref="H1042:H1044"/>
    <mergeCell ref="I1042:I1044"/>
    <mergeCell ref="J1042:J1044"/>
    <mergeCell ref="K1042:K1044"/>
    <mergeCell ref="L1042:L1044"/>
    <mergeCell ref="M1042:M1044"/>
    <mergeCell ref="N1042:N1044"/>
    <mergeCell ref="A1028:A1029"/>
    <mergeCell ref="B1028:B1029"/>
    <mergeCell ref="C1028:C1029"/>
    <mergeCell ref="D1028:D1029"/>
    <mergeCell ref="E1028:E1029"/>
    <mergeCell ref="F1028:F1029"/>
    <mergeCell ref="G1028:G1029"/>
    <mergeCell ref="H1028:H1029"/>
    <mergeCell ref="I1028:I1029"/>
    <mergeCell ref="J1028:J1029"/>
    <mergeCell ref="K1028:K1029"/>
    <mergeCell ref="L1028:L1029"/>
    <mergeCell ref="M1028:M1029"/>
    <mergeCell ref="N1028:N1029"/>
    <mergeCell ref="A1030:A1031"/>
    <mergeCell ref="B1030:B1031"/>
    <mergeCell ref="C1030:C1031"/>
    <mergeCell ref="D1030:D1031"/>
    <mergeCell ref="E1030:E1031"/>
    <mergeCell ref="F1030:F1031"/>
    <mergeCell ref="G1030:G1031"/>
    <mergeCell ref="H1030:H1031"/>
    <mergeCell ref="I1030:I1031"/>
    <mergeCell ref="J1030:J1031"/>
    <mergeCell ref="K1030:K1031"/>
    <mergeCell ref="L1030:L1031"/>
    <mergeCell ref="M1030:M1031"/>
    <mergeCell ref="N1030:N1031"/>
    <mergeCell ref="A1034:A1035"/>
    <mergeCell ref="B1034:B1035"/>
    <mergeCell ref="C1034:C1035"/>
    <mergeCell ref="D1034:D1035"/>
    <mergeCell ref="E1034:E1035"/>
    <mergeCell ref="F1034:F1035"/>
    <mergeCell ref="G1034:G1035"/>
    <mergeCell ref="H1034:H1035"/>
    <mergeCell ref="I1034:I1035"/>
    <mergeCell ref="J1034:J1035"/>
    <mergeCell ref="K1034:K1035"/>
    <mergeCell ref="L1034:L1035"/>
    <mergeCell ref="M1034:M1035"/>
    <mergeCell ref="N1034:N1035"/>
    <mergeCell ref="A1016:A1018"/>
    <mergeCell ref="B1016:B1018"/>
    <mergeCell ref="C1016:C1018"/>
    <mergeCell ref="D1016:D1018"/>
    <mergeCell ref="E1016:E1018"/>
    <mergeCell ref="F1016:F1018"/>
    <mergeCell ref="G1016:G1018"/>
    <mergeCell ref="H1016:H1018"/>
    <mergeCell ref="I1016:I1018"/>
    <mergeCell ref="J1016:J1018"/>
    <mergeCell ref="K1016:K1018"/>
    <mergeCell ref="L1016:L1018"/>
    <mergeCell ref="M1016:M1018"/>
    <mergeCell ref="N1016:N1018"/>
    <mergeCell ref="A1020:A1023"/>
    <mergeCell ref="B1020:B1023"/>
    <mergeCell ref="C1020:C1023"/>
    <mergeCell ref="D1020:D1023"/>
    <mergeCell ref="E1020:E1023"/>
    <mergeCell ref="F1020:F1023"/>
    <mergeCell ref="G1020:G1023"/>
    <mergeCell ref="H1020:H1023"/>
    <mergeCell ref="I1020:I1023"/>
    <mergeCell ref="J1020:J1023"/>
    <mergeCell ref="K1020:K1023"/>
    <mergeCell ref="L1020:L1023"/>
    <mergeCell ref="M1020:M1023"/>
    <mergeCell ref="N1020:N1023"/>
    <mergeCell ref="A1024:A1025"/>
    <mergeCell ref="B1024:B1025"/>
    <mergeCell ref="C1024:C1025"/>
    <mergeCell ref="D1024:D1025"/>
    <mergeCell ref="E1024:E1025"/>
    <mergeCell ref="F1024:F1025"/>
    <mergeCell ref="G1024:G1025"/>
    <mergeCell ref="H1024:H1025"/>
    <mergeCell ref="I1024:I1025"/>
    <mergeCell ref="J1024:J1025"/>
    <mergeCell ref="K1024:K1025"/>
    <mergeCell ref="L1024:L1025"/>
    <mergeCell ref="M1024:M1025"/>
    <mergeCell ref="N1024:N1025"/>
    <mergeCell ref="A1003:A1004"/>
    <mergeCell ref="B1003:B1004"/>
    <mergeCell ref="C1003:C1004"/>
    <mergeCell ref="D1003:D1004"/>
    <mergeCell ref="E1003:E1004"/>
    <mergeCell ref="F1003:F1004"/>
    <mergeCell ref="G1003:G1004"/>
    <mergeCell ref="H1003:H1004"/>
    <mergeCell ref="I1003:I1004"/>
    <mergeCell ref="J1003:J1004"/>
    <mergeCell ref="K1003:K1004"/>
    <mergeCell ref="L1003:L1004"/>
    <mergeCell ref="M1003:M1004"/>
    <mergeCell ref="N1003:N1004"/>
    <mergeCell ref="A1005:A1006"/>
    <mergeCell ref="B1005:B1006"/>
    <mergeCell ref="C1005:C1006"/>
    <mergeCell ref="D1005:D1006"/>
    <mergeCell ref="E1005:E1006"/>
    <mergeCell ref="F1005:F1006"/>
    <mergeCell ref="G1005:G1006"/>
    <mergeCell ref="H1005:H1006"/>
    <mergeCell ref="I1005:I1006"/>
    <mergeCell ref="J1005:J1006"/>
    <mergeCell ref="K1005:K1006"/>
    <mergeCell ref="L1005:L1006"/>
    <mergeCell ref="M1005:M1006"/>
    <mergeCell ref="N1005:N1006"/>
    <mergeCell ref="A1007:A1010"/>
    <mergeCell ref="B1007:B1010"/>
    <mergeCell ref="C1007:C1010"/>
    <mergeCell ref="D1007:D1010"/>
    <mergeCell ref="E1007:E1010"/>
    <mergeCell ref="F1007:F1010"/>
    <mergeCell ref="G1007:G1010"/>
    <mergeCell ref="H1007:H1010"/>
    <mergeCell ref="I1007:I1010"/>
    <mergeCell ref="J1007:J1010"/>
    <mergeCell ref="K1007:K1010"/>
    <mergeCell ref="L1007:L1010"/>
    <mergeCell ref="M1007:M1010"/>
    <mergeCell ref="N1007:N1010"/>
    <mergeCell ref="A995:A996"/>
    <mergeCell ref="B995:B996"/>
    <mergeCell ref="C995:C996"/>
    <mergeCell ref="D995:D996"/>
    <mergeCell ref="E995:E996"/>
    <mergeCell ref="F995:F996"/>
    <mergeCell ref="G995:G996"/>
    <mergeCell ref="H995:H996"/>
    <mergeCell ref="I995:I996"/>
    <mergeCell ref="J995:J996"/>
    <mergeCell ref="K995:K996"/>
    <mergeCell ref="L995:L996"/>
    <mergeCell ref="M995:M996"/>
    <mergeCell ref="N995:N996"/>
    <mergeCell ref="A999:A1000"/>
    <mergeCell ref="B999:B1000"/>
    <mergeCell ref="C999:C1000"/>
    <mergeCell ref="D999:D1000"/>
    <mergeCell ref="E999:E1000"/>
    <mergeCell ref="F999:F1000"/>
    <mergeCell ref="G999:G1000"/>
    <mergeCell ref="H999:H1000"/>
    <mergeCell ref="I999:I1000"/>
    <mergeCell ref="J999:J1000"/>
    <mergeCell ref="K999:K1000"/>
    <mergeCell ref="L999:L1000"/>
    <mergeCell ref="M999:M1000"/>
    <mergeCell ref="N999:N1000"/>
    <mergeCell ref="A1001:A1002"/>
    <mergeCell ref="B1001:B1002"/>
    <mergeCell ref="C1001:C1002"/>
    <mergeCell ref="D1001:D1002"/>
    <mergeCell ref="E1001:E1002"/>
    <mergeCell ref="F1001:F1002"/>
    <mergeCell ref="G1001:G1002"/>
    <mergeCell ref="H1001:H1002"/>
    <mergeCell ref="I1001:I1002"/>
    <mergeCell ref="J1001:J1002"/>
    <mergeCell ref="K1001:K1002"/>
    <mergeCell ref="L1001:L1002"/>
    <mergeCell ref="M1001:M1002"/>
    <mergeCell ref="N1001:N1002"/>
    <mergeCell ref="A975:A976"/>
    <mergeCell ref="B975:B976"/>
    <mergeCell ref="C975:C976"/>
    <mergeCell ref="D975:D976"/>
    <mergeCell ref="E975:E976"/>
    <mergeCell ref="F975:F976"/>
    <mergeCell ref="G975:G976"/>
    <mergeCell ref="H975:H976"/>
    <mergeCell ref="I975:I976"/>
    <mergeCell ref="J975:J976"/>
    <mergeCell ref="K975:K976"/>
    <mergeCell ref="L975:L976"/>
    <mergeCell ref="M975:M976"/>
    <mergeCell ref="N975:N976"/>
    <mergeCell ref="A977:A978"/>
    <mergeCell ref="B977:B978"/>
    <mergeCell ref="C977:C978"/>
    <mergeCell ref="D977:D978"/>
    <mergeCell ref="E977:E978"/>
    <mergeCell ref="F977:F978"/>
    <mergeCell ref="G977:G978"/>
    <mergeCell ref="H977:H978"/>
    <mergeCell ref="I977:I978"/>
    <mergeCell ref="J977:J978"/>
    <mergeCell ref="K977:K978"/>
    <mergeCell ref="L977:L978"/>
    <mergeCell ref="M977:M978"/>
    <mergeCell ref="N977:N978"/>
    <mergeCell ref="A984:A994"/>
    <mergeCell ref="B984:B994"/>
    <mergeCell ref="C984:C994"/>
    <mergeCell ref="D984:D994"/>
    <mergeCell ref="E984:E994"/>
    <mergeCell ref="F984:F994"/>
    <mergeCell ref="G984:G994"/>
    <mergeCell ref="H984:H994"/>
    <mergeCell ref="I984:I994"/>
    <mergeCell ref="J984:J994"/>
    <mergeCell ref="K984:K994"/>
    <mergeCell ref="L984:L994"/>
    <mergeCell ref="M984:M994"/>
    <mergeCell ref="N984:N994"/>
    <mergeCell ref="A965:A968"/>
    <mergeCell ref="B965:B968"/>
    <mergeCell ref="C965:C968"/>
    <mergeCell ref="D965:D968"/>
    <mergeCell ref="E965:E968"/>
    <mergeCell ref="F965:F968"/>
    <mergeCell ref="G965:G968"/>
    <mergeCell ref="H965:H968"/>
    <mergeCell ref="I965:I968"/>
    <mergeCell ref="J965:J968"/>
    <mergeCell ref="K965:K968"/>
    <mergeCell ref="L965:L968"/>
    <mergeCell ref="M965:M968"/>
    <mergeCell ref="N965:N968"/>
    <mergeCell ref="A971:A972"/>
    <mergeCell ref="B971:B972"/>
    <mergeCell ref="C971:C972"/>
    <mergeCell ref="D971:D972"/>
    <mergeCell ref="E971:E972"/>
    <mergeCell ref="F971:F972"/>
    <mergeCell ref="G971:G972"/>
    <mergeCell ref="H971:H972"/>
    <mergeCell ref="I971:I972"/>
    <mergeCell ref="J971:J972"/>
    <mergeCell ref="K971:K972"/>
    <mergeCell ref="L971:L972"/>
    <mergeCell ref="M971:M972"/>
    <mergeCell ref="N971:N972"/>
    <mergeCell ref="A973:A974"/>
    <mergeCell ref="B973:B974"/>
    <mergeCell ref="C973:C974"/>
    <mergeCell ref="D973:D974"/>
    <mergeCell ref="E973:E974"/>
    <mergeCell ref="F973:F974"/>
    <mergeCell ref="G973:G974"/>
    <mergeCell ref="H973:H974"/>
    <mergeCell ref="I973:I974"/>
    <mergeCell ref="J973:J974"/>
    <mergeCell ref="K973:K974"/>
    <mergeCell ref="L973:L974"/>
    <mergeCell ref="M973:M974"/>
    <mergeCell ref="N973:N974"/>
    <mergeCell ref="A957:A958"/>
    <mergeCell ref="B957:B958"/>
    <mergeCell ref="C957:C958"/>
    <mergeCell ref="D957:D958"/>
    <mergeCell ref="E957:E958"/>
    <mergeCell ref="F957:F958"/>
    <mergeCell ref="G957:G958"/>
    <mergeCell ref="H957:H958"/>
    <mergeCell ref="I957:I958"/>
    <mergeCell ref="J957:J958"/>
    <mergeCell ref="K957:K958"/>
    <mergeCell ref="L957:L958"/>
    <mergeCell ref="M957:M958"/>
    <mergeCell ref="N957:N958"/>
    <mergeCell ref="A960:A961"/>
    <mergeCell ref="B960:B961"/>
    <mergeCell ref="C960:C961"/>
    <mergeCell ref="D960:D961"/>
    <mergeCell ref="E960:E961"/>
    <mergeCell ref="F960:F961"/>
    <mergeCell ref="G960:G961"/>
    <mergeCell ref="H960:H961"/>
    <mergeCell ref="I960:I961"/>
    <mergeCell ref="J960:J961"/>
    <mergeCell ref="K960:K961"/>
    <mergeCell ref="L960:L961"/>
    <mergeCell ref="M960:M961"/>
    <mergeCell ref="N960:N961"/>
    <mergeCell ref="A962:A964"/>
    <mergeCell ref="B962:B964"/>
    <mergeCell ref="C962:C964"/>
    <mergeCell ref="D962:D964"/>
    <mergeCell ref="E962:E964"/>
    <mergeCell ref="F962:F964"/>
    <mergeCell ref="G962:G964"/>
    <mergeCell ref="H962:H964"/>
    <mergeCell ref="I962:I964"/>
    <mergeCell ref="J962:J964"/>
    <mergeCell ref="K962:K964"/>
    <mergeCell ref="L962:L964"/>
    <mergeCell ref="M962:M964"/>
    <mergeCell ref="N962:N964"/>
    <mergeCell ref="A930:A934"/>
    <mergeCell ref="B930:B934"/>
    <mergeCell ref="C930:C934"/>
    <mergeCell ref="D930:D934"/>
    <mergeCell ref="E930:E934"/>
    <mergeCell ref="F930:F934"/>
    <mergeCell ref="G930:G934"/>
    <mergeCell ref="H930:H934"/>
    <mergeCell ref="I930:I934"/>
    <mergeCell ref="J930:J934"/>
    <mergeCell ref="K930:K934"/>
    <mergeCell ref="L930:L934"/>
    <mergeCell ref="M930:M934"/>
    <mergeCell ref="N930:N934"/>
    <mergeCell ref="A953:A954"/>
    <mergeCell ref="B953:B954"/>
    <mergeCell ref="C953:C954"/>
    <mergeCell ref="D953:D954"/>
    <mergeCell ref="E953:E954"/>
    <mergeCell ref="F953:F954"/>
    <mergeCell ref="G953:G954"/>
    <mergeCell ref="H953:H954"/>
    <mergeCell ref="I953:I954"/>
    <mergeCell ref="J953:J954"/>
    <mergeCell ref="K953:K954"/>
    <mergeCell ref="L953:L954"/>
    <mergeCell ref="M953:M954"/>
    <mergeCell ref="N953:N954"/>
    <mergeCell ref="A955:A956"/>
    <mergeCell ref="B955:B956"/>
    <mergeCell ref="C955:C956"/>
    <mergeCell ref="D955:D956"/>
    <mergeCell ref="E955:E956"/>
    <mergeCell ref="F955:F956"/>
    <mergeCell ref="G955:G956"/>
    <mergeCell ref="H955:H956"/>
    <mergeCell ref="I955:I956"/>
    <mergeCell ref="J955:J956"/>
    <mergeCell ref="K955:K956"/>
    <mergeCell ref="L955:L956"/>
    <mergeCell ref="M955:M956"/>
    <mergeCell ref="N955:N956"/>
    <mergeCell ref="A916:A919"/>
    <mergeCell ref="B916:B919"/>
    <mergeCell ref="C916:C919"/>
    <mergeCell ref="D916:D919"/>
    <mergeCell ref="E916:E919"/>
    <mergeCell ref="F916:F919"/>
    <mergeCell ref="G916:G919"/>
    <mergeCell ref="H916:H919"/>
    <mergeCell ref="I916:I919"/>
    <mergeCell ref="J916:J919"/>
    <mergeCell ref="K916:K919"/>
    <mergeCell ref="L916:L919"/>
    <mergeCell ref="M916:M919"/>
    <mergeCell ref="N916:N919"/>
    <mergeCell ref="A920:A924"/>
    <mergeCell ref="B920:B924"/>
    <mergeCell ref="C920:C924"/>
    <mergeCell ref="D920:D924"/>
    <mergeCell ref="E920:E924"/>
    <mergeCell ref="F920:F924"/>
    <mergeCell ref="G920:G924"/>
    <mergeCell ref="H920:H924"/>
    <mergeCell ref="I920:I924"/>
    <mergeCell ref="J920:J924"/>
    <mergeCell ref="K920:K924"/>
    <mergeCell ref="L920:L924"/>
    <mergeCell ref="M920:M924"/>
    <mergeCell ref="N920:N924"/>
    <mergeCell ref="A925:A929"/>
    <mergeCell ref="B925:B929"/>
    <mergeCell ref="C925:C929"/>
    <mergeCell ref="D925:D929"/>
    <mergeCell ref="E925:E929"/>
    <mergeCell ref="F925:F929"/>
    <mergeCell ref="G925:G929"/>
    <mergeCell ref="H925:H929"/>
    <mergeCell ref="I925:I929"/>
    <mergeCell ref="J925:J929"/>
    <mergeCell ref="K925:K929"/>
    <mergeCell ref="L925:L929"/>
    <mergeCell ref="M925:M929"/>
    <mergeCell ref="N925:N929"/>
    <mergeCell ref="A906:A908"/>
    <mergeCell ref="B906:B908"/>
    <mergeCell ref="C906:C908"/>
    <mergeCell ref="D906:D908"/>
    <mergeCell ref="E906:E908"/>
    <mergeCell ref="F906:F908"/>
    <mergeCell ref="G906:G908"/>
    <mergeCell ref="H906:H908"/>
    <mergeCell ref="I906:I908"/>
    <mergeCell ref="J906:J908"/>
    <mergeCell ref="K906:K908"/>
    <mergeCell ref="L906:L908"/>
    <mergeCell ref="M906:M908"/>
    <mergeCell ref="N906:N908"/>
    <mergeCell ref="A909:A911"/>
    <mergeCell ref="B909:B911"/>
    <mergeCell ref="C909:C911"/>
    <mergeCell ref="D909:D911"/>
    <mergeCell ref="E909:E911"/>
    <mergeCell ref="F909:F911"/>
    <mergeCell ref="G909:G911"/>
    <mergeCell ref="H909:H911"/>
    <mergeCell ref="I909:I911"/>
    <mergeCell ref="J909:J911"/>
    <mergeCell ref="K909:K911"/>
    <mergeCell ref="L909:L911"/>
    <mergeCell ref="M909:M911"/>
    <mergeCell ref="N909:N911"/>
    <mergeCell ref="A912:A913"/>
    <mergeCell ref="B912:B913"/>
    <mergeCell ref="C912:C913"/>
    <mergeCell ref="D912:D913"/>
    <mergeCell ref="E912:E913"/>
    <mergeCell ref="F912:F913"/>
    <mergeCell ref="G912:G913"/>
    <mergeCell ref="H912:H913"/>
    <mergeCell ref="I912:I913"/>
    <mergeCell ref="J912:J913"/>
    <mergeCell ref="K912:K913"/>
    <mergeCell ref="L912:L913"/>
    <mergeCell ref="M912:M913"/>
    <mergeCell ref="N912:N913"/>
    <mergeCell ref="A894:A895"/>
    <mergeCell ref="B894:B895"/>
    <mergeCell ref="C894:C895"/>
    <mergeCell ref="D894:D895"/>
    <mergeCell ref="E894:E895"/>
    <mergeCell ref="F894:F895"/>
    <mergeCell ref="G894:G895"/>
    <mergeCell ref="H894:H895"/>
    <mergeCell ref="I894:I895"/>
    <mergeCell ref="J894:J895"/>
    <mergeCell ref="K894:K895"/>
    <mergeCell ref="L894:L895"/>
    <mergeCell ref="M894:M895"/>
    <mergeCell ref="N894:N895"/>
    <mergeCell ref="A899:A901"/>
    <mergeCell ref="B899:B901"/>
    <mergeCell ref="C899:C901"/>
    <mergeCell ref="D899:D901"/>
    <mergeCell ref="E899:E901"/>
    <mergeCell ref="F899:F901"/>
    <mergeCell ref="G899:G901"/>
    <mergeCell ref="H899:H901"/>
    <mergeCell ref="I899:I901"/>
    <mergeCell ref="J899:J901"/>
    <mergeCell ref="K899:K901"/>
    <mergeCell ref="L899:L901"/>
    <mergeCell ref="M899:M901"/>
    <mergeCell ref="N899:N901"/>
    <mergeCell ref="A903:A904"/>
    <mergeCell ref="B903:B904"/>
    <mergeCell ref="C903:C904"/>
    <mergeCell ref="D903:D904"/>
    <mergeCell ref="E903:E904"/>
    <mergeCell ref="F903:F904"/>
    <mergeCell ref="G903:G904"/>
    <mergeCell ref="H903:H904"/>
    <mergeCell ref="I903:I904"/>
    <mergeCell ref="J903:J904"/>
    <mergeCell ref="K903:K904"/>
    <mergeCell ref="L903:L904"/>
    <mergeCell ref="M903:M904"/>
    <mergeCell ref="N903:N904"/>
    <mergeCell ref="A881:A883"/>
    <mergeCell ref="B881:B883"/>
    <mergeCell ref="C881:C883"/>
    <mergeCell ref="D881:D883"/>
    <mergeCell ref="E881:E883"/>
    <mergeCell ref="F881:F883"/>
    <mergeCell ref="G881:G883"/>
    <mergeCell ref="H881:H883"/>
    <mergeCell ref="I881:I883"/>
    <mergeCell ref="J881:J883"/>
    <mergeCell ref="K881:K883"/>
    <mergeCell ref="L881:L883"/>
    <mergeCell ref="M881:M883"/>
    <mergeCell ref="N881:N883"/>
    <mergeCell ref="A885:A886"/>
    <mergeCell ref="B885:B886"/>
    <mergeCell ref="C885:C886"/>
    <mergeCell ref="D885:D886"/>
    <mergeCell ref="E885:E886"/>
    <mergeCell ref="F885:F886"/>
    <mergeCell ref="G885:G886"/>
    <mergeCell ref="H885:H886"/>
    <mergeCell ref="I885:I886"/>
    <mergeCell ref="J885:J886"/>
    <mergeCell ref="K885:K886"/>
    <mergeCell ref="L885:L886"/>
    <mergeCell ref="M885:M886"/>
    <mergeCell ref="N885:N886"/>
    <mergeCell ref="A890:A891"/>
    <mergeCell ref="B890:B891"/>
    <mergeCell ref="C890:C891"/>
    <mergeCell ref="D890:D891"/>
    <mergeCell ref="E890:E891"/>
    <mergeCell ref="F890:F891"/>
    <mergeCell ref="G890:G891"/>
    <mergeCell ref="H890:H891"/>
    <mergeCell ref="I890:I891"/>
    <mergeCell ref="J890:J891"/>
    <mergeCell ref="K890:K891"/>
    <mergeCell ref="L890:L891"/>
    <mergeCell ref="M890:M891"/>
    <mergeCell ref="N890:N891"/>
    <mergeCell ref="A865:A866"/>
    <mergeCell ref="B865:B866"/>
    <mergeCell ref="C865:C866"/>
    <mergeCell ref="D865:D866"/>
    <mergeCell ref="E865:E866"/>
    <mergeCell ref="F865:F866"/>
    <mergeCell ref="G865:G866"/>
    <mergeCell ref="H865:H866"/>
    <mergeCell ref="I865:I866"/>
    <mergeCell ref="J865:J866"/>
    <mergeCell ref="K865:K866"/>
    <mergeCell ref="L865:L866"/>
    <mergeCell ref="M865:M866"/>
    <mergeCell ref="N865:N866"/>
    <mergeCell ref="A867:A875"/>
    <mergeCell ref="B867:B875"/>
    <mergeCell ref="C867:C875"/>
    <mergeCell ref="D867:D875"/>
    <mergeCell ref="E867:E875"/>
    <mergeCell ref="F867:F875"/>
    <mergeCell ref="G867:G875"/>
    <mergeCell ref="H867:H875"/>
    <mergeCell ref="I867:I875"/>
    <mergeCell ref="J867:J875"/>
    <mergeCell ref="K867:K875"/>
    <mergeCell ref="L867:L875"/>
    <mergeCell ref="M867:M875"/>
    <mergeCell ref="N867:N875"/>
    <mergeCell ref="A878:A880"/>
    <mergeCell ref="B878:B880"/>
    <mergeCell ref="C878:C880"/>
    <mergeCell ref="D878:D880"/>
    <mergeCell ref="E878:E880"/>
    <mergeCell ref="F878:F880"/>
    <mergeCell ref="G878:G880"/>
    <mergeCell ref="H878:H880"/>
    <mergeCell ref="I878:I880"/>
    <mergeCell ref="J878:J880"/>
    <mergeCell ref="K878:K880"/>
    <mergeCell ref="L878:L880"/>
    <mergeCell ref="M878:M880"/>
    <mergeCell ref="N878:N880"/>
    <mergeCell ref="A857:A858"/>
    <mergeCell ref="B857:B858"/>
    <mergeCell ref="C857:C858"/>
    <mergeCell ref="D857:D858"/>
    <mergeCell ref="E857:E858"/>
    <mergeCell ref="F857:F858"/>
    <mergeCell ref="G857:G858"/>
    <mergeCell ref="H857:H858"/>
    <mergeCell ref="I857:I858"/>
    <mergeCell ref="J857:J858"/>
    <mergeCell ref="K857:K858"/>
    <mergeCell ref="L857:L858"/>
    <mergeCell ref="M857:M858"/>
    <mergeCell ref="N857:N858"/>
    <mergeCell ref="A860:A861"/>
    <mergeCell ref="B860:B861"/>
    <mergeCell ref="C860:C861"/>
    <mergeCell ref="D860:D861"/>
    <mergeCell ref="E860:E861"/>
    <mergeCell ref="F860:F861"/>
    <mergeCell ref="G860:G861"/>
    <mergeCell ref="H860:H861"/>
    <mergeCell ref="I860:I861"/>
    <mergeCell ref="J860:J861"/>
    <mergeCell ref="K860:K861"/>
    <mergeCell ref="L860:L861"/>
    <mergeCell ref="M860:M861"/>
    <mergeCell ref="N860:N861"/>
    <mergeCell ref="A862:A863"/>
    <mergeCell ref="B862:B863"/>
    <mergeCell ref="C862:C863"/>
    <mergeCell ref="D862:D863"/>
    <mergeCell ref="E862:E863"/>
    <mergeCell ref="F862:F863"/>
    <mergeCell ref="G862:G863"/>
    <mergeCell ref="H862:H863"/>
    <mergeCell ref="I862:I863"/>
    <mergeCell ref="J862:J863"/>
    <mergeCell ref="K862:K863"/>
    <mergeCell ref="L862:L863"/>
    <mergeCell ref="M862:M863"/>
    <mergeCell ref="N862:N863"/>
    <mergeCell ref="A842:A845"/>
    <mergeCell ref="B842:B845"/>
    <mergeCell ref="C842:C845"/>
    <mergeCell ref="D842:D845"/>
    <mergeCell ref="E842:E845"/>
    <mergeCell ref="F842:F845"/>
    <mergeCell ref="G842:G845"/>
    <mergeCell ref="H842:H845"/>
    <mergeCell ref="I842:I845"/>
    <mergeCell ref="J842:J845"/>
    <mergeCell ref="K842:K845"/>
    <mergeCell ref="L842:L845"/>
    <mergeCell ref="M842:M845"/>
    <mergeCell ref="N842:N845"/>
    <mergeCell ref="A846:A848"/>
    <mergeCell ref="B846:B848"/>
    <mergeCell ref="C846:C848"/>
    <mergeCell ref="D846:D848"/>
    <mergeCell ref="E846:E848"/>
    <mergeCell ref="F846:F848"/>
    <mergeCell ref="G846:G848"/>
    <mergeCell ref="H846:H848"/>
    <mergeCell ref="I846:I848"/>
    <mergeCell ref="J846:J848"/>
    <mergeCell ref="K846:K848"/>
    <mergeCell ref="L846:L848"/>
    <mergeCell ref="M846:M848"/>
    <mergeCell ref="N846:N848"/>
    <mergeCell ref="A850:A853"/>
    <mergeCell ref="B850:B853"/>
    <mergeCell ref="C850:C853"/>
    <mergeCell ref="D850:D853"/>
    <mergeCell ref="E850:E853"/>
    <mergeCell ref="F850:F853"/>
    <mergeCell ref="G850:G853"/>
    <mergeCell ref="H850:H853"/>
    <mergeCell ref="I850:I853"/>
    <mergeCell ref="J850:J853"/>
    <mergeCell ref="K850:K853"/>
    <mergeCell ref="L850:L853"/>
    <mergeCell ref="M850:M853"/>
    <mergeCell ref="N850:N853"/>
    <mergeCell ref="A828:A834"/>
    <mergeCell ref="B828:B834"/>
    <mergeCell ref="C828:C834"/>
    <mergeCell ref="D828:D834"/>
    <mergeCell ref="E828:E834"/>
    <mergeCell ref="F828:F834"/>
    <mergeCell ref="G828:G834"/>
    <mergeCell ref="H828:H834"/>
    <mergeCell ref="I828:I834"/>
    <mergeCell ref="J828:J834"/>
    <mergeCell ref="K828:K834"/>
    <mergeCell ref="L828:L834"/>
    <mergeCell ref="M828:M834"/>
    <mergeCell ref="N828:N834"/>
    <mergeCell ref="A835:A837"/>
    <mergeCell ref="B835:B837"/>
    <mergeCell ref="C835:C837"/>
    <mergeCell ref="D835:D837"/>
    <mergeCell ref="E835:E837"/>
    <mergeCell ref="F835:F837"/>
    <mergeCell ref="G835:G837"/>
    <mergeCell ref="H835:H837"/>
    <mergeCell ref="I835:I837"/>
    <mergeCell ref="J835:J837"/>
    <mergeCell ref="K835:K837"/>
    <mergeCell ref="L835:L837"/>
    <mergeCell ref="M835:M837"/>
    <mergeCell ref="N835:N837"/>
    <mergeCell ref="A838:A839"/>
    <mergeCell ref="B838:B839"/>
    <mergeCell ref="C838:C839"/>
    <mergeCell ref="D838:D839"/>
    <mergeCell ref="E838:E839"/>
    <mergeCell ref="F838:F839"/>
    <mergeCell ref="G838:G839"/>
    <mergeCell ref="H838:H839"/>
    <mergeCell ref="I838:I839"/>
    <mergeCell ref="J838:J839"/>
    <mergeCell ref="K838:K839"/>
    <mergeCell ref="L838:L839"/>
    <mergeCell ref="M838:M839"/>
    <mergeCell ref="N838:N839"/>
    <mergeCell ref="A814:A815"/>
    <mergeCell ref="B814:B815"/>
    <mergeCell ref="C814:C815"/>
    <mergeCell ref="D814:D815"/>
    <mergeCell ref="E814:E815"/>
    <mergeCell ref="F814:F815"/>
    <mergeCell ref="G814:G815"/>
    <mergeCell ref="H814:H815"/>
    <mergeCell ref="I814:I815"/>
    <mergeCell ref="J814:J815"/>
    <mergeCell ref="K814:K815"/>
    <mergeCell ref="L814:L815"/>
    <mergeCell ref="M814:M815"/>
    <mergeCell ref="N814:N815"/>
    <mergeCell ref="A816:A820"/>
    <mergeCell ref="B816:B820"/>
    <mergeCell ref="C816:C820"/>
    <mergeCell ref="D816:D820"/>
    <mergeCell ref="E816:E820"/>
    <mergeCell ref="F816:F820"/>
    <mergeCell ref="G816:G820"/>
    <mergeCell ref="H816:H820"/>
    <mergeCell ref="I816:I820"/>
    <mergeCell ref="J816:J820"/>
    <mergeCell ref="K816:K820"/>
    <mergeCell ref="L816:L820"/>
    <mergeCell ref="M816:M820"/>
    <mergeCell ref="N816:N820"/>
    <mergeCell ref="A823:A824"/>
    <mergeCell ref="B823:B824"/>
    <mergeCell ref="C823:C824"/>
    <mergeCell ref="D823:D824"/>
    <mergeCell ref="E823:E824"/>
    <mergeCell ref="F823:F824"/>
    <mergeCell ref="G823:G824"/>
    <mergeCell ref="H823:H824"/>
    <mergeCell ref="I823:I824"/>
    <mergeCell ref="J823:J824"/>
    <mergeCell ref="K823:K824"/>
    <mergeCell ref="L823:L824"/>
    <mergeCell ref="M823:M824"/>
    <mergeCell ref="N823:N824"/>
    <mergeCell ref="A803:A805"/>
    <mergeCell ref="B803:B805"/>
    <mergeCell ref="C803:C805"/>
    <mergeCell ref="D803:D805"/>
    <mergeCell ref="E803:E805"/>
    <mergeCell ref="F803:F805"/>
    <mergeCell ref="G803:G805"/>
    <mergeCell ref="H803:H805"/>
    <mergeCell ref="I803:I805"/>
    <mergeCell ref="J803:J805"/>
    <mergeCell ref="K803:K805"/>
    <mergeCell ref="L803:L805"/>
    <mergeCell ref="M803:M805"/>
    <mergeCell ref="N803:N805"/>
    <mergeCell ref="A806:A808"/>
    <mergeCell ref="B806:B808"/>
    <mergeCell ref="C806:C808"/>
    <mergeCell ref="D806:D808"/>
    <mergeCell ref="E806:E808"/>
    <mergeCell ref="F806:F808"/>
    <mergeCell ref="G806:G808"/>
    <mergeCell ref="H806:H808"/>
    <mergeCell ref="I806:I808"/>
    <mergeCell ref="J806:J808"/>
    <mergeCell ref="K806:K808"/>
    <mergeCell ref="L806:L808"/>
    <mergeCell ref="M806:M808"/>
    <mergeCell ref="N806:N808"/>
    <mergeCell ref="A812:A813"/>
    <mergeCell ref="B812:B813"/>
    <mergeCell ref="C812:C813"/>
    <mergeCell ref="D812:D813"/>
    <mergeCell ref="E812:E813"/>
    <mergeCell ref="F812:F813"/>
    <mergeCell ref="G812:G813"/>
    <mergeCell ref="H812:H813"/>
    <mergeCell ref="I812:I813"/>
    <mergeCell ref="J812:J813"/>
    <mergeCell ref="K812:K813"/>
    <mergeCell ref="L812:L813"/>
    <mergeCell ref="M812:M813"/>
    <mergeCell ref="N812:N813"/>
    <mergeCell ref="A792:A797"/>
    <mergeCell ref="B792:B797"/>
    <mergeCell ref="C792:C797"/>
    <mergeCell ref="D792:D797"/>
    <mergeCell ref="E792:E797"/>
    <mergeCell ref="F792:F797"/>
    <mergeCell ref="G792:G797"/>
    <mergeCell ref="H792:H797"/>
    <mergeCell ref="I792:I797"/>
    <mergeCell ref="J792:J797"/>
    <mergeCell ref="K792:K797"/>
    <mergeCell ref="L792:L797"/>
    <mergeCell ref="M792:M797"/>
    <mergeCell ref="N792:N797"/>
    <mergeCell ref="A799:A800"/>
    <mergeCell ref="B799:B800"/>
    <mergeCell ref="C799:C800"/>
    <mergeCell ref="D799:D800"/>
    <mergeCell ref="E799:E800"/>
    <mergeCell ref="F799:F800"/>
    <mergeCell ref="G799:G800"/>
    <mergeCell ref="H799:H800"/>
    <mergeCell ref="I799:I800"/>
    <mergeCell ref="J799:J800"/>
    <mergeCell ref="K799:K800"/>
    <mergeCell ref="L799:L800"/>
    <mergeCell ref="M799:M800"/>
    <mergeCell ref="N799:N800"/>
    <mergeCell ref="A801:A802"/>
    <mergeCell ref="B801:B802"/>
    <mergeCell ref="C801:C802"/>
    <mergeCell ref="D801:D802"/>
    <mergeCell ref="E801:E802"/>
    <mergeCell ref="F801:F802"/>
    <mergeCell ref="G801:G802"/>
    <mergeCell ref="H801:H802"/>
    <mergeCell ref="I801:I802"/>
    <mergeCell ref="J801:J802"/>
    <mergeCell ref="K801:K802"/>
    <mergeCell ref="L801:L802"/>
    <mergeCell ref="M801:M802"/>
    <mergeCell ref="N801:N802"/>
    <mergeCell ref="A769:A772"/>
    <mergeCell ref="B769:B772"/>
    <mergeCell ref="C769:C772"/>
    <mergeCell ref="D769:D772"/>
    <mergeCell ref="E769:E772"/>
    <mergeCell ref="F769:F772"/>
    <mergeCell ref="G769:G772"/>
    <mergeCell ref="H769:H772"/>
    <mergeCell ref="I769:I772"/>
    <mergeCell ref="J769:J772"/>
    <mergeCell ref="K769:K772"/>
    <mergeCell ref="L769:L772"/>
    <mergeCell ref="M769:M772"/>
    <mergeCell ref="N769:N772"/>
    <mergeCell ref="A773:A786"/>
    <mergeCell ref="B773:B786"/>
    <mergeCell ref="C773:C786"/>
    <mergeCell ref="D773:D786"/>
    <mergeCell ref="E773:E786"/>
    <mergeCell ref="F773:F786"/>
    <mergeCell ref="G773:G786"/>
    <mergeCell ref="H773:H786"/>
    <mergeCell ref="I773:I786"/>
    <mergeCell ref="J773:J786"/>
    <mergeCell ref="K773:K786"/>
    <mergeCell ref="L773:L786"/>
    <mergeCell ref="M773:M786"/>
    <mergeCell ref="N773:N786"/>
    <mergeCell ref="A787:A791"/>
    <mergeCell ref="B787:B791"/>
    <mergeCell ref="C787:C791"/>
    <mergeCell ref="D787:D791"/>
    <mergeCell ref="E787:E791"/>
    <mergeCell ref="F787:F791"/>
    <mergeCell ref="G787:G791"/>
    <mergeCell ref="H787:H791"/>
    <mergeCell ref="I787:I791"/>
    <mergeCell ref="J787:J791"/>
    <mergeCell ref="K787:K791"/>
    <mergeCell ref="L787:L791"/>
    <mergeCell ref="M787:M791"/>
    <mergeCell ref="N787:N791"/>
    <mergeCell ref="A760:A761"/>
    <mergeCell ref="B760:B761"/>
    <mergeCell ref="C760:C761"/>
    <mergeCell ref="D760:D761"/>
    <mergeCell ref="E760:E761"/>
    <mergeCell ref="F760:F761"/>
    <mergeCell ref="G760:G761"/>
    <mergeCell ref="H760:H761"/>
    <mergeCell ref="I760:I761"/>
    <mergeCell ref="J760:J761"/>
    <mergeCell ref="K760:K761"/>
    <mergeCell ref="L760:L761"/>
    <mergeCell ref="M760:M761"/>
    <mergeCell ref="N760:N761"/>
    <mergeCell ref="A762:A765"/>
    <mergeCell ref="B762:B765"/>
    <mergeCell ref="C762:C765"/>
    <mergeCell ref="D762:D765"/>
    <mergeCell ref="E762:E765"/>
    <mergeCell ref="F762:F765"/>
    <mergeCell ref="G762:G765"/>
    <mergeCell ref="H762:H765"/>
    <mergeCell ref="I762:I765"/>
    <mergeCell ref="J762:J765"/>
    <mergeCell ref="K762:K765"/>
    <mergeCell ref="L762:L765"/>
    <mergeCell ref="M762:M765"/>
    <mergeCell ref="N762:N765"/>
    <mergeCell ref="A766:A768"/>
    <mergeCell ref="B766:B768"/>
    <mergeCell ref="C766:C768"/>
    <mergeCell ref="D766:D768"/>
    <mergeCell ref="E766:E768"/>
    <mergeCell ref="F766:F768"/>
    <mergeCell ref="G766:G768"/>
    <mergeCell ref="H766:H768"/>
    <mergeCell ref="I766:I768"/>
    <mergeCell ref="J766:J768"/>
    <mergeCell ref="K766:K768"/>
    <mergeCell ref="L766:L768"/>
    <mergeCell ref="M766:M768"/>
    <mergeCell ref="N766:N768"/>
    <mergeCell ref="A724:A725"/>
    <mergeCell ref="B724:B725"/>
    <mergeCell ref="C724:C725"/>
    <mergeCell ref="D724:D725"/>
    <mergeCell ref="E724:E725"/>
    <mergeCell ref="F724:F725"/>
    <mergeCell ref="G724:G725"/>
    <mergeCell ref="H724:H725"/>
    <mergeCell ref="I724:I725"/>
    <mergeCell ref="J724:J725"/>
    <mergeCell ref="K724:K725"/>
    <mergeCell ref="L724:L725"/>
    <mergeCell ref="M724:M725"/>
    <mergeCell ref="N724:N725"/>
    <mergeCell ref="A727:A751"/>
    <mergeCell ref="B727:B751"/>
    <mergeCell ref="C727:C751"/>
    <mergeCell ref="D727:D751"/>
    <mergeCell ref="E727:E751"/>
    <mergeCell ref="F727:F751"/>
    <mergeCell ref="G727:G751"/>
    <mergeCell ref="H727:H751"/>
    <mergeCell ref="I727:I751"/>
    <mergeCell ref="J727:J751"/>
    <mergeCell ref="K727:K751"/>
    <mergeCell ref="L727:L751"/>
    <mergeCell ref="M727:M751"/>
    <mergeCell ref="N727:N751"/>
    <mergeCell ref="A752:A759"/>
    <mergeCell ref="B752:B759"/>
    <mergeCell ref="C752:C759"/>
    <mergeCell ref="D752:D759"/>
    <mergeCell ref="E752:E759"/>
    <mergeCell ref="F752:F759"/>
    <mergeCell ref="G752:G759"/>
    <mergeCell ref="H752:H759"/>
    <mergeCell ref="I752:I759"/>
    <mergeCell ref="J752:J759"/>
    <mergeCell ref="K752:K759"/>
    <mergeCell ref="L752:L759"/>
    <mergeCell ref="M752:M759"/>
    <mergeCell ref="N752:N759"/>
    <mergeCell ref="A707:A709"/>
    <mergeCell ref="B707:B709"/>
    <mergeCell ref="C707:C709"/>
    <mergeCell ref="D707:D709"/>
    <mergeCell ref="E707:E709"/>
    <mergeCell ref="F707:F709"/>
    <mergeCell ref="G707:G709"/>
    <mergeCell ref="H707:H709"/>
    <mergeCell ref="I707:I709"/>
    <mergeCell ref="J707:J709"/>
    <mergeCell ref="K707:K709"/>
    <mergeCell ref="L707:L709"/>
    <mergeCell ref="M707:M709"/>
    <mergeCell ref="N707:N709"/>
    <mergeCell ref="A710:A718"/>
    <mergeCell ref="B710:B718"/>
    <mergeCell ref="C710:C718"/>
    <mergeCell ref="D710:D718"/>
    <mergeCell ref="E710:E718"/>
    <mergeCell ref="F710:F718"/>
    <mergeCell ref="G710:G718"/>
    <mergeCell ref="H710:H718"/>
    <mergeCell ref="I710:I718"/>
    <mergeCell ref="J710:J718"/>
    <mergeCell ref="K710:K718"/>
    <mergeCell ref="L710:L718"/>
    <mergeCell ref="M710:M718"/>
    <mergeCell ref="N710:N718"/>
    <mergeCell ref="A719:A722"/>
    <mergeCell ref="B719:B722"/>
    <mergeCell ref="C719:C722"/>
    <mergeCell ref="D719:D722"/>
    <mergeCell ref="E719:E722"/>
    <mergeCell ref="F719:F722"/>
    <mergeCell ref="G719:G722"/>
    <mergeCell ref="H719:H722"/>
    <mergeCell ref="I719:I722"/>
    <mergeCell ref="J719:J722"/>
    <mergeCell ref="K719:K722"/>
    <mergeCell ref="L719:L722"/>
    <mergeCell ref="M719:M722"/>
    <mergeCell ref="N719:N722"/>
    <mergeCell ref="A678:A679"/>
    <mergeCell ref="B678:B679"/>
    <mergeCell ref="C678:C679"/>
    <mergeCell ref="D678:D679"/>
    <mergeCell ref="E678:E679"/>
    <mergeCell ref="F678:F679"/>
    <mergeCell ref="G678:G679"/>
    <mergeCell ref="H678:H679"/>
    <mergeCell ref="I678:I679"/>
    <mergeCell ref="J678:J679"/>
    <mergeCell ref="K678:K679"/>
    <mergeCell ref="L678:L679"/>
    <mergeCell ref="M678:M679"/>
    <mergeCell ref="N678:N679"/>
    <mergeCell ref="A680:A691"/>
    <mergeCell ref="B680:B691"/>
    <mergeCell ref="C680:C691"/>
    <mergeCell ref="D680:D691"/>
    <mergeCell ref="E680:E691"/>
    <mergeCell ref="F680:F691"/>
    <mergeCell ref="G680:G691"/>
    <mergeCell ref="H680:H691"/>
    <mergeCell ref="I680:I691"/>
    <mergeCell ref="J680:J691"/>
    <mergeCell ref="K680:K691"/>
    <mergeCell ref="L680:L691"/>
    <mergeCell ref="M680:M691"/>
    <mergeCell ref="N680:N691"/>
    <mergeCell ref="A693:A706"/>
    <mergeCell ref="B693:B706"/>
    <mergeCell ref="C693:C706"/>
    <mergeCell ref="D693:D706"/>
    <mergeCell ref="E693:E706"/>
    <mergeCell ref="F693:F706"/>
    <mergeCell ref="G693:G706"/>
    <mergeCell ref="H693:H706"/>
    <mergeCell ref="I693:I706"/>
    <mergeCell ref="J693:J706"/>
    <mergeCell ref="K693:K706"/>
    <mergeCell ref="L693:L706"/>
    <mergeCell ref="M693:M706"/>
    <mergeCell ref="N693:N706"/>
    <mergeCell ref="A665:A666"/>
    <mergeCell ref="B665:B666"/>
    <mergeCell ref="C665:C666"/>
    <mergeCell ref="D665:D666"/>
    <mergeCell ref="E665:E666"/>
    <mergeCell ref="F665:F666"/>
    <mergeCell ref="G665:G666"/>
    <mergeCell ref="H665:H666"/>
    <mergeCell ref="I665:I666"/>
    <mergeCell ref="J665:J666"/>
    <mergeCell ref="K665:K666"/>
    <mergeCell ref="L665:L666"/>
    <mergeCell ref="M665:M666"/>
    <mergeCell ref="N665:N666"/>
    <mergeCell ref="A667:A668"/>
    <mergeCell ref="B667:B668"/>
    <mergeCell ref="C667:C668"/>
    <mergeCell ref="D667:D668"/>
    <mergeCell ref="E667:E668"/>
    <mergeCell ref="F667:F668"/>
    <mergeCell ref="G667:G668"/>
    <mergeCell ref="H667:H668"/>
    <mergeCell ref="I667:I668"/>
    <mergeCell ref="J667:J668"/>
    <mergeCell ref="K667:K668"/>
    <mergeCell ref="L667:L668"/>
    <mergeCell ref="M667:M668"/>
    <mergeCell ref="N667:N668"/>
    <mergeCell ref="A669:A677"/>
    <mergeCell ref="B669:B677"/>
    <mergeCell ref="C669:C677"/>
    <mergeCell ref="D669:D677"/>
    <mergeCell ref="E669:E677"/>
    <mergeCell ref="F669:F677"/>
    <mergeCell ref="G669:G677"/>
    <mergeCell ref="H669:H677"/>
    <mergeCell ref="I669:I677"/>
    <mergeCell ref="J669:J677"/>
    <mergeCell ref="K669:K677"/>
    <mergeCell ref="L669:L677"/>
    <mergeCell ref="M669:M677"/>
    <mergeCell ref="N669:N677"/>
    <mergeCell ref="A657:A659"/>
    <mergeCell ref="B657:B659"/>
    <mergeCell ref="C657:C659"/>
    <mergeCell ref="D657:D659"/>
    <mergeCell ref="E657:E659"/>
    <mergeCell ref="F657:F659"/>
    <mergeCell ref="G657:G659"/>
    <mergeCell ref="H657:H659"/>
    <mergeCell ref="I657:I659"/>
    <mergeCell ref="J657:J659"/>
    <mergeCell ref="K657:K659"/>
    <mergeCell ref="L657:L659"/>
    <mergeCell ref="M657:M659"/>
    <mergeCell ref="N657:N659"/>
    <mergeCell ref="A661:A662"/>
    <mergeCell ref="B661:B662"/>
    <mergeCell ref="C661:C662"/>
    <mergeCell ref="D661:D662"/>
    <mergeCell ref="E661:E662"/>
    <mergeCell ref="F661:F662"/>
    <mergeCell ref="G661:G662"/>
    <mergeCell ref="H661:H662"/>
    <mergeCell ref="I661:I662"/>
    <mergeCell ref="J661:J662"/>
    <mergeCell ref="K661:K662"/>
    <mergeCell ref="L661:L662"/>
    <mergeCell ref="M661:M662"/>
    <mergeCell ref="N661:N662"/>
    <mergeCell ref="A663:A664"/>
    <mergeCell ref="B663:B664"/>
    <mergeCell ref="C663:C664"/>
    <mergeCell ref="D663:D664"/>
    <mergeCell ref="E663:E664"/>
    <mergeCell ref="F663:F664"/>
    <mergeCell ref="G663:G664"/>
    <mergeCell ref="H663:H664"/>
    <mergeCell ref="I663:I664"/>
    <mergeCell ref="J663:J664"/>
    <mergeCell ref="K663:K664"/>
    <mergeCell ref="L663:L664"/>
    <mergeCell ref="M663:M664"/>
    <mergeCell ref="N663:N664"/>
    <mergeCell ref="A643:A644"/>
    <mergeCell ref="B643:B644"/>
    <mergeCell ref="C643:C644"/>
    <mergeCell ref="D643:D644"/>
    <mergeCell ref="E643:E644"/>
    <mergeCell ref="F643:F644"/>
    <mergeCell ref="G643:G644"/>
    <mergeCell ref="H643:H644"/>
    <mergeCell ref="I643:I644"/>
    <mergeCell ref="J643:J644"/>
    <mergeCell ref="K643:K644"/>
    <mergeCell ref="L643:L644"/>
    <mergeCell ref="M643:M644"/>
    <mergeCell ref="N643:N644"/>
    <mergeCell ref="A645:A648"/>
    <mergeCell ref="B645:B648"/>
    <mergeCell ref="C645:C648"/>
    <mergeCell ref="D645:D648"/>
    <mergeCell ref="E645:E648"/>
    <mergeCell ref="F645:F648"/>
    <mergeCell ref="G645:G648"/>
    <mergeCell ref="H645:H648"/>
    <mergeCell ref="I645:I648"/>
    <mergeCell ref="J645:J648"/>
    <mergeCell ref="K645:K648"/>
    <mergeCell ref="L645:L648"/>
    <mergeCell ref="M645:M648"/>
    <mergeCell ref="N645:N648"/>
    <mergeCell ref="A653:A654"/>
    <mergeCell ref="B653:B654"/>
    <mergeCell ref="C653:C654"/>
    <mergeCell ref="D653:D654"/>
    <mergeCell ref="E653:E654"/>
    <mergeCell ref="F653:F654"/>
    <mergeCell ref="G653:G654"/>
    <mergeCell ref="H653:H654"/>
    <mergeCell ref="I653:I654"/>
    <mergeCell ref="J653:J654"/>
    <mergeCell ref="K653:K654"/>
    <mergeCell ref="L653:L654"/>
    <mergeCell ref="M653:M654"/>
    <mergeCell ref="N653:N654"/>
    <mergeCell ref="A617:A623"/>
    <mergeCell ref="B617:B623"/>
    <mergeCell ref="C617:C623"/>
    <mergeCell ref="D617:D623"/>
    <mergeCell ref="E617:E623"/>
    <mergeCell ref="F617:F623"/>
    <mergeCell ref="G617:G623"/>
    <mergeCell ref="H617:H623"/>
    <mergeCell ref="I617:I623"/>
    <mergeCell ref="J617:J623"/>
    <mergeCell ref="K617:K623"/>
    <mergeCell ref="L617:L623"/>
    <mergeCell ref="M617:M623"/>
    <mergeCell ref="N617:N623"/>
    <mergeCell ref="A626:A636"/>
    <mergeCell ref="B626:B636"/>
    <mergeCell ref="C626:C636"/>
    <mergeCell ref="D626:D636"/>
    <mergeCell ref="E626:E636"/>
    <mergeCell ref="F626:F636"/>
    <mergeCell ref="G626:G636"/>
    <mergeCell ref="H626:H636"/>
    <mergeCell ref="I626:I636"/>
    <mergeCell ref="J626:J636"/>
    <mergeCell ref="K626:K636"/>
    <mergeCell ref="L626:L636"/>
    <mergeCell ref="M626:M636"/>
    <mergeCell ref="N626:N636"/>
    <mergeCell ref="A640:A641"/>
    <mergeCell ref="B640:B641"/>
    <mergeCell ref="C640:C641"/>
    <mergeCell ref="D640:D641"/>
    <mergeCell ref="E640:E641"/>
    <mergeCell ref="F640:F641"/>
    <mergeCell ref="G640:G641"/>
    <mergeCell ref="H640:H641"/>
    <mergeCell ref="I640:I641"/>
    <mergeCell ref="J640:J641"/>
    <mergeCell ref="K640:K641"/>
    <mergeCell ref="L640:L641"/>
    <mergeCell ref="M640:M641"/>
    <mergeCell ref="N640:N641"/>
    <mergeCell ref="A602:A605"/>
    <mergeCell ref="B602:B605"/>
    <mergeCell ref="C602:C605"/>
    <mergeCell ref="D602:D605"/>
    <mergeCell ref="E602:E605"/>
    <mergeCell ref="F602:F605"/>
    <mergeCell ref="G602:G605"/>
    <mergeCell ref="H602:H605"/>
    <mergeCell ref="I602:I605"/>
    <mergeCell ref="J602:J605"/>
    <mergeCell ref="K602:K605"/>
    <mergeCell ref="L602:L605"/>
    <mergeCell ref="M602:M605"/>
    <mergeCell ref="N602:N605"/>
    <mergeCell ref="A608:A612"/>
    <mergeCell ref="B608:B612"/>
    <mergeCell ref="C608:C612"/>
    <mergeCell ref="D608:D612"/>
    <mergeCell ref="E608:E612"/>
    <mergeCell ref="F608:F612"/>
    <mergeCell ref="G608:G612"/>
    <mergeCell ref="H608:H612"/>
    <mergeCell ref="I608:I612"/>
    <mergeCell ref="J608:J612"/>
    <mergeCell ref="K608:K612"/>
    <mergeCell ref="L608:L612"/>
    <mergeCell ref="M608:M612"/>
    <mergeCell ref="N608:N612"/>
    <mergeCell ref="A613:A616"/>
    <mergeCell ref="B613:B616"/>
    <mergeCell ref="C613:C616"/>
    <mergeCell ref="D613:D616"/>
    <mergeCell ref="E613:E616"/>
    <mergeCell ref="F613:F616"/>
    <mergeCell ref="G613:G616"/>
    <mergeCell ref="H613:H616"/>
    <mergeCell ref="I613:I616"/>
    <mergeCell ref="J613:J616"/>
    <mergeCell ref="K613:K616"/>
    <mergeCell ref="L613:L616"/>
    <mergeCell ref="M613:M616"/>
    <mergeCell ref="N613:N616"/>
    <mergeCell ref="A585:A586"/>
    <mergeCell ref="B585:B586"/>
    <mergeCell ref="C585:C586"/>
    <mergeCell ref="D585:D586"/>
    <mergeCell ref="E585:E586"/>
    <mergeCell ref="F585:F586"/>
    <mergeCell ref="G585:G586"/>
    <mergeCell ref="H585:H586"/>
    <mergeCell ref="I585:I586"/>
    <mergeCell ref="J585:J586"/>
    <mergeCell ref="K585:K586"/>
    <mergeCell ref="L585:L586"/>
    <mergeCell ref="M585:M586"/>
    <mergeCell ref="N585:N586"/>
    <mergeCell ref="A590:A592"/>
    <mergeCell ref="B590:B592"/>
    <mergeCell ref="C590:C592"/>
    <mergeCell ref="D590:D592"/>
    <mergeCell ref="E590:E592"/>
    <mergeCell ref="F590:F592"/>
    <mergeCell ref="G590:G592"/>
    <mergeCell ref="H590:H592"/>
    <mergeCell ref="I590:I592"/>
    <mergeCell ref="J590:J592"/>
    <mergeCell ref="K590:K592"/>
    <mergeCell ref="L590:L592"/>
    <mergeCell ref="M590:M592"/>
    <mergeCell ref="N590:N592"/>
    <mergeCell ref="A596:A601"/>
    <mergeCell ref="B596:B601"/>
    <mergeCell ref="C596:C601"/>
    <mergeCell ref="D596:D601"/>
    <mergeCell ref="E596:E601"/>
    <mergeCell ref="F596:F601"/>
    <mergeCell ref="G596:G601"/>
    <mergeCell ref="H596:H601"/>
    <mergeCell ref="I596:I601"/>
    <mergeCell ref="J596:J601"/>
    <mergeCell ref="K596:K601"/>
    <mergeCell ref="L596:L601"/>
    <mergeCell ref="M596:M601"/>
    <mergeCell ref="N596:N601"/>
    <mergeCell ref="A577:A579"/>
    <mergeCell ref="B577:B579"/>
    <mergeCell ref="C577:C579"/>
    <mergeCell ref="D577:D579"/>
    <mergeCell ref="E577:E579"/>
    <mergeCell ref="F577:F579"/>
    <mergeCell ref="G577:G579"/>
    <mergeCell ref="H577:H579"/>
    <mergeCell ref="I577:I579"/>
    <mergeCell ref="J577:J579"/>
    <mergeCell ref="K577:K579"/>
    <mergeCell ref="L577:L579"/>
    <mergeCell ref="M577:M579"/>
    <mergeCell ref="N577:N579"/>
    <mergeCell ref="A580:A581"/>
    <mergeCell ref="B580:B581"/>
    <mergeCell ref="C580:C581"/>
    <mergeCell ref="D580:D581"/>
    <mergeCell ref="E580:E581"/>
    <mergeCell ref="F580:F581"/>
    <mergeCell ref="G580:G581"/>
    <mergeCell ref="H580:H581"/>
    <mergeCell ref="I580:I581"/>
    <mergeCell ref="J580:J581"/>
    <mergeCell ref="K580:K581"/>
    <mergeCell ref="L580:L581"/>
    <mergeCell ref="M580:M581"/>
    <mergeCell ref="N580:N581"/>
    <mergeCell ref="A583:A584"/>
    <mergeCell ref="B583:B584"/>
    <mergeCell ref="C583:C584"/>
    <mergeCell ref="D583:D584"/>
    <mergeCell ref="E583:E584"/>
    <mergeCell ref="F583:F584"/>
    <mergeCell ref="G583:G584"/>
    <mergeCell ref="H583:H584"/>
    <mergeCell ref="I583:I584"/>
    <mergeCell ref="J583:J584"/>
    <mergeCell ref="K583:K584"/>
    <mergeCell ref="L583:L584"/>
    <mergeCell ref="M583:M584"/>
    <mergeCell ref="N583:N584"/>
    <mergeCell ref="A563:A567"/>
    <mergeCell ref="B563:B567"/>
    <mergeCell ref="C563:C567"/>
    <mergeCell ref="D563:D567"/>
    <mergeCell ref="E563:E567"/>
    <mergeCell ref="F563:F567"/>
    <mergeCell ref="G563:G567"/>
    <mergeCell ref="H563:H567"/>
    <mergeCell ref="I563:I567"/>
    <mergeCell ref="J563:J567"/>
    <mergeCell ref="K563:K567"/>
    <mergeCell ref="L563:L567"/>
    <mergeCell ref="M563:M567"/>
    <mergeCell ref="N563:N567"/>
    <mergeCell ref="A571:A572"/>
    <mergeCell ref="B571:B572"/>
    <mergeCell ref="C571:C572"/>
    <mergeCell ref="D571:D572"/>
    <mergeCell ref="E571:E572"/>
    <mergeCell ref="F571:F572"/>
    <mergeCell ref="G571:G572"/>
    <mergeCell ref="H571:H572"/>
    <mergeCell ref="I571:I572"/>
    <mergeCell ref="J571:J572"/>
    <mergeCell ref="K571:K572"/>
    <mergeCell ref="L571:L572"/>
    <mergeCell ref="M571:M572"/>
    <mergeCell ref="N571:N572"/>
    <mergeCell ref="A574:A576"/>
    <mergeCell ref="B574:B576"/>
    <mergeCell ref="C574:C576"/>
    <mergeCell ref="D574:D576"/>
    <mergeCell ref="E574:E576"/>
    <mergeCell ref="F574:F576"/>
    <mergeCell ref="G574:G576"/>
    <mergeCell ref="H574:H576"/>
    <mergeCell ref="I574:I576"/>
    <mergeCell ref="J574:J576"/>
    <mergeCell ref="K574:K576"/>
    <mergeCell ref="L574:L576"/>
    <mergeCell ref="M574:M576"/>
    <mergeCell ref="N574:N576"/>
    <mergeCell ref="A550:A551"/>
    <mergeCell ref="B550:B551"/>
    <mergeCell ref="C550:C551"/>
    <mergeCell ref="D550:D551"/>
    <mergeCell ref="E550:E551"/>
    <mergeCell ref="F550:F551"/>
    <mergeCell ref="G550:G551"/>
    <mergeCell ref="H550:H551"/>
    <mergeCell ref="I550:I551"/>
    <mergeCell ref="J550:J551"/>
    <mergeCell ref="K550:K551"/>
    <mergeCell ref="L550:L551"/>
    <mergeCell ref="M550:M551"/>
    <mergeCell ref="N550:N551"/>
    <mergeCell ref="A552:A553"/>
    <mergeCell ref="B552:B553"/>
    <mergeCell ref="C552:C553"/>
    <mergeCell ref="D552:D553"/>
    <mergeCell ref="E552:E553"/>
    <mergeCell ref="F552:F553"/>
    <mergeCell ref="G552:G553"/>
    <mergeCell ref="H552:H553"/>
    <mergeCell ref="I552:I553"/>
    <mergeCell ref="J552:J553"/>
    <mergeCell ref="K552:K553"/>
    <mergeCell ref="L552:L553"/>
    <mergeCell ref="M552:M553"/>
    <mergeCell ref="N552:N553"/>
    <mergeCell ref="A557:A559"/>
    <mergeCell ref="B557:B559"/>
    <mergeCell ref="C557:C559"/>
    <mergeCell ref="D557:D559"/>
    <mergeCell ref="E557:E559"/>
    <mergeCell ref="F557:F559"/>
    <mergeCell ref="G557:G559"/>
    <mergeCell ref="H557:H559"/>
    <mergeCell ref="I557:I559"/>
    <mergeCell ref="J557:J559"/>
    <mergeCell ref="K557:K559"/>
    <mergeCell ref="L557:L559"/>
    <mergeCell ref="M557:M559"/>
    <mergeCell ref="N557:N559"/>
    <mergeCell ref="A539:A540"/>
    <mergeCell ref="B539:B540"/>
    <mergeCell ref="C539:C540"/>
    <mergeCell ref="D539:D540"/>
    <mergeCell ref="E539:E540"/>
    <mergeCell ref="F539:F540"/>
    <mergeCell ref="G539:G540"/>
    <mergeCell ref="H539:H540"/>
    <mergeCell ref="I539:I540"/>
    <mergeCell ref="J539:J540"/>
    <mergeCell ref="K539:K540"/>
    <mergeCell ref="L539:L540"/>
    <mergeCell ref="M539:M540"/>
    <mergeCell ref="N539:N540"/>
    <mergeCell ref="A544:A546"/>
    <mergeCell ref="B544:B546"/>
    <mergeCell ref="C544:C546"/>
    <mergeCell ref="D544:D546"/>
    <mergeCell ref="E544:E546"/>
    <mergeCell ref="F544:F546"/>
    <mergeCell ref="G544:G546"/>
    <mergeCell ref="H544:H546"/>
    <mergeCell ref="I544:I546"/>
    <mergeCell ref="J544:J546"/>
    <mergeCell ref="K544:K546"/>
    <mergeCell ref="L544:L546"/>
    <mergeCell ref="M544:M546"/>
    <mergeCell ref="N544:N546"/>
    <mergeCell ref="A548:A549"/>
    <mergeCell ref="B548:B549"/>
    <mergeCell ref="C548:C549"/>
    <mergeCell ref="D548:D549"/>
    <mergeCell ref="E548:E549"/>
    <mergeCell ref="F548:F549"/>
    <mergeCell ref="G548:G549"/>
    <mergeCell ref="H548:H549"/>
    <mergeCell ref="I548:I549"/>
    <mergeCell ref="J548:J549"/>
    <mergeCell ref="K548:K549"/>
    <mergeCell ref="L548:L549"/>
    <mergeCell ref="M548:M549"/>
    <mergeCell ref="N548:N549"/>
    <mergeCell ref="A526:A528"/>
    <mergeCell ref="B526:B528"/>
    <mergeCell ref="C526:C528"/>
    <mergeCell ref="D526:D528"/>
    <mergeCell ref="E526:E528"/>
    <mergeCell ref="F526:F528"/>
    <mergeCell ref="G526:G528"/>
    <mergeCell ref="H526:H528"/>
    <mergeCell ref="I526:I528"/>
    <mergeCell ref="J526:J528"/>
    <mergeCell ref="K526:K528"/>
    <mergeCell ref="L526:L528"/>
    <mergeCell ref="M526:M528"/>
    <mergeCell ref="N526:N528"/>
    <mergeCell ref="A530:A534"/>
    <mergeCell ref="B530:B534"/>
    <mergeCell ref="C530:C534"/>
    <mergeCell ref="D530:D534"/>
    <mergeCell ref="E530:E534"/>
    <mergeCell ref="F530:F534"/>
    <mergeCell ref="G530:G534"/>
    <mergeCell ref="H530:H534"/>
    <mergeCell ref="I530:I534"/>
    <mergeCell ref="J530:J534"/>
    <mergeCell ref="K530:K534"/>
    <mergeCell ref="L530:L534"/>
    <mergeCell ref="M530:M534"/>
    <mergeCell ref="N530:N534"/>
    <mergeCell ref="A536:A537"/>
    <mergeCell ref="B536:B537"/>
    <mergeCell ref="C536:C537"/>
    <mergeCell ref="D536:D537"/>
    <mergeCell ref="E536:E537"/>
    <mergeCell ref="F536:F537"/>
    <mergeCell ref="G536:G537"/>
    <mergeCell ref="H536:H537"/>
    <mergeCell ref="I536:I537"/>
    <mergeCell ref="J536:J537"/>
    <mergeCell ref="K536:K537"/>
    <mergeCell ref="L536:L537"/>
    <mergeCell ref="M536:M537"/>
    <mergeCell ref="N536:N537"/>
    <mergeCell ref="A516:A518"/>
    <mergeCell ref="B516:B518"/>
    <mergeCell ref="C516:C518"/>
    <mergeCell ref="D516:D518"/>
    <mergeCell ref="E516:E518"/>
    <mergeCell ref="F516:F518"/>
    <mergeCell ref="G516:G518"/>
    <mergeCell ref="H516:H518"/>
    <mergeCell ref="I516:I518"/>
    <mergeCell ref="J516:J518"/>
    <mergeCell ref="K516:K518"/>
    <mergeCell ref="L516:L518"/>
    <mergeCell ref="M516:M518"/>
    <mergeCell ref="N516:N518"/>
    <mergeCell ref="A520:A521"/>
    <mergeCell ref="B520:B521"/>
    <mergeCell ref="C520:C521"/>
    <mergeCell ref="D520:D521"/>
    <mergeCell ref="E520:E521"/>
    <mergeCell ref="F520:F521"/>
    <mergeCell ref="G520:G521"/>
    <mergeCell ref="H520:H521"/>
    <mergeCell ref="I520:I521"/>
    <mergeCell ref="J520:J521"/>
    <mergeCell ref="K520:K521"/>
    <mergeCell ref="L520:L521"/>
    <mergeCell ref="M520:M521"/>
    <mergeCell ref="N520:N521"/>
    <mergeCell ref="A522:A523"/>
    <mergeCell ref="B522:B523"/>
    <mergeCell ref="C522:C523"/>
    <mergeCell ref="D522:D523"/>
    <mergeCell ref="E522:E523"/>
    <mergeCell ref="F522:F523"/>
    <mergeCell ref="G522:G523"/>
    <mergeCell ref="H522:H523"/>
    <mergeCell ref="I522:I523"/>
    <mergeCell ref="J522:J523"/>
    <mergeCell ref="K522:K523"/>
    <mergeCell ref="L522:L523"/>
    <mergeCell ref="M522:M523"/>
    <mergeCell ref="N522:N523"/>
    <mergeCell ref="A504:A507"/>
    <mergeCell ref="B504:B507"/>
    <mergeCell ref="C504:C507"/>
    <mergeCell ref="D504:D507"/>
    <mergeCell ref="E504:E507"/>
    <mergeCell ref="F504:F507"/>
    <mergeCell ref="G504:G507"/>
    <mergeCell ref="H504:H507"/>
    <mergeCell ref="I504:I507"/>
    <mergeCell ref="J504:J507"/>
    <mergeCell ref="K504:K507"/>
    <mergeCell ref="L504:L507"/>
    <mergeCell ref="M504:M507"/>
    <mergeCell ref="N504:N507"/>
    <mergeCell ref="A508:A510"/>
    <mergeCell ref="B508:B510"/>
    <mergeCell ref="C508:C510"/>
    <mergeCell ref="D508:D510"/>
    <mergeCell ref="E508:E510"/>
    <mergeCell ref="F508:F510"/>
    <mergeCell ref="G508:G510"/>
    <mergeCell ref="H508:H510"/>
    <mergeCell ref="I508:I510"/>
    <mergeCell ref="J508:J510"/>
    <mergeCell ref="K508:K510"/>
    <mergeCell ref="L508:L510"/>
    <mergeCell ref="M508:M510"/>
    <mergeCell ref="N508:N510"/>
    <mergeCell ref="A511:A513"/>
    <mergeCell ref="B511:B513"/>
    <mergeCell ref="C511:C513"/>
    <mergeCell ref="D511:D513"/>
    <mergeCell ref="E511:E513"/>
    <mergeCell ref="F511:F513"/>
    <mergeCell ref="G511:G513"/>
    <mergeCell ref="H511:H513"/>
    <mergeCell ref="I511:I513"/>
    <mergeCell ref="J511:J513"/>
    <mergeCell ref="K511:K513"/>
    <mergeCell ref="L511:L513"/>
    <mergeCell ref="M511:M513"/>
    <mergeCell ref="N511:N513"/>
    <mergeCell ref="A493:A494"/>
    <mergeCell ref="B493:B494"/>
    <mergeCell ref="C493:C494"/>
    <mergeCell ref="D493:D494"/>
    <mergeCell ref="E493:E494"/>
    <mergeCell ref="F493:F494"/>
    <mergeCell ref="G493:G494"/>
    <mergeCell ref="H493:H494"/>
    <mergeCell ref="I493:I494"/>
    <mergeCell ref="J493:J494"/>
    <mergeCell ref="K493:K494"/>
    <mergeCell ref="L493:L494"/>
    <mergeCell ref="M493:M494"/>
    <mergeCell ref="N493:N494"/>
    <mergeCell ref="A496:A500"/>
    <mergeCell ref="B496:B500"/>
    <mergeCell ref="C496:C500"/>
    <mergeCell ref="D496:D500"/>
    <mergeCell ref="E496:E500"/>
    <mergeCell ref="F496:F500"/>
    <mergeCell ref="G496:G500"/>
    <mergeCell ref="H496:H500"/>
    <mergeCell ref="I496:I500"/>
    <mergeCell ref="J496:J500"/>
    <mergeCell ref="K496:K500"/>
    <mergeCell ref="L496:L500"/>
    <mergeCell ref="M496:M500"/>
    <mergeCell ref="N496:N500"/>
    <mergeCell ref="A501:A503"/>
    <mergeCell ref="B501:B503"/>
    <mergeCell ref="C501:C503"/>
    <mergeCell ref="D501:D503"/>
    <mergeCell ref="E501:E503"/>
    <mergeCell ref="F501:F503"/>
    <mergeCell ref="G501:G503"/>
    <mergeCell ref="H501:H503"/>
    <mergeCell ref="I501:I503"/>
    <mergeCell ref="J501:J503"/>
    <mergeCell ref="K501:K503"/>
    <mergeCell ref="L501:L503"/>
    <mergeCell ref="M501:M503"/>
    <mergeCell ref="N501:N503"/>
    <mergeCell ref="A484:A486"/>
    <mergeCell ref="B484:B486"/>
    <mergeCell ref="C484:C486"/>
    <mergeCell ref="D484:D486"/>
    <mergeCell ref="E484:E486"/>
    <mergeCell ref="F484:F486"/>
    <mergeCell ref="G484:G486"/>
    <mergeCell ref="H484:H486"/>
    <mergeCell ref="I484:I486"/>
    <mergeCell ref="J484:J486"/>
    <mergeCell ref="K484:K486"/>
    <mergeCell ref="L484:L486"/>
    <mergeCell ref="M484:M486"/>
    <mergeCell ref="N484:N486"/>
    <mergeCell ref="A487:A488"/>
    <mergeCell ref="B487:B488"/>
    <mergeCell ref="C487:C488"/>
    <mergeCell ref="D487:D488"/>
    <mergeCell ref="E487:E488"/>
    <mergeCell ref="F487:F488"/>
    <mergeCell ref="G487:G488"/>
    <mergeCell ref="H487:H488"/>
    <mergeCell ref="I487:I488"/>
    <mergeCell ref="J487:J488"/>
    <mergeCell ref="K487:K488"/>
    <mergeCell ref="L487:L488"/>
    <mergeCell ref="M487:M488"/>
    <mergeCell ref="N487:N488"/>
    <mergeCell ref="A489:A491"/>
    <mergeCell ref="B489:B491"/>
    <mergeCell ref="C489:C491"/>
    <mergeCell ref="D489:D491"/>
    <mergeCell ref="E489:E491"/>
    <mergeCell ref="F489:F491"/>
    <mergeCell ref="G489:G491"/>
    <mergeCell ref="H489:H491"/>
    <mergeCell ref="I489:I491"/>
    <mergeCell ref="J489:J491"/>
    <mergeCell ref="K489:K491"/>
    <mergeCell ref="L489:L491"/>
    <mergeCell ref="M489:M491"/>
    <mergeCell ref="N489:N491"/>
    <mergeCell ref="A467:A469"/>
    <mergeCell ref="B467:B469"/>
    <mergeCell ref="C467:C469"/>
    <mergeCell ref="D467:D469"/>
    <mergeCell ref="E467:E469"/>
    <mergeCell ref="F467:F469"/>
    <mergeCell ref="G467:G469"/>
    <mergeCell ref="H467:H469"/>
    <mergeCell ref="I467:I469"/>
    <mergeCell ref="J467:J469"/>
    <mergeCell ref="K467:K469"/>
    <mergeCell ref="L467:L469"/>
    <mergeCell ref="M467:M469"/>
    <mergeCell ref="N467:N469"/>
    <mergeCell ref="A472:A476"/>
    <mergeCell ref="B472:B476"/>
    <mergeCell ref="C472:C476"/>
    <mergeCell ref="D472:D476"/>
    <mergeCell ref="E472:E476"/>
    <mergeCell ref="F472:F476"/>
    <mergeCell ref="G472:G476"/>
    <mergeCell ref="H472:H476"/>
    <mergeCell ref="I472:I476"/>
    <mergeCell ref="J472:J476"/>
    <mergeCell ref="K472:K476"/>
    <mergeCell ref="L472:L476"/>
    <mergeCell ref="M472:M476"/>
    <mergeCell ref="N472:N476"/>
    <mergeCell ref="A477:A483"/>
    <mergeCell ref="B477:B483"/>
    <mergeCell ref="C477:C483"/>
    <mergeCell ref="D477:D483"/>
    <mergeCell ref="E477:E483"/>
    <mergeCell ref="F477:F483"/>
    <mergeCell ref="G477:G483"/>
    <mergeCell ref="H477:H483"/>
    <mergeCell ref="I477:I483"/>
    <mergeCell ref="J477:J483"/>
    <mergeCell ref="K477:K483"/>
    <mergeCell ref="L477:L483"/>
    <mergeCell ref="M477:M483"/>
    <mergeCell ref="N477:N483"/>
    <mergeCell ref="A444:A449"/>
    <mergeCell ref="B444:B449"/>
    <mergeCell ref="C444:C449"/>
    <mergeCell ref="D444:D449"/>
    <mergeCell ref="E444:E449"/>
    <mergeCell ref="F444:F449"/>
    <mergeCell ref="G444:G449"/>
    <mergeCell ref="H444:H449"/>
    <mergeCell ref="I444:I449"/>
    <mergeCell ref="J444:J449"/>
    <mergeCell ref="K444:K449"/>
    <mergeCell ref="L444:L449"/>
    <mergeCell ref="M444:M449"/>
    <mergeCell ref="N444:N449"/>
    <mergeCell ref="A452:A463"/>
    <mergeCell ref="B452:B463"/>
    <mergeCell ref="C452:C463"/>
    <mergeCell ref="D452:D463"/>
    <mergeCell ref="E452:E463"/>
    <mergeCell ref="F452:F463"/>
    <mergeCell ref="G452:G463"/>
    <mergeCell ref="H452:H463"/>
    <mergeCell ref="I452:I463"/>
    <mergeCell ref="J452:J463"/>
    <mergeCell ref="K452:K463"/>
    <mergeCell ref="L452:L463"/>
    <mergeCell ref="M452:M463"/>
    <mergeCell ref="N452:N463"/>
    <mergeCell ref="A464:A466"/>
    <mergeCell ref="B464:B466"/>
    <mergeCell ref="C464:C466"/>
    <mergeCell ref="D464:D466"/>
    <mergeCell ref="E464:E466"/>
    <mergeCell ref="F464:F466"/>
    <mergeCell ref="G464:G466"/>
    <mergeCell ref="H464:H466"/>
    <mergeCell ref="I464:I466"/>
    <mergeCell ref="J464:J466"/>
    <mergeCell ref="K464:K466"/>
    <mergeCell ref="L464:L466"/>
    <mergeCell ref="M464:M466"/>
    <mergeCell ref="N464:N466"/>
    <mergeCell ref="A431:A435"/>
    <mergeCell ref="B431:B435"/>
    <mergeCell ref="C431:C435"/>
    <mergeCell ref="D431:D435"/>
    <mergeCell ref="E431:E435"/>
    <mergeCell ref="F431:F435"/>
    <mergeCell ref="G431:G435"/>
    <mergeCell ref="H431:H435"/>
    <mergeCell ref="I431:I435"/>
    <mergeCell ref="J431:J435"/>
    <mergeCell ref="K431:K435"/>
    <mergeCell ref="L431:L435"/>
    <mergeCell ref="M431:M435"/>
    <mergeCell ref="N431:N435"/>
    <mergeCell ref="A436:A439"/>
    <mergeCell ref="B436:B439"/>
    <mergeCell ref="C436:C439"/>
    <mergeCell ref="D436:D439"/>
    <mergeCell ref="E436:E439"/>
    <mergeCell ref="F436:F439"/>
    <mergeCell ref="G436:G439"/>
    <mergeCell ref="H436:H439"/>
    <mergeCell ref="I436:I439"/>
    <mergeCell ref="J436:J439"/>
    <mergeCell ref="K436:K439"/>
    <mergeCell ref="L436:L439"/>
    <mergeCell ref="M436:M439"/>
    <mergeCell ref="N436:N439"/>
    <mergeCell ref="A440:A442"/>
    <mergeCell ref="B440:B442"/>
    <mergeCell ref="C440:C442"/>
    <mergeCell ref="D440:D442"/>
    <mergeCell ref="E440:E442"/>
    <mergeCell ref="F440:F442"/>
    <mergeCell ref="G440:G442"/>
    <mergeCell ref="H440:H442"/>
    <mergeCell ref="I440:I442"/>
    <mergeCell ref="J440:J442"/>
    <mergeCell ref="K440:K442"/>
    <mergeCell ref="L440:L442"/>
    <mergeCell ref="M440:M442"/>
    <mergeCell ref="N440:N442"/>
    <mergeCell ref="A423:A424"/>
    <mergeCell ref="B423:B424"/>
    <mergeCell ref="C423:C424"/>
    <mergeCell ref="D423:D424"/>
    <mergeCell ref="E423:E424"/>
    <mergeCell ref="F423:F424"/>
    <mergeCell ref="G423:G424"/>
    <mergeCell ref="H423:H424"/>
    <mergeCell ref="I423:I424"/>
    <mergeCell ref="J423:J424"/>
    <mergeCell ref="K423:K424"/>
    <mergeCell ref="L423:L424"/>
    <mergeCell ref="M423:M424"/>
    <mergeCell ref="N423:N424"/>
    <mergeCell ref="A425:A426"/>
    <mergeCell ref="B425:B426"/>
    <mergeCell ref="C425:C426"/>
    <mergeCell ref="D425:D426"/>
    <mergeCell ref="E425:E426"/>
    <mergeCell ref="F425:F426"/>
    <mergeCell ref="G425:G426"/>
    <mergeCell ref="H425:H426"/>
    <mergeCell ref="I425:I426"/>
    <mergeCell ref="J425:J426"/>
    <mergeCell ref="K425:K426"/>
    <mergeCell ref="L425:L426"/>
    <mergeCell ref="M425:M426"/>
    <mergeCell ref="N425:N426"/>
    <mergeCell ref="A428:A430"/>
    <mergeCell ref="B428:B430"/>
    <mergeCell ref="C428:C430"/>
    <mergeCell ref="D428:D430"/>
    <mergeCell ref="E428:E430"/>
    <mergeCell ref="F428:F430"/>
    <mergeCell ref="G428:G430"/>
    <mergeCell ref="H428:H430"/>
    <mergeCell ref="I428:I430"/>
    <mergeCell ref="J428:J430"/>
    <mergeCell ref="K428:K430"/>
    <mergeCell ref="L428:L430"/>
    <mergeCell ref="M428:M430"/>
    <mergeCell ref="N428:N430"/>
    <mergeCell ref="A408:A412"/>
    <mergeCell ref="B408:B412"/>
    <mergeCell ref="C408:C412"/>
    <mergeCell ref="D408:D412"/>
    <mergeCell ref="E408:E412"/>
    <mergeCell ref="F408:F412"/>
    <mergeCell ref="G408:G412"/>
    <mergeCell ref="H408:H412"/>
    <mergeCell ref="I408:I412"/>
    <mergeCell ref="J408:J412"/>
    <mergeCell ref="K408:K412"/>
    <mergeCell ref="L408:L412"/>
    <mergeCell ref="M408:M412"/>
    <mergeCell ref="N408:N412"/>
    <mergeCell ref="A413:A414"/>
    <mergeCell ref="B413:B414"/>
    <mergeCell ref="C413:C414"/>
    <mergeCell ref="D413:D414"/>
    <mergeCell ref="E413:E414"/>
    <mergeCell ref="F413:F414"/>
    <mergeCell ref="G413:G414"/>
    <mergeCell ref="H413:H414"/>
    <mergeCell ref="I413:I414"/>
    <mergeCell ref="J413:J414"/>
    <mergeCell ref="K413:K414"/>
    <mergeCell ref="L413:L414"/>
    <mergeCell ref="M413:M414"/>
    <mergeCell ref="N413:N414"/>
    <mergeCell ref="A420:A421"/>
    <mergeCell ref="B420:B421"/>
    <mergeCell ref="C420:C421"/>
    <mergeCell ref="D420:D421"/>
    <mergeCell ref="E420:E421"/>
    <mergeCell ref="F420:F421"/>
    <mergeCell ref="G420:G421"/>
    <mergeCell ref="H420:H421"/>
    <mergeCell ref="I420:I421"/>
    <mergeCell ref="J420:J421"/>
    <mergeCell ref="K420:K421"/>
    <mergeCell ref="L420:L421"/>
    <mergeCell ref="M420:M421"/>
    <mergeCell ref="N420:N421"/>
    <mergeCell ref="A393:A398"/>
    <mergeCell ref="B393:B398"/>
    <mergeCell ref="C393:C398"/>
    <mergeCell ref="D393:D398"/>
    <mergeCell ref="E393:E398"/>
    <mergeCell ref="F393:F398"/>
    <mergeCell ref="G393:G398"/>
    <mergeCell ref="H393:H398"/>
    <mergeCell ref="I393:I398"/>
    <mergeCell ref="J393:J398"/>
    <mergeCell ref="K393:K398"/>
    <mergeCell ref="L393:L398"/>
    <mergeCell ref="M393:M398"/>
    <mergeCell ref="N393:N398"/>
    <mergeCell ref="A400:A404"/>
    <mergeCell ref="B400:B404"/>
    <mergeCell ref="C400:C404"/>
    <mergeCell ref="D400:D404"/>
    <mergeCell ref="E400:E404"/>
    <mergeCell ref="F400:F404"/>
    <mergeCell ref="G400:G404"/>
    <mergeCell ref="H400:H404"/>
    <mergeCell ref="I400:I404"/>
    <mergeCell ref="J400:J404"/>
    <mergeCell ref="K400:K404"/>
    <mergeCell ref="L400:L404"/>
    <mergeCell ref="M400:M404"/>
    <mergeCell ref="N400:N404"/>
    <mergeCell ref="A405:A407"/>
    <mergeCell ref="B405:B407"/>
    <mergeCell ref="C405:C407"/>
    <mergeCell ref="D405:D407"/>
    <mergeCell ref="E405:E407"/>
    <mergeCell ref="F405:F407"/>
    <mergeCell ref="G405:G407"/>
    <mergeCell ref="H405:H407"/>
    <mergeCell ref="I405:I407"/>
    <mergeCell ref="J405:J407"/>
    <mergeCell ref="K405:K407"/>
    <mergeCell ref="L405:L407"/>
    <mergeCell ref="M405:M407"/>
    <mergeCell ref="N405:N407"/>
    <mergeCell ref="A375:A377"/>
    <mergeCell ref="B375:B377"/>
    <mergeCell ref="C375:C377"/>
    <mergeCell ref="D375:D377"/>
    <mergeCell ref="E375:E377"/>
    <mergeCell ref="F375:F377"/>
    <mergeCell ref="G375:G377"/>
    <mergeCell ref="H375:H377"/>
    <mergeCell ref="I375:I377"/>
    <mergeCell ref="J375:J377"/>
    <mergeCell ref="K375:K377"/>
    <mergeCell ref="L375:L377"/>
    <mergeCell ref="M375:M377"/>
    <mergeCell ref="N375:N377"/>
    <mergeCell ref="A378:A382"/>
    <mergeCell ref="B378:B382"/>
    <mergeCell ref="C378:C382"/>
    <mergeCell ref="D378:D382"/>
    <mergeCell ref="E378:E382"/>
    <mergeCell ref="F378:F382"/>
    <mergeCell ref="G378:G382"/>
    <mergeCell ref="H378:H382"/>
    <mergeCell ref="I378:I382"/>
    <mergeCell ref="J378:J382"/>
    <mergeCell ref="K378:K382"/>
    <mergeCell ref="L378:L382"/>
    <mergeCell ref="M378:M382"/>
    <mergeCell ref="N378:N382"/>
    <mergeCell ref="A383:A388"/>
    <mergeCell ref="B383:B388"/>
    <mergeCell ref="C383:C388"/>
    <mergeCell ref="D383:D388"/>
    <mergeCell ref="E383:E388"/>
    <mergeCell ref="F383:F388"/>
    <mergeCell ref="G383:G388"/>
    <mergeCell ref="H383:H388"/>
    <mergeCell ref="I383:I388"/>
    <mergeCell ref="J383:J388"/>
    <mergeCell ref="K383:K388"/>
    <mergeCell ref="L383:L388"/>
    <mergeCell ref="M383:M388"/>
    <mergeCell ref="N383:N388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I366:I367"/>
    <mergeCell ref="J366:J367"/>
    <mergeCell ref="K366:K367"/>
    <mergeCell ref="L366:L367"/>
    <mergeCell ref="M366:M367"/>
    <mergeCell ref="N366:N367"/>
    <mergeCell ref="A369:A371"/>
    <mergeCell ref="B369:B371"/>
    <mergeCell ref="C369:C371"/>
    <mergeCell ref="D369:D371"/>
    <mergeCell ref="E369:E371"/>
    <mergeCell ref="F369:F371"/>
    <mergeCell ref="G369:G371"/>
    <mergeCell ref="H369:H371"/>
    <mergeCell ref="I369:I371"/>
    <mergeCell ref="J369:J371"/>
    <mergeCell ref="K369:K371"/>
    <mergeCell ref="L369:L371"/>
    <mergeCell ref="M369:M371"/>
    <mergeCell ref="N369:N371"/>
    <mergeCell ref="A372:A374"/>
    <mergeCell ref="B372:B374"/>
    <mergeCell ref="C372:C374"/>
    <mergeCell ref="D372:D374"/>
    <mergeCell ref="E372:E374"/>
    <mergeCell ref="F372:F374"/>
    <mergeCell ref="G372:G374"/>
    <mergeCell ref="H372:H374"/>
    <mergeCell ref="I372:I374"/>
    <mergeCell ref="J372:J374"/>
    <mergeCell ref="K372:K374"/>
    <mergeCell ref="L372:L374"/>
    <mergeCell ref="M372:M374"/>
    <mergeCell ref="N372:N374"/>
    <mergeCell ref="A351:A352"/>
    <mergeCell ref="B351:B352"/>
    <mergeCell ref="C351:C352"/>
    <mergeCell ref="D351:D352"/>
    <mergeCell ref="E351:E352"/>
    <mergeCell ref="F351:F352"/>
    <mergeCell ref="G351:G352"/>
    <mergeCell ref="H351:H352"/>
    <mergeCell ref="I351:I352"/>
    <mergeCell ref="J351:J352"/>
    <mergeCell ref="K351:K352"/>
    <mergeCell ref="L351:L352"/>
    <mergeCell ref="M351:M352"/>
    <mergeCell ref="N351:N352"/>
    <mergeCell ref="A353:A355"/>
    <mergeCell ref="B353:B355"/>
    <mergeCell ref="C353:C355"/>
    <mergeCell ref="D353:D355"/>
    <mergeCell ref="E353:E355"/>
    <mergeCell ref="F353:F355"/>
    <mergeCell ref="G353:G355"/>
    <mergeCell ref="H353:H355"/>
    <mergeCell ref="I353:I355"/>
    <mergeCell ref="J353:J355"/>
    <mergeCell ref="K353:K355"/>
    <mergeCell ref="L353:L355"/>
    <mergeCell ref="M353:M355"/>
    <mergeCell ref="N353:N355"/>
    <mergeCell ref="A356:A365"/>
    <mergeCell ref="B356:B365"/>
    <mergeCell ref="C356:C365"/>
    <mergeCell ref="D356:D365"/>
    <mergeCell ref="E356:E365"/>
    <mergeCell ref="F356:F365"/>
    <mergeCell ref="G356:G365"/>
    <mergeCell ref="H356:H365"/>
    <mergeCell ref="I356:I365"/>
    <mergeCell ref="J356:J365"/>
    <mergeCell ref="K356:K365"/>
    <mergeCell ref="L356:L365"/>
    <mergeCell ref="M356:M365"/>
    <mergeCell ref="N356:N365"/>
    <mergeCell ref="A341:A342"/>
    <mergeCell ref="B341:B342"/>
    <mergeCell ref="C341:C342"/>
    <mergeCell ref="D341:D342"/>
    <mergeCell ref="E341:E342"/>
    <mergeCell ref="F341:F342"/>
    <mergeCell ref="G341:G342"/>
    <mergeCell ref="H341:H342"/>
    <mergeCell ref="I341:I342"/>
    <mergeCell ref="J341:J342"/>
    <mergeCell ref="K341:K342"/>
    <mergeCell ref="L341:L342"/>
    <mergeCell ref="M341:M342"/>
    <mergeCell ref="N341:N342"/>
    <mergeCell ref="A343:A346"/>
    <mergeCell ref="B343:B346"/>
    <mergeCell ref="C343:C346"/>
    <mergeCell ref="D343:D346"/>
    <mergeCell ref="E343:E346"/>
    <mergeCell ref="F343:F346"/>
    <mergeCell ref="G343:G346"/>
    <mergeCell ref="H343:H346"/>
    <mergeCell ref="I343:I346"/>
    <mergeCell ref="J343:J346"/>
    <mergeCell ref="K343:K346"/>
    <mergeCell ref="L343:L346"/>
    <mergeCell ref="M343:M346"/>
    <mergeCell ref="N343:N346"/>
    <mergeCell ref="A347:A348"/>
    <mergeCell ref="B347:B348"/>
    <mergeCell ref="C347:C348"/>
    <mergeCell ref="D347:D348"/>
    <mergeCell ref="E347:E348"/>
    <mergeCell ref="F347:F348"/>
    <mergeCell ref="G347:G348"/>
    <mergeCell ref="H347:H348"/>
    <mergeCell ref="I347:I348"/>
    <mergeCell ref="J347:J348"/>
    <mergeCell ref="K347:K348"/>
    <mergeCell ref="L347:L348"/>
    <mergeCell ref="M347:M348"/>
    <mergeCell ref="N347:N348"/>
    <mergeCell ref="A328:A330"/>
    <mergeCell ref="B328:B330"/>
    <mergeCell ref="C328:C330"/>
    <mergeCell ref="D328:D330"/>
    <mergeCell ref="E328:E330"/>
    <mergeCell ref="F328:F330"/>
    <mergeCell ref="G328:G330"/>
    <mergeCell ref="H328:H330"/>
    <mergeCell ref="I328:I330"/>
    <mergeCell ref="J328:J330"/>
    <mergeCell ref="K328:K330"/>
    <mergeCell ref="L328:L330"/>
    <mergeCell ref="M328:M330"/>
    <mergeCell ref="N328:N330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J333:J334"/>
    <mergeCell ref="K333:K334"/>
    <mergeCell ref="L333:L334"/>
    <mergeCell ref="M333:M334"/>
    <mergeCell ref="N333:N334"/>
    <mergeCell ref="A335:A340"/>
    <mergeCell ref="B335:B340"/>
    <mergeCell ref="C335:C340"/>
    <mergeCell ref="D335:D340"/>
    <mergeCell ref="E335:E340"/>
    <mergeCell ref="F335:F340"/>
    <mergeCell ref="G335:G340"/>
    <mergeCell ref="H335:H340"/>
    <mergeCell ref="I335:I340"/>
    <mergeCell ref="J335:J340"/>
    <mergeCell ref="K335:K340"/>
    <mergeCell ref="L335:L340"/>
    <mergeCell ref="M335:M340"/>
    <mergeCell ref="N335:N340"/>
    <mergeCell ref="A317:A320"/>
    <mergeCell ref="B317:B320"/>
    <mergeCell ref="C317:C320"/>
    <mergeCell ref="D317:D320"/>
    <mergeCell ref="E317:E320"/>
    <mergeCell ref="F317:F320"/>
    <mergeCell ref="G317:G320"/>
    <mergeCell ref="H317:H320"/>
    <mergeCell ref="I317:I320"/>
    <mergeCell ref="J317:J320"/>
    <mergeCell ref="K317:K320"/>
    <mergeCell ref="L317:L320"/>
    <mergeCell ref="M317:M320"/>
    <mergeCell ref="N317:N320"/>
    <mergeCell ref="A322:A323"/>
    <mergeCell ref="B322:B323"/>
    <mergeCell ref="C322:C323"/>
    <mergeCell ref="D322:D323"/>
    <mergeCell ref="E322:E323"/>
    <mergeCell ref="F322:F323"/>
    <mergeCell ref="G322:G323"/>
    <mergeCell ref="H322:H323"/>
    <mergeCell ref="I322:I323"/>
    <mergeCell ref="J322:J323"/>
    <mergeCell ref="K322:K323"/>
    <mergeCell ref="L322:L323"/>
    <mergeCell ref="M322:M323"/>
    <mergeCell ref="N322:N323"/>
    <mergeCell ref="A325:A327"/>
    <mergeCell ref="B325:B327"/>
    <mergeCell ref="C325:C327"/>
    <mergeCell ref="D325:D327"/>
    <mergeCell ref="E325:E327"/>
    <mergeCell ref="F325:F327"/>
    <mergeCell ref="G325:G327"/>
    <mergeCell ref="H325:H327"/>
    <mergeCell ref="I325:I327"/>
    <mergeCell ref="J325:J327"/>
    <mergeCell ref="K325:K327"/>
    <mergeCell ref="L325:L327"/>
    <mergeCell ref="M325:M327"/>
    <mergeCell ref="N325:N327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J309:J310"/>
    <mergeCell ref="K309:K310"/>
    <mergeCell ref="L309:L310"/>
    <mergeCell ref="M309:M310"/>
    <mergeCell ref="N309:N310"/>
    <mergeCell ref="A312:A313"/>
    <mergeCell ref="B312:B313"/>
    <mergeCell ref="C312:C313"/>
    <mergeCell ref="D312:D313"/>
    <mergeCell ref="E312:E313"/>
    <mergeCell ref="F312:F313"/>
    <mergeCell ref="G312:G313"/>
    <mergeCell ref="H312:H313"/>
    <mergeCell ref="I312:I313"/>
    <mergeCell ref="J312:J313"/>
    <mergeCell ref="K312:K313"/>
    <mergeCell ref="L312:L313"/>
    <mergeCell ref="M312:M313"/>
    <mergeCell ref="N312:N313"/>
    <mergeCell ref="A314:A315"/>
    <mergeCell ref="B314:B315"/>
    <mergeCell ref="C314:C315"/>
    <mergeCell ref="D314:D315"/>
    <mergeCell ref="E314:E315"/>
    <mergeCell ref="F314:F315"/>
    <mergeCell ref="G314:G315"/>
    <mergeCell ref="H314:H315"/>
    <mergeCell ref="I314:I315"/>
    <mergeCell ref="J314:J315"/>
    <mergeCell ref="K314:K315"/>
    <mergeCell ref="L314:L315"/>
    <mergeCell ref="M314:M315"/>
    <mergeCell ref="N314:N315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J299:J300"/>
    <mergeCell ref="K299:K300"/>
    <mergeCell ref="L299:L300"/>
    <mergeCell ref="M299:M300"/>
    <mergeCell ref="N299:N300"/>
    <mergeCell ref="A302:A303"/>
    <mergeCell ref="B302:B303"/>
    <mergeCell ref="C302:C303"/>
    <mergeCell ref="D302:D303"/>
    <mergeCell ref="E302:E303"/>
    <mergeCell ref="F302:F303"/>
    <mergeCell ref="G302:G303"/>
    <mergeCell ref="H302:H303"/>
    <mergeCell ref="I302:I303"/>
    <mergeCell ref="J302:J303"/>
    <mergeCell ref="K302:K303"/>
    <mergeCell ref="L302:L303"/>
    <mergeCell ref="M302:M303"/>
    <mergeCell ref="N302:N303"/>
    <mergeCell ref="A305:A307"/>
    <mergeCell ref="B305:B307"/>
    <mergeCell ref="C305:C307"/>
    <mergeCell ref="D305:D307"/>
    <mergeCell ref="E305:E307"/>
    <mergeCell ref="F305:F307"/>
    <mergeCell ref="G305:G307"/>
    <mergeCell ref="H305:H307"/>
    <mergeCell ref="I305:I307"/>
    <mergeCell ref="J305:J307"/>
    <mergeCell ref="K305:K307"/>
    <mergeCell ref="L305:L307"/>
    <mergeCell ref="M305:M307"/>
    <mergeCell ref="N305:N307"/>
    <mergeCell ref="A282:A283"/>
    <mergeCell ref="B282:B283"/>
    <mergeCell ref="C282:C283"/>
    <mergeCell ref="D282:D283"/>
    <mergeCell ref="E282:E283"/>
    <mergeCell ref="F282:F283"/>
    <mergeCell ref="G282:G283"/>
    <mergeCell ref="H282:H283"/>
    <mergeCell ref="I282:I283"/>
    <mergeCell ref="J282:J283"/>
    <mergeCell ref="K282:K283"/>
    <mergeCell ref="L282:L283"/>
    <mergeCell ref="M282:M283"/>
    <mergeCell ref="N282:N283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J289:J290"/>
    <mergeCell ref="K289:K290"/>
    <mergeCell ref="L289:L290"/>
    <mergeCell ref="M289:M290"/>
    <mergeCell ref="N289:N290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J297:J298"/>
    <mergeCell ref="K297:K298"/>
    <mergeCell ref="L297:L298"/>
    <mergeCell ref="M297:M298"/>
    <mergeCell ref="N297:N298"/>
    <mergeCell ref="A271:A275"/>
    <mergeCell ref="B271:B275"/>
    <mergeCell ref="C271:C275"/>
    <mergeCell ref="D271:D275"/>
    <mergeCell ref="E271:E275"/>
    <mergeCell ref="F271:F275"/>
    <mergeCell ref="G271:G275"/>
    <mergeCell ref="H271:H275"/>
    <mergeCell ref="I271:I275"/>
    <mergeCell ref="J271:J275"/>
    <mergeCell ref="K271:K275"/>
    <mergeCell ref="L271:L275"/>
    <mergeCell ref="M271:M275"/>
    <mergeCell ref="N271:N275"/>
    <mergeCell ref="A276:A277"/>
    <mergeCell ref="B276:B277"/>
    <mergeCell ref="C276:C277"/>
    <mergeCell ref="D276:D277"/>
    <mergeCell ref="E276:E277"/>
    <mergeCell ref="F276:F277"/>
    <mergeCell ref="G276:G277"/>
    <mergeCell ref="H276:H277"/>
    <mergeCell ref="I276:I277"/>
    <mergeCell ref="J276:J277"/>
    <mergeCell ref="K276:K277"/>
    <mergeCell ref="L276:L277"/>
    <mergeCell ref="M276:M277"/>
    <mergeCell ref="N276:N277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J279:J280"/>
    <mergeCell ref="K279:K280"/>
    <mergeCell ref="L279:L280"/>
    <mergeCell ref="M279:M280"/>
    <mergeCell ref="N279:N280"/>
    <mergeCell ref="A259:A260"/>
    <mergeCell ref="B259:B260"/>
    <mergeCell ref="C259:C260"/>
    <mergeCell ref="D259:D260"/>
    <mergeCell ref="E259:E260"/>
    <mergeCell ref="F259:F260"/>
    <mergeCell ref="G259:G260"/>
    <mergeCell ref="H259:H260"/>
    <mergeCell ref="I259:I260"/>
    <mergeCell ref="J259:J260"/>
    <mergeCell ref="K259:K260"/>
    <mergeCell ref="L259:L260"/>
    <mergeCell ref="M259:M260"/>
    <mergeCell ref="N259:N260"/>
    <mergeCell ref="A262:A264"/>
    <mergeCell ref="B262:B264"/>
    <mergeCell ref="C262:C264"/>
    <mergeCell ref="D262:D264"/>
    <mergeCell ref="E262:E264"/>
    <mergeCell ref="F262:F264"/>
    <mergeCell ref="G262:G264"/>
    <mergeCell ref="H262:H264"/>
    <mergeCell ref="I262:I264"/>
    <mergeCell ref="J262:J264"/>
    <mergeCell ref="K262:K264"/>
    <mergeCell ref="L262:L264"/>
    <mergeCell ref="M262:M264"/>
    <mergeCell ref="N262:N264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I266:I267"/>
    <mergeCell ref="J266:J267"/>
    <mergeCell ref="K266:K267"/>
    <mergeCell ref="L266:L267"/>
    <mergeCell ref="M266:M267"/>
    <mergeCell ref="N266:N267"/>
    <mergeCell ref="A248:A251"/>
    <mergeCell ref="B248:B251"/>
    <mergeCell ref="C248:C251"/>
    <mergeCell ref="D248:D251"/>
    <mergeCell ref="E248:E251"/>
    <mergeCell ref="F248:F251"/>
    <mergeCell ref="G248:G251"/>
    <mergeCell ref="H248:H251"/>
    <mergeCell ref="I248:I251"/>
    <mergeCell ref="J248:J251"/>
    <mergeCell ref="K248:K251"/>
    <mergeCell ref="L248:L251"/>
    <mergeCell ref="M248:M251"/>
    <mergeCell ref="N248:N251"/>
    <mergeCell ref="A252:A253"/>
    <mergeCell ref="B252:B253"/>
    <mergeCell ref="C252:C253"/>
    <mergeCell ref="D252:D253"/>
    <mergeCell ref="E252:E253"/>
    <mergeCell ref="F252:F253"/>
    <mergeCell ref="G252:G253"/>
    <mergeCell ref="H252:H253"/>
    <mergeCell ref="I252:I253"/>
    <mergeCell ref="J252:J253"/>
    <mergeCell ref="K252:K253"/>
    <mergeCell ref="L252:L253"/>
    <mergeCell ref="M252:M253"/>
    <mergeCell ref="N252:N253"/>
    <mergeCell ref="A255:A258"/>
    <mergeCell ref="B255:B258"/>
    <mergeCell ref="C255:C258"/>
    <mergeCell ref="D255:D258"/>
    <mergeCell ref="E255:E258"/>
    <mergeCell ref="F255:F258"/>
    <mergeCell ref="G255:G258"/>
    <mergeCell ref="H255:H258"/>
    <mergeCell ref="I255:I258"/>
    <mergeCell ref="J255:J258"/>
    <mergeCell ref="K255:K258"/>
    <mergeCell ref="L255:L258"/>
    <mergeCell ref="M255:M258"/>
    <mergeCell ref="N255:N258"/>
    <mergeCell ref="A236:A238"/>
    <mergeCell ref="B236:B238"/>
    <mergeCell ref="C236:C238"/>
    <mergeCell ref="D236:D238"/>
    <mergeCell ref="E236:E238"/>
    <mergeCell ref="F236:F238"/>
    <mergeCell ref="G236:G238"/>
    <mergeCell ref="H236:H238"/>
    <mergeCell ref="I236:I238"/>
    <mergeCell ref="J236:J238"/>
    <mergeCell ref="K236:K238"/>
    <mergeCell ref="L236:L238"/>
    <mergeCell ref="M236:M238"/>
    <mergeCell ref="N236:N238"/>
    <mergeCell ref="A239:A242"/>
    <mergeCell ref="B239:B242"/>
    <mergeCell ref="C239:C242"/>
    <mergeCell ref="D239:D242"/>
    <mergeCell ref="E239:E242"/>
    <mergeCell ref="F239:F242"/>
    <mergeCell ref="G239:G242"/>
    <mergeCell ref="H239:H242"/>
    <mergeCell ref="I239:I242"/>
    <mergeCell ref="J239:J242"/>
    <mergeCell ref="K239:K242"/>
    <mergeCell ref="L239:L242"/>
    <mergeCell ref="M239:M242"/>
    <mergeCell ref="N239:N242"/>
    <mergeCell ref="A243:A246"/>
    <mergeCell ref="B243:B246"/>
    <mergeCell ref="C243:C246"/>
    <mergeCell ref="D243:D246"/>
    <mergeCell ref="E243:E246"/>
    <mergeCell ref="F243:F246"/>
    <mergeCell ref="G243:G246"/>
    <mergeCell ref="H243:H246"/>
    <mergeCell ref="I243:I246"/>
    <mergeCell ref="J243:J246"/>
    <mergeCell ref="K243:K246"/>
    <mergeCell ref="L243:L246"/>
    <mergeCell ref="M243:M246"/>
    <mergeCell ref="N243:N246"/>
    <mergeCell ref="A216:A217"/>
    <mergeCell ref="B216:B217"/>
    <mergeCell ref="C216:C217"/>
    <mergeCell ref="D216:D217"/>
    <mergeCell ref="E216:E217"/>
    <mergeCell ref="F216:F217"/>
    <mergeCell ref="G216:G217"/>
    <mergeCell ref="H216:H217"/>
    <mergeCell ref="I216:I217"/>
    <mergeCell ref="J216:J217"/>
    <mergeCell ref="K216:K217"/>
    <mergeCell ref="L216:L217"/>
    <mergeCell ref="M216:M217"/>
    <mergeCell ref="N216:N217"/>
    <mergeCell ref="A218:A220"/>
    <mergeCell ref="B218:B220"/>
    <mergeCell ref="C218:C220"/>
    <mergeCell ref="D218:D220"/>
    <mergeCell ref="E218:E220"/>
    <mergeCell ref="F218:F220"/>
    <mergeCell ref="G218:G220"/>
    <mergeCell ref="H218:H220"/>
    <mergeCell ref="I218:I220"/>
    <mergeCell ref="J218:J220"/>
    <mergeCell ref="K218:K220"/>
    <mergeCell ref="L218:L220"/>
    <mergeCell ref="M218:M220"/>
    <mergeCell ref="N218:N220"/>
    <mergeCell ref="A224:A226"/>
    <mergeCell ref="B224:B226"/>
    <mergeCell ref="C224:C226"/>
    <mergeCell ref="D224:D226"/>
    <mergeCell ref="E224:E226"/>
    <mergeCell ref="F224:F226"/>
    <mergeCell ref="G224:G226"/>
    <mergeCell ref="H224:H226"/>
    <mergeCell ref="I224:I226"/>
    <mergeCell ref="J224:J226"/>
    <mergeCell ref="K224:K226"/>
    <mergeCell ref="L224:L226"/>
    <mergeCell ref="M224:M226"/>
    <mergeCell ref="N224:N226"/>
    <mergeCell ref="A205:A206"/>
    <mergeCell ref="B205:B206"/>
    <mergeCell ref="C205:C206"/>
    <mergeCell ref="D205:D206"/>
    <mergeCell ref="E205:E206"/>
    <mergeCell ref="F205:F206"/>
    <mergeCell ref="G205:G206"/>
    <mergeCell ref="H205:H206"/>
    <mergeCell ref="I205:I206"/>
    <mergeCell ref="J205:J206"/>
    <mergeCell ref="K205:K206"/>
    <mergeCell ref="L205:L206"/>
    <mergeCell ref="M205:M206"/>
    <mergeCell ref="N205:N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I207:I208"/>
    <mergeCell ref="J207:J208"/>
    <mergeCell ref="K207:K208"/>
    <mergeCell ref="L207:L208"/>
    <mergeCell ref="M207:M208"/>
    <mergeCell ref="N207:N208"/>
    <mergeCell ref="A209:A214"/>
    <mergeCell ref="B209:B214"/>
    <mergeCell ref="C209:C214"/>
    <mergeCell ref="D209:D214"/>
    <mergeCell ref="E209:E214"/>
    <mergeCell ref="F209:F214"/>
    <mergeCell ref="G209:G214"/>
    <mergeCell ref="H209:H214"/>
    <mergeCell ref="I209:I214"/>
    <mergeCell ref="J209:J214"/>
    <mergeCell ref="K209:K214"/>
    <mergeCell ref="L209:L214"/>
    <mergeCell ref="M209:M214"/>
    <mergeCell ref="N209:N214"/>
    <mergeCell ref="A197:A199"/>
    <mergeCell ref="B197:B199"/>
    <mergeCell ref="C197:C199"/>
    <mergeCell ref="D197:D199"/>
    <mergeCell ref="E197:E199"/>
    <mergeCell ref="F197:F199"/>
    <mergeCell ref="G197:G199"/>
    <mergeCell ref="H197:H199"/>
    <mergeCell ref="I197:I199"/>
    <mergeCell ref="J197:J199"/>
    <mergeCell ref="K197:K199"/>
    <mergeCell ref="L197:L199"/>
    <mergeCell ref="M197:M199"/>
    <mergeCell ref="N197:N199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A175:A184"/>
    <mergeCell ref="B175:B184"/>
    <mergeCell ref="C175:C184"/>
    <mergeCell ref="D175:D184"/>
    <mergeCell ref="E175:E184"/>
    <mergeCell ref="F175:F184"/>
    <mergeCell ref="G175:G184"/>
    <mergeCell ref="H175:H184"/>
    <mergeCell ref="I175:I184"/>
    <mergeCell ref="J175:J184"/>
    <mergeCell ref="K175:K184"/>
    <mergeCell ref="L175:L184"/>
    <mergeCell ref="M175:M184"/>
    <mergeCell ref="N175:N184"/>
    <mergeCell ref="A186:A189"/>
    <mergeCell ref="B186:B189"/>
    <mergeCell ref="C186:C189"/>
    <mergeCell ref="D186:D189"/>
    <mergeCell ref="E186:E189"/>
    <mergeCell ref="F186:F189"/>
    <mergeCell ref="G186:G189"/>
    <mergeCell ref="H186:H189"/>
    <mergeCell ref="I186:I189"/>
    <mergeCell ref="J186:J189"/>
    <mergeCell ref="K186:K189"/>
    <mergeCell ref="L186:L189"/>
    <mergeCell ref="M186:M189"/>
    <mergeCell ref="N186:N189"/>
    <mergeCell ref="A195:A196"/>
    <mergeCell ref="B195:B196"/>
    <mergeCell ref="C195:C196"/>
    <mergeCell ref="D195:D196"/>
    <mergeCell ref="E195:E196"/>
    <mergeCell ref="F195:F196"/>
    <mergeCell ref="G195:G196"/>
    <mergeCell ref="H195:H196"/>
    <mergeCell ref="I195:I196"/>
    <mergeCell ref="J195:J196"/>
    <mergeCell ref="K195:K196"/>
    <mergeCell ref="L195:L196"/>
    <mergeCell ref="M195:M196"/>
    <mergeCell ref="N195:N196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I168:I169"/>
    <mergeCell ref="J168:J169"/>
    <mergeCell ref="K168:K169"/>
    <mergeCell ref="L168:L169"/>
    <mergeCell ref="M168:M169"/>
    <mergeCell ref="N168:N169"/>
    <mergeCell ref="A170:A171"/>
    <mergeCell ref="B170:B171"/>
    <mergeCell ref="C170:C171"/>
    <mergeCell ref="D170:D171"/>
    <mergeCell ref="E170:E171"/>
    <mergeCell ref="F170:F171"/>
    <mergeCell ref="G170:G171"/>
    <mergeCell ref="H170:H171"/>
    <mergeCell ref="I170:I171"/>
    <mergeCell ref="J170:J171"/>
    <mergeCell ref="K170:K171"/>
    <mergeCell ref="L170:L171"/>
    <mergeCell ref="M170:M171"/>
    <mergeCell ref="N170:N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I172:I173"/>
    <mergeCell ref="J172:J173"/>
    <mergeCell ref="K172:K173"/>
    <mergeCell ref="L172:L173"/>
    <mergeCell ref="M172:M173"/>
    <mergeCell ref="N172:N17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I154:I155"/>
    <mergeCell ref="J154:J155"/>
    <mergeCell ref="K154:K155"/>
    <mergeCell ref="L154:L155"/>
    <mergeCell ref="M154:M155"/>
    <mergeCell ref="N154:N155"/>
    <mergeCell ref="A157:A161"/>
    <mergeCell ref="B157:B161"/>
    <mergeCell ref="C157:C161"/>
    <mergeCell ref="D157:D161"/>
    <mergeCell ref="E157:E161"/>
    <mergeCell ref="F157:F161"/>
    <mergeCell ref="G157:G161"/>
    <mergeCell ref="H157:H161"/>
    <mergeCell ref="I157:I161"/>
    <mergeCell ref="J157:J161"/>
    <mergeCell ref="K157:K161"/>
    <mergeCell ref="L157:L161"/>
    <mergeCell ref="M157:M161"/>
    <mergeCell ref="N157:N161"/>
    <mergeCell ref="A162:A165"/>
    <mergeCell ref="B162:B165"/>
    <mergeCell ref="C162:C165"/>
    <mergeCell ref="D162:D165"/>
    <mergeCell ref="E162:E165"/>
    <mergeCell ref="F162:F165"/>
    <mergeCell ref="G162:G165"/>
    <mergeCell ref="H162:H165"/>
    <mergeCell ref="I162:I165"/>
    <mergeCell ref="J162:J165"/>
    <mergeCell ref="K162:K165"/>
    <mergeCell ref="L162:L165"/>
    <mergeCell ref="M162:M165"/>
    <mergeCell ref="N162:N165"/>
    <mergeCell ref="A135:A140"/>
    <mergeCell ref="B135:B140"/>
    <mergeCell ref="C135:C140"/>
    <mergeCell ref="D135:D140"/>
    <mergeCell ref="E135:E140"/>
    <mergeCell ref="F135:F140"/>
    <mergeCell ref="G135:G140"/>
    <mergeCell ref="H135:H140"/>
    <mergeCell ref="I135:I140"/>
    <mergeCell ref="J135:J140"/>
    <mergeCell ref="K135:K140"/>
    <mergeCell ref="L135:L140"/>
    <mergeCell ref="M135:M140"/>
    <mergeCell ref="N135:N140"/>
    <mergeCell ref="A141:A143"/>
    <mergeCell ref="B141:B143"/>
    <mergeCell ref="C141:C143"/>
    <mergeCell ref="D141:D143"/>
    <mergeCell ref="E141:E143"/>
    <mergeCell ref="F141:F143"/>
    <mergeCell ref="G141:G143"/>
    <mergeCell ref="H141:H143"/>
    <mergeCell ref="I141:I143"/>
    <mergeCell ref="J141:J143"/>
    <mergeCell ref="K141:K143"/>
    <mergeCell ref="L141:L143"/>
    <mergeCell ref="M141:M143"/>
    <mergeCell ref="N141:N143"/>
    <mergeCell ref="A151:A152"/>
    <mergeCell ref="B151:B152"/>
    <mergeCell ref="C151:C152"/>
    <mergeCell ref="D151:D152"/>
    <mergeCell ref="E151:E152"/>
    <mergeCell ref="F151:F152"/>
    <mergeCell ref="G151:G152"/>
    <mergeCell ref="H151:H152"/>
    <mergeCell ref="I151:I152"/>
    <mergeCell ref="J151:J152"/>
    <mergeCell ref="K151:K152"/>
    <mergeCell ref="L151:L152"/>
    <mergeCell ref="M151:M152"/>
    <mergeCell ref="N151:N152"/>
    <mergeCell ref="A123:A124"/>
    <mergeCell ref="B123:B124"/>
    <mergeCell ref="C123:C124"/>
    <mergeCell ref="D123:D124"/>
    <mergeCell ref="E123:E124"/>
    <mergeCell ref="F123:F124"/>
    <mergeCell ref="G123:G124"/>
    <mergeCell ref="H123:H124"/>
    <mergeCell ref="I123:I124"/>
    <mergeCell ref="J123:J124"/>
    <mergeCell ref="K123:K124"/>
    <mergeCell ref="L123:L124"/>
    <mergeCell ref="M123:M124"/>
    <mergeCell ref="N123:N124"/>
    <mergeCell ref="A127:A128"/>
    <mergeCell ref="B127:B128"/>
    <mergeCell ref="C127:C128"/>
    <mergeCell ref="D127:D128"/>
    <mergeCell ref="E127:E128"/>
    <mergeCell ref="F127:F128"/>
    <mergeCell ref="G127:G128"/>
    <mergeCell ref="H127:H128"/>
    <mergeCell ref="I127:I128"/>
    <mergeCell ref="J127:J128"/>
    <mergeCell ref="K127:K128"/>
    <mergeCell ref="L127:L128"/>
    <mergeCell ref="M127:M128"/>
    <mergeCell ref="N127:N128"/>
    <mergeCell ref="A129:A131"/>
    <mergeCell ref="B129:B131"/>
    <mergeCell ref="C129:C131"/>
    <mergeCell ref="D129:D131"/>
    <mergeCell ref="E129:E131"/>
    <mergeCell ref="F129:F131"/>
    <mergeCell ref="G129:G131"/>
    <mergeCell ref="H129:H131"/>
    <mergeCell ref="I129:I131"/>
    <mergeCell ref="J129:J131"/>
    <mergeCell ref="K129:K131"/>
    <mergeCell ref="L129:L131"/>
    <mergeCell ref="M129:M131"/>
    <mergeCell ref="N129:N131"/>
    <mergeCell ref="A109:A112"/>
    <mergeCell ref="B109:B112"/>
    <mergeCell ref="C109:C112"/>
    <mergeCell ref="D109:D112"/>
    <mergeCell ref="E109:E112"/>
    <mergeCell ref="F109:F112"/>
    <mergeCell ref="G109:G112"/>
    <mergeCell ref="H109:H112"/>
    <mergeCell ref="I109:I112"/>
    <mergeCell ref="J109:J112"/>
    <mergeCell ref="K109:K112"/>
    <mergeCell ref="L109:L112"/>
    <mergeCell ref="M109:M112"/>
    <mergeCell ref="N109:N112"/>
    <mergeCell ref="A116:A118"/>
    <mergeCell ref="B116:B118"/>
    <mergeCell ref="C116:C118"/>
    <mergeCell ref="D116:D118"/>
    <mergeCell ref="E116:E118"/>
    <mergeCell ref="F116:F118"/>
    <mergeCell ref="G116:G118"/>
    <mergeCell ref="H116:H118"/>
    <mergeCell ref="I116:I118"/>
    <mergeCell ref="J116:J118"/>
    <mergeCell ref="K116:K118"/>
    <mergeCell ref="L116:L118"/>
    <mergeCell ref="M116:M118"/>
    <mergeCell ref="N116:N118"/>
    <mergeCell ref="A119:A121"/>
    <mergeCell ref="B119:B121"/>
    <mergeCell ref="C119:C121"/>
    <mergeCell ref="D119:D121"/>
    <mergeCell ref="E119:E121"/>
    <mergeCell ref="F119:F121"/>
    <mergeCell ref="G119:G121"/>
    <mergeCell ref="H119:H121"/>
    <mergeCell ref="I119:I121"/>
    <mergeCell ref="J119:J121"/>
    <mergeCell ref="K119:K121"/>
    <mergeCell ref="L119:L121"/>
    <mergeCell ref="M119:M121"/>
    <mergeCell ref="N119:N121"/>
    <mergeCell ref="A99:A100"/>
    <mergeCell ref="B99:B100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K99:K100"/>
    <mergeCell ref="L99:L100"/>
    <mergeCell ref="M99:M100"/>
    <mergeCell ref="N99:N100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I102:I103"/>
    <mergeCell ref="J102:J103"/>
    <mergeCell ref="K102:K103"/>
    <mergeCell ref="L102:L103"/>
    <mergeCell ref="M102:M103"/>
    <mergeCell ref="N102:N103"/>
    <mergeCell ref="A104:A108"/>
    <mergeCell ref="B104:B108"/>
    <mergeCell ref="C104:C108"/>
    <mergeCell ref="D104:D108"/>
    <mergeCell ref="E104:E108"/>
    <mergeCell ref="F104:F108"/>
    <mergeCell ref="G104:G108"/>
    <mergeCell ref="H104:H108"/>
    <mergeCell ref="I104:I108"/>
    <mergeCell ref="J104:J108"/>
    <mergeCell ref="K104:K108"/>
    <mergeCell ref="L104:L108"/>
    <mergeCell ref="M104:M108"/>
    <mergeCell ref="N104:N108"/>
    <mergeCell ref="A85:A86"/>
    <mergeCell ref="B85:B86"/>
    <mergeCell ref="C85:C86"/>
    <mergeCell ref="D85:D86"/>
    <mergeCell ref="E85:E86"/>
    <mergeCell ref="F85:F86"/>
    <mergeCell ref="G85:G86"/>
    <mergeCell ref="H85:H86"/>
    <mergeCell ref="I85:I86"/>
    <mergeCell ref="J85:J86"/>
    <mergeCell ref="K85:K86"/>
    <mergeCell ref="L85:L86"/>
    <mergeCell ref="M85:M86"/>
    <mergeCell ref="N85:N86"/>
    <mergeCell ref="A90:A93"/>
    <mergeCell ref="B90:B93"/>
    <mergeCell ref="C90:C93"/>
    <mergeCell ref="D90:D93"/>
    <mergeCell ref="E90:E93"/>
    <mergeCell ref="F90:F93"/>
    <mergeCell ref="G90:G93"/>
    <mergeCell ref="H90:H93"/>
    <mergeCell ref="I90:I93"/>
    <mergeCell ref="J90:J93"/>
    <mergeCell ref="K90:K93"/>
    <mergeCell ref="L90:L93"/>
    <mergeCell ref="M90:M93"/>
    <mergeCell ref="N90:N93"/>
    <mergeCell ref="A96:A97"/>
    <mergeCell ref="B96:B97"/>
    <mergeCell ref="C96:C97"/>
    <mergeCell ref="D96:D97"/>
    <mergeCell ref="E96:E97"/>
    <mergeCell ref="F96:F97"/>
    <mergeCell ref="G96:G97"/>
    <mergeCell ref="H96:H97"/>
    <mergeCell ref="I96:I97"/>
    <mergeCell ref="J96:J97"/>
    <mergeCell ref="K96:K97"/>
    <mergeCell ref="L96:L97"/>
    <mergeCell ref="M96:M97"/>
    <mergeCell ref="N96:N97"/>
    <mergeCell ref="A74:A77"/>
    <mergeCell ref="B74:B77"/>
    <mergeCell ref="C74:C77"/>
    <mergeCell ref="D74:D77"/>
    <mergeCell ref="E74:E77"/>
    <mergeCell ref="F74:F77"/>
    <mergeCell ref="G74:G77"/>
    <mergeCell ref="H74:H77"/>
    <mergeCell ref="I74:I77"/>
    <mergeCell ref="J74:J77"/>
    <mergeCell ref="K74:K77"/>
    <mergeCell ref="L74:L77"/>
    <mergeCell ref="M74:M77"/>
    <mergeCell ref="N74:N77"/>
    <mergeCell ref="A78:A79"/>
    <mergeCell ref="B78:B79"/>
    <mergeCell ref="C78:C79"/>
    <mergeCell ref="D78:D79"/>
    <mergeCell ref="E78:E79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A81:A82"/>
    <mergeCell ref="B81:B82"/>
    <mergeCell ref="C81:C82"/>
    <mergeCell ref="D81:D82"/>
    <mergeCell ref="E81:E82"/>
    <mergeCell ref="F81:F82"/>
    <mergeCell ref="G81:G82"/>
    <mergeCell ref="H81:H82"/>
    <mergeCell ref="I81:I82"/>
    <mergeCell ref="J81:J82"/>
    <mergeCell ref="K81:K82"/>
    <mergeCell ref="L81:L82"/>
    <mergeCell ref="M81:M82"/>
    <mergeCell ref="N81:N82"/>
    <mergeCell ref="A62:A63"/>
    <mergeCell ref="B62:B63"/>
    <mergeCell ref="C62:C63"/>
    <mergeCell ref="D62:D63"/>
    <mergeCell ref="E62:E63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A66:A67"/>
    <mergeCell ref="B66:B67"/>
    <mergeCell ref="C66:C67"/>
    <mergeCell ref="D66:D67"/>
    <mergeCell ref="E66:E67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A69:A72"/>
    <mergeCell ref="B69:B72"/>
    <mergeCell ref="C69:C72"/>
    <mergeCell ref="D69:D72"/>
    <mergeCell ref="E69:E72"/>
    <mergeCell ref="F69:F72"/>
    <mergeCell ref="G69:G72"/>
    <mergeCell ref="H69:H72"/>
    <mergeCell ref="I69:I72"/>
    <mergeCell ref="J69:J72"/>
    <mergeCell ref="K69:K72"/>
    <mergeCell ref="L69:L72"/>
    <mergeCell ref="M69:M72"/>
    <mergeCell ref="N69:N72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N45:N46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L55:L58"/>
    <mergeCell ref="M55:M58"/>
    <mergeCell ref="N55:N58"/>
    <mergeCell ref="A60:A61"/>
    <mergeCell ref="B60:B61"/>
    <mergeCell ref="C60:C61"/>
    <mergeCell ref="D60:D61"/>
    <mergeCell ref="E60:E61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A26:A27"/>
    <mergeCell ref="B26:B27"/>
    <mergeCell ref="C26:C27"/>
    <mergeCell ref="D26:D27"/>
    <mergeCell ref="E26:E27"/>
    <mergeCell ref="F26:F27"/>
    <mergeCell ref="G26:G27"/>
    <mergeCell ref="H26:H27"/>
    <mergeCell ref="I26:I27"/>
    <mergeCell ref="J26:J27"/>
    <mergeCell ref="K26:K27"/>
    <mergeCell ref="L26:L27"/>
    <mergeCell ref="M26:M27"/>
    <mergeCell ref="N26:N27"/>
    <mergeCell ref="A28:A29"/>
    <mergeCell ref="B28:B29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N28:N29"/>
    <mergeCell ref="A30:A41"/>
    <mergeCell ref="B30:B41"/>
    <mergeCell ref="C30:C41"/>
    <mergeCell ref="D30:D41"/>
    <mergeCell ref="E30:E41"/>
    <mergeCell ref="F30:F41"/>
    <mergeCell ref="G30:G41"/>
    <mergeCell ref="H30:H41"/>
    <mergeCell ref="I30:I41"/>
    <mergeCell ref="J30:J41"/>
    <mergeCell ref="K30:K41"/>
    <mergeCell ref="L30:L41"/>
    <mergeCell ref="M30:M41"/>
    <mergeCell ref="N30:N41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A18:A19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K18:K19"/>
    <mergeCell ref="L18:L19"/>
    <mergeCell ref="M18:M19"/>
    <mergeCell ref="N18:N19"/>
    <mergeCell ref="A23:A24"/>
    <mergeCell ref="B23:B24"/>
    <mergeCell ref="C23:C24"/>
    <mergeCell ref="D23:D24"/>
    <mergeCell ref="E23:E24"/>
    <mergeCell ref="F23:F24"/>
    <mergeCell ref="G23:G24"/>
    <mergeCell ref="H23:H24"/>
    <mergeCell ref="I23:I24"/>
    <mergeCell ref="J23:J24"/>
    <mergeCell ref="K23:K24"/>
    <mergeCell ref="L23:L24"/>
    <mergeCell ref="M23:M24"/>
    <mergeCell ref="N23:N24"/>
    <mergeCell ref="A1:C1"/>
    <mergeCell ref="E1:N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6:A8"/>
    <mergeCell ref="B6:B8"/>
    <mergeCell ref="C6:C8"/>
    <mergeCell ref="D6:D8"/>
    <mergeCell ref="E6:E8"/>
    <mergeCell ref="F6:F8"/>
    <mergeCell ref="G6:G8"/>
    <mergeCell ref="H6:H8"/>
    <mergeCell ref="I6:I8"/>
    <mergeCell ref="J6:J8"/>
    <mergeCell ref="K6:K8"/>
    <mergeCell ref="L6:L8"/>
    <mergeCell ref="M6:M8"/>
    <mergeCell ref="N6:N8"/>
    <mergeCell ref="A11:A15"/>
    <mergeCell ref="B11:B15"/>
    <mergeCell ref="C11:C15"/>
    <mergeCell ref="D11:D15"/>
    <mergeCell ref="E11:E15"/>
    <mergeCell ref="F11:F15"/>
    <mergeCell ref="G11:G15"/>
    <mergeCell ref="H11:H15"/>
    <mergeCell ref="I11:I15"/>
    <mergeCell ref="J11:J15"/>
    <mergeCell ref="K11:K15"/>
    <mergeCell ref="L11:L15"/>
    <mergeCell ref="M11:M15"/>
    <mergeCell ref="N11:N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Coverpage</vt:lpstr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Matt Hampsey</cp:lastModifiedBy>
  <dcterms:created xsi:type="dcterms:W3CDTF">2026-08-05T12:07:45Z</dcterms:created>
  <dcterms:modified xsi:type="dcterms:W3CDTF">2026-08-05T13:20:55Z</dcterms:modified>
</cp:coreProperties>
</file>